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I:\Websites\Pscweb\utilities\electric\20docs\2003504\"/>
    </mc:Choice>
  </mc:AlternateContent>
  <bookViews>
    <workbookView xWindow="0" yWindow="0" windowWidth="15390" windowHeight="7095" activeTab="2"/>
  </bookViews>
  <sheets>
    <sheet name="Blocking" sheetId="12" r:id="rId1"/>
    <sheet name="Unbundling Summary" sheetId="1" r:id="rId2"/>
    <sheet name="Summary Chart" sheetId="15" r:id="rId3"/>
    <sheet name="JAM Download" sheetId="8" r:id="rId4"/>
    <sheet name="FuncStudy" sheetId="9" r:id="rId5"/>
    <sheet name="Production Summary" sheetId="10" r:id="rId6"/>
    <sheet name="Unit Cost Target" sheetId="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OM1" localSheetId="0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OM1" localSheetId="0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j1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0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j1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0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localSheetId="0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j1" localSheetId="0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0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0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0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0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localSheetId="0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j1" localSheetId="0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0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0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0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0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localSheetId="0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j1" localSheetId="0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0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0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0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0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localSheetId="0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j1" localSheetId="0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0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0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0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0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OM1" localSheetId="0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123Graph_A" localSheetId="0" hidden="1">Blocking!$D$672:$D$690</definedName>
    <definedName name="__123Graph_A" localSheetId="4" hidden="1">[1]Inputs!#REF!</definedName>
    <definedName name="__123Graph_A" localSheetId="3" hidden="1">[1]Inputs!#REF!</definedName>
    <definedName name="__123Graph_A" localSheetId="5" hidden="1">[1]Inputs!#REF!</definedName>
    <definedName name="__123Graph_A" hidden="1">[2]Inputs!#REF!</definedName>
    <definedName name="__123Graph_AGRAPH1" localSheetId="0" hidden="1">Blocking!$D$2435:$D$2435</definedName>
    <definedName name="__123Graph_B" localSheetId="0" hidden="1">Blocking!#REF!</definedName>
    <definedName name="__123Graph_B" localSheetId="4" hidden="1">[1]Inputs!#REF!</definedName>
    <definedName name="__123Graph_B" localSheetId="3" hidden="1">[1]Inputs!#REF!</definedName>
    <definedName name="__123Graph_B" localSheetId="5" hidden="1">[1]Inputs!#REF!</definedName>
    <definedName name="__123Graph_B" hidden="1">[2]Inputs!#REF!</definedName>
    <definedName name="__123Graph_C" localSheetId="0" hidden="1">Blocking!#REF!</definedName>
    <definedName name="__123Graph_D" localSheetId="0" hidden="1">Blocking!#REF!</definedName>
    <definedName name="__123Graph_D" localSheetId="4" hidden="1">[1]Inputs!#REF!</definedName>
    <definedName name="__123Graph_D" localSheetId="3" hidden="1">[1]Inputs!#REF!</definedName>
    <definedName name="__123Graph_D" localSheetId="5" hidden="1">[1]Inputs!#REF!</definedName>
    <definedName name="__123Graph_D" hidden="1">[2]Inputs!#REF!</definedName>
    <definedName name="__123Graph_E" localSheetId="0" hidden="1">Blocking!#REF!</definedName>
    <definedName name="__123Graph_E" hidden="1">[3]Input!$E$22:$E$37</definedName>
    <definedName name="__123Graph_F" localSheetId="0" hidden="1">Blocking!$G$672:$G$690</definedName>
    <definedName name="__123Graph_F" hidden="1">[3]Input!$D$22:$D$37</definedName>
    <definedName name="__j1" localSheetId="0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0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0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0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0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OM1" localSheetId="0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Dist_Values" localSheetId="0" hidden="1">Blocking!#REF!</definedName>
    <definedName name="_Fill" localSheetId="0" hidden="1">Blocking!#REF!</definedName>
    <definedName name="_Fill" localSheetId="4" hidden="1">#REF!</definedName>
    <definedName name="_Fill" localSheetId="3" hidden="1">#REF!</definedName>
    <definedName name="_Fill" localSheetId="5" hidden="1">#REF!</definedName>
    <definedName name="_Fill" hidden="1">#REF!</definedName>
    <definedName name="_xlnm._FilterDatabase" localSheetId="0" hidden="1">Blocking!$B$1:$B$4</definedName>
    <definedName name="_xlnm._FilterDatabase" localSheetId="4" hidden="1">FuncStudy!$B$1:$B$2226</definedName>
    <definedName name="_xlnm._FilterDatabase" localSheetId="3" hidden="1">'JAM Download'!$B$1:$B$2464</definedName>
    <definedName name="_xlnm._FilterDatabase" hidden="1">#REF!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0" hidden="1">#REF!</definedName>
    <definedName name="_Key1" localSheetId="4" hidden="1">#REF!</definedName>
    <definedName name="_Key1" localSheetId="3" hidden="1">#REF!</definedName>
    <definedName name="_Key1" localSheetId="5" hidden="1">#REF!</definedName>
    <definedName name="_Key1" hidden="1">#REF!</definedName>
    <definedName name="_Key2" localSheetId="0" hidden="1">#REF!</definedName>
    <definedName name="_Key2" localSheetId="4" hidden="1">#REF!</definedName>
    <definedName name="_Key2" localSheetId="3" hidden="1">#REF!</definedName>
    <definedName name="_Key2" localSheetId="5" hidden="1">#REF!</definedName>
    <definedName name="_Key2" hidden="1">#REF!</definedName>
    <definedName name="_OM1" localSheetId="0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4" hidden="1">0</definedName>
    <definedName name="_Order1" localSheetId="3" hidden="1">0</definedName>
    <definedName name="_Order1" localSheetId="5" hidden="1">0</definedName>
    <definedName name="_Order1" hidden="1">255</definedName>
    <definedName name="_Order2" localSheetId="4" hidden="1">0</definedName>
    <definedName name="_Order2" localSheetId="3" hidden="1">0</definedName>
    <definedName name="_Order2" localSheetId="5" hidden="1">0</definedName>
    <definedName name="_Order2" hidden="1">255</definedName>
    <definedName name="_Regression_Out" localSheetId="0" hidden="1">#REF!</definedName>
    <definedName name="_Regression_Out" localSheetId="4" hidden="1">#REF!</definedName>
    <definedName name="_Regression_Out" localSheetId="3" hidden="1">#REF!</definedName>
    <definedName name="_Regression_Out" localSheetId="5" hidden="1">#REF!</definedName>
    <definedName name="_Regression_Out" hidden="1">#REF!</definedName>
    <definedName name="_Regression_X" localSheetId="0" hidden="1">#REF!</definedName>
    <definedName name="_Regression_X" localSheetId="4" hidden="1">#REF!</definedName>
    <definedName name="_Regression_X" localSheetId="3" hidden="1">#REF!</definedName>
    <definedName name="_Regression_X" localSheetId="5" hidden="1">#REF!</definedName>
    <definedName name="_Regression_X" hidden="1">#REF!</definedName>
    <definedName name="_Regression_Y" localSheetId="0" hidden="1">#REF!</definedName>
    <definedName name="_Regression_Y" localSheetId="4" hidden="1">#REF!</definedName>
    <definedName name="_Regression_Y" localSheetId="3" hidden="1">#REF!</definedName>
    <definedName name="_Regression_Y" localSheetId="5" hidden="1">#REF!</definedName>
    <definedName name="_Regression_Y" hidden="1">#REF!</definedName>
    <definedName name="_Sort" localSheetId="0" hidden="1">#REF!</definedName>
    <definedName name="_Sort" localSheetId="4" hidden="1">#REF!</definedName>
    <definedName name="_Sort" localSheetId="3" hidden="1">#REF!</definedName>
    <definedName name="_Sort" localSheetId="5" hidden="1">#REF!</definedName>
    <definedName name="_Sort" hidden="1">#REF!</definedName>
    <definedName name="_x1" localSheetId="0" hidden="1">{"PRINT",#N/A,TRUE,"APPA";"PRINT",#N/A,TRUE,"APS";"PRINT",#N/A,TRUE,"BHPL";"PRINT",#N/A,TRUE,"BHPL2";"PRINT",#N/A,TRUE,"CDWR";"PRINT",#N/A,TRUE,"EWEB";"PRINT",#N/A,TRUE,"LADWP";"PRINT",#N/A,TRUE,"NEVBASE"}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localSheetId="0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localSheetId="0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localSheetId="0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localSheetId="0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localSheetId="0" hidden="1">#REF!</definedName>
    <definedName name="a" localSheetId="4" hidden="1">'[1]DSM Output'!$J$21:$J$23</definedName>
    <definedName name="a" localSheetId="3" hidden="1">'[1]DSM Output'!$J$21:$J$23</definedName>
    <definedName name="a" localSheetId="5" hidden="1">'[1]DSM Output'!$J$21:$J$23</definedName>
    <definedName name="a" hidden="1">#REF!</definedName>
    <definedName name="Access_Button1" hidden="1">"Headcount_Workbook_Schedules_List"</definedName>
    <definedName name="AccessDatabase" hidden="1">"P:\HR\SharonPlummer\Headcount Workbook.mdb"</definedName>
    <definedName name="alkjslkj" localSheetId="0" hidden="1">{0,#N/A,TRUE,0;0,#N/A,TRUE,0;0,#N/A,TRUE,0;0,#N/A,TRUE,0;0,#N/A,TRUE,0;0,#N/A,TRUE,0;0,#N/A,TRUE,0;0,#N/A,TRUE,0}</definedName>
    <definedName name="alkjslkj" hidden="1">{0,#N/A,TRUE,0;0,#N/A,TRUE,0;0,#N/A,TRUE,0;0,#N/A,TRUE,0;0,#N/A,TRUE,0;0,#N/A,TRUE,0;0,#N/A,TRUE,0;0,#N/A,TRUE,0}</definedName>
    <definedName name="anscount" hidden="1">1</definedName>
    <definedName name="asa" localSheetId="0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amas" localSheetId="0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gf" localSheetId="0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lasses">'[4]COS Factor Table'!$F$13:$P$13</definedName>
    <definedName name="cogs" localSheetId="0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bined1" localSheetId="0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py" localSheetId="0" hidden="1">#REF!</definedName>
    <definedName name="copy" localSheetId="4" hidden="1">#REF!</definedName>
    <definedName name="copy" localSheetId="3" hidden="1">#REF!</definedName>
    <definedName name="copy" localSheetId="5" hidden="1">#REF!</definedName>
    <definedName name="copy" hidden="1">#REF!</definedName>
    <definedName name="COSAllocOptions">'[4]COS Allocation Options'!$D$3:$G$1394</definedName>
    <definedName name="COSFactors">'[4]COS Factor Table'!$A$15:$A$124</definedName>
    <definedName name="COSFactorTbl">'[4]COS Factor Table'!$F$15:$P$124</definedName>
    <definedName name="dana" localSheetId="0" hidden="1">{#N/A,#N/A,FALSE,"Summary EPS";#N/A,#N/A,FALSE,"1st Qtr Electric";#N/A,#N/A,FALSE,"1st Qtr Australia";#N/A,#N/A,FALSE,"1st Qtr Telecom";#N/A,#N/A,FALSE,"1st QTR Other"}</definedName>
    <definedName name="dana" hidden="1">{#N/A,#N/A,FALSE,"Summary EPS";#N/A,#N/A,FALSE,"1st Qtr Electric";#N/A,#N/A,FALSE,"1st Qtr Australia";#N/A,#N/A,FALSE,"1st Qtr Telecom";#N/A,#N/A,FALSE,"1st QTR Other"}</definedName>
    <definedName name="dana1" localSheetId="0" hidden="1">{#N/A,#N/A,FALSE,"Summary 1";#N/A,#N/A,FALSE,"Domestic";#N/A,#N/A,FALSE,"Australia";#N/A,#N/A,FALSE,"Other"}</definedName>
    <definedName name="dana1" hidden="1">{#N/A,#N/A,FALSE,"Summary 1";#N/A,#N/A,FALSE,"Domestic";#N/A,#N/A,FALSE,"Australia";#N/A,#N/A,FALSE,"Other"}</definedName>
    <definedName name="DistFuncAllocOptions">'[4]Func Allocation Options'!$H$5:$L$2124</definedName>
    <definedName name="DistFuncFactors">'[4]Func Dist Factor Table'!$A$12:$A$25</definedName>
    <definedName name="DistFuncFactorTbl">'[4]Func Dist Factor Table'!$B$12:$F$25</definedName>
    <definedName name="DistFunctions">'[4]Func Dist Factor Table'!$B$11:$F$11</definedName>
    <definedName name="dsd" localSheetId="0" hidden="1">[2]Inputs!#REF!</definedName>
    <definedName name="dsd" localSheetId="4" hidden="1">[1]Inputs!#REF!</definedName>
    <definedName name="dsd" localSheetId="3" hidden="1">[1]Inputs!#REF!</definedName>
    <definedName name="dsd" localSheetId="5" hidden="1">[1]Inputs!#REF!</definedName>
    <definedName name="dsd" hidden="1">[2]Inputs!#REF!</definedName>
    <definedName name="DUDE" localSheetId="0" hidden="1">#REF!</definedName>
    <definedName name="DUDE" localSheetId="4" hidden="1">#REF!</definedName>
    <definedName name="DUDE" localSheetId="3" hidden="1">#REF!</definedName>
    <definedName name="DUDE" localSheetId="5" hidden="1">#REF!</definedName>
    <definedName name="DUDE" hidden="1">#REF!</definedName>
    <definedName name="en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tra2" localSheetId="0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0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0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0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ERCJAMFactor" localSheetId="4">'[4]JAM Download'!$R$6:$R$2441</definedName>
    <definedName name="FERCJAMFactor" localSheetId="5">'[4]JAM Download'!$R$6:$R$2441</definedName>
    <definedName name="FERCJAMFactor">'JAM Download'!$R$6:$R$2441</definedName>
    <definedName name="fhfjhke" localSheetId="0" hidden="1">{0,#N/A,TRUE,0;0,#N/A,TRUE,0;0,#N/A,TRUE,0;0,#N/A,TRUE,0;0,#N/A,TRUE,0;0,#N/A,TRUE,0;0,#N/A,TRUE,0;0,#N/A,TRUE,0}</definedName>
    <definedName name="fhfjhke" hidden="1">{0,#N/A,TRUE,0;0,#N/A,TRUE,0;0,#N/A,TRUE,0;0,#N/A,TRUE,0;0,#N/A,TRUE,0;0,#N/A,TRUE,0;0,#N/A,TRUE,0;0,#N/A,TRUE,0}</definedName>
    <definedName name="fjljelj" localSheetId="0" hidden="1">{0,#N/A,TRUE,0;0,#N/A,TRUE,0;0,#N/A,TRUE,0;0,#N/A,TRUE,0;0,#N/A,TRUE,0;0,#N/A,TRUE,0;0,#N/A,TRUE,0;0,#N/A,TRUE,0}</definedName>
    <definedName name="fjljelj" hidden="1">{0,#N/A,TRUE,0;0,#N/A,TRUE,0;0,#N/A,TRUE,0;0,#N/A,TRUE,0;0,#N/A,TRUE,0;0,#N/A,TRUE,0;0,#N/A,TRUE,0;0,#N/A,TRUE,0}</definedName>
    <definedName name="foo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localSheetId="0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uncAllocOptions">'[4]Func Allocation Options'!$B$5:$F$2124</definedName>
    <definedName name="FuncFactors">'[4]Func Factors'!$A$11:$A$77</definedName>
    <definedName name="FuncFactorTbl">'[4]Func Factors'!$B$11:$G$77</definedName>
    <definedName name="FuncStudy">FuncStudy!$1:$1048576</definedName>
    <definedName name="Functions">'[4]Func Factors'!$B$10:$G$10</definedName>
    <definedName name="HROptim" localSheetId="0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inventory" localSheetId="0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MValue" localSheetId="4">'[4]JAM Download'!$S$6:$S$2441</definedName>
    <definedName name="JAMValue" localSheetId="5">'[4]JAM Download'!$S$6:$S$2441</definedName>
    <definedName name="JAMValue">'JAM Download'!$S$6:$S$2441</definedName>
    <definedName name="jfkejflj" localSheetId="0" hidden="1">{0,#N/A,TRUE,0;0,#N/A,TRUE,0;0,#N/A,TRUE,0;0,#N/A,TRUE,0;0,#N/A,TRUE,0;0,#N/A,TRUE,0;0,#N/A,TRUE,0;0,#N/A,TRUE,0}</definedName>
    <definedName name="jfkejflj" hidden="1">{0,#N/A,TRUE,0;0,#N/A,TRUE,0;0,#N/A,TRUE,0;0,#N/A,TRUE,0;0,#N/A,TRUE,0;0,#N/A,TRUE,0;0,#N/A,TRUE,0;0,#N/A,TRUE,0}</definedName>
    <definedName name="jfkjlllje" localSheetId="0" hidden="1">{0,#N/A,TRUE,0;0,#N/A,TRUE,0;0,#N/A,TRUE,0;0,#N/A,TRUE,0;0,#N/A,TRUE,0;0,#N/A,TRUE,0;0,#N/A,TRUE,0;0,#N/A,TRUE,0}</definedName>
    <definedName name="jfkjlllje" hidden="1">{0,#N/A,TRUE,0;0,#N/A,TRUE,0;0,#N/A,TRUE,0;0,#N/A,TRUE,0;0,#N/A,TRUE,0;0,#N/A,TRUE,0;0,#N/A,TRUE,0;0,#N/A,TRUE,0}</definedName>
    <definedName name="junk" localSheetId="0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0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0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0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0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0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Keep" localSheetId="0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0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imcount" hidden="1">1</definedName>
    <definedName name="ListOffset" hidden="1">1</definedName>
    <definedName name="Master" localSheetId="0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mm" localSheetId="0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new" localSheetId="0" hidden="1">{#N/A,#N/A,TRUE,"Section6";#N/A,#N/A,TRUE,"OHcycles";#N/A,#N/A,TRUE,"OHtiming";#N/A,#N/A,TRUE,"OHcosts";#N/A,#N/A,TRUE,"GTdegradation";#N/A,#N/A,TRUE,"GTperformance";#N/A,#N/A,TRUE,"GraphEquip"}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localSheetId="0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OHSch10YR" localSheetId="0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0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localSheetId="0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et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icingInfo" hidden="1">[5]Inputs!#REF!</definedName>
    <definedName name="_xlnm.Print_Area" localSheetId="0">Blocking!$B$1:$Z$2683</definedName>
    <definedName name="_xlnm.Print_Titles" localSheetId="0">Blocking!$1:$9</definedName>
    <definedName name="retail" localSheetId="0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0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rr" localSheetId="0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revision" hidden="1">1</definedName>
    <definedName name="SAPBEXsysID" hidden="1">"BWP"</definedName>
    <definedName name="SAPBEXwbID" hidden="1">"45EQYSCWE9WJMGB34OOD1BOQZ"</definedName>
    <definedName name="shit" localSheetId="0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olver_adj" localSheetId="0" hidden="1">Blocking!#REF!</definedName>
    <definedName name="solver_cvg" localSheetId="0" hidden="1">0.001</definedName>
    <definedName name="solver_drv" localSheetId="0" hidden="1">1</definedName>
    <definedName name="solver_est" localSheetId="0" hidden="1">1</definedName>
    <definedName name="solver_itr" localSheetId="0" hidden="1">100</definedName>
    <definedName name="solver_lin" localSheetId="0" hidden="1">2</definedName>
    <definedName name="solver_neg" localSheetId="0" hidden="1">2</definedName>
    <definedName name="solver_num" localSheetId="0" hidden="1">0</definedName>
    <definedName name="solver_nwt" localSheetId="0" hidden="1">1</definedName>
    <definedName name="solver_opt" localSheetId="0" hidden="1">Blocking!#REF!</definedName>
    <definedName name="solver_pre" localSheetId="0" hidden="1">0.000001</definedName>
    <definedName name="solver_scl" localSheetId="0" hidden="1">2</definedName>
    <definedName name="solver_sho" localSheetId="0" hidden="1">2</definedName>
    <definedName name="solver_tim" localSheetId="0" hidden="1">100</definedName>
    <definedName name="solver_tol" localSheetId="0" hidden="1">0.05</definedName>
    <definedName name="solver_typ" localSheetId="0" hidden="1">2</definedName>
    <definedName name="solver_val" localSheetId="0" hidden="1">0</definedName>
    <definedName name="SpecMaint" localSheetId="0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0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s" localSheetId="0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localSheetId="0" hidden="1">{"YTD-Total",#N/A,FALSE,"Provision"}</definedName>
    <definedName name="standard1" hidden="1">{"YTD-Total",#N/A,FALSE,"Provision"}</definedName>
    <definedName name="UnbundledCategories">FuncStudy!$91:$91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" localSheetId="0" hidden="1">[6]Inputs!#REF!</definedName>
    <definedName name="w" hidden="1">[6]Inputs!#REF!</definedName>
    <definedName name="wrn.1996._.Hydro._.5._.Year._.Forecast._.Budget.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localSheetId="0" hidden="1">{"Page 3.4.1",#N/A,FALSE,"Totals";"Page 3.4.2",#N/A,FALSE,"Totals"}</definedName>
    <definedName name="wrn.Adj._.Back_Up." hidden="1">{"Page 3.4.1",#N/A,FALSE,"Totals";"Page 3.4.2",#N/A,FALSE,"Totals"}</definedName>
    <definedName name="wrn.ALL." localSheetId="0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0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ut._.Syn._.and._.JE." localSheetId="0" hidden="1">{#N/A,#N/A,FALSE,"June 01 Mapping";#N/A,#N/A,FALSE,"June 01 conv";#N/A,#N/A,FALSE,"reclass";#N/A,#N/A,FALSE,"US FV";#N/A,#N/A,FALSE,"UK FV";#N/A,#N/A,FALSE,"UK GAAP"}</definedName>
    <definedName name="wrn.All._.but._.Syn._.and._.JE." hidden="1">{#N/A,#N/A,FALSE,"June 01 Mapping";#N/A,#N/A,FALSE,"June 01 conv";#N/A,#N/A,FALSE,"reclass";#N/A,#N/A,FALSE,"US FV";#N/A,#N/A,FALSE,"UK FV";#N/A,#N/A,FALSE,"UK GAAP"}</definedName>
    <definedName name="wrn.All._.ISs._.and._.JEs." localSheetId="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0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0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llocation._.factor." localSheetId="0" hidden="1">{#N/A,#N/A,TRUE,"11.1";#N/A,#N/A,TRUE,"11.2";#N/A,#N/A,TRUE,"11.3-.4";#N/A,#N/A,TRUE,"11.5-11.6";#N/A,#N/A,TRUE,"11.7-.10";#N/A,#N/A,TRUE,"11.11-11.22";#N/A,#N/A,TRUE,"11.23_ECD"}</definedName>
    <definedName name="wrn.Allocation._.factor." hidden="1">{#N/A,#N/A,TRUE,"11.1";#N/A,#N/A,TRUE,"11.2";#N/A,#N/A,TRUE,"11.3-.4";#N/A,#N/A,TRUE,"11.5-11.6";#N/A,#N/A,TRUE,"11.7-.10";#N/A,#N/A,TRUE,"11.11-11.22";#N/A,#N/A,TRUE,"11.23_ECD"}</definedName>
    <definedName name="wrn.BUS._.RPT.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0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0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ver." localSheetId="0" hidden="1">{#N/A,#N/A,TRUE,"Cover";#N/A,#N/A,TRUE,"Contents"}</definedName>
    <definedName name="wrn.Cover." hidden="1">{#N/A,#N/A,TRUE,"Cover";#N/A,#N/A,TRUE,"Contents"}</definedName>
    <definedName name="wrn.CoverContents." localSheetId="0" hidden="1">{#N/A,#N/A,FALSE,"Cover";#N/A,#N/A,FALSE,"Contents"}</definedName>
    <definedName name="wrn.CoverContents." hidden="1">{#N/A,#N/A,FALSE,"Cover";#N/A,#N/A,FALSE,"Contents"}</definedName>
    <definedName name="wrn.El._.Paso._.Offshore." localSheetId="0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xec._.Summary." localSheetId="0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0" hidden="1">{"FullView",#N/A,FALSE,"Consltd-For contngcy"}</definedName>
    <definedName name="wrn.Full._.View." hidden="1">{"FullView",#N/A,FALSE,"Consltd-For contngcy"}</definedName>
    <definedName name="wrn.GLReport." localSheetId="0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life.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new." localSheetId="0" hidden="1">{#N/A,#N/A,TRUE,"Filing Back-Up Pages_4.8.4-7";#N/A,#N/A,TRUE,"GI Back-up Page_4.8.8"}</definedName>
    <definedName name="wrn.new." hidden="1">{#N/A,#N/A,TRUE,"Filing Back-Up Pages_4.8.4-7";#N/A,#N/A,TRUE,"GI Back-up Page_4.8.8"}</definedName>
    <definedName name="wrn.om." localSheetId="0" hidden="1">{#N/A,#N/A,TRUE,"Detail Lead Sheet_4.8.1-3";#N/A,#N/A,TRUE,"Filing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localSheetId="0" hidden="1">{"Open issues Only",#N/A,FALSE,"TIMELINE"}</definedName>
    <definedName name="wrn.Open._.Issues._.Only." hidden="1">{"Open issues Only",#N/A,FALSE,"TIMELINE"}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regon._.Rate._.case." localSheetId="0" hidden="1">{#N/A,#N/A,TRUE,"10.1_Historical Cover Sheet";#N/A,#N/A,TRUE,"10.2-10.3_Historical";#N/A,#N/A,TRUE,"10.4_Historical";#N/A,#N/A,TRUE,"10.4.1_Historical";#N/A,#N/A,TRUE,"10.7-10.17_Historical"}</definedName>
    <definedName name="wrn.Oregon._.Rate._.case." hidden="1">{#N/A,#N/A,TRUE,"10.1_Historical Cover Sheet";#N/A,#N/A,TRUE,"10.2-10.3_Historical";#N/A,#N/A,TRUE,"10.4_Historical";#N/A,#N/A,TRUE,"10.4.1_Historical";#N/A,#N/A,TRUE,"10.7-10.17_Historical"}</definedName>
    <definedName name="wrn.pages.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0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0" hidden="1">{"PFS recon view",#N/A,FALSE,"Hyperion Proof"}</definedName>
    <definedName name="wrn.PFSreconview." hidden="1">{"PFS recon view",#N/A,FALSE,"Hyperion Proof"}</definedName>
    <definedName name="wrn.PGHCreconview." localSheetId="0" hidden="1">{"PGHC recon view",#N/A,FALSE,"Hyperion Proof"}</definedName>
    <definedName name="wrn.PGHCreconview." hidden="1">{"PGHC recon view",#N/A,FALSE,"Hyperion Proof"}</definedName>
    <definedName name="wrn.PHI._.all._.other._.months." localSheetId="0" hidden="1">{#N/A,#N/A,FALSE,"PHI MTD";#N/A,#N/A,FALSE,"PHI YTD"}</definedName>
    <definedName name="wrn.PHI._.all._.other._.months." hidden="1">{#N/A,#N/A,FALSE,"PHI MTD";#N/A,#N/A,FALSE,"PHI YTD"}</definedName>
    <definedName name="wrn.PHI._.only." localSheetId="0" hidden="1">{#N/A,#N/A,FALSE,"PHI"}</definedName>
    <definedName name="wrn.PHI._.only." hidden="1">{#N/A,#N/A,FALSE,"PHI"}</definedName>
    <definedName name="wrn.PHI._.Sept._.Dec._.March." localSheetId="0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0" hidden="1">{"PPM Co Code View",#N/A,FALSE,"Comp Codes"}</definedName>
    <definedName name="wrn.PPMCoCodeView." hidden="1">{"PPM Co Code View",#N/A,FALSE,"Comp Codes"}</definedName>
    <definedName name="wrn.PPMreconview." localSheetId="0" hidden="1">{"PPM Recon View",#N/A,FALSE,"Hyperion Proof"}</definedName>
    <definedName name="wrn.PPMreconview." hidden="1">{"PPM Recon View",#N/A,FALSE,"Hyperion Proof"}</definedName>
    <definedName name="wrn.print._.reports." localSheetId="0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0" hidden="1">{"DATA_SET",#N/A,FALSE,"HOURLY SPREAD"}</definedName>
    <definedName name="wrn.PRINT._.SOURCE._.DATA." hidden="1">{"DATA_SET",#N/A,FALSE,"HOURLY SPREAD"}</definedName>
    <definedName name="wrn.PrintHistory." localSheetId="0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0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ofElectricOnly." localSheetId="0" hidden="1">{"Electric Only",#N/A,FALSE,"Hyperion Proof"}</definedName>
    <definedName name="wrn.ProofElectricOnly." hidden="1">{"Electric Only",#N/A,FALSE,"Hyperion Proof"}</definedName>
    <definedName name="wrn.ProofTotal." localSheetId="0" hidden="1">{"Proof Total",#N/A,FALSE,"Hyperion Proof"}</definedName>
    <definedName name="wrn.ProofTotal." hidden="1">{"Proof Total",#N/A,FALSE,"Hyperion Proof"}</definedName>
    <definedName name="wrn.Reformat._.only." localSheetId="0" hidden="1">{#N/A,#N/A,FALSE,"Dec 1999 mapping"}</definedName>
    <definedName name="wrn.Reformat._.only." hidden="1">{#N/A,#N/A,FALSE,"Dec 1999 mapping"}</definedName>
    <definedName name="wrn.SALES._.VAR._.95._.BUDGET.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ction1." localSheetId="0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0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0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0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0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0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0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0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0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0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0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pt._.Dec._.March._.IS." localSheetId="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ponsorSection." localSheetId="0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localSheetId="0" hidden="1">{"YTD-Total",#N/A,FALSE,"Provision"}</definedName>
    <definedName name="wrn.Standard." hidden="1">{"YTD-Total",#N/A,FALSE,"Provision"}</definedName>
    <definedName name="wrn.Standard._.NonUtility._.Only." localSheetId="0" hidden="1">{"YTD-NonUtility",#N/A,FALSE,"Prov NonUtility"}</definedName>
    <definedName name="wrn.Standard._.NonUtility._.Only." hidden="1">{"YTD-NonUtility",#N/A,FALSE,"Prov NonUtility"}</definedName>
    <definedName name="wrn.Standard._.Utility._.Only." localSheetId="0" hidden="1">{"YTD-Utility",#N/A,FALSE,"Prov Utility"}</definedName>
    <definedName name="wrn.Standard._.Utility._.Only." hidden="1">{"YTD-Utility",#N/A,FALSE,"Prov Utility"}</definedName>
    <definedName name="wrn.Summary." localSheetId="0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.View." localSheetId="0" hidden="1">{#N/A,#N/A,FALSE,"Consltd-For contngcy"}</definedName>
    <definedName name="wrn.Summary._.View." hidden="1">{#N/A,#N/A,FALSE,"Consltd-For contngcy"}</definedName>
    <definedName name="wrn.test." localSheetId="0" hidden="1">{#N/A,#N/A,TRUE,"10.1_Historical Cover Sheet";#N/A,#N/A,TRUE,"10.2-10.3_Historical"}</definedName>
    <definedName name="wrn.test." hidden="1">{#N/A,#N/A,TRUE,"10.1_Historical Cover Sheet";#N/A,#N/A,TRUE,"10.2-10.3_Historical"}</definedName>
    <definedName name="wrn.Total._.Summary." localSheetId="0" hidden="1">{"Total Summary",#N/A,FALSE,"Summary"}</definedName>
    <definedName name="wrn.Total._.Summary." hidden="1">{"Total Summary",#N/A,FALSE,"Summary"}</definedName>
    <definedName name="wrn.UK._.Conversion._.Only." localSheetId="0" hidden="1">{#N/A,#N/A,FALSE,"Dec 1999 UK Continuing Ops"}</definedName>
    <definedName name="wrn.UK._.Conversion._.Only." hidden="1">{#N/A,#N/A,FALSE,"Dec 1999 UK Continuing Ops"}</definedName>
    <definedName name="wrn.YearEnd." localSheetId="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localSheetId="4" hidden="1">'[1]DSM Output'!$B$21:$B$23</definedName>
    <definedName name="y" localSheetId="3" hidden="1">'[1]DSM Output'!$B$21:$B$23</definedName>
    <definedName name="y" localSheetId="5" hidden="1">'[1]DSM Output'!$B$21:$B$23</definedName>
    <definedName name="y" hidden="1">'[2]DSM Output'!$B$21:$B$23</definedName>
    <definedName name="z" localSheetId="4" hidden="1">'[1]DSM Output'!$G$21:$G$23</definedName>
    <definedName name="z" localSheetId="3" hidden="1">'[1]DSM Output'!$G$21:$G$23</definedName>
    <definedName name="z" localSheetId="5" hidden="1">'[1]DSM Output'!$G$21:$G$23</definedName>
    <definedName name="z" hidden="1">'[2]DSM Output'!$G$21:$G$23</definedName>
    <definedName name="Z_01844156_6462_4A28_9785_1A86F4D0C834_.wvu.PrintTitles" localSheetId="0" hidden="1">#REF!</definedName>
    <definedName name="Z_01844156_6462_4A28_9785_1A86F4D0C834_.wvu.PrintTitles" hidden="1">#REF!</definedName>
  </definedNames>
  <calcPr calcId="152511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" i="1" l="1"/>
  <c r="O1" i="1"/>
  <c r="P1" i="1"/>
  <c r="Q1" i="1"/>
  <c r="N3" i="1"/>
  <c r="O3" i="1"/>
  <c r="P3" i="1"/>
  <c r="Q3" i="1"/>
  <c r="N4" i="1"/>
  <c r="O4" i="1"/>
  <c r="P4" i="1"/>
  <c r="Q4" i="1"/>
  <c r="N5" i="1"/>
  <c r="O5" i="1"/>
  <c r="P5" i="1"/>
  <c r="Q5" i="1"/>
  <c r="N6" i="1"/>
  <c r="O6" i="1"/>
  <c r="P6" i="1"/>
  <c r="Q6" i="1"/>
  <c r="N7" i="1"/>
  <c r="O7" i="1"/>
  <c r="P7" i="1"/>
  <c r="Q7" i="1"/>
  <c r="N8" i="1"/>
  <c r="O8" i="1"/>
  <c r="P8" i="1"/>
  <c r="Q8" i="1"/>
  <c r="N9" i="1"/>
  <c r="O9" i="1"/>
  <c r="P9" i="1"/>
  <c r="Q9" i="1"/>
  <c r="N10" i="1"/>
  <c r="O10" i="1"/>
  <c r="P10" i="1"/>
  <c r="Q10" i="1"/>
  <c r="N11" i="1"/>
  <c r="O11" i="1"/>
  <c r="P11" i="1"/>
  <c r="Q11" i="1"/>
  <c r="N12" i="1"/>
  <c r="N19" i="1" s="1"/>
  <c r="O12" i="1"/>
  <c r="P12" i="1"/>
  <c r="Q12" i="1"/>
  <c r="N13" i="1"/>
  <c r="O13" i="1"/>
  <c r="P13" i="1"/>
  <c r="Q13" i="1"/>
  <c r="N18" i="1"/>
  <c r="N22" i="1"/>
  <c r="L1" i="1"/>
  <c r="M1" i="1"/>
  <c r="L3" i="1"/>
  <c r="M3" i="1"/>
  <c r="L4" i="1"/>
  <c r="M4" i="1"/>
  <c r="L5" i="1"/>
  <c r="M5" i="1"/>
  <c r="L6" i="1"/>
  <c r="M6" i="1"/>
  <c r="L7" i="1"/>
  <c r="M7" i="1"/>
  <c r="L8" i="1"/>
  <c r="M8" i="1"/>
  <c r="L9" i="1"/>
  <c r="M9" i="1"/>
  <c r="L10" i="1"/>
  <c r="M10" i="1"/>
  <c r="L11" i="1"/>
  <c r="M11" i="1"/>
  <c r="L12" i="1"/>
  <c r="M12" i="1"/>
  <c r="L13" i="1"/>
  <c r="M13" i="1"/>
  <c r="O24" i="1" l="1"/>
  <c r="O22" i="1"/>
  <c r="O29" i="1" s="1"/>
  <c r="O23" i="1"/>
  <c r="O27" i="1" s="1"/>
  <c r="P22" i="1"/>
  <c r="O18" i="1"/>
  <c r="O15" i="1"/>
  <c r="Q22" i="1"/>
  <c r="Q24" i="1"/>
  <c r="P24" i="1"/>
  <c r="N24" i="1"/>
  <c r="Q15" i="1"/>
  <c r="P18" i="1"/>
  <c r="P15" i="1"/>
  <c r="Q23" i="1"/>
  <c r="P19" i="1"/>
  <c r="P23" i="1"/>
  <c r="N15" i="1"/>
  <c r="Q19" i="1"/>
  <c r="P17" i="1"/>
  <c r="O19" i="1"/>
  <c r="O17" i="1"/>
  <c r="Q18" i="1"/>
  <c r="Q17" i="1"/>
  <c r="N23" i="1"/>
  <c r="N17" i="1"/>
  <c r="N33" i="1" s="1"/>
  <c r="L18" i="1"/>
  <c r="L19" i="1"/>
  <c r="L15" i="1"/>
  <c r="M24" i="1"/>
  <c r="M23" i="1"/>
  <c r="L23" i="1"/>
  <c r="M19" i="1"/>
  <c r="M17" i="1"/>
  <c r="L24" i="1"/>
  <c r="L17" i="1"/>
  <c r="M22" i="1"/>
  <c r="M18" i="1"/>
  <c r="M15" i="1"/>
  <c r="L22" i="1"/>
  <c r="P33" i="1" l="1"/>
  <c r="O25" i="1"/>
  <c r="O28" i="1"/>
  <c r="P25" i="1"/>
  <c r="Q29" i="1"/>
  <c r="Q33" i="1"/>
  <c r="P27" i="1"/>
  <c r="P28" i="1"/>
  <c r="Q31" i="1"/>
  <c r="N28" i="1"/>
  <c r="Q32" i="1"/>
  <c r="Q25" i="1"/>
  <c r="Q28" i="1"/>
  <c r="O20" i="1"/>
  <c r="Q27" i="1"/>
  <c r="P29" i="1"/>
  <c r="O33" i="1"/>
  <c r="P32" i="1"/>
  <c r="P20" i="1"/>
  <c r="L27" i="1"/>
  <c r="L25" i="1"/>
  <c r="O31" i="1"/>
  <c r="M25" i="1"/>
  <c r="P31" i="1"/>
  <c r="N25" i="1"/>
  <c r="L31" i="1"/>
  <c r="L20" i="1"/>
  <c r="L32" i="1"/>
  <c r="M31" i="1"/>
  <c r="M20" i="1"/>
  <c r="N31" i="1"/>
  <c r="N20" i="1"/>
  <c r="Q20" i="1"/>
  <c r="O32" i="1"/>
  <c r="N29" i="1"/>
  <c r="N32" i="1"/>
  <c r="N27" i="1"/>
  <c r="M27" i="1"/>
  <c r="M33" i="1"/>
  <c r="M32" i="1"/>
  <c r="L33" i="1"/>
  <c r="L29" i="1"/>
  <c r="L28" i="1"/>
  <c r="M28" i="1"/>
  <c r="M29" i="1"/>
  <c r="G1" i="1" l="1"/>
  <c r="H1" i="1"/>
  <c r="I1" i="1"/>
  <c r="J1" i="1"/>
  <c r="K1" i="1"/>
  <c r="F1" i="1"/>
  <c r="G3" i="1"/>
  <c r="H3" i="1"/>
  <c r="I3" i="1"/>
  <c r="J3" i="1"/>
  <c r="K3" i="1"/>
  <c r="G4" i="1"/>
  <c r="H4" i="1"/>
  <c r="I4" i="1"/>
  <c r="J4" i="1"/>
  <c r="K4" i="1"/>
  <c r="G5" i="1"/>
  <c r="H5" i="1"/>
  <c r="I5" i="1"/>
  <c r="J5" i="1"/>
  <c r="K5" i="1"/>
  <c r="G6" i="1"/>
  <c r="H6" i="1"/>
  <c r="I6" i="1"/>
  <c r="J6" i="1"/>
  <c r="K6" i="1"/>
  <c r="G7" i="1"/>
  <c r="H7" i="1"/>
  <c r="I7" i="1"/>
  <c r="J7" i="1"/>
  <c r="K7" i="1"/>
  <c r="G8" i="1"/>
  <c r="H8" i="1"/>
  <c r="I8" i="1"/>
  <c r="J8" i="1"/>
  <c r="K8" i="1"/>
  <c r="G9" i="1"/>
  <c r="H9" i="1"/>
  <c r="I9" i="1"/>
  <c r="J9" i="1"/>
  <c r="K9" i="1"/>
  <c r="G10" i="1"/>
  <c r="H10" i="1"/>
  <c r="I10" i="1"/>
  <c r="J10" i="1"/>
  <c r="K10" i="1"/>
  <c r="G11" i="1"/>
  <c r="H11" i="1"/>
  <c r="I11" i="1"/>
  <c r="J11" i="1"/>
  <c r="K11" i="1"/>
  <c r="G12" i="1"/>
  <c r="H12" i="1"/>
  <c r="I12" i="1"/>
  <c r="J12" i="1"/>
  <c r="K12" i="1"/>
  <c r="G13" i="1"/>
  <c r="H13" i="1"/>
  <c r="I13" i="1"/>
  <c r="J13" i="1"/>
  <c r="K13" i="1"/>
  <c r="K22" i="1" l="1"/>
  <c r="G24" i="1"/>
  <c r="G19" i="1"/>
  <c r="J22" i="1"/>
  <c r="G15" i="1"/>
  <c r="G17" i="1"/>
  <c r="G23" i="1"/>
  <c r="H23" i="1"/>
  <c r="H15" i="1"/>
  <c r="H17" i="1"/>
  <c r="I22" i="1"/>
  <c r="K18" i="1"/>
  <c r="H22" i="1"/>
  <c r="J18" i="1"/>
  <c r="G22" i="1"/>
  <c r="K19" i="1"/>
  <c r="K33" i="1" s="1"/>
  <c r="K24" i="1"/>
  <c r="I18" i="1"/>
  <c r="K23" i="1"/>
  <c r="K15" i="1"/>
  <c r="K17" i="1"/>
  <c r="H19" i="1"/>
  <c r="H24" i="1"/>
  <c r="J19" i="1"/>
  <c r="J24" i="1"/>
  <c r="H18" i="1"/>
  <c r="J17" i="1"/>
  <c r="J15" i="1"/>
  <c r="J23" i="1"/>
  <c r="I24" i="1"/>
  <c r="I19" i="1"/>
  <c r="G18" i="1"/>
  <c r="I23" i="1"/>
  <c r="I15" i="1"/>
  <c r="I17" i="1"/>
  <c r="J33" i="1" l="1"/>
  <c r="G25" i="1"/>
  <c r="H33" i="1"/>
  <c r="G32" i="1"/>
  <c r="K29" i="1"/>
  <c r="K20" i="1"/>
  <c r="K25" i="1"/>
  <c r="G20" i="1"/>
  <c r="H25" i="1"/>
  <c r="J25" i="1"/>
  <c r="I31" i="1"/>
  <c r="I20" i="1"/>
  <c r="J20" i="1"/>
  <c r="I25" i="1"/>
  <c r="H32" i="1"/>
  <c r="H20" i="1"/>
  <c r="H28" i="1"/>
  <c r="I33" i="1"/>
  <c r="I29" i="1"/>
  <c r="J32" i="1"/>
  <c r="G31" i="1"/>
  <c r="K31" i="1"/>
  <c r="K32" i="1"/>
  <c r="J27" i="1"/>
  <c r="J31" i="1"/>
  <c r="K28" i="1"/>
  <c r="G33" i="1"/>
  <c r="I32" i="1"/>
  <c r="H31" i="1"/>
  <c r="G29" i="1"/>
  <c r="G27" i="1"/>
  <c r="G28" i="1"/>
  <c r="H29" i="1"/>
  <c r="J28" i="1"/>
  <c r="H27" i="1"/>
  <c r="I27" i="1"/>
  <c r="I28" i="1"/>
  <c r="J29" i="1"/>
  <c r="K27" i="1"/>
  <c r="Z2679" i="12" l="1"/>
  <c r="X2679" i="12"/>
  <c r="T2679" i="12"/>
  <c r="I2674" i="12"/>
  <c r="I2673" i="12"/>
  <c r="I2672" i="12"/>
  <c r="I2671" i="12"/>
  <c r="I2670" i="12"/>
  <c r="E2667" i="12"/>
  <c r="I2666" i="12"/>
  <c r="D2666" i="12"/>
  <c r="D2665" i="12"/>
  <c r="I2663" i="12"/>
  <c r="D2662" i="12"/>
  <c r="E2661" i="12"/>
  <c r="D2661" i="12"/>
  <c r="E2658" i="12"/>
  <c r="I2657" i="12"/>
  <c r="D2657" i="12"/>
  <c r="D2656" i="12"/>
  <c r="D2654" i="12"/>
  <c r="I2653" i="12"/>
  <c r="E2652" i="12"/>
  <c r="D2652" i="12"/>
  <c r="J2648" i="12"/>
  <c r="I2648" i="12"/>
  <c r="E2648" i="12"/>
  <c r="E2640" i="12"/>
  <c r="J2639" i="12"/>
  <c r="I2639" i="12"/>
  <c r="D2639" i="12"/>
  <c r="J2637" i="12"/>
  <c r="Z2637" i="12" s="1"/>
  <c r="I2637" i="12"/>
  <c r="E2637" i="12"/>
  <c r="D2637" i="12"/>
  <c r="E2636" i="12"/>
  <c r="AD2633" i="12"/>
  <c r="AC2633" i="12"/>
  <c r="AB2633" i="12"/>
  <c r="P2632" i="12"/>
  <c r="P2631" i="12"/>
  <c r="D2629" i="12"/>
  <c r="D2627" i="12"/>
  <c r="AC2626" i="12"/>
  <c r="E2626" i="12"/>
  <c r="AD2623" i="12"/>
  <c r="AC2623" i="12"/>
  <c r="AB2623" i="12"/>
  <c r="E2623" i="12"/>
  <c r="P2622" i="12"/>
  <c r="P2621" i="12"/>
  <c r="D2618" i="12"/>
  <c r="D2617" i="12"/>
  <c r="D2615" i="12"/>
  <c r="AC2614" i="12"/>
  <c r="D2614" i="12"/>
  <c r="I2613" i="12"/>
  <c r="E2613" i="12"/>
  <c r="J2610" i="12"/>
  <c r="E2610" i="12"/>
  <c r="I2605" i="12"/>
  <c r="D2605" i="12"/>
  <c r="P2603" i="12"/>
  <c r="P2602" i="12"/>
  <c r="E2601" i="12"/>
  <c r="D2601" i="12"/>
  <c r="E2600" i="12"/>
  <c r="D2600" i="12"/>
  <c r="E2599" i="12"/>
  <c r="D2599" i="12"/>
  <c r="E2598" i="12"/>
  <c r="D2598" i="12"/>
  <c r="E2597" i="12"/>
  <c r="D2597" i="12"/>
  <c r="L2596" i="12"/>
  <c r="L2595" i="12"/>
  <c r="L2594" i="12"/>
  <c r="L2593" i="12"/>
  <c r="P2592" i="12"/>
  <c r="P2591" i="12"/>
  <c r="P2590" i="12"/>
  <c r="E2590" i="12"/>
  <c r="D2590" i="12"/>
  <c r="R2586" i="12"/>
  <c r="E2586" i="12"/>
  <c r="D2586" i="12"/>
  <c r="E2585" i="12"/>
  <c r="D2585" i="12"/>
  <c r="E2584" i="12"/>
  <c r="D2584" i="12"/>
  <c r="J2582" i="12"/>
  <c r="J2581" i="12"/>
  <c r="J2579" i="12"/>
  <c r="J2578" i="12"/>
  <c r="J2576" i="12"/>
  <c r="J2575" i="12"/>
  <c r="J2573" i="12"/>
  <c r="J2572" i="12"/>
  <c r="R2570" i="12"/>
  <c r="R2569" i="12"/>
  <c r="R2567" i="12"/>
  <c r="R2566" i="12"/>
  <c r="R2564" i="12"/>
  <c r="R2563" i="12"/>
  <c r="R2561" i="12"/>
  <c r="R2560" i="12"/>
  <c r="R2558" i="12"/>
  <c r="R2557" i="12"/>
  <c r="L2554" i="12"/>
  <c r="E2554" i="12"/>
  <c r="D2554" i="12"/>
  <c r="V2553" i="12"/>
  <c r="L2553" i="12"/>
  <c r="J2553" i="12"/>
  <c r="V2552" i="12"/>
  <c r="L2552" i="12"/>
  <c r="J2552" i="12"/>
  <c r="V2551" i="12"/>
  <c r="L2551" i="12"/>
  <c r="J2551" i="12"/>
  <c r="V2550" i="12"/>
  <c r="L2550" i="12"/>
  <c r="J2550" i="12"/>
  <c r="E2548" i="12"/>
  <c r="D2548" i="12"/>
  <c r="E2547" i="12"/>
  <c r="D2547" i="12"/>
  <c r="E2545" i="12"/>
  <c r="D2545" i="12"/>
  <c r="AC2544" i="12"/>
  <c r="J2544" i="12"/>
  <c r="J2543" i="12"/>
  <c r="E2539" i="12"/>
  <c r="I2538" i="12"/>
  <c r="D2538" i="12"/>
  <c r="P2536" i="12"/>
  <c r="P2535" i="12"/>
  <c r="D2534" i="12"/>
  <c r="D2533" i="12"/>
  <c r="D2532" i="12"/>
  <c r="D2531" i="12"/>
  <c r="D2530" i="12"/>
  <c r="D2523" i="12"/>
  <c r="P2521" i="12"/>
  <c r="P2520" i="12"/>
  <c r="J2519" i="12"/>
  <c r="I2519" i="12"/>
  <c r="J2518" i="12"/>
  <c r="I2518" i="12"/>
  <c r="J2517" i="12"/>
  <c r="I2517" i="12"/>
  <c r="J2516" i="12"/>
  <c r="I2516" i="12"/>
  <c r="J2515" i="12"/>
  <c r="I2515" i="12"/>
  <c r="J2514" i="12"/>
  <c r="I2514" i="12"/>
  <c r="J2507" i="12"/>
  <c r="I2507" i="12"/>
  <c r="D2503" i="12"/>
  <c r="D2502" i="12"/>
  <c r="D2500" i="12"/>
  <c r="D2499" i="12"/>
  <c r="D2497" i="12"/>
  <c r="D2496" i="12"/>
  <c r="P2494" i="12"/>
  <c r="P2493" i="12"/>
  <c r="P2491" i="12"/>
  <c r="P2490" i="12"/>
  <c r="P2488" i="12"/>
  <c r="P2487" i="12"/>
  <c r="D2484" i="12"/>
  <c r="E2483" i="12"/>
  <c r="D2483" i="12"/>
  <c r="J2481" i="12"/>
  <c r="I2481" i="12"/>
  <c r="J2480" i="12"/>
  <c r="I2480" i="12"/>
  <c r="J2478" i="12"/>
  <c r="I2478" i="12"/>
  <c r="J2477" i="12"/>
  <c r="I2477" i="12"/>
  <c r="J2475" i="12"/>
  <c r="I2475" i="12"/>
  <c r="J2474" i="12"/>
  <c r="I2474" i="12"/>
  <c r="X2472" i="12"/>
  <c r="P2472" i="12"/>
  <c r="X2471" i="12"/>
  <c r="P2471" i="12"/>
  <c r="P2469" i="12"/>
  <c r="X2469" i="12" s="1"/>
  <c r="P2468" i="12"/>
  <c r="X2468" i="12" s="1"/>
  <c r="P2466" i="12"/>
  <c r="X2466" i="12" s="1"/>
  <c r="P2465" i="12"/>
  <c r="X2465" i="12" s="1"/>
  <c r="J2462" i="12"/>
  <c r="I2462" i="12"/>
  <c r="J2461" i="12"/>
  <c r="I2461" i="12"/>
  <c r="J2459" i="12"/>
  <c r="I2459" i="12"/>
  <c r="J2458" i="12"/>
  <c r="I2458" i="12"/>
  <c r="J2456" i="12"/>
  <c r="I2456" i="12"/>
  <c r="J2455" i="12"/>
  <c r="I2455" i="12"/>
  <c r="J2453" i="12"/>
  <c r="I2453" i="12"/>
  <c r="J2452" i="12"/>
  <c r="I2452" i="12"/>
  <c r="X2450" i="12"/>
  <c r="P2450" i="12"/>
  <c r="X2449" i="12"/>
  <c r="P2449" i="12"/>
  <c r="X2447" i="12"/>
  <c r="P2447" i="12"/>
  <c r="X2446" i="12"/>
  <c r="P2446" i="12"/>
  <c r="X2444" i="12"/>
  <c r="P2444" i="12"/>
  <c r="P2443" i="12"/>
  <c r="X2443" i="12" s="1"/>
  <c r="J2440" i="12"/>
  <c r="I2440" i="12"/>
  <c r="J2439" i="12"/>
  <c r="I2439" i="12"/>
  <c r="E2435" i="12"/>
  <c r="I2434" i="12"/>
  <c r="D2434" i="12"/>
  <c r="P2432" i="12"/>
  <c r="P2431" i="12"/>
  <c r="D2430" i="12"/>
  <c r="D2429" i="12"/>
  <c r="D2428" i="12"/>
  <c r="D2427" i="12"/>
  <c r="D2426" i="12"/>
  <c r="D2419" i="12"/>
  <c r="P2417" i="12"/>
  <c r="P2416" i="12"/>
  <c r="D2415" i="12"/>
  <c r="D2414" i="12"/>
  <c r="D2413" i="12"/>
  <c r="D2412" i="12"/>
  <c r="D2308" i="12" s="1"/>
  <c r="D2411" i="12"/>
  <c r="D2307" i="12" s="1"/>
  <c r="D2410" i="12"/>
  <c r="D2306" i="12" s="1"/>
  <c r="D2403" i="12"/>
  <c r="D2399" i="12"/>
  <c r="D2398" i="12"/>
  <c r="D2396" i="12"/>
  <c r="D2395" i="12"/>
  <c r="D2291" i="12" s="1"/>
  <c r="D2393" i="12"/>
  <c r="D2392" i="12"/>
  <c r="P2390" i="12"/>
  <c r="P2389" i="12"/>
  <c r="P2387" i="12"/>
  <c r="P2386" i="12"/>
  <c r="P2384" i="12"/>
  <c r="P2383" i="12"/>
  <c r="D2380" i="12"/>
  <c r="D2379" i="12"/>
  <c r="D2377" i="12"/>
  <c r="D2376" i="12"/>
  <c r="D2374" i="12"/>
  <c r="D2373" i="12"/>
  <c r="D2371" i="12"/>
  <c r="D2370" i="12"/>
  <c r="P2368" i="12"/>
  <c r="P2367" i="12"/>
  <c r="P2365" i="12"/>
  <c r="P2364" i="12"/>
  <c r="P2362" i="12"/>
  <c r="P2361" i="12"/>
  <c r="D2358" i="12"/>
  <c r="D2357" i="12"/>
  <c r="J2355" i="12"/>
  <c r="I2355" i="12"/>
  <c r="J2354" i="12"/>
  <c r="I2354" i="12"/>
  <c r="J2352" i="12"/>
  <c r="I2352" i="12"/>
  <c r="J2351" i="12"/>
  <c r="I2351" i="12"/>
  <c r="J2349" i="12"/>
  <c r="I2349" i="12"/>
  <c r="J2348" i="12"/>
  <c r="I2348" i="12"/>
  <c r="X2346" i="12"/>
  <c r="P2346" i="12"/>
  <c r="P2345" i="12"/>
  <c r="X2345" i="12" s="1"/>
  <c r="P2343" i="12"/>
  <c r="P2342" i="12"/>
  <c r="AA2340" i="12"/>
  <c r="P2340" i="12"/>
  <c r="X2340" i="12" s="1"/>
  <c r="AA2339" i="12"/>
  <c r="X2339" i="12"/>
  <c r="P2339" i="12"/>
  <c r="J2336" i="12"/>
  <c r="I2336" i="12"/>
  <c r="J2335" i="12"/>
  <c r="I2335" i="12"/>
  <c r="AD2331" i="12"/>
  <c r="AC2331" i="12"/>
  <c r="AB2331" i="12"/>
  <c r="J2330" i="12"/>
  <c r="E2330" i="12"/>
  <c r="P2328" i="12"/>
  <c r="P2327" i="12"/>
  <c r="L2321" i="12"/>
  <c r="L2529" i="12" s="1"/>
  <c r="L2320" i="12"/>
  <c r="L2319" i="12"/>
  <c r="L2318" i="12"/>
  <c r="P2317" i="12"/>
  <c r="P2316" i="12"/>
  <c r="P2420" i="12" s="1"/>
  <c r="P2315" i="12"/>
  <c r="P2523" i="12" s="1"/>
  <c r="P2313" i="12"/>
  <c r="P2312" i="12"/>
  <c r="P2308" i="12"/>
  <c r="P2516" i="12" s="1"/>
  <c r="X2516" i="12" s="1"/>
  <c r="N2308" i="12"/>
  <c r="N2516" i="12" s="1"/>
  <c r="V2516" i="12" s="1"/>
  <c r="L2305" i="12"/>
  <c r="L2513" i="12" s="1"/>
  <c r="T2513" i="12" s="1"/>
  <c r="L2304" i="12"/>
  <c r="L2303" i="12"/>
  <c r="L2302" i="12"/>
  <c r="P2301" i="12"/>
  <c r="P2300" i="12"/>
  <c r="P2299" i="12"/>
  <c r="N2299" i="12"/>
  <c r="N2403" i="12" s="1"/>
  <c r="E2251" i="12"/>
  <c r="J2251" i="12" s="1"/>
  <c r="D2251" i="12"/>
  <c r="I2251" i="12" s="1"/>
  <c r="J2250" i="12"/>
  <c r="E2250" i="12"/>
  <c r="D2250" i="12"/>
  <c r="I2250" i="12" s="1"/>
  <c r="E2248" i="12"/>
  <c r="J2248" i="12" s="1"/>
  <c r="D2248" i="12"/>
  <c r="I2248" i="12" s="1"/>
  <c r="E2247" i="12"/>
  <c r="J2247" i="12" s="1"/>
  <c r="D2247" i="12"/>
  <c r="I2247" i="12" s="1"/>
  <c r="E2245" i="12"/>
  <c r="J2245" i="12" s="1"/>
  <c r="D2245" i="12"/>
  <c r="I2245" i="12" s="1"/>
  <c r="E2244" i="12"/>
  <c r="J2244" i="12" s="1"/>
  <c r="D2244" i="12"/>
  <c r="I2244" i="12" s="1"/>
  <c r="E2242" i="12"/>
  <c r="D2242" i="12"/>
  <c r="E2241" i="12"/>
  <c r="D2241" i="12"/>
  <c r="X2239" i="12"/>
  <c r="E2239" i="12"/>
  <c r="D2239" i="12"/>
  <c r="E2238" i="12"/>
  <c r="X2238" i="12" s="1"/>
  <c r="D2238" i="12"/>
  <c r="E2236" i="12"/>
  <c r="D2236" i="12"/>
  <c r="X2235" i="12"/>
  <c r="E2235" i="12"/>
  <c r="D2235" i="12"/>
  <c r="AC2232" i="12"/>
  <c r="E2232" i="12"/>
  <c r="D2232" i="12"/>
  <c r="I2232" i="12" s="1"/>
  <c r="E2231" i="12"/>
  <c r="J2231" i="12" s="1"/>
  <c r="D2231" i="12"/>
  <c r="E2227" i="12"/>
  <c r="P2226" i="12"/>
  <c r="P2225" i="12"/>
  <c r="I2224" i="12"/>
  <c r="D2224" i="12"/>
  <c r="D2223" i="12"/>
  <c r="D2222" i="12"/>
  <c r="D2221" i="12"/>
  <c r="I2221" i="12" s="1"/>
  <c r="D2220" i="12"/>
  <c r="D2219" i="12"/>
  <c r="D2218" i="12"/>
  <c r="D2217" i="12"/>
  <c r="D2216" i="12"/>
  <c r="D2215" i="12"/>
  <c r="D2214" i="12"/>
  <c r="D2213" i="12"/>
  <c r="D2212" i="12"/>
  <c r="D2211" i="12"/>
  <c r="D2210" i="12"/>
  <c r="P2209" i="12"/>
  <c r="N2209" i="12"/>
  <c r="D2209" i="12"/>
  <c r="I2208" i="12"/>
  <c r="E2207" i="12"/>
  <c r="D2207" i="12"/>
  <c r="E2204" i="12"/>
  <c r="P2203" i="12"/>
  <c r="P2202" i="12"/>
  <c r="I2201" i="12"/>
  <c r="D2201" i="12"/>
  <c r="D2200" i="12"/>
  <c r="D2199" i="12"/>
  <c r="D2198" i="12"/>
  <c r="D2197" i="12"/>
  <c r="D2196" i="12"/>
  <c r="D2195" i="12"/>
  <c r="D2194" i="12"/>
  <c r="D2193" i="12"/>
  <c r="D2192" i="12"/>
  <c r="D2191" i="12"/>
  <c r="D2190" i="12"/>
  <c r="D2189" i="12"/>
  <c r="D2188" i="12"/>
  <c r="D2187" i="12"/>
  <c r="R2186" i="12"/>
  <c r="P2186" i="12"/>
  <c r="N2186" i="12"/>
  <c r="D2186" i="12"/>
  <c r="I2185" i="12"/>
  <c r="E2184" i="12"/>
  <c r="D2184" i="12"/>
  <c r="P2180" i="12"/>
  <c r="P2179" i="12"/>
  <c r="Z2178" i="12"/>
  <c r="J2178" i="12"/>
  <c r="E2178" i="12"/>
  <c r="R2163" i="12"/>
  <c r="L2163" i="12" s="1"/>
  <c r="D2162" i="12"/>
  <c r="E2158" i="12"/>
  <c r="P2157" i="12"/>
  <c r="P2156" i="12"/>
  <c r="I2155" i="12"/>
  <c r="D2155" i="12"/>
  <c r="D2154" i="12"/>
  <c r="D2153" i="12"/>
  <c r="I2153" i="12" s="1"/>
  <c r="D2152" i="12"/>
  <c r="D2151" i="12"/>
  <c r="D2150" i="12"/>
  <c r="D2149" i="12"/>
  <c r="D2148" i="12"/>
  <c r="D2147" i="12"/>
  <c r="D2146" i="12"/>
  <c r="D2145" i="12"/>
  <c r="D2144" i="12"/>
  <c r="D2143" i="12"/>
  <c r="D2142" i="12"/>
  <c r="D2141" i="12"/>
  <c r="I2140" i="12"/>
  <c r="E2139" i="12"/>
  <c r="D2139" i="12"/>
  <c r="E2136" i="12"/>
  <c r="P2135" i="12"/>
  <c r="P2134" i="12"/>
  <c r="I2133" i="12"/>
  <c r="D2133" i="12"/>
  <c r="D2132" i="12"/>
  <c r="D2131" i="12"/>
  <c r="D2130" i="12"/>
  <c r="D2129" i="12"/>
  <c r="D2128" i="12"/>
  <c r="D2127" i="12"/>
  <c r="D2126" i="12"/>
  <c r="D2125" i="12"/>
  <c r="D2124" i="12"/>
  <c r="D2123" i="12"/>
  <c r="D2122" i="12"/>
  <c r="D2121" i="12"/>
  <c r="D2120" i="12"/>
  <c r="D2119" i="12"/>
  <c r="I2118" i="12"/>
  <c r="E2117" i="12"/>
  <c r="D2117" i="12"/>
  <c r="E2114" i="12"/>
  <c r="P2113" i="12"/>
  <c r="P2112" i="12"/>
  <c r="I2111" i="12"/>
  <c r="D2111" i="12"/>
  <c r="D2110" i="12"/>
  <c r="D2109" i="12"/>
  <c r="D2108" i="12"/>
  <c r="D2107" i="12"/>
  <c r="D2106" i="12"/>
  <c r="D2105" i="12"/>
  <c r="D2104" i="12"/>
  <c r="D2103" i="12"/>
  <c r="D2102" i="12"/>
  <c r="D2101" i="12"/>
  <c r="D2100" i="12"/>
  <c r="D2099" i="12"/>
  <c r="D2098" i="12"/>
  <c r="D2097" i="12"/>
  <c r="I2096" i="12"/>
  <c r="E2095" i="12"/>
  <c r="D2095" i="12"/>
  <c r="P2091" i="12"/>
  <c r="P2090" i="12"/>
  <c r="Z2089" i="12"/>
  <c r="J2089" i="12"/>
  <c r="E2089" i="12"/>
  <c r="D2074" i="12"/>
  <c r="E2070" i="12"/>
  <c r="D2069" i="12"/>
  <c r="P2068" i="12"/>
  <c r="P2067" i="12"/>
  <c r="I2066" i="12"/>
  <c r="D2066" i="12"/>
  <c r="N2065" i="12"/>
  <c r="D2065" i="12"/>
  <c r="D2064" i="12"/>
  <c r="D2063" i="12"/>
  <c r="D2062" i="12"/>
  <c r="D2061" i="12"/>
  <c r="D2060" i="12"/>
  <c r="D2059" i="12"/>
  <c r="D2058" i="12"/>
  <c r="D2057" i="12"/>
  <c r="D2056" i="12"/>
  <c r="D2055" i="12"/>
  <c r="D2054" i="12"/>
  <c r="D2053" i="12"/>
  <c r="D2052" i="12"/>
  <c r="D2051" i="12"/>
  <c r="I2050" i="12"/>
  <c r="E2049" i="12"/>
  <c r="D2049" i="12"/>
  <c r="E2046" i="12"/>
  <c r="D2045" i="12"/>
  <c r="P2044" i="12"/>
  <c r="P2043" i="12"/>
  <c r="I2042" i="12"/>
  <c r="D2042" i="12"/>
  <c r="N2041" i="12"/>
  <c r="D2041" i="12"/>
  <c r="D2040" i="12"/>
  <c r="D2039" i="12"/>
  <c r="D2038" i="12"/>
  <c r="D2037" i="12"/>
  <c r="D2036" i="12"/>
  <c r="D2035" i="12"/>
  <c r="D2034" i="12"/>
  <c r="D2033" i="12"/>
  <c r="D2032" i="12"/>
  <c r="D2031" i="12"/>
  <c r="D2030" i="12"/>
  <c r="D2029" i="12"/>
  <c r="D2028" i="12"/>
  <c r="D2027" i="12"/>
  <c r="I2026" i="12"/>
  <c r="E2025" i="12"/>
  <c r="D2025" i="12"/>
  <c r="E2022" i="12"/>
  <c r="D2021" i="12"/>
  <c r="P2020" i="12"/>
  <c r="P2019" i="12"/>
  <c r="I2018" i="12"/>
  <c r="D2018" i="12"/>
  <c r="N2017" i="12"/>
  <c r="D2017" i="12"/>
  <c r="D2016" i="12"/>
  <c r="D2015" i="12"/>
  <c r="D2014" i="12"/>
  <c r="D2013" i="12"/>
  <c r="D2012" i="12"/>
  <c r="D2011" i="12"/>
  <c r="D2010" i="12"/>
  <c r="D2009" i="12"/>
  <c r="D2008" i="12"/>
  <c r="D2007" i="12"/>
  <c r="D2006" i="12"/>
  <c r="D2005" i="12"/>
  <c r="D2004" i="12"/>
  <c r="D2003" i="12"/>
  <c r="I2002" i="12"/>
  <c r="E2001" i="12"/>
  <c r="D2001" i="12"/>
  <c r="AD1998" i="12"/>
  <c r="AC1998" i="12"/>
  <c r="AB1998" i="12"/>
  <c r="P1996" i="12"/>
  <c r="P1995" i="12"/>
  <c r="AB1994" i="12"/>
  <c r="J1994" i="12"/>
  <c r="E1994" i="12"/>
  <c r="R1993" i="12"/>
  <c r="R2017" i="12" s="1"/>
  <c r="R1988" i="12"/>
  <c r="R2036" i="12" s="1"/>
  <c r="AC1985" i="12"/>
  <c r="AC1978" i="12"/>
  <c r="D1978" i="12"/>
  <c r="Z1974" i="12"/>
  <c r="X1974" i="12"/>
  <c r="V1974" i="12"/>
  <c r="T1974" i="12"/>
  <c r="P1973" i="12"/>
  <c r="P1972" i="12"/>
  <c r="E1935" i="12"/>
  <c r="I1931" i="12"/>
  <c r="D1931" i="12"/>
  <c r="D1930" i="12"/>
  <c r="D1929" i="12"/>
  <c r="D1928" i="12"/>
  <c r="D1927" i="12"/>
  <c r="D1922" i="12"/>
  <c r="D1921" i="12"/>
  <c r="D1920" i="12"/>
  <c r="D1919" i="12"/>
  <c r="P1916" i="12"/>
  <c r="P1915" i="12"/>
  <c r="J1915" i="12"/>
  <c r="I1915" i="12"/>
  <c r="AA1912" i="12"/>
  <c r="AA1911" i="12"/>
  <c r="AA1910" i="12"/>
  <c r="AA1909" i="12"/>
  <c r="AA1908" i="12"/>
  <c r="L1908" i="12"/>
  <c r="AA1907" i="12"/>
  <c r="L1907" i="12"/>
  <c r="AA1906" i="12"/>
  <c r="L1906" i="12"/>
  <c r="AA1905" i="12"/>
  <c r="L1905" i="12"/>
  <c r="AA1904" i="12"/>
  <c r="P1904" i="12"/>
  <c r="AA1903" i="12"/>
  <c r="P1903" i="12"/>
  <c r="P1902" i="12"/>
  <c r="D1902" i="12"/>
  <c r="P1901" i="12"/>
  <c r="D1901" i="12"/>
  <c r="P1898" i="12"/>
  <c r="P1897" i="12"/>
  <c r="N1896" i="12"/>
  <c r="L1896" i="12"/>
  <c r="D1896" i="12"/>
  <c r="N1895" i="12"/>
  <c r="L1895" i="12"/>
  <c r="D1895" i="12"/>
  <c r="N1894" i="12"/>
  <c r="L1894" i="12"/>
  <c r="D1894" i="12"/>
  <c r="N1893" i="12"/>
  <c r="L1893" i="12"/>
  <c r="D1893" i="12"/>
  <c r="D1892" i="12"/>
  <c r="D1891" i="12"/>
  <c r="D1890" i="12"/>
  <c r="D1889" i="12"/>
  <c r="P1888" i="12"/>
  <c r="N1888" i="12"/>
  <c r="P1887" i="12"/>
  <c r="N1887" i="12"/>
  <c r="D1887" i="12"/>
  <c r="E1883" i="12"/>
  <c r="P1882" i="12"/>
  <c r="P1881" i="12"/>
  <c r="I1880" i="12"/>
  <c r="D1880" i="12"/>
  <c r="D1879" i="12"/>
  <c r="E1878" i="12"/>
  <c r="D1878" i="12"/>
  <c r="E1875" i="12"/>
  <c r="P1874" i="12"/>
  <c r="P1873" i="12"/>
  <c r="I1872" i="12"/>
  <c r="D1872" i="12"/>
  <c r="D1871" i="12"/>
  <c r="E1870" i="12"/>
  <c r="D1870" i="12"/>
  <c r="E1867" i="12"/>
  <c r="P1866" i="12"/>
  <c r="P1865" i="12"/>
  <c r="I1864" i="12"/>
  <c r="D1864" i="12"/>
  <c r="AC1863" i="12"/>
  <c r="D1863" i="12"/>
  <c r="E1862" i="12"/>
  <c r="D1862" i="12"/>
  <c r="AD1859" i="12"/>
  <c r="AC1859" i="12"/>
  <c r="AB1859" i="12"/>
  <c r="P1858" i="12"/>
  <c r="P1857" i="12"/>
  <c r="J1856" i="12"/>
  <c r="E1856" i="12"/>
  <c r="E1851" i="12"/>
  <c r="P1850" i="12"/>
  <c r="P1849" i="12"/>
  <c r="I1848" i="12"/>
  <c r="D1848" i="12"/>
  <c r="L1847" i="12"/>
  <c r="D1847" i="12"/>
  <c r="E1846" i="12"/>
  <c r="D1846" i="12"/>
  <c r="D1845" i="12"/>
  <c r="D1844" i="12"/>
  <c r="D1843" i="12"/>
  <c r="E1840" i="12"/>
  <c r="P1839" i="12"/>
  <c r="P1838" i="12"/>
  <c r="I1837" i="12"/>
  <c r="D1837" i="12"/>
  <c r="L1836" i="12"/>
  <c r="D1836" i="12"/>
  <c r="E1835" i="12"/>
  <c r="D1835" i="12"/>
  <c r="D1834" i="12"/>
  <c r="D1833" i="12"/>
  <c r="D1832" i="12"/>
  <c r="E1829" i="12"/>
  <c r="P1828" i="12"/>
  <c r="P1827" i="12"/>
  <c r="I1826" i="12"/>
  <c r="D1826" i="12"/>
  <c r="L1825" i="12"/>
  <c r="D1825" i="12"/>
  <c r="E1824" i="12"/>
  <c r="D1824" i="12"/>
  <c r="D1823" i="12"/>
  <c r="AC1822" i="12"/>
  <c r="D1822" i="12"/>
  <c r="D1821" i="12"/>
  <c r="AD1818" i="12"/>
  <c r="AC1818" i="12"/>
  <c r="AB1818" i="12"/>
  <c r="P1817" i="12"/>
  <c r="P1816" i="12"/>
  <c r="J1815" i="12"/>
  <c r="E1815" i="12"/>
  <c r="Z1807" i="12"/>
  <c r="P1806" i="12"/>
  <c r="P1805" i="12"/>
  <c r="J1804" i="12"/>
  <c r="E1804" i="12"/>
  <c r="E1800" i="12"/>
  <c r="D1800" i="12"/>
  <c r="AD1797" i="12"/>
  <c r="AC1797" i="12"/>
  <c r="AB1797" i="12"/>
  <c r="I1796" i="12"/>
  <c r="D1796" i="12"/>
  <c r="E1795" i="12"/>
  <c r="D1795" i="12"/>
  <c r="D1794" i="12"/>
  <c r="D1793" i="12"/>
  <c r="D1792" i="12"/>
  <c r="D1791" i="12"/>
  <c r="D1789" i="12"/>
  <c r="D1788" i="12"/>
  <c r="D1787" i="12"/>
  <c r="D1786" i="12"/>
  <c r="D1785" i="12"/>
  <c r="D1784" i="12"/>
  <c r="D1782" i="12"/>
  <c r="D1781" i="12"/>
  <c r="D1780" i="12"/>
  <c r="D1778" i="12"/>
  <c r="D1777" i="12"/>
  <c r="E1774" i="12"/>
  <c r="D1774" i="12"/>
  <c r="I1770" i="12"/>
  <c r="D1770" i="12"/>
  <c r="E1769" i="12"/>
  <c r="D1769" i="12"/>
  <c r="D1768" i="12"/>
  <c r="D1767" i="12"/>
  <c r="D1765" i="12"/>
  <c r="D1764" i="12"/>
  <c r="D1763" i="12"/>
  <c r="D1762" i="12"/>
  <c r="D1761" i="12"/>
  <c r="D1760" i="12"/>
  <c r="I1760" i="12" s="1"/>
  <c r="D1759" i="12"/>
  <c r="D1757" i="12"/>
  <c r="D1756" i="12"/>
  <c r="D1755" i="12"/>
  <c r="D1754" i="12"/>
  <c r="D1753" i="12"/>
  <c r="D1752" i="12"/>
  <c r="D1751" i="12"/>
  <c r="D1750" i="12"/>
  <c r="D1749" i="12"/>
  <c r="D1748" i="12"/>
  <c r="D1746" i="12"/>
  <c r="D1745" i="12"/>
  <c r="D1744" i="12"/>
  <c r="D1743" i="12"/>
  <c r="I1743" i="12" s="1"/>
  <c r="D1741" i="12"/>
  <c r="D1740" i="12"/>
  <c r="E1737" i="12"/>
  <c r="D1737" i="12"/>
  <c r="I1733" i="12"/>
  <c r="D1733" i="12"/>
  <c r="E1732" i="12"/>
  <c r="D1732" i="12"/>
  <c r="D1731" i="12"/>
  <c r="D1730" i="12"/>
  <c r="D1729" i="12"/>
  <c r="D1728" i="12"/>
  <c r="D1727" i="12"/>
  <c r="D1725" i="12"/>
  <c r="D1724" i="12"/>
  <c r="D1723" i="12"/>
  <c r="D1722" i="12"/>
  <c r="D1721" i="12"/>
  <c r="Z1716" i="12"/>
  <c r="P1715" i="12"/>
  <c r="P1714" i="12"/>
  <c r="I1713" i="12"/>
  <c r="D1713" i="12"/>
  <c r="E1712" i="12"/>
  <c r="D1712" i="12"/>
  <c r="E1711" i="12"/>
  <c r="D1711" i="12"/>
  <c r="D1709" i="12"/>
  <c r="D1707" i="12"/>
  <c r="D1705" i="12"/>
  <c r="D1704" i="12"/>
  <c r="D1703" i="12"/>
  <c r="D1702" i="12"/>
  <c r="D1701" i="12"/>
  <c r="D1700" i="12"/>
  <c r="D1698" i="12"/>
  <c r="I1697" i="12"/>
  <c r="D1696" i="12"/>
  <c r="D1695" i="12"/>
  <c r="D1694" i="12"/>
  <c r="D1692" i="12"/>
  <c r="D1691" i="12"/>
  <c r="D1690" i="12"/>
  <c r="D1689" i="12"/>
  <c r="D1688" i="12"/>
  <c r="D1687" i="12"/>
  <c r="D1686" i="12"/>
  <c r="D1685" i="12"/>
  <c r="D1684" i="12"/>
  <c r="D1683" i="12"/>
  <c r="D1682" i="12"/>
  <c r="I1680" i="12"/>
  <c r="D1679" i="12"/>
  <c r="D1678" i="12"/>
  <c r="D1677" i="12"/>
  <c r="D1676" i="12"/>
  <c r="D1675" i="12"/>
  <c r="D1674" i="12"/>
  <c r="D1673" i="12"/>
  <c r="D1672" i="12"/>
  <c r="D1671" i="12"/>
  <c r="D1670" i="12"/>
  <c r="D1669" i="12"/>
  <c r="D1668" i="12"/>
  <c r="D1667" i="12"/>
  <c r="D1666" i="12"/>
  <c r="D1664" i="12"/>
  <c r="D1663" i="12"/>
  <c r="D1662" i="12"/>
  <c r="D1661" i="12"/>
  <c r="AD1657" i="12"/>
  <c r="AC1657" i="12"/>
  <c r="AB1657" i="12"/>
  <c r="P1656" i="12"/>
  <c r="P1655" i="12"/>
  <c r="D1652" i="12"/>
  <c r="P1651" i="12"/>
  <c r="N1651" i="12"/>
  <c r="D1651" i="12"/>
  <c r="D1648" i="12"/>
  <c r="D1647" i="12"/>
  <c r="P1646" i="12"/>
  <c r="N1646" i="12"/>
  <c r="D1646" i="12"/>
  <c r="P1645" i="12"/>
  <c r="N1645" i="12"/>
  <c r="D1645" i="12"/>
  <c r="P1644" i="12"/>
  <c r="N1644" i="12"/>
  <c r="D1644" i="12"/>
  <c r="P1643" i="12"/>
  <c r="N1643" i="12"/>
  <c r="D1643" i="12"/>
  <c r="P1642" i="12"/>
  <c r="N1642" i="12"/>
  <c r="D1642" i="12"/>
  <c r="E1639" i="12"/>
  <c r="P1638" i="12"/>
  <c r="P1637" i="12"/>
  <c r="I1636" i="12"/>
  <c r="D1636" i="12"/>
  <c r="D1634" i="12"/>
  <c r="P1633" i="12"/>
  <c r="N1633" i="12"/>
  <c r="D1633" i="12"/>
  <c r="D1630" i="12"/>
  <c r="D1629" i="12"/>
  <c r="D1628" i="12"/>
  <c r="D1627" i="12"/>
  <c r="P1626" i="12"/>
  <c r="N1626" i="12"/>
  <c r="D1626" i="12"/>
  <c r="P1625" i="12"/>
  <c r="N1625" i="12"/>
  <c r="D1625" i="12"/>
  <c r="P1624" i="12"/>
  <c r="N1624" i="12"/>
  <c r="D1624" i="12"/>
  <c r="P1623" i="12"/>
  <c r="N1623" i="12"/>
  <c r="D1623" i="12"/>
  <c r="P1622" i="12"/>
  <c r="N1622" i="12"/>
  <c r="D1622" i="12"/>
  <c r="AD1619" i="12"/>
  <c r="AC1619" i="12"/>
  <c r="AB1619" i="12"/>
  <c r="P1618" i="12"/>
  <c r="P1617" i="12"/>
  <c r="D1614" i="12"/>
  <c r="D1613" i="12"/>
  <c r="D1610" i="12"/>
  <c r="D1609" i="12"/>
  <c r="R1608" i="12"/>
  <c r="D1608" i="12"/>
  <c r="D1607" i="12"/>
  <c r="AC1606" i="12"/>
  <c r="D1606" i="12"/>
  <c r="D1605" i="12"/>
  <c r="D1604" i="12"/>
  <c r="E1601" i="12"/>
  <c r="P1600" i="12"/>
  <c r="P1599" i="12"/>
  <c r="I1598" i="12"/>
  <c r="D1598" i="12"/>
  <c r="D1597" i="12"/>
  <c r="D1596" i="12"/>
  <c r="D1594" i="12"/>
  <c r="D1592" i="12"/>
  <c r="D1590" i="12"/>
  <c r="D1583" i="12"/>
  <c r="E1582" i="12"/>
  <c r="D1582" i="12"/>
  <c r="E1579" i="12"/>
  <c r="P1578" i="12"/>
  <c r="P1577" i="12"/>
  <c r="I1576" i="12"/>
  <c r="D1576" i="12"/>
  <c r="D1575" i="12"/>
  <c r="D1574" i="12"/>
  <c r="D1572" i="12"/>
  <c r="D1570" i="12"/>
  <c r="D1568" i="12"/>
  <c r="AA1566" i="12"/>
  <c r="AA1565" i="12"/>
  <c r="AA1564" i="12"/>
  <c r="AA1563" i="12"/>
  <c r="AA1562" i="12"/>
  <c r="D1561" i="12"/>
  <c r="E1560" i="12"/>
  <c r="D1560" i="12"/>
  <c r="I1560" i="12" s="1"/>
  <c r="AD1556" i="12"/>
  <c r="P1556" i="12"/>
  <c r="P1555" i="12"/>
  <c r="J1554" i="12"/>
  <c r="E1554" i="12"/>
  <c r="E1551" i="12"/>
  <c r="E1550" i="12"/>
  <c r="E1549" i="12"/>
  <c r="E1548" i="12"/>
  <c r="E1547" i="12"/>
  <c r="E1546" i="12"/>
  <c r="L1545" i="12"/>
  <c r="L1544" i="12"/>
  <c r="L1588" i="12" s="1"/>
  <c r="L1543" i="12"/>
  <c r="L1587" i="12" s="1"/>
  <c r="L1542" i="12"/>
  <c r="AC1541" i="12"/>
  <c r="P1541" i="12" s="1"/>
  <c r="P1540" i="12"/>
  <c r="P1562" i="12" s="1"/>
  <c r="P1539" i="12"/>
  <c r="P1561" i="12" s="1"/>
  <c r="P1538" i="12"/>
  <c r="P1560" i="12" s="1"/>
  <c r="E1535" i="12"/>
  <c r="P1534" i="12"/>
  <c r="P1533" i="12"/>
  <c r="Z1532" i="12"/>
  <c r="I1532" i="12"/>
  <c r="D1532" i="12"/>
  <c r="D1531" i="12"/>
  <c r="D1530" i="12"/>
  <c r="D1529" i="12"/>
  <c r="D1528" i="12"/>
  <c r="D1527" i="12"/>
  <c r="L1526" i="12"/>
  <c r="L1525" i="12"/>
  <c r="L1524" i="12"/>
  <c r="L1523" i="12"/>
  <c r="P1522" i="12"/>
  <c r="P1521" i="12"/>
  <c r="P1520" i="12"/>
  <c r="D1520" i="12"/>
  <c r="P1519" i="12"/>
  <c r="E1519" i="12"/>
  <c r="D1519" i="12"/>
  <c r="E1516" i="12"/>
  <c r="P1515" i="12"/>
  <c r="P1514" i="12"/>
  <c r="Z1513" i="12"/>
  <c r="I1513" i="12"/>
  <c r="D1513" i="12"/>
  <c r="D1512" i="12"/>
  <c r="D1511" i="12"/>
  <c r="D1510" i="12"/>
  <c r="D1509" i="12"/>
  <c r="D1508" i="12"/>
  <c r="L1507" i="12"/>
  <c r="AA1506" i="12"/>
  <c r="L1506" i="12"/>
  <c r="AA1505" i="12"/>
  <c r="L1505" i="12"/>
  <c r="AA1504" i="12"/>
  <c r="L1504" i="12"/>
  <c r="AA1503" i="12"/>
  <c r="P1503" i="12"/>
  <c r="AA1502" i="12"/>
  <c r="P1502" i="12"/>
  <c r="P1501" i="12"/>
  <c r="D1501" i="12"/>
  <c r="P1500" i="12"/>
  <c r="E1500" i="12"/>
  <c r="D1500" i="12"/>
  <c r="AD1495" i="12"/>
  <c r="AC1495" i="12"/>
  <c r="AB1495" i="12"/>
  <c r="P1494" i="12"/>
  <c r="P1493" i="12"/>
  <c r="Z1492" i="12"/>
  <c r="J1492" i="12"/>
  <c r="E1492" i="12"/>
  <c r="AC1488" i="12"/>
  <c r="P1475" i="12"/>
  <c r="P1474" i="12"/>
  <c r="I1473" i="12"/>
  <c r="D1473" i="12"/>
  <c r="D1472" i="12"/>
  <c r="D1471" i="12"/>
  <c r="D1470" i="12"/>
  <c r="P1469" i="12"/>
  <c r="N1469" i="12"/>
  <c r="D1469" i="12"/>
  <c r="D1468" i="12"/>
  <c r="D1467" i="12"/>
  <c r="L1466" i="12"/>
  <c r="L1465" i="12"/>
  <c r="L1464" i="12"/>
  <c r="L1463" i="12"/>
  <c r="P1462" i="12"/>
  <c r="P1461" i="12"/>
  <c r="P1460" i="12"/>
  <c r="N1460" i="12"/>
  <c r="D1460" i="12"/>
  <c r="P1459" i="12"/>
  <c r="N1459" i="12"/>
  <c r="J1459" i="12"/>
  <c r="D1459" i="12"/>
  <c r="E1456" i="12"/>
  <c r="P1455" i="12"/>
  <c r="P1454" i="12"/>
  <c r="I1453" i="12"/>
  <c r="D1453" i="12"/>
  <c r="D1452" i="12"/>
  <c r="D1451" i="12"/>
  <c r="D1450" i="12"/>
  <c r="P1449" i="12"/>
  <c r="N1449" i="12"/>
  <c r="D1449" i="12"/>
  <c r="D1448" i="12"/>
  <c r="D1447" i="12"/>
  <c r="L1446" i="12"/>
  <c r="L1445" i="12"/>
  <c r="L1444" i="12"/>
  <c r="L1443" i="12"/>
  <c r="P1442" i="12"/>
  <c r="P1441" i="12"/>
  <c r="P1440" i="12"/>
  <c r="N1440" i="12"/>
  <c r="D1440" i="12"/>
  <c r="P1439" i="12"/>
  <c r="N1439" i="12"/>
  <c r="E1439" i="12"/>
  <c r="D1439" i="12"/>
  <c r="E1436" i="12"/>
  <c r="P1435" i="12"/>
  <c r="P1434" i="12"/>
  <c r="I1433" i="12"/>
  <c r="D1433" i="12"/>
  <c r="D1432" i="12"/>
  <c r="D1431" i="12"/>
  <c r="D1430" i="12"/>
  <c r="P1429" i="12"/>
  <c r="N1429" i="12"/>
  <c r="D1429" i="12"/>
  <c r="D1428" i="12"/>
  <c r="D1427" i="12"/>
  <c r="L1426" i="12"/>
  <c r="L1425" i="12"/>
  <c r="L1424" i="12"/>
  <c r="L1423" i="12"/>
  <c r="P1422" i="12"/>
  <c r="P1421" i="12"/>
  <c r="P1420" i="12"/>
  <c r="N1420" i="12"/>
  <c r="D1420" i="12"/>
  <c r="P1419" i="12"/>
  <c r="N1419" i="12"/>
  <c r="I1419" i="12"/>
  <c r="E1419" i="12"/>
  <c r="D1419" i="12"/>
  <c r="E1416" i="12"/>
  <c r="P1415" i="12"/>
  <c r="P1414" i="12"/>
  <c r="I1413" i="12"/>
  <c r="D1413" i="12"/>
  <c r="D1412" i="12"/>
  <c r="D1411" i="12"/>
  <c r="D1410" i="12"/>
  <c r="P1409" i="12"/>
  <c r="N1409" i="12"/>
  <c r="D1409" i="12"/>
  <c r="D1408" i="12"/>
  <c r="D1407" i="12"/>
  <c r="L1406" i="12"/>
  <c r="AA1405" i="12"/>
  <c r="L1405" i="12"/>
  <c r="AA1404" i="12"/>
  <c r="L1404" i="12"/>
  <c r="AA1403" i="12"/>
  <c r="L1403" i="12"/>
  <c r="AA1402" i="12"/>
  <c r="P1402" i="12"/>
  <c r="AA1401" i="12"/>
  <c r="P1401" i="12"/>
  <c r="P1400" i="12"/>
  <c r="N1400" i="12"/>
  <c r="D1400" i="12"/>
  <c r="P1399" i="12"/>
  <c r="N1399" i="12"/>
  <c r="E1399" i="12"/>
  <c r="D1399" i="12"/>
  <c r="AD1394" i="12"/>
  <c r="AC1394" i="12"/>
  <c r="AB1394" i="12"/>
  <c r="P1393" i="12"/>
  <c r="P1392" i="12"/>
  <c r="Z1391" i="12"/>
  <c r="J1391" i="12"/>
  <c r="E1391" i="12"/>
  <c r="R1387" i="12"/>
  <c r="R2308" i="12" s="1"/>
  <c r="AC1384" i="12"/>
  <c r="AC1378" i="12"/>
  <c r="E1374" i="12"/>
  <c r="E1373" i="12"/>
  <c r="D1373" i="12"/>
  <c r="P1372" i="12"/>
  <c r="P1371" i="12"/>
  <c r="I1370" i="12"/>
  <c r="D1370" i="12"/>
  <c r="D1369" i="12"/>
  <c r="D1367" i="12"/>
  <c r="D1366" i="12"/>
  <c r="D1365" i="12"/>
  <c r="D1364" i="12"/>
  <c r="D1363" i="12"/>
  <c r="D1362" i="12"/>
  <c r="D1361" i="12"/>
  <c r="D1360" i="12"/>
  <c r="D1358" i="12"/>
  <c r="D1357" i="12"/>
  <c r="D1356" i="12"/>
  <c r="D1355" i="12"/>
  <c r="D1354" i="12"/>
  <c r="D1353" i="12"/>
  <c r="D1351" i="12"/>
  <c r="D1350" i="12"/>
  <c r="D1349" i="12"/>
  <c r="D1348" i="12"/>
  <c r="D1347" i="12"/>
  <c r="D1346" i="12"/>
  <c r="D1345" i="12"/>
  <c r="D1344" i="12"/>
  <c r="D1343" i="12"/>
  <c r="D1342" i="12"/>
  <c r="D1341" i="12"/>
  <c r="D1339" i="12"/>
  <c r="D1338" i="12"/>
  <c r="D1337" i="12"/>
  <c r="D1336" i="12"/>
  <c r="E1332" i="12"/>
  <c r="E1331" i="12"/>
  <c r="D1331" i="12"/>
  <c r="P1330" i="12"/>
  <c r="P1329" i="12"/>
  <c r="I1328" i="12"/>
  <c r="D1328" i="12"/>
  <c r="D1327" i="12"/>
  <c r="D1325" i="12"/>
  <c r="D1324" i="12"/>
  <c r="D1323" i="12"/>
  <c r="D1322" i="12"/>
  <c r="D1321" i="12"/>
  <c r="D1320" i="12"/>
  <c r="D1319" i="12"/>
  <c r="D1318" i="12"/>
  <c r="D1316" i="12"/>
  <c r="D1315" i="12"/>
  <c r="D1314" i="12"/>
  <c r="D1313" i="12"/>
  <c r="D1312" i="12"/>
  <c r="D1311" i="12"/>
  <c r="D1309" i="12"/>
  <c r="D1308" i="12"/>
  <c r="D1307" i="12"/>
  <c r="D1306" i="12"/>
  <c r="D1305" i="12"/>
  <c r="D1304" i="12"/>
  <c r="D1303" i="12"/>
  <c r="D1302" i="12"/>
  <c r="D1301" i="12"/>
  <c r="D1300" i="12"/>
  <c r="D1299" i="12"/>
  <c r="D1297" i="12"/>
  <c r="D1296" i="12"/>
  <c r="D1295" i="12"/>
  <c r="D1294" i="12"/>
  <c r="E1290" i="12"/>
  <c r="E1289" i="12"/>
  <c r="D1289" i="12"/>
  <c r="P1288" i="12"/>
  <c r="P1287" i="12"/>
  <c r="I1286" i="12"/>
  <c r="D1286" i="12"/>
  <c r="D1285" i="12"/>
  <c r="D1283" i="12"/>
  <c r="D1282" i="12"/>
  <c r="D1281" i="12"/>
  <c r="D1280" i="12"/>
  <c r="D1279" i="12"/>
  <c r="D1278" i="12"/>
  <c r="D1277" i="12"/>
  <c r="D1276" i="12"/>
  <c r="D1274" i="12"/>
  <c r="D1273" i="12"/>
  <c r="D1272" i="12"/>
  <c r="D1271" i="12"/>
  <c r="D1270" i="12"/>
  <c r="D1269" i="12"/>
  <c r="D1267" i="12"/>
  <c r="D1266" i="12"/>
  <c r="D1265" i="12"/>
  <c r="D1264" i="12"/>
  <c r="D1263" i="12"/>
  <c r="D1262" i="12"/>
  <c r="D1261" i="12"/>
  <c r="D1260" i="12"/>
  <c r="D1259" i="12"/>
  <c r="D1258" i="12"/>
  <c r="D1257" i="12"/>
  <c r="D1255" i="12"/>
  <c r="D1254" i="12"/>
  <c r="D1253" i="12"/>
  <c r="D1252" i="12"/>
  <c r="E1248" i="12"/>
  <c r="E1247" i="12"/>
  <c r="D1247" i="12"/>
  <c r="P1246" i="12"/>
  <c r="P1245" i="12"/>
  <c r="I1244" i="12"/>
  <c r="D1244" i="12"/>
  <c r="D1243" i="12"/>
  <c r="D1241" i="12"/>
  <c r="D1240" i="12"/>
  <c r="D1239" i="12"/>
  <c r="D1238" i="12"/>
  <c r="D1237" i="12"/>
  <c r="D1236" i="12"/>
  <c r="D1235" i="12"/>
  <c r="D1234" i="12"/>
  <c r="D1232" i="12"/>
  <c r="D1231" i="12"/>
  <c r="D1230" i="12"/>
  <c r="D1229" i="12"/>
  <c r="D1228" i="12"/>
  <c r="D1227" i="12"/>
  <c r="D1225" i="12"/>
  <c r="D1224" i="12"/>
  <c r="D1223" i="12"/>
  <c r="D1222" i="12"/>
  <c r="D1221" i="12"/>
  <c r="D1220" i="12"/>
  <c r="D1219" i="12"/>
  <c r="D1218" i="12"/>
  <c r="D1217" i="12"/>
  <c r="D1216" i="12"/>
  <c r="D1215" i="12"/>
  <c r="D1213" i="12"/>
  <c r="D1212" i="12"/>
  <c r="D1211" i="12"/>
  <c r="D1210" i="12"/>
  <c r="Z1206" i="12"/>
  <c r="P1204" i="12"/>
  <c r="P1203" i="12"/>
  <c r="J1202" i="12"/>
  <c r="E1202" i="12"/>
  <c r="P1163" i="12"/>
  <c r="P1162" i="12"/>
  <c r="I1161" i="12"/>
  <c r="D1161" i="12"/>
  <c r="J1160" i="12"/>
  <c r="D1160" i="12"/>
  <c r="J1159" i="12"/>
  <c r="D1159" i="12"/>
  <c r="J1158" i="12"/>
  <c r="D1158" i="12"/>
  <c r="J1157" i="12"/>
  <c r="E1157" i="12"/>
  <c r="D1157" i="12"/>
  <c r="P1156" i="12"/>
  <c r="N1156" i="12"/>
  <c r="D1156" i="12"/>
  <c r="D1155" i="12"/>
  <c r="D1154" i="12"/>
  <c r="P1153" i="12"/>
  <c r="X1153" i="12" s="1"/>
  <c r="N1153" i="12"/>
  <c r="J1153" i="12"/>
  <c r="D1153" i="12"/>
  <c r="V1152" i="12"/>
  <c r="N1152" i="12"/>
  <c r="L1152" i="12"/>
  <c r="T1152" i="12" s="1"/>
  <c r="D1152" i="12"/>
  <c r="N1151" i="12"/>
  <c r="V1151" i="12" s="1"/>
  <c r="L1151" i="12"/>
  <c r="T1151" i="12" s="1"/>
  <c r="D1151" i="12"/>
  <c r="N1150" i="12"/>
  <c r="V1150" i="12" s="1"/>
  <c r="L1150" i="12"/>
  <c r="T1150" i="12" s="1"/>
  <c r="D1150" i="12"/>
  <c r="N1149" i="12"/>
  <c r="L1149" i="12"/>
  <c r="E1149" i="12"/>
  <c r="D1149" i="12"/>
  <c r="E1145" i="12"/>
  <c r="E1142" i="12"/>
  <c r="P1141" i="12"/>
  <c r="P1140" i="12"/>
  <c r="I1139" i="12"/>
  <c r="D1139" i="12"/>
  <c r="D1138" i="12"/>
  <c r="D1137" i="12"/>
  <c r="D1136" i="12"/>
  <c r="D1135" i="12"/>
  <c r="D1134" i="12"/>
  <c r="D1133" i="12"/>
  <c r="D1132" i="12"/>
  <c r="E1131" i="12"/>
  <c r="D1131" i="12"/>
  <c r="N1130" i="12"/>
  <c r="L1130" i="12"/>
  <c r="D1130" i="12"/>
  <c r="D1129" i="12"/>
  <c r="D1128" i="12"/>
  <c r="D1127" i="12"/>
  <c r="D1126" i="12"/>
  <c r="D1125" i="12"/>
  <c r="D1124" i="12"/>
  <c r="D1123" i="12"/>
  <c r="E1120" i="12"/>
  <c r="P1119" i="12"/>
  <c r="P1118" i="12"/>
  <c r="I1117" i="12"/>
  <c r="D1117" i="12"/>
  <c r="D1116" i="12"/>
  <c r="D1115" i="12"/>
  <c r="D1114" i="12"/>
  <c r="D1113" i="12"/>
  <c r="D1112" i="12"/>
  <c r="D1111" i="12"/>
  <c r="D1110" i="12"/>
  <c r="E1109" i="12"/>
  <c r="D1109" i="12"/>
  <c r="D1108" i="12"/>
  <c r="D1107" i="12"/>
  <c r="D1106" i="12"/>
  <c r="D1105" i="12"/>
  <c r="E1098" i="12"/>
  <c r="P1097" i="12"/>
  <c r="P1096" i="12"/>
  <c r="I1095" i="12"/>
  <c r="D1095" i="12"/>
  <c r="D1094" i="12"/>
  <c r="D1093" i="12"/>
  <c r="D1092" i="12"/>
  <c r="D1091" i="12"/>
  <c r="N1090" i="12"/>
  <c r="D1090" i="12"/>
  <c r="D1089" i="12"/>
  <c r="D1088" i="12"/>
  <c r="E1087" i="12"/>
  <c r="D1087" i="12"/>
  <c r="L1086" i="12"/>
  <c r="T1086" i="12" s="1"/>
  <c r="D1086" i="12"/>
  <c r="D1085" i="12"/>
  <c r="N1084" i="12"/>
  <c r="V1084" i="12" s="1"/>
  <c r="D1084" i="12"/>
  <c r="D1083" i="12"/>
  <c r="D1082" i="12"/>
  <c r="D1081" i="12"/>
  <c r="D1080" i="12"/>
  <c r="D1079" i="12"/>
  <c r="P1075" i="12"/>
  <c r="P1074" i="12"/>
  <c r="J1073" i="12"/>
  <c r="E1073" i="12"/>
  <c r="R1068" i="12"/>
  <c r="P1068" i="12"/>
  <c r="P1134" i="12" s="1"/>
  <c r="N1068" i="12"/>
  <c r="N1112" i="12" s="1"/>
  <c r="P1065" i="12"/>
  <c r="N1065" i="12"/>
  <c r="N1131" i="12" s="1"/>
  <c r="N1064" i="12"/>
  <c r="N1108" i="12" s="1"/>
  <c r="L1064" i="12"/>
  <c r="L1108" i="12" s="1"/>
  <c r="N1063" i="12"/>
  <c r="N1085" i="12" s="1"/>
  <c r="V1085" i="12" s="1"/>
  <c r="L1063" i="12"/>
  <c r="N1062" i="12"/>
  <c r="N1128" i="12" s="1"/>
  <c r="L1062" i="12"/>
  <c r="L1106" i="12" s="1"/>
  <c r="N1061" i="12"/>
  <c r="N1127" i="12" s="1"/>
  <c r="L1061" i="12"/>
  <c r="L1105" i="12" s="1"/>
  <c r="E1054" i="12"/>
  <c r="D1053" i="12"/>
  <c r="P1052" i="12"/>
  <c r="P1051" i="12"/>
  <c r="I1050" i="12"/>
  <c r="D1050" i="12"/>
  <c r="P1049" i="12"/>
  <c r="L1049" i="12"/>
  <c r="D1049" i="12"/>
  <c r="D1048" i="12"/>
  <c r="D1047" i="12"/>
  <c r="D1046" i="12"/>
  <c r="D1045" i="12"/>
  <c r="P1044" i="12"/>
  <c r="N1044" i="12"/>
  <c r="D1044" i="12"/>
  <c r="D1043" i="12"/>
  <c r="D1042" i="12"/>
  <c r="P1041" i="12"/>
  <c r="N1041" i="12"/>
  <c r="E1041" i="12"/>
  <c r="D1041" i="12"/>
  <c r="N1040" i="12"/>
  <c r="L1040" i="12"/>
  <c r="D1040" i="12"/>
  <c r="N1039" i="12"/>
  <c r="L1039" i="12"/>
  <c r="D1039" i="12"/>
  <c r="N1038" i="12"/>
  <c r="L1038" i="12"/>
  <c r="D1038" i="12"/>
  <c r="N1037" i="12"/>
  <c r="L1037" i="12"/>
  <c r="D1037" i="12"/>
  <c r="D1036" i="12"/>
  <c r="D1035" i="12"/>
  <c r="D1034" i="12"/>
  <c r="D1033" i="12"/>
  <c r="E1030" i="12"/>
  <c r="D1029" i="12"/>
  <c r="P1028" i="12"/>
  <c r="P1027" i="12"/>
  <c r="I1026" i="12"/>
  <c r="D1026" i="12"/>
  <c r="P1025" i="12"/>
  <c r="L1025" i="12"/>
  <c r="D1025" i="12"/>
  <c r="D1024" i="12"/>
  <c r="D1023" i="12"/>
  <c r="D1022" i="12"/>
  <c r="D1021" i="12"/>
  <c r="P1020" i="12"/>
  <c r="N1020" i="12"/>
  <c r="D1020" i="12"/>
  <c r="D1019" i="12"/>
  <c r="D1018" i="12"/>
  <c r="P1017" i="12"/>
  <c r="N1017" i="12"/>
  <c r="E1017" i="12"/>
  <c r="D1017" i="12"/>
  <c r="N1016" i="12"/>
  <c r="L1016" i="12"/>
  <c r="D1016" i="12"/>
  <c r="N1015" i="12"/>
  <c r="L1015" i="12"/>
  <c r="D1015" i="12"/>
  <c r="N1014" i="12"/>
  <c r="L1014" i="12"/>
  <c r="D1014" i="12"/>
  <c r="N1013" i="12"/>
  <c r="L1013" i="12"/>
  <c r="D1013" i="12"/>
  <c r="E1006" i="12"/>
  <c r="D1005" i="12"/>
  <c r="P1004" i="12"/>
  <c r="P1003" i="12"/>
  <c r="I1002" i="12"/>
  <c r="D1002" i="12"/>
  <c r="P1001" i="12"/>
  <c r="L1001" i="12"/>
  <c r="D1001" i="12"/>
  <c r="D1000" i="12"/>
  <c r="D999" i="12"/>
  <c r="D998" i="12"/>
  <c r="D997" i="12"/>
  <c r="P996" i="12"/>
  <c r="N996" i="12"/>
  <c r="N548" i="12" s="1"/>
  <c r="N581" i="12" s="1"/>
  <c r="D996" i="12"/>
  <c r="D995" i="12"/>
  <c r="D994" i="12"/>
  <c r="P993" i="12"/>
  <c r="N993" i="12"/>
  <c r="E993" i="12"/>
  <c r="D993" i="12"/>
  <c r="N992" i="12"/>
  <c r="L992" i="12"/>
  <c r="D992" i="12"/>
  <c r="N991" i="12"/>
  <c r="L991" i="12"/>
  <c r="D991" i="12"/>
  <c r="N990" i="12"/>
  <c r="L990" i="12"/>
  <c r="D990" i="12"/>
  <c r="N989" i="12"/>
  <c r="L989" i="12"/>
  <c r="D989" i="12"/>
  <c r="D988" i="12"/>
  <c r="D987" i="12"/>
  <c r="D986" i="12"/>
  <c r="D985" i="12"/>
  <c r="AD982" i="12"/>
  <c r="AC982" i="12"/>
  <c r="AB982" i="12"/>
  <c r="P980" i="12"/>
  <c r="P979" i="12"/>
  <c r="J978" i="12"/>
  <c r="E978" i="12"/>
  <c r="AC977" i="12"/>
  <c r="R977" i="12"/>
  <c r="R1049" i="12" s="1"/>
  <c r="R972" i="12"/>
  <c r="AD969" i="12"/>
  <c r="AB968" i="12"/>
  <c r="AB967" i="12"/>
  <c r="AB966" i="12"/>
  <c r="AB965" i="12"/>
  <c r="AB964" i="12"/>
  <c r="AB963" i="12"/>
  <c r="AB962" i="12"/>
  <c r="AC961" i="12"/>
  <c r="AB961" i="12"/>
  <c r="P957" i="12"/>
  <c r="P956" i="12"/>
  <c r="N956" i="12"/>
  <c r="L956" i="12"/>
  <c r="I955" i="12"/>
  <c r="D955" i="12"/>
  <c r="E954" i="12"/>
  <c r="D954" i="12"/>
  <c r="E953" i="12"/>
  <c r="D953" i="12"/>
  <c r="P952" i="12"/>
  <c r="D952" i="12"/>
  <c r="D951" i="12"/>
  <c r="D950" i="12"/>
  <c r="E949" i="12"/>
  <c r="D949" i="12"/>
  <c r="E948" i="12"/>
  <c r="D948" i="12"/>
  <c r="P947" i="12"/>
  <c r="D947" i="12"/>
  <c r="D946" i="12"/>
  <c r="D945" i="12"/>
  <c r="P944" i="12"/>
  <c r="I944" i="12"/>
  <c r="E943" i="12"/>
  <c r="D943" i="12"/>
  <c r="P939" i="12"/>
  <c r="P938" i="12"/>
  <c r="I937" i="12"/>
  <c r="D937" i="12"/>
  <c r="E936" i="12"/>
  <c r="D936" i="12"/>
  <c r="E935" i="12"/>
  <c r="D935" i="12"/>
  <c r="D934" i="12"/>
  <c r="D933" i="12"/>
  <c r="D932" i="12"/>
  <c r="E931" i="12"/>
  <c r="D931" i="12"/>
  <c r="E930" i="12"/>
  <c r="D930" i="12"/>
  <c r="P929" i="12"/>
  <c r="D929" i="12"/>
  <c r="D928" i="12"/>
  <c r="N927" i="12"/>
  <c r="D927" i="12"/>
  <c r="I926" i="12"/>
  <c r="E925" i="12"/>
  <c r="D925" i="12"/>
  <c r="P921" i="12"/>
  <c r="P920" i="12"/>
  <c r="I919" i="12"/>
  <c r="D919" i="12"/>
  <c r="E918" i="12"/>
  <c r="D918" i="12"/>
  <c r="E917" i="12"/>
  <c r="D917" i="12"/>
  <c r="P916" i="12"/>
  <c r="D916" i="12"/>
  <c r="D915" i="12"/>
  <c r="D914" i="12"/>
  <c r="E913" i="12"/>
  <c r="D913" i="12"/>
  <c r="E912" i="12"/>
  <c r="D912" i="12"/>
  <c r="D911" i="12"/>
  <c r="D910" i="12"/>
  <c r="D909" i="12"/>
  <c r="I908" i="12"/>
  <c r="P907" i="12"/>
  <c r="E907" i="12"/>
  <c r="D907" i="12"/>
  <c r="P903" i="12"/>
  <c r="P902" i="12"/>
  <c r="Z901" i="12"/>
  <c r="J901" i="12"/>
  <c r="E901" i="12"/>
  <c r="P898" i="12"/>
  <c r="P934" i="12" s="1"/>
  <c r="N898" i="12"/>
  <c r="L895" i="12"/>
  <c r="L894" i="12"/>
  <c r="L912" i="12" s="1"/>
  <c r="P893" i="12"/>
  <c r="P911" i="12" s="1"/>
  <c r="P892" i="12"/>
  <c r="P910" i="12" s="1"/>
  <c r="P891" i="12"/>
  <c r="P927" i="12" s="1"/>
  <c r="N891" i="12"/>
  <c r="N945" i="12" s="1"/>
  <c r="P890" i="12"/>
  <c r="P926" i="12" s="1"/>
  <c r="N890" i="12"/>
  <c r="D890" i="12"/>
  <c r="P889" i="12"/>
  <c r="P925" i="12" s="1"/>
  <c r="N889" i="12"/>
  <c r="N925" i="12" s="1"/>
  <c r="E886" i="12"/>
  <c r="P885" i="12"/>
  <c r="P884" i="12"/>
  <c r="I883" i="12"/>
  <c r="D883" i="12"/>
  <c r="J882" i="12"/>
  <c r="D882" i="12"/>
  <c r="J881" i="12"/>
  <c r="D881" i="12"/>
  <c r="D880" i="12"/>
  <c r="D879" i="12"/>
  <c r="D878" i="12"/>
  <c r="D877" i="12"/>
  <c r="L876" i="12"/>
  <c r="T876" i="12" s="1"/>
  <c r="D876" i="12"/>
  <c r="D875" i="12"/>
  <c r="D874" i="12"/>
  <c r="D873" i="12"/>
  <c r="P872" i="12"/>
  <c r="N872" i="12"/>
  <c r="D872" i="12"/>
  <c r="I871" i="12"/>
  <c r="J870" i="12"/>
  <c r="D870" i="12"/>
  <c r="I870" i="12" s="1"/>
  <c r="P866" i="12"/>
  <c r="P865" i="12"/>
  <c r="I864" i="12"/>
  <c r="D864" i="12"/>
  <c r="E863" i="12"/>
  <c r="D863" i="12"/>
  <c r="E862" i="12"/>
  <c r="D862" i="12"/>
  <c r="D861" i="12"/>
  <c r="D860" i="12"/>
  <c r="D859" i="12"/>
  <c r="E858" i="12"/>
  <c r="D858" i="12"/>
  <c r="E857" i="12"/>
  <c r="D857" i="12"/>
  <c r="D856" i="12"/>
  <c r="D855" i="12"/>
  <c r="D854" i="12"/>
  <c r="P853" i="12"/>
  <c r="N853" i="12"/>
  <c r="D853" i="12"/>
  <c r="N852" i="12"/>
  <c r="I852" i="12"/>
  <c r="E851" i="12"/>
  <c r="D851" i="12"/>
  <c r="P847" i="12"/>
  <c r="P846" i="12"/>
  <c r="E845" i="12"/>
  <c r="P842" i="12"/>
  <c r="P880" i="12" s="1"/>
  <c r="N842" i="12"/>
  <c r="N880" i="12" s="1"/>
  <c r="L839" i="12"/>
  <c r="L858" i="12" s="1"/>
  <c r="L838" i="12"/>
  <c r="L857" i="12" s="1"/>
  <c r="P837" i="12"/>
  <c r="P875" i="12" s="1"/>
  <c r="X875" i="12" s="1"/>
  <c r="P836" i="12"/>
  <c r="P874" i="12" s="1"/>
  <c r="X874" i="12" s="1"/>
  <c r="P835" i="12"/>
  <c r="N835" i="12"/>
  <c r="N873" i="12" s="1"/>
  <c r="R834" i="12"/>
  <c r="R872" i="12" s="1"/>
  <c r="P833" i="12"/>
  <c r="N833" i="12"/>
  <c r="N871" i="12" s="1"/>
  <c r="D833" i="12"/>
  <c r="P832" i="12"/>
  <c r="P851" i="12" s="1"/>
  <c r="N832" i="12"/>
  <c r="N870" i="12" s="1"/>
  <c r="P828" i="12"/>
  <c r="P827" i="12"/>
  <c r="I826" i="12"/>
  <c r="D826" i="12"/>
  <c r="E825" i="12"/>
  <c r="D825" i="12"/>
  <c r="E824" i="12"/>
  <c r="D824" i="12"/>
  <c r="D823" i="12"/>
  <c r="D822" i="12"/>
  <c r="D821" i="12"/>
  <c r="E820" i="12"/>
  <c r="D820" i="12"/>
  <c r="E819" i="12"/>
  <c r="D819" i="12"/>
  <c r="D818" i="12"/>
  <c r="D817" i="12"/>
  <c r="D816" i="12"/>
  <c r="I815" i="12"/>
  <c r="I814" i="12"/>
  <c r="E813" i="12"/>
  <c r="D813" i="12"/>
  <c r="P809" i="12"/>
  <c r="P808" i="12"/>
  <c r="I807" i="12"/>
  <c r="D807" i="12"/>
  <c r="E806" i="12"/>
  <c r="D806" i="12"/>
  <c r="E805" i="12"/>
  <c r="D805" i="12"/>
  <c r="N804" i="12"/>
  <c r="D804" i="12"/>
  <c r="D803" i="12"/>
  <c r="D802" i="12"/>
  <c r="E801" i="12"/>
  <c r="D801" i="12"/>
  <c r="E800" i="12"/>
  <c r="D800" i="12"/>
  <c r="D799" i="12"/>
  <c r="D798" i="12"/>
  <c r="D797" i="12"/>
  <c r="I796" i="12"/>
  <c r="N795" i="12"/>
  <c r="I795" i="12"/>
  <c r="E794" i="12"/>
  <c r="D794" i="12"/>
  <c r="P790" i="12"/>
  <c r="P789" i="12"/>
  <c r="I788" i="12"/>
  <c r="D788" i="12"/>
  <c r="E787" i="12"/>
  <c r="D787" i="12"/>
  <c r="E786" i="12"/>
  <c r="D786" i="12"/>
  <c r="D785" i="12"/>
  <c r="D784" i="12"/>
  <c r="D783" i="12"/>
  <c r="E782" i="12"/>
  <c r="D782" i="12"/>
  <c r="E781" i="12"/>
  <c r="D781" i="12"/>
  <c r="D780" i="12"/>
  <c r="D779" i="12"/>
  <c r="D778" i="12"/>
  <c r="I777" i="12"/>
  <c r="N776" i="12"/>
  <c r="I776" i="12"/>
  <c r="E775" i="12"/>
  <c r="D775" i="12"/>
  <c r="P771" i="12"/>
  <c r="P770" i="12"/>
  <c r="Z769" i="12"/>
  <c r="J769" i="12"/>
  <c r="E769" i="12"/>
  <c r="P766" i="12"/>
  <c r="P823" i="12" s="1"/>
  <c r="N766" i="12"/>
  <c r="N785" i="12" s="1"/>
  <c r="L763" i="12"/>
  <c r="L820" i="12" s="1"/>
  <c r="L762" i="12"/>
  <c r="L800" i="12" s="1"/>
  <c r="P761" i="12"/>
  <c r="P799" i="12" s="1"/>
  <c r="P760" i="12"/>
  <c r="P779" i="12" s="1"/>
  <c r="P759" i="12"/>
  <c r="P816" i="12" s="1"/>
  <c r="N759" i="12"/>
  <c r="P758" i="12"/>
  <c r="P796" i="12" s="1"/>
  <c r="N758" i="12"/>
  <c r="D758" i="12"/>
  <c r="P757" i="12"/>
  <c r="N757" i="12"/>
  <c r="D757" i="12"/>
  <c r="P756" i="12"/>
  <c r="P775" i="12" s="1"/>
  <c r="N756" i="12"/>
  <c r="E753" i="12"/>
  <c r="D752" i="12"/>
  <c r="P751" i="12"/>
  <c r="P750" i="12"/>
  <c r="I749" i="12"/>
  <c r="D749" i="12"/>
  <c r="R748" i="12"/>
  <c r="P748" i="12"/>
  <c r="L748" i="12"/>
  <c r="D748" i="12"/>
  <c r="D747" i="12"/>
  <c r="D746" i="12"/>
  <c r="P745" i="12"/>
  <c r="N745" i="12"/>
  <c r="D745" i="12"/>
  <c r="D744" i="12"/>
  <c r="D743" i="12"/>
  <c r="L742" i="12"/>
  <c r="D742" i="12"/>
  <c r="L741" i="12"/>
  <c r="D741" i="12"/>
  <c r="P740" i="12"/>
  <c r="D740" i="12"/>
  <c r="P739" i="12"/>
  <c r="D739" i="12"/>
  <c r="P738" i="12"/>
  <c r="N738" i="12"/>
  <c r="D738" i="12"/>
  <c r="P737" i="12"/>
  <c r="N737" i="12"/>
  <c r="D737" i="12"/>
  <c r="P736" i="12"/>
  <c r="N736" i="12"/>
  <c r="I736" i="12"/>
  <c r="P735" i="12"/>
  <c r="N735" i="12"/>
  <c r="E735" i="12"/>
  <c r="D735" i="12"/>
  <c r="E732" i="12"/>
  <c r="D731" i="12"/>
  <c r="P730" i="12"/>
  <c r="P729" i="12"/>
  <c r="I728" i="12"/>
  <c r="D728" i="12"/>
  <c r="P727" i="12"/>
  <c r="L727" i="12"/>
  <c r="D727" i="12"/>
  <c r="D726" i="12"/>
  <c r="D725" i="12"/>
  <c r="P724" i="12"/>
  <c r="N724" i="12"/>
  <c r="D724" i="12"/>
  <c r="D723" i="12"/>
  <c r="D722" i="12"/>
  <c r="L721" i="12"/>
  <c r="D721" i="12"/>
  <c r="L720" i="12"/>
  <c r="D720" i="12"/>
  <c r="P719" i="12"/>
  <c r="D719" i="12"/>
  <c r="P718" i="12"/>
  <c r="D718" i="12"/>
  <c r="P717" i="12"/>
  <c r="N717" i="12"/>
  <c r="D717" i="12"/>
  <c r="P716" i="12"/>
  <c r="N716" i="12"/>
  <c r="D716" i="12"/>
  <c r="P715" i="12"/>
  <c r="N715" i="12"/>
  <c r="I715" i="12"/>
  <c r="P714" i="12"/>
  <c r="N714" i="12"/>
  <c r="E714" i="12"/>
  <c r="D714" i="12"/>
  <c r="E711" i="12"/>
  <c r="D710" i="12"/>
  <c r="P709" i="12"/>
  <c r="P708" i="12"/>
  <c r="I707" i="12"/>
  <c r="D707" i="12"/>
  <c r="R706" i="12"/>
  <c r="P706" i="12"/>
  <c r="L706" i="12"/>
  <c r="D706" i="12"/>
  <c r="D705" i="12"/>
  <c r="D704" i="12"/>
  <c r="P703" i="12"/>
  <c r="N703" i="12"/>
  <c r="D703" i="12"/>
  <c r="D702" i="12"/>
  <c r="D701" i="12"/>
  <c r="L700" i="12"/>
  <c r="D700" i="12"/>
  <c r="L699" i="12"/>
  <c r="D699" i="12"/>
  <c r="P698" i="12"/>
  <c r="D698" i="12"/>
  <c r="P697" i="12"/>
  <c r="D697" i="12"/>
  <c r="P696" i="12"/>
  <c r="N696" i="12"/>
  <c r="D696" i="12"/>
  <c r="P695" i="12"/>
  <c r="N695" i="12"/>
  <c r="D695" i="12"/>
  <c r="P694" i="12"/>
  <c r="N694" i="12"/>
  <c r="I694" i="12"/>
  <c r="P693" i="12"/>
  <c r="N693" i="12"/>
  <c r="E693" i="12"/>
  <c r="D693" i="12"/>
  <c r="AD690" i="12"/>
  <c r="AC690" i="12"/>
  <c r="AB690" i="12"/>
  <c r="P688" i="12"/>
  <c r="P687" i="12"/>
  <c r="J686" i="12"/>
  <c r="E686" i="12"/>
  <c r="R685" i="12"/>
  <c r="N685" i="12" s="1"/>
  <c r="R682" i="12"/>
  <c r="R703" i="12" s="1"/>
  <c r="L682" i="12"/>
  <c r="AD673" i="12"/>
  <c r="D673" i="12"/>
  <c r="P667" i="12"/>
  <c r="P666" i="12"/>
  <c r="G661" i="12"/>
  <c r="L659" i="12"/>
  <c r="D659" i="12"/>
  <c r="D658" i="12"/>
  <c r="D657" i="12"/>
  <c r="D656" i="12"/>
  <c r="D655" i="12"/>
  <c r="P650" i="12"/>
  <c r="P649" i="12"/>
  <c r="D648" i="12"/>
  <c r="D647" i="12"/>
  <c r="D646" i="12"/>
  <c r="N645" i="12"/>
  <c r="D645" i="12"/>
  <c r="D644" i="12"/>
  <c r="D643" i="12"/>
  <c r="D642" i="12"/>
  <c r="D641" i="12"/>
  <c r="D640" i="12"/>
  <c r="D639" i="12"/>
  <c r="D638" i="12"/>
  <c r="P634" i="12"/>
  <c r="P633" i="12"/>
  <c r="G628" i="12"/>
  <c r="D626" i="12"/>
  <c r="D625" i="12"/>
  <c r="D624" i="12"/>
  <c r="P623" i="12"/>
  <c r="D623" i="12"/>
  <c r="D622" i="12"/>
  <c r="G621" i="12"/>
  <c r="I621" i="12" s="1"/>
  <c r="P617" i="12"/>
  <c r="P616" i="12"/>
  <c r="D615" i="12"/>
  <c r="D614" i="12"/>
  <c r="D613" i="12"/>
  <c r="D612" i="12"/>
  <c r="D611" i="12"/>
  <c r="D610" i="12"/>
  <c r="D609" i="12"/>
  <c r="D608" i="12"/>
  <c r="D607" i="12"/>
  <c r="D606" i="12"/>
  <c r="D605" i="12"/>
  <c r="P601" i="12"/>
  <c r="P600" i="12"/>
  <c r="G595" i="12"/>
  <c r="G594" i="12"/>
  <c r="D593" i="12"/>
  <c r="D592" i="12"/>
  <c r="D591" i="12"/>
  <c r="D590" i="12"/>
  <c r="D589" i="12"/>
  <c r="P588" i="12"/>
  <c r="X588" i="12" s="1"/>
  <c r="P587" i="12"/>
  <c r="P584" i="12"/>
  <c r="P583" i="12"/>
  <c r="D582" i="12"/>
  <c r="D581" i="12"/>
  <c r="D580" i="12"/>
  <c r="D579" i="12"/>
  <c r="D578" i="12"/>
  <c r="D577" i="12"/>
  <c r="D576" i="12"/>
  <c r="D575" i="12"/>
  <c r="D574" i="12"/>
  <c r="D573" i="12"/>
  <c r="D572" i="12"/>
  <c r="P568" i="12"/>
  <c r="P567" i="12"/>
  <c r="G567" i="12"/>
  <c r="J566" i="12"/>
  <c r="I566" i="12"/>
  <c r="E566" i="12"/>
  <c r="D566" i="12"/>
  <c r="G565" i="12"/>
  <c r="G598" i="12" s="1"/>
  <c r="G564" i="12"/>
  <c r="P563" i="12"/>
  <c r="N563" i="12"/>
  <c r="N596" i="12" s="1"/>
  <c r="G563" i="12"/>
  <c r="G562" i="12"/>
  <c r="G561" i="12"/>
  <c r="G660" i="12" s="1"/>
  <c r="L560" i="12"/>
  <c r="L593" i="12" s="1"/>
  <c r="L559" i="12"/>
  <c r="P558" i="12"/>
  <c r="P557" i="12"/>
  <c r="P556" i="12"/>
  <c r="P655" i="12" s="1"/>
  <c r="N556" i="12"/>
  <c r="G556" i="12"/>
  <c r="P555" i="12"/>
  <c r="P621" i="12" s="1"/>
  <c r="X621" i="12" s="1"/>
  <c r="N555" i="12"/>
  <c r="G555" i="12"/>
  <c r="G654" i="12" s="1"/>
  <c r="J654" i="12" s="1"/>
  <c r="E555" i="12"/>
  <c r="J555" i="12" s="1"/>
  <c r="D555" i="12"/>
  <c r="P554" i="12"/>
  <c r="P653" i="12" s="1"/>
  <c r="N554" i="12"/>
  <c r="N620" i="12" s="1"/>
  <c r="G554" i="12"/>
  <c r="G620" i="12" s="1"/>
  <c r="P551" i="12"/>
  <c r="P550" i="12"/>
  <c r="P549" i="12"/>
  <c r="P615" i="12" s="1"/>
  <c r="P548" i="12"/>
  <c r="P614" i="12" s="1"/>
  <c r="N547" i="12"/>
  <c r="N646" i="12" s="1"/>
  <c r="L547" i="12"/>
  <c r="L646" i="12" s="1"/>
  <c r="N546" i="12"/>
  <c r="N612" i="12" s="1"/>
  <c r="L546" i="12"/>
  <c r="N545" i="12"/>
  <c r="N644" i="12" s="1"/>
  <c r="L545" i="12"/>
  <c r="N544" i="12"/>
  <c r="L544" i="12"/>
  <c r="P539" i="12"/>
  <c r="P605" i="12" s="1"/>
  <c r="N539" i="12"/>
  <c r="N638" i="12" s="1"/>
  <c r="P535" i="12"/>
  <c r="P534" i="12"/>
  <c r="D527" i="12"/>
  <c r="D526" i="12"/>
  <c r="D525" i="12"/>
  <c r="D524" i="12"/>
  <c r="D523" i="12"/>
  <c r="P517" i="12"/>
  <c r="P516" i="12"/>
  <c r="D515" i="12"/>
  <c r="D514" i="12"/>
  <c r="D513" i="12"/>
  <c r="D512" i="12"/>
  <c r="D511" i="12"/>
  <c r="D510" i="12"/>
  <c r="D509" i="12"/>
  <c r="D508" i="12"/>
  <c r="D507" i="12"/>
  <c r="D506" i="12"/>
  <c r="D505" i="12"/>
  <c r="P501" i="12"/>
  <c r="P500" i="12"/>
  <c r="D493" i="12"/>
  <c r="D492" i="12"/>
  <c r="D491" i="12"/>
  <c r="D490" i="12"/>
  <c r="D489" i="12"/>
  <c r="P483" i="12"/>
  <c r="P482" i="12"/>
  <c r="D481" i="12"/>
  <c r="D480" i="12"/>
  <c r="D479" i="12"/>
  <c r="D478" i="12"/>
  <c r="D477" i="12"/>
  <c r="D476" i="12"/>
  <c r="D475" i="12"/>
  <c r="D474" i="12"/>
  <c r="D473" i="12"/>
  <c r="D472" i="12"/>
  <c r="D471" i="12"/>
  <c r="P467" i="12"/>
  <c r="P466" i="12"/>
  <c r="D459" i="12"/>
  <c r="D458" i="12"/>
  <c r="D457" i="12"/>
  <c r="D456" i="12"/>
  <c r="D455" i="12"/>
  <c r="P449" i="12"/>
  <c r="P448" i="12"/>
  <c r="D447" i="12"/>
  <c r="D446" i="12"/>
  <c r="D445" i="12"/>
  <c r="D444" i="12"/>
  <c r="D443" i="12"/>
  <c r="D442" i="12"/>
  <c r="D441" i="12"/>
  <c r="D440" i="12"/>
  <c r="D439" i="12"/>
  <c r="D438" i="12"/>
  <c r="D437" i="12"/>
  <c r="P433" i="12"/>
  <c r="P432" i="12"/>
  <c r="D425" i="12"/>
  <c r="D424" i="12"/>
  <c r="D423" i="12"/>
  <c r="D422" i="12"/>
  <c r="D421" i="12"/>
  <c r="P415" i="12"/>
  <c r="P414" i="12"/>
  <c r="D413" i="12"/>
  <c r="D412" i="12"/>
  <c r="D411" i="12"/>
  <c r="D410" i="12"/>
  <c r="D409" i="12"/>
  <c r="D408" i="12"/>
  <c r="D407" i="12"/>
  <c r="D406" i="12"/>
  <c r="D405" i="12"/>
  <c r="D404" i="12"/>
  <c r="D403" i="12"/>
  <c r="P399" i="12"/>
  <c r="P398" i="12"/>
  <c r="J397" i="12"/>
  <c r="I397" i="12"/>
  <c r="E397" i="12"/>
  <c r="D397" i="12"/>
  <c r="E386" i="12"/>
  <c r="D386" i="12"/>
  <c r="E385" i="12"/>
  <c r="D385" i="12"/>
  <c r="P381" i="12"/>
  <c r="P380" i="12"/>
  <c r="L376" i="12"/>
  <c r="P364" i="12"/>
  <c r="P363" i="12"/>
  <c r="D355" i="12"/>
  <c r="D354" i="12"/>
  <c r="D353" i="12"/>
  <c r="D352" i="12"/>
  <c r="D351" i="12"/>
  <c r="N349" i="12"/>
  <c r="V349" i="12" s="1"/>
  <c r="P345" i="12"/>
  <c r="P344" i="12"/>
  <c r="D343" i="12"/>
  <c r="D342" i="12"/>
  <c r="D341" i="12"/>
  <c r="D340" i="12"/>
  <c r="D339" i="12"/>
  <c r="D338" i="12"/>
  <c r="D337" i="12"/>
  <c r="D336" i="12"/>
  <c r="D335" i="12"/>
  <c r="D334" i="12"/>
  <c r="D333" i="12"/>
  <c r="P328" i="12"/>
  <c r="P327" i="12"/>
  <c r="D319" i="12"/>
  <c r="D318" i="12"/>
  <c r="D317" i="12"/>
  <c r="D316" i="12"/>
  <c r="G315" i="12"/>
  <c r="D315" i="12"/>
  <c r="P309" i="12"/>
  <c r="P308" i="12"/>
  <c r="P307" i="12"/>
  <c r="D307" i="12"/>
  <c r="D306" i="12"/>
  <c r="D305" i="12"/>
  <c r="D304" i="12"/>
  <c r="D303" i="12"/>
  <c r="D302" i="12"/>
  <c r="D301" i="12"/>
  <c r="D300" i="12"/>
  <c r="D299" i="12"/>
  <c r="D298" i="12"/>
  <c r="D297" i="12"/>
  <c r="P292" i="12"/>
  <c r="P291" i="12"/>
  <c r="N291" i="12"/>
  <c r="L291" i="12"/>
  <c r="P289" i="12"/>
  <c r="D289" i="12"/>
  <c r="D286" i="12"/>
  <c r="D283" i="12"/>
  <c r="D282" i="12"/>
  <c r="D281" i="12"/>
  <c r="P280" i="12"/>
  <c r="D280" i="12"/>
  <c r="D279" i="12"/>
  <c r="J278" i="12"/>
  <c r="I278" i="12"/>
  <c r="J277" i="12"/>
  <c r="I277" i="12"/>
  <c r="N276" i="12"/>
  <c r="P273" i="12"/>
  <c r="P272" i="12"/>
  <c r="D271" i="12"/>
  <c r="D270" i="12"/>
  <c r="D269" i="12"/>
  <c r="N268" i="12"/>
  <c r="D268" i="12"/>
  <c r="D267" i="12"/>
  <c r="D266" i="12"/>
  <c r="D265" i="12"/>
  <c r="D264" i="12"/>
  <c r="D263" i="12"/>
  <c r="D262" i="12"/>
  <c r="D261" i="12"/>
  <c r="D257" i="12"/>
  <c r="P256" i="12"/>
  <c r="P255" i="12"/>
  <c r="G255" i="12"/>
  <c r="G363" i="12" s="1"/>
  <c r="J254" i="12"/>
  <c r="I254" i="12"/>
  <c r="E254" i="12"/>
  <c r="D254" i="12"/>
  <c r="R253" i="12"/>
  <c r="R361" i="12" s="1"/>
  <c r="P253" i="12"/>
  <c r="P325" i="12" s="1"/>
  <c r="N253" i="12"/>
  <c r="L253" i="12"/>
  <c r="L361" i="12" s="1"/>
  <c r="G253" i="12"/>
  <c r="G361" i="12" s="1"/>
  <c r="G252" i="12"/>
  <c r="G396" i="12" s="1"/>
  <c r="G251" i="12"/>
  <c r="G359" i="12" s="1"/>
  <c r="R250" i="12"/>
  <c r="R322" i="12" s="1"/>
  <c r="P250" i="12"/>
  <c r="N250" i="12"/>
  <c r="N322" i="12" s="1"/>
  <c r="L250" i="12"/>
  <c r="G250" i="12"/>
  <c r="G249" i="12"/>
  <c r="G321" i="12" s="1"/>
  <c r="G248" i="12"/>
  <c r="G320" i="12" s="1"/>
  <c r="L247" i="12"/>
  <c r="L283" i="12" s="1"/>
  <c r="L246" i="12"/>
  <c r="L390" i="12" s="1"/>
  <c r="P245" i="12"/>
  <c r="P389" i="12" s="1"/>
  <c r="P244" i="12"/>
  <c r="P388" i="12" s="1"/>
  <c r="P243" i="12"/>
  <c r="P315" i="12" s="1"/>
  <c r="N243" i="12"/>
  <c r="N387" i="12" s="1"/>
  <c r="G243" i="12"/>
  <c r="G387" i="12" s="1"/>
  <c r="P242" i="12"/>
  <c r="P386" i="12" s="1"/>
  <c r="X386" i="12" s="1"/>
  <c r="N242" i="12"/>
  <c r="N386" i="12" s="1"/>
  <c r="G242" i="12"/>
  <c r="G314" i="12" s="1"/>
  <c r="E242" i="12"/>
  <c r="D242" i="12"/>
  <c r="P241" i="12"/>
  <c r="P313" i="12" s="1"/>
  <c r="X313" i="12" s="1"/>
  <c r="N241" i="12"/>
  <c r="N313" i="12" s="1"/>
  <c r="V313" i="12" s="1"/>
  <c r="G241" i="12"/>
  <c r="G349" i="12" s="1"/>
  <c r="E241" i="12"/>
  <c r="D241" i="12"/>
  <c r="P240" i="12"/>
  <c r="P384" i="12" s="1"/>
  <c r="N240" i="12"/>
  <c r="N348" i="12" s="1"/>
  <c r="G240" i="12"/>
  <c r="G384" i="12" s="1"/>
  <c r="G452" i="12" s="1"/>
  <c r="P237" i="12"/>
  <c r="P236" i="12"/>
  <c r="P235" i="12"/>
  <c r="L235" i="12"/>
  <c r="L271" i="12" s="1"/>
  <c r="R234" i="12"/>
  <c r="R270" i="12" s="1"/>
  <c r="P234" i="12"/>
  <c r="P270" i="12" s="1"/>
  <c r="N234" i="12"/>
  <c r="N378" i="12" s="1"/>
  <c r="N233" i="12"/>
  <c r="N377" i="12" s="1"/>
  <c r="L233" i="12"/>
  <c r="L377" i="12" s="1"/>
  <c r="L411" i="12" s="1"/>
  <c r="N232" i="12"/>
  <c r="N340" i="12" s="1"/>
  <c r="L232" i="12"/>
  <c r="N231" i="12"/>
  <c r="N267" i="12" s="1"/>
  <c r="L231" i="12"/>
  <c r="L267" i="12" s="1"/>
  <c r="N230" i="12"/>
  <c r="N374" i="12" s="1"/>
  <c r="N442" i="12" s="1"/>
  <c r="L230" i="12"/>
  <c r="L374" i="12" s="1"/>
  <c r="P225" i="12"/>
  <c r="P369" i="12" s="1"/>
  <c r="N225" i="12"/>
  <c r="E222" i="12"/>
  <c r="P221" i="12"/>
  <c r="D221" i="12"/>
  <c r="P220" i="12"/>
  <c r="I219" i="12"/>
  <c r="D219" i="12"/>
  <c r="N218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R205" i="12"/>
  <c r="N205" i="12"/>
  <c r="L205" i="12"/>
  <c r="D205" i="12"/>
  <c r="R204" i="12"/>
  <c r="N204" i="12"/>
  <c r="L204" i="12"/>
  <c r="D204" i="12"/>
  <c r="D203" i="12"/>
  <c r="D202" i="12"/>
  <c r="D200" i="12"/>
  <c r="D199" i="12"/>
  <c r="D197" i="12"/>
  <c r="R196" i="12"/>
  <c r="P196" i="12"/>
  <c r="N196" i="12"/>
  <c r="D196" i="12"/>
  <c r="R195" i="12"/>
  <c r="P195" i="12"/>
  <c r="N195" i="12"/>
  <c r="D195" i="12"/>
  <c r="X194" i="12"/>
  <c r="V194" i="12"/>
  <c r="P194" i="12"/>
  <c r="N194" i="12"/>
  <c r="D194" i="12"/>
  <c r="X193" i="12"/>
  <c r="P193" i="12"/>
  <c r="N193" i="12"/>
  <c r="V193" i="12" s="1"/>
  <c r="D192" i="12"/>
  <c r="R191" i="12"/>
  <c r="P191" i="12"/>
  <c r="N191" i="12"/>
  <c r="D191" i="12"/>
  <c r="R190" i="12"/>
  <c r="P190" i="12"/>
  <c r="N190" i="12"/>
  <c r="D189" i="12"/>
  <c r="E188" i="12"/>
  <c r="D188" i="12"/>
  <c r="E185" i="12"/>
  <c r="P184" i="12"/>
  <c r="D184" i="12"/>
  <c r="P183" i="12"/>
  <c r="I182" i="12"/>
  <c r="D182" i="12"/>
  <c r="N181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R168" i="12"/>
  <c r="N168" i="12"/>
  <c r="L168" i="12"/>
  <c r="D168" i="12"/>
  <c r="R167" i="12"/>
  <c r="N167" i="12"/>
  <c r="L167" i="12"/>
  <c r="D167" i="12"/>
  <c r="D166" i="12"/>
  <c r="D165" i="12"/>
  <c r="D163" i="12"/>
  <c r="D162" i="12"/>
  <c r="D160" i="12"/>
  <c r="R159" i="12"/>
  <c r="P159" i="12"/>
  <c r="N159" i="12"/>
  <c r="D159" i="12"/>
  <c r="R158" i="12"/>
  <c r="P158" i="12"/>
  <c r="N158" i="12"/>
  <c r="D158" i="12"/>
  <c r="P157" i="12"/>
  <c r="N157" i="12"/>
  <c r="D157" i="12"/>
  <c r="P156" i="12"/>
  <c r="N156" i="12"/>
  <c r="D155" i="12"/>
  <c r="R154" i="12"/>
  <c r="P154" i="12"/>
  <c r="N154" i="12"/>
  <c r="D154" i="12"/>
  <c r="R153" i="12"/>
  <c r="P153" i="12"/>
  <c r="N153" i="12"/>
  <c r="D152" i="12"/>
  <c r="E151" i="12"/>
  <c r="D151" i="12"/>
  <c r="E148" i="12"/>
  <c r="P147" i="12"/>
  <c r="D147" i="12"/>
  <c r="P146" i="12"/>
  <c r="I145" i="12"/>
  <c r="D145" i="12"/>
  <c r="N144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R131" i="12"/>
  <c r="N131" i="12"/>
  <c r="L131" i="12"/>
  <c r="D131" i="12"/>
  <c r="R130" i="12"/>
  <c r="N130" i="12"/>
  <c r="L130" i="12"/>
  <c r="D130" i="12"/>
  <c r="D129" i="12"/>
  <c r="D128" i="12"/>
  <c r="D126" i="12"/>
  <c r="D125" i="12"/>
  <c r="D123" i="12"/>
  <c r="R122" i="12"/>
  <c r="P122" i="12"/>
  <c r="N122" i="12"/>
  <c r="D122" i="12"/>
  <c r="R121" i="12"/>
  <c r="P121" i="12"/>
  <c r="N121" i="12"/>
  <c r="D121" i="12"/>
  <c r="P120" i="12"/>
  <c r="N120" i="12"/>
  <c r="D120" i="12"/>
  <c r="R119" i="12"/>
  <c r="P119" i="12"/>
  <c r="N119" i="12"/>
  <c r="D118" i="12"/>
  <c r="R117" i="12"/>
  <c r="P117" i="12"/>
  <c r="N117" i="12"/>
  <c r="D117" i="12"/>
  <c r="R116" i="12"/>
  <c r="P116" i="12"/>
  <c r="N116" i="12"/>
  <c r="D115" i="12"/>
  <c r="E114" i="12"/>
  <c r="D114" i="12"/>
  <c r="P110" i="12"/>
  <c r="D110" i="12"/>
  <c r="P109" i="12"/>
  <c r="I108" i="12"/>
  <c r="D108" i="12"/>
  <c r="N107" i="12"/>
  <c r="D107" i="12"/>
  <c r="D106" i="12"/>
  <c r="D105" i="12"/>
  <c r="D103" i="12"/>
  <c r="D102" i="12"/>
  <c r="D100" i="12"/>
  <c r="D99" i="12"/>
  <c r="D97" i="12"/>
  <c r="D96" i="12"/>
  <c r="D94" i="12"/>
  <c r="R93" i="12"/>
  <c r="P93" i="12"/>
  <c r="N93" i="12"/>
  <c r="D93" i="12"/>
  <c r="R92" i="12"/>
  <c r="P92" i="12"/>
  <c r="N92" i="12"/>
  <c r="I92" i="12"/>
  <c r="X91" i="12"/>
  <c r="P91" i="12"/>
  <c r="N91" i="12"/>
  <c r="V91" i="12" s="1"/>
  <c r="D91" i="12"/>
  <c r="V90" i="12"/>
  <c r="P90" i="12"/>
  <c r="X90" i="12" s="1"/>
  <c r="N90" i="12"/>
  <c r="D89" i="12"/>
  <c r="R88" i="12"/>
  <c r="P88" i="12"/>
  <c r="N88" i="12"/>
  <c r="D88" i="12"/>
  <c r="R87" i="12"/>
  <c r="P87" i="12"/>
  <c r="N87" i="12"/>
  <c r="D86" i="12"/>
  <c r="D85" i="12"/>
  <c r="P81" i="12"/>
  <c r="D81" i="12"/>
  <c r="P80" i="12"/>
  <c r="I79" i="12"/>
  <c r="D79" i="12"/>
  <c r="N78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R65" i="12"/>
  <c r="N65" i="12"/>
  <c r="L65" i="12"/>
  <c r="D65" i="12"/>
  <c r="R64" i="12"/>
  <c r="N64" i="12"/>
  <c r="L64" i="12"/>
  <c r="D64" i="12"/>
  <c r="D63" i="12"/>
  <c r="D62" i="12"/>
  <c r="D60" i="12"/>
  <c r="D59" i="12"/>
  <c r="D57" i="12"/>
  <c r="R56" i="12"/>
  <c r="P56" i="12"/>
  <c r="N56" i="12"/>
  <c r="D56" i="12"/>
  <c r="R55" i="12"/>
  <c r="P55" i="12"/>
  <c r="N55" i="12"/>
  <c r="D55" i="12"/>
  <c r="P54" i="12"/>
  <c r="N54" i="12"/>
  <c r="D54" i="12"/>
  <c r="R53" i="12"/>
  <c r="P53" i="12"/>
  <c r="N53" i="12"/>
  <c r="D52" i="12"/>
  <c r="R51" i="12"/>
  <c r="P51" i="12"/>
  <c r="N51" i="12"/>
  <c r="D51" i="12"/>
  <c r="R50" i="12"/>
  <c r="P50" i="12"/>
  <c r="N50" i="12"/>
  <c r="D49" i="12"/>
  <c r="D48" i="12"/>
  <c r="AD45" i="12"/>
  <c r="AC45" i="12"/>
  <c r="AB45" i="12"/>
  <c r="E45" i="12"/>
  <c r="D44" i="12"/>
  <c r="I42" i="12"/>
  <c r="D42" i="12"/>
  <c r="R41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P28" i="12"/>
  <c r="D28" i="12"/>
  <c r="P27" i="12"/>
  <c r="D27" i="12"/>
  <c r="D26" i="12"/>
  <c r="D25" i="12"/>
  <c r="D23" i="12"/>
  <c r="D22" i="12"/>
  <c r="D20" i="12"/>
  <c r="AC19" i="12"/>
  <c r="L19" i="12"/>
  <c r="D19" i="12"/>
  <c r="L18" i="12"/>
  <c r="D18" i="12"/>
  <c r="R17" i="12"/>
  <c r="R194" i="12" s="1"/>
  <c r="Z194" i="12" s="1"/>
  <c r="D17" i="12"/>
  <c r="R16" i="12"/>
  <c r="R193" i="12" s="1"/>
  <c r="Z193" i="12" s="1"/>
  <c r="D15" i="12"/>
  <c r="L14" i="12"/>
  <c r="D14" i="12"/>
  <c r="L13" i="12"/>
  <c r="D12" i="12"/>
  <c r="E11" i="12"/>
  <c r="D11" i="12"/>
  <c r="B4" i="12"/>
  <c r="B3" i="12"/>
  <c r="N369" i="12" l="1"/>
  <c r="L322" i="12"/>
  <c r="N261" i="12"/>
  <c r="V870" i="12"/>
  <c r="P131" i="12"/>
  <c r="L153" i="12"/>
  <c r="L195" i="12"/>
  <c r="N814" i="12"/>
  <c r="L2209" i="12"/>
  <c r="P1582" i="12"/>
  <c r="I2231" i="12"/>
  <c r="I2520" i="12"/>
  <c r="L117" i="12"/>
  <c r="L122" i="12"/>
  <c r="P130" i="12"/>
  <c r="P64" i="12"/>
  <c r="V1153" i="12"/>
  <c r="R1626" i="12"/>
  <c r="R2041" i="12"/>
  <c r="N289" i="12"/>
  <c r="N777" i="12"/>
  <c r="D2288" i="12"/>
  <c r="X2342" i="12"/>
  <c r="N794" i="12"/>
  <c r="N816" i="12"/>
  <c r="L549" i="12"/>
  <c r="V1149" i="12"/>
  <c r="X2343" i="12"/>
  <c r="I1685" i="12"/>
  <c r="I2500" i="12"/>
  <c r="I94" i="12"/>
  <c r="D2292" i="12"/>
  <c r="E1205" i="12"/>
  <c r="D2330" i="12"/>
  <c r="D1194" i="12"/>
  <c r="I1500" i="12"/>
  <c r="I166" i="12"/>
  <c r="I103" i="12"/>
  <c r="I129" i="12"/>
  <c r="D2254" i="12"/>
  <c r="D2326" i="12"/>
  <c r="I723" i="12"/>
  <c r="J1560" i="12"/>
  <c r="I1634" i="12"/>
  <c r="I1642" i="12"/>
  <c r="E1756" i="12"/>
  <c r="I1459" i="12"/>
  <c r="D1635" i="12"/>
  <c r="I1412" i="12"/>
  <c r="D2276" i="12"/>
  <c r="I2276" i="12" s="1"/>
  <c r="I35" i="12"/>
  <c r="I158" i="12"/>
  <c r="I890" i="12"/>
  <c r="I1666" i="12"/>
  <c r="I1709" i="12"/>
  <c r="I2109" i="12"/>
  <c r="I745" i="12"/>
  <c r="I802" i="12"/>
  <c r="I2074" i="12"/>
  <c r="D2267" i="12"/>
  <c r="X241" i="12"/>
  <c r="I757" i="12"/>
  <c r="D2272" i="12"/>
  <c r="I56" i="12"/>
  <c r="I286" i="12"/>
  <c r="D361" i="12"/>
  <c r="J1162" i="12"/>
  <c r="D1992" i="12"/>
  <c r="I1992" i="12" s="1"/>
  <c r="I2162" i="12"/>
  <c r="D2324" i="12"/>
  <c r="I1024" i="12"/>
  <c r="J1109" i="12"/>
  <c r="I1241" i="12"/>
  <c r="I15" i="12"/>
  <c r="V555" i="12"/>
  <c r="I758" i="12"/>
  <c r="I833" i="12"/>
  <c r="I1978" i="12"/>
  <c r="D2166" i="12"/>
  <c r="I2184" i="12"/>
  <c r="I2210" i="12"/>
  <c r="D2667" i="12"/>
  <c r="I242" i="12"/>
  <c r="I673" i="12"/>
  <c r="J693" i="12"/>
  <c r="X714" i="12"/>
  <c r="E839" i="12"/>
  <c r="E2108" i="12"/>
  <c r="D2173" i="12"/>
  <c r="I2173" i="12" s="1"/>
  <c r="I2292" i="12"/>
  <c r="I152" i="12"/>
  <c r="D377" i="12"/>
  <c r="E23" i="12"/>
  <c r="I26" i="12"/>
  <c r="D520" i="12"/>
  <c r="D587" i="12"/>
  <c r="D547" i="12"/>
  <c r="AC673" i="12"/>
  <c r="D678" i="12"/>
  <c r="I725" i="12"/>
  <c r="I743" i="12"/>
  <c r="J786" i="12"/>
  <c r="J794" i="12"/>
  <c r="I805" i="12"/>
  <c r="E815" i="12"/>
  <c r="E832" i="12"/>
  <c r="E853" i="12"/>
  <c r="D839" i="12"/>
  <c r="E844" i="12"/>
  <c r="I882" i="12"/>
  <c r="I935" i="12"/>
  <c r="I943" i="12"/>
  <c r="R965" i="12"/>
  <c r="R967" i="12" s="1"/>
  <c r="I993" i="12"/>
  <c r="I1019" i="12"/>
  <c r="I1044" i="12"/>
  <c r="I1116" i="12"/>
  <c r="E1125" i="12"/>
  <c r="I1131" i="12"/>
  <c r="I1213" i="12"/>
  <c r="I1222" i="12"/>
  <c r="I1231" i="12"/>
  <c r="I1264" i="12"/>
  <c r="I1273" i="12"/>
  <c r="I1337" i="12"/>
  <c r="I1346" i="12"/>
  <c r="I1355" i="12"/>
  <c r="I1364" i="12"/>
  <c r="AA1424" i="12"/>
  <c r="I1420" i="12"/>
  <c r="I1431" i="12"/>
  <c r="I1439" i="12"/>
  <c r="I1448" i="12"/>
  <c r="I1471" i="12"/>
  <c r="J1500" i="12"/>
  <c r="I1528" i="12"/>
  <c r="I1609" i="12"/>
  <c r="I1626" i="12"/>
  <c r="I1669" i="12"/>
  <c r="I1677" i="12"/>
  <c r="I1691" i="12"/>
  <c r="I1724" i="12"/>
  <c r="E1802" i="12"/>
  <c r="E1743" i="12"/>
  <c r="E1749" i="12"/>
  <c r="I1756" i="12"/>
  <c r="I1793" i="12"/>
  <c r="I1832" i="12"/>
  <c r="I1930" i="12"/>
  <c r="I2104" i="12"/>
  <c r="E2109" i="12"/>
  <c r="I2117" i="12"/>
  <c r="E2124" i="12"/>
  <c r="I2148" i="12"/>
  <c r="E2192" i="12"/>
  <c r="D2178" i="12"/>
  <c r="I2209" i="12"/>
  <c r="I2254" i="12"/>
  <c r="I2395" i="12"/>
  <c r="I2533" i="12"/>
  <c r="I2548" i="12"/>
  <c r="T2552" i="12"/>
  <c r="Z2567" i="12"/>
  <c r="I2599" i="12"/>
  <c r="X2637" i="12"/>
  <c r="D462" i="12"/>
  <c r="D530" i="12"/>
  <c r="J775" i="12"/>
  <c r="I787" i="12"/>
  <c r="I872" i="12"/>
  <c r="I917" i="12"/>
  <c r="I925" i="12"/>
  <c r="E940" i="12"/>
  <c r="I1020" i="12"/>
  <c r="I1025" i="12"/>
  <c r="D1064" i="12"/>
  <c r="E1092" i="12"/>
  <c r="I1158" i="12"/>
  <c r="I1232" i="12"/>
  <c r="I1239" i="12"/>
  <c r="I1265" i="12"/>
  <c r="I1274" i="12"/>
  <c r="I1283" i="12"/>
  <c r="E1285" i="12"/>
  <c r="I1338" i="12"/>
  <c r="I1347" i="12"/>
  <c r="I1356" i="12"/>
  <c r="I1365" i="12"/>
  <c r="I1399" i="12"/>
  <c r="I1449" i="12"/>
  <c r="I1460" i="12"/>
  <c r="I1472" i="12"/>
  <c r="I1508" i="12"/>
  <c r="I1529" i="12"/>
  <c r="D1546" i="12"/>
  <c r="I1604" i="12"/>
  <c r="I1646" i="12"/>
  <c r="I1662" i="12"/>
  <c r="I1701" i="12"/>
  <c r="I1725" i="12"/>
  <c r="E1750" i="12"/>
  <c r="E1764" i="12"/>
  <c r="I1794" i="12"/>
  <c r="I1821" i="12"/>
  <c r="I1847" i="12"/>
  <c r="E1871" i="12"/>
  <c r="E1879" i="12"/>
  <c r="E1919" i="12"/>
  <c r="E1887" i="12" s="1"/>
  <c r="I1994" i="12"/>
  <c r="I2027" i="12"/>
  <c r="I2058" i="12"/>
  <c r="I2097" i="12"/>
  <c r="I2141" i="12"/>
  <c r="I2149" i="12"/>
  <c r="I2154" i="12"/>
  <c r="I2194" i="12"/>
  <c r="I2222" i="12"/>
  <c r="I2306" i="12"/>
  <c r="I2373" i="12"/>
  <c r="I2396" i="12"/>
  <c r="I2414" i="12"/>
  <c r="D2325" i="12"/>
  <c r="I2502" i="12"/>
  <c r="I2534" i="12"/>
  <c r="Z2557" i="12"/>
  <c r="J2674" i="12"/>
  <c r="I38" i="12"/>
  <c r="I75" i="12"/>
  <c r="E189" i="12"/>
  <c r="D232" i="12"/>
  <c r="D452" i="12"/>
  <c r="I76" i="12"/>
  <c r="I100" i="12"/>
  <c r="I143" i="12"/>
  <c r="I216" i="12"/>
  <c r="D348" i="12"/>
  <c r="D629" i="12"/>
  <c r="D662" i="12"/>
  <c r="I704" i="12"/>
  <c r="J813" i="12"/>
  <c r="I1110" i="12"/>
  <c r="D13" i="12"/>
  <c r="I34" i="12"/>
  <c r="I39" i="12"/>
  <c r="I60" i="12"/>
  <c r="I77" i="12"/>
  <c r="I137" i="12"/>
  <c r="I177" i="12"/>
  <c r="D226" i="12"/>
  <c r="D233" i="12"/>
  <c r="D358" i="12"/>
  <c r="D630" i="12"/>
  <c r="I705" i="12"/>
  <c r="I727" i="12"/>
  <c r="I737" i="12"/>
  <c r="E791" i="12"/>
  <c r="I806" i="12"/>
  <c r="E814" i="12"/>
  <c r="J825" i="12"/>
  <c r="I859" i="12"/>
  <c r="E922" i="12"/>
  <c r="E894" i="12"/>
  <c r="I936" i="12"/>
  <c r="J953" i="12"/>
  <c r="I998" i="12"/>
  <c r="I1041" i="12"/>
  <c r="I1092" i="12"/>
  <c r="I1216" i="12"/>
  <c r="I1224" i="12"/>
  <c r="I1234" i="12"/>
  <c r="I1240" i="12"/>
  <c r="I1266" i="12"/>
  <c r="I1339" i="12"/>
  <c r="I1348" i="12"/>
  <c r="I1357" i="12"/>
  <c r="J1399" i="12"/>
  <c r="AA2408" i="12"/>
  <c r="D1388" i="12"/>
  <c r="I1427" i="12"/>
  <c r="I1432" i="12"/>
  <c r="J1439" i="12"/>
  <c r="I1467" i="12"/>
  <c r="I1509" i="12"/>
  <c r="D1564" i="12"/>
  <c r="I1596" i="12"/>
  <c r="I1624" i="12"/>
  <c r="I1644" i="12"/>
  <c r="I1663" i="12"/>
  <c r="I1671" i="12"/>
  <c r="I1727" i="12"/>
  <c r="E1744" i="12"/>
  <c r="E1751" i="12"/>
  <c r="I1765" i="12"/>
  <c r="I1822" i="12"/>
  <c r="I1834" i="12"/>
  <c r="I1878" i="12"/>
  <c r="I1920" i="12"/>
  <c r="I2051" i="12"/>
  <c r="I2110" i="12"/>
  <c r="D2169" i="12"/>
  <c r="I2195" i="12"/>
  <c r="E2216" i="12"/>
  <c r="I2307" i="12"/>
  <c r="I2326" i="12"/>
  <c r="AA2346" i="12"/>
  <c r="I2398" i="12"/>
  <c r="I2430" i="12"/>
  <c r="I2503" i="12"/>
  <c r="I2545" i="12"/>
  <c r="T2550" i="12"/>
  <c r="I2590" i="12"/>
  <c r="I2600" i="12"/>
  <c r="X2610" i="12"/>
  <c r="D2620" i="12"/>
  <c r="J2640" i="12"/>
  <c r="E2656" i="12"/>
  <c r="T2680" i="12"/>
  <c r="I179" i="12"/>
  <c r="I797" i="12"/>
  <c r="D193" i="12"/>
  <c r="I40" i="12"/>
  <c r="D61" i="12"/>
  <c r="I78" i="12"/>
  <c r="I160" i="12"/>
  <c r="I218" i="12"/>
  <c r="D312" i="12"/>
  <c r="D372" i="12"/>
  <c r="I735" i="12"/>
  <c r="I825" i="12"/>
  <c r="E852" i="12"/>
  <c r="I854" i="12"/>
  <c r="I860" i="12"/>
  <c r="I918" i="12"/>
  <c r="J936" i="12"/>
  <c r="I954" i="12"/>
  <c r="I1017" i="12"/>
  <c r="I1045" i="12"/>
  <c r="I1087" i="12"/>
  <c r="I1093" i="12"/>
  <c r="D1101" i="12"/>
  <c r="I1112" i="12"/>
  <c r="I1159" i="12"/>
  <c r="I1217" i="12"/>
  <c r="I1225" i="12"/>
  <c r="I1235" i="12"/>
  <c r="E1259" i="12"/>
  <c r="I1341" i="12"/>
  <c r="I1349" i="12"/>
  <c r="I1358" i="12"/>
  <c r="I1367" i="12"/>
  <c r="E1369" i="12"/>
  <c r="E1363" i="12" s="1"/>
  <c r="I1428" i="12"/>
  <c r="I1468" i="12"/>
  <c r="I1530" i="12"/>
  <c r="I1582" i="12"/>
  <c r="I1664" i="12"/>
  <c r="I1679" i="12"/>
  <c r="I1687" i="12"/>
  <c r="I1694" i="12"/>
  <c r="I1728" i="12"/>
  <c r="D1803" i="12"/>
  <c r="I1745" i="12"/>
  <c r="E1752" i="12"/>
  <c r="E1759" i="12"/>
  <c r="E1767" i="12"/>
  <c r="I1777" i="12"/>
  <c r="I1787" i="12"/>
  <c r="E1799" i="12"/>
  <c r="I1835" i="12"/>
  <c r="E1836" i="12"/>
  <c r="J1870" i="12"/>
  <c r="J1878" i="12"/>
  <c r="D1911" i="12"/>
  <c r="I1921" i="12"/>
  <c r="I2037" i="12"/>
  <c r="I2060" i="12"/>
  <c r="I2119" i="12"/>
  <c r="I2150" i="12"/>
  <c r="D2171" i="12"/>
  <c r="J2184" i="12"/>
  <c r="I2196" i="12"/>
  <c r="I2217" i="12"/>
  <c r="I2272" i="12"/>
  <c r="I2308" i="12"/>
  <c r="I2399" i="12"/>
  <c r="I2483" i="12"/>
  <c r="T2553" i="12"/>
  <c r="I2597" i="12"/>
  <c r="J2600" i="12"/>
  <c r="Z2610" i="12"/>
  <c r="D2643" i="12"/>
  <c r="E2665" i="12"/>
  <c r="X2680" i="12"/>
  <c r="D373" i="12"/>
  <c r="I861" i="12"/>
  <c r="I879" i="12"/>
  <c r="E895" i="12"/>
  <c r="J918" i="12"/>
  <c r="I927" i="12"/>
  <c r="D965" i="12"/>
  <c r="I994" i="12"/>
  <c r="I1000" i="12"/>
  <c r="I1021" i="12"/>
  <c r="I1046" i="12"/>
  <c r="I1094" i="12"/>
  <c r="I1194" i="12"/>
  <c r="I1218" i="12"/>
  <c r="I1236" i="12"/>
  <c r="E1243" i="12"/>
  <c r="I1323" i="12"/>
  <c r="I1342" i="12"/>
  <c r="I1360" i="12"/>
  <c r="D1374" i="12"/>
  <c r="J1419" i="12"/>
  <c r="AA1444" i="12"/>
  <c r="I1469" i="12"/>
  <c r="I1519" i="12"/>
  <c r="AA1584" i="12"/>
  <c r="D1552" i="12"/>
  <c r="J1582" i="12"/>
  <c r="I1622" i="12"/>
  <c r="I1628" i="12"/>
  <c r="I1647" i="12"/>
  <c r="I1673" i="12"/>
  <c r="I1688" i="12"/>
  <c r="I1695" i="12"/>
  <c r="I1721" i="12"/>
  <c r="I1729" i="12"/>
  <c r="E1745" i="12"/>
  <c r="I1752" i="12"/>
  <c r="E1760" i="12"/>
  <c r="E1768" i="12"/>
  <c r="I1843" i="12"/>
  <c r="I1871" i="12"/>
  <c r="AA1914" i="12"/>
  <c r="D1925" i="12"/>
  <c r="D1982" i="12"/>
  <c r="I2061" i="12"/>
  <c r="I2089" i="12"/>
  <c r="D2158" i="12"/>
  <c r="D2174" i="12"/>
  <c r="I2376" i="12"/>
  <c r="J2483" i="12"/>
  <c r="I2496" i="12"/>
  <c r="I2547" i="12"/>
  <c r="J2584" i="12"/>
  <c r="I2601" i="12"/>
  <c r="N2613" i="12"/>
  <c r="G2639" i="12"/>
  <c r="J2670" i="12"/>
  <c r="I212" i="12"/>
  <c r="D322" i="12"/>
  <c r="D418" i="12"/>
  <c r="J735" i="12"/>
  <c r="I23" i="12"/>
  <c r="I196" i="12"/>
  <c r="D325" i="12"/>
  <c r="I784" i="12"/>
  <c r="I873" i="12"/>
  <c r="I880" i="12"/>
  <c r="D896" i="12"/>
  <c r="I932" i="12"/>
  <c r="I995" i="12"/>
  <c r="V1017" i="12"/>
  <c r="I1022" i="12"/>
  <c r="I1088" i="12"/>
  <c r="E1108" i="12"/>
  <c r="I1113" i="12"/>
  <c r="I1153" i="12"/>
  <c r="I1228" i="12"/>
  <c r="I1261" i="12"/>
  <c r="I1270" i="12"/>
  <c r="I1279" i="12"/>
  <c r="I1343" i="12"/>
  <c r="I1351" i="12"/>
  <c r="I1361" i="12"/>
  <c r="D1378" i="12"/>
  <c r="I1451" i="12"/>
  <c r="AA1524" i="12"/>
  <c r="J1519" i="12"/>
  <c r="AA1585" i="12"/>
  <c r="D1573" i="12"/>
  <c r="I1583" i="12"/>
  <c r="I1607" i="12"/>
  <c r="D1615" i="12"/>
  <c r="I1629" i="12"/>
  <c r="I1682" i="12"/>
  <c r="E1689" i="12"/>
  <c r="I1696" i="12"/>
  <c r="I1705" i="12"/>
  <c r="I1722" i="12"/>
  <c r="I1730" i="12"/>
  <c r="I1740" i="12"/>
  <c r="E1746" i="12"/>
  <c r="E1753" i="12"/>
  <c r="I1780" i="12"/>
  <c r="I1789" i="12"/>
  <c r="I1824" i="12"/>
  <c r="D1814" i="12"/>
  <c r="I1844" i="12"/>
  <c r="D1875" i="12"/>
  <c r="I1927" i="12"/>
  <c r="J2001" i="12"/>
  <c r="D1983" i="12"/>
  <c r="I2039" i="12"/>
  <c r="D1997" i="12"/>
  <c r="I2062" i="12"/>
  <c r="E2101" i="12"/>
  <c r="J2108" i="12"/>
  <c r="I2152" i="12"/>
  <c r="D2161" i="12"/>
  <c r="I2219" i="12"/>
  <c r="I2288" i="12"/>
  <c r="D2273" i="12"/>
  <c r="I2410" i="12"/>
  <c r="I2419" i="12"/>
  <c r="I2484" i="12"/>
  <c r="I2497" i="12"/>
  <c r="I2531" i="12"/>
  <c r="T2551" i="12"/>
  <c r="D2570" i="12"/>
  <c r="I2598" i="12"/>
  <c r="J2601" i="12"/>
  <c r="D2664" i="12"/>
  <c r="J2671" i="12"/>
  <c r="I71" i="12"/>
  <c r="I139" i="12"/>
  <c r="I783" i="12"/>
  <c r="I950" i="12"/>
  <c r="I41" i="12"/>
  <c r="I105" i="12"/>
  <c r="D323" i="12"/>
  <c r="D496" i="12"/>
  <c r="E715" i="12"/>
  <c r="I778" i="12"/>
  <c r="I769" i="12"/>
  <c r="I1219" i="12"/>
  <c r="I55" i="12"/>
  <c r="I73" i="12"/>
  <c r="I106" i="12"/>
  <c r="I141" i="12"/>
  <c r="I181" i="12"/>
  <c r="D229" i="12"/>
  <c r="D371" i="12"/>
  <c r="D545" i="12"/>
  <c r="D686" i="12"/>
  <c r="I693" i="12"/>
  <c r="I695" i="12"/>
  <c r="I703" i="12"/>
  <c r="V714" i="12"/>
  <c r="I746" i="12"/>
  <c r="I785" i="12"/>
  <c r="I804" i="12"/>
  <c r="I823" i="12"/>
  <c r="I881" i="12"/>
  <c r="D892" i="12"/>
  <c r="I909" i="12"/>
  <c r="I915" i="12"/>
  <c r="I996" i="12"/>
  <c r="I1001" i="12"/>
  <c r="I1023" i="12"/>
  <c r="I1048" i="12"/>
  <c r="I1089" i="12"/>
  <c r="I1109" i="12"/>
  <c r="I1114" i="12"/>
  <c r="E1124" i="12"/>
  <c r="I1160" i="12"/>
  <c r="I1220" i="12"/>
  <c r="I1229" i="12"/>
  <c r="I1237" i="12"/>
  <c r="D1202" i="12"/>
  <c r="I1271" i="12"/>
  <c r="I1280" i="12"/>
  <c r="E1327" i="12"/>
  <c r="I1344" i="12"/>
  <c r="I1353" i="12"/>
  <c r="I1362" i="12"/>
  <c r="I1400" i="12"/>
  <c r="AA1423" i="12"/>
  <c r="I1408" i="12"/>
  <c r="I1452" i="12"/>
  <c r="D1538" i="12"/>
  <c r="AA1586" i="12"/>
  <c r="I1614" i="12"/>
  <c r="I1645" i="12"/>
  <c r="I1648" i="12"/>
  <c r="I1667" i="12"/>
  <c r="I1707" i="12"/>
  <c r="I1723" i="12"/>
  <c r="E1740" i="12"/>
  <c r="I1761" i="12"/>
  <c r="E1773" i="12"/>
  <c r="I1845" i="12"/>
  <c r="D1987" i="12"/>
  <c r="I2108" i="12"/>
  <c r="D2086" i="12"/>
  <c r="I2139" i="12"/>
  <c r="E2146" i="12"/>
  <c r="E2152" i="12"/>
  <c r="I2220" i="12"/>
  <c r="D2289" i="12"/>
  <c r="I2392" i="12"/>
  <c r="I2411" i="12"/>
  <c r="J2585" i="12"/>
  <c r="I2614" i="12"/>
  <c r="I2629" i="12"/>
  <c r="Z2639" i="12"/>
  <c r="D486" i="12"/>
  <c r="I701" i="12"/>
  <c r="I18" i="12"/>
  <c r="I36" i="12"/>
  <c r="I72" i="12"/>
  <c r="D164" i="12"/>
  <c r="I203" i="12"/>
  <c r="D228" i="12"/>
  <c r="D682" i="12"/>
  <c r="I803" i="12"/>
  <c r="E871" i="12"/>
  <c r="I37" i="12"/>
  <c r="I49" i="12"/>
  <c r="I52" i="12"/>
  <c r="I57" i="12"/>
  <c r="I74" i="12"/>
  <c r="I93" i="12"/>
  <c r="I107" i="12"/>
  <c r="I121" i="12"/>
  <c r="I123" i="12"/>
  <c r="I175" i="12"/>
  <c r="I214" i="12"/>
  <c r="D276" i="12"/>
  <c r="D653" i="12"/>
  <c r="D675" i="12"/>
  <c r="I747" i="12"/>
  <c r="D763" i="12"/>
  <c r="E780" i="12"/>
  <c r="I786" i="12"/>
  <c r="I824" i="12"/>
  <c r="I853" i="12"/>
  <c r="I934" i="12"/>
  <c r="I952" i="12"/>
  <c r="I1090" i="12"/>
  <c r="I1221" i="12"/>
  <c r="I1238" i="12"/>
  <c r="I1202" i="12"/>
  <c r="I1254" i="12"/>
  <c r="I1263" i="12"/>
  <c r="I1281" i="12"/>
  <c r="I1336" i="12"/>
  <c r="I1345" i="12"/>
  <c r="I1354" i="12"/>
  <c r="I1363" i="12"/>
  <c r="I1409" i="12"/>
  <c r="I1430" i="12"/>
  <c r="I1447" i="12"/>
  <c r="D1503" i="12"/>
  <c r="I1520" i="12"/>
  <c r="I1527" i="12"/>
  <c r="AA1587" i="12"/>
  <c r="I1630" i="12"/>
  <c r="I1643" i="12"/>
  <c r="I1668" i="12"/>
  <c r="I1684" i="12"/>
  <c r="I1690" i="12"/>
  <c r="E1723" i="12"/>
  <c r="E1725" i="12"/>
  <c r="E1741" i="12"/>
  <c r="I1748" i="12"/>
  <c r="E1755" i="12"/>
  <c r="E1762" i="12"/>
  <c r="I1782" i="12"/>
  <c r="I1792" i="12"/>
  <c r="E1825" i="12"/>
  <c r="E1847" i="12"/>
  <c r="I1862" i="12"/>
  <c r="E1863" i="12"/>
  <c r="I2003" i="12"/>
  <c r="I2011" i="12"/>
  <c r="I2041" i="12"/>
  <c r="I2049" i="12"/>
  <c r="E2153" i="12"/>
  <c r="I2200" i="12"/>
  <c r="E2221" i="12"/>
  <c r="I2291" i="12"/>
  <c r="I2330" i="12"/>
  <c r="I2393" i="12"/>
  <c r="I2412" i="12"/>
  <c r="D2323" i="12"/>
  <c r="I2532" i="12"/>
  <c r="J2548" i="12"/>
  <c r="I2554" i="12"/>
  <c r="Z2566" i="12"/>
  <c r="J2598" i="12"/>
  <c r="E2639" i="12"/>
  <c r="J2672" i="12"/>
  <c r="D791" i="12"/>
  <c r="E1366" i="12"/>
  <c r="E1538" i="12"/>
  <c r="E1675" i="12"/>
  <c r="I2218" i="12"/>
  <c r="D2172" i="12"/>
  <c r="D2299" i="12"/>
  <c r="I2403" i="12"/>
  <c r="E19" i="12"/>
  <c r="D24" i="12"/>
  <c r="D346" i="12"/>
  <c r="D541" i="12"/>
  <c r="D677" i="12"/>
  <c r="D762" i="12"/>
  <c r="J863" i="12"/>
  <c r="D837" i="12"/>
  <c r="D900" i="12"/>
  <c r="AE982" i="12"/>
  <c r="D1054" i="12"/>
  <c r="I1091" i="12"/>
  <c r="E1115" i="12"/>
  <c r="D1195" i="12"/>
  <c r="D1201" i="12"/>
  <c r="D1424" i="12"/>
  <c r="I1391" i="12"/>
  <c r="D1479" i="12"/>
  <c r="D1492" i="12"/>
  <c r="D1535" i="12"/>
  <c r="D1550" i="12"/>
  <c r="E1669" i="12"/>
  <c r="I1675" i="12"/>
  <c r="E1691" i="12"/>
  <c r="D1716" i="12"/>
  <c r="I2025" i="12"/>
  <c r="E2026" i="12"/>
  <c r="I2198" i="12"/>
  <c r="D2175" i="12"/>
  <c r="I2627" i="12"/>
  <c r="D2628" i="12"/>
  <c r="D245" i="12"/>
  <c r="D768" i="12"/>
  <c r="D1377" i="12"/>
  <c r="I1689" i="12"/>
  <c r="I1764" i="12"/>
  <c r="I2357" i="12"/>
  <c r="D2253" i="12"/>
  <c r="I2370" i="12"/>
  <c r="D2266" i="12"/>
  <c r="E115" i="12"/>
  <c r="D559" i="12"/>
  <c r="D542" i="12"/>
  <c r="I12" i="12"/>
  <c r="D840" i="12"/>
  <c r="E929" i="12"/>
  <c r="D87" i="12"/>
  <c r="D90" i="12"/>
  <c r="D116" i="12"/>
  <c r="D119" i="12"/>
  <c r="E348" i="12"/>
  <c r="D543" i="12"/>
  <c r="X693" i="12"/>
  <c r="E736" i="12"/>
  <c r="D836" i="12"/>
  <c r="E910" i="12"/>
  <c r="I978" i="12"/>
  <c r="I1073" i="12"/>
  <c r="D1332" i="12"/>
  <c r="I1410" i="12"/>
  <c r="AA1445" i="12"/>
  <c r="D1553" i="12"/>
  <c r="AE1619" i="12"/>
  <c r="I1651" i="12"/>
  <c r="E1677" i="12"/>
  <c r="I1759" i="12"/>
  <c r="E1664" i="12"/>
  <c r="E123" i="12"/>
  <c r="D528" i="12"/>
  <c r="D124" i="12"/>
  <c r="D463" i="12"/>
  <c r="E520" i="12"/>
  <c r="D683" i="12"/>
  <c r="E694" i="12"/>
  <c r="D679" i="12"/>
  <c r="E829" i="12"/>
  <c r="D867" i="12"/>
  <c r="T912" i="12"/>
  <c r="I901" i="12"/>
  <c r="E969" i="12"/>
  <c r="D1401" i="12"/>
  <c r="E1685" i="12"/>
  <c r="I115" i="12"/>
  <c r="E159" i="12"/>
  <c r="E312" i="12"/>
  <c r="D247" i="12"/>
  <c r="D375" i="12"/>
  <c r="D426" i="12"/>
  <c r="D379" i="12"/>
  <c r="D391" i="12"/>
  <c r="D484" i="12"/>
  <c r="D546" i="12"/>
  <c r="D685" i="12"/>
  <c r="D689" i="12"/>
  <c r="D843" i="12"/>
  <c r="D1103" i="12"/>
  <c r="D1176" i="12"/>
  <c r="D1390" i="12"/>
  <c r="D1504" i="12"/>
  <c r="E1673" i="12"/>
  <c r="E1679" i="12"/>
  <c r="D2076" i="12"/>
  <c r="D2084" i="12"/>
  <c r="D2311" i="12"/>
  <c r="I2415" i="12"/>
  <c r="D549" i="12"/>
  <c r="D889" i="12"/>
  <c r="D98" i="12"/>
  <c r="D127" i="12"/>
  <c r="E779" i="12"/>
  <c r="E908" i="12"/>
  <c r="D1073" i="12"/>
  <c r="D1187" i="12"/>
  <c r="D1505" i="12"/>
  <c r="E1662" i="12"/>
  <c r="E1674" i="12"/>
  <c r="I1856" i="12"/>
  <c r="D1909" i="12"/>
  <c r="D1905" i="12"/>
  <c r="E2191" i="12"/>
  <c r="D2227" i="12"/>
  <c r="E1703" i="12"/>
  <c r="D1804" i="12"/>
  <c r="V2679" i="12"/>
  <c r="I1804" i="12"/>
  <c r="I1750" i="12"/>
  <c r="I1755" i="12"/>
  <c r="D1981" i="12"/>
  <c r="D1989" i="12"/>
  <c r="D2167" i="12"/>
  <c r="E1761" i="12"/>
  <c r="I1768" i="12"/>
  <c r="D1815" i="12"/>
  <c r="I2106" i="12"/>
  <c r="E2147" i="12"/>
  <c r="I2178" i="12"/>
  <c r="D2269" i="12"/>
  <c r="D2294" i="12"/>
  <c r="D2310" i="12"/>
  <c r="I2585" i="12"/>
  <c r="AE2623" i="12"/>
  <c r="D1773" i="12"/>
  <c r="D1991" i="12"/>
  <c r="D2114" i="12"/>
  <c r="E2110" i="12"/>
  <c r="E2107" i="12" s="1"/>
  <c r="E2125" i="12"/>
  <c r="D2295" i="12"/>
  <c r="E1763" i="12"/>
  <c r="AE1797" i="12"/>
  <c r="T1716" i="12" s="1"/>
  <c r="D1994" i="12"/>
  <c r="D2177" i="12"/>
  <c r="D2089" i="12"/>
  <c r="L190" i="12"/>
  <c r="D1181" i="12"/>
  <c r="N269" i="12"/>
  <c r="P276" i="12"/>
  <c r="P333" i="12"/>
  <c r="N351" i="12"/>
  <c r="I555" i="12"/>
  <c r="N653" i="12"/>
  <c r="N662" i="12"/>
  <c r="R727" i="12"/>
  <c r="N815" i="12"/>
  <c r="N851" i="12"/>
  <c r="P908" i="12"/>
  <c r="P928" i="12"/>
  <c r="N1087" i="12"/>
  <c r="N1134" i="12"/>
  <c r="D1197" i="12"/>
  <c r="R1449" i="12"/>
  <c r="R2065" i="12"/>
  <c r="I1366" i="12"/>
  <c r="L1387" i="12"/>
  <c r="L1608" i="12"/>
  <c r="R1646" i="12"/>
  <c r="J2520" i="12"/>
  <c r="D1199" i="12"/>
  <c r="P856" i="12"/>
  <c r="L16" i="12"/>
  <c r="P277" i="12"/>
  <c r="X277" i="12" s="1"/>
  <c r="X694" i="12"/>
  <c r="N797" i="12"/>
  <c r="P817" i="12"/>
  <c r="N861" i="12"/>
  <c r="P945" i="12"/>
  <c r="N1086" i="12"/>
  <c r="V1086" i="12" s="1"/>
  <c r="D1189" i="12"/>
  <c r="E1265" i="12"/>
  <c r="D1198" i="12"/>
  <c r="N796" i="12"/>
  <c r="P168" i="12"/>
  <c r="L196" i="12"/>
  <c r="X242" i="12"/>
  <c r="G313" i="12"/>
  <c r="G325" i="12"/>
  <c r="P589" i="12"/>
  <c r="N611" i="12"/>
  <c r="X736" i="12"/>
  <c r="N775" i="12"/>
  <c r="P797" i="12"/>
  <c r="P813" i="12"/>
  <c r="X813" i="12" s="1"/>
  <c r="P861" i="12"/>
  <c r="V907" i="12"/>
  <c r="R1001" i="12"/>
  <c r="R549" i="12" s="1"/>
  <c r="R615" i="12" s="1"/>
  <c r="N1083" i="12"/>
  <c r="V1083" i="12" s="1"/>
  <c r="T1149" i="12"/>
  <c r="D1193" i="12"/>
  <c r="L580" i="12"/>
  <c r="L948" i="12"/>
  <c r="T948" i="12" s="1"/>
  <c r="L50" i="12"/>
  <c r="P205" i="12"/>
  <c r="I241" i="12"/>
  <c r="P314" i="12"/>
  <c r="X314" i="12" s="1"/>
  <c r="P620" i="12"/>
  <c r="L626" i="12"/>
  <c r="N823" i="12"/>
  <c r="N907" i="12"/>
  <c r="L930" i="12"/>
  <c r="P946" i="12"/>
  <c r="R1409" i="12"/>
  <c r="L1566" i="12"/>
  <c r="P1583" i="12"/>
  <c r="R1469" i="12"/>
  <c r="L338" i="12"/>
  <c r="P1112" i="12"/>
  <c r="L121" i="12"/>
  <c r="R235" i="12"/>
  <c r="P279" i="12"/>
  <c r="L286" i="12"/>
  <c r="L613" i="12"/>
  <c r="N629" i="12"/>
  <c r="L819" i="12"/>
  <c r="X832" i="12"/>
  <c r="N943" i="12"/>
  <c r="D1180" i="12"/>
  <c r="I1215" i="12"/>
  <c r="D1173" i="12"/>
  <c r="D1799" i="12"/>
  <c r="E1787" i="12"/>
  <c r="E1782" i="12"/>
  <c r="I97" i="12"/>
  <c r="I159" i="12"/>
  <c r="D359" i="12"/>
  <c r="E899" i="12"/>
  <c r="E1215" i="12"/>
  <c r="D284" i="12"/>
  <c r="D663" i="12"/>
  <c r="D711" i="12"/>
  <c r="E452" i="12"/>
  <c r="E12" i="12"/>
  <c r="E129" i="12"/>
  <c r="E192" i="12"/>
  <c r="D234" i="12"/>
  <c r="D389" i="12"/>
  <c r="D518" i="12"/>
  <c r="AE690" i="12"/>
  <c r="J714" i="12"/>
  <c r="D674" i="12"/>
  <c r="X735" i="12"/>
  <c r="X851" i="12"/>
  <c r="J851" i="12"/>
  <c r="D977" i="12"/>
  <c r="D1066" i="12"/>
  <c r="D1065" i="12"/>
  <c r="D1190" i="12"/>
  <c r="D1248" i="12"/>
  <c r="I1429" i="12"/>
  <c r="D1387" i="12"/>
  <c r="I1785" i="12"/>
  <c r="E1785" i="12"/>
  <c r="D2083" i="12"/>
  <c r="E2149" i="12"/>
  <c r="E2150" i="12"/>
  <c r="D2435" i="12"/>
  <c r="E2376" i="12" s="1"/>
  <c r="D2309" i="12"/>
  <c r="D2322" i="12"/>
  <c r="I2654" i="12"/>
  <c r="D2655" i="12"/>
  <c r="D2645" i="12"/>
  <c r="E1269" i="12"/>
  <c r="I1269" i="12"/>
  <c r="E1278" i="12"/>
  <c r="I1278" i="12"/>
  <c r="E1698" i="12"/>
  <c r="I1698" i="12"/>
  <c r="I2379" i="12"/>
  <c r="D2275" i="12"/>
  <c r="AE2633" i="12"/>
  <c r="E1686" i="12"/>
  <c r="I1686" i="12"/>
  <c r="E1777" i="12"/>
  <c r="I118" i="12"/>
  <c r="D597" i="12"/>
  <c r="AE45" i="12"/>
  <c r="I89" i="12"/>
  <c r="E121" i="12"/>
  <c r="J121" i="12" s="1"/>
  <c r="E126" i="12"/>
  <c r="D153" i="12"/>
  <c r="E158" i="12"/>
  <c r="J158" i="12" s="1"/>
  <c r="E166" i="12"/>
  <c r="I192" i="12"/>
  <c r="D230" i="12"/>
  <c r="D244" i="12"/>
  <c r="D560" i="12"/>
  <c r="J694" i="12"/>
  <c r="I717" i="12"/>
  <c r="J787" i="12"/>
  <c r="T858" i="12"/>
  <c r="I862" i="12"/>
  <c r="E872" i="12"/>
  <c r="E1094" i="12"/>
  <c r="D1488" i="12"/>
  <c r="I1683" i="12"/>
  <c r="E1683" i="12"/>
  <c r="E1757" i="12"/>
  <c r="I1757" i="12"/>
  <c r="I86" i="12"/>
  <c r="I163" i="12"/>
  <c r="D971" i="12"/>
  <c r="D1030" i="12"/>
  <c r="E1019" i="12" s="1"/>
  <c r="I1115" i="12"/>
  <c r="D82" i="12"/>
  <c r="I907" i="12"/>
  <c r="I1111" i="12"/>
  <c r="AC144" i="12"/>
  <c r="D156" i="12"/>
  <c r="D540" i="12"/>
  <c r="D651" i="12"/>
  <c r="E856" i="12"/>
  <c r="I863" i="12"/>
  <c r="D844" i="12"/>
  <c r="E958" i="12"/>
  <c r="D978" i="12"/>
  <c r="X1041" i="12"/>
  <c r="J1041" i="12"/>
  <c r="D1812" i="12"/>
  <c r="I1823" i="12"/>
  <c r="E1823" i="12"/>
  <c r="D1980" i="12"/>
  <c r="E1977" i="12"/>
  <c r="J2049" i="12"/>
  <c r="D1071" i="12"/>
  <c r="E1093" i="12"/>
  <c r="D1883" i="12"/>
  <c r="I1879" i="12"/>
  <c r="I189" i="12"/>
  <c r="I1227" i="12"/>
  <c r="D1185" i="12"/>
  <c r="I1605" i="12"/>
  <c r="E1605" i="12"/>
  <c r="E1604" i="12"/>
  <c r="I126" i="12"/>
  <c r="D95" i="12"/>
  <c r="I155" i="12"/>
  <c r="D161" i="12"/>
  <c r="AC181" i="12"/>
  <c r="D274" i="12"/>
  <c r="D369" i="12"/>
  <c r="D387" i="12"/>
  <c r="D548" i="12"/>
  <c r="D596" i="12"/>
  <c r="I686" i="12"/>
  <c r="E737" i="12"/>
  <c r="E763" i="12"/>
  <c r="D810" i="12"/>
  <c r="E818" i="12"/>
  <c r="D842" i="12"/>
  <c r="D886" i="12"/>
  <c r="J954" i="12"/>
  <c r="D976" i="12"/>
  <c r="D1062" i="12"/>
  <c r="D1070" i="12"/>
  <c r="I1561" i="12"/>
  <c r="D1539" i="12"/>
  <c r="E2142" i="12"/>
  <c r="AA2343" i="12"/>
  <c r="AA2362" i="12"/>
  <c r="D2362" i="12" s="1"/>
  <c r="E944" i="12"/>
  <c r="E587" i="12"/>
  <c r="E572" i="12" s="1"/>
  <c r="J736" i="12"/>
  <c r="D766" i="12"/>
  <c r="J917" i="12"/>
  <c r="D1098" i="12"/>
  <c r="E18" i="12"/>
  <c r="Z18" i="12" s="1"/>
  <c r="E196" i="12"/>
  <c r="D531" i="12"/>
  <c r="D631" i="12"/>
  <c r="E653" i="12"/>
  <c r="E695" i="12"/>
  <c r="I714" i="12"/>
  <c r="D680" i="12"/>
  <c r="D767" i="12"/>
  <c r="E799" i="12"/>
  <c r="E768" i="12"/>
  <c r="I813" i="12"/>
  <c r="D759" i="12"/>
  <c r="J824" i="12"/>
  <c r="D834" i="12"/>
  <c r="D838" i="12"/>
  <c r="D969" i="12"/>
  <c r="D1067" i="12"/>
  <c r="I1223" i="12"/>
  <c r="E1479" i="12"/>
  <c r="I1754" i="12"/>
  <c r="E1754" i="12"/>
  <c r="I2017" i="12"/>
  <c r="D1993" i="12"/>
  <c r="D2616" i="12"/>
  <c r="I2615" i="12"/>
  <c r="I1763" i="12"/>
  <c r="E1794" i="12"/>
  <c r="D1829" i="12"/>
  <c r="D1840" i="12"/>
  <c r="I1919" i="12"/>
  <c r="D1979" i="12"/>
  <c r="I2015" i="12"/>
  <c r="E2051" i="12"/>
  <c r="D2085" i="12"/>
  <c r="I2107" i="12"/>
  <c r="E2148" i="12"/>
  <c r="I2151" i="12"/>
  <c r="E2154" i="12"/>
  <c r="D2170" i="12"/>
  <c r="E2193" i="12"/>
  <c r="E2200" i="12"/>
  <c r="E2223" i="12"/>
  <c r="E2643" i="12"/>
  <c r="D973" i="12"/>
  <c r="D1063" i="12"/>
  <c r="D1120" i="12"/>
  <c r="D1068" i="12"/>
  <c r="E1257" i="12"/>
  <c r="I1282" i="12"/>
  <c r="E1353" i="12"/>
  <c r="I1440" i="12"/>
  <c r="D1487" i="12"/>
  <c r="I1531" i="12"/>
  <c r="I1597" i="12"/>
  <c r="E1666" i="12"/>
  <c r="E1695" i="12"/>
  <c r="E1728" i="12"/>
  <c r="I1746" i="12"/>
  <c r="I1753" i="12"/>
  <c r="E1789" i="12"/>
  <c r="AA1913" i="12"/>
  <c r="E2050" i="12"/>
  <c r="D2078" i="12"/>
  <c r="E2143" i="12"/>
  <c r="I2223" i="12"/>
  <c r="I2358" i="12"/>
  <c r="D2644" i="12"/>
  <c r="D1205" i="12"/>
  <c r="I1554" i="12"/>
  <c r="E1716" i="12"/>
  <c r="D1811" i="12"/>
  <c r="D1851" i="12"/>
  <c r="D2073" i="12"/>
  <c r="E2099" i="12"/>
  <c r="D2087" i="12"/>
  <c r="E2145" i="12"/>
  <c r="D2168" i="12"/>
  <c r="I1319" i="12"/>
  <c r="E1355" i="12"/>
  <c r="AE1394" i="12"/>
  <c r="D1456" i="12"/>
  <c r="AA1465" i="12"/>
  <c r="AE1495" i="12"/>
  <c r="I1492" i="12"/>
  <c r="E1642" i="12"/>
  <c r="D1649" i="12"/>
  <c r="E1724" i="12"/>
  <c r="E1730" i="12"/>
  <c r="I1744" i="12"/>
  <c r="E1748" i="12"/>
  <c r="I1751" i="12"/>
  <c r="E1765" i="12"/>
  <c r="E1792" i="12"/>
  <c r="I1815" i="12"/>
  <c r="AE1998" i="12"/>
  <c r="D2077" i="12"/>
  <c r="I2105" i="12"/>
  <c r="E2214" i="12"/>
  <c r="D2630" i="12"/>
  <c r="I2662" i="12"/>
  <c r="I1276" i="12"/>
  <c r="D1290" i="12"/>
  <c r="I1325" i="12"/>
  <c r="AA1425" i="12"/>
  <c r="D1436" i="12"/>
  <c r="D1490" i="12"/>
  <c r="E1672" i="12"/>
  <c r="E1692" i="12"/>
  <c r="E1696" i="12"/>
  <c r="E1709" i="12"/>
  <c r="I1762" i="12"/>
  <c r="E1780" i="12"/>
  <c r="D1810" i="12"/>
  <c r="AE1818" i="12"/>
  <c r="E1834" i="12"/>
  <c r="E1845" i="12"/>
  <c r="I2095" i="12"/>
  <c r="E2222" i="12"/>
  <c r="D2539" i="12"/>
  <c r="J2613" i="12"/>
  <c r="D1072" i="12"/>
  <c r="E1267" i="12"/>
  <c r="E1272" i="12"/>
  <c r="E1277" i="12"/>
  <c r="D1386" i="12"/>
  <c r="D1391" i="12"/>
  <c r="D1502" i="12"/>
  <c r="AE1657" i="12"/>
  <c r="I1672" i="12"/>
  <c r="E1676" i="12"/>
  <c r="E1687" i="12"/>
  <c r="I1692" i="12"/>
  <c r="D1802" i="12"/>
  <c r="E1807" i="12"/>
  <c r="I1922" i="12"/>
  <c r="E2209" i="12"/>
  <c r="D2640" i="12"/>
  <c r="D769" i="12"/>
  <c r="D845" i="12"/>
  <c r="E1065" i="12"/>
  <c r="I1267" i="12"/>
  <c r="I1272" i="12"/>
  <c r="I1277" i="12"/>
  <c r="I1321" i="12"/>
  <c r="D1554" i="12"/>
  <c r="E1682" i="12"/>
  <c r="E1690" i="12"/>
  <c r="E1697" i="12"/>
  <c r="E1721" i="12"/>
  <c r="I1741" i="12"/>
  <c r="I1749" i="12"/>
  <c r="I1767" i="12"/>
  <c r="AE1859" i="12"/>
  <c r="D1912" i="12"/>
  <c r="AE2331" i="12"/>
  <c r="I452" i="12"/>
  <c r="N523" i="12"/>
  <c r="N455" i="12"/>
  <c r="N489" i="12"/>
  <c r="N421" i="12"/>
  <c r="V348" i="12"/>
  <c r="D21" i="12"/>
  <c r="E20" i="12"/>
  <c r="D16" i="12"/>
  <c r="E26" i="12"/>
  <c r="D45" i="12"/>
  <c r="E48" i="12"/>
  <c r="D50" i="12"/>
  <c r="D58" i="12"/>
  <c r="I178" i="12"/>
  <c r="E191" i="12"/>
  <c r="D190" i="12"/>
  <c r="E203" i="12"/>
  <c r="L442" i="12"/>
  <c r="L476" i="12"/>
  <c r="L510" i="12"/>
  <c r="L408" i="12"/>
  <c r="L268" i="12"/>
  <c r="L340" i="12"/>
  <c r="I349" i="12"/>
  <c r="J349" i="12"/>
  <c r="J313" i="12"/>
  <c r="I313" i="12"/>
  <c r="D429" i="12"/>
  <c r="D390" i="12"/>
  <c r="I195" i="12"/>
  <c r="E195" i="12"/>
  <c r="I213" i="12"/>
  <c r="D222" i="12"/>
  <c r="N476" i="12"/>
  <c r="N510" i="12"/>
  <c r="N408" i="12"/>
  <c r="N522" i="12"/>
  <c r="V522" i="12" s="1"/>
  <c r="N488" i="12"/>
  <c r="V488" i="12" s="1"/>
  <c r="N454" i="12"/>
  <c r="V454" i="12" s="1"/>
  <c r="N420" i="12"/>
  <c r="V420" i="12" s="1"/>
  <c r="P524" i="12"/>
  <c r="P490" i="12"/>
  <c r="P456" i="12"/>
  <c r="P422" i="12"/>
  <c r="P322" i="12"/>
  <c r="P286" i="12"/>
  <c r="D370" i="12"/>
  <c r="D416" i="12"/>
  <c r="D374" i="12"/>
  <c r="D428" i="12"/>
  <c r="D378" i="12"/>
  <c r="D539" i="12"/>
  <c r="D620" i="12"/>
  <c r="Z158" i="12"/>
  <c r="I180" i="12"/>
  <c r="L445" i="12"/>
  <c r="L479" i="12"/>
  <c r="L513" i="12"/>
  <c r="P525" i="12"/>
  <c r="P491" i="12"/>
  <c r="P423" i="12"/>
  <c r="G323" i="12"/>
  <c r="P457" i="12"/>
  <c r="E25" i="12"/>
  <c r="J23" i="12"/>
  <c r="I138" i="12"/>
  <c r="D53" i="12"/>
  <c r="D148" i="12"/>
  <c r="I144" i="12"/>
  <c r="D198" i="12"/>
  <c r="I197" i="12"/>
  <c r="E197" i="12"/>
  <c r="I215" i="12"/>
  <c r="AC218" i="12"/>
  <c r="D225" i="12"/>
  <c r="N445" i="12"/>
  <c r="N513" i="12"/>
  <c r="N479" i="12"/>
  <c r="N411" i="12"/>
  <c r="P271" i="12"/>
  <c r="P343" i="12"/>
  <c r="G523" i="12"/>
  <c r="G421" i="12"/>
  <c r="G455" i="12"/>
  <c r="G489" i="12"/>
  <c r="G498" i="12"/>
  <c r="G532" i="12"/>
  <c r="G430" i="12"/>
  <c r="G464" i="12"/>
  <c r="D246" i="12"/>
  <c r="D287" i="12"/>
  <c r="L304" i="12"/>
  <c r="I315" i="12"/>
  <c r="D376" i="12"/>
  <c r="I142" i="12"/>
  <c r="R107" i="12"/>
  <c r="R218" i="12"/>
  <c r="R181" i="12"/>
  <c r="R78" i="12"/>
  <c r="R144" i="12"/>
  <c r="I174" i="12"/>
  <c r="I122" i="12"/>
  <c r="E122" i="12"/>
  <c r="I176" i="12"/>
  <c r="D185" i="12"/>
  <c r="N505" i="12"/>
  <c r="N471" i="12"/>
  <c r="N403" i="12"/>
  <c r="N437" i="12"/>
  <c r="P418" i="12"/>
  <c r="P520" i="12"/>
  <c r="P452" i="12"/>
  <c r="P486" i="12"/>
  <c r="N279" i="12"/>
  <c r="N315" i="12"/>
  <c r="L526" i="12"/>
  <c r="L492" i="12"/>
  <c r="L458" i="12"/>
  <c r="L424" i="12"/>
  <c r="I279" i="12"/>
  <c r="D243" i="12"/>
  <c r="I289" i="12"/>
  <c r="P394" i="12"/>
  <c r="Z19" i="12"/>
  <c r="I19" i="12"/>
  <c r="AC25" i="12"/>
  <c r="J189" i="12"/>
  <c r="P522" i="12"/>
  <c r="X522" i="12" s="1"/>
  <c r="P420" i="12"/>
  <c r="X420" i="12" s="1"/>
  <c r="P454" i="12"/>
  <c r="X454" i="12" s="1"/>
  <c r="R325" i="12"/>
  <c r="R289" i="12"/>
  <c r="I20" i="12"/>
  <c r="I63" i="12"/>
  <c r="I140" i="12"/>
  <c r="D201" i="12"/>
  <c r="I200" i="12"/>
  <c r="E200" i="12"/>
  <c r="I211" i="12"/>
  <c r="P437" i="12"/>
  <c r="P471" i="12"/>
  <c r="P505" i="12"/>
  <c r="P403" i="12"/>
  <c r="I361" i="12"/>
  <c r="P358" i="12"/>
  <c r="G395" i="12"/>
  <c r="P488" i="12"/>
  <c r="X488" i="12" s="1"/>
  <c r="D618" i="12"/>
  <c r="I102" i="12"/>
  <c r="D111" i="12"/>
  <c r="G486" i="12"/>
  <c r="G520" i="12"/>
  <c r="G418" i="12"/>
  <c r="L512" i="12"/>
  <c r="L444" i="12"/>
  <c r="L478" i="12"/>
  <c r="L410" i="12"/>
  <c r="I217" i="12"/>
  <c r="N480" i="12"/>
  <c r="N514" i="12"/>
  <c r="N412" i="12"/>
  <c r="N446" i="12"/>
  <c r="J314" i="12"/>
  <c r="I314" i="12"/>
  <c r="D310" i="12"/>
  <c r="D227" i="12"/>
  <c r="D231" i="12"/>
  <c r="D235" i="12"/>
  <c r="P379" i="12"/>
  <c r="L93" i="12"/>
  <c r="L154" i="12"/>
  <c r="L159" i="12"/>
  <c r="P167" i="12"/>
  <c r="P204" i="12"/>
  <c r="L303" i="12"/>
  <c r="P306" i="12"/>
  <c r="L307" i="12"/>
  <c r="L341" i="12"/>
  <c r="P348" i="12"/>
  <c r="X348" i="12" s="1"/>
  <c r="G357" i="12"/>
  <c r="L358" i="12"/>
  <c r="N361" i="12"/>
  <c r="L375" i="12"/>
  <c r="P378" i="12"/>
  <c r="L379" i="12"/>
  <c r="N385" i="12"/>
  <c r="G393" i="12"/>
  <c r="L394" i="12"/>
  <c r="L51" i="12"/>
  <c r="L56" i="12"/>
  <c r="P65" i="12"/>
  <c r="L87" i="12"/>
  <c r="R120" i="12"/>
  <c r="E152" i="12"/>
  <c r="R156" i="12"/>
  <c r="E160" i="12"/>
  <c r="E163" i="12"/>
  <c r="V242" i="12"/>
  <c r="L269" i="12"/>
  <c r="N277" i="12"/>
  <c r="V277" i="12" s="1"/>
  <c r="N303" i="12"/>
  <c r="R306" i="12"/>
  <c r="N314" i="12"/>
  <c r="V314" i="12" s="1"/>
  <c r="P316" i="12"/>
  <c r="G322" i="12"/>
  <c r="D324" i="12"/>
  <c r="N333" i="12"/>
  <c r="N341" i="12"/>
  <c r="G350" i="12"/>
  <c r="L355" i="12"/>
  <c r="D356" i="12"/>
  <c r="N358" i="12"/>
  <c r="P361" i="12"/>
  <c r="N375" i="12"/>
  <c r="R378" i="12"/>
  <c r="P385" i="12"/>
  <c r="G386" i="12"/>
  <c r="V386" i="12"/>
  <c r="D388" i="12"/>
  <c r="L391" i="12"/>
  <c r="N394" i="12"/>
  <c r="D450" i="12"/>
  <c r="L611" i="12"/>
  <c r="L644" i="12"/>
  <c r="L578" i="12"/>
  <c r="P662" i="12"/>
  <c r="P596" i="12"/>
  <c r="P629" i="12"/>
  <c r="G666" i="12"/>
  <c r="G633" i="12"/>
  <c r="G600" i="12"/>
  <c r="L88" i="12"/>
  <c r="R90" i="12"/>
  <c r="Z90" i="12" s="1"/>
  <c r="R157" i="12"/>
  <c r="J242" i="12"/>
  <c r="P261" i="12"/>
  <c r="L266" i="12"/>
  <c r="N278" i="12"/>
  <c r="V278" i="12" s="1"/>
  <c r="N286" i="12"/>
  <c r="N304" i="12"/>
  <c r="R307" i="12"/>
  <c r="N312" i="12"/>
  <c r="P317" i="12"/>
  <c r="L318" i="12"/>
  <c r="G324" i="12"/>
  <c r="L325" i="12"/>
  <c r="G327" i="12"/>
  <c r="N338" i="12"/>
  <c r="N342" i="12"/>
  <c r="G348" i="12"/>
  <c r="P349" i="12"/>
  <c r="X349" i="12" s="1"/>
  <c r="P351" i="12"/>
  <c r="G356" i="12"/>
  <c r="R358" i="12"/>
  <c r="N376" i="12"/>
  <c r="R379" i="12"/>
  <c r="N384" i="12"/>
  <c r="P387" i="12"/>
  <c r="G392" i="12"/>
  <c r="R394" i="12"/>
  <c r="L17" i="12"/>
  <c r="R54" i="12"/>
  <c r="R91" i="12"/>
  <c r="Z91" i="12" s="1"/>
  <c r="L92" i="12"/>
  <c r="L116" i="12"/>
  <c r="L158" i="12"/>
  <c r="L191" i="12"/>
  <c r="V241" i="12"/>
  <c r="N266" i="12"/>
  <c r="N270" i="12"/>
  <c r="P278" i="12"/>
  <c r="X278" i="12" s="1"/>
  <c r="P281" i="12"/>
  <c r="L282" i="12"/>
  <c r="L305" i="12"/>
  <c r="P312" i="12"/>
  <c r="X312" i="12" s="1"/>
  <c r="N325" i="12"/>
  <c r="L339" i="12"/>
  <c r="P342" i="12"/>
  <c r="L343" i="12"/>
  <c r="G385" i="12"/>
  <c r="L645" i="12"/>
  <c r="L579" i="12"/>
  <c r="L612" i="12"/>
  <c r="L55" i="12"/>
  <c r="R286" i="12"/>
  <c r="N297" i="12"/>
  <c r="N305" i="12"/>
  <c r="L319" i="12"/>
  <c r="D320" i="12"/>
  <c r="N339" i="12"/>
  <c r="R342" i="12"/>
  <c r="N350" i="12"/>
  <c r="V350" i="12" s="1"/>
  <c r="P352" i="12"/>
  <c r="G358" i="12"/>
  <c r="G394" i="12"/>
  <c r="L577" i="12"/>
  <c r="L643" i="12"/>
  <c r="L610" i="12"/>
  <c r="L615" i="12"/>
  <c r="L648" i="12"/>
  <c r="L582" i="12"/>
  <c r="D556" i="12"/>
  <c r="I822" i="12"/>
  <c r="D765" i="12"/>
  <c r="J241" i="12"/>
  <c r="L289" i="12"/>
  <c r="P297" i="12"/>
  <c r="L302" i="12"/>
  <c r="P350" i="12"/>
  <c r="X350" i="12" s="1"/>
  <c r="G351" i="12"/>
  <c r="G398" i="12"/>
  <c r="D627" i="12"/>
  <c r="D557" i="12"/>
  <c r="N302" i="12"/>
  <c r="N306" i="12"/>
  <c r="G312" i="12"/>
  <c r="P353" i="12"/>
  <c r="L354" i="12"/>
  <c r="G360" i="12"/>
  <c r="D427" i="12"/>
  <c r="D464" i="12"/>
  <c r="N643" i="12"/>
  <c r="N610" i="12"/>
  <c r="N647" i="12"/>
  <c r="N614" i="12"/>
  <c r="N572" i="12"/>
  <c r="P581" i="12"/>
  <c r="D676" i="12"/>
  <c r="D497" i="12"/>
  <c r="P648" i="12"/>
  <c r="P582" i="12"/>
  <c r="D558" i="12"/>
  <c r="P572" i="12"/>
  <c r="N580" i="12"/>
  <c r="N605" i="12"/>
  <c r="J621" i="12"/>
  <c r="G627" i="12"/>
  <c r="P638" i="12"/>
  <c r="P654" i="12"/>
  <c r="X654" i="12" s="1"/>
  <c r="T857" i="12"/>
  <c r="E838" i="12"/>
  <c r="E855" i="12"/>
  <c r="D494" i="12"/>
  <c r="G622" i="12"/>
  <c r="G631" i="12"/>
  <c r="G664" i="12"/>
  <c r="D585" i="12"/>
  <c r="D544" i="12"/>
  <c r="P647" i="12"/>
  <c r="L898" i="12"/>
  <c r="L766" i="12"/>
  <c r="L724" i="12"/>
  <c r="L703" i="12"/>
  <c r="L842" i="12"/>
  <c r="L745" i="12"/>
  <c r="N748" i="12"/>
  <c r="N706" i="12"/>
  <c r="N727" i="12"/>
  <c r="N654" i="12"/>
  <c r="V654" i="12" s="1"/>
  <c r="N588" i="12"/>
  <c r="V588" i="12" s="1"/>
  <c r="L658" i="12"/>
  <c r="L625" i="12"/>
  <c r="G662" i="12"/>
  <c r="G596" i="12"/>
  <c r="L592" i="12"/>
  <c r="N621" i="12"/>
  <c r="V621" i="12" s="1"/>
  <c r="P622" i="12"/>
  <c r="R898" i="12"/>
  <c r="R842" i="12"/>
  <c r="R766" i="12"/>
  <c r="R745" i="12"/>
  <c r="R724" i="12"/>
  <c r="D460" i="12"/>
  <c r="N622" i="12"/>
  <c r="N589" i="12"/>
  <c r="N577" i="12"/>
  <c r="N578" i="12"/>
  <c r="G589" i="12"/>
  <c r="G653" i="12"/>
  <c r="I702" i="12"/>
  <c r="D681" i="12"/>
  <c r="P656" i="12"/>
  <c r="X656" i="12" s="1"/>
  <c r="P590" i="12"/>
  <c r="P657" i="12"/>
  <c r="P624" i="12"/>
  <c r="G663" i="12"/>
  <c r="G630" i="12"/>
  <c r="G597" i="12"/>
  <c r="G587" i="12"/>
  <c r="P591" i="12"/>
  <c r="N613" i="12"/>
  <c r="G655" i="12"/>
  <c r="X555" i="12"/>
  <c r="G629" i="12"/>
  <c r="N655" i="12"/>
  <c r="D660" i="12"/>
  <c r="G588" i="12"/>
  <c r="D594" i="12"/>
  <c r="D664" i="12"/>
  <c r="I748" i="12"/>
  <c r="D761" i="12"/>
  <c r="D958" i="12"/>
  <c r="I953" i="12"/>
  <c r="L1129" i="12"/>
  <c r="L1107" i="12"/>
  <c r="L1085" i="12"/>
  <c r="T1085" i="12" s="1"/>
  <c r="N579" i="12"/>
  <c r="R582" i="12"/>
  <c r="N587" i="12"/>
  <c r="R648" i="12"/>
  <c r="I654" i="12"/>
  <c r="I706" i="12"/>
  <c r="P776" i="12"/>
  <c r="P795" i="12"/>
  <c r="P814" i="12"/>
  <c r="P778" i="12"/>
  <c r="V815" i="12"/>
  <c r="J815" i="12"/>
  <c r="I821" i="12"/>
  <c r="D764" i="12"/>
  <c r="I696" i="12"/>
  <c r="I716" i="12"/>
  <c r="E716" i="12"/>
  <c r="D732" i="12"/>
  <c r="E724" i="12" s="1"/>
  <c r="I775" i="12"/>
  <c r="E777" i="12"/>
  <c r="D756" i="12"/>
  <c r="E776" i="12"/>
  <c r="X779" i="12"/>
  <c r="E795" i="12"/>
  <c r="I794" i="12"/>
  <c r="E796" i="12"/>
  <c r="E798" i="12"/>
  <c r="E762" i="12"/>
  <c r="E817" i="12"/>
  <c r="D760" i="12"/>
  <c r="D895" i="12"/>
  <c r="E911" i="12"/>
  <c r="E928" i="12"/>
  <c r="D894" i="12"/>
  <c r="D1142" i="12"/>
  <c r="I1135" i="12"/>
  <c r="X715" i="12"/>
  <c r="I724" i="12"/>
  <c r="I738" i="12"/>
  <c r="I744" i="12"/>
  <c r="D753" i="12"/>
  <c r="X775" i="12"/>
  <c r="T800" i="12"/>
  <c r="E810" i="12"/>
  <c r="E797" i="12" s="1"/>
  <c r="J805" i="12"/>
  <c r="E767" i="12"/>
  <c r="D684" i="12"/>
  <c r="I726" i="12"/>
  <c r="J737" i="12"/>
  <c r="X737" i="12"/>
  <c r="J832" i="12"/>
  <c r="V832" i="12"/>
  <c r="D1011" i="12"/>
  <c r="I722" i="12"/>
  <c r="T820" i="12"/>
  <c r="D829" i="12"/>
  <c r="P852" i="12"/>
  <c r="P871" i="12"/>
  <c r="X856" i="12"/>
  <c r="E837" i="12"/>
  <c r="V693" i="12"/>
  <c r="V735" i="12"/>
  <c r="P794" i="12"/>
  <c r="X794" i="12" s="1"/>
  <c r="L801" i="12"/>
  <c r="P854" i="12"/>
  <c r="P873" i="12"/>
  <c r="L877" i="12"/>
  <c r="T877" i="12" s="1"/>
  <c r="D899" i="12"/>
  <c r="I1322" i="12"/>
  <c r="D1196" i="12"/>
  <c r="P777" i="12"/>
  <c r="P780" i="12"/>
  <c r="L781" i="12"/>
  <c r="T781" i="12" s="1"/>
  <c r="P785" i="12"/>
  <c r="E867" i="12"/>
  <c r="J862" i="12"/>
  <c r="P870" i="12"/>
  <c r="X870" i="12" s="1"/>
  <c r="L949" i="12"/>
  <c r="T949" i="12" s="1"/>
  <c r="L931" i="12"/>
  <c r="T931" i="12" s="1"/>
  <c r="N916" i="12"/>
  <c r="N952" i="12"/>
  <c r="N934" i="12"/>
  <c r="E926" i="12"/>
  <c r="J925" i="12"/>
  <c r="X925" i="12"/>
  <c r="D972" i="12"/>
  <c r="I1042" i="12"/>
  <c r="E1042" i="12"/>
  <c r="R1090" i="12"/>
  <c r="R1134" i="12"/>
  <c r="R1112" i="12"/>
  <c r="D1061" i="12"/>
  <c r="E1128" i="12"/>
  <c r="I1300" i="12"/>
  <c r="D1174" i="12"/>
  <c r="D1326" i="12"/>
  <c r="V694" i="12"/>
  <c r="V736" i="12"/>
  <c r="L782" i="12"/>
  <c r="T782" i="12" s="1"/>
  <c r="V794" i="12"/>
  <c r="J806" i="12"/>
  <c r="P815" i="12"/>
  <c r="X815" i="12" s="1"/>
  <c r="I816" i="12"/>
  <c r="P818" i="12"/>
  <c r="D835" i="12"/>
  <c r="X907" i="12"/>
  <c r="I916" i="12"/>
  <c r="V925" i="12"/>
  <c r="D897" i="12"/>
  <c r="D940" i="12"/>
  <c r="R966" i="12"/>
  <c r="R1888" i="12"/>
  <c r="R1020" i="12"/>
  <c r="R996" i="12"/>
  <c r="R548" i="12" s="1"/>
  <c r="R1156" i="12"/>
  <c r="R1044" i="12"/>
  <c r="L972" i="12"/>
  <c r="P1131" i="12"/>
  <c r="P1109" i="12"/>
  <c r="X1109" i="12" s="1"/>
  <c r="P1087" i="12"/>
  <c r="X1087" i="12" s="1"/>
  <c r="E756" i="12"/>
  <c r="N778" i="12"/>
  <c r="P798" i="12"/>
  <c r="T801" i="12"/>
  <c r="N813" i="12"/>
  <c r="D832" i="12"/>
  <c r="N854" i="12"/>
  <c r="P855" i="12"/>
  <c r="L913" i="12"/>
  <c r="T913" i="12" s="1"/>
  <c r="D922" i="12"/>
  <c r="I933" i="12"/>
  <c r="I951" i="12"/>
  <c r="V993" i="12"/>
  <c r="L1127" i="12"/>
  <c r="L1083" i="12"/>
  <c r="T1083" i="12" s="1"/>
  <c r="E1129" i="12"/>
  <c r="E1130" i="12"/>
  <c r="J907" i="12"/>
  <c r="D901" i="12"/>
  <c r="D893" i="12"/>
  <c r="E947" i="12"/>
  <c r="R961" i="12"/>
  <c r="D966" i="12"/>
  <c r="D981" i="12"/>
  <c r="D672" i="12"/>
  <c r="P804" i="12"/>
  <c r="T819" i="12"/>
  <c r="R853" i="12"/>
  <c r="L834" i="12"/>
  <c r="D841" i="12"/>
  <c r="E843" i="12"/>
  <c r="X929" i="12"/>
  <c r="D967" i="12"/>
  <c r="D975" i="12"/>
  <c r="D968" i="12"/>
  <c r="V1108" i="12"/>
  <c r="T1108" i="12"/>
  <c r="E672" i="12"/>
  <c r="I851" i="12"/>
  <c r="I845" i="12"/>
  <c r="I878" i="12"/>
  <c r="E889" i="12"/>
  <c r="N908" i="12"/>
  <c r="N944" i="12"/>
  <c r="N926" i="12"/>
  <c r="D898" i="12"/>
  <c r="I914" i="12"/>
  <c r="D891" i="12"/>
  <c r="I945" i="12"/>
  <c r="D970" i="12"/>
  <c r="I999" i="12"/>
  <c r="I1018" i="12"/>
  <c r="I1154" i="12"/>
  <c r="D1170" i="12"/>
  <c r="I1212" i="12"/>
  <c r="E1212" i="12"/>
  <c r="P943" i="12"/>
  <c r="X943" i="12" s="1"/>
  <c r="I1049" i="12"/>
  <c r="E1049" i="12"/>
  <c r="I1132" i="12"/>
  <c r="I1155" i="12"/>
  <c r="I1157" i="12"/>
  <c r="D1164" i="12"/>
  <c r="I1350" i="12"/>
  <c r="D1182" i="12"/>
  <c r="E1350" i="12"/>
  <c r="N909" i="12"/>
  <c r="J935" i="12"/>
  <c r="J969" i="12"/>
  <c r="I997" i="12"/>
  <c r="D1009" i="12"/>
  <c r="J1017" i="12"/>
  <c r="X1017" i="12"/>
  <c r="I1043" i="12"/>
  <c r="E1043" i="12"/>
  <c r="E1090" i="12"/>
  <c r="D1069" i="12"/>
  <c r="N1105" i="12"/>
  <c r="D1104" i="12"/>
  <c r="E1103" i="12" s="1"/>
  <c r="N1129" i="12"/>
  <c r="I1133" i="12"/>
  <c r="I1136" i="12"/>
  <c r="E1136" i="12"/>
  <c r="D1147" i="12"/>
  <c r="I1156" i="12"/>
  <c r="P909" i="12"/>
  <c r="V943" i="12"/>
  <c r="D974" i="12"/>
  <c r="D1006" i="12"/>
  <c r="R1025" i="12"/>
  <c r="I1047" i="12"/>
  <c r="L1084" i="12"/>
  <c r="T1084" i="12" s="1"/>
  <c r="N1107" i="12"/>
  <c r="I1134" i="12"/>
  <c r="I1318" i="12"/>
  <c r="D1192" i="12"/>
  <c r="I1137" i="12"/>
  <c r="E1137" i="12"/>
  <c r="E900" i="12"/>
  <c r="T930" i="12"/>
  <c r="J943" i="12"/>
  <c r="N977" i="12"/>
  <c r="E1044" i="12"/>
  <c r="E1126" i="12"/>
  <c r="I1138" i="12"/>
  <c r="E1138" i="12"/>
  <c r="D1242" i="12"/>
  <c r="D1188" i="12"/>
  <c r="I1230" i="12"/>
  <c r="E1235" i="12"/>
  <c r="J993" i="12"/>
  <c r="X993" i="12"/>
  <c r="P1090" i="12"/>
  <c r="E1106" i="12"/>
  <c r="L1128" i="12"/>
  <c r="D1145" i="12"/>
  <c r="E1238" i="12"/>
  <c r="E1229" i="12"/>
  <c r="E1220" i="12"/>
  <c r="E1221" i="12"/>
  <c r="I1262" i="12"/>
  <c r="E1262" i="12"/>
  <c r="I1306" i="12"/>
  <c r="V1131" i="12"/>
  <c r="E1228" i="12"/>
  <c r="D1284" i="12"/>
  <c r="E1252" i="12"/>
  <c r="I1255" i="12"/>
  <c r="E1255" i="12"/>
  <c r="I1259" i="12"/>
  <c r="I1295" i="12"/>
  <c r="I1313" i="12"/>
  <c r="N1106" i="12"/>
  <c r="E1107" i="12"/>
  <c r="N1109" i="12"/>
  <c r="V1109" i="12" s="1"/>
  <c r="E1110" i="12"/>
  <c r="E1112" i="12"/>
  <c r="E1114" i="12"/>
  <c r="E1116" i="12"/>
  <c r="X1131" i="12"/>
  <c r="D1168" i="12"/>
  <c r="D1175" i="12"/>
  <c r="D1177" i="12"/>
  <c r="D1179" i="12"/>
  <c r="D1183" i="12"/>
  <c r="D1186" i="12"/>
  <c r="I1210" i="12"/>
  <c r="E1225" i="12"/>
  <c r="I1252" i="12"/>
  <c r="E1263" i="12"/>
  <c r="E1270" i="12"/>
  <c r="E1279" i="12"/>
  <c r="I1302" i="12"/>
  <c r="I1501" i="12"/>
  <c r="D1480" i="12"/>
  <c r="L1564" i="12"/>
  <c r="L1586" i="12"/>
  <c r="V1087" i="12"/>
  <c r="J1131" i="12"/>
  <c r="I1260" i="12"/>
  <c r="E1260" i="12"/>
  <c r="E1273" i="12"/>
  <c r="E1282" i="12"/>
  <c r="I1308" i="12"/>
  <c r="I1320" i="12"/>
  <c r="I1324" i="12"/>
  <c r="I1253" i="12"/>
  <c r="E1253" i="12"/>
  <c r="I1257" i="12"/>
  <c r="E1283" i="12"/>
  <c r="E1281" i="12"/>
  <c r="I1297" i="12"/>
  <c r="I1315" i="12"/>
  <c r="D1476" i="12"/>
  <c r="I1470" i="12"/>
  <c r="V1041" i="12"/>
  <c r="J1087" i="12"/>
  <c r="I1211" i="12"/>
  <c r="E1261" i="12"/>
  <c r="E1271" i="12"/>
  <c r="E1280" i="12"/>
  <c r="I1304" i="12"/>
  <c r="E1316" i="12"/>
  <c r="D1169" i="12"/>
  <c r="D1171" i="12"/>
  <c r="D1178" i="12"/>
  <c r="E1254" i="12"/>
  <c r="I1258" i="12"/>
  <c r="E1258" i="12"/>
  <c r="E1274" i="12"/>
  <c r="I1311" i="12"/>
  <c r="AA2405" i="12"/>
  <c r="AA1422" i="12"/>
  <c r="AA1462" i="12"/>
  <c r="AA1442" i="12"/>
  <c r="D1402" i="12"/>
  <c r="D1405" i="12"/>
  <c r="D1389" i="12"/>
  <c r="D1416" i="12"/>
  <c r="I1411" i="12"/>
  <c r="D1404" i="12"/>
  <c r="AA2591" i="12"/>
  <c r="AA2420" i="12"/>
  <c r="AA1521" i="12"/>
  <c r="I1294" i="12"/>
  <c r="I1296" i="12"/>
  <c r="I1299" i="12"/>
  <c r="I1301" i="12"/>
  <c r="I1303" i="12"/>
  <c r="I1305" i="12"/>
  <c r="I1307" i="12"/>
  <c r="I1309" i="12"/>
  <c r="I1312" i="12"/>
  <c r="I1314" i="12"/>
  <c r="I1316" i="12"/>
  <c r="AA2404" i="12"/>
  <c r="AA1461" i="12"/>
  <c r="AA1441" i="12"/>
  <c r="AA2595" i="12"/>
  <c r="AA2424" i="12"/>
  <c r="AA1525" i="12"/>
  <c r="D1506" i="12"/>
  <c r="D1491" i="12"/>
  <c r="L1589" i="12"/>
  <c r="L1567" i="12"/>
  <c r="D1653" i="12"/>
  <c r="I1652" i="12"/>
  <c r="E1670" i="12"/>
  <c r="I1670" i="12"/>
  <c r="D1368" i="12"/>
  <c r="AA2593" i="12"/>
  <c r="AA2422" i="12"/>
  <c r="I1512" i="12"/>
  <c r="I1606" i="12"/>
  <c r="I1608" i="12"/>
  <c r="I1613" i="12"/>
  <c r="E1678" i="12"/>
  <c r="I1678" i="12"/>
  <c r="I1703" i="12"/>
  <c r="AA2406" i="12"/>
  <c r="D1403" i="12"/>
  <c r="E1451" i="12"/>
  <c r="D1571" i="12"/>
  <c r="D1579" i="12"/>
  <c r="I1610" i="12"/>
  <c r="D1631" i="12"/>
  <c r="I1627" i="12"/>
  <c r="I1731" i="12"/>
  <c r="E1731" i="12"/>
  <c r="D1818" i="12"/>
  <c r="I1814" i="12"/>
  <c r="E1264" i="12"/>
  <c r="E1266" i="12"/>
  <c r="L2308" i="12"/>
  <c r="D1516" i="12"/>
  <c r="D1489" i="12"/>
  <c r="AA1523" i="12"/>
  <c r="L1565" i="12"/>
  <c r="I1574" i="12"/>
  <c r="D1595" i="12"/>
  <c r="D1601" i="12"/>
  <c r="E1377" i="12"/>
  <c r="R2516" i="12"/>
  <c r="Z2516" i="12" s="1"/>
  <c r="R2412" i="12"/>
  <c r="AA2407" i="12"/>
  <c r="AA1464" i="12"/>
  <c r="I1407" i="12"/>
  <c r="D1425" i="12"/>
  <c r="R1429" i="12"/>
  <c r="I1450" i="12"/>
  <c r="I1510" i="12"/>
  <c r="D1548" i="12"/>
  <c r="D1591" i="12"/>
  <c r="I1633" i="12"/>
  <c r="I1676" i="12"/>
  <c r="E1338" i="12"/>
  <c r="E1343" i="12"/>
  <c r="E1347" i="12"/>
  <c r="E1351" i="12"/>
  <c r="E1356" i="12"/>
  <c r="D1385" i="12"/>
  <c r="AA1443" i="12"/>
  <c r="AA1463" i="12"/>
  <c r="D1710" i="12"/>
  <c r="E1661" i="12"/>
  <c r="I1661" i="12"/>
  <c r="AA1421" i="12"/>
  <c r="I1511" i="12"/>
  <c r="P1585" i="12"/>
  <c r="P1563" i="12"/>
  <c r="D1593" i="12"/>
  <c r="D1611" i="12"/>
  <c r="I1623" i="12"/>
  <c r="E1622" i="12"/>
  <c r="T1836" i="12"/>
  <c r="J1836" i="12"/>
  <c r="I1702" i="12"/>
  <c r="E1702" i="12"/>
  <c r="E1803" i="12"/>
  <c r="I1781" i="12"/>
  <c r="E1781" i="12"/>
  <c r="I1786" i="12"/>
  <c r="E1786" i="12"/>
  <c r="I1791" i="12"/>
  <c r="E1791" i="12"/>
  <c r="D2079" i="12"/>
  <c r="E2123" i="12"/>
  <c r="V1807" i="12"/>
  <c r="AF1797" i="12"/>
  <c r="E1729" i="12"/>
  <c r="I1870" i="12"/>
  <c r="D1854" i="12"/>
  <c r="AA2594" i="12"/>
  <c r="AA2423" i="12"/>
  <c r="P1584" i="12"/>
  <c r="E1663" i="12"/>
  <c r="E1667" i="12"/>
  <c r="E1680" i="12"/>
  <c r="E1688" i="12"/>
  <c r="I1700" i="12"/>
  <c r="E1700" i="12"/>
  <c r="I1704" i="12"/>
  <c r="E1704" i="12"/>
  <c r="E1722" i="12"/>
  <c r="I1778" i="12"/>
  <c r="E1778" i="12"/>
  <c r="I1784" i="12"/>
  <c r="E1784" i="12"/>
  <c r="I1788" i="12"/>
  <c r="E1788" i="12"/>
  <c r="D1562" i="12"/>
  <c r="I1575" i="12"/>
  <c r="E2002" i="12"/>
  <c r="I2001" i="12"/>
  <c r="E2003" i="12"/>
  <c r="D1977" i="12"/>
  <c r="AA2512" i="12"/>
  <c r="D2408" i="12"/>
  <c r="AA2592" i="12"/>
  <c r="AA2421" i="12"/>
  <c r="AA1522" i="12"/>
  <c r="AA1588" i="12"/>
  <c r="D1566" i="12"/>
  <c r="D1569" i="12"/>
  <c r="I1625" i="12"/>
  <c r="L1626" i="12"/>
  <c r="X1642" i="12"/>
  <c r="E1668" i="12"/>
  <c r="E1671" i="12"/>
  <c r="I1674" i="12"/>
  <c r="E1684" i="12"/>
  <c r="E1694" i="12"/>
  <c r="E1701" i="12"/>
  <c r="E1705" i="12"/>
  <c r="E1727" i="12"/>
  <c r="D1736" i="12"/>
  <c r="J1824" i="12"/>
  <c r="I1836" i="12"/>
  <c r="J1862" i="12"/>
  <c r="D1867" i="12"/>
  <c r="I1863" i="12"/>
  <c r="D1855" i="12"/>
  <c r="J1871" i="12"/>
  <c r="E1736" i="12"/>
  <c r="J1863" i="12"/>
  <c r="E1855" i="12"/>
  <c r="J1879" i="12"/>
  <c r="I2040" i="12"/>
  <c r="E1707" i="12"/>
  <c r="E1844" i="12"/>
  <c r="D1933" i="12"/>
  <c r="I1929" i="12"/>
  <c r="D2165" i="12"/>
  <c r="E1833" i="12"/>
  <c r="I1846" i="12"/>
  <c r="D1813" i="12"/>
  <c r="E1822" i="12"/>
  <c r="I1825" i="12"/>
  <c r="I1833" i="12"/>
  <c r="J1846" i="12"/>
  <c r="I2016" i="12"/>
  <c r="E2073" i="12"/>
  <c r="J2095" i="12"/>
  <c r="E1793" i="12"/>
  <c r="E1813" i="12"/>
  <c r="J1835" i="12"/>
  <c r="E1854" i="12"/>
  <c r="D1856" i="12"/>
  <c r="D2022" i="12"/>
  <c r="I2012" i="12"/>
  <c r="D1988" i="12"/>
  <c r="D2082" i="12"/>
  <c r="I2126" i="12"/>
  <c r="J1919" i="12"/>
  <c r="I1928" i="12"/>
  <c r="R2012" i="12"/>
  <c r="R2060" i="12"/>
  <c r="D1985" i="12"/>
  <c r="I2064" i="12"/>
  <c r="R2084" i="12"/>
  <c r="I2010" i="12"/>
  <c r="D1986" i="12"/>
  <c r="I2034" i="12"/>
  <c r="I2059" i="12"/>
  <c r="E2103" i="12"/>
  <c r="E2102" i="12"/>
  <c r="I2013" i="12"/>
  <c r="D2081" i="12"/>
  <c r="D1910" i="12"/>
  <c r="I2014" i="12"/>
  <c r="D1990" i="12"/>
  <c r="J2025" i="12"/>
  <c r="D1984" i="12"/>
  <c r="I2035" i="12"/>
  <c r="D2046" i="12"/>
  <c r="E2036" i="12" s="1"/>
  <c r="I2063" i="12"/>
  <c r="I2038" i="12"/>
  <c r="E2096" i="12"/>
  <c r="E2097" i="12"/>
  <c r="E2106" i="12"/>
  <c r="I2156" i="12"/>
  <c r="P2509" i="12"/>
  <c r="X2509" i="12" s="1"/>
  <c r="P2405" i="12"/>
  <c r="E2027" i="12"/>
  <c r="D2080" i="12"/>
  <c r="E2105" i="12"/>
  <c r="J2109" i="12"/>
  <c r="I2127" i="12"/>
  <c r="I2131" i="12"/>
  <c r="E2131" i="12"/>
  <c r="J2139" i="12"/>
  <c r="E2140" i="12"/>
  <c r="E2141" i="12"/>
  <c r="I2036" i="12"/>
  <c r="I2065" i="12"/>
  <c r="D2070" i="12"/>
  <c r="E2119" i="12"/>
  <c r="D2075" i="12"/>
  <c r="I2132" i="12"/>
  <c r="E2132" i="12"/>
  <c r="D2088" i="12"/>
  <c r="I2175" i="12"/>
  <c r="J2150" i="12"/>
  <c r="X2236" i="12"/>
  <c r="L2510" i="12"/>
  <c r="T2510" i="12" s="1"/>
  <c r="L2406" i="12"/>
  <c r="I2187" i="12"/>
  <c r="E2187" i="12"/>
  <c r="J2597" i="12"/>
  <c r="D2136" i="12"/>
  <c r="E2128" i="12" s="1"/>
  <c r="I2129" i="12"/>
  <c r="I2128" i="12"/>
  <c r="I2186" i="12"/>
  <c r="E2186" i="12"/>
  <c r="D2163" i="12"/>
  <c r="E2170" i="12"/>
  <c r="I2199" i="12"/>
  <c r="D2176" i="12"/>
  <c r="E2199" i="12"/>
  <c r="J2117" i="12"/>
  <c r="E2118" i="12"/>
  <c r="I2130" i="12"/>
  <c r="E2130" i="12"/>
  <c r="D2164" i="12"/>
  <c r="L2186" i="12"/>
  <c r="X2242" i="12"/>
  <c r="E2185" i="12"/>
  <c r="R2209" i="12"/>
  <c r="E2161" i="12"/>
  <c r="E2198" i="12"/>
  <c r="E2215" i="12"/>
  <c r="AA2557" i="12"/>
  <c r="AA2383" i="12"/>
  <c r="AA2443" i="12"/>
  <c r="AA2361" i="12"/>
  <c r="AA2345" i="12"/>
  <c r="AA2342" i="12"/>
  <c r="E2208" i="12"/>
  <c r="J2232" i="12"/>
  <c r="D2204" i="12"/>
  <c r="I2197" i="12"/>
  <c r="E2210" i="12"/>
  <c r="I2207" i="12"/>
  <c r="I2374" i="12"/>
  <c r="D2270" i="12"/>
  <c r="J2207" i="12"/>
  <c r="E2428" i="12"/>
  <c r="E2419" i="12"/>
  <c r="E2373" i="12"/>
  <c r="P2525" i="12"/>
  <c r="P2421" i="12"/>
  <c r="P2508" i="12"/>
  <c r="X2508" i="12" s="1"/>
  <c r="P2404" i="12"/>
  <c r="I2380" i="12"/>
  <c r="X2241" i="12"/>
  <c r="L2527" i="12"/>
  <c r="L2423" i="12"/>
  <c r="L2511" i="12"/>
  <c r="T2511" i="12" s="1"/>
  <c r="L2407" i="12"/>
  <c r="L2526" i="12"/>
  <c r="L2422" i="12"/>
  <c r="I2377" i="12"/>
  <c r="N2507" i="12"/>
  <c r="V2507" i="12" s="1"/>
  <c r="I2523" i="12"/>
  <c r="D2315" i="12"/>
  <c r="P2507" i="12"/>
  <c r="X2507" i="12" s="1"/>
  <c r="P2403" i="12"/>
  <c r="L2512" i="12"/>
  <c r="T2512" i="12" s="1"/>
  <c r="L2408" i="12"/>
  <c r="I2371" i="12"/>
  <c r="AA2558" i="12"/>
  <c r="AA2444" i="12"/>
  <c r="AA2384" i="12"/>
  <c r="D2407" i="12"/>
  <c r="L2409" i="12"/>
  <c r="I2413" i="12"/>
  <c r="I2429" i="12"/>
  <c r="V2554" i="12"/>
  <c r="T2554" i="12"/>
  <c r="J2554" i="12"/>
  <c r="L2528" i="12"/>
  <c r="L2424" i="12"/>
  <c r="N2412" i="12"/>
  <c r="D2420" i="12"/>
  <c r="I2426" i="12"/>
  <c r="P2524" i="12"/>
  <c r="E2357" i="12"/>
  <c r="AA2368" i="12"/>
  <c r="E2399" i="12"/>
  <c r="P2412" i="12"/>
  <c r="E2430" i="12"/>
  <c r="E2654" i="12"/>
  <c r="E2653" i="12"/>
  <c r="D2647" i="12"/>
  <c r="AA2390" i="12"/>
  <c r="I2427" i="12"/>
  <c r="L2425" i="12"/>
  <c r="I2428" i="12"/>
  <c r="P2419" i="12"/>
  <c r="I2530" i="12"/>
  <c r="AC2547" i="12"/>
  <c r="J2599" i="12"/>
  <c r="I2499" i="12"/>
  <c r="D2606" i="12"/>
  <c r="I2586" i="12"/>
  <c r="D2658" i="12"/>
  <c r="Z2561" i="12"/>
  <c r="I2584" i="12"/>
  <c r="D2569" i="12"/>
  <c r="I2620" i="12"/>
  <c r="I2640" i="12"/>
  <c r="G2637" i="12"/>
  <c r="J2547" i="12"/>
  <c r="I2675" i="12"/>
  <c r="J2673" i="12"/>
  <c r="V2547" i="12"/>
  <c r="R2637" i="12"/>
  <c r="X2586" i="12"/>
  <c r="Z2558" i="12"/>
  <c r="Z2586" i="12"/>
  <c r="Z2560" i="12"/>
  <c r="J2586" i="12"/>
  <c r="E2587" i="12"/>
  <c r="V2548" i="12"/>
  <c r="L2586" i="12"/>
  <c r="X2590" i="12"/>
  <c r="I2618" i="12"/>
  <c r="E2627" i="12"/>
  <c r="D2648" i="12"/>
  <c r="J2545" i="12"/>
  <c r="Z2563" i="12"/>
  <c r="J2590" i="12"/>
  <c r="Z2564" i="12"/>
  <c r="I2617" i="12"/>
  <c r="D2619" i="12"/>
  <c r="V1887" i="12" l="1"/>
  <c r="X1887" i="12"/>
  <c r="E116" i="12"/>
  <c r="E785" i="12"/>
  <c r="E1308" i="12"/>
  <c r="V813" i="12"/>
  <c r="E706" i="12"/>
  <c r="J115" i="12"/>
  <c r="L90" i="12"/>
  <c r="Z159" i="12"/>
  <c r="V158" i="12"/>
  <c r="E117" i="12"/>
  <c r="J1756" i="12"/>
  <c r="V851" i="12"/>
  <c r="J1845" i="12"/>
  <c r="E1311" i="12"/>
  <c r="J19" i="12"/>
  <c r="J853" i="12"/>
  <c r="I1649" i="12"/>
  <c r="E1018" i="12"/>
  <c r="E778" i="12"/>
  <c r="V775" i="12"/>
  <c r="I1388" i="12"/>
  <c r="E784" i="12"/>
  <c r="T158" i="12"/>
  <c r="L1646" i="12"/>
  <c r="I2267" i="12"/>
  <c r="E1297" i="12"/>
  <c r="E1324" i="12"/>
  <c r="E1029" i="12"/>
  <c r="V908" i="12"/>
  <c r="T159" i="12"/>
  <c r="X785" i="12"/>
  <c r="I973" i="12"/>
  <c r="Z121" i="12"/>
  <c r="E1314" i="12"/>
  <c r="E783" i="12"/>
  <c r="T196" i="12"/>
  <c r="Z2640" i="12"/>
  <c r="R1037" i="12"/>
  <c r="E505" i="12"/>
  <c r="P965" i="12"/>
  <c r="R544" i="12"/>
  <c r="R1013" i="12"/>
  <c r="R1061" i="12"/>
  <c r="V852" i="12"/>
  <c r="R1149" i="12"/>
  <c r="J852" i="12"/>
  <c r="E2144" i="12"/>
  <c r="D1903" i="12"/>
  <c r="R989" i="12"/>
  <c r="R1893" i="12"/>
  <c r="X852" i="12"/>
  <c r="T1807" i="12"/>
  <c r="E833" i="12"/>
  <c r="V159" i="12"/>
  <c r="E710" i="12"/>
  <c r="J908" i="12"/>
  <c r="X159" i="12"/>
  <c r="R2639" i="12"/>
  <c r="I43" i="12"/>
  <c r="V1716" i="12"/>
  <c r="X908" i="12"/>
  <c r="J159" i="12"/>
  <c r="X520" i="12"/>
  <c r="E1303" i="12"/>
  <c r="E1301" i="12"/>
  <c r="J1301" i="12" s="1"/>
  <c r="V587" i="12"/>
  <c r="D529" i="12"/>
  <c r="X121" i="12"/>
  <c r="I1881" i="12"/>
  <c r="I1883" i="12" s="1"/>
  <c r="J2152" i="12"/>
  <c r="E1345" i="12"/>
  <c r="E1528" i="12"/>
  <c r="E1348" i="12"/>
  <c r="J1348" i="12" s="1"/>
  <c r="E1339" i="12"/>
  <c r="J1339" i="12" s="1"/>
  <c r="Z853" i="12"/>
  <c r="D635" i="12"/>
  <c r="E1342" i="12"/>
  <c r="E486" i="12"/>
  <c r="X910" i="12"/>
  <c r="E1346" i="12"/>
  <c r="I1434" i="12"/>
  <c r="I1436" i="12" s="1"/>
  <c r="D1057" i="12"/>
  <c r="I2324" i="12"/>
  <c r="I325" i="12"/>
  <c r="E2177" i="12"/>
  <c r="J2177" i="12" s="1"/>
  <c r="E2122" i="12"/>
  <c r="E1358" i="12"/>
  <c r="E1341" i="12"/>
  <c r="J1341" i="12" s="1"/>
  <c r="E276" i="12"/>
  <c r="E1362" i="12"/>
  <c r="X853" i="12"/>
  <c r="J2200" i="12"/>
  <c r="V871" i="12"/>
  <c r="T894" i="12"/>
  <c r="E761" i="12"/>
  <c r="D384" i="12"/>
  <c r="I387" i="12"/>
  <c r="I276" i="12"/>
  <c r="E1357" i="12"/>
  <c r="D250" i="12"/>
  <c r="I250" i="12" s="1"/>
  <c r="D1102" i="12"/>
  <c r="I808" i="12"/>
  <c r="I789" i="12"/>
  <c r="J1847" i="12"/>
  <c r="T1847" i="12"/>
  <c r="E1354" i="12"/>
  <c r="E1186" i="12" s="1"/>
  <c r="E1336" i="12"/>
  <c r="D1465" i="12"/>
  <c r="V853" i="12"/>
  <c r="T839" i="12"/>
  <c r="D240" i="12"/>
  <c r="E1344" i="12"/>
  <c r="E1365" i="12"/>
  <c r="J1365" i="12" s="1"/>
  <c r="E1367" i="12"/>
  <c r="J1367" i="12" s="1"/>
  <c r="E125" i="12"/>
  <c r="E124" i="12" s="1"/>
  <c r="E1360" i="12"/>
  <c r="J1360" i="12" s="1"/>
  <c r="E1814" i="12"/>
  <c r="X818" i="12"/>
  <c r="X780" i="12"/>
  <c r="X871" i="12"/>
  <c r="E1364" i="12"/>
  <c r="I80" i="12"/>
  <c r="E1349" i="12"/>
  <c r="J1349" i="12" s="1"/>
  <c r="E1337" i="12"/>
  <c r="J1337" i="12" s="1"/>
  <c r="D253" i="12"/>
  <c r="E1361" i="12"/>
  <c r="I556" i="12"/>
  <c r="D848" i="12"/>
  <c r="E2663" i="12"/>
  <c r="J1744" i="12"/>
  <c r="J814" i="12"/>
  <c r="I1849" i="12"/>
  <c r="I1389" i="12"/>
  <c r="J1271" i="12"/>
  <c r="I975" i="12"/>
  <c r="I750" i="12"/>
  <c r="E2533" i="12"/>
  <c r="J2154" i="12"/>
  <c r="I1993" i="12"/>
  <c r="X944" i="12"/>
  <c r="E1613" i="12"/>
  <c r="J1683" i="12"/>
  <c r="E2211" i="12"/>
  <c r="I840" i="12"/>
  <c r="J715" i="12"/>
  <c r="J1752" i="12"/>
  <c r="D2623" i="12"/>
  <c r="E2615" i="12" s="1"/>
  <c r="E2426" i="12"/>
  <c r="AA2487" i="12"/>
  <c r="J2131" i="12"/>
  <c r="J1793" i="12"/>
  <c r="I1813" i="12"/>
  <c r="J1668" i="12"/>
  <c r="AA2525" i="12"/>
  <c r="J1667" i="12"/>
  <c r="J1781" i="12"/>
  <c r="D1462" i="12"/>
  <c r="J1358" i="12"/>
  <c r="D1585" i="12"/>
  <c r="E1596" i="12"/>
  <c r="AA2526" i="12"/>
  <c r="E1530" i="12"/>
  <c r="I1169" i="12"/>
  <c r="J1261" i="12"/>
  <c r="I1368" i="12"/>
  <c r="J1270" i="12"/>
  <c r="I1179" i="12"/>
  <c r="J1110" i="12"/>
  <c r="E1295" i="12"/>
  <c r="E1210" i="12"/>
  <c r="E1239" i="12"/>
  <c r="E1231" i="12"/>
  <c r="E1230" i="12"/>
  <c r="I1192" i="12"/>
  <c r="D961" i="12"/>
  <c r="E1154" i="12"/>
  <c r="J944" i="12"/>
  <c r="I884" i="12"/>
  <c r="V814" i="12"/>
  <c r="E1300" i="12"/>
  <c r="J1042" i="12"/>
  <c r="I756" i="12"/>
  <c r="I764" i="12"/>
  <c r="D668" i="12"/>
  <c r="D468" i="12"/>
  <c r="V312" i="12"/>
  <c r="D330" i="12"/>
  <c r="J1357" i="12"/>
  <c r="X1065" i="12"/>
  <c r="D1807" i="12"/>
  <c r="I1386" i="12"/>
  <c r="J2222" i="12"/>
  <c r="E1452" i="12"/>
  <c r="E1450" i="12" s="1"/>
  <c r="J2050" i="12"/>
  <c r="J1695" i="12"/>
  <c r="I1027" i="12"/>
  <c r="E1832" i="12"/>
  <c r="I834" i="12"/>
  <c r="I680" i="12"/>
  <c r="J18" i="12"/>
  <c r="I976" i="12"/>
  <c r="I1071" i="12"/>
  <c r="J126" i="12"/>
  <c r="J1686" i="12"/>
  <c r="J129" i="12"/>
  <c r="I1173" i="12"/>
  <c r="I1198" i="12"/>
  <c r="I1096" i="12"/>
  <c r="J2110" i="12"/>
  <c r="J1703" i="12"/>
  <c r="J1662" i="12"/>
  <c r="E1053" i="12"/>
  <c r="I682" i="12"/>
  <c r="Z2671" i="12"/>
  <c r="I1378" i="12"/>
  <c r="J1745" i="12"/>
  <c r="I2171" i="12"/>
  <c r="J1092" i="12"/>
  <c r="I1385" i="12"/>
  <c r="J1528" i="12"/>
  <c r="E1460" i="12"/>
  <c r="I1183" i="12"/>
  <c r="I897" i="12"/>
  <c r="E1133" i="12"/>
  <c r="J1748" i="12"/>
  <c r="J1353" i="12"/>
  <c r="Z196" i="12"/>
  <c r="E2412" i="12"/>
  <c r="V2412" i="12" s="1"/>
  <c r="J192" i="12"/>
  <c r="I685" i="12"/>
  <c r="I2253" i="12"/>
  <c r="J1366" i="12"/>
  <c r="Z2672" i="12"/>
  <c r="J2153" i="12"/>
  <c r="J1755" i="12"/>
  <c r="I2504" i="12"/>
  <c r="I2315" i="12"/>
  <c r="I2270" i="12"/>
  <c r="E2052" i="12"/>
  <c r="I2158" i="12"/>
  <c r="J2026" i="12"/>
  <c r="I1986" i="12"/>
  <c r="J1707" i="12"/>
  <c r="J1727" i="12"/>
  <c r="J1663" i="12"/>
  <c r="AC1798" i="12"/>
  <c r="D1421" i="12"/>
  <c r="J1356" i="12"/>
  <c r="D1551" i="12"/>
  <c r="I1617" i="12"/>
  <c r="D2593" i="12"/>
  <c r="I1491" i="12"/>
  <c r="D1521" i="12"/>
  <c r="E1305" i="12"/>
  <c r="E1219" i="12"/>
  <c r="I1177" i="12"/>
  <c r="E1318" i="12"/>
  <c r="I1170" i="12"/>
  <c r="E673" i="12"/>
  <c r="I765" i="12"/>
  <c r="E24" i="12"/>
  <c r="I620" i="12"/>
  <c r="J1344" i="12"/>
  <c r="AF1998" i="12"/>
  <c r="AF1394" i="12"/>
  <c r="J1666" i="12"/>
  <c r="E1821" i="12"/>
  <c r="I1488" i="12"/>
  <c r="V121" i="12"/>
  <c r="J1269" i="12"/>
  <c r="I674" i="12"/>
  <c r="J899" i="12"/>
  <c r="J1265" i="12"/>
  <c r="T1206" i="12"/>
  <c r="E2098" i="12"/>
  <c r="I889" i="12"/>
  <c r="I1390" i="12"/>
  <c r="I1479" i="12"/>
  <c r="AF982" i="12"/>
  <c r="X2639" i="12"/>
  <c r="I2289" i="12"/>
  <c r="I1538" i="12"/>
  <c r="E1325" i="12"/>
  <c r="E1927" i="12"/>
  <c r="J1750" i="12"/>
  <c r="D1522" i="12"/>
  <c r="J1729" i="12"/>
  <c r="J1343" i="12"/>
  <c r="D1461" i="12"/>
  <c r="I1174" i="12"/>
  <c r="E860" i="12"/>
  <c r="J200" i="12"/>
  <c r="J26" i="12"/>
  <c r="E1428" i="12"/>
  <c r="J1278" i="12"/>
  <c r="I1180" i="12"/>
  <c r="I2177" i="12"/>
  <c r="J1674" i="12"/>
  <c r="J1673" i="12"/>
  <c r="J1664" i="12"/>
  <c r="E2427" i="12"/>
  <c r="E2414" i="12"/>
  <c r="E2429" i="12"/>
  <c r="E2411" i="12"/>
  <c r="E2403" i="12"/>
  <c r="I2176" i="12"/>
  <c r="E2028" i="12"/>
  <c r="J1722" i="12"/>
  <c r="J1338" i="12"/>
  <c r="D1464" i="12"/>
  <c r="J1266" i="12"/>
  <c r="E1315" i="12"/>
  <c r="E1189" i="12" s="1"/>
  <c r="J1282" i="12"/>
  <c r="J1263" i="12"/>
  <c r="E1237" i="12"/>
  <c r="E1234" i="12"/>
  <c r="E1223" i="12"/>
  <c r="I1162" i="12"/>
  <c r="I891" i="12"/>
  <c r="D595" i="12"/>
  <c r="D628" i="12"/>
  <c r="V196" i="12"/>
  <c r="J1709" i="12"/>
  <c r="J1730" i="12"/>
  <c r="D1913" i="12"/>
  <c r="J1257" i="12"/>
  <c r="J2148" i="12"/>
  <c r="J1754" i="12"/>
  <c r="AA2466" i="12"/>
  <c r="I1185" i="12"/>
  <c r="E1025" i="12"/>
  <c r="E1023" i="12" s="1"/>
  <c r="AF2633" i="12"/>
  <c r="J2149" i="12"/>
  <c r="E1232" i="12"/>
  <c r="E1190" i="12" s="1"/>
  <c r="E1321" i="12"/>
  <c r="I1193" i="12"/>
  <c r="N2586" i="12"/>
  <c r="I2535" i="12"/>
  <c r="E2371" i="12"/>
  <c r="E2523" i="12"/>
  <c r="E2415" i="12"/>
  <c r="E2374" i="12"/>
  <c r="E2121" i="12"/>
  <c r="E2104" i="12"/>
  <c r="E2010" i="12"/>
  <c r="I1865" i="12"/>
  <c r="J1705" i="12"/>
  <c r="J1704" i="12"/>
  <c r="AA2511" i="12"/>
  <c r="J1264" i="12"/>
  <c r="E1561" i="12"/>
  <c r="J1678" i="12"/>
  <c r="D1507" i="12"/>
  <c r="AA2524" i="12"/>
  <c r="D1442" i="12"/>
  <c r="J1274" i="12"/>
  <c r="J1273" i="12"/>
  <c r="I1175" i="12"/>
  <c r="E1306" i="12"/>
  <c r="E1218" i="12"/>
  <c r="E1236" i="12"/>
  <c r="I1188" i="12"/>
  <c r="I920" i="12"/>
  <c r="I672" i="12"/>
  <c r="E914" i="12"/>
  <c r="E1020" i="12"/>
  <c r="T895" i="12"/>
  <c r="D1012" i="12"/>
  <c r="D598" i="12"/>
  <c r="I598" i="12" s="1"/>
  <c r="E82" i="12"/>
  <c r="E297" i="12"/>
  <c r="E22" i="12"/>
  <c r="J1721" i="12"/>
  <c r="J1687" i="12"/>
  <c r="J1277" i="12"/>
  <c r="J1696" i="12"/>
  <c r="J1724" i="12"/>
  <c r="I2087" i="12"/>
  <c r="I1599" i="12"/>
  <c r="E1217" i="12"/>
  <c r="I2112" i="12"/>
  <c r="J1794" i="12"/>
  <c r="I759" i="12"/>
  <c r="E701" i="12"/>
  <c r="AA2447" i="12"/>
  <c r="E879" i="12"/>
  <c r="D563" i="12"/>
  <c r="J1977" i="12"/>
  <c r="I971" i="12"/>
  <c r="E1091" i="12"/>
  <c r="I2275" i="12"/>
  <c r="I2645" i="12"/>
  <c r="I2083" i="12"/>
  <c r="I1190" i="12"/>
  <c r="J12" i="12"/>
  <c r="E1312" i="12"/>
  <c r="I1189" i="12"/>
  <c r="J1763" i="12"/>
  <c r="I1991" i="12"/>
  <c r="AF2623" i="12"/>
  <c r="E1211" i="12"/>
  <c r="J1346" i="12"/>
  <c r="J1685" i="12"/>
  <c r="J1691" i="12"/>
  <c r="I900" i="12"/>
  <c r="I2299" i="12"/>
  <c r="I2323" i="12"/>
  <c r="I2086" i="12"/>
  <c r="J1689" i="12"/>
  <c r="Z2670" i="12"/>
  <c r="AA2450" i="12"/>
  <c r="E1276" i="12"/>
  <c r="D1904" i="12"/>
  <c r="J1671" i="12"/>
  <c r="J1778" i="12"/>
  <c r="J1311" i="12"/>
  <c r="J1308" i="12"/>
  <c r="I2164" i="12"/>
  <c r="J1701" i="12"/>
  <c r="D1587" i="12"/>
  <c r="J1351" i="12"/>
  <c r="I1454" i="12"/>
  <c r="D2591" i="12"/>
  <c r="J1258" i="12"/>
  <c r="J1093" i="12"/>
  <c r="J1324" i="12"/>
  <c r="I1480" i="12"/>
  <c r="J1018" i="12"/>
  <c r="I972" i="12"/>
  <c r="E803" i="12"/>
  <c r="E731" i="12"/>
  <c r="I109" i="12"/>
  <c r="J1272" i="12"/>
  <c r="J1692" i="12"/>
  <c r="J1789" i="12"/>
  <c r="V872" i="12"/>
  <c r="J1785" i="12"/>
  <c r="AF690" i="12"/>
  <c r="J1303" i="12"/>
  <c r="I1187" i="12"/>
  <c r="I2311" i="12"/>
  <c r="I1176" i="12"/>
  <c r="I683" i="12"/>
  <c r="J1677" i="12"/>
  <c r="I1377" i="12"/>
  <c r="I2172" i="12"/>
  <c r="J2221" i="12"/>
  <c r="J1741" i="12"/>
  <c r="I675" i="12"/>
  <c r="E1307" i="12"/>
  <c r="I2174" i="12"/>
  <c r="D1444" i="12"/>
  <c r="R2610" i="12"/>
  <c r="J1767" i="12"/>
  <c r="I2310" i="12"/>
  <c r="J1761" i="12"/>
  <c r="I1989" i="12"/>
  <c r="I2084" i="12"/>
  <c r="D1059" i="12"/>
  <c r="R577" i="12"/>
  <c r="E118" i="12"/>
  <c r="I768" i="12"/>
  <c r="J1669" i="12"/>
  <c r="D1206" i="12"/>
  <c r="J871" i="12"/>
  <c r="I1987" i="12"/>
  <c r="I2161" i="12"/>
  <c r="J1753" i="12"/>
  <c r="D1524" i="12"/>
  <c r="D1526" i="12" s="1"/>
  <c r="J1768" i="12"/>
  <c r="I1552" i="12"/>
  <c r="E1201" i="12"/>
  <c r="J1749" i="12"/>
  <c r="E2606" i="12"/>
  <c r="E2662" i="12"/>
  <c r="E2396" i="12"/>
  <c r="E2217" i="12"/>
  <c r="J1694" i="12"/>
  <c r="I1977" i="12"/>
  <c r="D1445" i="12"/>
  <c r="D1523" i="12"/>
  <c r="I1615" i="12"/>
  <c r="D1422" i="12"/>
  <c r="E1304" i="12"/>
  <c r="E1216" i="12"/>
  <c r="E1429" i="12"/>
  <c r="J1262" i="12"/>
  <c r="J1019" i="12"/>
  <c r="J900" i="12"/>
  <c r="Z1149" i="12"/>
  <c r="V715" i="12"/>
  <c r="I384" i="12"/>
  <c r="J1690" i="12"/>
  <c r="AF1818" i="12"/>
  <c r="J1642" i="12"/>
  <c r="I2073" i="12"/>
  <c r="I766" i="12"/>
  <c r="Z2673" i="12"/>
  <c r="E2647" i="12"/>
  <c r="E2395" i="12"/>
  <c r="J1849" i="12"/>
  <c r="J1784" i="12"/>
  <c r="I1854" i="12"/>
  <c r="J1347" i="12"/>
  <c r="J1731" i="12"/>
  <c r="J1254" i="12"/>
  <c r="E1213" i="12"/>
  <c r="J1116" i="12"/>
  <c r="I1051" i="12"/>
  <c r="I841" i="12"/>
  <c r="E703" i="12"/>
  <c r="E702" i="12"/>
  <c r="D564" i="12"/>
  <c r="E190" i="12"/>
  <c r="E199" i="12"/>
  <c r="J203" i="12"/>
  <c r="D1906" i="12"/>
  <c r="E1606" i="12"/>
  <c r="J166" i="12"/>
  <c r="J1698" i="12"/>
  <c r="I2322" i="12"/>
  <c r="I977" i="12"/>
  <c r="J1782" i="12"/>
  <c r="E1323" i="12"/>
  <c r="E1319" i="12"/>
  <c r="I1199" i="12"/>
  <c r="I2294" i="12"/>
  <c r="I843" i="12"/>
  <c r="AF1619" i="12"/>
  <c r="I2266" i="12"/>
  <c r="I1195" i="12"/>
  <c r="J1675" i="12"/>
  <c r="J1762" i="12"/>
  <c r="J1725" i="12"/>
  <c r="J1740" i="12"/>
  <c r="E1299" i="12"/>
  <c r="J1759" i="12"/>
  <c r="J1751" i="12"/>
  <c r="Z2674" i="12"/>
  <c r="I2325" i="12"/>
  <c r="J1764" i="12"/>
  <c r="J1680" i="12"/>
  <c r="I1635" i="12"/>
  <c r="I1171" i="12"/>
  <c r="J1279" i="12"/>
  <c r="AA2494" i="12"/>
  <c r="I2416" i="12"/>
  <c r="I2088" i="12"/>
  <c r="J1788" i="12"/>
  <c r="J1702" i="12"/>
  <c r="I1816" i="12"/>
  <c r="D1525" i="12"/>
  <c r="J1316" i="12"/>
  <c r="J1297" i="12"/>
  <c r="J1260" i="12"/>
  <c r="J1255" i="12"/>
  <c r="J1215" i="12"/>
  <c r="D1148" i="12"/>
  <c r="I898" i="12"/>
  <c r="D552" i="12"/>
  <c r="J1697" i="12"/>
  <c r="J1314" i="12"/>
  <c r="J1676" i="12"/>
  <c r="J1834" i="12"/>
  <c r="AB1798" i="12"/>
  <c r="J1364" i="12"/>
  <c r="I1533" i="12"/>
  <c r="J2223" i="12"/>
  <c r="I2085" i="12"/>
  <c r="J1479" i="12"/>
  <c r="J695" i="12"/>
  <c r="AF45" i="12"/>
  <c r="I1065" i="12"/>
  <c r="E437" i="12"/>
  <c r="V437" i="12" s="1"/>
  <c r="E2392" i="12"/>
  <c r="I2163" i="12"/>
  <c r="J1700" i="12"/>
  <c r="J1791" i="12"/>
  <c r="D1586" i="12"/>
  <c r="T1825" i="12"/>
  <c r="J1670" i="12"/>
  <c r="E1527" i="12"/>
  <c r="E1222" i="12"/>
  <c r="E1240" i="12"/>
  <c r="J1138" i="12"/>
  <c r="Z1025" i="12"/>
  <c r="J1043" i="12"/>
  <c r="I835" i="12"/>
  <c r="I1196" i="12"/>
  <c r="I681" i="12"/>
  <c r="I243" i="12"/>
  <c r="D394" i="12"/>
  <c r="T763" i="12"/>
  <c r="AF2331" i="12"/>
  <c r="J1267" i="12"/>
  <c r="J1672" i="12"/>
  <c r="I2664" i="12"/>
  <c r="J1792" i="12"/>
  <c r="J1361" i="12"/>
  <c r="I2225" i="12"/>
  <c r="I1487" i="12"/>
  <c r="I1068" i="12"/>
  <c r="J2051" i="12"/>
  <c r="J768" i="12"/>
  <c r="I1539" i="12"/>
  <c r="I842" i="12"/>
  <c r="E471" i="12"/>
  <c r="J1823" i="12"/>
  <c r="I844" i="12"/>
  <c r="I865" i="12"/>
  <c r="I2655" i="12"/>
  <c r="I1066" i="12"/>
  <c r="E1294" i="12"/>
  <c r="E2628" i="12"/>
  <c r="D2422" i="12"/>
  <c r="E2393" i="12"/>
  <c r="E2377" i="12"/>
  <c r="E2410" i="12"/>
  <c r="E2219" i="12"/>
  <c r="I1990" i="12"/>
  <c r="I2082" i="12"/>
  <c r="J1684" i="12"/>
  <c r="V1642" i="12"/>
  <c r="D1463" i="12"/>
  <c r="J1825" i="12"/>
  <c r="E1431" i="12"/>
  <c r="I1653" i="12"/>
  <c r="E1520" i="12"/>
  <c r="J1281" i="12"/>
  <c r="E1320" i="12"/>
  <c r="E1302" i="12"/>
  <c r="E1176" i="12" s="1"/>
  <c r="E1224" i="12"/>
  <c r="J1350" i="12"/>
  <c r="E1322" i="12"/>
  <c r="Z117" i="12"/>
  <c r="D288" i="12"/>
  <c r="E144" i="12"/>
  <c r="I240" i="12"/>
  <c r="E63" i="12"/>
  <c r="J1682" i="12"/>
  <c r="X2209" i="12"/>
  <c r="AF1657" i="12"/>
  <c r="I1072" i="12"/>
  <c r="I1810" i="12"/>
  <c r="I2630" i="12"/>
  <c r="J1765" i="12"/>
  <c r="J1355" i="12"/>
  <c r="E1843" i="12"/>
  <c r="E2212" i="12"/>
  <c r="E1111" i="12"/>
  <c r="E2190" i="12"/>
  <c r="I1067" i="12"/>
  <c r="X799" i="12"/>
  <c r="J2675" i="12"/>
  <c r="I2602" i="12"/>
  <c r="I2628" i="12"/>
  <c r="AA2472" i="12"/>
  <c r="E2380" i="12"/>
  <c r="E2370" i="12"/>
  <c r="E2398" i="12"/>
  <c r="I2075" i="12"/>
  <c r="I1988" i="12"/>
  <c r="I1827" i="12"/>
  <c r="I1838" i="12"/>
  <c r="D1588" i="12"/>
  <c r="J1688" i="12"/>
  <c r="J1786" i="12"/>
  <c r="J1838" i="12"/>
  <c r="D1443" i="12"/>
  <c r="J1345" i="12"/>
  <c r="E1501" i="12"/>
  <c r="I1732" i="12"/>
  <c r="D1441" i="12"/>
  <c r="E1531" i="12"/>
  <c r="E1529" i="12" s="1"/>
  <c r="E1411" i="12"/>
  <c r="I1178" i="12"/>
  <c r="J1280" i="12"/>
  <c r="I1474" i="12"/>
  <c r="J1283" i="12"/>
  <c r="I1186" i="12"/>
  <c r="J1114" i="12"/>
  <c r="E1313" i="12"/>
  <c r="E1187" i="12" s="1"/>
  <c r="E1241" i="12"/>
  <c r="E1227" i="12"/>
  <c r="D1146" i="12"/>
  <c r="J1137" i="12"/>
  <c r="I974" i="12"/>
  <c r="I1182" i="12"/>
  <c r="I970" i="12"/>
  <c r="I832" i="12"/>
  <c r="E933" i="12"/>
  <c r="E822" i="12"/>
  <c r="E765" i="12" s="1"/>
  <c r="V737" i="12"/>
  <c r="E752" i="12"/>
  <c r="E696" i="12"/>
  <c r="X814" i="12"/>
  <c r="D461" i="12"/>
  <c r="J123" i="12"/>
  <c r="I253" i="12"/>
  <c r="E181" i="12"/>
  <c r="E44" i="12"/>
  <c r="E333" i="12"/>
  <c r="AF1859" i="12"/>
  <c r="D1557" i="12"/>
  <c r="I1924" i="12"/>
  <c r="J1780" i="12"/>
  <c r="I1490" i="12"/>
  <c r="E2168" i="12"/>
  <c r="AF1495" i="12"/>
  <c r="J1342" i="12"/>
  <c r="I1811" i="12"/>
  <c r="J1728" i="12"/>
  <c r="J1363" i="12"/>
  <c r="I1118" i="12"/>
  <c r="I1979" i="12"/>
  <c r="I2616" i="12"/>
  <c r="I969" i="12"/>
  <c r="D532" i="12"/>
  <c r="I532" i="12" s="1"/>
  <c r="X587" i="12"/>
  <c r="I1070" i="12"/>
  <c r="J1604" i="12"/>
  <c r="I1812" i="12"/>
  <c r="J1757" i="12"/>
  <c r="X158" i="12"/>
  <c r="J1777" i="12"/>
  <c r="I2309" i="12"/>
  <c r="I1387" i="12"/>
  <c r="I284" i="12"/>
  <c r="J1787" i="12"/>
  <c r="E1296" i="12"/>
  <c r="E1170" i="12" s="1"/>
  <c r="E1309" i="12"/>
  <c r="E1183" i="12" s="1"/>
  <c r="I1197" i="12"/>
  <c r="I1181" i="12"/>
  <c r="I2295" i="12"/>
  <c r="I2269" i="12"/>
  <c r="V2680" i="12"/>
  <c r="J1679" i="12"/>
  <c r="I1553" i="12"/>
  <c r="J1115" i="12"/>
  <c r="J1538" i="12"/>
  <c r="J1723" i="12"/>
  <c r="D1423" i="12"/>
  <c r="I2273" i="12"/>
  <c r="J1746" i="12"/>
  <c r="I896" i="12"/>
  <c r="J1760" i="12"/>
  <c r="D1584" i="12"/>
  <c r="J1259" i="12"/>
  <c r="J1743" i="12"/>
  <c r="R230" i="12"/>
  <c r="J844" i="12"/>
  <c r="E2218" i="12"/>
  <c r="E878" i="12"/>
  <c r="J1094" i="12"/>
  <c r="E880" i="12"/>
  <c r="AA2365" i="12"/>
  <c r="AA2387" i="12"/>
  <c r="X452" i="12"/>
  <c r="E1102" i="12"/>
  <c r="E1615" i="12"/>
  <c r="E2012" i="12"/>
  <c r="I2587" i="12"/>
  <c r="E2004" i="12"/>
  <c r="E1505" i="12"/>
  <c r="E1156" i="12"/>
  <c r="E873" i="12"/>
  <c r="X1716" i="12"/>
  <c r="I2202" i="12"/>
  <c r="E2017" i="12"/>
  <c r="N1977" i="12"/>
  <c r="I1932" i="12"/>
  <c r="I1655" i="12"/>
  <c r="E1155" i="12"/>
  <c r="T121" i="12"/>
  <c r="V1206" i="12"/>
  <c r="Z872" i="12"/>
  <c r="D360" i="12"/>
  <c r="L156" i="12"/>
  <c r="L53" i="12"/>
  <c r="E1134" i="12"/>
  <c r="E1132" i="12"/>
  <c r="J2587" i="12"/>
  <c r="V2209" i="12"/>
  <c r="E2127" i="12"/>
  <c r="E1812" i="12"/>
  <c r="D1654" i="12"/>
  <c r="X695" i="12"/>
  <c r="L119" i="12"/>
  <c r="I1769" i="12"/>
  <c r="I146" i="12"/>
  <c r="I1925" i="12"/>
  <c r="I2400" i="12"/>
  <c r="V653" i="12"/>
  <c r="V695" i="12"/>
  <c r="E638" i="12"/>
  <c r="D2649" i="12"/>
  <c r="D2421" i="12"/>
  <c r="E2220" i="12"/>
  <c r="E2591" i="12"/>
  <c r="J2209" i="12"/>
  <c r="E2011" i="12"/>
  <c r="E2087" i="12"/>
  <c r="E2126" i="12"/>
  <c r="E1643" i="12"/>
  <c r="J1605" i="12"/>
  <c r="E890" i="12"/>
  <c r="I791" i="12"/>
  <c r="L193" i="12"/>
  <c r="D238" i="12"/>
  <c r="X196" i="12"/>
  <c r="I359" i="12"/>
  <c r="L1449" i="12"/>
  <c r="L1429" i="12"/>
  <c r="D2633" i="12"/>
  <c r="T2209" i="12"/>
  <c r="J452" i="12"/>
  <c r="E2213" i="12"/>
  <c r="Z2209" i="12"/>
  <c r="E1511" i="12"/>
  <c r="L1469" i="12"/>
  <c r="E1407" i="12"/>
  <c r="E1447" i="12"/>
  <c r="E1448" i="12"/>
  <c r="V944" i="12"/>
  <c r="I956" i="12"/>
  <c r="I827" i="12"/>
  <c r="J196" i="12"/>
  <c r="D2092" i="12"/>
  <c r="L1409" i="12"/>
  <c r="E1449" i="12"/>
  <c r="I810" i="12"/>
  <c r="I708" i="12"/>
  <c r="D392" i="12"/>
  <c r="E184" i="12"/>
  <c r="E173" i="12" s="1"/>
  <c r="E2358" i="12"/>
  <c r="R343" i="12"/>
  <c r="R271" i="12"/>
  <c r="D285" i="12"/>
  <c r="E2120" i="12"/>
  <c r="E1575" i="12"/>
  <c r="E1508" i="12"/>
  <c r="I1242" i="12"/>
  <c r="E1432" i="12"/>
  <c r="D963" i="12"/>
  <c r="E722" i="12"/>
  <c r="X653" i="12"/>
  <c r="E2502" i="12"/>
  <c r="D2646" i="12"/>
  <c r="I2644" i="12"/>
  <c r="E2499" i="12"/>
  <c r="E2531" i="12"/>
  <c r="E14" i="12"/>
  <c r="E15" i="12"/>
  <c r="E1425" i="12"/>
  <c r="E1427" i="12"/>
  <c r="E1420" i="12"/>
  <c r="E727" i="12"/>
  <c r="X486" i="12"/>
  <c r="E147" i="12"/>
  <c r="E141" i="12" s="1"/>
  <c r="E2497" i="12"/>
  <c r="E2484" i="12"/>
  <c r="X872" i="12"/>
  <c r="J872" i="12"/>
  <c r="D2181" i="12"/>
  <c r="E2151" i="12"/>
  <c r="I1514" i="12"/>
  <c r="I1414" i="12"/>
  <c r="I1611" i="12"/>
  <c r="D772" i="12"/>
  <c r="I767" i="12"/>
  <c r="E1424" i="12"/>
  <c r="D2331" i="12"/>
  <c r="E2059" i="12"/>
  <c r="I1637" i="12"/>
  <c r="E1105" i="12"/>
  <c r="J1065" i="12"/>
  <c r="E1014" i="12"/>
  <c r="I1140" i="12"/>
  <c r="E743" i="12"/>
  <c r="E834" i="12"/>
  <c r="E2534" i="12"/>
  <c r="E2532" i="12"/>
  <c r="E2324" i="12" s="1"/>
  <c r="E2496" i="12"/>
  <c r="E2288" i="12" s="1"/>
  <c r="T2586" i="12"/>
  <c r="E2593" i="12"/>
  <c r="E2065" i="12"/>
  <c r="I2067" i="12"/>
  <c r="E1574" i="12"/>
  <c r="E1502" i="12"/>
  <c r="D1394" i="12"/>
  <c r="V1065" i="12"/>
  <c r="E1015" i="12"/>
  <c r="E945" i="12"/>
  <c r="E2503" i="12"/>
  <c r="E2295" i="12" s="1"/>
  <c r="I1795" i="12"/>
  <c r="E1472" i="12"/>
  <c r="E1504" i="12"/>
  <c r="E1024" i="12"/>
  <c r="I1003" i="12"/>
  <c r="I938" i="12"/>
  <c r="E1089" i="12"/>
  <c r="E1088" i="12"/>
  <c r="E2500" i="12"/>
  <c r="D1998" i="12"/>
  <c r="I1631" i="12"/>
  <c r="E1440" i="12"/>
  <c r="E2530" i="12"/>
  <c r="I753" i="12"/>
  <c r="D1379" i="12"/>
  <c r="D1483" i="12"/>
  <c r="E1389" i="12"/>
  <c r="J914" i="12"/>
  <c r="E468" i="12"/>
  <c r="E330" i="12"/>
  <c r="I464" i="12"/>
  <c r="I489" i="12"/>
  <c r="J197" i="12"/>
  <c r="E81" i="12"/>
  <c r="E218" i="12"/>
  <c r="E221" i="12"/>
  <c r="J2392" i="12"/>
  <c r="E2086" i="12"/>
  <c r="J2130" i="12"/>
  <c r="E2081" i="12"/>
  <c r="E1059" i="12"/>
  <c r="E1072" i="12"/>
  <c r="E995" i="12"/>
  <c r="E994" i="12"/>
  <c r="E996" i="12"/>
  <c r="E1001" i="12"/>
  <c r="D1076" i="12"/>
  <c r="I1069" i="12"/>
  <c r="V1130" i="12"/>
  <c r="T1130" i="12"/>
  <c r="J797" i="12"/>
  <c r="X797" i="12"/>
  <c r="V797" i="12"/>
  <c r="J777" i="12"/>
  <c r="V777" i="12"/>
  <c r="E758" i="12"/>
  <c r="X777" i="12"/>
  <c r="I663" i="12"/>
  <c r="I589" i="12"/>
  <c r="I662" i="12"/>
  <c r="I631" i="12"/>
  <c r="P480" i="12"/>
  <c r="P514" i="12"/>
  <c r="P412" i="12"/>
  <c r="P446" i="12"/>
  <c r="E2362" i="12"/>
  <c r="D2258" i="12"/>
  <c r="Z2186" i="12"/>
  <c r="J2186" i="12"/>
  <c r="X2186" i="12"/>
  <c r="V2186" i="12"/>
  <c r="E2163" i="12"/>
  <c r="T2186" i="12"/>
  <c r="AA2527" i="12"/>
  <c r="D2423" i="12"/>
  <c r="E1402" i="12"/>
  <c r="J1252" i="12"/>
  <c r="J1221" i="12"/>
  <c r="E1179" i="12"/>
  <c r="E1135" i="12"/>
  <c r="J1136" i="12"/>
  <c r="P1893" i="12"/>
  <c r="P1013" i="12"/>
  <c r="P1061" i="12"/>
  <c r="P1037" i="12"/>
  <c r="P1149" i="12"/>
  <c r="P989" i="12"/>
  <c r="P544" i="12"/>
  <c r="P230" i="12"/>
  <c r="X761" i="12"/>
  <c r="X724" i="12"/>
  <c r="V724" i="12"/>
  <c r="J724" i="12"/>
  <c r="T724" i="12"/>
  <c r="Z724" i="12"/>
  <c r="R861" i="12"/>
  <c r="R880" i="12"/>
  <c r="Z880" i="12" s="1"/>
  <c r="I660" i="12"/>
  <c r="L459" i="12"/>
  <c r="L527" i="12"/>
  <c r="L493" i="12"/>
  <c r="L425" i="12"/>
  <c r="Z122" i="12"/>
  <c r="J122" i="12"/>
  <c r="X122" i="12"/>
  <c r="V122" i="12"/>
  <c r="T122" i="12"/>
  <c r="J2430" i="12"/>
  <c r="E2407" i="12"/>
  <c r="D2303" i="12"/>
  <c r="D2383" i="12"/>
  <c r="J2370" i="12"/>
  <c r="E2266" i="12"/>
  <c r="J2398" i="12"/>
  <c r="AA2449" i="12"/>
  <c r="AA2389" i="12"/>
  <c r="AA2367" i="12"/>
  <c r="E2197" i="12"/>
  <c r="J2198" i="12"/>
  <c r="E2175" i="12"/>
  <c r="J2118" i="12"/>
  <c r="J2119" i="12"/>
  <c r="V2017" i="12"/>
  <c r="Z2017" i="12"/>
  <c r="J2017" i="12"/>
  <c r="J2027" i="12"/>
  <c r="I1933" i="12"/>
  <c r="N2073" i="12"/>
  <c r="N2025" i="12"/>
  <c r="N2001" i="12"/>
  <c r="Z2012" i="12"/>
  <c r="J2012" i="12"/>
  <c r="E2021" i="12"/>
  <c r="E2008" i="12" s="1"/>
  <c r="E2005" i="12"/>
  <c r="L1813" i="12"/>
  <c r="J1813" i="12"/>
  <c r="J1873" i="12"/>
  <c r="D2594" i="12"/>
  <c r="E2594" i="12"/>
  <c r="E2079" i="12"/>
  <c r="J1622" i="12"/>
  <c r="E1623" i="12"/>
  <c r="X1622" i="12"/>
  <c r="V1622" i="12"/>
  <c r="I1710" i="12"/>
  <c r="J1377" i="12"/>
  <c r="E1512" i="12"/>
  <c r="AA2508" i="12"/>
  <c r="D2404" i="12"/>
  <c r="D1406" i="12"/>
  <c r="X1112" i="12"/>
  <c r="V1112" i="12"/>
  <c r="Z1112" i="12"/>
  <c r="J1112" i="12"/>
  <c r="E1188" i="12"/>
  <c r="J1230" i="12"/>
  <c r="E1022" i="12"/>
  <c r="E1564" i="12"/>
  <c r="E927" i="12"/>
  <c r="J889" i="12"/>
  <c r="X889" i="12"/>
  <c r="V889" i="12"/>
  <c r="J672" i="12"/>
  <c r="E1016" i="12"/>
  <c r="E1005" i="12"/>
  <c r="R614" i="12"/>
  <c r="R647" i="12"/>
  <c r="R581" i="12"/>
  <c r="R1894" i="12"/>
  <c r="R1150" i="12"/>
  <c r="R1014" i="12"/>
  <c r="R990" i="12"/>
  <c r="P966" i="12"/>
  <c r="R1062" i="12"/>
  <c r="R1038" i="12"/>
  <c r="R968" i="12"/>
  <c r="R545" i="12"/>
  <c r="R231" i="12"/>
  <c r="I729" i="12"/>
  <c r="D690" i="12"/>
  <c r="I684" i="12"/>
  <c r="I629" i="12"/>
  <c r="X572" i="12"/>
  <c r="V572" i="12"/>
  <c r="R952" i="12"/>
  <c r="R934" i="12"/>
  <c r="R916" i="12"/>
  <c r="R563" i="12"/>
  <c r="L880" i="12"/>
  <c r="L861" i="12"/>
  <c r="E162" i="12"/>
  <c r="J160" i="12"/>
  <c r="I220" i="12"/>
  <c r="J2523" i="12"/>
  <c r="X2523" i="12"/>
  <c r="E2162" i="12"/>
  <c r="J2185" i="12"/>
  <c r="Z2036" i="12"/>
  <c r="J2036" i="12"/>
  <c r="E2408" i="12"/>
  <c r="D2304" i="12"/>
  <c r="J1336" i="12"/>
  <c r="E1405" i="12"/>
  <c r="D1383" i="12"/>
  <c r="E934" i="12"/>
  <c r="E932" i="12"/>
  <c r="D964" i="12"/>
  <c r="E1012" i="12"/>
  <c r="R515" i="12"/>
  <c r="R481" i="12"/>
  <c r="R413" i="12"/>
  <c r="R447" i="12"/>
  <c r="N530" i="12"/>
  <c r="N462" i="12"/>
  <c r="N496" i="12"/>
  <c r="N428" i="12"/>
  <c r="D395" i="12"/>
  <c r="D430" i="12"/>
  <c r="J20" i="12"/>
  <c r="D2390" i="12"/>
  <c r="AA2446" i="12"/>
  <c r="AA2386" i="12"/>
  <c r="AA2364" i="12"/>
  <c r="I2019" i="12"/>
  <c r="J2073" i="12"/>
  <c r="D1935" i="12"/>
  <c r="J1520" i="12"/>
  <c r="J1229" i="12"/>
  <c r="E1193" i="12"/>
  <c r="J1235" i="12"/>
  <c r="X1044" i="12"/>
  <c r="J1044" i="12"/>
  <c r="Z1044" i="12"/>
  <c r="V1044" i="12"/>
  <c r="J1090" i="12"/>
  <c r="X1090" i="12"/>
  <c r="Z1090" i="12"/>
  <c r="V1090" i="12"/>
  <c r="X817" i="12"/>
  <c r="X795" i="12"/>
  <c r="V795" i="12"/>
  <c r="J795" i="12"/>
  <c r="X855" i="12"/>
  <c r="E836" i="12"/>
  <c r="I351" i="12"/>
  <c r="G521" i="12"/>
  <c r="G419" i="12"/>
  <c r="G453" i="12"/>
  <c r="J385" i="12"/>
  <c r="I385" i="12"/>
  <c r="G487" i="12"/>
  <c r="N478" i="12"/>
  <c r="N512" i="12"/>
  <c r="N444" i="12"/>
  <c r="N410" i="12"/>
  <c r="E165" i="12"/>
  <c r="J163" i="12"/>
  <c r="L477" i="12"/>
  <c r="L511" i="12"/>
  <c r="L443" i="12"/>
  <c r="L409" i="12"/>
  <c r="E2618" i="12"/>
  <c r="L2637" i="12"/>
  <c r="E2379" i="12"/>
  <c r="J2357" i="12"/>
  <c r="E2253" i="12"/>
  <c r="I2431" i="12"/>
  <c r="AA2488" i="12"/>
  <c r="D2384" i="12"/>
  <c r="D2368" i="12"/>
  <c r="J2373" i="12"/>
  <c r="E2269" i="12"/>
  <c r="J2428" i="12"/>
  <c r="J2210" i="12"/>
  <c r="AA2465" i="12"/>
  <c r="D2361" i="12"/>
  <c r="J2161" i="12"/>
  <c r="J2107" i="12"/>
  <c r="J2011" i="12"/>
  <c r="E2075" i="12"/>
  <c r="J2097" i="12"/>
  <c r="J1881" i="12"/>
  <c r="E1979" i="12"/>
  <c r="J2003" i="12"/>
  <c r="E1710" i="12"/>
  <c r="J1661" i="12"/>
  <c r="I1577" i="12"/>
  <c r="E1409" i="12"/>
  <c r="J1451" i="12"/>
  <c r="Z1429" i="12"/>
  <c r="J1429" i="12"/>
  <c r="J1228" i="12"/>
  <c r="E1195" i="12"/>
  <c r="J1237" i="12"/>
  <c r="E1113" i="12"/>
  <c r="N1049" i="12"/>
  <c r="N1001" i="12"/>
  <c r="N1025" i="12"/>
  <c r="N235" i="12"/>
  <c r="X1049" i="12"/>
  <c r="T1049" i="12"/>
  <c r="Z1049" i="12"/>
  <c r="J1049" i="12"/>
  <c r="E1040" i="12"/>
  <c r="D982" i="12"/>
  <c r="E745" i="12"/>
  <c r="X928" i="12"/>
  <c r="T762" i="12"/>
  <c r="E723" i="12"/>
  <c r="J784" i="12"/>
  <c r="D661" i="12"/>
  <c r="T838" i="12"/>
  <c r="J312" i="12"/>
  <c r="I312" i="12"/>
  <c r="D321" i="12"/>
  <c r="R496" i="12"/>
  <c r="R428" i="12"/>
  <c r="R462" i="12"/>
  <c r="R530" i="12"/>
  <c r="I356" i="12"/>
  <c r="I324" i="12"/>
  <c r="I322" i="12"/>
  <c r="L428" i="12"/>
  <c r="L530" i="12"/>
  <c r="L462" i="12"/>
  <c r="L496" i="12"/>
  <c r="P530" i="12"/>
  <c r="P462" i="12"/>
  <c r="P496" i="12"/>
  <c r="P428" i="12"/>
  <c r="X297" i="12"/>
  <c r="E142" i="12"/>
  <c r="I287" i="12"/>
  <c r="D251" i="12"/>
  <c r="I455" i="12"/>
  <c r="I323" i="12"/>
  <c r="Z195" i="12"/>
  <c r="J195" i="12"/>
  <c r="X195" i="12"/>
  <c r="V195" i="12"/>
  <c r="T195" i="12"/>
  <c r="V2673" i="12"/>
  <c r="T2673" i="12"/>
  <c r="J2187" i="12"/>
  <c r="E2164" i="12"/>
  <c r="E1566" i="12"/>
  <c r="E952" i="12"/>
  <c r="E950" i="12"/>
  <c r="J702" i="12"/>
  <c r="R823" i="12"/>
  <c r="R804" i="12"/>
  <c r="R785" i="12"/>
  <c r="Z785" i="12" s="1"/>
  <c r="E2629" i="12"/>
  <c r="J2627" i="12"/>
  <c r="E2129" i="12"/>
  <c r="E2420" i="12"/>
  <c r="D1859" i="12"/>
  <c r="I1855" i="12"/>
  <c r="E1490" i="12"/>
  <c r="D1549" i="12"/>
  <c r="D1565" i="12"/>
  <c r="E1506" i="12"/>
  <c r="D1485" i="12"/>
  <c r="E1404" i="12"/>
  <c r="D1382" i="12"/>
  <c r="J1210" i="12"/>
  <c r="J1218" i="12"/>
  <c r="E904" i="12"/>
  <c r="R1127" i="12"/>
  <c r="R1105" i="12"/>
  <c r="D904" i="12"/>
  <c r="I899" i="12"/>
  <c r="J673" i="12"/>
  <c r="X911" i="12"/>
  <c r="E893" i="12"/>
  <c r="X798" i="12"/>
  <c r="E760" i="12"/>
  <c r="X716" i="12"/>
  <c r="V716" i="12"/>
  <c r="J716" i="12"/>
  <c r="E674" i="12"/>
  <c r="Z706" i="12"/>
  <c r="D561" i="12"/>
  <c r="I622" i="12"/>
  <c r="G530" i="12"/>
  <c r="G496" i="12"/>
  <c r="G462" i="12"/>
  <c r="G428" i="12"/>
  <c r="G494" i="12"/>
  <c r="G528" i="12"/>
  <c r="G426" i="12"/>
  <c r="G460" i="12"/>
  <c r="G454" i="12"/>
  <c r="G488" i="12"/>
  <c r="G522" i="12"/>
  <c r="J386" i="12"/>
  <c r="G420" i="12"/>
  <c r="I386" i="12"/>
  <c r="E154" i="12"/>
  <c r="J152" i="12"/>
  <c r="G529" i="12"/>
  <c r="G427" i="12"/>
  <c r="G461" i="12"/>
  <c r="G495" i="12"/>
  <c r="I421" i="12"/>
  <c r="I320" i="12"/>
  <c r="Z191" i="12"/>
  <c r="V191" i="12"/>
  <c r="T191" i="12"/>
  <c r="X191" i="12"/>
  <c r="E1185" i="12"/>
  <c r="J1227" i="12"/>
  <c r="J1212" i="12"/>
  <c r="L853" i="12"/>
  <c r="T853" i="12" s="1"/>
  <c r="L872" i="12"/>
  <c r="T872" i="12" s="1"/>
  <c r="E915" i="12"/>
  <c r="E909" i="12"/>
  <c r="X837" i="12"/>
  <c r="I655" i="12"/>
  <c r="D495" i="12"/>
  <c r="G466" i="12"/>
  <c r="G500" i="12"/>
  <c r="G534" i="12"/>
  <c r="G432" i="12"/>
  <c r="V116" i="12"/>
  <c r="X116" i="12"/>
  <c r="X471" i="12"/>
  <c r="V471" i="12"/>
  <c r="E2169" i="12"/>
  <c r="I1873" i="12"/>
  <c r="E1471" i="12"/>
  <c r="E1469" i="12"/>
  <c r="E1467" i="12"/>
  <c r="E1468" i="12"/>
  <c r="J2377" i="12"/>
  <c r="E2273" i="12"/>
  <c r="J2208" i="12"/>
  <c r="J2096" i="12"/>
  <c r="E2074" i="12"/>
  <c r="E2029" i="12"/>
  <c r="E2045" i="12"/>
  <c r="E2041" i="12"/>
  <c r="E2034" i="12"/>
  <c r="I2134" i="12"/>
  <c r="E1583" i="12"/>
  <c r="E2630" i="12"/>
  <c r="J2628" i="12"/>
  <c r="J2653" i="12"/>
  <c r="Z2653" i="12"/>
  <c r="E2655" i="12"/>
  <c r="AA2570" i="12"/>
  <c r="AA2564" i="12"/>
  <c r="AA2561" i="12"/>
  <c r="AA2567" i="12"/>
  <c r="E2276" i="12"/>
  <c r="V2403" i="12"/>
  <c r="E2189" i="12"/>
  <c r="E2196" i="12"/>
  <c r="E2195" i="12"/>
  <c r="E2194" i="12"/>
  <c r="J2199" i="12"/>
  <c r="E2176" i="12"/>
  <c r="E2053" i="12"/>
  <c r="E2058" i="12"/>
  <c r="E2069" i="12"/>
  <c r="E2060" i="12"/>
  <c r="J2105" i="12"/>
  <c r="E2083" i="12"/>
  <c r="E2084" i="12"/>
  <c r="J2106" i="12"/>
  <c r="E2035" i="12"/>
  <c r="I2043" i="12"/>
  <c r="E2188" i="12"/>
  <c r="E1859" i="12"/>
  <c r="J1855" i="12"/>
  <c r="J2002" i="12"/>
  <c r="E1978" i="12"/>
  <c r="J1575" i="12"/>
  <c r="E1611" i="12"/>
  <c r="E1649" i="12"/>
  <c r="E1597" i="12"/>
  <c r="E1631" i="12"/>
  <c r="E1630" i="12" s="1"/>
  <c r="D1639" i="12"/>
  <c r="J1574" i="12"/>
  <c r="E1552" i="12"/>
  <c r="AA2510" i="12"/>
  <c r="D2406" i="12"/>
  <c r="I1326" i="12"/>
  <c r="AA2509" i="12"/>
  <c r="D2405" i="12"/>
  <c r="E1177" i="12"/>
  <c r="J1219" i="12"/>
  <c r="D1481" i="12"/>
  <c r="I1284" i="12"/>
  <c r="E1063" i="12"/>
  <c r="V1107" i="12"/>
  <c r="T1107" i="12"/>
  <c r="J1220" i="12"/>
  <c r="E1178" i="12"/>
  <c r="J1238" i="12"/>
  <c r="E1070" i="12"/>
  <c r="D1010" i="12"/>
  <c r="E1064" i="12"/>
  <c r="E951" i="12"/>
  <c r="E916" i="12"/>
  <c r="V1128" i="12"/>
  <c r="E1127" i="12"/>
  <c r="T1128" i="12"/>
  <c r="E859" i="12"/>
  <c r="E861" i="12"/>
  <c r="E802" i="12"/>
  <c r="E744" i="12"/>
  <c r="I588" i="12"/>
  <c r="J588" i="12"/>
  <c r="I587" i="12"/>
  <c r="J587" i="12"/>
  <c r="J653" i="12"/>
  <c r="I653" i="12"/>
  <c r="L785" i="12"/>
  <c r="L823" i="12"/>
  <c r="L804" i="12"/>
  <c r="I627" i="12"/>
  <c r="I358" i="12"/>
  <c r="P523" i="12"/>
  <c r="P489" i="12"/>
  <c r="P421" i="12"/>
  <c r="P455" i="12"/>
  <c r="P521" i="12"/>
  <c r="X521" i="12" s="1"/>
  <c r="P487" i="12"/>
  <c r="X487" i="12" s="1"/>
  <c r="P419" i="12"/>
  <c r="X419" i="12" s="1"/>
  <c r="X385" i="12"/>
  <c r="P453" i="12"/>
  <c r="X453" i="12" s="1"/>
  <c r="I418" i="12"/>
  <c r="I594" i="12"/>
  <c r="I523" i="12"/>
  <c r="E143" i="12"/>
  <c r="Z144" i="12"/>
  <c r="J144" i="12"/>
  <c r="V144" i="12"/>
  <c r="D357" i="12"/>
  <c r="V276" i="12"/>
  <c r="E620" i="12"/>
  <c r="D554" i="12"/>
  <c r="D382" i="12"/>
  <c r="D248" i="12"/>
  <c r="E155" i="12"/>
  <c r="E60" i="12"/>
  <c r="E55" i="12"/>
  <c r="E57" i="12"/>
  <c r="E85" i="12"/>
  <c r="E49" i="12"/>
  <c r="E1818" i="12"/>
  <c r="V1129" i="12"/>
  <c r="T1129" i="12"/>
  <c r="J2399" i="12"/>
  <c r="J2602" i="12"/>
  <c r="J2141" i="12"/>
  <c r="E1587" i="12"/>
  <c r="E1487" i="12"/>
  <c r="I1489" i="12"/>
  <c r="D1495" i="12"/>
  <c r="L2516" i="12"/>
  <c r="L2412" i="12"/>
  <c r="AA2528" i="12"/>
  <c r="D2424" i="12"/>
  <c r="E1412" i="12"/>
  <c r="E1400" i="12"/>
  <c r="E1408" i="12"/>
  <c r="I1734" i="12"/>
  <c r="I1371" i="12"/>
  <c r="J1253" i="12"/>
  <c r="E1401" i="12"/>
  <c r="J1225" i="12"/>
  <c r="D1200" i="12"/>
  <c r="I1168" i="12"/>
  <c r="D1426" i="12"/>
  <c r="J1156" i="12"/>
  <c r="X1156" i="12"/>
  <c r="V1156" i="12"/>
  <c r="E1104" i="12"/>
  <c r="D1060" i="12"/>
  <c r="J843" i="12"/>
  <c r="E848" i="12"/>
  <c r="R1889" i="12"/>
  <c r="R1057" i="12"/>
  <c r="R1009" i="12"/>
  <c r="R1145" i="12"/>
  <c r="R985" i="12"/>
  <c r="R963" i="12"/>
  <c r="R1033" i="12"/>
  <c r="R540" i="12"/>
  <c r="R226" i="12"/>
  <c r="J756" i="12"/>
  <c r="V756" i="12"/>
  <c r="X756" i="12"/>
  <c r="J1020" i="12"/>
  <c r="Z1020" i="12"/>
  <c r="V1020" i="12"/>
  <c r="J926" i="12"/>
  <c r="X926" i="12"/>
  <c r="V926" i="12"/>
  <c r="E823" i="12"/>
  <c r="E816" i="12"/>
  <c r="E854" i="12"/>
  <c r="E804" i="12"/>
  <c r="J767" i="12"/>
  <c r="E772" i="12"/>
  <c r="I922" i="12"/>
  <c r="J776" i="12"/>
  <c r="V776" i="12"/>
  <c r="E757" i="12"/>
  <c r="X776" i="12"/>
  <c r="E821" i="12"/>
  <c r="E748" i="12"/>
  <c r="I597" i="12"/>
  <c r="E717" i="12"/>
  <c r="L916" i="12"/>
  <c r="L952" i="12"/>
  <c r="L934" i="12"/>
  <c r="L563" i="12"/>
  <c r="J348" i="12"/>
  <c r="I348" i="12"/>
  <c r="R514" i="12"/>
  <c r="R446" i="12"/>
  <c r="R412" i="12"/>
  <c r="R480" i="12"/>
  <c r="J350" i="12"/>
  <c r="I350" i="12"/>
  <c r="N453" i="12"/>
  <c r="V453" i="12" s="1"/>
  <c r="N521" i="12"/>
  <c r="V521" i="12" s="1"/>
  <c r="N487" i="12"/>
  <c r="V487" i="12" s="1"/>
  <c r="N419" i="12"/>
  <c r="V419" i="12" s="1"/>
  <c r="V385" i="12"/>
  <c r="J520" i="12"/>
  <c r="I520" i="12"/>
  <c r="V181" i="12"/>
  <c r="Z181" i="12"/>
  <c r="J181" i="12"/>
  <c r="E92" i="12"/>
  <c r="D498" i="12"/>
  <c r="G463" i="12"/>
  <c r="G531" i="12"/>
  <c r="G497" i="12"/>
  <c r="G429" i="12"/>
  <c r="J1833" i="12"/>
  <c r="J2376" i="12"/>
  <c r="E2272" i="12"/>
  <c r="Z2654" i="12"/>
  <c r="J2654" i="12"/>
  <c r="E2311" i="12"/>
  <c r="AA2563" i="12"/>
  <c r="AA2569" i="12"/>
  <c r="AA2560" i="12"/>
  <c r="AA2566" i="12"/>
  <c r="J2128" i="12"/>
  <c r="R2150" i="12"/>
  <c r="R2106" i="12"/>
  <c r="R2128" i="12"/>
  <c r="J1854" i="12"/>
  <c r="N1854" i="12"/>
  <c r="J1822" i="12"/>
  <c r="E1811" i="12"/>
  <c r="J1844" i="12"/>
  <c r="I2619" i="12"/>
  <c r="J2427" i="12"/>
  <c r="E2323" i="12"/>
  <c r="J2396" i="12"/>
  <c r="J2371" i="12"/>
  <c r="E2267" i="12"/>
  <c r="J2419" i="12"/>
  <c r="X2419" i="12"/>
  <c r="E2315" i="12"/>
  <c r="D2365" i="12"/>
  <c r="E2088" i="12"/>
  <c r="J2132" i="12"/>
  <c r="J2140" i="12"/>
  <c r="E2100" i="12"/>
  <c r="E2080" i="12"/>
  <c r="J1865" i="12"/>
  <c r="D1547" i="12"/>
  <c r="D1563" i="12"/>
  <c r="E2592" i="12"/>
  <c r="D2592" i="12"/>
  <c r="E1562" i="12"/>
  <c r="X1807" i="12"/>
  <c r="J1431" i="12"/>
  <c r="E1509" i="12"/>
  <c r="E1503" i="12"/>
  <c r="E2595" i="12"/>
  <c r="D2595" i="12"/>
  <c r="E1584" i="12"/>
  <c r="J1216" i="12"/>
  <c r="J1224" i="12"/>
  <c r="E1182" i="12"/>
  <c r="V1106" i="12"/>
  <c r="T1106" i="12"/>
  <c r="E1062" i="12"/>
  <c r="E1173" i="12"/>
  <c r="E1123" i="12"/>
  <c r="E946" i="12"/>
  <c r="X947" i="12"/>
  <c r="E1071" i="12"/>
  <c r="L1888" i="12"/>
  <c r="L1068" i="12"/>
  <c r="L1156" i="12"/>
  <c r="L1020" i="12"/>
  <c r="L996" i="12"/>
  <c r="L1044" i="12"/>
  <c r="L234" i="12"/>
  <c r="R1895" i="12"/>
  <c r="R1063" i="12"/>
  <c r="R1039" i="12"/>
  <c r="R1015" i="12"/>
  <c r="R991" i="12"/>
  <c r="R1151" i="12"/>
  <c r="P967" i="12"/>
  <c r="R546" i="12"/>
  <c r="R232" i="12"/>
  <c r="E1011" i="12"/>
  <c r="E738" i="12"/>
  <c r="J796" i="12"/>
  <c r="V796" i="12"/>
  <c r="X796" i="12"/>
  <c r="I630" i="12"/>
  <c r="I596" i="12"/>
  <c r="I664" i="12"/>
  <c r="L120" i="12"/>
  <c r="L91" i="12"/>
  <c r="L54" i="12"/>
  <c r="L157" i="12"/>
  <c r="L194" i="12"/>
  <c r="N520" i="12"/>
  <c r="V520" i="12" s="1"/>
  <c r="N486" i="12"/>
  <c r="V486" i="12" s="1"/>
  <c r="N452" i="12"/>
  <c r="V452" i="12" s="1"/>
  <c r="N418" i="12"/>
  <c r="N511" i="12"/>
  <c r="N443" i="12"/>
  <c r="N409" i="12"/>
  <c r="N477" i="12"/>
  <c r="L481" i="12"/>
  <c r="L413" i="12"/>
  <c r="L515" i="12"/>
  <c r="L447" i="12"/>
  <c r="P515" i="12"/>
  <c r="P447" i="12"/>
  <c r="P481" i="12"/>
  <c r="P413" i="12"/>
  <c r="J486" i="12"/>
  <c r="I486" i="12"/>
  <c r="I183" i="12"/>
  <c r="E41" i="12"/>
  <c r="E56" i="12"/>
  <c r="AC78" i="12" l="1"/>
  <c r="X706" i="12"/>
  <c r="E78" i="12"/>
  <c r="J778" i="12"/>
  <c r="J833" i="12"/>
  <c r="E111" i="12"/>
  <c r="Z1156" i="12"/>
  <c r="T2412" i="12"/>
  <c r="E261" i="12"/>
  <c r="D1482" i="12"/>
  <c r="T116" i="12"/>
  <c r="E705" i="12"/>
  <c r="I1164" i="12"/>
  <c r="D1544" i="12"/>
  <c r="J1231" i="12"/>
  <c r="N2049" i="12"/>
  <c r="V778" i="12"/>
  <c r="X833" i="12"/>
  <c r="E1523" i="12"/>
  <c r="I1476" i="12"/>
  <c r="E1196" i="12"/>
  <c r="E2664" i="12"/>
  <c r="X117" i="12"/>
  <c r="V117" i="12"/>
  <c r="J785" i="12"/>
  <c r="V785" i="12"/>
  <c r="T1156" i="12"/>
  <c r="D1540" i="12"/>
  <c r="J783" i="12"/>
  <c r="J2380" i="12"/>
  <c r="T91" i="12"/>
  <c r="Z1449" i="12"/>
  <c r="X778" i="12"/>
  <c r="J2415" i="12"/>
  <c r="E2082" i="12"/>
  <c r="Z116" i="12"/>
  <c r="E1464" i="12"/>
  <c r="X1429" i="12"/>
  <c r="J1449" i="12"/>
  <c r="T1020" i="12"/>
  <c r="V1049" i="12"/>
  <c r="V706" i="12"/>
  <c r="I285" i="12"/>
  <c r="E1169" i="12"/>
  <c r="E1522" i="12"/>
  <c r="Z2128" i="12"/>
  <c r="J2104" i="12"/>
  <c r="V833" i="12"/>
  <c r="R2173" i="12"/>
  <c r="E168" i="12"/>
  <c r="X276" i="12"/>
  <c r="I564" i="12"/>
  <c r="J2393" i="12"/>
  <c r="Z2662" i="12"/>
  <c r="J1241" i="12"/>
  <c r="E1421" i="12"/>
  <c r="T1044" i="12"/>
  <c r="Z2150" i="12"/>
  <c r="E2307" i="12"/>
  <c r="X1020" i="12"/>
  <c r="J276" i="12"/>
  <c r="T785" i="12"/>
  <c r="E2644" i="12"/>
  <c r="X505" i="12"/>
  <c r="J706" i="12"/>
  <c r="J1213" i="12"/>
  <c r="V1025" i="12"/>
  <c r="T1429" i="12"/>
  <c r="J2662" i="12"/>
  <c r="E21" i="12"/>
  <c r="T1449" i="12"/>
  <c r="D1058" i="12"/>
  <c r="I2227" i="12"/>
  <c r="T117" i="12"/>
  <c r="T90" i="12"/>
  <c r="E668" i="12"/>
  <c r="T2516" i="12"/>
  <c r="V505" i="12"/>
  <c r="E700" i="12"/>
  <c r="T194" i="12"/>
  <c r="L548" i="12"/>
  <c r="E1175" i="12"/>
  <c r="E1174" i="12"/>
  <c r="E1462" i="12"/>
  <c r="J2411" i="12"/>
  <c r="J1508" i="12"/>
  <c r="J1814" i="12"/>
  <c r="J1816" i="12" s="1"/>
  <c r="E240" i="12"/>
  <c r="E2306" i="12"/>
  <c r="T706" i="12"/>
  <c r="R1083" i="12"/>
  <c r="Z1083" i="12" s="1"/>
  <c r="N549" i="12"/>
  <c r="V1429" i="12"/>
  <c r="V2073" i="12"/>
  <c r="I595" i="12"/>
  <c r="X1449" i="12"/>
  <c r="J1411" i="12"/>
  <c r="I1030" i="12"/>
  <c r="I45" i="12"/>
  <c r="T193" i="12"/>
  <c r="E1168" i="12"/>
  <c r="X2412" i="12"/>
  <c r="I2179" i="12"/>
  <c r="J2410" i="12"/>
  <c r="E1171" i="12"/>
  <c r="J1171" i="12" s="1"/>
  <c r="J1561" i="12"/>
  <c r="I111" i="12"/>
  <c r="E841" i="12"/>
  <c r="J841" i="12" s="1"/>
  <c r="I395" i="12"/>
  <c r="E1180" i="12"/>
  <c r="J1180" i="12" s="1"/>
  <c r="I394" i="12"/>
  <c r="J860" i="12"/>
  <c r="R643" i="12"/>
  <c r="R610" i="12"/>
  <c r="J1222" i="12"/>
  <c r="D1380" i="12"/>
  <c r="X873" i="12"/>
  <c r="E131" i="12"/>
  <c r="E680" i="12"/>
  <c r="E133" i="12"/>
  <c r="E2421" i="12"/>
  <c r="E137" i="12"/>
  <c r="J873" i="12"/>
  <c r="E140" i="12"/>
  <c r="E1422" i="12"/>
  <c r="X1422" i="12" s="1"/>
  <c r="I2537" i="12"/>
  <c r="D1589" i="12"/>
  <c r="E136" i="12"/>
  <c r="V873" i="12"/>
  <c r="J1223" i="12"/>
  <c r="I628" i="12"/>
  <c r="E2645" i="12"/>
  <c r="E175" i="12"/>
  <c r="J175" i="12" s="1"/>
  <c r="Z703" i="12"/>
  <c r="T1505" i="12"/>
  <c r="I979" i="12"/>
  <c r="I1840" i="12"/>
  <c r="L2639" i="12"/>
  <c r="E177" i="12"/>
  <c r="J703" i="12"/>
  <c r="J1420" i="12"/>
  <c r="AA2491" i="12"/>
  <c r="J1234" i="12"/>
  <c r="E2077" i="12"/>
  <c r="J2426" i="12"/>
  <c r="I82" i="12"/>
  <c r="J1362" i="12"/>
  <c r="X703" i="12"/>
  <c r="E2310" i="12"/>
  <c r="J2310" i="12" s="1"/>
  <c r="E1194" i="12"/>
  <c r="J1194" i="12" s="1"/>
  <c r="D2387" i="12"/>
  <c r="T703" i="12"/>
  <c r="E1553" i="12"/>
  <c r="E1557" i="12" s="1"/>
  <c r="J2414" i="12"/>
  <c r="E1199" i="12"/>
  <c r="J1354" i="12"/>
  <c r="V703" i="12"/>
  <c r="J789" i="12"/>
  <c r="I1392" i="12"/>
  <c r="I1394" i="12" s="1"/>
  <c r="E1444" i="12"/>
  <c r="T1444" i="12" s="1"/>
  <c r="I1456" i="12"/>
  <c r="I1006" i="12"/>
  <c r="X2403" i="12"/>
  <c r="D565" i="12"/>
  <c r="D569" i="12" s="1"/>
  <c r="E726" i="12"/>
  <c r="E1461" i="12"/>
  <c r="X1461" i="12" s="1"/>
  <c r="Z2412" i="12"/>
  <c r="E1586" i="12"/>
  <c r="V333" i="12"/>
  <c r="J2403" i="12"/>
  <c r="E1980" i="12"/>
  <c r="X333" i="12"/>
  <c r="J1091" i="12"/>
  <c r="J1096" i="12" s="1"/>
  <c r="J2010" i="12"/>
  <c r="V1449" i="12"/>
  <c r="E167" i="12"/>
  <c r="J2219" i="12"/>
  <c r="E1069" i="12"/>
  <c r="J880" i="12"/>
  <c r="I2204" i="12"/>
  <c r="E689" i="12"/>
  <c r="D1466" i="12"/>
  <c r="X190" i="12"/>
  <c r="Z190" i="12"/>
  <c r="V880" i="12"/>
  <c r="J1460" i="12"/>
  <c r="J1240" i="12"/>
  <c r="T190" i="12"/>
  <c r="E1198" i="12"/>
  <c r="X880" i="12"/>
  <c r="E635" i="12"/>
  <c r="E320" i="12"/>
  <c r="J320" i="12" s="1"/>
  <c r="J1239" i="12"/>
  <c r="E1480" i="12"/>
  <c r="E1465" i="12"/>
  <c r="E2292" i="12"/>
  <c r="J2292" i="12" s="1"/>
  <c r="V190" i="12"/>
  <c r="E1588" i="12"/>
  <c r="E2299" i="12"/>
  <c r="E1368" i="12"/>
  <c r="T880" i="12"/>
  <c r="J1613" i="12"/>
  <c r="E1197" i="12"/>
  <c r="J1197" i="12" s="1"/>
  <c r="E1466" i="12"/>
  <c r="J1529" i="12"/>
  <c r="E1101" i="12"/>
  <c r="J137" i="12"/>
  <c r="J950" i="12"/>
  <c r="D1907" i="12"/>
  <c r="D1914" i="12"/>
  <c r="J2129" i="12"/>
  <c r="V297" i="12"/>
  <c r="J1189" i="12"/>
  <c r="J2288" i="12"/>
  <c r="J1501" i="12"/>
  <c r="I940" i="12"/>
  <c r="I867" i="12"/>
  <c r="T1425" i="12"/>
  <c r="J2502" i="12"/>
  <c r="J2087" i="12"/>
  <c r="J1132" i="12"/>
  <c r="J1155" i="12"/>
  <c r="Z2680" i="12"/>
  <c r="E2649" i="12"/>
  <c r="J2217" i="12"/>
  <c r="I563" i="12"/>
  <c r="J1325" i="12"/>
  <c r="J1318" i="12"/>
  <c r="J1188" i="12"/>
  <c r="E2055" i="12"/>
  <c r="V2586" i="12"/>
  <c r="AD1798" i="12"/>
  <c r="J821" i="12"/>
  <c r="Z1145" i="12"/>
  <c r="J2034" i="12"/>
  <c r="I902" i="12"/>
  <c r="J1236" i="12"/>
  <c r="E1326" i="12"/>
  <c r="J2324" i="12"/>
  <c r="I1995" i="12"/>
  <c r="J2311" i="12"/>
  <c r="D502" i="12"/>
  <c r="E179" i="12"/>
  <c r="D2528" i="12"/>
  <c r="D2320" i="12" s="1"/>
  <c r="E1585" i="12"/>
  <c r="J2295" i="12"/>
  <c r="I248" i="12"/>
  <c r="J143" i="12"/>
  <c r="J1597" i="12"/>
  <c r="I2181" i="12"/>
  <c r="E2270" i="12"/>
  <c r="J2273" i="12"/>
  <c r="J1176" i="12"/>
  <c r="E1614" i="12"/>
  <c r="I430" i="12"/>
  <c r="I565" i="12"/>
  <c r="E682" i="12"/>
  <c r="E1046" i="12"/>
  <c r="J1195" i="12"/>
  <c r="J2269" i="12"/>
  <c r="J1193" i="12"/>
  <c r="I2022" i="12"/>
  <c r="E178" i="12"/>
  <c r="I687" i="12"/>
  <c r="J2395" i="12"/>
  <c r="E2167" i="12"/>
  <c r="I711" i="12"/>
  <c r="I1797" i="12"/>
  <c r="T2593" i="12"/>
  <c r="J743" i="12"/>
  <c r="I1416" i="12"/>
  <c r="J2484" i="12"/>
  <c r="J1795" i="12"/>
  <c r="E1047" i="12"/>
  <c r="D1657" i="12"/>
  <c r="E1068" i="12"/>
  <c r="X1206" i="12"/>
  <c r="E1441" i="12"/>
  <c r="I2631" i="12"/>
  <c r="J63" i="12"/>
  <c r="J1322" i="12"/>
  <c r="J1302" i="12"/>
  <c r="J1827" i="12"/>
  <c r="J1294" i="12"/>
  <c r="E1525" i="12"/>
  <c r="E1485" i="12" s="1"/>
  <c r="D2494" i="12"/>
  <c r="D2286" i="12" s="1"/>
  <c r="E1524" i="12"/>
  <c r="D1484" i="12"/>
  <c r="E120" i="12"/>
  <c r="T120" i="12" s="1"/>
  <c r="J118" i="12"/>
  <c r="L2610" i="12"/>
  <c r="J1023" i="12"/>
  <c r="J1306" i="12"/>
  <c r="I1851" i="12"/>
  <c r="J1428" i="12"/>
  <c r="E2308" i="12"/>
  <c r="J2412" i="12"/>
  <c r="T2671" i="12"/>
  <c r="V2671" i="12"/>
  <c r="J1530" i="12"/>
  <c r="E1410" i="12"/>
  <c r="I561" i="12"/>
  <c r="E2007" i="12"/>
  <c r="E2620" i="12"/>
  <c r="J1070" i="12"/>
  <c r="J1071" i="12"/>
  <c r="E1426" i="12"/>
  <c r="J1196" i="12"/>
  <c r="J2176" i="12"/>
  <c r="J2374" i="12"/>
  <c r="D393" i="12"/>
  <c r="J1170" i="12"/>
  <c r="J1490" i="12"/>
  <c r="J2629" i="12"/>
  <c r="J1186" i="12"/>
  <c r="J1450" i="12"/>
  <c r="E2016" i="12"/>
  <c r="J1187" i="12"/>
  <c r="I222" i="12"/>
  <c r="E981" i="12"/>
  <c r="V2001" i="12"/>
  <c r="J1135" i="12"/>
  <c r="D2527" i="12"/>
  <c r="D2319" i="12" s="1"/>
  <c r="E455" i="12"/>
  <c r="J2500" i="12"/>
  <c r="E1048" i="12"/>
  <c r="I1142" i="12"/>
  <c r="J2059" i="12"/>
  <c r="I1516" i="12"/>
  <c r="J2497" i="12"/>
  <c r="J722" i="12"/>
  <c r="J1448" i="12"/>
  <c r="J1812" i="12"/>
  <c r="J878" i="12"/>
  <c r="I2604" i="12"/>
  <c r="J1320" i="12"/>
  <c r="J1606" i="12"/>
  <c r="J879" i="12"/>
  <c r="D602" i="12"/>
  <c r="J1154" i="12"/>
  <c r="D2525" i="12"/>
  <c r="Z1015" i="12"/>
  <c r="J2323" i="12"/>
  <c r="E759" i="12"/>
  <c r="J60" i="12"/>
  <c r="I2046" i="12"/>
  <c r="J2082" i="12"/>
  <c r="J2086" i="12"/>
  <c r="J1927" i="12"/>
  <c r="E1901" i="12"/>
  <c r="D2596" i="12"/>
  <c r="J2604" i="12"/>
  <c r="J141" i="12"/>
  <c r="E1628" i="12"/>
  <c r="J2035" i="12"/>
  <c r="J696" i="12"/>
  <c r="E2619" i="12"/>
  <c r="I1374" i="12"/>
  <c r="D1567" i="12"/>
  <c r="E2422" i="12"/>
  <c r="V696" i="12"/>
  <c r="J1182" i="12"/>
  <c r="J2267" i="12"/>
  <c r="I2621" i="12"/>
  <c r="J2307" i="12"/>
  <c r="I1200" i="12"/>
  <c r="I1736" i="12"/>
  <c r="I1829" i="12"/>
  <c r="J1487" i="12"/>
  <c r="E2614" i="12"/>
  <c r="E52" i="12"/>
  <c r="I554" i="12"/>
  <c r="I288" i="12"/>
  <c r="J951" i="12"/>
  <c r="J1178" i="12"/>
  <c r="J2083" i="12"/>
  <c r="E171" i="12"/>
  <c r="Z1105" i="12"/>
  <c r="I1857" i="12"/>
  <c r="D294" i="12"/>
  <c r="D562" i="12"/>
  <c r="J680" i="12"/>
  <c r="E1039" i="12"/>
  <c r="J1883" i="12"/>
  <c r="I982" i="12"/>
  <c r="I886" i="12"/>
  <c r="J1875" i="12"/>
  <c r="V2025" i="12"/>
  <c r="J1179" i="12"/>
  <c r="J1072" i="12"/>
  <c r="J2503" i="12"/>
  <c r="T1014" i="12"/>
  <c r="J1732" i="12"/>
  <c r="J1734" i="12" s="1"/>
  <c r="E130" i="12"/>
  <c r="Z130" i="12" s="1"/>
  <c r="Z14" i="12"/>
  <c r="J1447" i="12"/>
  <c r="X2591" i="12"/>
  <c r="J2127" i="12"/>
  <c r="R266" i="12"/>
  <c r="R302" i="12"/>
  <c r="R374" i="12"/>
  <c r="R338" i="12"/>
  <c r="J1309" i="12"/>
  <c r="I1120" i="12"/>
  <c r="D1381" i="12"/>
  <c r="D1446" i="12"/>
  <c r="J1769" i="12"/>
  <c r="I2667" i="12"/>
  <c r="D1542" i="12"/>
  <c r="E1036" i="12"/>
  <c r="E1445" i="12"/>
  <c r="E1206" i="12"/>
  <c r="J803" i="12"/>
  <c r="V2670" i="12"/>
  <c r="T2670" i="12"/>
  <c r="I2114" i="12"/>
  <c r="E1442" i="12"/>
  <c r="J1025" i="12"/>
  <c r="X1025" i="12"/>
  <c r="T1025" i="12"/>
  <c r="I2296" i="12"/>
  <c r="J1133" i="12"/>
  <c r="D2526" i="12"/>
  <c r="D2318" i="12" s="1"/>
  <c r="J1867" i="12"/>
  <c r="J2058" i="12"/>
  <c r="J1467" i="12"/>
  <c r="J1472" i="12"/>
  <c r="E1810" i="12"/>
  <c r="J1843" i="12"/>
  <c r="J1276" i="12"/>
  <c r="X696" i="12"/>
  <c r="J2272" i="12"/>
  <c r="E2616" i="12"/>
  <c r="J1177" i="12"/>
  <c r="E2570" i="12"/>
  <c r="J2630" i="12"/>
  <c r="E2413" i="12"/>
  <c r="I1875" i="12"/>
  <c r="J1185" i="12"/>
  <c r="J1190" i="12"/>
  <c r="E1035" i="12"/>
  <c r="E2009" i="12"/>
  <c r="I732" i="12"/>
  <c r="J2266" i="12"/>
  <c r="X1149" i="12"/>
  <c r="E655" i="12"/>
  <c r="X655" i="12" s="1"/>
  <c r="J1024" i="12"/>
  <c r="J2496" i="12"/>
  <c r="I1054" i="12"/>
  <c r="J2151" i="12"/>
  <c r="J2531" i="12"/>
  <c r="E1038" i="12"/>
  <c r="J1407" i="12"/>
  <c r="V890" i="12"/>
  <c r="J2220" i="12"/>
  <c r="I148" i="12"/>
  <c r="D366" i="12"/>
  <c r="J1296" i="12"/>
  <c r="I2312" i="12"/>
  <c r="D536" i="12"/>
  <c r="J822" i="12"/>
  <c r="Z2675" i="12"/>
  <c r="J1111" i="12"/>
  <c r="I1535" i="12"/>
  <c r="J1299" i="12"/>
  <c r="J1304" i="12"/>
  <c r="J1217" i="12"/>
  <c r="J1321" i="12"/>
  <c r="J1305" i="12"/>
  <c r="J1452" i="12"/>
  <c r="J1300" i="12"/>
  <c r="D2487" i="12"/>
  <c r="D2279" i="12" s="1"/>
  <c r="E2569" i="12"/>
  <c r="I2136" i="12"/>
  <c r="T2674" i="12"/>
  <c r="V2674" i="12"/>
  <c r="Z1151" i="12"/>
  <c r="J1175" i="12"/>
  <c r="J1174" i="12"/>
  <c r="E153" i="12"/>
  <c r="V638" i="12"/>
  <c r="E1034" i="12"/>
  <c r="D1486" i="12"/>
  <c r="J932" i="12"/>
  <c r="J2530" i="12"/>
  <c r="J945" i="12"/>
  <c r="T1424" i="12"/>
  <c r="X727" i="12"/>
  <c r="J2499" i="12"/>
  <c r="J1432" i="12"/>
  <c r="E2076" i="12"/>
  <c r="E180" i="12"/>
  <c r="E176" i="12" s="1"/>
  <c r="I829" i="12"/>
  <c r="J2218" i="12"/>
  <c r="I2658" i="12"/>
  <c r="J1527" i="12"/>
  <c r="I2327" i="12"/>
  <c r="I846" i="12"/>
  <c r="I1555" i="12"/>
  <c r="J1211" i="12"/>
  <c r="J701" i="12"/>
  <c r="D2524" i="12"/>
  <c r="J1232" i="12"/>
  <c r="J1821" i="12"/>
  <c r="V2672" i="12"/>
  <c r="T2672" i="12"/>
  <c r="I1098" i="12"/>
  <c r="J1832" i="12"/>
  <c r="J1295" i="12"/>
  <c r="J1596" i="12"/>
  <c r="J2533" i="12"/>
  <c r="Z2663" i="12"/>
  <c r="J2663" i="12"/>
  <c r="J1173" i="12"/>
  <c r="J1427" i="12"/>
  <c r="J2126" i="12"/>
  <c r="J1531" i="12"/>
  <c r="J1323" i="12"/>
  <c r="E2325" i="12"/>
  <c r="J1183" i="12"/>
  <c r="I1867" i="12"/>
  <c r="E2617" i="12"/>
  <c r="J744" i="12"/>
  <c r="E1242" i="12"/>
  <c r="D2491" i="12"/>
  <c r="D2283" i="12" s="1"/>
  <c r="J142" i="12"/>
  <c r="J765" i="12"/>
  <c r="J1113" i="12"/>
  <c r="I1579" i="12"/>
  <c r="D2488" i="12"/>
  <c r="D2280" i="12" s="1"/>
  <c r="E164" i="12"/>
  <c r="Z1150" i="12"/>
  <c r="V2049" i="12"/>
  <c r="J2175" i="12"/>
  <c r="J2532" i="12"/>
  <c r="I185" i="12"/>
  <c r="J2088" i="12"/>
  <c r="J2429" i="12"/>
  <c r="E172" i="12"/>
  <c r="E1181" i="12"/>
  <c r="I2090" i="12"/>
  <c r="J1468" i="12"/>
  <c r="J2306" i="12"/>
  <c r="E174" i="12"/>
  <c r="X638" i="12"/>
  <c r="J723" i="12"/>
  <c r="I958" i="12"/>
  <c r="E1192" i="12"/>
  <c r="J1710" i="12"/>
  <c r="I2433" i="12"/>
  <c r="T2637" i="12"/>
  <c r="E1925" i="12"/>
  <c r="E161" i="12"/>
  <c r="E1284" i="12"/>
  <c r="E198" i="12"/>
  <c r="J1389" i="12"/>
  <c r="J1440" i="12"/>
  <c r="E170" i="12"/>
  <c r="T1015" i="12"/>
  <c r="I2070" i="12"/>
  <c r="J2534" i="12"/>
  <c r="T1105" i="12"/>
  <c r="I2646" i="12"/>
  <c r="I1245" i="12"/>
  <c r="I2539" i="12"/>
  <c r="I392" i="12"/>
  <c r="J1511" i="12"/>
  <c r="E1644" i="12"/>
  <c r="J1644" i="12" s="1"/>
  <c r="I1771" i="12"/>
  <c r="I1805" i="12" s="1"/>
  <c r="I1818" i="12"/>
  <c r="E1058" i="12"/>
  <c r="AA2469" i="12"/>
  <c r="J933" i="12"/>
  <c r="J1313" i="12"/>
  <c r="X437" i="12"/>
  <c r="J1319" i="12"/>
  <c r="J1307" i="12"/>
  <c r="J1312" i="12"/>
  <c r="I1601" i="12"/>
  <c r="J1315" i="12"/>
  <c r="X2640" i="12"/>
  <c r="E1521" i="12"/>
  <c r="E1651" i="12"/>
  <c r="X1643" i="12"/>
  <c r="E659" i="12"/>
  <c r="I360" i="12"/>
  <c r="D252" i="12"/>
  <c r="D258" i="12" s="1"/>
  <c r="E663" i="12"/>
  <c r="I1802" i="12"/>
  <c r="J1643" i="12"/>
  <c r="E675" i="12"/>
  <c r="V1643" i="12"/>
  <c r="T727" i="12"/>
  <c r="E2064" i="12"/>
  <c r="V2065" i="12"/>
  <c r="E1430" i="12"/>
  <c r="I770" i="12"/>
  <c r="D1616" i="12"/>
  <c r="E1385" i="12"/>
  <c r="J727" i="12"/>
  <c r="I1935" i="12"/>
  <c r="E2291" i="12"/>
  <c r="X890" i="12"/>
  <c r="E460" i="12"/>
  <c r="E1061" i="12"/>
  <c r="Z1061" i="12" s="1"/>
  <c r="E1993" i="12"/>
  <c r="V1993" i="12" s="1"/>
  <c r="I2435" i="12"/>
  <c r="Z727" i="12"/>
  <c r="E459" i="12"/>
  <c r="E1483" i="12"/>
  <c r="E13" i="12"/>
  <c r="Z1134" i="12"/>
  <c r="J2065" i="12"/>
  <c r="J1134" i="12"/>
  <c r="D249" i="12"/>
  <c r="V727" i="12"/>
  <c r="E2326" i="12"/>
  <c r="V1015" i="12"/>
  <c r="Z2065" i="12"/>
  <c r="V1134" i="12"/>
  <c r="E2062" i="12"/>
  <c r="V1105" i="12"/>
  <c r="X1134" i="12"/>
  <c r="E1626" i="12"/>
  <c r="Z1626" i="12" s="1"/>
  <c r="E721" i="12"/>
  <c r="E138" i="12"/>
  <c r="J890" i="12"/>
  <c r="E461" i="12"/>
  <c r="J2358" i="12"/>
  <c r="E2254" i="12"/>
  <c r="I1654" i="12"/>
  <c r="I291" i="12"/>
  <c r="T1504" i="12"/>
  <c r="E1066" i="12"/>
  <c r="J1088" i="12"/>
  <c r="V1014" i="12"/>
  <c r="Z1014" i="12"/>
  <c r="J1577" i="12"/>
  <c r="E463" i="12"/>
  <c r="E1067" i="12"/>
  <c r="J1089" i="12"/>
  <c r="I633" i="12"/>
  <c r="E2289" i="12"/>
  <c r="N2637" i="12"/>
  <c r="X1502" i="12"/>
  <c r="E2057" i="12"/>
  <c r="E2294" i="12"/>
  <c r="J15" i="12"/>
  <c r="E17" i="12"/>
  <c r="E1013" i="12"/>
  <c r="I600" i="12"/>
  <c r="V945" i="12"/>
  <c r="I1639" i="12"/>
  <c r="E2322" i="12"/>
  <c r="X945" i="12"/>
  <c r="J834" i="12"/>
  <c r="Z834" i="12"/>
  <c r="X834" i="12"/>
  <c r="V834" i="12"/>
  <c r="E135" i="12"/>
  <c r="T834" i="12"/>
  <c r="E134" i="12"/>
  <c r="Z153" i="12"/>
  <c r="X153" i="12"/>
  <c r="V153" i="12"/>
  <c r="T153" i="12"/>
  <c r="J1410" i="12"/>
  <c r="J759" i="12"/>
  <c r="J674" i="12"/>
  <c r="V56" i="12"/>
  <c r="T56" i="12"/>
  <c r="Z56" i="12"/>
  <c r="J56" i="12"/>
  <c r="X56" i="12"/>
  <c r="R376" i="12"/>
  <c r="R304" i="12"/>
  <c r="R340" i="12"/>
  <c r="R268" i="12"/>
  <c r="V1062" i="12"/>
  <c r="T1062" i="12"/>
  <c r="Z1062" i="12"/>
  <c r="E1482" i="12"/>
  <c r="X1503" i="12"/>
  <c r="I429" i="12"/>
  <c r="X168" i="12"/>
  <c r="Z804" i="12"/>
  <c r="J804" i="12"/>
  <c r="V804" i="12"/>
  <c r="T804" i="12"/>
  <c r="X804" i="12"/>
  <c r="E418" i="12"/>
  <c r="E766" i="12"/>
  <c r="R1891" i="12"/>
  <c r="R1059" i="12"/>
  <c r="R1035" i="12"/>
  <c r="R1147" i="12"/>
  <c r="R987" i="12"/>
  <c r="R1011" i="12"/>
  <c r="R542" i="12"/>
  <c r="R228" i="12"/>
  <c r="Z55" i="12"/>
  <c r="J55" i="12"/>
  <c r="X55" i="12"/>
  <c r="T55" i="12"/>
  <c r="V55" i="12"/>
  <c r="V261" i="12"/>
  <c r="V1064" i="12"/>
  <c r="T1064" i="12"/>
  <c r="Z1063" i="12"/>
  <c r="V1063" i="12"/>
  <c r="T1063" i="12"/>
  <c r="E2405" i="12"/>
  <c r="D2301" i="12"/>
  <c r="E1645" i="12"/>
  <c r="E1647" i="12"/>
  <c r="E1646" i="12"/>
  <c r="E1648" i="12"/>
  <c r="E2165" i="12"/>
  <c r="Z2570" i="12"/>
  <c r="X760" i="12"/>
  <c r="T1566" i="12"/>
  <c r="E2387" i="12"/>
  <c r="T1039" i="12"/>
  <c r="J1979" i="12"/>
  <c r="N1979" i="12"/>
  <c r="J2075" i="12"/>
  <c r="J2379" i="12"/>
  <c r="E2275" i="12"/>
  <c r="I1859" i="12"/>
  <c r="R1896" i="12"/>
  <c r="R1016" i="12"/>
  <c r="R1152" i="12"/>
  <c r="R1040" i="12"/>
  <c r="P968" i="12"/>
  <c r="R992" i="12"/>
  <c r="R1064" i="12"/>
  <c r="R547" i="12"/>
  <c r="R233" i="12"/>
  <c r="L1835" i="12"/>
  <c r="L1846" i="12"/>
  <c r="L1824" i="12"/>
  <c r="T2407" i="12"/>
  <c r="E2303" i="12"/>
  <c r="J758" i="12"/>
  <c r="V758" i="12"/>
  <c r="X758" i="12"/>
  <c r="J995" i="12"/>
  <c r="E971" i="12"/>
  <c r="E310" i="12"/>
  <c r="E896" i="12"/>
  <c r="E2056" i="12"/>
  <c r="R2219" i="12"/>
  <c r="R2196" i="12"/>
  <c r="E1653" i="12"/>
  <c r="E1607" i="12"/>
  <c r="E1610" i="12"/>
  <c r="E1608" i="12"/>
  <c r="I461" i="12"/>
  <c r="T1464" i="12"/>
  <c r="J2253" i="12"/>
  <c r="E1981" i="12"/>
  <c r="P1105" i="12"/>
  <c r="P1127" i="12"/>
  <c r="P1083" i="12"/>
  <c r="N1980" i="12"/>
  <c r="I497" i="12"/>
  <c r="E28" i="12"/>
  <c r="E27" i="12"/>
  <c r="J41" i="12"/>
  <c r="Z41" i="12"/>
  <c r="V41" i="12"/>
  <c r="E39" i="12"/>
  <c r="E35" i="12"/>
  <c r="E37" i="12"/>
  <c r="E32" i="12"/>
  <c r="E31" i="12"/>
  <c r="E30" i="12"/>
  <c r="E40" i="12"/>
  <c r="E33" i="12"/>
  <c r="E34" i="12"/>
  <c r="E38" i="12"/>
  <c r="R645" i="12"/>
  <c r="R579" i="12"/>
  <c r="R612" i="12"/>
  <c r="L378" i="12"/>
  <c r="L306" i="12"/>
  <c r="L270" i="12"/>
  <c r="L342" i="12"/>
  <c r="X1584" i="12"/>
  <c r="E1488" i="12"/>
  <c r="J1509" i="12"/>
  <c r="J854" i="12"/>
  <c r="V854" i="12"/>
  <c r="E835" i="12"/>
  <c r="X854" i="12"/>
  <c r="I1493" i="12"/>
  <c r="T1587" i="12"/>
  <c r="J802" i="12"/>
  <c r="E764" i="12"/>
  <c r="E1010" i="12"/>
  <c r="D962" i="12"/>
  <c r="J2644" i="12"/>
  <c r="J1583" i="12"/>
  <c r="J2413" i="12"/>
  <c r="E2309" i="12"/>
  <c r="I495" i="12"/>
  <c r="I462" i="12"/>
  <c r="J705" i="12"/>
  <c r="E1382" i="12"/>
  <c r="T1404" i="12"/>
  <c r="E681" i="12"/>
  <c r="J2164" i="12"/>
  <c r="N271" i="12"/>
  <c r="N343" i="12"/>
  <c r="N379" i="12"/>
  <c r="N307" i="12"/>
  <c r="J1714" i="12"/>
  <c r="J2431" i="12"/>
  <c r="J453" i="12"/>
  <c r="I453" i="12"/>
  <c r="E2390" i="12"/>
  <c r="T721" i="12"/>
  <c r="E1383" i="12"/>
  <c r="T1405" i="12"/>
  <c r="J2162" i="12"/>
  <c r="D1384" i="12"/>
  <c r="E1406" i="12"/>
  <c r="N2139" i="12"/>
  <c r="N2095" i="12"/>
  <c r="N2117" i="12"/>
  <c r="E2423" i="12"/>
  <c r="D2425" i="12"/>
  <c r="E64" i="12"/>
  <c r="X861" i="12"/>
  <c r="Z861" i="12"/>
  <c r="V861" i="12"/>
  <c r="T861" i="12"/>
  <c r="J861" i="12"/>
  <c r="E842" i="12"/>
  <c r="I496" i="12"/>
  <c r="Z92" i="12"/>
  <c r="J92" i="12"/>
  <c r="V92" i="12"/>
  <c r="T92" i="12"/>
  <c r="X92" i="12"/>
  <c r="Z823" i="12"/>
  <c r="J823" i="12"/>
  <c r="V823" i="12"/>
  <c r="T823" i="12"/>
  <c r="X823" i="12"/>
  <c r="E1386" i="12"/>
  <c r="J1408" i="12"/>
  <c r="J859" i="12"/>
  <c r="E840" i="12"/>
  <c r="T1127" i="12"/>
  <c r="Z1127" i="12"/>
  <c r="V1127" i="12"/>
  <c r="J2194" i="12"/>
  <c r="E2171" i="12"/>
  <c r="J2074" i="12"/>
  <c r="I427" i="12"/>
  <c r="I426" i="12"/>
  <c r="I530" i="12"/>
  <c r="T1506" i="12"/>
  <c r="E2633" i="12"/>
  <c r="N648" i="12"/>
  <c r="N615" i="12"/>
  <c r="N582" i="12"/>
  <c r="E2361" i="12"/>
  <c r="D2257" i="12"/>
  <c r="L2618" i="12"/>
  <c r="J2618" i="12"/>
  <c r="J521" i="12"/>
  <c r="I521" i="12"/>
  <c r="Z1068" i="12"/>
  <c r="Z934" i="12"/>
  <c r="J934" i="12"/>
  <c r="X934" i="12"/>
  <c r="V934" i="12"/>
  <c r="T934" i="12"/>
  <c r="T2408" i="12"/>
  <c r="E2304" i="12"/>
  <c r="Z167" i="12"/>
  <c r="T167" i="12"/>
  <c r="P1894" i="12"/>
  <c r="P1150" i="12"/>
  <c r="P1038" i="12"/>
  <c r="P1014" i="12"/>
  <c r="P990" i="12"/>
  <c r="P1062" i="12"/>
  <c r="P545" i="12"/>
  <c r="P231" i="12"/>
  <c r="T2594" i="12"/>
  <c r="E2596" i="12"/>
  <c r="E1997" i="12"/>
  <c r="E2014" i="12"/>
  <c r="E2015" i="12"/>
  <c r="I1074" i="12"/>
  <c r="I1076" i="12"/>
  <c r="E315" i="12"/>
  <c r="V455" i="12"/>
  <c r="X455" i="12"/>
  <c r="E157" i="12"/>
  <c r="J155" i="12"/>
  <c r="J1630" i="12"/>
  <c r="I460" i="12"/>
  <c r="L1480" i="12"/>
  <c r="J1480" i="12"/>
  <c r="L647" i="12"/>
  <c r="L581" i="12"/>
  <c r="L614" i="12"/>
  <c r="E1563" i="12"/>
  <c r="D1541" i="12"/>
  <c r="J177" i="12"/>
  <c r="J682" i="12"/>
  <c r="X946" i="12"/>
  <c r="E892" i="12"/>
  <c r="X1462" i="12"/>
  <c r="X2315" i="12"/>
  <c r="J2315" i="12"/>
  <c r="Z2569" i="12"/>
  <c r="I531" i="12"/>
  <c r="V717" i="12"/>
  <c r="X717" i="12"/>
  <c r="J717" i="12"/>
  <c r="R262" i="12"/>
  <c r="R334" i="12"/>
  <c r="R370" i="12"/>
  <c r="R298" i="12"/>
  <c r="R1079" i="12"/>
  <c r="R1123" i="12"/>
  <c r="R1101" i="12"/>
  <c r="E1378" i="12"/>
  <c r="J1400" i="12"/>
  <c r="J49" i="12"/>
  <c r="E51" i="12"/>
  <c r="I498" i="12"/>
  <c r="D2409" i="12"/>
  <c r="E2406" i="12"/>
  <c r="D2302" i="12"/>
  <c r="E1635" i="12"/>
  <c r="E1627" i="12"/>
  <c r="E1625" i="12"/>
  <c r="E1629" i="12"/>
  <c r="J2060" i="12"/>
  <c r="Z2060" i="12"/>
  <c r="J2195" i="12"/>
  <c r="E2172" i="12"/>
  <c r="I529" i="12"/>
  <c r="J522" i="12"/>
  <c r="I522" i="12"/>
  <c r="I528" i="12"/>
  <c r="D1543" i="12"/>
  <c r="E1565" i="12"/>
  <c r="E1619" i="12"/>
  <c r="X2420" i="12"/>
  <c r="V952" i="12"/>
  <c r="T952" i="12"/>
  <c r="Z952" i="12"/>
  <c r="J952" i="12"/>
  <c r="X952" i="12"/>
  <c r="E630" i="12"/>
  <c r="E622" i="12"/>
  <c r="V745" i="12"/>
  <c r="T745" i="12"/>
  <c r="Z745" i="12"/>
  <c r="J745" i="12"/>
  <c r="X745" i="12"/>
  <c r="Z1040" i="12"/>
  <c r="V1040" i="12"/>
  <c r="T1040" i="12"/>
  <c r="J2016" i="12"/>
  <c r="D396" i="12"/>
  <c r="J1022" i="12"/>
  <c r="E1021" i="12"/>
  <c r="E1491" i="12"/>
  <c r="J1512" i="12"/>
  <c r="E1510" i="12"/>
  <c r="E2063" i="12"/>
  <c r="J1284" i="12"/>
  <c r="E664" i="12"/>
  <c r="E658" i="12"/>
  <c r="E651" i="12"/>
  <c r="E323" i="12"/>
  <c r="E464" i="12"/>
  <c r="E458" i="12"/>
  <c r="E450" i="12"/>
  <c r="E2365" i="12"/>
  <c r="D2261" i="12"/>
  <c r="J816" i="12"/>
  <c r="X816" i="12"/>
  <c r="V816" i="12"/>
  <c r="Z78" i="12"/>
  <c r="J78" i="12"/>
  <c r="T2595" i="12"/>
  <c r="E1060" i="12"/>
  <c r="X738" i="12"/>
  <c r="V738" i="12"/>
  <c r="J738" i="12"/>
  <c r="E1589" i="12"/>
  <c r="T1586" i="12"/>
  <c r="N1870" i="12"/>
  <c r="N1878" i="12"/>
  <c r="N1862" i="12"/>
  <c r="J2645" i="12"/>
  <c r="J463" i="12"/>
  <c r="I463" i="12"/>
  <c r="L629" i="12"/>
  <c r="L662" i="12"/>
  <c r="L596" i="12"/>
  <c r="J791" i="12"/>
  <c r="R639" i="12"/>
  <c r="R573" i="12"/>
  <c r="R606" i="12"/>
  <c r="E1390" i="12"/>
  <c r="J1412" i="12"/>
  <c r="L2617" i="12"/>
  <c r="J2617" i="12"/>
  <c r="E100" i="12"/>
  <c r="E93" i="12"/>
  <c r="E86" i="12"/>
  <c r="E94" i="12"/>
  <c r="E97" i="12"/>
  <c r="V240" i="12"/>
  <c r="X240" i="12"/>
  <c r="J240" i="12"/>
  <c r="J2196" i="12"/>
  <c r="E2173" i="12"/>
  <c r="X1469" i="12"/>
  <c r="V1469" i="12"/>
  <c r="T1469" i="12"/>
  <c r="J1469" i="12"/>
  <c r="Z1469" i="12"/>
  <c r="J488" i="12"/>
  <c r="I488" i="12"/>
  <c r="I494" i="12"/>
  <c r="E321" i="12"/>
  <c r="I321" i="12"/>
  <c r="E1539" i="12"/>
  <c r="E1987" i="12"/>
  <c r="E725" i="12"/>
  <c r="J726" i="12"/>
  <c r="E1986" i="12"/>
  <c r="R662" i="12"/>
  <c r="R629" i="12"/>
  <c r="R596" i="12"/>
  <c r="E2174" i="12"/>
  <c r="J2197" i="12"/>
  <c r="E2383" i="12"/>
  <c r="P266" i="12"/>
  <c r="P338" i="12"/>
  <c r="P374" i="12"/>
  <c r="P302" i="12"/>
  <c r="E660" i="12"/>
  <c r="Z1001" i="12"/>
  <c r="J1001" i="12"/>
  <c r="V1001" i="12"/>
  <c r="T1001" i="12"/>
  <c r="E998" i="12"/>
  <c r="E977" i="12"/>
  <c r="X1001" i="12"/>
  <c r="E1000" i="12"/>
  <c r="E988" i="12"/>
  <c r="E999" i="12"/>
  <c r="E987" i="12"/>
  <c r="E990" i="12"/>
  <c r="E991" i="12"/>
  <c r="E986" i="12"/>
  <c r="E992" i="12"/>
  <c r="V218" i="12"/>
  <c r="E216" i="12"/>
  <c r="E214" i="12"/>
  <c r="E212" i="12"/>
  <c r="E209" i="12"/>
  <c r="E205" i="12"/>
  <c r="Z218" i="12"/>
  <c r="J218" i="12"/>
  <c r="E204" i="12"/>
  <c r="E215" i="12"/>
  <c r="E207" i="12"/>
  <c r="E210" i="12"/>
  <c r="E211" i="12"/>
  <c r="E217" i="12"/>
  <c r="E208" i="12"/>
  <c r="E325" i="12"/>
  <c r="X2592" i="12"/>
  <c r="E2424" i="12"/>
  <c r="E699" i="12"/>
  <c r="E698" i="12"/>
  <c r="T700" i="12"/>
  <c r="J419" i="12"/>
  <c r="I419" i="12"/>
  <c r="R1084" i="12"/>
  <c r="R1128" i="12"/>
  <c r="R1106" i="12"/>
  <c r="E2404" i="12"/>
  <c r="D2300" i="12"/>
  <c r="L1112" i="12"/>
  <c r="L1090" i="12"/>
  <c r="L1134" i="12"/>
  <c r="E2078" i="12"/>
  <c r="E54" i="12"/>
  <c r="E605" i="12"/>
  <c r="X620" i="12"/>
  <c r="V620" i="12"/>
  <c r="E554" i="12"/>
  <c r="J620" i="12"/>
  <c r="I1329" i="12"/>
  <c r="J1552" i="12"/>
  <c r="Z2106" i="12"/>
  <c r="E2166" i="12"/>
  <c r="Z2655" i="12"/>
  <c r="V2041" i="12"/>
  <c r="Z2041" i="12"/>
  <c r="J2041" i="12"/>
  <c r="E2031" i="12"/>
  <c r="E2033" i="12"/>
  <c r="E2038" i="12"/>
  <c r="E2040" i="12"/>
  <c r="E2039" i="12"/>
  <c r="E2032" i="12"/>
  <c r="J1471" i="12"/>
  <c r="E1470" i="12"/>
  <c r="V909" i="12"/>
  <c r="J909" i="12"/>
  <c r="X909" i="12"/>
  <c r="E891" i="12"/>
  <c r="E1507" i="12"/>
  <c r="I357" i="12"/>
  <c r="I454" i="12"/>
  <c r="J454" i="12"/>
  <c r="I428" i="12"/>
  <c r="E661" i="12"/>
  <c r="I661" i="12"/>
  <c r="J1579" i="12"/>
  <c r="E2085" i="12"/>
  <c r="E2368" i="12"/>
  <c r="D2264" i="12"/>
  <c r="J487" i="12"/>
  <c r="I487" i="12"/>
  <c r="AA2468" i="12"/>
  <c r="D2364" i="12"/>
  <c r="R339" i="12"/>
  <c r="R375" i="12"/>
  <c r="R303" i="12"/>
  <c r="R267" i="12"/>
  <c r="V1016" i="12"/>
  <c r="T1016" i="12"/>
  <c r="J927" i="12"/>
  <c r="V927" i="12"/>
  <c r="X927" i="12"/>
  <c r="AA2471" i="12"/>
  <c r="D2367" i="12"/>
  <c r="P610" i="12"/>
  <c r="P577" i="12"/>
  <c r="P643" i="12"/>
  <c r="X1402" i="12"/>
  <c r="T2163" i="12"/>
  <c r="Z2163" i="12"/>
  <c r="X2163" i="12"/>
  <c r="V2163" i="12"/>
  <c r="J2163" i="12"/>
  <c r="X2362" i="12"/>
  <c r="E2258" i="12"/>
  <c r="T996" i="12"/>
  <c r="X996" i="12"/>
  <c r="V996" i="12"/>
  <c r="E972" i="12"/>
  <c r="J996" i="12"/>
  <c r="Z996" i="12"/>
  <c r="E319" i="12"/>
  <c r="T1523" i="12"/>
  <c r="X1421" i="12"/>
  <c r="P1895" i="12"/>
  <c r="P1151" i="12"/>
  <c r="P1063" i="12"/>
  <c r="P1015" i="12"/>
  <c r="P991" i="12"/>
  <c r="P1039" i="12"/>
  <c r="P546" i="12"/>
  <c r="P232" i="12"/>
  <c r="X757" i="12"/>
  <c r="V757" i="12"/>
  <c r="J757" i="12"/>
  <c r="E1379" i="12"/>
  <c r="X1401" i="12"/>
  <c r="I1287" i="12"/>
  <c r="J420" i="12"/>
  <c r="I420" i="12"/>
  <c r="I251" i="12"/>
  <c r="J1623" i="12"/>
  <c r="V1623" i="12"/>
  <c r="X1623" i="12"/>
  <c r="E1633" i="12"/>
  <c r="E1624" i="12"/>
  <c r="Z1011" i="12"/>
  <c r="R1107" i="12"/>
  <c r="R1129" i="12"/>
  <c r="R1085" i="12"/>
  <c r="X1562" i="12"/>
  <c r="E1540" i="12"/>
  <c r="J2615" i="12"/>
  <c r="L1811" i="12"/>
  <c r="J1811" i="12"/>
  <c r="J1857" i="12"/>
  <c r="E747" i="12"/>
  <c r="X748" i="12"/>
  <c r="V748" i="12"/>
  <c r="Z748" i="12"/>
  <c r="E742" i="12"/>
  <c r="T748" i="12"/>
  <c r="J748" i="12"/>
  <c r="J1069" i="12"/>
  <c r="J57" i="12"/>
  <c r="E59" i="12"/>
  <c r="E898" i="12"/>
  <c r="X916" i="12"/>
  <c r="V916" i="12"/>
  <c r="Z916" i="12"/>
  <c r="T916" i="12"/>
  <c r="J916" i="12"/>
  <c r="E1609" i="12"/>
  <c r="J1978" i="12"/>
  <c r="J2084" i="12"/>
  <c r="Z2084" i="12"/>
  <c r="J2276" i="12"/>
  <c r="J2655" i="12"/>
  <c r="J2112" i="12"/>
  <c r="J915" i="12"/>
  <c r="E897" i="12"/>
  <c r="Z154" i="12"/>
  <c r="X154" i="12"/>
  <c r="V154" i="12"/>
  <c r="T154" i="12"/>
  <c r="E685" i="12"/>
  <c r="X893" i="12"/>
  <c r="J1409" i="12"/>
  <c r="Z1409" i="12"/>
  <c r="X1409" i="12"/>
  <c r="V1409" i="12"/>
  <c r="E1387" i="12"/>
  <c r="T1409" i="12"/>
  <c r="E2384" i="12"/>
  <c r="X836" i="12"/>
  <c r="AA2490" i="12"/>
  <c r="D2386" i="12"/>
  <c r="D434" i="12"/>
  <c r="E627" i="12"/>
  <c r="R611" i="12"/>
  <c r="R644" i="12"/>
  <c r="R578" i="12"/>
  <c r="T1564" i="12"/>
  <c r="I1714" i="12"/>
  <c r="E1988" i="12"/>
  <c r="AA2493" i="12"/>
  <c r="D2389" i="12"/>
  <c r="J994" i="12"/>
  <c r="E970" i="12"/>
  <c r="E329" i="12"/>
  <c r="T1134" i="12" l="1"/>
  <c r="E74" i="12"/>
  <c r="E67" i="12"/>
  <c r="E628" i="12"/>
  <c r="E103" i="12"/>
  <c r="T1112" i="12"/>
  <c r="V78" i="12"/>
  <c r="E618" i="12"/>
  <c r="V167" i="12"/>
  <c r="J1614" i="12"/>
  <c r="X1522" i="12"/>
  <c r="T168" i="12"/>
  <c r="J1199" i="12"/>
  <c r="E106" i="12"/>
  <c r="E1380" i="12"/>
  <c r="E71" i="12"/>
  <c r="E105" i="12"/>
  <c r="E69" i="12"/>
  <c r="Z2645" i="12"/>
  <c r="X167" i="12"/>
  <c r="T1588" i="12"/>
  <c r="Z2644" i="12"/>
  <c r="E457" i="12"/>
  <c r="E1544" i="12"/>
  <c r="E225" i="12"/>
  <c r="V168" i="12"/>
  <c r="T1090" i="12"/>
  <c r="E75" i="12"/>
  <c r="J1168" i="12"/>
  <c r="J52" i="12"/>
  <c r="E77" i="12"/>
  <c r="J77" i="12" s="1"/>
  <c r="E1894" i="12"/>
  <c r="E65" i="12"/>
  <c r="E704" i="12"/>
  <c r="E2646" i="12"/>
  <c r="X261" i="12"/>
  <c r="Z168" i="12"/>
  <c r="J1628" i="12"/>
  <c r="E1037" i="12"/>
  <c r="J1169" i="12"/>
  <c r="E1542" i="12"/>
  <c r="E72" i="12"/>
  <c r="J72" i="12" s="1"/>
  <c r="J140" i="12"/>
  <c r="V1039" i="12"/>
  <c r="X2421" i="12"/>
  <c r="E626" i="12"/>
  <c r="Z2219" i="12"/>
  <c r="AC107" i="12"/>
  <c r="E1921" i="12"/>
  <c r="E76" i="12"/>
  <c r="E68" i="12"/>
  <c r="X1585" i="12"/>
  <c r="E107" i="12"/>
  <c r="E139" i="12"/>
  <c r="Z2196" i="12"/>
  <c r="E110" i="12"/>
  <c r="Z1039" i="12"/>
  <c r="E70" i="12"/>
  <c r="J2134" i="12"/>
  <c r="E1076" i="12"/>
  <c r="X131" i="12"/>
  <c r="V655" i="12"/>
  <c r="J2614" i="12"/>
  <c r="J1368" i="12"/>
  <c r="V131" i="12"/>
  <c r="T131" i="12"/>
  <c r="T2422" i="12"/>
  <c r="E1200" i="12"/>
  <c r="Z131" i="12"/>
  <c r="X1127" i="12"/>
  <c r="T2639" i="12"/>
  <c r="T459" i="12"/>
  <c r="V759" i="12"/>
  <c r="J1553" i="12"/>
  <c r="E119" i="12"/>
  <c r="J1198" i="12"/>
  <c r="X1651" i="12"/>
  <c r="X759" i="12"/>
  <c r="J2504" i="12"/>
  <c r="T1466" i="12"/>
  <c r="AA1426" i="12"/>
  <c r="E502" i="12"/>
  <c r="E495" i="12" s="1"/>
  <c r="AA1466" i="12"/>
  <c r="T1426" i="12"/>
  <c r="E1423" i="12"/>
  <c r="J1140" i="12"/>
  <c r="J1142" i="12" s="1"/>
  <c r="X1061" i="12"/>
  <c r="E2054" i="12"/>
  <c r="J2062" i="12"/>
  <c r="J2619" i="12"/>
  <c r="E294" i="12"/>
  <c r="E1463" i="12"/>
  <c r="L2619" i="12"/>
  <c r="N2639" i="12"/>
  <c r="Z682" i="12"/>
  <c r="J1651" i="12"/>
  <c r="E720" i="12"/>
  <c r="X130" i="12"/>
  <c r="J1242" i="12"/>
  <c r="E657" i="12"/>
  <c r="E624" i="12"/>
  <c r="V130" i="12"/>
  <c r="E1045" i="12"/>
  <c r="J1045" i="12" s="1"/>
  <c r="J2136" i="12"/>
  <c r="X2299" i="12"/>
  <c r="T1465" i="12"/>
  <c r="T659" i="12"/>
  <c r="V2299" i="12"/>
  <c r="J2631" i="12"/>
  <c r="J2299" i="12"/>
  <c r="J1046" i="12"/>
  <c r="V1651" i="12"/>
  <c r="E719" i="12"/>
  <c r="I1203" i="12"/>
  <c r="I1206" i="12" s="1"/>
  <c r="E1922" i="12"/>
  <c r="J1922" i="12" s="1"/>
  <c r="E1933" i="12"/>
  <c r="Z1123" i="12"/>
  <c r="E1896" i="12"/>
  <c r="J461" i="12"/>
  <c r="E1057" i="12"/>
  <c r="E1033" i="12"/>
  <c r="J2616" i="12"/>
  <c r="E1892" i="12"/>
  <c r="J675" i="12"/>
  <c r="L2616" i="12"/>
  <c r="E1891" i="12"/>
  <c r="J2535" i="12"/>
  <c r="E1920" i="12"/>
  <c r="J1454" i="12"/>
  <c r="J2606" i="12"/>
  <c r="AC220" i="12"/>
  <c r="E1889" i="12"/>
  <c r="E1893" i="12"/>
  <c r="I904" i="12"/>
  <c r="J1851" i="12"/>
  <c r="E1895" i="12"/>
  <c r="E1890" i="12"/>
  <c r="Z1035" i="12"/>
  <c r="J2039" i="12"/>
  <c r="Z2658" i="12"/>
  <c r="J211" i="12"/>
  <c r="J321" i="12"/>
  <c r="I2623" i="12"/>
  <c r="I396" i="12"/>
  <c r="E1634" i="12"/>
  <c r="J1736" i="12"/>
  <c r="X1062" i="12"/>
  <c r="J1068" i="12"/>
  <c r="J1615" i="12"/>
  <c r="J2171" i="12"/>
  <c r="J139" i="12"/>
  <c r="I1495" i="12"/>
  <c r="J38" i="12"/>
  <c r="J35" i="12"/>
  <c r="T1824" i="12"/>
  <c r="Z1147" i="12"/>
  <c r="AC146" i="12"/>
  <c r="J2254" i="12"/>
  <c r="J2291" i="12"/>
  <c r="X1521" i="12"/>
  <c r="J1118" i="12"/>
  <c r="J2325" i="12"/>
  <c r="J180" i="12"/>
  <c r="J938" i="12"/>
  <c r="E366" i="12"/>
  <c r="E1446" i="12"/>
  <c r="I562" i="12"/>
  <c r="J179" i="12"/>
  <c r="J897" i="12"/>
  <c r="J1488" i="12"/>
  <c r="J920" i="12"/>
  <c r="E58" i="12"/>
  <c r="X1151" i="12"/>
  <c r="J2400" i="12"/>
  <c r="J661" i="12"/>
  <c r="I432" i="12"/>
  <c r="J2040" i="12"/>
  <c r="J97" i="12"/>
  <c r="J1390" i="12"/>
  <c r="V1862" i="12"/>
  <c r="J2063" i="12"/>
  <c r="J2172" i="12"/>
  <c r="V1068" i="12"/>
  <c r="J840" i="12"/>
  <c r="V2117" i="12"/>
  <c r="J1716" i="12"/>
  <c r="J34" i="12"/>
  <c r="J39" i="12"/>
  <c r="I602" i="12"/>
  <c r="T1846" i="12"/>
  <c r="Z1152" i="12"/>
  <c r="J1066" i="12"/>
  <c r="I249" i="12"/>
  <c r="J2064" i="12"/>
  <c r="J1192" i="12"/>
  <c r="E536" i="12"/>
  <c r="E527" i="12" s="1"/>
  <c r="T1038" i="12"/>
  <c r="V1038" i="12"/>
  <c r="R510" i="12"/>
  <c r="R442" i="12"/>
  <c r="R408" i="12"/>
  <c r="R476" i="12"/>
  <c r="Z2664" i="12"/>
  <c r="E2525" i="12"/>
  <c r="D2317" i="12"/>
  <c r="J455" i="12"/>
  <c r="I1557" i="12"/>
  <c r="V2675" i="12"/>
  <c r="J971" i="12"/>
  <c r="J2322" i="12"/>
  <c r="J1802" i="12"/>
  <c r="X1441" i="12"/>
  <c r="J1074" i="12"/>
  <c r="Z1106" i="12"/>
  <c r="J212" i="12"/>
  <c r="J1986" i="12"/>
  <c r="V1878" i="12"/>
  <c r="E1567" i="12"/>
  <c r="J176" i="12"/>
  <c r="X1014" i="12"/>
  <c r="J865" i="12"/>
  <c r="J1386" i="12"/>
  <c r="J681" i="12"/>
  <c r="T1835" i="12"/>
  <c r="Z1016" i="12"/>
  <c r="Z1059" i="12"/>
  <c r="J1067" i="12"/>
  <c r="J663" i="12"/>
  <c r="J1829" i="12"/>
  <c r="E1481" i="12"/>
  <c r="J1164" i="12"/>
  <c r="T2308" i="12"/>
  <c r="Z2308" i="12"/>
  <c r="X2308" i="12"/>
  <c r="J2308" i="12"/>
  <c r="V2308" i="12"/>
  <c r="T1524" i="12"/>
  <c r="E1484" i="12"/>
  <c r="J1326" i="12"/>
  <c r="J1047" i="12"/>
  <c r="I690" i="12"/>
  <c r="J2270" i="12"/>
  <c r="I666" i="12"/>
  <c r="J217" i="12"/>
  <c r="I327" i="12"/>
  <c r="J664" i="12"/>
  <c r="J2294" i="12"/>
  <c r="J1430" i="12"/>
  <c r="I2649" i="12"/>
  <c r="T1445" i="12"/>
  <c r="X1901" i="12"/>
  <c r="I2606" i="12"/>
  <c r="T1525" i="12"/>
  <c r="E2528" i="12"/>
  <c r="D2490" i="12"/>
  <c r="D2282" i="12" s="1"/>
  <c r="D2493" i="12"/>
  <c r="D2285" i="12" s="1"/>
  <c r="J2114" i="12"/>
  <c r="E1985" i="12"/>
  <c r="Z1128" i="12"/>
  <c r="J215" i="12"/>
  <c r="E89" i="12"/>
  <c r="V1870" i="12"/>
  <c r="J464" i="12"/>
  <c r="Z1101" i="12"/>
  <c r="E2006" i="12"/>
  <c r="X1038" i="12"/>
  <c r="J1921" i="12"/>
  <c r="I635" i="12"/>
  <c r="V2139" i="12"/>
  <c r="J2416" i="12"/>
  <c r="J40" i="12"/>
  <c r="V2637" i="12"/>
  <c r="J1993" i="12"/>
  <c r="J1385" i="12"/>
  <c r="I252" i="12"/>
  <c r="I1773" i="12"/>
  <c r="I2329" i="12"/>
  <c r="J884" i="12"/>
  <c r="E2527" i="12"/>
  <c r="J2620" i="12"/>
  <c r="L2620" i="12"/>
  <c r="J1840" i="12"/>
  <c r="T2610" i="12"/>
  <c r="N2610" i="12"/>
  <c r="J1797" i="12"/>
  <c r="J178" i="12"/>
  <c r="J2225" i="12"/>
  <c r="J2537" i="12"/>
  <c r="E2487" i="12"/>
  <c r="J2658" i="12"/>
  <c r="J628" i="12"/>
  <c r="J1555" i="12"/>
  <c r="I1716" i="12"/>
  <c r="J1859" i="12"/>
  <c r="Z1085" i="12"/>
  <c r="I1290" i="12"/>
  <c r="X1039" i="12"/>
  <c r="E1526" i="12"/>
  <c r="J495" i="12"/>
  <c r="E53" i="12"/>
  <c r="Z1084" i="12"/>
  <c r="J216" i="12"/>
  <c r="J725" i="12"/>
  <c r="AC183" i="12"/>
  <c r="J323" i="12"/>
  <c r="J1491" i="12"/>
  <c r="X1150" i="12"/>
  <c r="X1083" i="12"/>
  <c r="X1013" i="12"/>
  <c r="J138" i="12"/>
  <c r="V1061" i="12"/>
  <c r="D1619" i="12"/>
  <c r="E2488" i="12"/>
  <c r="D2316" i="12"/>
  <c r="E2524" i="12"/>
  <c r="I848" i="12"/>
  <c r="X1442" i="12"/>
  <c r="J1048" i="12"/>
  <c r="I393" i="12"/>
  <c r="J1533" i="12"/>
  <c r="J970" i="12"/>
  <c r="J627" i="12"/>
  <c r="Z1129" i="12"/>
  <c r="J1470" i="12"/>
  <c r="I1332" i="12"/>
  <c r="J71" i="12"/>
  <c r="J660" i="12"/>
  <c r="J1987" i="12"/>
  <c r="J100" i="12"/>
  <c r="E50" i="12"/>
  <c r="Z1079" i="12"/>
  <c r="X1068" i="12"/>
  <c r="E293" i="12"/>
  <c r="J764" i="12"/>
  <c r="J896" i="12"/>
  <c r="D2529" i="12"/>
  <c r="Z1064" i="12"/>
  <c r="I567" i="12"/>
  <c r="T1423" i="12"/>
  <c r="E169" i="12"/>
  <c r="I294" i="12"/>
  <c r="Z13" i="12"/>
  <c r="I772" i="12"/>
  <c r="V1644" i="12"/>
  <c r="X1644" i="12"/>
  <c r="I1248" i="12"/>
  <c r="I2092" i="12"/>
  <c r="J2156" i="12"/>
  <c r="E602" i="12"/>
  <c r="E2494" i="12"/>
  <c r="I2633" i="12"/>
  <c r="I1799" i="12"/>
  <c r="I1998" i="12"/>
  <c r="J827" i="12"/>
  <c r="E156" i="12"/>
  <c r="J76" i="12"/>
  <c r="T2675" i="12"/>
  <c r="AE1798" i="12"/>
  <c r="E679" i="12"/>
  <c r="Z1107" i="12"/>
  <c r="X1015" i="12"/>
  <c r="I363" i="12"/>
  <c r="J75" i="12"/>
  <c r="J1021" i="12"/>
  <c r="J630" i="12"/>
  <c r="J2633" i="12"/>
  <c r="T1068" i="12"/>
  <c r="J956" i="12"/>
  <c r="J808" i="12"/>
  <c r="X1105" i="12"/>
  <c r="J2289" i="12"/>
  <c r="V1626" i="12"/>
  <c r="J2326" i="12"/>
  <c r="J460" i="12"/>
  <c r="I1807" i="12"/>
  <c r="J174" i="12"/>
  <c r="J1181" i="12"/>
  <c r="E2491" i="12"/>
  <c r="J655" i="12"/>
  <c r="J2664" i="12"/>
  <c r="J1810" i="12"/>
  <c r="E2526" i="12"/>
  <c r="J1771" i="12"/>
  <c r="T130" i="12"/>
  <c r="D1545" i="12"/>
  <c r="V120" i="12"/>
  <c r="X120" i="12"/>
  <c r="Z120" i="12"/>
  <c r="J1599" i="12"/>
  <c r="Z1038" i="12"/>
  <c r="D1908" i="12"/>
  <c r="E2061" i="12"/>
  <c r="T1061" i="12"/>
  <c r="V1013" i="12"/>
  <c r="E1388" i="12"/>
  <c r="T1013" i="12"/>
  <c r="J1474" i="12"/>
  <c r="D400" i="12"/>
  <c r="J940" i="12"/>
  <c r="T1626" i="12"/>
  <c r="Z1013" i="12"/>
  <c r="Z1993" i="12"/>
  <c r="E132" i="12"/>
  <c r="J1626" i="12"/>
  <c r="I1616" i="12"/>
  <c r="I1657" i="12"/>
  <c r="J1098" i="12"/>
  <c r="J2433" i="12"/>
  <c r="X1626" i="12"/>
  <c r="E102" i="12"/>
  <c r="I500" i="12"/>
  <c r="I534" i="12"/>
  <c r="E493" i="12"/>
  <c r="T493" i="12" s="1"/>
  <c r="E318" i="12"/>
  <c r="I466" i="12"/>
  <c r="E489" i="12"/>
  <c r="Z17" i="12"/>
  <c r="E16" i="12"/>
  <c r="J1414" i="12"/>
  <c r="Z156" i="12"/>
  <c r="Z972" i="12"/>
  <c r="J972" i="12"/>
  <c r="X892" i="12"/>
  <c r="Z107" i="12"/>
  <c r="J107" i="12"/>
  <c r="V107" i="12"/>
  <c r="T1526" i="12"/>
  <c r="J2038" i="12"/>
  <c r="E2037" i="12"/>
  <c r="Z204" i="12"/>
  <c r="X204" i="12"/>
  <c r="V204" i="12"/>
  <c r="T204" i="12"/>
  <c r="E976" i="12"/>
  <c r="J1000" i="12"/>
  <c r="E1489" i="12"/>
  <c r="J1510" i="12"/>
  <c r="E1543" i="12"/>
  <c r="T1565" i="12"/>
  <c r="J1629" i="12"/>
  <c r="V51" i="12"/>
  <c r="T51" i="12"/>
  <c r="Z51" i="12"/>
  <c r="X51" i="12"/>
  <c r="T2596" i="12"/>
  <c r="P267" i="12"/>
  <c r="P339" i="12"/>
  <c r="P303" i="12"/>
  <c r="P375" i="12"/>
  <c r="X1894" i="12"/>
  <c r="Z1894" i="12"/>
  <c r="V1894" i="12"/>
  <c r="T1894" i="12"/>
  <c r="X624" i="12"/>
  <c r="J2202" i="12"/>
  <c r="Z64" i="12"/>
  <c r="X64" i="12"/>
  <c r="T64" i="12"/>
  <c r="V64" i="12"/>
  <c r="AC27" i="12"/>
  <c r="R377" i="12"/>
  <c r="R305" i="12"/>
  <c r="R269" i="12"/>
  <c r="R341" i="12"/>
  <c r="X418" i="12"/>
  <c r="V418" i="12"/>
  <c r="E384" i="12"/>
  <c r="E403" i="12"/>
  <c r="J418" i="12"/>
  <c r="E2389" i="12"/>
  <c r="E746" i="12"/>
  <c r="E683" i="12" s="1"/>
  <c r="J747" i="12"/>
  <c r="X2383" i="12"/>
  <c r="E2279" i="12"/>
  <c r="T458" i="12"/>
  <c r="E456" i="12"/>
  <c r="J1378" i="12"/>
  <c r="E274" i="12"/>
  <c r="E285" i="12"/>
  <c r="N1981" i="12"/>
  <c r="T2303" i="12"/>
  <c r="X1645" i="12"/>
  <c r="J1645" i="12"/>
  <c r="V1645" i="12"/>
  <c r="Z766" i="12"/>
  <c r="J766" i="12"/>
  <c r="V766" i="12"/>
  <c r="T766" i="12"/>
  <c r="X766" i="12"/>
  <c r="J1245" i="12"/>
  <c r="J1609" i="12"/>
  <c r="T1037" i="12"/>
  <c r="V1037" i="12"/>
  <c r="X2368" i="12"/>
  <c r="E2264" i="12"/>
  <c r="T325" i="12"/>
  <c r="X325" i="12"/>
  <c r="V325" i="12"/>
  <c r="Z325" i="12"/>
  <c r="J325" i="12"/>
  <c r="Z992" i="12"/>
  <c r="V992" i="12"/>
  <c r="E968" i="12"/>
  <c r="T992" i="12"/>
  <c r="E2181" i="12"/>
  <c r="J2174" i="12"/>
  <c r="Z2173" i="12"/>
  <c r="J2173" i="12"/>
  <c r="AC145" i="12"/>
  <c r="X2365" i="12"/>
  <c r="E2261" i="12"/>
  <c r="E631" i="12"/>
  <c r="J1625" i="12"/>
  <c r="V1625" i="12"/>
  <c r="X1625" i="12"/>
  <c r="E1541" i="12"/>
  <c r="X1563" i="12"/>
  <c r="P644" i="12"/>
  <c r="P578" i="12"/>
  <c r="P611" i="12"/>
  <c r="E1905" i="12"/>
  <c r="E1906" i="12"/>
  <c r="E1907" i="12"/>
  <c r="E1930" i="12"/>
  <c r="E1903" i="12"/>
  <c r="E1908" i="12"/>
  <c r="E1904" i="12"/>
  <c r="E283" i="12"/>
  <c r="T1406" i="12"/>
  <c r="E1384" i="12"/>
  <c r="AA1406" i="12"/>
  <c r="J2646" i="12"/>
  <c r="E1009" i="12"/>
  <c r="J37" i="12"/>
  <c r="E36" i="12"/>
  <c r="J1608" i="12"/>
  <c r="Z1608" i="12"/>
  <c r="R646" i="12"/>
  <c r="R613" i="12"/>
  <c r="R580" i="12"/>
  <c r="J2275" i="12"/>
  <c r="X2405" i="12"/>
  <c r="E2301" i="12"/>
  <c r="X106" i="12"/>
  <c r="J106" i="12"/>
  <c r="X898" i="12"/>
  <c r="V898" i="12"/>
  <c r="Z898" i="12"/>
  <c r="T898" i="12"/>
  <c r="J898" i="12"/>
  <c r="X554" i="12"/>
  <c r="V554" i="12"/>
  <c r="J554" i="12"/>
  <c r="J214" i="12"/>
  <c r="E213" i="12"/>
  <c r="E962" i="12"/>
  <c r="E985" i="12"/>
  <c r="J977" i="12"/>
  <c r="Z977" i="12"/>
  <c r="E641" i="12"/>
  <c r="E644" i="12"/>
  <c r="E645" i="12"/>
  <c r="E642" i="12"/>
  <c r="E643" i="12"/>
  <c r="E647" i="12"/>
  <c r="E648" i="12"/>
  <c r="E640" i="12"/>
  <c r="E646" i="12"/>
  <c r="E639" i="12"/>
  <c r="E287" i="12"/>
  <c r="J1627" i="12"/>
  <c r="Z157" i="12"/>
  <c r="X157" i="12"/>
  <c r="V157" i="12"/>
  <c r="T157" i="12"/>
  <c r="X315" i="12"/>
  <c r="V315" i="12"/>
  <c r="J315" i="12"/>
  <c r="P1128" i="12"/>
  <c r="P1106" i="12"/>
  <c r="P1084" i="12"/>
  <c r="E286" i="12"/>
  <c r="Z842" i="12"/>
  <c r="J842" i="12"/>
  <c r="X842" i="12"/>
  <c r="T842" i="12"/>
  <c r="V842" i="12"/>
  <c r="E684" i="12"/>
  <c r="X27" i="12"/>
  <c r="V27" i="12"/>
  <c r="T27" i="12"/>
  <c r="Z27" i="12"/>
  <c r="T1463" i="12"/>
  <c r="J1610" i="12"/>
  <c r="R1086" i="12"/>
  <c r="R1130" i="12"/>
  <c r="R1108" i="12"/>
  <c r="R444" i="12"/>
  <c r="R512" i="12"/>
  <c r="R478" i="12"/>
  <c r="R410" i="12"/>
  <c r="X489" i="12"/>
  <c r="V489" i="12"/>
  <c r="P1107" i="12"/>
  <c r="P1085" i="12"/>
  <c r="P1129" i="12"/>
  <c r="E964" i="12"/>
  <c r="R641" i="12"/>
  <c r="R608" i="12"/>
  <c r="R575" i="12"/>
  <c r="N1988" i="12"/>
  <c r="J1988" i="12"/>
  <c r="Z1988" i="12"/>
  <c r="P376" i="12"/>
  <c r="P304" i="12"/>
  <c r="P268" i="12"/>
  <c r="P340" i="12"/>
  <c r="E2367" i="12"/>
  <c r="D2263" i="12"/>
  <c r="E2364" i="12"/>
  <c r="D2260" i="12"/>
  <c r="T1507" i="12"/>
  <c r="E1486" i="12"/>
  <c r="X2404" i="12"/>
  <c r="E2300" i="12"/>
  <c r="E434" i="12"/>
  <c r="X2384" i="12"/>
  <c r="E2280" i="12"/>
  <c r="Z1387" i="12"/>
  <c r="J1387" i="12"/>
  <c r="E741" i="12"/>
  <c r="E740" i="12"/>
  <c r="T742" i="12"/>
  <c r="L1833" i="12"/>
  <c r="L1844" i="12"/>
  <c r="L1822" i="12"/>
  <c r="X1540" i="12"/>
  <c r="P645" i="12"/>
  <c r="P579" i="12"/>
  <c r="P612" i="12"/>
  <c r="X2258" i="12"/>
  <c r="J2085" i="12"/>
  <c r="E2092" i="12"/>
  <c r="J891" i="12"/>
  <c r="X891" i="12"/>
  <c r="V891" i="12"/>
  <c r="E2030" i="12"/>
  <c r="T2424" i="12"/>
  <c r="E2320" i="12"/>
  <c r="Z991" i="12"/>
  <c r="E967" i="12"/>
  <c r="V991" i="12"/>
  <c r="X991" i="12"/>
  <c r="T991" i="12"/>
  <c r="J998" i="12"/>
  <c r="E974" i="12"/>
  <c r="E997" i="12"/>
  <c r="P476" i="12"/>
  <c r="P510" i="12"/>
  <c r="P408" i="12"/>
  <c r="P442" i="12"/>
  <c r="T658" i="12"/>
  <c r="I255" i="12"/>
  <c r="AC108" i="12"/>
  <c r="AC109" i="12"/>
  <c r="J704" i="12"/>
  <c r="X28" i="12"/>
  <c r="Z28" i="12"/>
  <c r="T28" i="12"/>
  <c r="V28" i="12"/>
  <c r="J1607" i="12"/>
  <c r="E324" i="12"/>
  <c r="J74" i="12"/>
  <c r="E73" i="12"/>
  <c r="T1542" i="12"/>
  <c r="Z205" i="12"/>
  <c r="X205" i="12"/>
  <c r="V205" i="12"/>
  <c r="T205" i="12"/>
  <c r="T1589" i="12"/>
  <c r="E613" i="12"/>
  <c r="E610" i="12"/>
  <c r="E608" i="12"/>
  <c r="E611" i="12"/>
  <c r="E614" i="12"/>
  <c r="E615" i="12"/>
  <c r="E607" i="12"/>
  <c r="E606" i="12"/>
  <c r="E612" i="12"/>
  <c r="E609" i="12"/>
  <c r="E66" i="12"/>
  <c r="X605" i="12"/>
  <c r="V605" i="12"/>
  <c r="E539" i="12"/>
  <c r="X698" i="12"/>
  <c r="V990" i="12"/>
  <c r="T990" i="12"/>
  <c r="E966" i="12"/>
  <c r="Z990" i="12"/>
  <c r="X990" i="12"/>
  <c r="E989" i="12"/>
  <c r="J1539" i="12"/>
  <c r="J94" i="12"/>
  <c r="E96" i="12"/>
  <c r="J1027" i="12"/>
  <c r="E1983" i="12"/>
  <c r="T2304" i="12"/>
  <c r="Z1891" i="12"/>
  <c r="E279" i="12"/>
  <c r="T2423" i="12"/>
  <c r="E2319" i="12"/>
  <c r="N515" i="12"/>
  <c r="N447" i="12"/>
  <c r="N413" i="12"/>
  <c r="N481" i="12"/>
  <c r="E2331" i="12"/>
  <c r="J2309" i="12"/>
  <c r="L446" i="12"/>
  <c r="L480" i="12"/>
  <c r="L412" i="12"/>
  <c r="L514" i="12"/>
  <c r="X457" i="12"/>
  <c r="E1652" i="12"/>
  <c r="E1657" i="12"/>
  <c r="E301" i="12"/>
  <c r="E300" i="12"/>
  <c r="E307" i="12"/>
  <c r="E302" i="12"/>
  <c r="E303" i="12"/>
  <c r="E299" i="12"/>
  <c r="E305" i="12"/>
  <c r="E304" i="12"/>
  <c r="E306" i="12"/>
  <c r="E298" i="12"/>
  <c r="P1896" i="12"/>
  <c r="P1040" i="12"/>
  <c r="P1016" i="12"/>
  <c r="P1152" i="12"/>
  <c r="P1064" i="12"/>
  <c r="P992" i="12"/>
  <c r="P547" i="12"/>
  <c r="P233" i="12"/>
  <c r="N2051" i="12"/>
  <c r="N2003" i="12"/>
  <c r="N2075" i="12"/>
  <c r="N2027" i="12"/>
  <c r="J1648" i="12"/>
  <c r="X1063" i="12"/>
  <c r="V225" i="12"/>
  <c r="X225" i="12"/>
  <c r="J1633" i="12"/>
  <c r="V1633" i="12"/>
  <c r="X1633" i="12"/>
  <c r="L2590" i="12"/>
  <c r="L2315" i="12"/>
  <c r="L1902" i="12"/>
  <c r="L1501" i="12"/>
  <c r="L1520" i="12"/>
  <c r="L1539" i="12"/>
  <c r="E2386" i="12"/>
  <c r="T319" i="12"/>
  <c r="E317" i="12"/>
  <c r="R511" i="12"/>
  <c r="R477" i="12"/>
  <c r="R409" i="12"/>
  <c r="R443" i="12"/>
  <c r="T1567" i="12"/>
  <c r="E1545" i="12"/>
  <c r="J685" i="12"/>
  <c r="Z685" i="12"/>
  <c r="J1624" i="12"/>
  <c r="X1624" i="12"/>
  <c r="V1624" i="12"/>
  <c r="J922" i="12"/>
  <c r="V54" i="12"/>
  <c r="T54" i="12"/>
  <c r="Z54" i="12"/>
  <c r="X54" i="12"/>
  <c r="T699" i="12"/>
  <c r="E697" i="12"/>
  <c r="E963" i="12"/>
  <c r="Z987" i="12"/>
  <c r="J86" i="12"/>
  <c r="E88" i="12"/>
  <c r="AC80" i="12"/>
  <c r="J1287" i="12"/>
  <c r="E1992" i="12"/>
  <c r="X622" i="12"/>
  <c r="V622" i="12"/>
  <c r="J622" i="12"/>
  <c r="T2406" i="12"/>
  <c r="E2302" i="12"/>
  <c r="R506" i="12"/>
  <c r="R438" i="12"/>
  <c r="R404" i="12"/>
  <c r="R472" i="12"/>
  <c r="E1991" i="12"/>
  <c r="J2015" i="12"/>
  <c r="X2361" i="12"/>
  <c r="E2257" i="12"/>
  <c r="E289" i="12"/>
  <c r="Z65" i="12"/>
  <c r="X65" i="12"/>
  <c r="V65" i="12"/>
  <c r="T65" i="12"/>
  <c r="X2390" i="12"/>
  <c r="E2286" i="12"/>
  <c r="E1403" i="12"/>
  <c r="E29" i="12"/>
  <c r="V1646" i="12"/>
  <c r="T1646" i="12"/>
  <c r="J1646" i="12"/>
  <c r="X1646" i="12"/>
  <c r="Z1646" i="12"/>
  <c r="R1103" i="12"/>
  <c r="R1125" i="12"/>
  <c r="R1081" i="12"/>
  <c r="E206" i="12"/>
  <c r="J999" i="12"/>
  <c r="E975" i="12"/>
  <c r="X93" i="12"/>
  <c r="V93" i="12"/>
  <c r="T93" i="12"/>
  <c r="Z93" i="12"/>
  <c r="J93" i="12"/>
  <c r="D2305" i="12"/>
  <c r="E2409" i="12"/>
  <c r="E2013" i="12"/>
  <c r="J2014" i="12"/>
  <c r="E1990" i="12"/>
  <c r="V1893" i="12"/>
  <c r="X1893" i="12"/>
  <c r="E1984" i="12"/>
  <c r="I330" i="12"/>
  <c r="E284" i="12"/>
  <c r="N2161" i="12"/>
  <c r="V2095" i="12"/>
  <c r="X719" i="12"/>
  <c r="X835" i="12"/>
  <c r="V835" i="12"/>
  <c r="J835" i="12"/>
  <c r="N2052" i="12"/>
  <c r="N2028" i="12"/>
  <c r="N2004" i="12"/>
  <c r="N2076" i="12"/>
  <c r="X2387" i="12"/>
  <c r="E2283" i="12"/>
  <c r="J1647" i="12"/>
  <c r="R372" i="12"/>
  <c r="R300" i="12"/>
  <c r="R336" i="12"/>
  <c r="R264" i="12"/>
  <c r="L1482" i="12"/>
  <c r="Z1893" i="12" l="1"/>
  <c r="T50" i="12"/>
  <c r="X1037" i="12"/>
  <c r="Z1037" i="12"/>
  <c r="E1888" i="12"/>
  <c r="E718" i="12"/>
  <c r="T1896" i="12"/>
  <c r="E529" i="12"/>
  <c r="T626" i="12"/>
  <c r="J105" i="12"/>
  <c r="J1920" i="12"/>
  <c r="Z1057" i="12"/>
  <c r="T720" i="12"/>
  <c r="V1896" i="12"/>
  <c r="Z2646" i="12"/>
  <c r="X103" i="12"/>
  <c r="Z1896" i="12"/>
  <c r="T1544" i="12"/>
  <c r="AC2658" i="12"/>
  <c r="T1893" i="12"/>
  <c r="J103" i="12"/>
  <c r="J1456" i="12"/>
  <c r="E625" i="12"/>
  <c r="J1371" i="12"/>
  <c r="J1388" i="12"/>
  <c r="J1392" i="12" s="1"/>
  <c r="J146" i="12"/>
  <c r="I2331" i="12"/>
  <c r="E1394" i="12"/>
  <c r="J729" i="12"/>
  <c r="E484" i="12"/>
  <c r="E494" i="12"/>
  <c r="J494" i="12" s="1"/>
  <c r="T2640" i="12"/>
  <c r="Z119" i="12"/>
  <c r="X119" i="12"/>
  <c r="V2639" i="12"/>
  <c r="T119" i="12"/>
  <c r="J489" i="12"/>
  <c r="E497" i="12"/>
  <c r="J497" i="12" s="1"/>
  <c r="V119" i="12"/>
  <c r="V50" i="12"/>
  <c r="X50" i="12"/>
  <c r="Z53" i="12"/>
  <c r="Z50" i="12"/>
  <c r="E1929" i="12"/>
  <c r="E1902" i="12"/>
  <c r="I668" i="12"/>
  <c r="AD2629" i="12"/>
  <c r="J1076" i="12"/>
  <c r="E491" i="12"/>
  <c r="T156" i="12"/>
  <c r="J466" i="12"/>
  <c r="Z1889" i="12"/>
  <c r="J1416" i="12"/>
  <c r="X657" i="12"/>
  <c r="E1928" i="12"/>
  <c r="J1928" i="12" s="1"/>
  <c r="V156" i="12"/>
  <c r="I366" i="12"/>
  <c r="X156" i="12"/>
  <c r="J183" i="12"/>
  <c r="J185" i="12" s="1"/>
  <c r="AC2629" i="12"/>
  <c r="J1051" i="12"/>
  <c r="J1054" i="12" s="1"/>
  <c r="J1601" i="12"/>
  <c r="Z1033" i="12"/>
  <c r="J867" i="12"/>
  <c r="Z1895" i="12"/>
  <c r="I468" i="12"/>
  <c r="V1895" i="12"/>
  <c r="X1895" i="12"/>
  <c r="J2621" i="12"/>
  <c r="E531" i="12"/>
  <c r="E532" i="12" s="1"/>
  <c r="I398" i="12"/>
  <c r="J902" i="12"/>
  <c r="T1895" i="12"/>
  <c r="T1844" i="12"/>
  <c r="Z1081" i="12"/>
  <c r="J1991" i="12"/>
  <c r="T2590" i="12"/>
  <c r="X1016" i="12"/>
  <c r="J324" i="12"/>
  <c r="J2090" i="12"/>
  <c r="T1833" i="12"/>
  <c r="E421" i="12"/>
  <c r="Z1086" i="12"/>
  <c r="J684" i="12"/>
  <c r="I434" i="12"/>
  <c r="J2539" i="12"/>
  <c r="J2667" i="12"/>
  <c r="J2227" i="12"/>
  <c r="T2528" i="12"/>
  <c r="J958" i="12"/>
  <c r="E523" i="12"/>
  <c r="E526" i="12"/>
  <c r="E528" i="12"/>
  <c r="E518" i="12"/>
  <c r="E87" i="12"/>
  <c r="X1152" i="12"/>
  <c r="Z967" i="12"/>
  <c r="J886" i="12"/>
  <c r="J846" i="12"/>
  <c r="V2004" i="12"/>
  <c r="J975" i="12"/>
  <c r="Z1125" i="12"/>
  <c r="V2003" i="12"/>
  <c r="X1040" i="12"/>
  <c r="J2179" i="12"/>
  <c r="J976" i="12"/>
  <c r="J102" i="12"/>
  <c r="AC182" i="12"/>
  <c r="J1818" i="12"/>
  <c r="AC1716" i="12"/>
  <c r="E361" i="12"/>
  <c r="E365" i="12"/>
  <c r="E356" i="12"/>
  <c r="E357" i="12"/>
  <c r="E249" i="12" s="1"/>
  <c r="E355" i="12"/>
  <c r="E351" i="12"/>
  <c r="E243" i="12" s="1"/>
  <c r="E359" i="12"/>
  <c r="E251" i="12" s="1"/>
  <c r="E346" i="12"/>
  <c r="J1120" i="12"/>
  <c r="Z1130" i="12"/>
  <c r="I502" i="12"/>
  <c r="V2028" i="12"/>
  <c r="X1896" i="12"/>
  <c r="Z966" i="12"/>
  <c r="J1929" i="12"/>
  <c r="J2204" i="12"/>
  <c r="T972" i="12"/>
  <c r="Z16" i="12"/>
  <c r="T318" i="12"/>
  <c r="I1619" i="12"/>
  <c r="J1773" i="12"/>
  <c r="J810" i="12"/>
  <c r="J770" i="12"/>
  <c r="X2524" i="12"/>
  <c r="E2316" i="12"/>
  <c r="AC1866" i="12"/>
  <c r="J89" i="12"/>
  <c r="T527" i="12"/>
  <c r="E525" i="12"/>
  <c r="V977" i="12"/>
  <c r="AA1446" i="12"/>
  <c r="T1446" i="12"/>
  <c r="E1443" i="12"/>
  <c r="J974" i="12"/>
  <c r="J1030" i="12"/>
  <c r="J1634" i="12"/>
  <c r="E1982" i="12"/>
  <c r="E678" i="12"/>
  <c r="X1085" i="12"/>
  <c r="J2296" i="12"/>
  <c r="J213" i="12"/>
  <c r="J631" i="12"/>
  <c r="J666" i="12"/>
  <c r="J1248" i="12"/>
  <c r="E492" i="12"/>
  <c r="J529" i="12"/>
  <c r="I569" i="12"/>
  <c r="J2037" i="12"/>
  <c r="J1535" i="12"/>
  <c r="Z2667" i="12"/>
  <c r="J1990" i="12"/>
  <c r="Z1103" i="12"/>
  <c r="J148" i="12"/>
  <c r="I258" i="12"/>
  <c r="X1129" i="12"/>
  <c r="V2052" i="12"/>
  <c r="J1992" i="12"/>
  <c r="E95" i="12"/>
  <c r="T53" i="12"/>
  <c r="X1107" i="12"/>
  <c r="X1084" i="12"/>
  <c r="J2649" i="12"/>
  <c r="J746" i="12"/>
  <c r="J1476" i="12"/>
  <c r="I536" i="12"/>
  <c r="J2435" i="12"/>
  <c r="J2061" i="12"/>
  <c r="E2529" i="12"/>
  <c r="T2526" i="12"/>
  <c r="E2318" i="12"/>
  <c r="X2491" i="12"/>
  <c r="D2321" i="12"/>
  <c r="D2677" i="12"/>
  <c r="X2487" i="12"/>
  <c r="J1799" i="12"/>
  <c r="V2640" i="12"/>
  <c r="E2493" i="12"/>
  <c r="J1434" i="12"/>
  <c r="J1200" i="12"/>
  <c r="J2327" i="12"/>
  <c r="J2158" i="12"/>
  <c r="V2027" i="12"/>
  <c r="V2051" i="12"/>
  <c r="E677" i="12"/>
  <c r="J1290" i="12"/>
  <c r="X992" i="12"/>
  <c r="T1387" i="12"/>
  <c r="T1988" i="12"/>
  <c r="V53" i="12"/>
  <c r="X1106" i="12"/>
  <c r="J36" i="12"/>
  <c r="Z968" i="12"/>
  <c r="Z2649" i="12"/>
  <c r="J732" i="12"/>
  <c r="X2494" i="12"/>
  <c r="J1329" i="12"/>
  <c r="L1481" i="12"/>
  <c r="X2525" i="12"/>
  <c r="E2317" i="12"/>
  <c r="J1805" i="12"/>
  <c r="E593" i="12"/>
  <c r="E592" i="12" s="1"/>
  <c r="E597" i="12"/>
  <c r="E598" i="12" s="1"/>
  <c r="E565" i="12" s="1"/>
  <c r="E595" i="12"/>
  <c r="E585" i="12"/>
  <c r="E589" i="12"/>
  <c r="E594" i="12"/>
  <c r="J2312" i="12"/>
  <c r="J1557" i="12"/>
  <c r="J73" i="12"/>
  <c r="T1822" i="12"/>
  <c r="X53" i="12"/>
  <c r="Z1108" i="12"/>
  <c r="X1128" i="12"/>
  <c r="J1930" i="12"/>
  <c r="X2488" i="12"/>
  <c r="V2610" i="12"/>
  <c r="T2527" i="12"/>
  <c r="J829" i="12"/>
  <c r="E2490" i="12"/>
  <c r="E2282" i="12" s="1"/>
  <c r="J327" i="12"/>
  <c r="J2181" i="12"/>
  <c r="J2092" i="12"/>
  <c r="E316" i="12"/>
  <c r="X87" i="12"/>
  <c r="E1381" i="12"/>
  <c r="T1403" i="12"/>
  <c r="X2257" i="12"/>
  <c r="X2283" i="12"/>
  <c r="Z303" i="12"/>
  <c r="X303" i="12"/>
  <c r="V303" i="12"/>
  <c r="T303" i="12"/>
  <c r="V610" i="12"/>
  <c r="Z610" i="12"/>
  <c r="X610" i="12"/>
  <c r="T610" i="12"/>
  <c r="T2320" i="12"/>
  <c r="T646" i="12"/>
  <c r="Z646" i="12"/>
  <c r="V646" i="12"/>
  <c r="E474" i="12"/>
  <c r="E478" i="12"/>
  <c r="E481" i="12"/>
  <c r="E477" i="12"/>
  <c r="E475" i="12"/>
  <c r="E473" i="12"/>
  <c r="E479" i="12"/>
  <c r="E472" i="12"/>
  <c r="E476" i="12"/>
  <c r="E480" i="12"/>
  <c r="V384" i="12"/>
  <c r="X384" i="12"/>
  <c r="J384" i="12"/>
  <c r="P511" i="12"/>
  <c r="P443" i="12"/>
  <c r="P477" i="12"/>
  <c r="P409" i="12"/>
  <c r="J997" i="12"/>
  <c r="E973" i="12"/>
  <c r="E425" i="12"/>
  <c r="X2367" i="12"/>
  <c r="E2263" i="12"/>
  <c r="N2060" i="12"/>
  <c r="N2012" i="12"/>
  <c r="N2084" i="12"/>
  <c r="N2036" i="12"/>
  <c r="Z641" i="12"/>
  <c r="X2264" i="12"/>
  <c r="T2302" i="12"/>
  <c r="J1631" i="12"/>
  <c r="L2523" i="12"/>
  <c r="L2419" i="12"/>
  <c r="T2315" i="12"/>
  <c r="P377" i="12"/>
  <c r="P305" i="12"/>
  <c r="P269" i="12"/>
  <c r="P341" i="12"/>
  <c r="Z302" i="12"/>
  <c r="X302" i="12"/>
  <c r="V302" i="12"/>
  <c r="T302" i="12"/>
  <c r="X612" i="12"/>
  <c r="V612" i="12"/>
  <c r="Z612" i="12"/>
  <c r="T612" i="12"/>
  <c r="Z613" i="12"/>
  <c r="T613" i="12"/>
  <c r="V613" i="12"/>
  <c r="X2280" i="12"/>
  <c r="T1907" i="12"/>
  <c r="J750" i="12"/>
  <c r="Z606" i="12"/>
  <c r="E416" i="12"/>
  <c r="X2286" i="12"/>
  <c r="Z298" i="12"/>
  <c r="Z300" i="12"/>
  <c r="T741" i="12"/>
  <c r="E739" i="12"/>
  <c r="X2300" i="12"/>
  <c r="Z647" i="12"/>
  <c r="E662" i="12"/>
  <c r="X647" i="12"/>
  <c r="T647" i="12"/>
  <c r="V647" i="12"/>
  <c r="X1904" i="12"/>
  <c r="T1905" i="12"/>
  <c r="X2279" i="12"/>
  <c r="X2389" i="12"/>
  <c r="E2285" i="12"/>
  <c r="J1514" i="12"/>
  <c r="AC26" i="12"/>
  <c r="X88" i="12"/>
  <c r="V88" i="12"/>
  <c r="T88" i="12"/>
  <c r="Z88" i="12"/>
  <c r="P646" i="12"/>
  <c r="P580" i="12"/>
  <c r="P613" i="12"/>
  <c r="X740" i="12"/>
  <c r="V286" i="12"/>
  <c r="T286" i="12"/>
  <c r="Z286" i="12"/>
  <c r="J286" i="12"/>
  <c r="X286" i="12"/>
  <c r="V648" i="12"/>
  <c r="T648" i="12"/>
  <c r="X648" i="12"/>
  <c r="Z648" i="12"/>
  <c r="E247" i="12"/>
  <c r="T283" i="12"/>
  <c r="E281" i="12"/>
  <c r="T1906" i="12"/>
  <c r="N2077" i="12"/>
  <c r="N2029" i="12"/>
  <c r="N2053" i="12"/>
  <c r="N2005" i="12"/>
  <c r="R440" i="12"/>
  <c r="R508" i="12"/>
  <c r="R406" i="12"/>
  <c r="R474" i="12"/>
  <c r="E1989" i="12"/>
  <c r="J2013" i="12"/>
  <c r="X2386" i="12"/>
  <c r="P1130" i="12"/>
  <c r="P1108" i="12"/>
  <c r="P1086" i="12"/>
  <c r="X1064" i="12"/>
  <c r="Z306" i="12"/>
  <c r="X306" i="12"/>
  <c r="V306" i="12"/>
  <c r="E322" i="12"/>
  <c r="T306" i="12"/>
  <c r="Z989" i="12"/>
  <c r="X989" i="12"/>
  <c r="V989" i="12"/>
  <c r="E965" i="12"/>
  <c r="T989" i="12"/>
  <c r="V539" i="12"/>
  <c r="X539" i="12"/>
  <c r="Z615" i="12"/>
  <c r="X615" i="12"/>
  <c r="V615" i="12"/>
  <c r="T615" i="12"/>
  <c r="J1617" i="12"/>
  <c r="J1611" i="12"/>
  <c r="P444" i="12"/>
  <c r="P478" i="12"/>
  <c r="P512" i="12"/>
  <c r="P410" i="12"/>
  <c r="Z643" i="12"/>
  <c r="X643" i="12"/>
  <c r="T643" i="12"/>
  <c r="V643" i="12"/>
  <c r="Z985" i="12"/>
  <c r="E961" i="12"/>
  <c r="J285" i="12"/>
  <c r="T1543" i="12"/>
  <c r="E1495" i="12"/>
  <c r="J1489" i="12"/>
  <c r="T1545" i="12"/>
  <c r="Z307" i="12"/>
  <c r="X307" i="12"/>
  <c r="V307" i="12"/>
  <c r="T307" i="12"/>
  <c r="N2142" i="12"/>
  <c r="N2098" i="12"/>
  <c r="N2120" i="12"/>
  <c r="V2076" i="12"/>
  <c r="V304" i="12"/>
  <c r="T304" i="12"/>
  <c r="Z304" i="12"/>
  <c r="X304" i="12"/>
  <c r="J279" i="12"/>
  <c r="X279" i="12"/>
  <c r="V279" i="12"/>
  <c r="X2301" i="12"/>
  <c r="Z1009" i="12"/>
  <c r="T1908" i="12"/>
  <c r="X1541" i="12"/>
  <c r="X2261" i="12"/>
  <c r="E282" i="12"/>
  <c r="V403" i="12"/>
  <c r="E369" i="12"/>
  <c r="X403" i="12"/>
  <c r="N2184" i="12"/>
  <c r="N2207" i="12"/>
  <c r="V2161" i="12"/>
  <c r="Z963" i="12"/>
  <c r="Z1888" i="12"/>
  <c r="X1888" i="12"/>
  <c r="V1888" i="12"/>
  <c r="T1888" i="12"/>
  <c r="L1583" i="12"/>
  <c r="L1561" i="12"/>
  <c r="AC79" i="12"/>
  <c r="V614" i="12"/>
  <c r="X614" i="12"/>
  <c r="E629" i="12"/>
  <c r="T614" i="12"/>
  <c r="Z614" i="12"/>
  <c r="E429" i="12"/>
  <c r="L2592" i="12"/>
  <c r="L2317" i="12"/>
  <c r="L1522" i="12"/>
  <c r="L1904" i="12"/>
  <c r="L1503" i="12"/>
  <c r="L1541" i="12"/>
  <c r="T2409" i="12"/>
  <c r="E2305" i="12"/>
  <c r="AC219" i="12"/>
  <c r="Z289" i="12"/>
  <c r="J289" i="12"/>
  <c r="X289" i="12"/>
  <c r="V289" i="12"/>
  <c r="E253" i="12"/>
  <c r="T289" i="12"/>
  <c r="E2425" i="12"/>
  <c r="N2141" i="12"/>
  <c r="N2119" i="12"/>
  <c r="N2097" i="12"/>
  <c r="V2075" i="12"/>
  <c r="Z305" i="12"/>
  <c r="V305" i="12"/>
  <c r="T305" i="12"/>
  <c r="J1652" i="12"/>
  <c r="J1655" i="12" s="1"/>
  <c r="Z611" i="12"/>
  <c r="X611" i="12"/>
  <c r="V611" i="12"/>
  <c r="T611" i="12"/>
  <c r="E690" i="12"/>
  <c r="J683" i="12"/>
  <c r="J904" i="12"/>
  <c r="E427" i="12"/>
  <c r="X2364" i="12"/>
  <c r="E2260" i="12"/>
  <c r="J287" i="12"/>
  <c r="T645" i="12"/>
  <c r="Z645" i="12"/>
  <c r="X645" i="12"/>
  <c r="V645" i="12"/>
  <c r="T492" i="12"/>
  <c r="E490" i="12"/>
  <c r="X1903" i="12"/>
  <c r="J1649" i="12"/>
  <c r="E270" i="12"/>
  <c r="E266" i="12"/>
  <c r="E262" i="12"/>
  <c r="E263" i="12"/>
  <c r="E265" i="12"/>
  <c r="E264" i="12"/>
  <c r="E268" i="12"/>
  <c r="E271" i="12"/>
  <c r="E267" i="12"/>
  <c r="E269" i="12"/>
  <c r="X456" i="12"/>
  <c r="J284" i="12"/>
  <c r="E248" i="12"/>
  <c r="X697" i="12"/>
  <c r="X317" i="12"/>
  <c r="T2319" i="12"/>
  <c r="Z608" i="12"/>
  <c r="J708" i="12"/>
  <c r="E426" i="12"/>
  <c r="X718" i="12"/>
  <c r="Z639" i="12"/>
  <c r="V644" i="12"/>
  <c r="T644" i="12"/>
  <c r="X644" i="12"/>
  <c r="Z644" i="12"/>
  <c r="E288" i="12"/>
  <c r="X491" i="12"/>
  <c r="R479" i="12"/>
  <c r="R513" i="12"/>
  <c r="R411" i="12"/>
  <c r="R445" i="12"/>
  <c r="V2649" i="12"/>
  <c r="T2649" i="12"/>
  <c r="R2628" i="12"/>
  <c r="R2629" i="12"/>
  <c r="J109" i="12" l="1"/>
  <c r="J848" i="12"/>
  <c r="Z87" i="12"/>
  <c r="T87" i="12"/>
  <c r="V87" i="12"/>
  <c r="I400" i="12"/>
  <c r="T625" i="12"/>
  <c r="E623" i="12"/>
  <c r="J1924" i="12"/>
  <c r="J1635" i="12"/>
  <c r="J1374" i="12"/>
  <c r="T1902" i="12"/>
  <c r="E498" i="12"/>
  <c r="J531" i="12"/>
  <c r="J1932" i="12"/>
  <c r="X305" i="12"/>
  <c r="X1902" i="12"/>
  <c r="J2329" i="12"/>
  <c r="J2043" i="12"/>
  <c r="J1394" i="12"/>
  <c r="AC1381" i="12" s="1"/>
  <c r="J2623" i="12"/>
  <c r="J421" i="12"/>
  <c r="E387" i="12"/>
  <c r="X421" i="12"/>
  <c r="V421" i="12"/>
  <c r="J1637" i="12"/>
  <c r="AC2649" i="12"/>
  <c r="E590" i="12"/>
  <c r="T592" i="12"/>
  <c r="E559" i="12"/>
  <c r="J1203" i="12"/>
  <c r="J711" i="12"/>
  <c r="J1925" i="12"/>
  <c r="E430" i="12"/>
  <c r="V2142" i="12"/>
  <c r="J249" i="12"/>
  <c r="Z965" i="12"/>
  <c r="T2419" i="12"/>
  <c r="V2036" i="12"/>
  <c r="AC2667" i="12"/>
  <c r="J633" i="12"/>
  <c r="J1807" i="12"/>
  <c r="E512" i="12"/>
  <c r="X512" i="12" s="1"/>
  <c r="E508" i="12"/>
  <c r="E507" i="12"/>
  <c r="E514" i="12"/>
  <c r="E511" i="12"/>
  <c r="E510" i="12"/>
  <c r="E515" i="12"/>
  <c r="E506" i="12"/>
  <c r="E513" i="12"/>
  <c r="E509" i="12"/>
  <c r="J772" i="12"/>
  <c r="T2592" i="12"/>
  <c r="J1516" i="12"/>
  <c r="T593" i="12"/>
  <c r="E560" i="12"/>
  <c r="E591" i="12"/>
  <c r="X646" i="12"/>
  <c r="T2523" i="12"/>
  <c r="J80" i="12"/>
  <c r="J594" i="12"/>
  <c r="E561" i="12"/>
  <c r="J1332" i="12"/>
  <c r="E336" i="12"/>
  <c r="E228" i="12" s="1"/>
  <c r="E334" i="12"/>
  <c r="E342" i="12"/>
  <c r="E234" i="12" s="1"/>
  <c r="E335" i="12"/>
  <c r="E338" i="12"/>
  <c r="E230" i="12" s="1"/>
  <c r="E339" i="12"/>
  <c r="E343" i="12"/>
  <c r="E235" i="12" s="1"/>
  <c r="E340" i="12"/>
  <c r="E232" i="12" s="1"/>
  <c r="E337" i="12"/>
  <c r="E341" i="12"/>
  <c r="J361" i="12"/>
  <c r="T361" i="12"/>
  <c r="Z361" i="12"/>
  <c r="X361" i="12"/>
  <c r="V361" i="12"/>
  <c r="J528" i="12"/>
  <c r="J565" i="12"/>
  <c r="J598" i="12"/>
  <c r="T1443" i="12"/>
  <c r="E257" i="12"/>
  <c r="V2012" i="12"/>
  <c r="V589" i="12"/>
  <c r="E556" i="12"/>
  <c r="X589" i="12"/>
  <c r="J589" i="12"/>
  <c r="X968" i="12"/>
  <c r="J1436" i="12"/>
  <c r="T2318" i="12"/>
  <c r="J220" i="12"/>
  <c r="I2677" i="12"/>
  <c r="J359" i="12"/>
  <c r="E360" i="12"/>
  <c r="X967" i="12"/>
  <c r="E524" i="12"/>
  <c r="T526" i="12"/>
  <c r="L1502" i="12"/>
  <c r="L1903" i="12"/>
  <c r="L1521" i="12"/>
  <c r="L1540" i="12"/>
  <c r="L2591" i="12"/>
  <c r="L2316" i="12"/>
  <c r="J532" i="12"/>
  <c r="J111" i="12"/>
  <c r="J753" i="12"/>
  <c r="V2060" i="12"/>
  <c r="J2046" i="12"/>
  <c r="E579" i="12"/>
  <c r="E577" i="12"/>
  <c r="E580" i="12"/>
  <c r="E576" i="12"/>
  <c r="E581" i="12"/>
  <c r="E575" i="12"/>
  <c r="E574" i="12"/>
  <c r="E582" i="12"/>
  <c r="E573" i="12"/>
  <c r="E578" i="12"/>
  <c r="J351" i="12"/>
  <c r="X351" i="12"/>
  <c r="V351" i="12"/>
  <c r="X613" i="12"/>
  <c r="T1503" i="12"/>
  <c r="V2207" i="12"/>
  <c r="T1904" i="12"/>
  <c r="V2184" i="12"/>
  <c r="X1086" i="12"/>
  <c r="V2005" i="12"/>
  <c r="E676" i="12"/>
  <c r="X2490" i="12"/>
  <c r="E562" i="12"/>
  <c r="J595" i="12"/>
  <c r="X2317" i="12"/>
  <c r="T2529" i="12"/>
  <c r="E353" i="12"/>
  <c r="E245" i="12" s="1"/>
  <c r="E354" i="12"/>
  <c r="T355" i="12"/>
  <c r="J523" i="12"/>
  <c r="V523" i="12"/>
  <c r="X523" i="12"/>
  <c r="J1933" i="12"/>
  <c r="J248" i="12"/>
  <c r="V2119" i="12"/>
  <c r="T1522" i="12"/>
  <c r="X1108" i="12"/>
  <c r="V2053" i="12"/>
  <c r="J597" i="12"/>
  <c r="E564" i="12"/>
  <c r="E569" i="12" s="1"/>
  <c r="L1988" i="12"/>
  <c r="X525" i="12"/>
  <c r="R1854" i="12"/>
  <c r="J357" i="12"/>
  <c r="J2067" i="12"/>
  <c r="J1653" i="12"/>
  <c r="V2141" i="12"/>
  <c r="V2120" i="12"/>
  <c r="X1130" i="12"/>
  <c r="V2029" i="12"/>
  <c r="E424" i="12"/>
  <c r="X316" i="12"/>
  <c r="J43" i="12"/>
  <c r="X2493" i="12"/>
  <c r="X2316" i="12"/>
  <c r="X966" i="12"/>
  <c r="J356" i="12"/>
  <c r="AC1825" i="12"/>
  <c r="J430" i="12"/>
  <c r="V2645" i="12"/>
  <c r="V2644" i="12"/>
  <c r="Z262" i="12"/>
  <c r="N2164" i="12"/>
  <c r="V2097" i="12"/>
  <c r="E246" i="12"/>
  <c r="T282" i="12"/>
  <c r="E280" i="12"/>
  <c r="X739" i="12"/>
  <c r="P445" i="12"/>
  <c r="P479" i="12"/>
  <c r="P513" i="12"/>
  <c r="P411" i="12"/>
  <c r="E982" i="12"/>
  <c r="J973" i="12"/>
  <c r="E496" i="12"/>
  <c r="X480" i="12"/>
  <c r="V480" i="12"/>
  <c r="Z480" i="12"/>
  <c r="T480" i="12"/>
  <c r="X478" i="12"/>
  <c r="V478" i="12"/>
  <c r="T478" i="12"/>
  <c r="Z478" i="12"/>
  <c r="E252" i="12"/>
  <c r="J288" i="12"/>
  <c r="E392" i="12"/>
  <c r="J426" i="12"/>
  <c r="X269" i="12"/>
  <c r="V269" i="12"/>
  <c r="T269" i="12"/>
  <c r="Z269" i="12"/>
  <c r="T266" i="12"/>
  <c r="X266" i="12"/>
  <c r="V266" i="12"/>
  <c r="Z266" i="12"/>
  <c r="Z322" i="12"/>
  <c r="V322" i="12"/>
  <c r="T322" i="12"/>
  <c r="X322" i="12"/>
  <c r="J322" i="12"/>
  <c r="X2282" i="12"/>
  <c r="J1003" i="12"/>
  <c r="X476" i="12"/>
  <c r="V476" i="12"/>
  <c r="Z476" i="12"/>
  <c r="T476" i="12"/>
  <c r="Z474" i="12"/>
  <c r="Z2628" i="12"/>
  <c r="E231" i="12"/>
  <c r="Z267" i="12"/>
  <c r="X267" i="12"/>
  <c r="T267" i="12"/>
  <c r="V267" i="12"/>
  <c r="X2263" i="12"/>
  <c r="Z472" i="12"/>
  <c r="Z271" i="12"/>
  <c r="X271" i="12"/>
  <c r="T271" i="12"/>
  <c r="V271" i="12"/>
  <c r="X490" i="12"/>
  <c r="L2525" i="12"/>
  <c r="L2421" i="12"/>
  <c r="T2317" i="12"/>
  <c r="AC1609" i="12"/>
  <c r="AC20" i="12"/>
  <c r="J1619" i="12"/>
  <c r="J2019" i="12"/>
  <c r="X281" i="12"/>
  <c r="T479" i="12"/>
  <c r="Z479" i="12"/>
  <c r="V479" i="12"/>
  <c r="X2649" i="12"/>
  <c r="X243" i="12"/>
  <c r="V243" i="12"/>
  <c r="J243" i="12"/>
  <c r="N2165" i="12"/>
  <c r="V2098" i="12"/>
  <c r="T270" i="12"/>
  <c r="X270" i="12"/>
  <c r="V270" i="12"/>
  <c r="Z270" i="12"/>
  <c r="Z961" i="12"/>
  <c r="Z268" i="12"/>
  <c r="X268" i="12"/>
  <c r="V268" i="12"/>
  <c r="T268" i="12"/>
  <c r="J1989" i="12"/>
  <c r="E1998" i="12"/>
  <c r="Z264" i="12"/>
  <c r="J687" i="12"/>
  <c r="E395" i="12"/>
  <c r="J429" i="12"/>
  <c r="Z629" i="12"/>
  <c r="X629" i="12"/>
  <c r="V629" i="12"/>
  <c r="T629" i="12"/>
  <c r="J629" i="12"/>
  <c r="V369" i="12"/>
  <c r="X369" i="12"/>
  <c r="J1493" i="12"/>
  <c r="T247" i="12"/>
  <c r="X2285" i="12"/>
  <c r="X387" i="12"/>
  <c r="J387" i="12"/>
  <c r="X2260" i="12"/>
  <c r="T2305" i="12"/>
  <c r="N2121" i="12"/>
  <c r="N2099" i="12"/>
  <c r="N2143" i="12"/>
  <c r="V2077" i="12"/>
  <c r="R2630" i="12"/>
  <c r="Z2629" i="12"/>
  <c r="T2645" i="12"/>
  <c r="T2644" i="12"/>
  <c r="T2425" i="12"/>
  <c r="E2321" i="12"/>
  <c r="Z253" i="12"/>
  <c r="J253" i="12"/>
  <c r="X253" i="12"/>
  <c r="V253" i="12"/>
  <c r="T253" i="12"/>
  <c r="AC676" i="12"/>
  <c r="Z477" i="12"/>
  <c r="X477" i="12"/>
  <c r="T477" i="12"/>
  <c r="V477" i="12"/>
  <c r="J251" i="12"/>
  <c r="E393" i="12"/>
  <c r="J427" i="12"/>
  <c r="L1563" i="12"/>
  <c r="L1585" i="12"/>
  <c r="T1541" i="12"/>
  <c r="V662" i="12"/>
  <c r="T662" i="12"/>
  <c r="X662" i="12"/>
  <c r="Z662" i="12"/>
  <c r="J662" i="12"/>
  <c r="E404" i="12"/>
  <c r="E444" i="12"/>
  <c r="E440" i="12"/>
  <c r="E408" i="12"/>
  <c r="E407" i="12"/>
  <c r="E411" i="12"/>
  <c r="E412" i="12"/>
  <c r="E442" i="12"/>
  <c r="E409" i="12"/>
  <c r="E443" i="12"/>
  <c r="E445" i="12"/>
  <c r="E405" i="12"/>
  <c r="E410" i="12"/>
  <c r="E439" i="12"/>
  <c r="E406" i="12"/>
  <c r="E447" i="12"/>
  <c r="E441" i="12"/>
  <c r="E438" i="12"/>
  <c r="E446" i="12"/>
  <c r="E413" i="12"/>
  <c r="N2150" i="12"/>
  <c r="N2128" i="12"/>
  <c r="N2106" i="12"/>
  <c r="V2084" i="12"/>
  <c r="E391" i="12"/>
  <c r="T425" i="12"/>
  <c r="E423" i="12"/>
  <c r="Z481" i="12"/>
  <c r="X481" i="12"/>
  <c r="T481" i="12"/>
  <c r="V481" i="12"/>
  <c r="E229" i="12" l="1"/>
  <c r="X623" i="12"/>
  <c r="E422" i="12"/>
  <c r="E390" i="12"/>
  <c r="J2070" i="12"/>
  <c r="T424" i="12"/>
  <c r="V387" i="12"/>
  <c r="E396" i="12"/>
  <c r="J396" i="12" s="1"/>
  <c r="AD2617" i="12"/>
  <c r="J498" i="12"/>
  <c r="AC2617" i="12"/>
  <c r="J1935" i="12"/>
  <c r="R1378" i="12"/>
  <c r="R1379" i="12"/>
  <c r="R1377" i="12"/>
  <c r="AC1480" i="12"/>
  <c r="E227" i="12"/>
  <c r="J2331" i="12"/>
  <c r="AC2235" i="12" s="1"/>
  <c r="J1657" i="12"/>
  <c r="J1639" i="12"/>
  <c r="Z341" i="12"/>
  <c r="V341" i="12"/>
  <c r="T341" i="12"/>
  <c r="V2150" i="12"/>
  <c r="J1006" i="12"/>
  <c r="J252" i="12"/>
  <c r="J45" i="12"/>
  <c r="J600" i="12"/>
  <c r="T581" i="12"/>
  <c r="V581" i="12"/>
  <c r="E548" i="12"/>
  <c r="E596" i="12"/>
  <c r="Z581" i="12"/>
  <c r="X581" i="12"/>
  <c r="J360" i="12"/>
  <c r="J534" i="12"/>
  <c r="Z336" i="12"/>
  <c r="J82" i="12"/>
  <c r="T560" i="12"/>
  <c r="T514" i="12"/>
  <c r="Z514" i="12"/>
  <c r="X514" i="12"/>
  <c r="E530" i="12"/>
  <c r="V514" i="12"/>
  <c r="J1495" i="12"/>
  <c r="E233" i="12"/>
  <c r="R1862" i="12"/>
  <c r="R1878" i="12"/>
  <c r="R1870" i="12"/>
  <c r="Z1854" i="12"/>
  <c r="T354" i="12"/>
  <c r="E352" i="12"/>
  <c r="J562" i="12"/>
  <c r="E543" i="12"/>
  <c r="Z340" i="12"/>
  <c r="X340" i="12"/>
  <c r="V340" i="12"/>
  <c r="T340" i="12"/>
  <c r="J1206" i="12"/>
  <c r="Z575" i="12"/>
  <c r="E542" i="12"/>
  <c r="E2677" i="12"/>
  <c r="X353" i="12"/>
  <c r="E547" i="12"/>
  <c r="V580" i="12"/>
  <c r="T580" i="12"/>
  <c r="Z580" i="12"/>
  <c r="T2316" i="12"/>
  <c r="L2524" i="12"/>
  <c r="L2420" i="12"/>
  <c r="X524" i="12"/>
  <c r="Z343" i="12"/>
  <c r="V343" i="12"/>
  <c r="T343" i="12"/>
  <c r="X343" i="12"/>
  <c r="X580" i="12"/>
  <c r="J2022" i="12"/>
  <c r="J690" i="12"/>
  <c r="J330" i="12"/>
  <c r="N2644" i="12"/>
  <c r="T578" i="12"/>
  <c r="Z578" i="12"/>
  <c r="E545" i="12"/>
  <c r="X578" i="12"/>
  <c r="V578" i="12"/>
  <c r="E544" i="12"/>
  <c r="Z577" i="12"/>
  <c r="X577" i="12"/>
  <c r="T577" i="12"/>
  <c r="V577" i="12"/>
  <c r="X341" i="12"/>
  <c r="T2591" i="12"/>
  <c r="X339" i="12"/>
  <c r="Z339" i="12"/>
  <c r="V339" i="12"/>
  <c r="T339" i="12"/>
  <c r="T513" i="12"/>
  <c r="V513" i="12"/>
  <c r="T512" i="12"/>
  <c r="V512" i="12"/>
  <c r="Z512" i="12"/>
  <c r="T559" i="12"/>
  <c r="Z334" i="12"/>
  <c r="Z511" i="12"/>
  <c r="V511" i="12"/>
  <c r="T511" i="12"/>
  <c r="T1585" i="12"/>
  <c r="V2143" i="12"/>
  <c r="J635" i="12"/>
  <c r="T2421" i="12"/>
  <c r="N2645" i="12"/>
  <c r="Z573" i="12"/>
  <c r="E540" i="12"/>
  <c r="T579" i="12"/>
  <c r="V579" i="12"/>
  <c r="Z579" i="12"/>
  <c r="E546" i="12"/>
  <c r="X579" i="12"/>
  <c r="T1540" i="12"/>
  <c r="L1584" i="12"/>
  <c r="L1562" i="12"/>
  <c r="Z338" i="12"/>
  <c r="X338" i="12"/>
  <c r="V338" i="12"/>
  <c r="T338" i="12"/>
  <c r="J561" i="12"/>
  <c r="X511" i="12"/>
  <c r="Z506" i="12"/>
  <c r="Z508" i="12"/>
  <c r="V2128" i="12"/>
  <c r="E558" i="12"/>
  <c r="X591" i="12"/>
  <c r="T2525" i="12"/>
  <c r="X513" i="12"/>
  <c r="L2012" i="12"/>
  <c r="L2036" i="12"/>
  <c r="L2060" i="12"/>
  <c r="L2084" i="12"/>
  <c r="P1988" i="12"/>
  <c r="X582" i="12"/>
  <c r="E549" i="12"/>
  <c r="T582" i="12"/>
  <c r="Z582" i="12"/>
  <c r="V582" i="12"/>
  <c r="T1521" i="12"/>
  <c r="Z515" i="12"/>
  <c r="X515" i="12"/>
  <c r="V515" i="12"/>
  <c r="T515" i="12"/>
  <c r="AC1807" i="12"/>
  <c r="X590" i="12"/>
  <c r="E557" i="12"/>
  <c r="J393" i="12"/>
  <c r="J291" i="12"/>
  <c r="T1502" i="12"/>
  <c r="J668" i="12"/>
  <c r="T1563" i="12"/>
  <c r="V2121" i="12"/>
  <c r="J392" i="12"/>
  <c r="X479" i="12"/>
  <c r="E226" i="12"/>
  <c r="R1812" i="12"/>
  <c r="R1811" i="12"/>
  <c r="R1810" i="12"/>
  <c r="R1813" i="12"/>
  <c r="J564" i="12"/>
  <c r="E541" i="12"/>
  <c r="T1903" i="12"/>
  <c r="J222" i="12"/>
  <c r="J556" i="12"/>
  <c r="V556" i="12"/>
  <c r="X556" i="12"/>
  <c r="T342" i="12"/>
  <c r="E358" i="12"/>
  <c r="Z342" i="12"/>
  <c r="X342" i="12"/>
  <c r="V342" i="12"/>
  <c r="Z513" i="12"/>
  <c r="V510" i="12"/>
  <c r="X510" i="12"/>
  <c r="T510" i="12"/>
  <c r="Z510" i="12"/>
  <c r="X965" i="12"/>
  <c r="AD970" i="12"/>
  <c r="J255" i="12"/>
  <c r="E258" i="12"/>
  <c r="Z438" i="12"/>
  <c r="T2321" i="12"/>
  <c r="J1995" i="12"/>
  <c r="AC1981" i="12"/>
  <c r="E375" i="12"/>
  <c r="Z409" i="12"/>
  <c r="X409" i="12"/>
  <c r="V409" i="12"/>
  <c r="T409" i="12"/>
  <c r="E370" i="12"/>
  <c r="Z404" i="12"/>
  <c r="L2645" i="12"/>
  <c r="X2645" i="12"/>
  <c r="N2166" i="12"/>
  <c r="V2099" i="12"/>
  <c r="V232" i="12"/>
  <c r="T232" i="12"/>
  <c r="Z232" i="12"/>
  <c r="X232" i="12"/>
  <c r="J432" i="12"/>
  <c r="T246" i="12"/>
  <c r="R1459" i="12"/>
  <c r="R1419" i="12"/>
  <c r="R1399" i="12"/>
  <c r="L1377" i="12"/>
  <c r="R1439" i="12"/>
  <c r="Z1377" i="12"/>
  <c r="X447" i="12"/>
  <c r="V447" i="12"/>
  <c r="T447" i="12"/>
  <c r="Z447" i="12"/>
  <c r="Z442" i="12"/>
  <c r="X442" i="12"/>
  <c r="T442" i="12"/>
  <c r="V442" i="12"/>
  <c r="R675" i="12"/>
  <c r="R676" i="12"/>
  <c r="R672" i="12"/>
  <c r="Z228" i="12"/>
  <c r="E238" i="12"/>
  <c r="Z230" i="12"/>
  <c r="X230" i="12"/>
  <c r="V230" i="12"/>
  <c r="T230" i="12"/>
  <c r="J979" i="12"/>
  <c r="X443" i="12"/>
  <c r="V443" i="12"/>
  <c r="T443" i="12"/>
  <c r="Z443" i="12"/>
  <c r="L2644" i="12"/>
  <c r="X2644" i="12"/>
  <c r="N2173" i="12"/>
  <c r="V2106" i="12"/>
  <c r="E428" i="12"/>
  <c r="E378" i="12"/>
  <c r="Z412" i="12"/>
  <c r="V412" i="12"/>
  <c r="T412" i="12"/>
  <c r="X412" i="12"/>
  <c r="J395" i="12"/>
  <c r="Z235" i="12"/>
  <c r="X235" i="12"/>
  <c r="V235" i="12"/>
  <c r="T235" i="12"/>
  <c r="Z446" i="12"/>
  <c r="X446" i="12"/>
  <c r="T446" i="12"/>
  <c r="V446" i="12"/>
  <c r="E462" i="12"/>
  <c r="T444" i="12"/>
  <c r="Z444" i="12"/>
  <c r="X444" i="12"/>
  <c r="V444" i="12"/>
  <c r="Z406" i="12"/>
  <c r="E372" i="12"/>
  <c r="Z2630" i="12"/>
  <c r="X423" i="12"/>
  <c r="E389" i="12"/>
  <c r="V411" i="12"/>
  <c r="T411" i="12"/>
  <c r="E377" i="12"/>
  <c r="Z411" i="12"/>
  <c r="X411" i="12"/>
  <c r="X245" i="12"/>
  <c r="R1605" i="12"/>
  <c r="R1604" i="12"/>
  <c r="R1648" i="12"/>
  <c r="R1607" i="12"/>
  <c r="R1610" i="12"/>
  <c r="R1647" i="12"/>
  <c r="R1609" i="12"/>
  <c r="R1606" i="12"/>
  <c r="X280" i="12"/>
  <c r="E244" i="12"/>
  <c r="N2210" i="12"/>
  <c r="N2187" i="12"/>
  <c r="V2164" i="12"/>
  <c r="X445" i="12"/>
  <c r="V445" i="12"/>
  <c r="T445" i="12"/>
  <c r="Z445" i="12"/>
  <c r="Z410" i="12"/>
  <c r="X410" i="12"/>
  <c r="V410" i="12"/>
  <c r="T410" i="12"/>
  <c r="E376" i="12"/>
  <c r="Z233" i="12"/>
  <c r="V233" i="12"/>
  <c r="T233" i="12"/>
  <c r="X233" i="12"/>
  <c r="X422" i="12"/>
  <c r="E388" i="12"/>
  <c r="Z440" i="12"/>
  <c r="E373" i="12"/>
  <c r="R1420" i="12"/>
  <c r="R1460" i="12"/>
  <c r="Z234" i="12"/>
  <c r="X234" i="12"/>
  <c r="V234" i="12"/>
  <c r="T234" i="12"/>
  <c r="T391" i="12"/>
  <c r="E379" i="12"/>
  <c r="Z413" i="12"/>
  <c r="X413" i="12"/>
  <c r="V413" i="12"/>
  <c r="T413" i="12"/>
  <c r="E371" i="12"/>
  <c r="E374" i="12"/>
  <c r="Z408" i="12"/>
  <c r="V408" i="12"/>
  <c r="T408" i="12"/>
  <c r="X408" i="12"/>
  <c r="R1461" i="12"/>
  <c r="N2211" i="12"/>
  <c r="N2188" i="12"/>
  <c r="V2165" i="12"/>
  <c r="Z231" i="12"/>
  <c r="X231" i="12"/>
  <c r="V231" i="12"/>
  <c r="T231" i="12"/>
  <c r="V496" i="12"/>
  <c r="T496" i="12"/>
  <c r="Z496" i="12"/>
  <c r="X496" i="12"/>
  <c r="J496" i="12"/>
  <c r="T390" i="12" l="1"/>
  <c r="R2300" i="12"/>
  <c r="R2299" i="12"/>
  <c r="Z1379" i="12"/>
  <c r="Z1378" i="12"/>
  <c r="E400" i="12"/>
  <c r="R1441" i="12"/>
  <c r="Z1441" i="12" s="1"/>
  <c r="R1440" i="12"/>
  <c r="Z1440" i="12" s="1"/>
  <c r="R1421" i="12"/>
  <c r="Z1421" i="12" s="1"/>
  <c r="R1380" i="12"/>
  <c r="L1378" i="12"/>
  <c r="R1401" i="12"/>
  <c r="Z1401" i="12" s="1"/>
  <c r="R1400" i="12"/>
  <c r="R2619" i="12"/>
  <c r="R2614" i="12"/>
  <c r="R2615" i="12"/>
  <c r="R2613" i="12"/>
  <c r="R2616" i="12"/>
  <c r="R2618" i="12"/>
  <c r="J500" i="12"/>
  <c r="AD1609" i="12"/>
  <c r="Z226" i="12"/>
  <c r="T2604" i="12"/>
  <c r="AD676" i="12"/>
  <c r="Z542" i="12"/>
  <c r="Z1420" i="12"/>
  <c r="V2187" i="12"/>
  <c r="J982" i="12"/>
  <c r="Z1419" i="12"/>
  <c r="J1998" i="12"/>
  <c r="T2012" i="12"/>
  <c r="T1562" i="12"/>
  <c r="R1855" i="12"/>
  <c r="Z1399" i="12"/>
  <c r="V2210" i="12"/>
  <c r="Z1459" i="12"/>
  <c r="V549" i="12"/>
  <c r="T549" i="12"/>
  <c r="X549" i="12"/>
  <c r="Z549" i="12"/>
  <c r="X558" i="12"/>
  <c r="T1584" i="12"/>
  <c r="T547" i="12"/>
  <c r="Z547" i="12"/>
  <c r="X547" i="12"/>
  <c r="V547" i="12"/>
  <c r="Z1870" i="12"/>
  <c r="X530" i="12"/>
  <c r="V530" i="12"/>
  <c r="Z530" i="12"/>
  <c r="T530" i="12"/>
  <c r="J530" i="12"/>
  <c r="J363" i="12"/>
  <c r="Z1461" i="12"/>
  <c r="T2036" i="12"/>
  <c r="X557" i="12"/>
  <c r="J567" i="12"/>
  <c r="Z540" i="12"/>
  <c r="Z544" i="12"/>
  <c r="T544" i="12"/>
  <c r="X544" i="12"/>
  <c r="V544" i="12"/>
  <c r="E552" i="12"/>
  <c r="T2420" i="12"/>
  <c r="Z1878" i="12"/>
  <c r="Z1460" i="12"/>
  <c r="AC970" i="12"/>
  <c r="AC1483" i="12"/>
  <c r="J398" i="12"/>
  <c r="E250" i="12"/>
  <c r="Z358" i="12"/>
  <c r="X358" i="12"/>
  <c r="V358" i="12"/>
  <c r="T358" i="12"/>
  <c r="J358" i="12"/>
  <c r="N2653" i="12"/>
  <c r="T2524" i="12"/>
  <c r="AC1206" i="12"/>
  <c r="Z1332" i="12"/>
  <c r="Z1290" i="12"/>
  <c r="Z1374" i="12"/>
  <c r="Z1248" i="12"/>
  <c r="Z1862" i="12"/>
  <c r="V2211" i="12"/>
  <c r="J294" i="12"/>
  <c r="R1824" i="12"/>
  <c r="R1835" i="12"/>
  <c r="R1846" i="12"/>
  <c r="Z1813" i="12"/>
  <c r="P2036" i="12"/>
  <c r="P2084" i="12"/>
  <c r="P2012" i="12"/>
  <c r="P2060" i="12"/>
  <c r="E563" i="12"/>
  <c r="J596" i="12"/>
  <c r="V596" i="12"/>
  <c r="Z596" i="12"/>
  <c r="X596" i="12"/>
  <c r="T596" i="12"/>
  <c r="J502" i="12"/>
  <c r="Z1439" i="12"/>
  <c r="R1821" i="12"/>
  <c r="R1832" i="12"/>
  <c r="R1843" i="12"/>
  <c r="Z1810" i="12"/>
  <c r="L2150" i="12"/>
  <c r="L2106" i="12"/>
  <c r="L2128" i="12"/>
  <c r="T2084" i="12"/>
  <c r="T546" i="12"/>
  <c r="Z546" i="12"/>
  <c r="X546" i="12"/>
  <c r="V546" i="12"/>
  <c r="X352" i="12"/>
  <c r="V548" i="12"/>
  <c r="X548" i="12"/>
  <c r="Z548" i="12"/>
  <c r="T548" i="12"/>
  <c r="Z1812" i="12"/>
  <c r="R1834" i="12"/>
  <c r="L1812" i="12"/>
  <c r="R1845" i="12"/>
  <c r="R1823" i="12"/>
  <c r="V2188" i="12"/>
  <c r="Z1400" i="12"/>
  <c r="R1822" i="12"/>
  <c r="R1833" i="12"/>
  <c r="R1844" i="12"/>
  <c r="Z1811" i="12"/>
  <c r="T2060" i="12"/>
  <c r="N2654" i="12"/>
  <c r="T545" i="12"/>
  <c r="Z545" i="12"/>
  <c r="X545" i="12"/>
  <c r="V545" i="12"/>
  <c r="E382" i="12"/>
  <c r="Z374" i="12"/>
  <c r="X374" i="12"/>
  <c r="V374" i="12"/>
  <c r="T374" i="12"/>
  <c r="R1625" i="12"/>
  <c r="L1607" i="12"/>
  <c r="R1645" i="12"/>
  <c r="Z1607" i="12"/>
  <c r="X462" i="12"/>
  <c r="V462" i="12"/>
  <c r="Z462" i="12"/>
  <c r="T462" i="12"/>
  <c r="J462" i="12"/>
  <c r="R718" i="12"/>
  <c r="R892" i="12"/>
  <c r="R739" i="12"/>
  <c r="R697" i="12"/>
  <c r="R760" i="12"/>
  <c r="R836" i="12"/>
  <c r="R677" i="12"/>
  <c r="R244" i="12"/>
  <c r="Z676" i="12"/>
  <c r="X388" i="12"/>
  <c r="R1630" i="12"/>
  <c r="Z1648" i="12"/>
  <c r="Z378" i="12"/>
  <c r="X378" i="12"/>
  <c r="V378" i="12"/>
  <c r="T378" i="12"/>
  <c r="R891" i="12"/>
  <c r="L675" i="12"/>
  <c r="R759" i="12"/>
  <c r="R835" i="12"/>
  <c r="R738" i="12"/>
  <c r="R696" i="12"/>
  <c r="R717" i="12"/>
  <c r="R243" i="12"/>
  <c r="Z675" i="12"/>
  <c r="N2212" i="12"/>
  <c r="N2189" i="12"/>
  <c r="V2166" i="12"/>
  <c r="Z370" i="12"/>
  <c r="R2507" i="12"/>
  <c r="R2403" i="12"/>
  <c r="Z2299" i="12"/>
  <c r="R1623" i="12"/>
  <c r="L1605" i="12"/>
  <c r="R1643" i="12"/>
  <c r="Z1605" i="12"/>
  <c r="Z372" i="12"/>
  <c r="L2654" i="12"/>
  <c r="P2645" i="12"/>
  <c r="R2508" i="12"/>
  <c r="R2404" i="12"/>
  <c r="Z2300" i="12"/>
  <c r="R1622" i="12"/>
  <c r="L1604" i="12"/>
  <c r="R1642" i="12"/>
  <c r="Z1604" i="12"/>
  <c r="V376" i="12"/>
  <c r="T376" i="12"/>
  <c r="Z376" i="12"/>
  <c r="X376" i="12"/>
  <c r="L1606" i="12"/>
  <c r="R1624" i="12"/>
  <c r="R1644" i="12"/>
  <c r="R1613" i="12"/>
  <c r="Z1606" i="12"/>
  <c r="N2219" i="12"/>
  <c r="N2196" i="12"/>
  <c r="V2173" i="12"/>
  <c r="X428" i="12"/>
  <c r="T428" i="12"/>
  <c r="Z428" i="12"/>
  <c r="V428" i="12"/>
  <c r="E394" i="12"/>
  <c r="J428" i="12"/>
  <c r="R1627" i="12"/>
  <c r="Z1609" i="12"/>
  <c r="Z377" i="12"/>
  <c r="V377" i="12"/>
  <c r="T377" i="12"/>
  <c r="X377" i="12"/>
  <c r="T1377" i="12"/>
  <c r="R2301" i="12"/>
  <c r="R1402" i="12"/>
  <c r="R1462" i="12"/>
  <c r="R1422" i="12"/>
  <c r="R1442" i="12"/>
  <c r="Z1380" i="12"/>
  <c r="R1629" i="12"/>
  <c r="Z1647" i="12"/>
  <c r="X389" i="12"/>
  <c r="L2653" i="12"/>
  <c r="P2644" i="12"/>
  <c r="Z375" i="12"/>
  <c r="X375" i="12"/>
  <c r="V375" i="12"/>
  <c r="T375" i="12"/>
  <c r="Z379" i="12"/>
  <c r="X379" i="12"/>
  <c r="V379" i="12"/>
  <c r="T379" i="12"/>
  <c r="X244" i="12"/>
  <c r="L2299" i="12"/>
  <c r="L1460" i="12"/>
  <c r="L1440" i="12"/>
  <c r="L1420" i="12"/>
  <c r="L1400" i="12"/>
  <c r="R2627" i="12"/>
  <c r="R1628" i="12"/>
  <c r="Z1610" i="12"/>
  <c r="R969" i="12"/>
  <c r="R674" i="12"/>
  <c r="R735" i="12"/>
  <c r="R693" i="12"/>
  <c r="R673" i="12"/>
  <c r="R889" i="12"/>
  <c r="L672" i="12"/>
  <c r="R756" i="12"/>
  <c r="R832" i="12"/>
  <c r="R714" i="12"/>
  <c r="R240" i="12"/>
  <c r="Z672" i="12"/>
  <c r="L1439" i="12"/>
  <c r="L1459" i="12"/>
  <c r="L1419" i="12"/>
  <c r="L1399" i="12"/>
  <c r="R1978" i="12"/>
  <c r="R1977" i="12"/>
  <c r="R1979" i="12"/>
  <c r="R1980" i="12"/>
  <c r="R1944" i="12" l="1"/>
  <c r="T1439" i="12"/>
  <c r="R2547" i="12"/>
  <c r="AC1383" i="12"/>
  <c r="T1399" i="12"/>
  <c r="J2677" i="12"/>
  <c r="Z2618" i="12"/>
  <c r="R2620" i="12"/>
  <c r="R2254" i="12"/>
  <c r="Z2616" i="12"/>
  <c r="Z2613" i="12"/>
  <c r="Z2615" i="12"/>
  <c r="Z2614" i="12"/>
  <c r="Z2619" i="12"/>
  <c r="R1949" i="12"/>
  <c r="AC1382" i="12"/>
  <c r="AC973" i="12"/>
  <c r="R2282" i="12"/>
  <c r="R1943" i="12"/>
  <c r="R2279" i="12"/>
  <c r="R1958" i="12"/>
  <c r="R2235" i="12"/>
  <c r="R1960" i="12"/>
  <c r="R2543" i="12"/>
  <c r="R1939" i="12"/>
  <c r="R2548" i="12"/>
  <c r="T1459" i="12"/>
  <c r="R1955" i="12"/>
  <c r="R1948" i="12"/>
  <c r="R1954" i="12"/>
  <c r="R1963" i="12"/>
  <c r="R2275" i="12"/>
  <c r="R2550" i="12"/>
  <c r="T1419" i="12"/>
  <c r="R1969" i="12"/>
  <c r="R1964" i="12"/>
  <c r="R2260" i="12"/>
  <c r="R2551" i="12"/>
  <c r="R1945" i="12"/>
  <c r="R1968" i="12"/>
  <c r="R1941" i="12"/>
  <c r="L1941" i="12" s="1"/>
  <c r="R2238" i="12"/>
  <c r="R2285" i="12"/>
  <c r="R2552" i="12"/>
  <c r="R1940" i="12"/>
  <c r="L1940" i="12" s="1"/>
  <c r="R2231" i="12"/>
  <c r="R1481" i="12"/>
  <c r="R1959" i="12"/>
  <c r="R1951" i="12"/>
  <c r="R1961" i="12"/>
  <c r="R2257" i="12"/>
  <c r="R2253" i="12"/>
  <c r="R2553" i="12"/>
  <c r="R1480" i="12"/>
  <c r="R1965" i="12"/>
  <c r="R1970" i="12"/>
  <c r="R1971" i="12"/>
  <c r="R2276" i="12"/>
  <c r="R2263" i="12"/>
  <c r="R2544" i="12"/>
  <c r="R1479" i="12"/>
  <c r="R1952" i="12"/>
  <c r="R1966" i="12"/>
  <c r="R2232" i="12"/>
  <c r="R2241" i="12"/>
  <c r="R2545" i="12"/>
  <c r="R2554" i="12"/>
  <c r="Z714" i="12"/>
  <c r="Z1629" i="12"/>
  <c r="R1871" i="12"/>
  <c r="Z1855" i="12"/>
  <c r="R1863" i="12"/>
  <c r="R1879" i="12"/>
  <c r="Z693" i="12"/>
  <c r="Z1442" i="12"/>
  <c r="Z1644" i="12"/>
  <c r="Z1642" i="12"/>
  <c r="Z2507" i="12"/>
  <c r="Z244" i="12"/>
  <c r="J468" i="12"/>
  <c r="Z1625" i="12"/>
  <c r="T2150" i="12"/>
  <c r="T1248" i="12"/>
  <c r="AC1248" i="12"/>
  <c r="V1248" i="12"/>
  <c r="Z1462" i="12"/>
  <c r="Z1622" i="12"/>
  <c r="Z1628" i="12"/>
  <c r="Z735" i="12"/>
  <c r="Z1422" i="12"/>
  <c r="Z1627" i="12"/>
  <c r="Z1624" i="12"/>
  <c r="Z1844" i="12"/>
  <c r="J602" i="12"/>
  <c r="AC1374" i="12"/>
  <c r="N2662" i="12"/>
  <c r="V2653" i="12"/>
  <c r="AD1981" i="12"/>
  <c r="T1420" i="12"/>
  <c r="L1945" i="12"/>
  <c r="Z1846" i="12"/>
  <c r="J366" i="12"/>
  <c r="Z1402" i="12"/>
  <c r="J434" i="12"/>
  <c r="Z1643" i="12"/>
  <c r="Z717" i="12"/>
  <c r="Z1822" i="12"/>
  <c r="Z1823" i="12"/>
  <c r="Z1843" i="12"/>
  <c r="Z1835" i="12"/>
  <c r="AC1332" i="12"/>
  <c r="T563" i="12"/>
  <c r="J563" i="12"/>
  <c r="V563" i="12"/>
  <c r="Z563" i="12"/>
  <c r="X563" i="12"/>
  <c r="AC1290" i="12"/>
  <c r="V2196" i="12"/>
  <c r="Z2404" i="12"/>
  <c r="Z696" i="12"/>
  <c r="Z697" i="12"/>
  <c r="Z1845" i="12"/>
  <c r="Z1832" i="12"/>
  <c r="X2060" i="12"/>
  <c r="Z1824" i="12"/>
  <c r="V2219" i="12"/>
  <c r="Z2508" i="12"/>
  <c r="Z1623" i="12"/>
  <c r="Z738" i="12"/>
  <c r="Z739" i="12"/>
  <c r="V2654" i="12"/>
  <c r="N2663" i="12"/>
  <c r="L1823" i="12"/>
  <c r="L1834" i="12"/>
  <c r="L1845" i="12"/>
  <c r="Z1821" i="12"/>
  <c r="X2012" i="12"/>
  <c r="Z1630" i="12"/>
  <c r="P2653" i="12"/>
  <c r="L1943" i="12"/>
  <c r="L1944" i="12"/>
  <c r="P2654" i="12"/>
  <c r="V2189" i="12"/>
  <c r="Z1645" i="12"/>
  <c r="T1400" i="12"/>
  <c r="Z1834" i="12"/>
  <c r="T2128" i="12"/>
  <c r="X2084" i="12"/>
  <c r="P2128" i="12"/>
  <c r="P2150" i="12"/>
  <c r="P2106" i="12"/>
  <c r="J536" i="12"/>
  <c r="Z1833" i="12"/>
  <c r="R1814" i="12"/>
  <c r="L1939" i="12"/>
  <c r="Z2403" i="12"/>
  <c r="V2212" i="12"/>
  <c r="Z718" i="12"/>
  <c r="AE676" i="12"/>
  <c r="L2173" i="12"/>
  <c r="T2106" i="12"/>
  <c r="X2036" i="12"/>
  <c r="T1440" i="12"/>
  <c r="Z250" i="12"/>
  <c r="J250" i="12"/>
  <c r="X250" i="12"/>
  <c r="V250" i="12"/>
  <c r="T250" i="12"/>
  <c r="T1460" i="12"/>
  <c r="R384" i="12"/>
  <c r="R312" i="12"/>
  <c r="R348" i="12"/>
  <c r="R276" i="12"/>
  <c r="Z240" i="12"/>
  <c r="R2490" i="12"/>
  <c r="R2386" i="12"/>
  <c r="R2283" i="12"/>
  <c r="Z2282" i="12"/>
  <c r="L1642" i="12"/>
  <c r="L1622" i="12"/>
  <c r="R2483" i="12"/>
  <c r="R2379" i="12"/>
  <c r="Z2275" i="12"/>
  <c r="L1644" i="12"/>
  <c r="L1624" i="12"/>
  <c r="R1887" i="12"/>
  <c r="R1153" i="12"/>
  <c r="R1017" i="12"/>
  <c r="R1041" i="12"/>
  <c r="R993" i="12"/>
  <c r="L969" i="12"/>
  <c r="R1065" i="12"/>
  <c r="R539" i="12"/>
  <c r="R225" i="12"/>
  <c r="Z969" i="12"/>
  <c r="R2446" i="12"/>
  <c r="R2342" i="12"/>
  <c r="Z2238" i="12"/>
  <c r="R2239" i="12"/>
  <c r="R2493" i="12"/>
  <c r="R2389" i="12"/>
  <c r="R2286" i="12"/>
  <c r="Z2285" i="12"/>
  <c r="R873" i="12"/>
  <c r="R854" i="12"/>
  <c r="Z835" i="12"/>
  <c r="R388" i="12"/>
  <c r="R352" i="12"/>
  <c r="R280" i="12"/>
  <c r="R316" i="12"/>
  <c r="Z2548" i="12"/>
  <c r="L2548" i="12"/>
  <c r="R2364" i="12"/>
  <c r="R2261" i="12"/>
  <c r="R813" i="12"/>
  <c r="R775" i="12"/>
  <c r="R794" i="12"/>
  <c r="Z756" i="12"/>
  <c r="L2507" i="12"/>
  <c r="L2403" i="12"/>
  <c r="T2299" i="12"/>
  <c r="L832" i="12"/>
  <c r="L756" i="12"/>
  <c r="L714" i="12"/>
  <c r="L735" i="12"/>
  <c r="L693" i="12"/>
  <c r="L889" i="12"/>
  <c r="L240" i="12"/>
  <c r="L2662" i="12"/>
  <c r="T2653" i="12"/>
  <c r="R2591" i="12"/>
  <c r="R1903" i="12"/>
  <c r="R1540" i="12"/>
  <c r="R1482" i="12"/>
  <c r="Z1481" i="12"/>
  <c r="L2569" i="12"/>
  <c r="R2465" i="12"/>
  <c r="R2361" i="12"/>
  <c r="R2258" i="12"/>
  <c r="Z2257" i="12"/>
  <c r="R778" i="12"/>
  <c r="R797" i="12"/>
  <c r="R816" i="12"/>
  <c r="Z759" i="12"/>
  <c r="R893" i="12"/>
  <c r="R837" i="12"/>
  <c r="R740" i="12"/>
  <c r="R761" i="12"/>
  <c r="R719" i="12"/>
  <c r="R698" i="12"/>
  <c r="R245" i="12"/>
  <c r="Z677" i="12"/>
  <c r="R2075" i="12"/>
  <c r="R2003" i="12"/>
  <c r="R2027" i="12"/>
  <c r="R2051" i="12"/>
  <c r="Z1979" i="12"/>
  <c r="R910" i="12"/>
  <c r="R946" i="12"/>
  <c r="R928" i="12"/>
  <c r="R557" i="12"/>
  <c r="Z892" i="12"/>
  <c r="R2380" i="12"/>
  <c r="R2484" i="12"/>
  <c r="Z2276" i="12"/>
  <c r="R2471" i="12"/>
  <c r="R2367" i="12"/>
  <c r="R2264" i="12"/>
  <c r="Z2263" i="12"/>
  <c r="P2663" i="12"/>
  <c r="L835" i="12"/>
  <c r="L738" i="12"/>
  <c r="L696" i="12"/>
  <c r="L891" i="12"/>
  <c r="L759" i="12"/>
  <c r="L717" i="12"/>
  <c r="L243" i="12"/>
  <c r="R874" i="12"/>
  <c r="R855" i="12"/>
  <c r="Z836" i="12"/>
  <c r="L674" i="12"/>
  <c r="R758" i="12"/>
  <c r="R716" i="12"/>
  <c r="R737" i="12"/>
  <c r="R695" i="12"/>
  <c r="R242" i="12"/>
  <c r="Z674" i="12"/>
  <c r="R851" i="12"/>
  <c r="R870" i="12"/>
  <c r="Z832" i="12"/>
  <c r="Z394" i="12"/>
  <c r="X394" i="12"/>
  <c r="V394" i="12"/>
  <c r="T394" i="12"/>
  <c r="J394" i="12"/>
  <c r="R907" i="12"/>
  <c r="R925" i="12"/>
  <c r="R943" i="12"/>
  <c r="R554" i="12"/>
  <c r="Z889" i="12"/>
  <c r="R890" i="12"/>
  <c r="R833" i="12"/>
  <c r="R757" i="12"/>
  <c r="R736" i="12"/>
  <c r="R715" i="12"/>
  <c r="R694" i="12"/>
  <c r="L673" i="12"/>
  <c r="R241" i="12"/>
  <c r="Z673" i="12"/>
  <c r="Z2627" i="12"/>
  <c r="R2440" i="12"/>
  <c r="N2232" i="12"/>
  <c r="L2232" i="12"/>
  <c r="R2336" i="12"/>
  <c r="Z2232" i="12"/>
  <c r="R2345" i="12"/>
  <c r="R2242" i="12"/>
  <c r="Z2545" i="12"/>
  <c r="R2509" i="12"/>
  <c r="R2405" i="12"/>
  <c r="Z2301" i="12"/>
  <c r="R1633" i="12"/>
  <c r="R1651" i="12"/>
  <c r="L1613" i="12"/>
  <c r="Z1613" i="12"/>
  <c r="Z1611" i="12"/>
  <c r="L2663" i="12"/>
  <c r="T2654" i="12"/>
  <c r="R927" i="12"/>
  <c r="R945" i="12"/>
  <c r="R909" i="12"/>
  <c r="R556" i="12"/>
  <c r="Z891" i="12"/>
  <c r="L1625" i="12"/>
  <c r="L1645" i="12"/>
  <c r="R2049" i="12"/>
  <c r="R2001" i="12"/>
  <c r="R2025" i="12"/>
  <c r="R2073" i="12"/>
  <c r="Z1977" i="12"/>
  <c r="R2050" i="12"/>
  <c r="R2074" i="12"/>
  <c r="R2026" i="12"/>
  <c r="R2002" i="12"/>
  <c r="N1978" i="12"/>
  <c r="Z1978" i="12"/>
  <c r="R2076" i="12"/>
  <c r="R2028" i="12"/>
  <c r="R1981" i="12"/>
  <c r="R2052" i="12"/>
  <c r="R2004" i="12"/>
  <c r="Z1980" i="12"/>
  <c r="T672" i="12"/>
  <c r="R2462" i="12"/>
  <c r="R2358" i="12"/>
  <c r="Z2254" i="12"/>
  <c r="R2383" i="12"/>
  <c r="Z2543" i="12"/>
  <c r="Z2547" i="12"/>
  <c r="L1623" i="12"/>
  <c r="L1643" i="12"/>
  <c r="R387" i="12"/>
  <c r="R351" i="12"/>
  <c r="R279" i="12"/>
  <c r="R315" i="12"/>
  <c r="Z243" i="12"/>
  <c r="R779" i="12"/>
  <c r="R798" i="12"/>
  <c r="R817" i="12"/>
  <c r="Z760" i="12"/>
  <c r="N2254" i="12" l="1"/>
  <c r="Z2260" i="12"/>
  <c r="L2547" i="12"/>
  <c r="R2468" i="12"/>
  <c r="R1519" i="12"/>
  <c r="Z1519" i="12" s="1"/>
  <c r="X2653" i="12"/>
  <c r="Z1480" i="12"/>
  <c r="Z2253" i="12"/>
  <c r="X1248" i="12"/>
  <c r="R1500" i="12"/>
  <c r="R1502" i="12"/>
  <c r="Z2620" i="12"/>
  <c r="R1521" i="12"/>
  <c r="Z1521" i="12" s="1"/>
  <c r="R2487" i="12"/>
  <c r="Z2487" i="12" s="1"/>
  <c r="R2316" i="12"/>
  <c r="Z2235" i="12"/>
  <c r="Z2279" i="12"/>
  <c r="R2443" i="12"/>
  <c r="R2339" i="12"/>
  <c r="Z2339" i="12" s="1"/>
  <c r="R2280" i="12"/>
  <c r="R2236" i="12"/>
  <c r="L2279" i="12"/>
  <c r="R1538" i="12"/>
  <c r="R1539" i="12"/>
  <c r="R1520" i="12"/>
  <c r="R2357" i="12"/>
  <c r="Z2357" i="12" s="1"/>
  <c r="Z1631" i="12"/>
  <c r="N2231" i="12"/>
  <c r="N2253" i="12" s="1"/>
  <c r="P2554" i="12"/>
  <c r="X2554" i="12" s="1"/>
  <c r="P2662" i="12"/>
  <c r="X2662" i="12" s="1"/>
  <c r="X2654" i="12"/>
  <c r="R1902" i="12"/>
  <c r="R2461" i="12"/>
  <c r="P2553" i="12"/>
  <c r="X2553" i="12" s="1"/>
  <c r="Z2552" i="12"/>
  <c r="R1501" i="12"/>
  <c r="Z2553" i="12"/>
  <c r="Z2231" i="12"/>
  <c r="P2551" i="12"/>
  <c r="X2551" i="12" s="1"/>
  <c r="Z2554" i="12"/>
  <c r="R1901" i="12"/>
  <c r="Z2551" i="12"/>
  <c r="R2335" i="12"/>
  <c r="Z2335" i="12" s="1"/>
  <c r="R1381" i="12"/>
  <c r="R2590" i="12"/>
  <c r="Z2590" i="12" s="1"/>
  <c r="P2550" i="12"/>
  <c r="X2550" i="12" s="1"/>
  <c r="L2231" i="12"/>
  <c r="L2253" i="12" s="1"/>
  <c r="L2276" i="12"/>
  <c r="R2315" i="12"/>
  <c r="Z1649" i="12"/>
  <c r="R2439" i="12"/>
  <c r="Z2439" i="12" s="1"/>
  <c r="Z2241" i="12"/>
  <c r="R2449" i="12"/>
  <c r="Z2449" i="12" s="1"/>
  <c r="Z1479" i="12"/>
  <c r="Z2544" i="12"/>
  <c r="P2552" i="12"/>
  <c r="Z2550" i="12"/>
  <c r="Z351" i="12"/>
  <c r="Z694" i="12"/>
  <c r="T717" i="12"/>
  <c r="Z737" i="12"/>
  <c r="Z928" i="12"/>
  <c r="Z854" i="12"/>
  <c r="Z2050" i="12"/>
  <c r="L2254" i="12"/>
  <c r="T2254" i="12" s="1"/>
  <c r="Z716" i="12"/>
  <c r="T738" i="12"/>
  <c r="Z2367" i="12"/>
  <c r="Z946" i="12"/>
  <c r="T2548" i="12"/>
  <c r="Z873" i="12"/>
  <c r="Z1887" i="12"/>
  <c r="Z2462" i="12"/>
  <c r="T2663" i="12"/>
  <c r="T1625" i="12"/>
  <c r="Z2591" i="12"/>
  <c r="Z813" i="12"/>
  <c r="Z1153" i="12"/>
  <c r="X2128" i="12"/>
  <c r="N2279" i="12"/>
  <c r="Z2383" i="12"/>
  <c r="Z2004" i="12"/>
  <c r="J400" i="12"/>
  <c r="Z855" i="12"/>
  <c r="Z2471" i="12"/>
  <c r="Z1520" i="12"/>
  <c r="Z910" i="12"/>
  <c r="Z816" i="12"/>
  <c r="T2662" i="12"/>
  <c r="Z2468" i="12"/>
  <c r="Z2389" i="12"/>
  <c r="Z2386" i="12"/>
  <c r="V1290" i="12"/>
  <c r="T2547" i="12"/>
  <c r="Z2028" i="12"/>
  <c r="Z2001" i="12"/>
  <c r="Z943" i="12"/>
  <c r="Z352" i="12"/>
  <c r="T1643" i="12"/>
  <c r="Z2026" i="12"/>
  <c r="Z907" i="12"/>
  <c r="Z695" i="12"/>
  <c r="Z1901" i="12"/>
  <c r="T1644" i="12"/>
  <c r="R1836" i="12"/>
  <c r="R1847" i="12"/>
  <c r="R1825" i="12"/>
  <c r="Z1814" i="12"/>
  <c r="Z315" i="12"/>
  <c r="Z2052" i="12"/>
  <c r="Z909" i="12"/>
  <c r="Z1651" i="12"/>
  <c r="Z2440" i="12"/>
  <c r="Z870" i="12"/>
  <c r="Z874" i="12"/>
  <c r="Z1902" i="12"/>
  <c r="Z698" i="12"/>
  <c r="Z797" i="12"/>
  <c r="Z2461" i="12"/>
  <c r="T2403" i="12"/>
  <c r="Z316" i="12"/>
  <c r="Z2493" i="12"/>
  <c r="Z2490" i="12"/>
  <c r="T1845" i="12"/>
  <c r="Z2051" i="12"/>
  <c r="T693" i="12"/>
  <c r="T1645" i="12"/>
  <c r="Z2509" i="12"/>
  <c r="Z736" i="12"/>
  <c r="T1623" i="12"/>
  <c r="Z2336" i="12"/>
  <c r="T696" i="12"/>
  <c r="Z817" i="12"/>
  <c r="Z279" i="12"/>
  <c r="Z2025" i="12"/>
  <c r="Z945" i="12"/>
  <c r="Z1633" i="12"/>
  <c r="Z851" i="12"/>
  <c r="X2663" i="12"/>
  <c r="Z719" i="12"/>
  <c r="Z778" i="12"/>
  <c r="Z1502" i="12"/>
  <c r="T2507" i="12"/>
  <c r="Z2364" i="12"/>
  <c r="Z280" i="12"/>
  <c r="Z2379" i="12"/>
  <c r="J258" i="12"/>
  <c r="L2196" i="12"/>
  <c r="T2173" i="12"/>
  <c r="L2219" i="12"/>
  <c r="T1834" i="12"/>
  <c r="J569" i="12"/>
  <c r="Z1879" i="12"/>
  <c r="Z798" i="12"/>
  <c r="Z1500" i="12"/>
  <c r="Z276" i="12"/>
  <c r="T1823" i="12"/>
  <c r="T1290" i="12"/>
  <c r="Z1863" i="12"/>
  <c r="Z927" i="12"/>
  <c r="Z2484" i="12"/>
  <c r="Z993" i="12"/>
  <c r="Z2483" i="12"/>
  <c r="Z779" i="12"/>
  <c r="Z2358" i="12"/>
  <c r="Z2002" i="12"/>
  <c r="Z2049" i="12"/>
  <c r="Z2405" i="12"/>
  <c r="Z2345" i="12"/>
  <c r="Z715" i="12"/>
  <c r="Z925" i="12"/>
  <c r="Z2380" i="12"/>
  <c r="Z2027" i="12"/>
  <c r="Z740" i="12"/>
  <c r="Z2361" i="12"/>
  <c r="Z1903" i="12"/>
  <c r="T735" i="12"/>
  <c r="Z794" i="12"/>
  <c r="X2552" i="12"/>
  <c r="Z2342" i="12"/>
  <c r="Z1041" i="12"/>
  <c r="T1622" i="12"/>
  <c r="Z348" i="12"/>
  <c r="P2173" i="12"/>
  <c r="X2106" i="12"/>
  <c r="V2655" i="12"/>
  <c r="Z1859" i="12"/>
  <c r="Z2003" i="12"/>
  <c r="Z2465" i="12"/>
  <c r="T714" i="12"/>
  <c r="Z775" i="12"/>
  <c r="Z2446" i="12"/>
  <c r="Z1017" i="12"/>
  <c r="T1624" i="12"/>
  <c r="T1642" i="12"/>
  <c r="Z312" i="12"/>
  <c r="X2150" i="12"/>
  <c r="V2663" i="12"/>
  <c r="V2662" i="12"/>
  <c r="Z1871" i="12"/>
  <c r="P2547" i="12"/>
  <c r="P2548" i="12"/>
  <c r="P2232" i="12"/>
  <c r="X2232" i="12" s="1"/>
  <c r="R2120" i="12"/>
  <c r="R2098" i="12"/>
  <c r="R2142" i="12"/>
  <c r="Z2076" i="12"/>
  <c r="R369" i="12"/>
  <c r="R297" i="12"/>
  <c r="R261" i="12"/>
  <c r="R333" i="12"/>
  <c r="Z225" i="12"/>
  <c r="Z2280" i="12"/>
  <c r="R655" i="12"/>
  <c r="R622" i="12"/>
  <c r="R589" i="12"/>
  <c r="Z556" i="12"/>
  <c r="L2440" i="12"/>
  <c r="L2336" i="12"/>
  <c r="T2232" i="12"/>
  <c r="R349" i="12"/>
  <c r="R277" i="12"/>
  <c r="R313" i="12"/>
  <c r="R385" i="12"/>
  <c r="Z241" i="12"/>
  <c r="R799" i="12"/>
  <c r="R818" i="12"/>
  <c r="R780" i="12"/>
  <c r="Z761" i="12"/>
  <c r="R2524" i="12"/>
  <c r="R2420" i="12"/>
  <c r="Z2316" i="12"/>
  <c r="R524" i="12"/>
  <c r="R422" i="12"/>
  <c r="R456" i="12"/>
  <c r="R490" i="12"/>
  <c r="Z388" i="12"/>
  <c r="R638" i="12"/>
  <c r="R605" i="12"/>
  <c r="R572" i="12"/>
  <c r="Z539" i="12"/>
  <c r="L945" i="12"/>
  <c r="L927" i="12"/>
  <c r="L909" i="12"/>
  <c r="L556" i="12"/>
  <c r="T891" i="12"/>
  <c r="R2523" i="12"/>
  <c r="R2419" i="12"/>
  <c r="Z2315" i="12"/>
  <c r="R2450" i="12"/>
  <c r="R2346" i="12"/>
  <c r="Z2242" i="12"/>
  <c r="N2440" i="12"/>
  <c r="N2336" i="12"/>
  <c r="V2232" i="12"/>
  <c r="L890" i="12"/>
  <c r="L736" i="12"/>
  <c r="L694" i="12"/>
  <c r="L833" i="12"/>
  <c r="L757" i="12"/>
  <c r="L715" i="12"/>
  <c r="L241" i="12"/>
  <c r="R653" i="12"/>
  <c r="R620" i="12"/>
  <c r="R587" i="12"/>
  <c r="Z554" i="12"/>
  <c r="R796" i="12"/>
  <c r="R815" i="12"/>
  <c r="R777" i="12"/>
  <c r="Z758" i="12"/>
  <c r="R2141" i="12"/>
  <c r="R2119" i="12"/>
  <c r="R2097" i="12"/>
  <c r="Z2075" i="12"/>
  <c r="R2466" i="12"/>
  <c r="R2362" i="12"/>
  <c r="Z2258" i="12"/>
  <c r="T2569" i="12"/>
  <c r="L794" i="12"/>
  <c r="L813" i="12"/>
  <c r="L775" i="12"/>
  <c r="T756" i="12"/>
  <c r="R2447" i="12"/>
  <c r="Z2239" i="12"/>
  <c r="R2343" i="12"/>
  <c r="R1131" i="12"/>
  <c r="Z1065" i="12"/>
  <c r="R1109" i="12"/>
  <c r="R1087" i="12"/>
  <c r="L758" i="12"/>
  <c r="L716" i="12"/>
  <c r="L695" i="12"/>
  <c r="L737" i="12"/>
  <c r="L242" i="12"/>
  <c r="Z2236" i="12"/>
  <c r="L873" i="12"/>
  <c r="L854" i="12"/>
  <c r="T835" i="12"/>
  <c r="L2484" i="12"/>
  <c r="L2380" i="12"/>
  <c r="T2276" i="12"/>
  <c r="R875" i="12"/>
  <c r="R856" i="12"/>
  <c r="Z837" i="12"/>
  <c r="T2655" i="12"/>
  <c r="L870" i="12"/>
  <c r="L851" i="12"/>
  <c r="T832" i="12"/>
  <c r="L1887" i="12"/>
  <c r="L1017" i="12"/>
  <c r="L1153" i="12"/>
  <c r="L993" i="12"/>
  <c r="L1041" i="12"/>
  <c r="L1065" i="12"/>
  <c r="L539" i="12"/>
  <c r="L225" i="12"/>
  <c r="R489" i="12"/>
  <c r="R421" i="12"/>
  <c r="R523" i="12"/>
  <c r="R455" i="12"/>
  <c r="Z387" i="12"/>
  <c r="R2140" i="12"/>
  <c r="R2118" i="12"/>
  <c r="R2096" i="12"/>
  <c r="Z2074" i="12"/>
  <c r="L1633" i="12"/>
  <c r="L1651" i="12"/>
  <c r="Z1538" i="12"/>
  <c r="R656" i="12"/>
  <c r="R623" i="12"/>
  <c r="R590" i="12"/>
  <c r="Z557" i="12"/>
  <c r="R2592" i="12"/>
  <c r="R2317" i="12"/>
  <c r="R1904" i="12"/>
  <c r="R1541" i="12"/>
  <c r="R1522" i="12"/>
  <c r="R1503" i="12"/>
  <c r="Z1482" i="12"/>
  <c r="L2570" i="12"/>
  <c r="R2139" i="12"/>
  <c r="R2095" i="12"/>
  <c r="R2117" i="12"/>
  <c r="Z2073" i="12"/>
  <c r="R2469" i="12"/>
  <c r="R2365" i="12"/>
  <c r="Z2261" i="12"/>
  <c r="L279" i="12"/>
  <c r="L315" i="12"/>
  <c r="L387" i="12"/>
  <c r="L351" i="12"/>
  <c r="T243" i="12"/>
  <c r="R2472" i="12"/>
  <c r="R2368" i="12"/>
  <c r="Z2264" i="12"/>
  <c r="R1561" i="12"/>
  <c r="R1583" i="12"/>
  <c r="Z1539" i="12"/>
  <c r="R947" i="12"/>
  <c r="R929" i="12"/>
  <c r="R911" i="12"/>
  <c r="R558" i="12"/>
  <c r="Z893" i="12"/>
  <c r="R1562" i="12"/>
  <c r="R1584" i="12"/>
  <c r="Z1540" i="12"/>
  <c r="L348" i="12"/>
  <c r="L276" i="12"/>
  <c r="L312" i="12"/>
  <c r="L384" i="12"/>
  <c r="T240" i="12"/>
  <c r="R2077" i="12"/>
  <c r="R2005" i="12"/>
  <c r="R2029" i="12"/>
  <c r="R2053" i="12"/>
  <c r="Z1981" i="12"/>
  <c r="R776" i="12"/>
  <c r="R795" i="12"/>
  <c r="R814" i="12"/>
  <c r="Z757" i="12"/>
  <c r="R386" i="12"/>
  <c r="R350" i="12"/>
  <c r="R278" i="12"/>
  <c r="R314" i="12"/>
  <c r="Z242" i="12"/>
  <c r="R281" i="12"/>
  <c r="R317" i="12"/>
  <c r="R389" i="12"/>
  <c r="R353" i="12"/>
  <c r="Z245" i="12"/>
  <c r="L943" i="12"/>
  <c r="L925" i="12"/>
  <c r="L907" i="12"/>
  <c r="L554" i="12"/>
  <c r="T889" i="12"/>
  <c r="R520" i="12"/>
  <c r="R452" i="12"/>
  <c r="R486" i="12"/>
  <c r="R418" i="12"/>
  <c r="Z384" i="12"/>
  <c r="N2074" i="12"/>
  <c r="N2026" i="12"/>
  <c r="N2002" i="12"/>
  <c r="N2050" i="12"/>
  <c r="R944" i="12"/>
  <c r="R926" i="12"/>
  <c r="R908" i="12"/>
  <c r="R555" i="12"/>
  <c r="Z890" i="12"/>
  <c r="N2462" i="12"/>
  <c r="N2358" i="12"/>
  <c r="V2254" i="12"/>
  <c r="Z2633" i="12"/>
  <c r="R871" i="12"/>
  <c r="R852" i="12"/>
  <c r="Z833" i="12"/>
  <c r="L778" i="12"/>
  <c r="L797" i="12"/>
  <c r="L816" i="12"/>
  <c r="T759" i="12"/>
  <c r="R1423" i="12"/>
  <c r="R2494" i="12"/>
  <c r="R2390" i="12"/>
  <c r="Z2286" i="12"/>
  <c r="T969" i="12"/>
  <c r="R2491" i="12"/>
  <c r="R2387" i="12"/>
  <c r="Z2283" i="12"/>
  <c r="T1519" i="12" l="1"/>
  <c r="R2444" i="12"/>
  <c r="Z1501" i="12"/>
  <c r="R2340" i="12"/>
  <c r="T1500" i="12"/>
  <c r="Z2443" i="12"/>
  <c r="R1443" i="12"/>
  <c r="N2335" i="12"/>
  <c r="L2280" i="12"/>
  <c r="L2283" i="12" s="1"/>
  <c r="R2384" i="12"/>
  <c r="R2488" i="12"/>
  <c r="L2358" i="12"/>
  <c r="T2358" i="12" s="1"/>
  <c r="N2543" i="12"/>
  <c r="L2357" i="12"/>
  <c r="N2383" i="12"/>
  <c r="R1582" i="12"/>
  <c r="L2543" i="12"/>
  <c r="Z2587" i="12"/>
  <c r="T2231" i="12"/>
  <c r="X2655" i="12"/>
  <c r="R2617" i="12"/>
  <c r="L2335" i="12"/>
  <c r="AC1610" i="12"/>
  <c r="R1560" i="12"/>
  <c r="Z1560" i="12" s="1"/>
  <c r="L2439" i="12"/>
  <c r="T2439" i="12" s="1"/>
  <c r="X2664" i="12"/>
  <c r="N2461" i="12"/>
  <c r="N2357" i="12"/>
  <c r="V2253" i="12"/>
  <c r="R1383" i="12"/>
  <c r="L2462" i="12"/>
  <c r="T2462" i="12" s="1"/>
  <c r="V2231" i="12"/>
  <c r="L2461" i="12"/>
  <c r="N2439" i="12"/>
  <c r="T2279" i="12"/>
  <c r="L2285" i="12"/>
  <c r="R1403" i="12"/>
  <c r="T2664" i="12"/>
  <c r="T2667" i="12" s="1"/>
  <c r="L2383" i="12"/>
  <c r="L2487" i="12"/>
  <c r="T2487" i="12" s="1"/>
  <c r="P2231" i="12"/>
  <c r="R1382" i="12"/>
  <c r="R2302" i="12"/>
  <c r="L2282" i="12"/>
  <c r="V2279" i="12"/>
  <c r="P2253" i="12"/>
  <c r="R1463" i="12"/>
  <c r="Z1463" i="12" s="1"/>
  <c r="Z1381" i="12"/>
  <c r="N2487" i="12"/>
  <c r="V2487" i="12" s="1"/>
  <c r="T2253" i="12"/>
  <c r="Z1562" i="12"/>
  <c r="T2658" i="12"/>
  <c r="T993" i="12"/>
  <c r="T927" i="12"/>
  <c r="Z655" i="12"/>
  <c r="R962" i="12"/>
  <c r="V2026" i="12"/>
  <c r="Z317" i="12"/>
  <c r="Z2368" i="12"/>
  <c r="Z2117" i="12"/>
  <c r="Z623" i="12"/>
  <c r="Z523" i="12"/>
  <c r="T1153" i="12"/>
  <c r="Z856" i="12"/>
  <c r="Z2343" i="12"/>
  <c r="Z777" i="12"/>
  <c r="T715" i="12"/>
  <c r="V2336" i="12"/>
  <c r="T945" i="12"/>
  <c r="Z349" i="12"/>
  <c r="Z297" i="12"/>
  <c r="V2461" i="12"/>
  <c r="X2667" i="12"/>
  <c r="X2547" i="12"/>
  <c r="Z1847" i="12"/>
  <c r="P2254" i="12"/>
  <c r="Z520" i="12"/>
  <c r="Z1561" i="12"/>
  <c r="T716" i="12"/>
  <c r="Z653" i="12"/>
  <c r="Z605" i="12"/>
  <c r="Z333" i="12"/>
  <c r="Z2491" i="12"/>
  <c r="T873" i="12"/>
  <c r="T2383" i="12"/>
  <c r="Z2524" i="12"/>
  <c r="Z1883" i="12"/>
  <c r="Z1825" i="12"/>
  <c r="AC974" i="12"/>
  <c r="Z1443" i="12"/>
  <c r="T816" i="12"/>
  <c r="Z281" i="12"/>
  <c r="Z814" i="12"/>
  <c r="T312" i="12"/>
  <c r="Z911" i="12"/>
  <c r="Z2472" i="12"/>
  <c r="Z1503" i="12"/>
  <c r="Z656" i="12"/>
  <c r="Z2118" i="12"/>
  <c r="Z421" i="12"/>
  <c r="T1017" i="12"/>
  <c r="Z875" i="12"/>
  <c r="Z2340" i="12"/>
  <c r="Z2362" i="12"/>
  <c r="Z815" i="12"/>
  <c r="V2440" i="12"/>
  <c r="Z490" i="12"/>
  <c r="Z780" i="12"/>
  <c r="P2440" i="12"/>
  <c r="Z1836" i="12"/>
  <c r="Z871" i="12"/>
  <c r="Z353" i="12"/>
  <c r="T279" i="12"/>
  <c r="T1633" i="12"/>
  <c r="Z2141" i="12"/>
  <c r="Z313" i="12"/>
  <c r="Z1131" i="12"/>
  <c r="T2336" i="12"/>
  <c r="Z1875" i="12"/>
  <c r="V2658" i="12"/>
  <c r="V1332" i="12"/>
  <c r="T1520" i="12"/>
  <c r="T1501" i="12"/>
  <c r="Z350" i="12"/>
  <c r="T854" i="12"/>
  <c r="Z622" i="12"/>
  <c r="V2002" i="12"/>
  <c r="Z2005" i="12"/>
  <c r="T797" i="12"/>
  <c r="Z908" i="12"/>
  <c r="Z2444" i="12"/>
  <c r="Z1423" i="12"/>
  <c r="T778" i="12"/>
  <c r="V2358" i="12"/>
  <c r="Z926" i="12"/>
  <c r="Z418" i="12"/>
  <c r="T925" i="12"/>
  <c r="Z776" i="12"/>
  <c r="T348" i="12"/>
  <c r="Z947" i="12"/>
  <c r="T351" i="12"/>
  <c r="T2380" i="12"/>
  <c r="T694" i="12"/>
  <c r="Z2346" i="12"/>
  <c r="Z2523" i="12"/>
  <c r="V2383" i="12"/>
  <c r="Z422" i="12"/>
  <c r="Z799" i="12"/>
  <c r="T2440" i="12"/>
  <c r="Z2384" i="12"/>
  <c r="Z2142" i="12"/>
  <c r="T2357" i="12"/>
  <c r="Z1867" i="12"/>
  <c r="T909" i="12"/>
  <c r="X2658" i="12"/>
  <c r="Z590" i="12"/>
  <c r="Z795" i="12"/>
  <c r="T276" i="12"/>
  <c r="Z1522" i="12"/>
  <c r="Z489" i="12"/>
  <c r="Z2447" i="12"/>
  <c r="Z456" i="12"/>
  <c r="Z2390" i="12"/>
  <c r="Z944" i="12"/>
  <c r="Z486" i="12"/>
  <c r="Z314" i="12"/>
  <c r="T1539" i="12"/>
  <c r="Z1904" i="12"/>
  <c r="Z1582" i="12"/>
  <c r="V2335" i="12"/>
  <c r="T851" i="12"/>
  <c r="T2484" i="12"/>
  <c r="T737" i="12"/>
  <c r="Z1087" i="12"/>
  <c r="T775" i="12"/>
  <c r="Z587" i="12"/>
  <c r="T736" i="12"/>
  <c r="Z2450" i="12"/>
  <c r="Z524" i="12"/>
  <c r="Z2488" i="12"/>
  <c r="T2461" i="12"/>
  <c r="X2548" i="12"/>
  <c r="V2664" i="12"/>
  <c r="P2196" i="12"/>
  <c r="P2219" i="12"/>
  <c r="X2173" i="12"/>
  <c r="T2219" i="12"/>
  <c r="Z2387" i="12"/>
  <c r="V2050" i="12"/>
  <c r="Z2029" i="12"/>
  <c r="Z2469" i="12"/>
  <c r="Z2592" i="12"/>
  <c r="T1041" i="12"/>
  <c r="T794" i="12"/>
  <c r="Z2420" i="12"/>
  <c r="Z455" i="12"/>
  <c r="Z638" i="12"/>
  <c r="Z277" i="12"/>
  <c r="Z261" i="12"/>
  <c r="V2357" i="12"/>
  <c r="T907" i="12"/>
  <c r="Z929" i="12"/>
  <c r="Z2139" i="12"/>
  <c r="Z2140" i="12"/>
  <c r="T1887" i="12"/>
  <c r="T2335" i="12"/>
  <c r="Z2466" i="12"/>
  <c r="Z796" i="12"/>
  <c r="Z2419" i="12"/>
  <c r="Z818" i="12"/>
  <c r="V2462" i="12"/>
  <c r="T943" i="12"/>
  <c r="Z2494" i="12"/>
  <c r="Z852" i="12"/>
  <c r="Z452" i="12"/>
  <c r="Z278" i="12"/>
  <c r="Z2053" i="12"/>
  <c r="Z1584" i="12"/>
  <c r="Z1583" i="12"/>
  <c r="T315" i="12"/>
  <c r="Z2365" i="12"/>
  <c r="T1651" i="12"/>
  <c r="V2439" i="12"/>
  <c r="T870" i="12"/>
  <c r="T695" i="12"/>
  <c r="Z1109" i="12"/>
  <c r="T813" i="12"/>
  <c r="Z2119" i="12"/>
  <c r="Z620" i="12"/>
  <c r="R1614" i="12"/>
  <c r="Z572" i="12"/>
  <c r="Z589" i="12"/>
  <c r="Z2120" i="12"/>
  <c r="V2543" i="12"/>
  <c r="V1859" i="12"/>
  <c r="T1859" i="12"/>
  <c r="AC1862" i="12"/>
  <c r="T1332" i="12"/>
  <c r="X1290" i="12"/>
  <c r="T2196" i="12"/>
  <c r="Z1818" i="12"/>
  <c r="N2544" i="12"/>
  <c r="P2336" i="12"/>
  <c r="AC677" i="12"/>
  <c r="AC678" i="12"/>
  <c r="Z2296" i="12"/>
  <c r="R1890" i="12"/>
  <c r="R1010" i="12"/>
  <c r="R227" i="12"/>
  <c r="N2118" i="12"/>
  <c r="N2140" i="12"/>
  <c r="N2096" i="12"/>
  <c r="V2074" i="12"/>
  <c r="R2525" i="12"/>
  <c r="R2421" i="12"/>
  <c r="Z2317" i="12"/>
  <c r="L871" i="12"/>
  <c r="L852" i="12"/>
  <c r="T833" i="12"/>
  <c r="R525" i="12"/>
  <c r="R423" i="12"/>
  <c r="R457" i="12"/>
  <c r="R491" i="12"/>
  <c r="Z389" i="12"/>
  <c r="L520" i="12"/>
  <c r="L452" i="12"/>
  <c r="L486" i="12"/>
  <c r="L418" i="12"/>
  <c r="T384" i="12"/>
  <c r="L369" i="12"/>
  <c r="L297" i="12"/>
  <c r="L261" i="12"/>
  <c r="L333" i="12"/>
  <c r="T225" i="12"/>
  <c r="R1445" i="12"/>
  <c r="R1425" i="12"/>
  <c r="L523" i="12"/>
  <c r="L455" i="12"/>
  <c r="L489" i="12"/>
  <c r="L421" i="12"/>
  <c r="T387" i="12"/>
  <c r="L638" i="12"/>
  <c r="L605" i="12"/>
  <c r="L572" i="12"/>
  <c r="T539" i="12"/>
  <c r="AC1485" i="12"/>
  <c r="L385" i="12"/>
  <c r="L313" i="12"/>
  <c r="L349" i="12"/>
  <c r="L277" i="12"/>
  <c r="T241" i="12"/>
  <c r="R471" i="12"/>
  <c r="R505" i="12"/>
  <c r="R403" i="12"/>
  <c r="R437" i="12"/>
  <c r="Z369" i="12"/>
  <c r="L2493" i="12"/>
  <c r="L2389" i="12"/>
  <c r="T2285" i="12"/>
  <c r="N2285" i="12"/>
  <c r="T1538" i="12"/>
  <c r="L814" i="12"/>
  <c r="L776" i="12"/>
  <c r="L795" i="12"/>
  <c r="T757" i="12"/>
  <c r="AC1484" i="12"/>
  <c r="T2633" i="12"/>
  <c r="V2633" i="12"/>
  <c r="AC2625" i="12"/>
  <c r="R2164" i="12"/>
  <c r="Z2097" i="12"/>
  <c r="R522" i="12"/>
  <c r="R488" i="12"/>
  <c r="R454" i="12"/>
  <c r="R420" i="12"/>
  <c r="Z386" i="12"/>
  <c r="R621" i="12"/>
  <c r="R654" i="12"/>
  <c r="R588" i="12"/>
  <c r="Z555" i="12"/>
  <c r="L2490" i="12"/>
  <c r="L2386" i="12"/>
  <c r="T2282" i="12"/>
  <c r="N2282" i="12"/>
  <c r="L653" i="12"/>
  <c r="L587" i="12"/>
  <c r="L620" i="12"/>
  <c r="T554" i="12"/>
  <c r="R1563" i="12"/>
  <c r="R1585" i="12"/>
  <c r="Z1541" i="12"/>
  <c r="R2162" i="12"/>
  <c r="Z2096" i="12"/>
  <c r="L1087" i="12"/>
  <c r="L1109" i="12"/>
  <c r="L1131" i="12"/>
  <c r="T1065" i="12"/>
  <c r="L777" i="12"/>
  <c r="L796" i="12"/>
  <c r="L815" i="12"/>
  <c r="T758" i="12"/>
  <c r="R1652" i="12"/>
  <c r="R1634" i="12"/>
  <c r="R678" i="12"/>
  <c r="R521" i="12"/>
  <c r="R487" i="12"/>
  <c r="R419" i="12"/>
  <c r="R453" i="12"/>
  <c r="Z385" i="12"/>
  <c r="P2439" i="12"/>
  <c r="P2335" i="12"/>
  <c r="X2231" i="12"/>
  <c r="R2161" i="12"/>
  <c r="Z2095" i="12"/>
  <c r="T2570" i="12"/>
  <c r="L386" i="12"/>
  <c r="L350" i="12"/>
  <c r="L314" i="12"/>
  <c r="L278" i="12"/>
  <c r="T242" i="12"/>
  <c r="P2461" i="12"/>
  <c r="P2357" i="12"/>
  <c r="X2253" i="12"/>
  <c r="R2303" i="12"/>
  <c r="R1444" i="12"/>
  <c r="R2143" i="12"/>
  <c r="R2121" i="12"/>
  <c r="R2099" i="12"/>
  <c r="Z2077" i="12"/>
  <c r="L908" i="12"/>
  <c r="L926" i="12"/>
  <c r="L944" i="12"/>
  <c r="L555" i="12"/>
  <c r="T890" i="12"/>
  <c r="L655" i="12"/>
  <c r="L589" i="12"/>
  <c r="L622" i="12"/>
  <c r="T556" i="12"/>
  <c r="R2165" i="12"/>
  <c r="Z2098" i="12"/>
  <c r="R591" i="12"/>
  <c r="R657" i="12"/>
  <c r="R624" i="12"/>
  <c r="Z558" i="12"/>
  <c r="L2488" i="12"/>
  <c r="L2384" i="12"/>
  <c r="L2387" i="12" l="1"/>
  <c r="L2491" i="12"/>
  <c r="T1560" i="12"/>
  <c r="T2280" i="12"/>
  <c r="R1424" i="12"/>
  <c r="R1405" i="12"/>
  <c r="P2543" i="12"/>
  <c r="R2406" i="12"/>
  <c r="N2280" i="12"/>
  <c r="R2304" i="12"/>
  <c r="Z1383" i="12"/>
  <c r="R2510" i="12"/>
  <c r="Z2510" i="12" s="1"/>
  <c r="L2286" i="12"/>
  <c r="R1465" i="12"/>
  <c r="Z2302" i="12"/>
  <c r="Z1382" i="12"/>
  <c r="R1384" i="12"/>
  <c r="R1404" i="12"/>
  <c r="Z1404" i="12" s="1"/>
  <c r="L2544" i="12"/>
  <c r="V2280" i="12"/>
  <c r="Z1614" i="12"/>
  <c r="T2543" i="12"/>
  <c r="N2384" i="12"/>
  <c r="N2488" i="12"/>
  <c r="R1464" i="12"/>
  <c r="Z1464" i="12" s="1"/>
  <c r="Z1403" i="12"/>
  <c r="T1516" i="12"/>
  <c r="Z2617" i="12"/>
  <c r="Z962" i="12"/>
  <c r="R1146" i="12"/>
  <c r="Z1146" i="12" s="1"/>
  <c r="R541" i="12"/>
  <c r="T2283" i="12"/>
  <c r="R1034" i="12"/>
  <c r="R1058" i="12"/>
  <c r="R986" i="12"/>
  <c r="R964" i="12"/>
  <c r="T1582" i="12"/>
  <c r="Z2400" i="12"/>
  <c r="Z621" i="12"/>
  <c r="T2488" i="12"/>
  <c r="T926" i="12"/>
  <c r="X2461" i="12"/>
  <c r="Z453" i="12"/>
  <c r="T815" i="12"/>
  <c r="T605" i="12"/>
  <c r="T486" i="12"/>
  <c r="Z2525" i="12"/>
  <c r="Z1890" i="12"/>
  <c r="L2494" i="12"/>
  <c r="X2196" i="12"/>
  <c r="T1561" i="12"/>
  <c r="T944" i="12"/>
  <c r="T572" i="12"/>
  <c r="T418" i="12"/>
  <c r="Z419" i="12"/>
  <c r="Z420" i="12"/>
  <c r="T2389" i="12"/>
  <c r="T277" i="12"/>
  <c r="T638" i="12"/>
  <c r="T452" i="12"/>
  <c r="Z2406" i="12"/>
  <c r="X1859" i="12"/>
  <c r="V1374" i="12"/>
  <c r="X2440" i="12"/>
  <c r="T2384" i="12"/>
  <c r="X2357" i="12"/>
  <c r="T653" i="12"/>
  <c r="T2387" i="12"/>
  <c r="Z471" i="12"/>
  <c r="Z1840" i="12"/>
  <c r="T908" i="12"/>
  <c r="T796" i="12"/>
  <c r="Z624" i="12"/>
  <c r="T622" i="12"/>
  <c r="T278" i="12"/>
  <c r="Z487" i="12"/>
  <c r="T777" i="12"/>
  <c r="Z1585" i="12"/>
  <c r="T2386" i="12"/>
  <c r="Z454" i="12"/>
  <c r="T1579" i="12"/>
  <c r="T2493" i="12"/>
  <c r="T349" i="12"/>
  <c r="T333" i="12"/>
  <c r="T520" i="12"/>
  <c r="Z1034" i="12"/>
  <c r="V2384" i="12"/>
  <c r="X2336" i="12"/>
  <c r="V2544" i="12"/>
  <c r="AC1865" i="12"/>
  <c r="AC1864" i="12"/>
  <c r="X2543" i="12"/>
  <c r="Z1445" i="12"/>
  <c r="Z525" i="12"/>
  <c r="Z2421" i="12"/>
  <c r="X1332" i="12"/>
  <c r="T1374" i="12"/>
  <c r="X2219" i="12"/>
  <c r="Z657" i="12"/>
  <c r="T589" i="12"/>
  <c r="T314" i="12"/>
  <c r="Z521" i="12"/>
  <c r="Z1563" i="12"/>
  <c r="T2490" i="12"/>
  <c r="Z488" i="12"/>
  <c r="T795" i="12"/>
  <c r="T313" i="12"/>
  <c r="T421" i="12"/>
  <c r="Z1465" i="12"/>
  <c r="T261" i="12"/>
  <c r="V2488" i="12"/>
  <c r="AC1821" i="12"/>
  <c r="V1818" i="12"/>
  <c r="AC1829" i="12"/>
  <c r="T1818" i="12"/>
  <c r="T1854" i="12"/>
  <c r="N2283" i="12"/>
  <c r="V2667" i="12"/>
  <c r="Z1829" i="12"/>
  <c r="P2462" i="12"/>
  <c r="P2358" i="12"/>
  <c r="X2254" i="12"/>
  <c r="Z591" i="12"/>
  <c r="T655" i="12"/>
  <c r="Z2121" i="12"/>
  <c r="T350" i="12"/>
  <c r="Z522" i="12"/>
  <c r="T776" i="12"/>
  <c r="T489" i="12"/>
  <c r="T1583" i="12"/>
  <c r="Z2143" i="12"/>
  <c r="T1109" i="12"/>
  <c r="Z588" i="12"/>
  <c r="T814" i="12"/>
  <c r="Z403" i="12"/>
  <c r="T455" i="12"/>
  <c r="Z1425" i="12"/>
  <c r="Z457" i="12"/>
  <c r="T871" i="12"/>
  <c r="V2140" i="12"/>
  <c r="AC1875" i="12"/>
  <c r="Z1444" i="12"/>
  <c r="T1131" i="12"/>
  <c r="Z437" i="12"/>
  <c r="T297" i="12"/>
  <c r="Z491" i="12"/>
  <c r="T852" i="12"/>
  <c r="Z986" i="12"/>
  <c r="X2335" i="12"/>
  <c r="Z1634" i="12"/>
  <c r="T620" i="12"/>
  <c r="X2439" i="12"/>
  <c r="Z1652" i="12"/>
  <c r="T1087" i="12"/>
  <c r="T587" i="12"/>
  <c r="Z654" i="12"/>
  <c r="T2491" i="12"/>
  <c r="T1557" i="12"/>
  <c r="Z505" i="12"/>
  <c r="T523" i="12"/>
  <c r="Z1405" i="12"/>
  <c r="Z423" i="12"/>
  <c r="V2118" i="12"/>
  <c r="Z1010" i="12"/>
  <c r="Z2504" i="12"/>
  <c r="AC1883" i="12"/>
  <c r="Z1851" i="12"/>
  <c r="T1535" i="12"/>
  <c r="N2286" i="12"/>
  <c r="L2390" i="12"/>
  <c r="T2286" i="12"/>
  <c r="AC1486" i="12"/>
  <c r="X2633" i="12"/>
  <c r="R2511" i="12"/>
  <c r="R2407" i="12"/>
  <c r="Z2303" i="12"/>
  <c r="N2490" i="12"/>
  <c r="N2386" i="12"/>
  <c r="V2282" i="12"/>
  <c r="R2210" i="12"/>
  <c r="R2187" i="12"/>
  <c r="Z2164" i="12"/>
  <c r="R2211" i="12"/>
  <c r="R2188" i="12"/>
  <c r="Z2165" i="12"/>
  <c r="T2630" i="12"/>
  <c r="T2627" i="12"/>
  <c r="T2628" i="12"/>
  <c r="T2629" i="12"/>
  <c r="N2493" i="12"/>
  <c r="N2389" i="12"/>
  <c r="V2285" i="12"/>
  <c r="L453" i="12"/>
  <c r="L521" i="12"/>
  <c r="L487" i="12"/>
  <c r="L419" i="12"/>
  <c r="T385" i="12"/>
  <c r="T2544" i="12"/>
  <c r="P2544" i="12"/>
  <c r="R335" i="12"/>
  <c r="R371" i="12"/>
  <c r="R299" i="12"/>
  <c r="R263" i="12"/>
  <c r="Z227" i="12"/>
  <c r="L654" i="12"/>
  <c r="L588" i="12"/>
  <c r="L621" i="12"/>
  <c r="T555" i="12"/>
  <c r="Z1384" i="12"/>
  <c r="L488" i="12"/>
  <c r="L522" i="12"/>
  <c r="L420" i="12"/>
  <c r="L454" i="12"/>
  <c r="T386" i="12"/>
  <c r="Z1615" i="12"/>
  <c r="R2208" i="12"/>
  <c r="R2185" i="12"/>
  <c r="Z2162" i="12"/>
  <c r="AC2628" i="12"/>
  <c r="AC2627" i="12"/>
  <c r="L437" i="12"/>
  <c r="L471" i="12"/>
  <c r="L505" i="12"/>
  <c r="L403" i="12"/>
  <c r="T369" i="12"/>
  <c r="N2162" i="12"/>
  <c r="V2096" i="12"/>
  <c r="R2166" i="12"/>
  <c r="Z2099" i="12"/>
  <c r="R2207" i="12"/>
  <c r="R2184" i="12"/>
  <c r="Z2161" i="12"/>
  <c r="R894" i="12"/>
  <c r="R741" i="12"/>
  <c r="R699" i="12"/>
  <c r="R762" i="12"/>
  <c r="R720" i="12"/>
  <c r="R679" i="12"/>
  <c r="R838" i="12"/>
  <c r="R246" i="12"/>
  <c r="Z678" i="12"/>
  <c r="R2512" i="12"/>
  <c r="R2408" i="12"/>
  <c r="Z2304" i="12"/>
  <c r="Z1058" i="12"/>
  <c r="R2305" i="12" l="1"/>
  <c r="Z1424" i="12"/>
  <c r="R1426" i="12"/>
  <c r="R1406" i="12"/>
  <c r="R1446" i="12"/>
  <c r="R1466" i="12"/>
  <c r="Z1466" i="12" s="1"/>
  <c r="R1036" i="12"/>
  <c r="R1060" i="12"/>
  <c r="T1601" i="12"/>
  <c r="R1148" i="12"/>
  <c r="Z1148" i="12" s="1"/>
  <c r="R1012" i="12"/>
  <c r="Z541" i="12"/>
  <c r="Z2623" i="12"/>
  <c r="Z964" i="12"/>
  <c r="R1892" i="12"/>
  <c r="R640" i="12"/>
  <c r="R229" i="12"/>
  <c r="R574" i="12"/>
  <c r="R543" i="12"/>
  <c r="R607" i="12"/>
  <c r="Z607" i="12" s="1"/>
  <c r="R988" i="12"/>
  <c r="Z988" i="12" s="1"/>
  <c r="R1102" i="12"/>
  <c r="R1080" i="12"/>
  <c r="R1124" i="12"/>
  <c r="Z1124" i="12" s="1"/>
  <c r="Z1406" i="12"/>
  <c r="Z1635" i="12"/>
  <c r="Z699" i="12"/>
  <c r="Z2208" i="12"/>
  <c r="T420" i="12"/>
  <c r="V2490" i="12"/>
  <c r="Z2512" i="12"/>
  <c r="Z741" i="12"/>
  <c r="T505" i="12"/>
  <c r="Z1619" i="12"/>
  <c r="T522" i="12"/>
  <c r="T621" i="12"/>
  <c r="T521" i="12"/>
  <c r="Z2188" i="12"/>
  <c r="X2358" i="12"/>
  <c r="Z2185" i="12"/>
  <c r="T419" i="12"/>
  <c r="Z2408" i="12"/>
  <c r="T403" i="12"/>
  <c r="Z1036" i="12"/>
  <c r="Z1446" i="12"/>
  <c r="Z335" i="12"/>
  <c r="T487" i="12"/>
  <c r="T471" i="12"/>
  <c r="T488" i="12"/>
  <c r="T588" i="12"/>
  <c r="T453" i="12"/>
  <c r="Z2211" i="12"/>
  <c r="Z2407" i="12"/>
  <c r="X2462" i="12"/>
  <c r="L1854" i="12"/>
  <c r="T437" i="12"/>
  <c r="Z1012" i="12"/>
  <c r="T654" i="12"/>
  <c r="Z2511" i="12"/>
  <c r="X1818" i="12"/>
  <c r="T1810" i="12"/>
  <c r="AB1819" i="12" s="1"/>
  <c r="AC1840" i="12"/>
  <c r="Z720" i="12"/>
  <c r="T454" i="12"/>
  <c r="V2386" i="12"/>
  <c r="Z1653" i="12"/>
  <c r="Z982" i="12"/>
  <c r="Z640" i="12"/>
  <c r="V2389" i="12"/>
  <c r="AC1851" i="12"/>
  <c r="Z1102" i="12"/>
  <c r="Z2184" i="12"/>
  <c r="Z1892" i="12"/>
  <c r="X2544" i="12"/>
  <c r="Z2187" i="12"/>
  <c r="T2390" i="12"/>
  <c r="Z1080" i="12"/>
  <c r="Z2207" i="12"/>
  <c r="Z1394" i="12"/>
  <c r="Z574" i="12"/>
  <c r="Z263" i="12"/>
  <c r="V2493" i="12"/>
  <c r="Z2210" i="12"/>
  <c r="N2494" i="12"/>
  <c r="N2491" i="12"/>
  <c r="V2283" i="12"/>
  <c r="N2387" i="12"/>
  <c r="Z1426" i="12"/>
  <c r="Z299" i="12"/>
  <c r="T1855" i="12"/>
  <c r="AC1824" i="12"/>
  <c r="AC1823" i="12"/>
  <c r="X1374" i="12"/>
  <c r="T2494" i="12"/>
  <c r="V2286" i="12"/>
  <c r="N2390" i="12"/>
  <c r="R2189" i="12"/>
  <c r="R2212" i="12"/>
  <c r="Z2166" i="12"/>
  <c r="R1126" i="12"/>
  <c r="R1104" i="12"/>
  <c r="Z1060" i="12"/>
  <c r="R507" i="12"/>
  <c r="R473" i="12"/>
  <c r="R439" i="12"/>
  <c r="R405" i="12"/>
  <c r="Z371" i="12"/>
  <c r="L2629" i="12"/>
  <c r="V2629" i="12"/>
  <c r="L2628" i="12"/>
  <c r="V2628" i="12"/>
  <c r="R282" i="12"/>
  <c r="R318" i="12"/>
  <c r="R354" i="12"/>
  <c r="R390" i="12"/>
  <c r="Z246" i="12"/>
  <c r="R948" i="12"/>
  <c r="R930" i="12"/>
  <c r="R912" i="12"/>
  <c r="R559" i="12"/>
  <c r="Z894" i="12"/>
  <c r="R2513" i="12"/>
  <c r="R2409" i="12"/>
  <c r="Z2305" i="12"/>
  <c r="L2627" i="12"/>
  <c r="V2627" i="12"/>
  <c r="R781" i="12"/>
  <c r="R800" i="12"/>
  <c r="R819" i="12"/>
  <c r="Z762" i="12"/>
  <c r="AC975" i="12"/>
  <c r="T982" i="12"/>
  <c r="V982" i="12"/>
  <c r="R857" i="12"/>
  <c r="R876" i="12"/>
  <c r="Z838" i="12"/>
  <c r="L2630" i="12"/>
  <c r="V2630" i="12"/>
  <c r="R839" i="12"/>
  <c r="R763" i="12"/>
  <c r="R742" i="12"/>
  <c r="R721" i="12"/>
  <c r="R700" i="12"/>
  <c r="R895" i="12"/>
  <c r="R247" i="12"/>
  <c r="Z679" i="12"/>
  <c r="N2185" i="12"/>
  <c r="N2208" i="12"/>
  <c r="V2162" i="12"/>
  <c r="AB2634" i="12"/>
  <c r="Z543" i="12" l="1"/>
  <c r="R576" i="12"/>
  <c r="R301" i="12"/>
  <c r="V1619" i="12"/>
  <c r="R609" i="12"/>
  <c r="AC1614" i="12"/>
  <c r="R642" i="12"/>
  <c r="T1619" i="12"/>
  <c r="Z229" i="12"/>
  <c r="R337" i="12"/>
  <c r="R265" i="12"/>
  <c r="R373" i="12"/>
  <c r="Z1076" i="12"/>
  <c r="AC1076" i="12" s="1"/>
  <c r="R1082" i="12"/>
  <c r="AC2613" i="12"/>
  <c r="V2623" i="12"/>
  <c r="T2623" i="12"/>
  <c r="Z552" i="12"/>
  <c r="Z2513" i="12"/>
  <c r="Z318" i="12"/>
  <c r="N2629" i="12"/>
  <c r="Z1006" i="12"/>
  <c r="Z857" i="12"/>
  <c r="Z800" i="12"/>
  <c r="V2390" i="12"/>
  <c r="Z576" i="12"/>
  <c r="Z282" i="12"/>
  <c r="Z1082" i="12"/>
  <c r="L1855" i="12"/>
  <c r="V1855" i="12"/>
  <c r="Z642" i="12"/>
  <c r="Z690" i="12"/>
  <c r="N2630" i="12"/>
  <c r="Z912" i="12"/>
  <c r="Z1104" i="12"/>
  <c r="AC1390" i="12"/>
  <c r="L1870" i="12"/>
  <c r="L1878" i="12"/>
  <c r="P1854" i="12"/>
  <c r="L1862" i="12"/>
  <c r="Z742" i="12"/>
  <c r="Z819" i="12"/>
  <c r="Z354" i="12"/>
  <c r="Z507" i="12"/>
  <c r="V2185" i="12"/>
  <c r="Z609" i="12"/>
  <c r="Z930" i="12"/>
  <c r="N2628" i="12"/>
  <c r="Z1126" i="12"/>
  <c r="V1394" i="12"/>
  <c r="Z1436" i="12"/>
  <c r="V2494" i="12"/>
  <c r="Z1030" i="12"/>
  <c r="Z1639" i="12"/>
  <c r="V2208" i="12"/>
  <c r="T1394" i="12"/>
  <c r="Z1164" i="12"/>
  <c r="Z781" i="12"/>
  <c r="Z238" i="12"/>
  <c r="X982" i="12"/>
  <c r="Z948" i="12"/>
  <c r="Z405" i="12"/>
  <c r="R1982" i="12"/>
  <c r="V2387" i="12"/>
  <c r="Z337" i="12"/>
  <c r="Z1899" i="12"/>
  <c r="Z1476" i="12"/>
  <c r="Z700" i="12"/>
  <c r="R1483" i="12"/>
  <c r="Z439" i="12"/>
  <c r="Z2212" i="12"/>
  <c r="Z1657" i="12"/>
  <c r="Z1456" i="12"/>
  <c r="AC1377" i="12" s="1"/>
  <c r="Z1416" i="12"/>
  <c r="Z721" i="12"/>
  <c r="Z265" i="12"/>
  <c r="Z876" i="12"/>
  <c r="Z2409" i="12"/>
  <c r="Z473" i="12"/>
  <c r="Z2189" i="12"/>
  <c r="V2491" i="12"/>
  <c r="Z301" i="12"/>
  <c r="L1810" i="12"/>
  <c r="V1810" i="12"/>
  <c r="Z1054" i="12"/>
  <c r="X2630" i="12"/>
  <c r="X2628" i="12"/>
  <c r="R858" i="12"/>
  <c r="R877" i="12"/>
  <c r="Z839" i="12"/>
  <c r="R475" i="12"/>
  <c r="R441" i="12"/>
  <c r="R526" i="12"/>
  <c r="R458" i="12"/>
  <c r="R492" i="12"/>
  <c r="R424" i="12"/>
  <c r="Z390" i="12"/>
  <c r="P2630" i="12"/>
  <c r="L961" i="12"/>
  <c r="N2627" i="12"/>
  <c r="AC2634" i="12"/>
  <c r="R931" i="12"/>
  <c r="R949" i="12"/>
  <c r="R913" i="12"/>
  <c r="R560" i="12"/>
  <c r="Z895" i="12"/>
  <c r="R658" i="12"/>
  <c r="R625" i="12"/>
  <c r="R592" i="12"/>
  <c r="Z559" i="12"/>
  <c r="X2629" i="12"/>
  <c r="T1604" i="12"/>
  <c r="V690" i="12"/>
  <c r="T690" i="12"/>
  <c r="X2627" i="12"/>
  <c r="R391" i="12"/>
  <c r="R355" i="12"/>
  <c r="R283" i="12"/>
  <c r="R319" i="12"/>
  <c r="Z247" i="12"/>
  <c r="R820" i="12"/>
  <c r="R782" i="12"/>
  <c r="R801" i="12"/>
  <c r="Z763" i="12"/>
  <c r="Z1982" i="12"/>
  <c r="T1378" i="12"/>
  <c r="R509" i="12" l="1"/>
  <c r="X1619" i="12"/>
  <c r="Z373" i="12"/>
  <c r="R407" i="12"/>
  <c r="R2030" i="12"/>
  <c r="R1983" i="12"/>
  <c r="P2628" i="12"/>
  <c r="R1984" i="12"/>
  <c r="AC2616" i="12"/>
  <c r="AC2615" i="12"/>
  <c r="R1485" i="12"/>
  <c r="X2623" i="12"/>
  <c r="T2613" i="12"/>
  <c r="T2614" i="12" s="1"/>
  <c r="P2629" i="12"/>
  <c r="AC1379" i="12"/>
  <c r="AC1380" i="12"/>
  <c r="Z658" i="12"/>
  <c r="R1504" i="12"/>
  <c r="Z475" i="12"/>
  <c r="AC1899" i="12"/>
  <c r="Z458" i="12"/>
  <c r="AC1054" i="12"/>
  <c r="Z711" i="12"/>
  <c r="T1878" i="12"/>
  <c r="N1855" i="12"/>
  <c r="P1855" i="12" s="1"/>
  <c r="Z585" i="12"/>
  <c r="R2078" i="12"/>
  <c r="P961" i="12"/>
  <c r="Z949" i="12"/>
  <c r="R2318" i="12"/>
  <c r="Z526" i="12"/>
  <c r="Z858" i="12"/>
  <c r="X1810" i="12"/>
  <c r="N1810" i="12"/>
  <c r="V1811" i="12"/>
  <c r="T1870" i="12"/>
  <c r="L1863" i="12"/>
  <c r="L1871" i="12"/>
  <c r="L1879" i="12"/>
  <c r="Z310" i="12"/>
  <c r="Z2030" i="12"/>
  <c r="Z904" i="12"/>
  <c r="Z424" i="12"/>
  <c r="T1862" i="12"/>
  <c r="Z820" i="12"/>
  <c r="Z877" i="12"/>
  <c r="R2006" i="12"/>
  <c r="Z258" i="12"/>
  <c r="Z931" i="12"/>
  <c r="Z1483" i="12"/>
  <c r="R2593" i="12"/>
  <c r="Z382" i="12"/>
  <c r="L1832" i="12"/>
  <c r="L1821" i="12"/>
  <c r="L1843" i="12"/>
  <c r="P1810" i="12"/>
  <c r="Z274" i="12"/>
  <c r="AC1416" i="12"/>
  <c r="Z346" i="12"/>
  <c r="AC1436" i="12"/>
  <c r="P2627" i="12"/>
  <c r="Z801" i="12"/>
  <c r="V1657" i="12"/>
  <c r="AC1653" i="12"/>
  <c r="T1657" i="12"/>
  <c r="R1905" i="12"/>
  <c r="R1523" i="12"/>
  <c r="Z618" i="12"/>
  <c r="Z913" i="12"/>
  <c r="R2054" i="12"/>
  <c r="Z319" i="12"/>
  <c r="Z592" i="12"/>
  <c r="Z407" i="12"/>
  <c r="T1380" i="12"/>
  <c r="AC969" i="12"/>
  <c r="Z283" i="12"/>
  <c r="Z625" i="12"/>
  <c r="R1484" i="12"/>
  <c r="Z441" i="12"/>
  <c r="Z732" i="12"/>
  <c r="AC1456" i="12"/>
  <c r="X1394" i="12"/>
  <c r="AC1639" i="12"/>
  <c r="AC1605" i="12"/>
  <c r="Z1098" i="12"/>
  <c r="Z509" i="12"/>
  <c r="AC1030" i="12"/>
  <c r="Z1142" i="12"/>
  <c r="Z753" i="12"/>
  <c r="Z1120" i="12"/>
  <c r="AC1006" i="12"/>
  <c r="Z355" i="12"/>
  <c r="Z651" i="12"/>
  <c r="Z782" i="12"/>
  <c r="R1542" i="12"/>
  <c r="Z492" i="12"/>
  <c r="Z848" i="12"/>
  <c r="P1870" i="12"/>
  <c r="P1862" i="12"/>
  <c r="P1878" i="12"/>
  <c r="X1855" i="12"/>
  <c r="AC679" i="12"/>
  <c r="AD2634" i="12"/>
  <c r="T1379" i="12"/>
  <c r="Z772" i="12"/>
  <c r="R1985" i="12"/>
  <c r="R2055" i="12"/>
  <c r="R2031" i="12"/>
  <c r="R2007" i="12"/>
  <c r="R2079" i="12"/>
  <c r="Z1983" i="12"/>
  <c r="R2144" i="12"/>
  <c r="T673" i="12"/>
  <c r="R659" i="12"/>
  <c r="R626" i="12"/>
  <c r="R593" i="12"/>
  <c r="Z560" i="12"/>
  <c r="R1544" i="12"/>
  <c r="R2526" i="12"/>
  <c r="R2422" i="12"/>
  <c r="Z2318" i="12"/>
  <c r="L1889" i="12"/>
  <c r="L1033" i="12"/>
  <c r="L1145" i="12"/>
  <c r="L1009" i="12"/>
  <c r="L962" i="12"/>
  <c r="L964" i="12"/>
  <c r="L1057" i="12"/>
  <c r="L985" i="12"/>
  <c r="L963" i="12"/>
  <c r="L540" i="12"/>
  <c r="L226" i="12"/>
  <c r="T961" i="12"/>
  <c r="R2008" i="12"/>
  <c r="AC238" i="12"/>
  <c r="P1145" i="12"/>
  <c r="X690" i="12"/>
  <c r="T1605" i="12"/>
  <c r="R527" i="12"/>
  <c r="R493" i="12"/>
  <c r="R425" i="12"/>
  <c r="R459" i="12"/>
  <c r="Z391" i="12"/>
  <c r="R1543" i="12"/>
  <c r="R2080" i="12" l="1"/>
  <c r="R2032" i="12"/>
  <c r="Z1984" i="12"/>
  <c r="R2122" i="12"/>
  <c r="R2056" i="12"/>
  <c r="P1057" i="12"/>
  <c r="AC672" i="12"/>
  <c r="R2320" i="12"/>
  <c r="X961" i="12"/>
  <c r="P1009" i="12"/>
  <c r="R2595" i="12"/>
  <c r="R1907" i="12"/>
  <c r="Z1907" i="12" s="1"/>
  <c r="P226" i="12"/>
  <c r="Z1485" i="12"/>
  <c r="AC971" i="12"/>
  <c r="P540" i="12"/>
  <c r="P1889" i="12"/>
  <c r="N961" i="12"/>
  <c r="R1506" i="12"/>
  <c r="Z1506" i="12" s="1"/>
  <c r="AC972" i="12"/>
  <c r="AE675" i="12" s="1"/>
  <c r="P962" i="12"/>
  <c r="P963" i="12"/>
  <c r="R1525" i="12"/>
  <c r="Z2078" i="12"/>
  <c r="P985" i="12"/>
  <c r="P1033" i="12"/>
  <c r="X1033" i="12" s="1"/>
  <c r="R1486" i="12"/>
  <c r="R2100" i="12"/>
  <c r="L2614" i="12"/>
  <c r="V2614" i="12"/>
  <c r="X2614" i="12"/>
  <c r="R1906" i="12"/>
  <c r="Z1906" i="12" s="1"/>
  <c r="Z1542" i="12"/>
  <c r="R2594" i="12"/>
  <c r="Z2594" i="12" s="1"/>
  <c r="R2319" i="12"/>
  <c r="R1586" i="12"/>
  <c r="Z1586" i="12" s="1"/>
  <c r="L1380" i="12"/>
  <c r="Z1484" i="12"/>
  <c r="L2613" i="12"/>
  <c r="T2615" i="12"/>
  <c r="AB2624" i="12"/>
  <c r="R1505" i="12"/>
  <c r="R1524" i="12"/>
  <c r="Z1524" i="12" s="1"/>
  <c r="Z569" i="12"/>
  <c r="R1564" i="12"/>
  <c r="Z1564" i="12" s="1"/>
  <c r="AC772" i="12"/>
  <c r="AC1098" i="12"/>
  <c r="Z459" i="12"/>
  <c r="Z2008" i="12"/>
  <c r="T985" i="12"/>
  <c r="Z2144" i="12"/>
  <c r="Z2055" i="12"/>
  <c r="X1862" i="12"/>
  <c r="AC1608" i="12"/>
  <c r="AC1607" i="12"/>
  <c r="Z2006" i="12"/>
  <c r="P1879" i="12"/>
  <c r="P1871" i="12"/>
  <c r="P1863" i="12"/>
  <c r="N1843" i="12"/>
  <c r="N1832" i="12"/>
  <c r="N1821" i="12"/>
  <c r="N1863" i="12"/>
  <c r="N1871" i="12"/>
  <c r="N1879" i="12"/>
  <c r="Z484" i="12"/>
  <c r="X1878" i="12"/>
  <c r="Z1505" i="12"/>
  <c r="Z425" i="12"/>
  <c r="X1145" i="12"/>
  <c r="Z2032" i="12"/>
  <c r="Z2422" i="12"/>
  <c r="Z2122" i="12"/>
  <c r="AE2634" i="12"/>
  <c r="X1870" i="12"/>
  <c r="AC1120" i="12"/>
  <c r="Z294" i="12"/>
  <c r="X1657" i="12"/>
  <c r="T1871" i="12"/>
  <c r="Z1504" i="12"/>
  <c r="Z400" i="12"/>
  <c r="Z2056" i="12"/>
  <c r="V1812" i="12"/>
  <c r="N1811" i="12"/>
  <c r="X1811" i="12"/>
  <c r="X985" i="12"/>
  <c r="Z2526" i="12"/>
  <c r="Z2595" i="12"/>
  <c r="Z450" i="12"/>
  <c r="Z2593" i="12"/>
  <c r="Z886" i="12"/>
  <c r="AC904" i="12"/>
  <c r="T1863" i="12"/>
  <c r="Z958" i="12"/>
  <c r="Z2031" i="12"/>
  <c r="AC732" i="12"/>
  <c r="Z493" i="12"/>
  <c r="Z527" i="12"/>
  <c r="T674" i="12"/>
  <c r="Z366" i="12"/>
  <c r="AC753" i="12"/>
  <c r="Z518" i="12"/>
  <c r="Z330" i="12"/>
  <c r="Z1523" i="12"/>
  <c r="P1832" i="12"/>
  <c r="P1821" i="12"/>
  <c r="P1843" i="12"/>
  <c r="Z659" i="12"/>
  <c r="Z791" i="12"/>
  <c r="X1009" i="12"/>
  <c r="T1009" i="12"/>
  <c r="AC848" i="12"/>
  <c r="Z2054" i="12"/>
  <c r="T1843" i="12"/>
  <c r="Z829" i="12"/>
  <c r="T1889" i="12"/>
  <c r="T1879" i="12"/>
  <c r="T1613" i="12"/>
  <c r="T1145" i="12"/>
  <c r="Z1525" i="12"/>
  <c r="Z593" i="12"/>
  <c r="AC1142" i="12"/>
  <c r="T1821" i="12"/>
  <c r="Z940" i="12"/>
  <c r="Z867" i="12"/>
  <c r="Z416" i="12"/>
  <c r="X1889" i="12"/>
  <c r="T1033" i="12"/>
  <c r="Z626" i="12"/>
  <c r="Z2007" i="12"/>
  <c r="AC258" i="12"/>
  <c r="Z922" i="12"/>
  <c r="Z1905" i="12"/>
  <c r="Z810" i="12"/>
  <c r="T1832" i="12"/>
  <c r="V1813" i="12"/>
  <c r="AC711" i="12"/>
  <c r="T1606" i="12"/>
  <c r="AB1395" i="12"/>
  <c r="V1379" i="12"/>
  <c r="V1380" i="12"/>
  <c r="L1379" i="12"/>
  <c r="L2300" i="12" s="1"/>
  <c r="T675" i="12"/>
  <c r="T677" i="12" s="1"/>
  <c r="R2167" i="12"/>
  <c r="Z2100" i="12"/>
  <c r="R2124" i="12"/>
  <c r="R2102" i="12"/>
  <c r="R2146" i="12"/>
  <c r="Z2080" i="12"/>
  <c r="L1892" i="12"/>
  <c r="L1060" i="12"/>
  <c r="L988" i="12"/>
  <c r="L1148" i="12"/>
  <c r="L1036" i="12"/>
  <c r="L1012" i="12"/>
  <c r="L543" i="12"/>
  <c r="L229" i="12"/>
  <c r="T964" i="12"/>
  <c r="P1101" i="12"/>
  <c r="X1057" i="12"/>
  <c r="N1889" i="12"/>
  <c r="N1145" i="12"/>
  <c r="N1009" i="12"/>
  <c r="N1033" i="12"/>
  <c r="N985" i="12"/>
  <c r="N1057" i="12"/>
  <c r="N540" i="12"/>
  <c r="N226" i="12"/>
  <c r="V961" i="12"/>
  <c r="L1123" i="12"/>
  <c r="L1079" i="12"/>
  <c r="L1101" i="12"/>
  <c r="T1057" i="12"/>
  <c r="P1890" i="12"/>
  <c r="P1034" i="12"/>
  <c r="P1146" i="12"/>
  <c r="P1010" i="12"/>
  <c r="P986" i="12"/>
  <c r="P1058" i="12"/>
  <c r="P541" i="12"/>
  <c r="P227" i="12"/>
  <c r="X962" i="12"/>
  <c r="R2145" i="12"/>
  <c r="R2101" i="12"/>
  <c r="R2123" i="12"/>
  <c r="Z2079" i="12"/>
  <c r="R2527" i="12"/>
  <c r="R2423" i="12"/>
  <c r="Z2319" i="12"/>
  <c r="P1059" i="12"/>
  <c r="P542" i="12"/>
  <c r="X963" i="12"/>
  <c r="L370" i="12"/>
  <c r="L298" i="12"/>
  <c r="L262" i="12"/>
  <c r="L334" i="12"/>
  <c r="T226" i="12"/>
  <c r="L639" i="12"/>
  <c r="L606" i="12"/>
  <c r="L573" i="12"/>
  <c r="T540" i="12"/>
  <c r="Z1486" i="12"/>
  <c r="L1402" i="12"/>
  <c r="L2558" i="12"/>
  <c r="AC675" i="12"/>
  <c r="AC674" i="12"/>
  <c r="R1587" i="12"/>
  <c r="R1565" i="12"/>
  <c r="Z1543" i="12"/>
  <c r="L1401" i="12"/>
  <c r="P262" i="12"/>
  <c r="P334" i="12"/>
  <c r="P370" i="12"/>
  <c r="P298" i="12"/>
  <c r="X226" i="12"/>
  <c r="L1890" i="12"/>
  <c r="L1146" i="12"/>
  <c r="L1034" i="12"/>
  <c r="L1010" i="12"/>
  <c r="L1058" i="12"/>
  <c r="L986" i="12"/>
  <c r="L541" i="12"/>
  <c r="L227" i="12"/>
  <c r="T962" i="12"/>
  <c r="N962" i="12"/>
  <c r="L1891" i="12"/>
  <c r="L1035" i="12"/>
  <c r="L1059" i="12"/>
  <c r="L987" i="12"/>
  <c r="L1011" i="12"/>
  <c r="L1147" i="12"/>
  <c r="L542" i="12"/>
  <c r="L228" i="12"/>
  <c r="T963" i="12"/>
  <c r="R1588" i="12"/>
  <c r="R1566" i="12"/>
  <c r="Z1544" i="12"/>
  <c r="R2057" i="12"/>
  <c r="R2009" i="12"/>
  <c r="R2033" i="12"/>
  <c r="R2081" i="12"/>
  <c r="Z1985" i="12"/>
  <c r="L1462" i="12" l="1"/>
  <c r="P228" i="12"/>
  <c r="P1891" i="12"/>
  <c r="P1123" i="12"/>
  <c r="L1442" i="12"/>
  <c r="P964" i="12"/>
  <c r="P1079" i="12"/>
  <c r="Z2320" i="12"/>
  <c r="L1422" i="12"/>
  <c r="P1011" i="12"/>
  <c r="R2424" i="12"/>
  <c r="N963" i="12"/>
  <c r="L2236" i="12"/>
  <c r="L2301" i="12"/>
  <c r="P987" i="12"/>
  <c r="R2528" i="12"/>
  <c r="Z2528" i="12" s="1"/>
  <c r="P1035" i="12"/>
  <c r="AC552" i="12"/>
  <c r="L1949" i="12"/>
  <c r="AC569" i="12"/>
  <c r="N1380" i="12"/>
  <c r="P1147" i="12"/>
  <c r="X1147" i="12" s="1"/>
  <c r="X540" i="12"/>
  <c r="R1507" i="12"/>
  <c r="V1383" i="12"/>
  <c r="R1526" i="12"/>
  <c r="R1545" i="12"/>
  <c r="R1908" i="12"/>
  <c r="Z1908" i="12" s="1"/>
  <c r="R2321" i="12"/>
  <c r="P639" i="12"/>
  <c r="R2596" i="12"/>
  <c r="P573" i="12"/>
  <c r="T1607" i="12"/>
  <c r="P606" i="12"/>
  <c r="X606" i="12" s="1"/>
  <c r="L2615" i="12"/>
  <c r="P2613" i="12"/>
  <c r="N2614" i="12"/>
  <c r="V2615" i="12"/>
  <c r="V2616" i="12"/>
  <c r="L1461" i="12"/>
  <c r="T1461" i="12" s="1"/>
  <c r="L2557" i="12"/>
  <c r="Z1495" i="12"/>
  <c r="T1035" i="12"/>
  <c r="Z1526" i="12"/>
  <c r="X1035" i="12"/>
  <c r="Z2009" i="12"/>
  <c r="X1146" i="12"/>
  <c r="V1889" i="12"/>
  <c r="AC867" i="12"/>
  <c r="X1034" i="12"/>
  <c r="T1851" i="12"/>
  <c r="AC366" i="12"/>
  <c r="AC346" i="12"/>
  <c r="T1147" i="12"/>
  <c r="T986" i="12"/>
  <c r="Z2596" i="12"/>
  <c r="X1890" i="12"/>
  <c r="X639" i="12"/>
  <c r="T1840" i="12"/>
  <c r="AC958" i="12"/>
  <c r="N1844" i="12"/>
  <c r="N1812" i="12"/>
  <c r="N1822" i="12"/>
  <c r="P1811" i="12"/>
  <c r="N1833" i="12"/>
  <c r="V1832" i="12"/>
  <c r="X1383" i="12"/>
  <c r="T298" i="12"/>
  <c r="T1422" i="12"/>
  <c r="T1079" i="12"/>
  <c r="X1380" i="12"/>
  <c r="Z2057" i="12"/>
  <c r="T1123" i="12"/>
  <c r="V1821" i="12"/>
  <c r="Z1566" i="12"/>
  <c r="T1011" i="12"/>
  <c r="X334" i="12"/>
  <c r="X573" i="12"/>
  <c r="X1123" i="12"/>
  <c r="Z2146" i="12"/>
  <c r="Z2424" i="12"/>
  <c r="X1379" i="12"/>
  <c r="AC940" i="12"/>
  <c r="AC330" i="12"/>
  <c r="AC310" i="12"/>
  <c r="V1843" i="12"/>
  <c r="T639" i="12"/>
  <c r="T682" i="12"/>
  <c r="X298" i="12"/>
  <c r="X1891" i="12"/>
  <c r="Z536" i="12"/>
  <c r="Z1588" i="12"/>
  <c r="T987" i="12"/>
  <c r="T1010" i="12"/>
  <c r="X262" i="12"/>
  <c r="Z1565" i="12"/>
  <c r="T573" i="12"/>
  <c r="T334" i="12"/>
  <c r="X1011" i="12"/>
  <c r="Z2423" i="12"/>
  <c r="V985" i="12"/>
  <c r="X1101" i="12"/>
  <c r="T1012" i="12"/>
  <c r="L1441" i="12"/>
  <c r="AC810" i="12"/>
  <c r="X1843" i="12"/>
  <c r="AC686" i="12"/>
  <c r="X1812" i="12"/>
  <c r="T1875" i="12"/>
  <c r="Z434" i="12"/>
  <c r="Z468" i="12"/>
  <c r="T1402" i="12"/>
  <c r="V1814" i="12"/>
  <c r="AC1819" i="12" s="1"/>
  <c r="N1813" i="12"/>
  <c r="X1813" i="12"/>
  <c r="Z2145" i="12"/>
  <c r="T1892" i="12"/>
  <c r="T1883" i="12"/>
  <c r="Z668" i="12"/>
  <c r="T1034" i="12"/>
  <c r="V1384" i="12"/>
  <c r="Z1587" i="12"/>
  <c r="T1462" i="12"/>
  <c r="Z1507" i="12"/>
  <c r="T606" i="12"/>
  <c r="T262" i="12"/>
  <c r="X987" i="12"/>
  <c r="Z2527" i="12"/>
  <c r="V1033" i="12"/>
  <c r="X1079" i="12"/>
  <c r="T1036" i="12"/>
  <c r="Z2124" i="12"/>
  <c r="AC382" i="12"/>
  <c r="T1608" i="12"/>
  <c r="Z635" i="12"/>
  <c r="T1829" i="12"/>
  <c r="X1821" i="12"/>
  <c r="Z502" i="12"/>
  <c r="T1867" i="12"/>
  <c r="V1879" i="12"/>
  <c r="X1863" i="12"/>
  <c r="T1146" i="12"/>
  <c r="T1148" i="12"/>
  <c r="V1871" i="12"/>
  <c r="X1871" i="12"/>
  <c r="X986" i="12"/>
  <c r="V1009" i="12"/>
  <c r="X1832" i="12"/>
  <c r="Z2033" i="12"/>
  <c r="T1891" i="12"/>
  <c r="T1890" i="12"/>
  <c r="T1401" i="12"/>
  <c r="T1442" i="12"/>
  <c r="Z2123" i="12"/>
  <c r="X1010" i="12"/>
  <c r="T1101" i="12"/>
  <c r="V1145" i="12"/>
  <c r="T988" i="12"/>
  <c r="AC400" i="12"/>
  <c r="AC922" i="12"/>
  <c r="Z602" i="12"/>
  <c r="AC829" i="12"/>
  <c r="AC791" i="12"/>
  <c r="V1863" i="12"/>
  <c r="X1879" i="12"/>
  <c r="AC274" i="12"/>
  <c r="AC294" i="12"/>
  <c r="V1382" i="12"/>
  <c r="T1610" i="12"/>
  <c r="L2235" i="12"/>
  <c r="L1948" i="12"/>
  <c r="T1614" i="12"/>
  <c r="N1379" i="12"/>
  <c r="N1381" i="12"/>
  <c r="N2302" i="12" s="1"/>
  <c r="L1421" i="12"/>
  <c r="AB983" i="12"/>
  <c r="V1381" i="12"/>
  <c r="T676" i="12"/>
  <c r="L640" i="12"/>
  <c r="L607" i="12"/>
  <c r="L574" i="12"/>
  <c r="T541" i="12"/>
  <c r="L1124" i="12"/>
  <c r="L1080" i="12"/>
  <c r="L1102" i="12"/>
  <c r="T1058" i="12"/>
  <c r="P472" i="12"/>
  <c r="P506" i="12"/>
  <c r="P404" i="12"/>
  <c r="P438" i="12"/>
  <c r="X370" i="12"/>
  <c r="P372" i="12"/>
  <c r="P300" i="12"/>
  <c r="P264" i="12"/>
  <c r="P336" i="12"/>
  <c r="X228" i="12"/>
  <c r="R2168" i="12"/>
  <c r="Z2101" i="12"/>
  <c r="N1891" i="12"/>
  <c r="N1059" i="12"/>
  <c r="N1035" i="12"/>
  <c r="N987" i="12"/>
  <c r="N1011" i="12"/>
  <c r="N1147" i="12"/>
  <c r="N542" i="12"/>
  <c r="N228" i="12"/>
  <c r="V963" i="12"/>
  <c r="L2508" i="12"/>
  <c r="L2404" i="12"/>
  <c r="T2300" i="12"/>
  <c r="R1567" i="12"/>
  <c r="R1589" i="12"/>
  <c r="Z1545" i="12"/>
  <c r="P641" i="12"/>
  <c r="P608" i="12"/>
  <c r="P575" i="12"/>
  <c r="X542" i="12"/>
  <c r="L373" i="12"/>
  <c r="L301" i="12"/>
  <c r="L265" i="12"/>
  <c r="L337" i="12"/>
  <c r="T229" i="12"/>
  <c r="T1609" i="12"/>
  <c r="L264" i="12"/>
  <c r="L336" i="12"/>
  <c r="L372" i="12"/>
  <c r="L300" i="12"/>
  <c r="T228" i="12"/>
  <c r="L2339" i="12"/>
  <c r="L2444" i="12"/>
  <c r="L2340" i="12"/>
  <c r="T2236" i="12"/>
  <c r="L2258" i="12"/>
  <c r="N2236" i="12"/>
  <c r="L2242" i="12"/>
  <c r="L2239" i="12"/>
  <c r="P1892" i="12"/>
  <c r="P1012" i="12"/>
  <c r="X964" i="12"/>
  <c r="L642" i="12"/>
  <c r="L576" i="12"/>
  <c r="L609" i="12"/>
  <c r="T543" i="12"/>
  <c r="L641" i="12"/>
  <c r="L575" i="12"/>
  <c r="L608" i="12"/>
  <c r="T542" i="12"/>
  <c r="N1890" i="12"/>
  <c r="N1058" i="12"/>
  <c r="N1034" i="12"/>
  <c r="N1146" i="12"/>
  <c r="N1010" i="12"/>
  <c r="N986" i="12"/>
  <c r="N541" i="12"/>
  <c r="N227" i="12"/>
  <c r="V962" i="12"/>
  <c r="N1443" i="12"/>
  <c r="N1958" i="12"/>
  <c r="L1952" i="12"/>
  <c r="P263" i="12"/>
  <c r="P335" i="12"/>
  <c r="P371" i="12"/>
  <c r="P299" i="12"/>
  <c r="X227" i="12"/>
  <c r="R2169" i="12"/>
  <c r="Z2102" i="12"/>
  <c r="N2301" i="12"/>
  <c r="N1402" i="12"/>
  <c r="N1442" i="12"/>
  <c r="N1422" i="12"/>
  <c r="N1462" i="12"/>
  <c r="N2558" i="12"/>
  <c r="N1949" i="12"/>
  <c r="P640" i="12"/>
  <c r="P574" i="12"/>
  <c r="P607" i="12"/>
  <c r="X541" i="12"/>
  <c r="R2213" i="12"/>
  <c r="R2190" i="12"/>
  <c r="Z2167" i="12"/>
  <c r="L263" i="12"/>
  <c r="L335" i="12"/>
  <c r="L371" i="12"/>
  <c r="L299" i="12"/>
  <c r="T227" i="12"/>
  <c r="T2558" i="12"/>
  <c r="L2561" i="12"/>
  <c r="L677" i="12"/>
  <c r="L438" i="12"/>
  <c r="L472" i="12"/>
  <c r="L506" i="12"/>
  <c r="L404" i="12"/>
  <c r="T370" i="12"/>
  <c r="P1124" i="12"/>
  <c r="P1080" i="12"/>
  <c r="P1102" i="12"/>
  <c r="X1058" i="12"/>
  <c r="N370" i="12"/>
  <c r="N298" i="12"/>
  <c r="N262" i="12"/>
  <c r="N334" i="12"/>
  <c r="V226" i="12"/>
  <c r="T1495" i="12"/>
  <c r="AC1490" i="12"/>
  <c r="V1495" i="12"/>
  <c r="N606" i="12"/>
  <c r="N639" i="12"/>
  <c r="N573" i="12"/>
  <c r="V540" i="12"/>
  <c r="Z1998" i="12"/>
  <c r="R2147" i="12"/>
  <c r="R2125" i="12"/>
  <c r="R2103" i="12"/>
  <c r="Z2081" i="12"/>
  <c r="L1125" i="12"/>
  <c r="L1081" i="12"/>
  <c r="L1103" i="12"/>
  <c r="T1059" i="12"/>
  <c r="P1103" i="12"/>
  <c r="P1125" i="12"/>
  <c r="P1081" i="12"/>
  <c r="X1059" i="12"/>
  <c r="N1123" i="12"/>
  <c r="N1079" i="12"/>
  <c r="N1101" i="12"/>
  <c r="V1057" i="12"/>
  <c r="L1082" i="12"/>
  <c r="L1104" i="12"/>
  <c r="L1126" i="12"/>
  <c r="T1060" i="12"/>
  <c r="P1036" i="12" l="1"/>
  <c r="Z2321" i="12"/>
  <c r="P229" i="12"/>
  <c r="T2301" i="12"/>
  <c r="R2425" i="12"/>
  <c r="P543" i="12"/>
  <c r="L2509" i="12"/>
  <c r="R2529" i="12"/>
  <c r="P988" i="12"/>
  <c r="L2405" i="12"/>
  <c r="P1060" i="12"/>
  <c r="L2443" i="12"/>
  <c r="N964" i="12"/>
  <c r="P1148" i="12"/>
  <c r="L2560" i="12"/>
  <c r="T2557" i="12"/>
  <c r="L2238" i="12"/>
  <c r="N2235" i="12"/>
  <c r="AB691" i="12"/>
  <c r="L1951" i="12"/>
  <c r="T2235" i="12"/>
  <c r="L2257" i="12"/>
  <c r="N2616" i="12"/>
  <c r="X2616" i="12"/>
  <c r="L2241" i="12"/>
  <c r="V2620" i="12"/>
  <c r="V2617" i="12"/>
  <c r="V2618" i="12"/>
  <c r="X2615" i="12"/>
  <c r="N2615" i="12"/>
  <c r="V2619" i="12"/>
  <c r="AC1395" i="12"/>
  <c r="P2614" i="12"/>
  <c r="T1054" i="12"/>
  <c r="T404" i="12"/>
  <c r="X1103" i="12"/>
  <c r="V298" i="12"/>
  <c r="V1442" i="12"/>
  <c r="T575" i="12"/>
  <c r="T2339" i="12"/>
  <c r="X641" i="12"/>
  <c r="V1891" i="12"/>
  <c r="N1441" i="12"/>
  <c r="N1814" i="12"/>
  <c r="X1814" i="12"/>
  <c r="V1833" i="12"/>
  <c r="AB1860" i="12"/>
  <c r="T299" i="12"/>
  <c r="Z2529" i="12"/>
  <c r="X1867" i="12"/>
  <c r="Z2147" i="12"/>
  <c r="X1495" i="12"/>
  <c r="T472" i="12"/>
  <c r="T335" i="12"/>
  <c r="X640" i="12"/>
  <c r="V1402" i="12"/>
  <c r="X299" i="12"/>
  <c r="V1010" i="12"/>
  <c r="T641" i="12"/>
  <c r="T2405" i="12"/>
  <c r="T2443" i="12"/>
  <c r="T337" i="12"/>
  <c r="Z1557" i="12"/>
  <c r="T1080" i="12"/>
  <c r="L1614" i="12"/>
  <c r="X1381" i="12"/>
  <c r="T1030" i="12"/>
  <c r="X1382" i="12"/>
  <c r="V1883" i="12"/>
  <c r="P1822" i="12"/>
  <c r="P1833" i="12"/>
  <c r="P1844" i="12"/>
  <c r="T1006" i="12"/>
  <c r="X1125" i="12"/>
  <c r="X607" i="12"/>
  <c r="Z2125" i="12"/>
  <c r="X574" i="12"/>
  <c r="X1892" i="12"/>
  <c r="T438" i="12"/>
  <c r="T263" i="12"/>
  <c r="V1146" i="12"/>
  <c r="T265" i="12"/>
  <c r="Z1589" i="12"/>
  <c r="T1124" i="12"/>
  <c r="L676" i="12"/>
  <c r="T1899" i="12"/>
  <c r="AC668" i="12"/>
  <c r="AC651" i="12"/>
  <c r="AC434" i="12"/>
  <c r="AC416" i="12"/>
  <c r="AC536" i="12"/>
  <c r="AC518" i="12"/>
  <c r="AC685" i="12"/>
  <c r="V1822" i="12"/>
  <c r="Z1535" i="12"/>
  <c r="T1082" i="12"/>
  <c r="Z2070" i="12"/>
  <c r="Z2604" i="12"/>
  <c r="X335" i="12"/>
  <c r="V1443" i="12"/>
  <c r="V1034" i="12"/>
  <c r="T609" i="12"/>
  <c r="X988" i="12"/>
  <c r="T300" i="12"/>
  <c r="T301" i="12"/>
  <c r="Z1567" i="12"/>
  <c r="V1147" i="12"/>
  <c r="X438" i="12"/>
  <c r="X1883" i="12"/>
  <c r="Z2046" i="12"/>
  <c r="X1875" i="12"/>
  <c r="X1384" i="12"/>
  <c r="N1823" i="12"/>
  <c r="N1834" i="12"/>
  <c r="N1845" i="12"/>
  <c r="P1812" i="12"/>
  <c r="V262" i="12"/>
  <c r="V1422" i="12"/>
  <c r="T608" i="12"/>
  <c r="T2340" i="12"/>
  <c r="T506" i="12"/>
  <c r="V986" i="12"/>
  <c r="T2444" i="12"/>
  <c r="T1476" i="12"/>
  <c r="T1103" i="12"/>
  <c r="V1123" i="12"/>
  <c r="X1080" i="12"/>
  <c r="Z2190" i="12"/>
  <c r="N1952" i="12"/>
  <c r="N2300" i="12"/>
  <c r="X263" i="12"/>
  <c r="T576" i="12"/>
  <c r="V1011" i="12"/>
  <c r="X336" i="12"/>
  <c r="X404" i="12"/>
  <c r="T574" i="12"/>
  <c r="Z1917" i="12"/>
  <c r="V1844" i="12"/>
  <c r="Z2022" i="12"/>
  <c r="T2509" i="12"/>
  <c r="T1102" i="12"/>
  <c r="N1461" i="12"/>
  <c r="T1126" i="12"/>
  <c r="X1124" i="12"/>
  <c r="P2558" i="12"/>
  <c r="T642" i="12"/>
  <c r="X1148" i="12"/>
  <c r="T336" i="12"/>
  <c r="T2404" i="12"/>
  <c r="V987" i="12"/>
  <c r="X264" i="12"/>
  <c r="X506" i="12"/>
  <c r="T607" i="12"/>
  <c r="T1421" i="12"/>
  <c r="V1867" i="12"/>
  <c r="AC602" i="12"/>
  <c r="AC585" i="12"/>
  <c r="T1416" i="12"/>
  <c r="V1875" i="12"/>
  <c r="AC502" i="12"/>
  <c r="AC484" i="12"/>
  <c r="V639" i="12"/>
  <c r="X1036" i="12"/>
  <c r="X608" i="12"/>
  <c r="AC635" i="12"/>
  <c r="AC618" i="12"/>
  <c r="V606" i="12"/>
  <c r="AD983" i="12"/>
  <c r="V1101" i="12"/>
  <c r="V1079" i="12"/>
  <c r="X1102" i="12"/>
  <c r="T1081" i="12"/>
  <c r="T1125" i="12"/>
  <c r="Z2213" i="12"/>
  <c r="N2557" i="12"/>
  <c r="Z2329" i="12"/>
  <c r="V1890" i="12"/>
  <c r="T1104" i="12"/>
  <c r="X1081" i="12"/>
  <c r="Z2092" i="12"/>
  <c r="V573" i="12"/>
  <c r="V334" i="12"/>
  <c r="V1462" i="12"/>
  <c r="Z2425" i="12"/>
  <c r="X1012" i="12"/>
  <c r="T264" i="12"/>
  <c r="X575" i="12"/>
  <c r="T2508" i="12"/>
  <c r="V1035" i="12"/>
  <c r="X300" i="12"/>
  <c r="X472" i="12"/>
  <c r="T640" i="12"/>
  <c r="T1164" i="12"/>
  <c r="N1423" i="12"/>
  <c r="Z1516" i="12"/>
  <c r="N1846" i="12"/>
  <c r="N1824" i="12"/>
  <c r="N1835" i="12"/>
  <c r="P1813" i="12"/>
  <c r="AC468" i="12"/>
  <c r="AC450" i="12"/>
  <c r="T1441" i="12"/>
  <c r="L760" i="12"/>
  <c r="L697" i="12"/>
  <c r="L739" i="12"/>
  <c r="L836" i="12"/>
  <c r="L874" i="12" s="1"/>
  <c r="L718" i="12"/>
  <c r="V682" i="12"/>
  <c r="N1948" i="12"/>
  <c r="P1948" i="12" s="1"/>
  <c r="N1382" i="12"/>
  <c r="N2303" i="12" s="1"/>
  <c r="T1076" i="12"/>
  <c r="N1401" i="12"/>
  <c r="N1403" i="12"/>
  <c r="N1421" i="12"/>
  <c r="N1383" i="12"/>
  <c r="N1405" i="12" s="1"/>
  <c r="V676" i="12"/>
  <c r="P1381" i="12"/>
  <c r="N1384" i="12"/>
  <c r="V677" i="12"/>
  <c r="N1463" i="12"/>
  <c r="T238" i="12"/>
  <c r="T552" i="12"/>
  <c r="L893" i="12"/>
  <c r="L761" i="12"/>
  <c r="L719" i="12"/>
  <c r="L837" i="12"/>
  <c r="L740" i="12"/>
  <c r="L698" i="12"/>
  <c r="L245" i="12"/>
  <c r="N677" i="12"/>
  <c r="P1126" i="12"/>
  <c r="P1104" i="12"/>
  <c r="P1082" i="12"/>
  <c r="X1060" i="12"/>
  <c r="T2560" i="12"/>
  <c r="L2563" i="12"/>
  <c r="N229" i="12"/>
  <c r="AC1487" i="12"/>
  <c r="L473" i="12"/>
  <c r="L507" i="12"/>
  <c r="L405" i="12"/>
  <c r="L439" i="12"/>
  <c r="T371" i="12"/>
  <c r="R2215" i="12"/>
  <c r="R2192" i="12"/>
  <c r="Z2169" i="12"/>
  <c r="N1446" i="12"/>
  <c r="N1406" i="12"/>
  <c r="P1384" i="12"/>
  <c r="L2450" i="12"/>
  <c r="L2346" i="12"/>
  <c r="T2242" i="12"/>
  <c r="N2242" i="12"/>
  <c r="N336" i="12"/>
  <c r="N372" i="12"/>
  <c r="N300" i="12"/>
  <c r="N264" i="12"/>
  <c r="V228" i="12"/>
  <c r="V2558" i="12"/>
  <c r="N2561" i="12"/>
  <c r="N1960" i="12"/>
  <c r="N1959" i="12"/>
  <c r="N1966" i="12"/>
  <c r="N1963" i="12"/>
  <c r="N1961" i="12"/>
  <c r="N1964" i="12"/>
  <c r="N1965" i="12"/>
  <c r="P1958" i="12"/>
  <c r="N2510" i="12"/>
  <c r="N2406" i="12"/>
  <c r="V2302" i="12"/>
  <c r="N1124" i="12"/>
  <c r="N1080" i="12"/>
  <c r="N1102" i="12"/>
  <c r="V1058" i="12"/>
  <c r="N2444" i="12"/>
  <c r="N2340" i="12"/>
  <c r="V2236" i="12"/>
  <c r="N608" i="12"/>
  <c r="N575" i="12"/>
  <c r="N641" i="12"/>
  <c r="V542" i="12"/>
  <c r="L1609" i="12"/>
  <c r="V1609" i="12"/>
  <c r="V1610" i="12"/>
  <c r="V1614" i="12"/>
  <c r="AB1620" i="12"/>
  <c r="T2561" i="12"/>
  <c r="L2564" i="12"/>
  <c r="L2362" i="12"/>
  <c r="L2466" i="12"/>
  <c r="T2258" i="12"/>
  <c r="N2258" i="12"/>
  <c r="L2261" i="12"/>
  <c r="L2264" i="12"/>
  <c r="L2449" i="12"/>
  <c r="L2345" i="12"/>
  <c r="T2241" i="12"/>
  <c r="N2241" i="12"/>
  <c r="T2329" i="12"/>
  <c r="P440" i="12"/>
  <c r="P474" i="12"/>
  <c r="P508" i="12"/>
  <c r="P406" i="12"/>
  <c r="X372" i="12"/>
  <c r="L1652" i="12"/>
  <c r="L1634" i="12"/>
  <c r="N263" i="12"/>
  <c r="N335" i="12"/>
  <c r="N371" i="12"/>
  <c r="N299" i="12"/>
  <c r="V227" i="12"/>
  <c r="L2446" i="12"/>
  <c r="L2342" i="12"/>
  <c r="T2238" i="12"/>
  <c r="N2238" i="12"/>
  <c r="L508" i="12"/>
  <c r="L440" i="12"/>
  <c r="L474" i="12"/>
  <c r="L406" i="12"/>
  <c r="T372" i="12"/>
  <c r="P1949" i="12"/>
  <c r="N607" i="12"/>
  <c r="N640" i="12"/>
  <c r="N574" i="12"/>
  <c r="V541" i="12"/>
  <c r="P373" i="12"/>
  <c r="P301" i="12"/>
  <c r="P265" i="12"/>
  <c r="P337" i="12"/>
  <c r="X229" i="12"/>
  <c r="N2443" i="12"/>
  <c r="N2339" i="12"/>
  <c r="V2235" i="12"/>
  <c r="L441" i="12"/>
  <c r="L475" i="12"/>
  <c r="L509" i="12"/>
  <c r="L407" i="12"/>
  <c r="T373" i="12"/>
  <c r="L2447" i="12"/>
  <c r="L2343" i="12"/>
  <c r="T2239" i="12"/>
  <c r="N2239" i="12"/>
  <c r="R2170" i="12"/>
  <c r="Z2103" i="12"/>
  <c r="N472" i="12"/>
  <c r="N506" i="12"/>
  <c r="N438" i="12"/>
  <c r="N404" i="12"/>
  <c r="V370" i="12"/>
  <c r="L817" i="12"/>
  <c r="L798" i="12"/>
  <c r="L779" i="12"/>
  <c r="T760" i="12"/>
  <c r="T1479" i="12"/>
  <c r="P507" i="12"/>
  <c r="P439" i="12"/>
  <c r="P473" i="12"/>
  <c r="P405" i="12"/>
  <c r="X371" i="12"/>
  <c r="P1952" i="12"/>
  <c r="P609" i="12"/>
  <c r="R2214" i="12"/>
  <c r="R2191" i="12"/>
  <c r="Z2168" i="12"/>
  <c r="V1998" i="12"/>
  <c r="AC1991" i="12"/>
  <c r="T1998" i="12"/>
  <c r="N2509" i="12"/>
  <c r="N2405" i="12"/>
  <c r="V2301" i="12"/>
  <c r="N1081" i="12"/>
  <c r="N1125" i="12"/>
  <c r="N1103" i="12"/>
  <c r="V1059" i="12"/>
  <c r="N1060" i="12" l="1"/>
  <c r="X543" i="12"/>
  <c r="V964" i="12"/>
  <c r="N1892" i="12"/>
  <c r="N543" i="12"/>
  <c r="P642" i="12"/>
  <c r="P576" i="12"/>
  <c r="N1012" i="12"/>
  <c r="N988" i="12"/>
  <c r="N1148" i="12"/>
  <c r="N1036" i="12"/>
  <c r="N2257" i="12"/>
  <c r="L2263" i="12"/>
  <c r="T2257" i="12"/>
  <c r="L2361" i="12"/>
  <c r="L2465" i="12"/>
  <c r="N1466" i="12"/>
  <c r="N2560" i="12"/>
  <c r="L2260" i="12"/>
  <c r="N2305" i="12"/>
  <c r="T2537" i="12"/>
  <c r="N2304" i="12"/>
  <c r="T1098" i="12"/>
  <c r="T1142" i="12"/>
  <c r="AD1819" i="12"/>
  <c r="N2619" i="12"/>
  <c r="X2619" i="12"/>
  <c r="T346" i="12"/>
  <c r="P2615" i="12"/>
  <c r="P2616" i="12"/>
  <c r="P2557" i="12"/>
  <c r="N1426" i="12"/>
  <c r="V1426" i="12" s="1"/>
  <c r="X2618" i="12"/>
  <c r="N2618" i="12"/>
  <c r="N2617" i="12"/>
  <c r="X2617" i="12"/>
  <c r="AC2624" i="12"/>
  <c r="X2620" i="12"/>
  <c r="N2620" i="12"/>
  <c r="N1404" i="12"/>
  <c r="V1404" i="12" s="1"/>
  <c r="T585" i="12"/>
  <c r="V2300" i="12"/>
  <c r="T836" i="12"/>
  <c r="N2508" i="12"/>
  <c r="V2508" i="12" s="1"/>
  <c r="N2404" i="12"/>
  <c r="V2404" i="12" s="1"/>
  <c r="N1425" i="12"/>
  <c r="V1425" i="12" s="1"/>
  <c r="P1383" i="12"/>
  <c r="T507" i="12"/>
  <c r="X1104" i="12"/>
  <c r="P1423" i="12"/>
  <c r="Z2433" i="12"/>
  <c r="X1822" i="12"/>
  <c r="V299" i="12"/>
  <c r="X1899" i="12"/>
  <c r="P1396" i="12"/>
  <c r="Z2158" i="12"/>
  <c r="Z2191" i="12"/>
  <c r="V2557" i="12"/>
  <c r="V438" i="12"/>
  <c r="Z2114" i="12"/>
  <c r="T407" i="12"/>
  <c r="X337" i="12"/>
  <c r="T440" i="12"/>
  <c r="T2361" i="12"/>
  <c r="V1080" i="12"/>
  <c r="P1961" i="12"/>
  <c r="T874" i="12"/>
  <c r="T2450" i="12"/>
  <c r="T1120" i="12"/>
  <c r="X676" i="12"/>
  <c r="N1951" i="12"/>
  <c r="T697" i="12"/>
  <c r="V1835" i="12"/>
  <c r="X1054" i="12"/>
  <c r="V1823" i="12"/>
  <c r="AC2070" i="12"/>
  <c r="T474" i="12"/>
  <c r="P1443" i="12"/>
  <c r="AC1516" i="12"/>
  <c r="V2405" i="12"/>
  <c r="Z2214" i="12"/>
  <c r="AB1496" i="12"/>
  <c r="V506" i="12"/>
  <c r="T509" i="12"/>
  <c r="X265" i="12"/>
  <c r="T508" i="12"/>
  <c r="V335" i="12"/>
  <c r="T1634" i="12"/>
  <c r="T2466" i="12"/>
  <c r="V641" i="12"/>
  <c r="T2465" i="12"/>
  <c r="V1124" i="12"/>
  <c r="P1963" i="12"/>
  <c r="V264" i="12"/>
  <c r="Z2192" i="12"/>
  <c r="AC983" i="12"/>
  <c r="V1892" i="12"/>
  <c r="T651" i="12"/>
  <c r="N1465" i="12"/>
  <c r="X682" i="12"/>
  <c r="V1824" i="12"/>
  <c r="V1423" i="12"/>
  <c r="AC2022" i="12"/>
  <c r="L892" i="12"/>
  <c r="N676" i="12"/>
  <c r="L244" i="12"/>
  <c r="V1441" i="12"/>
  <c r="V2443" i="12"/>
  <c r="X474" i="12"/>
  <c r="V1148" i="12"/>
  <c r="T739" i="12"/>
  <c r="Z2331" i="12"/>
  <c r="V1845" i="12"/>
  <c r="Z1579" i="12"/>
  <c r="X238" i="12"/>
  <c r="P1964" i="12"/>
  <c r="T2346" i="12"/>
  <c r="V1036" i="12"/>
  <c r="T719" i="12"/>
  <c r="P1824" i="12"/>
  <c r="P1835" i="12"/>
  <c r="P1846" i="12"/>
  <c r="V1834" i="12"/>
  <c r="V2509" i="12"/>
  <c r="X301" i="12"/>
  <c r="V575" i="12"/>
  <c r="P1966" i="12"/>
  <c r="V300" i="12"/>
  <c r="V1421" i="12"/>
  <c r="T718" i="12"/>
  <c r="V1846" i="12"/>
  <c r="X1030" i="12"/>
  <c r="X1164" i="12"/>
  <c r="P1395" i="12"/>
  <c r="X576" i="12"/>
  <c r="V640" i="12"/>
  <c r="P1965" i="12"/>
  <c r="X2558" i="12"/>
  <c r="Z2606" i="12"/>
  <c r="N1836" i="12"/>
  <c r="N1847" i="12"/>
  <c r="N1825" i="12"/>
  <c r="P1814" i="12"/>
  <c r="V404" i="12"/>
  <c r="V607" i="12"/>
  <c r="V1102" i="12"/>
  <c r="X1126" i="12"/>
  <c r="T310" i="12"/>
  <c r="V472" i="12"/>
  <c r="T475" i="12"/>
  <c r="V263" i="12"/>
  <c r="T1652" i="12"/>
  <c r="T779" i="12"/>
  <c r="T441" i="12"/>
  <c r="T2345" i="12"/>
  <c r="V608" i="12"/>
  <c r="V2340" i="12"/>
  <c r="V2406" i="12"/>
  <c r="P1959" i="12"/>
  <c r="V1406" i="12"/>
  <c r="AC1557" i="12"/>
  <c r="V1463" i="12"/>
  <c r="L855" i="12"/>
  <c r="T1456" i="12"/>
  <c r="V1461" i="12"/>
  <c r="AC687" i="12"/>
  <c r="Z2136" i="12"/>
  <c r="V1081" i="12"/>
  <c r="X507" i="12"/>
  <c r="T406" i="12"/>
  <c r="AC1535" i="12"/>
  <c r="P2560" i="12"/>
  <c r="T2362" i="12"/>
  <c r="Z2215" i="12"/>
  <c r="X405" i="12"/>
  <c r="X609" i="12"/>
  <c r="X473" i="12"/>
  <c r="T798" i="12"/>
  <c r="T2343" i="12"/>
  <c r="T2433" i="12"/>
  <c r="T2342" i="12"/>
  <c r="X406" i="12"/>
  <c r="T2449" i="12"/>
  <c r="X1614" i="12"/>
  <c r="V2444" i="12"/>
  <c r="V2510" i="12"/>
  <c r="P1960" i="12"/>
  <c r="V1405" i="12"/>
  <c r="V336" i="12"/>
  <c r="V1446" i="12"/>
  <c r="T439" i="12"/>
  <c r="V1012" i="12"/>
  <c r="X1076" i="12"/>
  <c r="T698" i="12"/>
  <c r="T274" i="12"/>
  <c r="X677" i="12"/>
  <c r="V1403" i="12"/>
  <c r="T618" i="12"/>
  <c r="T1436" i="12"/>
  <c r="X1006" i="12"/>
  <c r="AE1819" i="12"/>
  <c r="X1844" i="12"/>
  <c r="Z2537" i="12"/>
  <c r="X1609" i="12"/>
  <c r="AC2092" i="12"/>
  <c r="X2557" i="12"/>
  <c r="X440" i="12"/>
  <c r="T473" i="12"/>
  <c r="N1464" i="12"/>
  <c r="X552" i="12"/>
  <c r="V1103" i="12"/>
  <c r="V1125" i="12"/>
  <c r="X642" i="12"/>
  <c r="X439" i="12"/>
  <c r="T817" i="12"/>
  <c r="T2447" i="12"/>
  <c r="V2339" i="12"/>
  <c r="V574" i="12"/>
  <c r="T2446" i="12"/>
  <c r="X508" i="12"/>
  <c r="X1610" i="12"/>
  <c r="P2561" i="12"/>
  <c r="N1445" i="12"/>
  <c r="V1466" i="12"/>
  <c r="T405" i="12"/>
  <c r="V988" i="12"/>
  <c r="X1082" i="12"/>
  <c r="T740" i="12"/>
  <c r="V1401" i="12"/>
  <c r="AD1395" i="12"/>
  <c r="AC1917" i="12"/>
  <c r="Z1935" i="12"/>
  <c r="P1845" i="12"/>
  <c r="P1834" i="12"/>
  <c r="P1823" i="12"/>
  <c r="AC2046" i="12"/>
  <c r="Z1601" i="12"/>
  <c r="X1833" i="12"/>
  <c r="P1382" i="12"/>
  <c r="P1424" i="12" s="1"/>
  <c r="N1424" i="12"/>
  <c r="P1403" i="12"/>
  <c r="P1463" i="12"/>
  <c r="N1444" i="12"/>
  <c r="P2302" i="12"/>
  <c r="V679" i="12"/>
  <c r="V685" i="12"/>
  <c r="V678" i="12"/>
  <c r="T382" i="12"/>
  <c r="X1998" i="12"/>
  <c r="L1479" i="12"/>
  <c r="V1479" i="12"/>
  <c r="P441" i="12"/>
  <c r="P475" i="12"/>
  <c r="P509" i="12"/>
  <c r="P407" i="12"/>
  <c r="X373" i="12"/>
  <c r="L2368" i="12"/>
  <c r="L2472" i="12"/>
  <c r="T2264" i="12"/>
  <c r="N2264" i="12"/>
  <c r="T2564" i="12"/>
  <c r="L2567" i="12"/>
  <c r="AC1620" i="12"/>
  <c r="N2465" i="12"/>
  <c r="N2361" i="12"/>
  <c r="V2257" i="12"/>
  <c r="L389" i="12"/>
  <c r="L353" i="12"/>
  <c r="L317" i="12"/>
  <c r="L281" i="12"/>
  <c r="T245" i="12"/>
  <c r="T1977" i="12"/>
  <c r="R2216" i="12"/>
  <c r="R2193" i="12"/>
  <c r="Z2170" i="12"/>
  <c r="L2469" i="12"/>
  <c r="L2365" i="12"/>
  <c r="T2261" i="12"/>
  <c r="N2261" i="12"/>
  <c r="L1627" i="12"/>
  <c r="L1610" i="12"/>
  <c r="L2468" i="12"/>
  <c r="L2364" i="12"/>
  <c r="N2450" i="12"/>
  <c r="N2346" i="12"/>
  <c r="V2242" i="12"/>
  <c r="N2466" i="12"/>
  <c r="N2362" i="12"/>
  <c r="V2258" i="12"/>
  <c r="L2471" i="12"/>
  <c r="L2367" i="12"/>
  <c r="T2263" i="12"/>
  <c r="N2263" i="12"/>
  <c r="V2561" i="12"/>
  <c r="N2564" i="12"/>
  <c r="N2512" i="12"/>
  <c r="N2513" i="12"/>
  <c r="N2409" i="12"/>
  <c r="V2305" i="12"/>
  <c r="V2560" i="12"/>
  <c r="N2563" i="12"/>
  <c r="N2511" i="12"/>
  <c r="N2407" i="12"/>
  <c r="V2303" i="12"/>
  <c r="N507" i="12"/>
  <c r="N439" i="12"/>
  <c r="N405" i="12"/>
  <c r="N473" i="12"/>
  <c r="V371" i="12"/>
  <c r="L875" i="12"/>
  <c r="L856" i="12"/>
  <c r="T837" i="12"/>
  <c r="N2447" i="12"/>
  <c r="N2343" i="12"/>
  <c r="V2239" i="12"/>
  <c r="N2446" i="12"/>
  <c r="N2342" i="12"/>
  <c r="V2238" i="12"/>
  <c r="N2449" i="12"/>
  <c r="N2345" i="12"/>
  <c r="V2241" i="12"/>
  <c r="N1104" i="12"/>
  <c r="N1126" i="12"/>
  <c r="N1082" i="12"/>
  <c r="V1060" i="12"/>
  <c r="P2304" i="12"/>
  <c r="P1465" i="12"/>
  <c r="P1425" i="12"/>
  <c r="P1445" i="12"/>
  <c r="P1405" i="12"/>
  <c r="P2305" i="12"/>
  <c r="P1466" i="12"/>
  <c r="P1446" i="12"/>
  <c r="P1406" i="12"/>
  <c r="P1426" i="12"/>
  <c r="L780" i="12"/>
  <c r="L799" i="12"/>
  <c r="L818" i="12"/>
  <c r="T761" i="12"/>
  <c r="N373" i="12"/>
  <c r="N301" i="12"/>
  <c r="N337" i="12"/>
  <c r="N265" i="12"/>
  <c r="V229" i="12"/>
  <c r="T2563" i="12"/>
  <c r="L2566" i="12"/>
  <c r="L911" i="12"/>
  <c r="L947" i="12"/>
  <c r="L929" i="12"/>
  <c r="L558" i="12"/>
  <c r="T893" i="12"/>
  <c r="N508" i="12"/>
  <c r="N474" i="12"/>
  <c r="N440" i="12"/>
  <c r="N406" i="12"/>
  <c r="V372" i="12"/>
  <c r="P2406" i="12"/>
  <c r="X2302" i="12"/>
  <c r="N642" i="12"/>
  <c r="N576" i="12"/>
  <c r="N609" i="12"/>
  <c r="V543" i="12"/>
  <c r="N893" i="12"/>
  <c r="N719" i="12"/>
  <c r="N740" i="12"/>
  <c r="N698" i="12"/>
  <c r="N837" i="12"/>
  <c r="N761" i="12"/>
  <c r="N245" i="12"/>
  <c r="V2304" i="12" l="1"/>
  <c r="N2408" i="12"/>
  <c r="P2510" i="12"/>
  <c r="T518" i="12"/>
  <c r="N2260" i="12"/>
  <c r="T2260" i="12"/>
  <c r="AD2624" i="12"/>
  <c r="P2617" i="12"/>
  <c r="P2618" i="12"/>
  <c r="P2620" i="12"/>
  <c r="P2619" i="12"/>
  <c r="X678" i="12"/>
  <c r="T484" i="12"/>
  <c r="T416" i="12"/>
  <c r="T848" i="12"/>
  <c r="V1082" i="12"/>
  <c r="V507" i="12"/>
  <c r="X1834" i="12"/>
  <c r="V719" i="12"/>
  <c r="V265" i="12"/>
  <c r="X1426" i="12"/>
  <c r="X1465" i="12"/>
  <c r="V1126" i="12"/>
  <c r="V2447" i="12"/>
  <c r="T2364" i="12"/>
  <c r="X407" i="12"/>
  <c r="X1845" i="12"/>
  <c r="V1445" i="12"/>
  <c r="V1464" i="12"/>
  <c r="V1054" i="12"/>
  <c r="AC1579" i="12"/>
  <c r="V1164" i="12"/>
  <c r="P1951" i="12"/>
  <c r="Z2435" i="12"/>
  <c r="X1424" i="12"/>
  <c r="L1977" i="12"/>
  <c r="V1030" i="12"/>
  <c r="V1465" i="12"/>
  <c r="X2510" i="12"/>
  <c r="V337" i="12"/>
  <c r="X1406" i="12"/>
  <c r="V1104" i="12"/>
  <c r="V2407" i="12"/>
  <c r="V2408" i="12"/>
  <c r="T2367" i="12"/>
  <c r="T2468" i="12"/>
  <c r="T281" i="12"/>
  <c r="X509" i="12"/>
  <c r="V1444" i="12"/>
  <c r="X1098" i="12"/>
  <c r="T1653" i="12"/>
  <c r="P1836" i="12"/>
  <c r="P1847" i="12"/>
  <c r="P1825" i="12"/>
  <c r="X1846" i="12"/>
  <c r="L352" i="12"/>
  <c r="T244" i="12"/>
  <c r="L280" i="12"/>
  <c r="L388" i="12"/>
  <c r="L316" i="12"/>
  <c r="X346" i="12"/>
  <c r="V740" i="12"/>
  <c r="X1425" i="12"/>
  <c r="X382" i="12"/>
  <c r="P2303" i="12"/>
  <c r="X585" i="12"/>
  <c r="V552" i="12"/>
  <c r="V406" i="12"/>
  <c r="T929" i="12"/>
  <c r="V301" i="12"/>
  <c r="X1446" i="12"/>
  <c r="AD1620" i="12"/>
  <c r="T856" i="12"/>
  <c r="V2511" i="12"/>
  <c r="V2512" i="12"/>
  <c r="T2471" i="12"/>
  <c r="T317" i="12"/>
  <c r="X475" i="12"/>
  <c r="X2561" i="12"/>
  <c r="AC2136" i="12"/>
  <c r="T855" i="12"/>
  <c r="X1142" i="12"/>
  <c r="V1825" i="12"/>
  <c r="X1835" i="12"/>
  <c r="N697" i="12"/>
  <c r="N836" i="12"/>
  <c r="N892" i="12"/>
  <c r="N244" i="12"/>
  <c r="N718" i="12"/>
  <c r="N760" i="12"/>
  <c r="N739" i="12"/>
  <c r="V1899" i="12"/>
  <c r="X274" i="12"/>
  <c r="X1423" i="12"/>
  <c r="V2343" i="12"/>
  <c r="V2513" i="12"/>
  <c r="T2469" i="12"/>
  <c r="AC2543" i="12"/>
  <c r="AC2606" i="12"/>
  <c r="V609" i="12"/>
  <c r="V440" i="12"/>
  <c r="T947" i="12"/>
  <c r="X1466" i="12"/>
  <c r="P1609" i="12"/>
  <c r="V2345" i="12"/>
  <c r="T875" i="12"/>
  <c r="P2563" i="12"/>
  <c r="T1627" i="12"/>
  <c r="T353" i="12"/>
  <c r="X441" i="12"/>
  <c r="X1463" i="12"/>
  <c r="AC1601" i="12"/>
  <c r="AE1395" i="12"/>
  <c r="V1006" i="12"/>
  <c r="V1847" i="12"/>
  <c r="X1824" i="12"/>
  <c r="X2406" i="12"/>
  <c r="V2465" i="12"/>
  <c r="T753" i="12"/>
  <c r="X1443" i="12"/>
  <c r="V576" i="12"/>
  <c r="V474" i="12"/>
  <c r="T911" i="12"/>
  <c r="T772" i="12"/>
  <c r="V2449" i="12"/>
  <c r="V2342" i="12"/>
  <c r="V473" i="12"/>
  <c r="V2362" i="12"/>
  <c r="V2346" i="12"/>
  <c r="T450" i="12"/>
  <c r="AC1935" i="12"/>
  <c r="X651" i="12"/>
  <c r="Z2539" i="12"/>
  <c r="AE673" i="12"/>
  <c r="V1836" i="12"/>
  <c r="AC1479" i="12"/>
  <c r="X310" i="12"/>
  <c r="AC2325" i="12"/>
  <c r="AC2231" i="12"/>
  <c r="T892" i="12"/>
  <c r="L928" i="12"/>
  <c r="L910" i="12"/>
  <c r="L946" i="12"/>
  <c r="L557" i="12"/>
  <c r="AE983" i="12"/>
  <c r="T1635" i="12"/>
  <c r="V1829" i="12"/>
  <c r="AC2158" i="12"/>
  <c r="X1120" i="12"/>
  <c r="V238" i="12"/>
  <c r="V2446" i="12"/>
  <c r="X685" i="12"/>
  <c r="X1403" i="12"/>
  <c r="V1851" i="12"/>
  <c r="AC2114" i="12"/>
  <c r="T780" i="12"/>
  <c r="V642" i="12"/>
  <c r="V508" i="12"/>
  <c r="P1444" i="12"/>
  <c r="T818" i="12"/>
  <c r="X1405" i="12"/>
  <c r="V405" i="12"/>
  <c r="V2466" i="12"/>
  <c r="V2450" i="12"/>
  <c r="Z2193" i="12"/>
  <c r="T2472" i="12"/>
  <c r="V698" i="12"/>
  <c r="P1464" i="12"/>
  <c r="T799" i="12"/>
  <c r="X1445" i="12"/>
  <c r="V1076" i="12"/>
  <c r="V439" i="12"/>
  <c r="V2409" i="12"/>
  <c r="T2365" i="12"/>
  <c r="Z2216" i="12"/>
  <c r="V2361" i="12"/>
  <c r="T2368" i="12"/>
  <c r="V1416" i="12"/>
  <c r="V1424" i="12"/>
  <c r="X1823" i="12"/>
  <c r="X618" i="12"/>
  <c r="X2560" i="12"/>
  <c r="T732" i="12"/>
  <c r="T711" i="12"/>
  <c r="T1978" i="12"/>
  <c r="X679" i="12"/>
  <c r="N679" i="12"/>
  <c r="P1404" i="12"/>
  <c r="X1436" i="12"/>
  <c r="AC691" i="12"/>
  <c r="N678" i="12"/>
  <c r="AE1620" i="12"/>
  <c r="L657" i="12"/>
  <c r="L591" i="12"/>
  <c r="L624" i="12"/>
  <c r="T558" i="12"/>
  <c r="L1538" i="12"/>
  <c r="L1901" i="12"/>
  <c r="L1500" i="12"/>
  <c r="L1519" i="12"/>
  <c r="L2275" i="12"/>
  <c r="N1479" i="12"/>
  <c r="V1480" i="12"/>
  <c r="P2513" i="12"/>
  <c r="P2409" i="12"/>
  <c r="X2305" i="12"/>
  <c r="V2563" i="12"/>
  <c r="N2566" i="12"/>
  <c r="P2566" i="12" s="1"/>
  <c r="V2260" i="12"/>
  <c r="N2469" i="12"/>
  <c r="N2365" i="12"/>
  <c r="V2261" i="12"/>
  <c r="N2472" i="12"/>
  <c r="N2368" i="12"/>
  <c r="V2264" i="12"/>
  <c r="N911" i="12"/>
  <c r="N947" i="12"/>
  <c r="N929" i="12"/>
  <c r="N558" i="12"/>
  <c r="V893" i="12"/>
  <c r="N441" i="12"/>
  <c r="N509" i="12"/>
  <c r="N475" i="12"/>
  <c r="N407" i="12"/>
  <c r="V373" i="12"/>
  <c r="T2567" i="12"/>
  <c r="T2566" i="12"/>
  <c r="L2025" i="12"/>
  <c r="N389" i="12"/>
  <c r="N353" i="12"/>
  <c r="N281" i="12"/>
  <c r="N317" i="12"/>
  <c r="V245" i="12"/>
  <c r="V2564" i="12"/>
  <c r="N2567" i="12"/>
  <c r="P1610" i="12"/>
  <c r="N1610" i="12" s="1"/>
  <c r="L525" i="12"/>
  <c r="L491" i="12"/>
  <c r="L457" i="12"/>
  <c r="L423" i="12"/>
  <c r="T389" i="12"/>
  <c r="N780" i="12"/>
  <c r="N818" i="12"/>
  <c r="N799" i="12"/>
  <c r="V761" i="12"/>
  <c r="P2512" i="12"/>
  <c r="P2408" i="12"/>
  <c r="X2304" i="12"/>
  <c r="Z2181" i="12"/>
  <c r="N856" i="12"/>
  <c r="N875" i="12"/>
  <c r="V837" i="12"/>
  <c r="N720" i="12"/>
  <c r="N699" i="12"/>
  <c r="N741" i="12"/>
  <c r="N246" i="12"/>
  <c r="N2471" i="12"/>
  <c r="N2367" i="12"/>
  <c r="V2263" i="12"/>
  <c r="L1628" i="12"/>
  <c r="P2564" i="12"/>
  <c r="X1479" i="12"/>
  <c r="X2303" i="12" l="1"/>
  <c r="N2364" i="12"/>
  <c r="P2407" i="12"/>
  <c r="N2468" i="12"/>
  <c r="P2511" i="12"/>
  <c r="N1609" i="12"/>
  <c r="N1627" i="12" s="1"/>
  <c r="P1614" i="12"/>
  <c r="P1627" i="12"/>
  <c r="AE2624" i="12"/>
  <c r="L2073" i="12"/>
  <c r="L2049" i="12"/>
  <c r="L2001" i="12"/>
  <c r="T2001" i="12" s="1"/>
  <c r="N838" i="12"/>
  <c r="P1977" i="12"/>
  <c r="N894" i="12"/>
  <c r="L1978" i="12"/>
  <c r="AD691" i="12"/>
  <c r="N1628" i="12"/>
  <c r="X2566" i="12"/>
  <c r="X2564" i="12"/>
  <c r="AC2546" i="12"/>
  <c r="AC2545" i="12"/>
  <c r="T867" i="12"/>
  <c r="V699" i="12"/>
  <c r="T525" i="12"/>
  <c r="V509" i="12"/>
  <c r="Z2204" i="12"/>
  <c r="T557" i="12"/>
  <c r="L590" i="12"/>
  <c r="L656" i="12"/>
  <c r="L623" i="12"/>
  <c r="X2563" i="12"/>
  <c r="V718" i="12"/>
  <c r="T388" i="12"/>
  <c r="L456" i="12"/>
  <c r="L524" i="12"/>
  <c r="L490" i="12"/>
  <c r="L422" i="12"/>
  <c r="X1847" i="12"/>
  <c r="V1456" i="12"/>
  <c r="V1476" i="12"/>
  <c r="T258" i="12"/>
  <c r="T491" i="12"/>
  <c r="V651" i="12"/>
  <c r="V281" i="12"/>
  <c r="T2049" i="12"/>
  <c r="V2368" i="12"/>
  <c r="X1404" i="12"/>
  <c r="T1628" i="12"/>
  <c r="N762" i="12"/>
  <c r="V799" i="12"/>
  <c r="V353" i="12"/>
  <c r="V441" i="12"/>
  <c r="V2472" i="12"/>
  <c r="T810" i="12"/>
  <c r="T791" i="12"/>
  <c r="T946" i="12"/>
  <c r="AC2539" i="12"/>
  <c r="V1840" i="12"/>
  <c r="V244" i="12"/>
  <c r="N388" i="12"/>
  <c r="N352" i="12"/>
  <c r="N316" i="12"/>
  <c r="N280" i="12"/>
  <c r="T280" i="12"/>
  <c r="X1836" i="12"/>
  <c r="V741" i="12"/>
  <c r="V317" i="12"/>
  <c r="V2468" i="12"/>
  <c r="N779" i="12"/>
  <c r="N798" i="12"/>
  <c r="N817" i="12"/>
  <c r="V760" i="12"/>
  <c r="V720" i="12"/>
  <c r="V818" i="12"/>
  <c r="X1627" i="12"/>
  <c r="T624" i="12"/>
  <c r="X1464" i="12"/>
  <c r="T829" i="12"/>
  <c r="T910" i="12"/>
  <c r="V585" i="12"/>
  <c r="X450" i="12"/>
  <c r="T886" i="12"/>
  <c r="V892" i="12"/>
  <c r="N557" i="12"/>
  <c r="N928" i="12"/>
  <c r="N946" i="12"/>
  <c r="N910" i="12"/>
  <c r="X518" i="12"/>
  <c r="V346" i="12"/>
  <c r="V2367" i="12"/>
  <c r="V2365" i="12"/>
  <c r="V2566" i="12"/>
  <c r="T1901" i="12"/>
  <c r="T591" i="12"/>
  <c r="T1979" i="12"/>
  <c r="X1444" i="12"/>
  <c r="T928" i="12"/>
  <c r="AC1482" i="12"/>
  <c r="AC1481" i="12"/>
  <c r="N874" i="12"/>
  <c r="N855" i="12"/>
  <c r="V836" i="12"/>
  <c r="T352" i="12"/>
  <c r="X2511" i="12"/>
  <c r="T316" i="12"/>
  <c r="X1825" i="12"/>
  <c r="V780" i="12"/>
  <c r="T400" i="12"/>
  <c r="T657" i="12"/>
  <c r="Z2227" i="12"/>
  <c r="AC1860" i="12"/>
  <c r="V697" i="12"/>
  <c r="V310" i="12"/>
  <c r="T1648" i="12"/>
  <c r="T1647" i="12"/>
  <c r="V274" i="12"/>
  <c r="V856" i="12"/>
  <c r="V475" i="12"/>
  <c r="X2512" i="12"/>
  <c r="V2567" i="12"/>
  <c r="V929" i="12"/>
  <c r="V2469" i="12"/>
  <c r="X2409" i="12"/>
  <c r="P678" i="12"/>
  <c r="T423" i="12"/>
  <c r="T2025" i="12"/>
  <c r="V382" i="12"/>
  <c r="V947" i="12"/>
  <c r="X2513" i="12"/>
  <c r="V1436" i="12"/>
  <c r="V618" i="12"/>
  <c r="X484" i="12"/>
  <c r="X2408" i="12"/>
  <c r="P1628" i="12"/>
  <c r="V2471" i="12"/>
  <c r="V875" i="12"/>
  <c r="X2407" i="12"/>
  <c r="T457" i="12"/>
  <c r="V407" i="12"/>
  <c r="V911" i="12"/>
  <c r="V2364" i="12"/>
  <c r="V1481" i="12"/>
  <c r="AC2233" i="12"/>
  <c r="AC2234" i="12"/>
  <c r="T922" i="12"/>
  <c r="V739" i="12"/>
  <c r="T940" i="12"/>
  <c r="V1120" i="12"/>
  <c r="AC2435" i="12"/>
  <c r="X416" i="12"/>
  <c r="V1142" i="12"/>
  <c r="T904" i="12"/>
  <c r="V1098" i="12"/>
  <c r="N247" i="12"/>
  <c r="P679" i="12"/>
  <c r="N895" i="12"/>
  <c r="N700" i="12"/>
  <c r="N742" i="12"/>
  <c r="N839" i="12"/>
  <c r="N763" i="12"/>
  <c r="N721" i="12"/>
  <c r="N525" i="12"/>
  <c r="N423" i="12"/>
  <c r="N457" i="12"/>
  <c r="N491" i="12"/>
  <c r="V389" i="12"/>
  <c r="L2139" i="12"/>
  <c r="L2117" i="12"/>
  <c r="L2095" i="12"/>
  <c r="T2073" i="12"/>
  <c r="N282" i="12"/>
  <c r="N318" i="12"/>
  <c r="N390" i="12"/>
  <c r="N354" i="12"/>
  <c r="V246" i="12"/>
  <c r="N819" i="12"/>
  <c r="N781" i="12"/>
  <c r="V1482" i="12"/>
  <c r="L1560" i="12"/>
  <c r="L1582" i="12"/>
  <c r="L2002" i="12"/>
  <c r="L2050" i="12"/>
  <c r="N1480" i="12"/>
  <c r="X1480" i="12"/>
  <c r="N948" i="12"/>
  <c r="N930" i="12"/>
  <c r="N657" i="12"/>
  <c r="N624" i="12"/>
  <c r="N591" i="12"/>
  <c r="V558" i="12"/>
  <c r="P1652" i="12"/>
  <c r="P1634" i="12"/>
  <c r="N1614" i="12"/>
  <c r="N1901" i="12"/>
  <c r="N1519" i="12"/>
  <c r="N1538" i="12"/>
  <c r="N1500" i="12"/>
  <c r="N2275" i="12"/>
  <c r="AC2181" i="12"/>
  <c r="AC1977" i="12"/>
  <c r="P2025" i="12"/>
  <c r="P2073" i="12"/>
  <c r="P2001" i="12"/>
  <c r="P2049" i="12"/>
  <c r="P2567" i="12"/>
  <c r="L2483" i="12"/>
  <c r="L2379" i="12"/>
  <c r="T2275" i="12"/>
  <c r="L2545" i="12"/>
  <c r="N876" i="12" l="1"/>
  <c r="N857" i="12"/>
  <c r="T330" i="12"/>
  <c r="V838" i="12"/>
  <c r="X1481" i="12"/>
  <c r="P762" i="12"/>
  <c r="T294" i="12"/>
  <c r="X1840" i="12"/>
  <c r="N1481" i="12"/>
  <c r="N800" i="12"/>
  <c r="L2074" i="12"/>
  <c r="T1981" i="12"/>
  <c r="V894" i="12"/>
  <c r="T1980" i="12"/>
  <c r="N559" i="12"/>
  <c r="L2026" i="12"/>
  <c r="L1979" i="12"/>
  <c r="N912" i="12"/>
  <c r="V912" i="12" s="1"/>
  <c r="P1978" i="12"/>
  <c r="V762" i="12"/>
  <c r="AE691" i="12"/>
  <c r="T569" i="12"/>
  <c r="V318" i="12"/>
  <c r="T590" i="12"/>
  <c r="V1901" i="12"/>
  <c r="V282" i="12"/>
  <c r="T2050" i="12"/>
  <c r="X2025" i="12"/>
  <c r="P894" i="12"/>
  <c r="T2002" i="12"/>
  <c r="V781" i="12"/>
  <c r="V491" i="12"/>
  <c r="X2001" i="12"/>
  <c r="V657" i="12"/>
  <c r="T2139" i="12"/>
  <c r="P699" i="12"/>
  <c r="X1634" i="12"/>
  <c r="T2026" i="12"/>
  <c r="V819" i="12"/>
  <c r="V457" i="12"/>
  <c r="V721" i="12"/>
  <c r="L1980" i="12"/>
  <c r="L2076" i="12" s="1"/>
  <c r="AC2227" i="12"/>
  <c r="X1851" i="12"/>
  <c r="T2296" i="12"/>
  <c r="P741" i="12"/>
  <c r="V876" i="12"/>
  <c r="V416" i="12"/>
  <c r="X1829" i="12"/>
  <c r="V855" i="12"/>
  <c r="V817" i="12"/>
  <c r="V280" i="12"/>
  <c r="T958" i="12"/>
  <c r="T422" i="12"/>
  <c r="AC2204" i="12"/>
  <c r="T2379" i="12"/>
  <c r="V948" i="12"/>
  <c r="V857" i="12"/>
  <c r="V525" i="12"/>
  <c r="AB1658" i="12"/>
  <c r="L1647" i="12"/>
  <c r="T366" i="12"/>
  <c r="V874" i="12"/>
  <c r="X1456" i="12"/>
  <c r="V910" i="12"/>
  <c r="V798" i="12"/>
  <c r="V316" i="12"/>
  <c r="V450" i="12"/>
  <c r="T490" i="12"/>
  <c r="V930" i="12"/>
  <c r="V800" i="12"/>
  <c r="X2567" i="12"/>
  <c r="P246" i="12"/>
  <c r="V591" i="12"/>
  <c r="V354" i="12"/>
  <c r="V742" i="12"/>
  <c r="X1628" i="12"/>
  <c r="V484" i="12"/>
  <c r="V946" i="12"/>
  <c r="X1476" i="12"/>
  <c r="V779" i="12"/>
  <c r="V352" i="12"/>
  <c r="X1416" i="12"/>
  <c r="T524" i="12"/>
  <c r="T623" i="12"/>
  <c r="V518" i="12"/>
  <c r="N623" i="12"/>
  <c r="V557" i="12"/>
  <c r="N590" i="12"/>
  <c r="N656" i="12"/>
  <c r="P838" i="12"/>
  <c r="X1652" i="12"/>
  <c r="V423" i="12"/>
  <c r="T2483" i="12"/>
  <c r="X2049" i="12"/>
  <c r="P720" i="12"/>
  <c r="V624" i="12"/>
  <c r="V1484" i="12"/>
  <c r="T2117" i="12"/>
  <c r="V700" i="12"/>
  <c r="V1627" i="12"/>
  <c r="T1917" i="12"/>
  <c r="V928" i="12"/>
  <c r="V388" i="12"/>
  <c r="N524" i="12"/>
  <c r="N456" i="12"/>
  <c r="N490" i="12"/>
  <c r="N422" i="12"/>
  <c r="T456" i="12"/>
  <c r="T656" i="12"/>
  <c r="V1628" i="12"/>
  <c r="N355" i="12"/>
  <c r="N319" i="12"/>
  <c r="N391" i="12"/>
  <c r="V247" i="12"/>
  <c r="N283" i="12"/>
  <c r="V895" i="12"/>
  <c r="N560" i="12"/>
  <c r="N949" i="12"/>
  <c r="N931" i="12"/>
  <c r="N913" i="12"/>
  <c r="P839" i="12"/>
  <c r="P247" i="12"/>
  <c r="P895" i="12"/>
  <c r="P721" i="12"/>
  <c r="P700" i="12"/>
  <c r="P763" i="12"/>
  <c r="P742" i="12"/>
  <c r="V763" i="12"/>
  <c r="N820" i="12"/>
  <c r="N782" i="12"/>
  <c r="N801" i="12"/>
  <c r="N877" i="12"/>
  <c r="N858" i="12"/>
  <c r="V839" i="12"/>
  <c r="P318" i="12"/>
  <c r="P390" i="12"/>
  <c r="V1485" i="12"/>
  <c r="L2161" i="12"/>
  <c r="T2095" i="12"/>
  <c r="N1560" i="12"/>
  <c r="N1582" i="12"/>
  <c r="P2139" i="12"/>
  <c r="P2095" i="12"/>
  <c r="P2117" i="12"/>
  <c r="X2073" i="12"/>
  <c r="P819" i="12"/>
  <c r="P781" i="12"/>
  <c r="P800" i="12"/>
  <c r="X762" i="12"/>
  <c r="V1483" i="12"/>
  <c r="N2590" i="12"/>
  <c r="N2315" i="12"/>
  <c r="N1902" i="12"/>
  <c r="N1539" i="12"/>
  <c r="N1501" i="12"/>
  <c r="N1520" i="12"/>
  <c r="N2276" i="12"/>
  <c r="N1483" i="12"/>
  <c r="V1486" i="12"/>
  <c r="N2316" i="12"/>
  <c r="N1502" i="12"/>
  <c r="N1540" i="12"/>
  <c r="N1521" i="12"/>
  <c r="N424" i="12"/>
  <c r="N526" i="12"/>
  <c r="N458" i="12"/>
  <c r="N492" i="12"/>
  <c r="V390" i="12"/>
  <c r="N2483" i="12"/>
  <c r="N2379" i="12"/>
  <c r="V2275" i="12"/>
  <c r="N2545" i="12"/>
  <c r="N625" i="12"/>
  <c r="N592" i="12"/>
  <c r="N658" i="12"/>
  <c r="N1482" i="12"/>
  <c r="X1482" i="12"/>
  <c r="P2275" i="12"/>
  <c r="T2545" i="12"/>
  <c r="AC1980" i="12"/>
  <c r="AC1979" i="12"/>
  <c r="N1634" i="12"/>
  <c r="N1652" i="12"/>
  <c r="P1980" i="12" l="1"/>
  <c r="P2074" i="12"/>
  <c r="P2026" i="12"/>
  <c r="P2002" i="12"/>
  <c r="T2074" i="12"/>
  <c r="T1985" i="12"/>
  <c r="T1993" i="12"/>
  <c r="L1981" i="12"/>
  <c r="L2118" i="12"/>
  <c r="P912" i="12"/>
  <c r="X912" i="12" s="1"/>
  <c r="L2096" i="12"/>
  <c r="P2050" i="12"/>
  <c r="L2140" i="12"/>
  <c r="T1982" i="12"/>
  <c r="T1983" i="12"/>
  <c r="P354" i="12"/>
  <c r="T1984" i="12"/>
  <c r="P948" i="12"/>
  <c r="X948" i="12" s="1"/>
  <c r="N1903" i="12"/>
  <c r="V1903" i="12" s="1"/>
  <c r="L2003" i="12"/>
  <c r="T2003" i="12" s="1"/>
  <c r="T434" i="12"/>
  <c r="N2591" i="12"/>
  <c r="X894" i="12"/>
  <c r="N1954" i="12"/>
  <c r="P559" i="12"/>
  <c r="N2569" i="12"/>
  <c r="P930" i="12"/>
  <c r="P282" i="12"/>
  <c r="P1979" i="12"/>
  <c r="AF691" i="12"/>
  <c r="L2051" i="12"/>
  <c r="T2051" i="12" s="1"/>
  <c r="L2027" i="12"/>
  <c r="L2028" i="12"/>
  <c r="T2028" i="12" s="1"/>
  <c r="V559" i="12"/>
  <c r="X246" i="12"/>
  <c r="L2075" i="12"/>
  <c r="L2052" i="12"/>
  <c r="T668" i="12"/>
  <c r="T635" i="12"/>
  <c r="L2098" i="12"/>
  <c r="L2120" i="12"/>
  <c r="L2142" i="12"/>
  <c r="T2076" i="12"/>
  <c r="V2483" i="12"/>
  <c r="X1485" i="12"/>
  <c r="V801" i="12"/>
  <c r="V913" i="12"/>
  <c r="V283" i="12"/>
  <c r="P2052" i="12"/>
  <c r="V424" i="12"/>
  <c r="X781" i="12"/>
  <c r="V782" i="12"/>
  <c r="X721" i="12"/>
  <c r="V931" i="12"/>
  <c r="V258" i="12"/>
  <c r="V422" i="12"/>
  <c r="V656" i="12"/>
  <c r="L1648" i="12"/>
  <c r="L1629" i="12"/>
  <c r="T2400" i="12"/>
  <c r="X1635" i="12"/>
  <c r="V2545" i="12"/>
  <c r="V2590" i="12"/>
  <c r="V848" i="12"/>
  <c r="X720" i="12"/>
  <c r="X700" i="12"/>
  <c r="V711" i="12"/>
  <c r="V1502" i="12"/>
  <c r="V658" i="12"/>
  <c r="P2004" i="12"/>
  <c r="X838" i="12"/>
  <c r="X819" i="12"/>
  <c r="X354" i="12"/>
  <c r="V820" i="12"/>
  <c r="V949" i="12"/>
  <c r="V490" i="12"/>
  <c r="T1935" i="12"/>
  <c r="V590" i="12"/>
  <c r="T468" i="12"/>
  <c r="X699" i="12"/>
  <c r="T2052" i="12"/>
  <c r="P2545" i="12"/>
  <c r="X1653" i="12"/>
  <c r="X2026" i="12"/>
  <c r="V1652" i="12"/>
  <c r="X2002" i="12"/>
  <c r="V592" i="12"/>
  <c r="P2028" i="12"/>
  <c r="P857" i="12"/>
  <c r="V1902" i="12"/>
  <c r="V772" i="12"/>
  <c r="V319" i="12"/>
  <c r="V456" i="12"/>
  <c r="T2504" i="12"/>
  <c r="T536" i="12"/>
  <c r="V2379" i="12"/>
  <c r="V458" i="12"/>
  <c r="V1521" i="12"/>
  <c r="V877" i="12"/>
  <c r="T2587" i="12"/>
  <c r="V526" i="12"/>
  <c r="X800" i="12"/>
  <c r="T2027" i="12"/>
  <c r="V1634" i="12"/>
  <c r="X930" i="12"/>
  <c r="X2050" i="12"/>
  <c r="V625" i="12"/>
  <c r="P2076" i="12"/>
  <c r="P876" i="12"/>
  <c r="V2591" i="12"/>
  <c r="X2117" i="12"/>
  <c r="T2118" i="12"/>
  <c r="X318" i="12"/>
  <c r="V904" i="12"/>
  <c r="V355" i="12"/>
  <c r="V524" i="12"/>
  <c r="X1484" i="12"/>
  <c r="V623" i="12"/>
  <c r="T502" i="12"/>
  <c r="X741" i="12"/>
  <c r="P1954" i="12"/>
  <c r="X282" i="12"/>
  <c r="L2004" i="12"/>
  <c r="T602" i="12"/>
  <c r="V492" i="12"/>
  <c r="X1483" i="12"/>
  <c r="X2139" i="12"/>
  <c r="T2140" i="12"/>
  <c r="V858" i="12"/>
  <c r="X742" i="12"/>
  <c r="V922" i="12"/>
  <c r="V753" i="12"/>
  <c r="T2331" i="12"/>
  <c r="AD1860" i="12"/>
  <c r="X1486" i="12"/>
  <c r="V732" i="12"/>
  <c r="AB1999" i="12"/>
  <c r="P931" i="12"/>
  <c r="P913" i="12"/>
  <c r="P560" i="12"/>
  <c r="X895" i="12"/>
  <c r="P949" i="12"/>
  <c r="X247" i="12"/>
  <c r="P319" i="12"/>
  <c r="P391" i="12"/>
  <c r="P355" i="12"/>
  <c r="P283" i="12"/>
  <c r="P858" i="12"/>
  <c r="P877" i="12"/>
  <c r="X839" i="12"/>
  <c r="N626" i="12"/>
  <c r="N593" i="12"/>
  <c r="V560" i="12"/>
  <c r="N659" i="12"/>
  <c r="P782" i="12"/>
  <c r="P820" i="12"/>
  <c r="P801" i="12"/>
  <c r="X763" i="12"/>
  <c r="N527" i="12"/>
  <c r="N459" i="12"/>
  <c r="N493" i="12"/>
  <c r="N425" i="12"/>
  <c r="V391" i="12"/>
  <c r="P2027" i="12"/>
  <c r="L2005" i="12"/>
  <c r="L2053" i="12"/>
  <c r="L2029" i="12"/>
  <c r="P1981" i="12"/>
  <c r="L2077" i="12"/>
  <c r="N2484" i="12"/>
  <c r="N2380" i="12"/>
  <c r="V2276" i="12"/>
  <c r="P2276" i="12"/>
  <c r="P2483" i="12"/>
  <c r="P2379" i="12"/>
  <c r="X2275" i="12"/>
  <c r="N1583" i="12"/>
  <c r="N1561" i="12"/>
  <c r="N1562" i="12"/>
  <c r="N1584" i="12"/>
  <c r="V1540" i="12"/>
  <c r="P526" i="12"/>
  <c r="P458" i="12"/>
  <c r="P492" i="12"/>
  <c r="P424" i="12"/>
  <c r="X390" i="12"/>
  <c r="N2523" i="12"/>
  <c r="N2419" i="12"/>
  <c r="V2315" i="12"/>
  <c r="N2592" i="12"/>
  <c r="N2570" i="12"/>
  <c r="N2317" i="12"/>
  <c r="N1904" i="12"/>
  <c r="N1541" i="12"/>
  <c r="N1503" i="12"/>
  <c r="N1522" i="12"/>
  <c r="N1955" i="12"/>
  <c r="P625" i="12"/>
  <c r="P2161" i="12"/>
  <c r="X2095" i="12"/>
  <c r="L2184" i="12"/>
  <c r="L2207" i="12"/>
  <c r="T2161" i="12"/>
  <c r="AC1496" i="12"/>
  <c r="P2118" i="12"/>
  <c r="P2096" i="12"/>
  <c r="P2140" i="12"/>
  <c r="X2074" i="12"/>
  <c r="N2524" i="12"/>
  <c r="N2420" i="12"/>
  <c r="V2316" i="12"/>
  <c r="N2593" i="12"/>
  <c r="N2318" i="12"/>
  <c r="N1905" i="12"/>
  <c r="N1542" i="12"/>
  <c r="N1523" i="12"/>
  <c r="N1486" i="12"/>
  <c r="N1504" i="12"/>
  <c r="N1485" i="12"/>
  <c r="N1484" i="12"/>
  <c r="N1968" i="12"/>
  <c r="P1483" i="12"/>
  <c r="P2003" i="12" l="1"/>
  <c r="P2051" i="12"/>
  <c r="V1983" i="12"/>
  <c r="L2119" i="12"/>
  <c r="V1985" i="12"/>
  <c r="X1985" i="12" s="1"/>
  <c r="L2097" i="12"/>
  <c r="V1982" i="12"/>
  <c r="L2141" i="12"/>
  <c r="V1984" i="12"/>
  <c r="L1982" i="12"/>
  <c r="X1983" i="12"/>
  <c r="T2096" i="12"/>
  <c r="L2162" i="12"/>
  <c r="P2569" i="12"/>
  <c r="P658" i="12"/>
  <c r="X658" i="12" s="1"/>
  <c r="V2569" i="12"/>
  <c r="X559" i="12"/>
  <c r="T2075" i="12"/>
  <c r="L1983" i="12"/>
  <c r="P592" i="12"/>
  <c r="X592" i="12" s="1"/>
  <c r="P2075" i="12"/>
  <c r="L2054" i="12"/>
  <c r="P1496" i="12"/>
  <c r="X2076" i="12"/>
  <c r="L1985" i="12"/>
  <c r="T2098" i="12"/>
  <c r="L2165" i="12"/>
  <c r="X2379" i="12"/>
  <c r="V1905" i="12"/>
  <c r="X625" i="12"/>
  <c r="X913" i="12"/>
  <c r="X2118" i="12"/>
  <c r="P2120" i="12"/>
  <c r="X424" i="12"/>
  <c r="X2027" i="12"/>
  <c r="V400" i="12"/>
  <c r="X782" i="12"/>
  <c r="X877" i="12"/>
  <c r="X258" i="12"/>
  <c r="X931" i="12"/>
  <c r="T2004" i="12"/>
  <c r="T2539" i="12"/>
  <c r="X2028" i="12"/>
  <c r="V1653" i="12"/>
  <c r="V958" i="12"/>
  <c r="V1562" i="12"/>
  <c r="X492" i="12"/>
  <c r="T2119" i="12"/>
  <c r="X858" i="12"/>
  <c r="V886" i="12"/>
  <c r="T2435" i="12"/>
  <c r="X2140" i="12"/>
  <c r="AB2332" i="12"/>
  <c r="X876" i="12"/>
  <c r="X820" i="12"/>
  <c r="T2029" i="12"/>
  <c r="V659" i="12"/>
  <c r="P2142" i="12"/>
  <c r="V2592" i="12"/>
  <c r="P1497" i="12"/>
  <c r="T2053" i="12"/>
  <c r="V493" i="12"/>
  <c r="X1984" i="12"/>
  <c r="V330" i="12"/>
  <c r="V829" i="12"/>
  <c r="T1629" i="12"/>
  <c r="V940" i="12"/>
  <c r="X2051" i="12"/>
  <c r="V791" i="12"/>
  <c r="X2483" i="12"/>
  <c r="X848" i="12"/>
  <c r="X857" i="12"/>
  <c r="V294" i="12"/>
  <c r="X458" i="12"/>
  <c r="V1504" i="12"/>
  <c r="V2420" i="12"/>
  <c r="T2207" i="12"/>
  <c r="P1955" i="12"/>
  <c r="X526" i="12"/>
  <c r="X2569" i="12"/>
  <c r="V2296" i="12"/>
  <c r="T2005" i="12"/>
  <c r="T2141" i="12"/>
  <c r="V459" i="12"/>
  <c r="V593" i="12"/>
  <c r="X772" i="12"/>
  <c r="V569" i="12"/>
  <c r="V366" i="12"/>
  <c r="X2545" i="12"/>
  <c r="L1630" i="12"/>
  <c r="X2052" i="12"/>
  <c r="V810" i="12"/>
  <c r="T2142" i="12"/>
  <c r="V1635" i="12"/>
  <c r="V2419" i="12"/>
  <c r="V2380" i="12"/>
  <c r="V527" i="12"/>
  <c r="V626" i="12"/>
  <c r="X283" i="12"/>
  <c r="X949" i="12"/>
  <c r="AE1860" i="12"/>
  <c r="X753" i="12"/>
  <c r="X2004" i="12"/>
  <c r="X711" i="12"/>
  <c r="T2120" i="12"/>
  <c r="V1584" i="12"/>
  <c r="X801" i="12"/>
  <c r="V867" i="12"/>
  <c r="X732" i="12"/>
  <c r="V1904" i="12"/>
  <c r="X319" i="12"/>
  <c r="V2593" i="12"/>
  <c r="P2098" i="12"/>
  <c r="V425" i="12"/>
  <c r="V2524" i="12"/>
  <c r="T2184" i="12"/>
  <c r="V1522" i="12"/>
  <c r="V1523" i="12"/>
  <c r="V1503" i="12"/>
  <c r="V2523" i="12"/>
  <c r="V2484" i="12"/>
  <c r="X2003" i="12"/>
  <c r="AD1496" i="12"/>
  <c r="X355" i="12"/>
  <c r="X904" i="12"/>
  <c r="T2606" i="12"/>
  <c r="P459" i="12"/>
  <c r="X391" i="12"/>
  <c r="P527" i="12"/>
  <c r="P493" i="12"/>
  <c r="P425" i="12"/>
  <c r="P626" i="12"/>
  <c r="P593" i="12"/>
  <c r="X560" i="12"/>
  <c r="P659" i="12"/>
  <c r="P2141" i="12"/>
  <c r="P2077" i="12"/>
  <c r="P2029" i="12"/>
  <c r="P2053" i="12"/>
  <c r="P2005" i="12"/>
  <c r="L2121" i="12"/>
  <c r="T2077" i="12"/>
  <c r="L2143" i="12"/>
  <c r="L2099" i="12"/>
  <c r="L2009" i="12"/>
  <c r="N1564" i="12"/>
  <c r="N1586" i="12"/>
  <c r="V1542" i="12"/>
  <c r="L2031" i="12"/>
  <c r="L2007" i="12"/>
  <c r="L2079" i="12"/>
  <c r="N1585" i="12"/>
  <c r="N1563" i="12"/>
  <c r="V1541" i="12"/>
  <c r="P2484" i="12"/>
  <c r="P2380" i="12"/>
  <c r="X2276" i="12"/>
  <c r="P2162" i="12"/>
  <c r="X2096" i="12"/>
  <c r="N1970" i="12"/>
  <c r="N1969" i="12"/>
  <c r="N1971" i="12"/>
  <c r="P1968" i="12"/>
  <c r="N2525" i="12"/>
  <c r="N2421" i="12"/>
  <c r="V2317" i="12"/>
  <c r="P2593" i="12"/>
  <c r="P2318" i="12"/>
  <c r="P1905" i="12"/>
  <c r="P1523" i="12"/>
  <c r="P1542" i="12"/>
  <c r="P1504" i="12"/>
  <c r="N2594" i="12"/>
  <c r="N2319" i="12"/>
  <c r="N1906" i="12"/>
  <c r="N1505" i="12"/>
  <c r="N1543" i="12"/>
  <c r="N1524" i="12"/>
  <c r="P1484" i="12"/>
  <c r="P2207" i="12"/>
  <c r="P2184" i="12"/>
  <c r="X2161" i="12"/>
  <c r="V2570" i="12"/>
  <c r="P2570" i="12"/>
  <c r="N2595" i="12"/>
  <c r="N2320" i="12"/>
  <c r="N1907" i="12"/>
  <c r="N1525" i="12"/>
  <c r="N1544" i="12"/>
  <c r="N1506" i="12"/>
  <c r="P1485" i="12"/>
  <c r="N2526" i="12"/>
  <c r="N2422" i="12"/>
  <c r="V2318" i="12"/>
  <c r="L2211" i="12"/>
  <c r="T2165" i="12"/>
  <c r="N2596" i="12"/>
  <c r="N2321" i="12"/>
  <c r="N1908" i="12"/>
  <c r="N1507" i="12"/>
  <c r="N1526" i="12"/>
  <c r="N1545" i="12"/>
  <c r="P1486" i="12"/>
  <c r="L2185" i="12" l="1"/>
  <c r="L2164" i="12"/>
  <c r="L2208" i="12"/>
  <c r="T2097" i="12"/>
  <c r="AC1999" i="12"/>
  <c r="L1984" i="12"/>
  <c r="L2006" i="12"/>
  <c r="L2030" i="12"/>
  <c r="L2078" i="12"/>
  <c r="L1993" i="12"/>
  <c r="T2162" i="12"/>
  <c r="X1982" i="12"/>
  <c r="P2119" i="12"/>
  <c r="X2075" i="12"/>
  <c r="P2097" i="12"/>
  <c r="T2054" i="12"/>
  <c r="X2098" i="12"/>
  <c r="V635" i="12"/>
  <c r="L2055" i="12"/>
  <c r="T2055" i="12" s="1"/>
  <c r="L2057" i="12"/>
  <c r="L2188" i="12"/>
  <c r="L2033" i="12"/>
  <c r="T2033" i="12" s="1"/>
  <c r="L2081" i="12"/>
  <c r="P2165" i="12"/>
  <c r="AE1496" i="12"/>
  <c r="P1970" i="12"/>
  <c r="T2208" i="12"/>
  <c r="X2029" i="12"/>
  <c r="X330" i="12"/>
  <c r="V536" i="12"/>
  <c r="X922" i="12"/>
  <c r="T2031" i="12"/>
  <c r="V1507" i="12"/>
  <c r="V2526" i="12"/>
  <c r="V1524" i="12"/>
  <c r="V1908" i="12"/>
  <c r="V1586" i="12"/>
  <c r="X425" i="12"/>
  <c r="V2504" i="12"/>
  <c r="X810" i="12"/>
  <c r="V468" i="12"/>
  <c r="V434" i="12"/>
  <c r="X829" i="12"/>
  <c r="X867" i="12"/>
  <c r="X886" i="12"/>
  <c r="V1907" i="12"/>
  <c r="X1523" i="12"/>
  <c r="V2595" i="12"/>
  <c r="X1905" i="12"/>
  <c r="V2421" i="12"/>
  <c r="T2143" i="12"/>
  <c r="X2570" i="12"/>
  <c r="V1505" i="12"/>
  <c r="V2525" i="12"/>
  <c r="V1563" i="12"/>
  <c r="V1564" i="12"/>
  <c r="X2141" i="12"/>
  <c r="X493" i="12"/>
  <c r="X958" i="12"/>
  <c r="V2400" i="12"/>
  <c r="V1526" i="12"/>
  <c r="T2185" i="12"/>
  <c r="V2596" i="12"/>
  <c r="V2587" i="12"/>
  <c r="V1906" i="12"/>
  <c r="X2593" i="12"/>
  <c r="X2296" i="12"/>
  <c r="V1585" i="12"/>
  <c r="T2009" i="12"/>
  <c r="T2121" i="12"/>
  <c r="X2119" i="12"/>
  <c r="X659" i="12"/>
  <c r="X527" i="12"/>
  <c r="X366" i="12"/>
  <c r="P1984" i="12"/>
  <c r="X2142" i="12"/>
  <c r="X791" i="12"/>
  <c r="V2422" i="12"/>
  <c r="T2057" i="12"/>
  <c r="X400" i="12"/>
  <c r="X294" i="12"/>
  <c r="X2120" i="12"/>
  <c r="P1969" i="12"/>
  <c r="X2053" i="12"/>
  <c r="V1506" i="12"/>
  <c r="V2594" i="12"/>
  <c r="X593" i="12"/>
  <c r="X459" i="12"/>
  <c r="T1630" i="12"/>
  <c r="V602" i="12"/>
  <c r="V502" i="12"/>
  <c r="V668" i="12"/>
  <c r="V1648" i="12"/>
  <c r="V1647" i="12"/>
  <c r="X940" i="12"/>
  <c r="X2380" i="12"/>
  <c r="X569" i="12"/>
  <c r="T2211" i="12"/>
  <c r="X2184" i="12"/>
  <c r="X2484" i="12"/>
  <c r="T2188" i="12"/>
  <c r="V1525" i="12"/>
  <c r="X2207" i="12"/>
  <c r="X1504" i="12"/>
  <c r="P1971" i="12"/>
  <c r="T2007" i="12"/>
  <c r="X2005" i="12"/>
  <c r="X626" i="12"/>
  <c r="L2166" i="12"/>
  <c r="T2099" i="12"/>
  <c r="P2121" i="12"/>
  <c r="P2099" i="12"/>
  <c r="X2077" i="12"/>
  <c r="P2143" i="12"/>
  <c r="L2210" i="12"/>
  <c r="L2187" i="12"/>
  <c r="T2164" i="12"/>
  <c r="P1586" i="12"/>
  <c r="P1564" i="12"/>
  <c r="X1542" i="12"/>
  <c r="N1589" i="12"/>
  <c r="N1567" i="12"/>
  <c r="V1545" i="12"/>
  <c r="N2527" i="12"/>
  <c r="N2423" i="12"/>
  <c r="V2319" i="12"/>
  <c r="P2526" i="12"/>
  <c r="P2422" i="12"/>
  <c r="X2318" i="12"/>
  <c r="P2185" i="12"/>
  <c r="P2208" i="12"/>
  <c r="X2162" i="12"/>
  <c r="L2145" i="12"/>
  <c r="L2123" i="12"/>
  <c r="L2101" i="12"/>
  <c r="T2079" i="12"/>
  <c r="N1588" i="12"/>
  <c r="N1566" i="12"/>
  <c r="V1544" i="12"/>
  <c r="X2165" i="12"/>
  <c r="P2595" i="12"/>
  <c r="P2320" i="12"/>
  <c r="P1907" i="12"/>
  <c r="P1544" i="12"/>
  <c r="P1525" i="12"/>
  <c r="P1506" i="12"/>
  <c r="N2528" i="12"/>
  <c r="N2424" i="12"/>
  <c r="V2320" i="12"/>
  <c r="N1565" i="12"/>
  <c r="N1587" i="12"/>
  <c r="V1543" i="12"/>
  <c r="N2529" i="12"/>
  <c r="N2425" i="12"/>
  <c r="V2321" i="12"/>
  <c r="P2594" i="12"/>
  <c r="P2319" i="12"/>
  <c r="P1906" i="12"/>
  <c r="P1543" i="12"/>
  <c r="P1524" i="12"/>
  <c r="P1505" i="12"/>
  <c r="P2596" i="12"/>
  <c r="P2321" i="12"/>
  <c r="P1908" i="12"/>
  <c r="P1545" i="12"/>
  <c r="P1526" i="12"/>
  <c r="P1507" i="12"/>
  <c r="L2147" i="12"/>
  <c r="L2080" i="12" l="1"/>
  <c r="L2056" i="12"/>
  <c r="L2032" i="12"/>
  <c r="L2008" i="12"/>
  <c r="L2017" i="12"/>
  <c r="P1993" i="12"/>
  <c r="L2065" i="12"/>
  <c r="L2041" i="12"/>
  <c r="P1982" i="12"/>
  <c r="L2122" i="12"/>
  <c r="L2100" i="12"/>
  <c r="L2144" i="12"/>
  <c r="T2078" i="12"/>
  <c r="T2030" i="12"/>
  <c r="AD1999" i="12"/>
  <c r="T2006" i="12"/>
  <c r="X2097" i="12"/>
  <c r="P2164" i="12"/>
  <c r="P2188" i="12"/>
  <c r="P2211" i="12"/>
  <c r="V1917" i="12"/>
  <c r="V1935" i="12" s="1"/>
  <c r="V2604" i="12"/>
  <c r="T2081" i="12"/>
  <c r="L2125" i="12"/>
  <c r="T2125" i="12" s="1"/>
  <c r="L2103" i="12"/>
  <c r="T2187" i="12"/>
  <c r="V2424" i="12"/>
  <c r="V1567" i="12"/>
  <c r="T1631" i="12"/>
  <c r="X2208" i="12"/>
  <c r="P2032" i="12"/>
  <c r="P2080" i="12"/>
  <c r="P2008" i="12"/>
  <c r="N1984" i="12"/>
  <c r="P2056" i="12"/>
  <c r="P1985" i="12"/>
  <c r="V1565" i="12"/>
  <c r="V1566" i="12"/>
  <c r="X2185" i="12"/>
  <c r="X2596" i="12"/>
  <c r="V2425" i="12"/>
  <c r="V2528" i="12"/>
  <c r="V1588" i="12"/>
  <c r="X1564" i="12"/>
  <c r="X1506" i="12"/>
  <c r="X2504" i="12"/>
  <c r="X2400" i="12"/>
  <c r="X602" i="12"/>
  <c r="X2587" i="12"/>
  <c r="X635" i="12"/>
  <c r="X668" i="12"/>
  <c r="T2210" i="12"/>
  <c r="X1505" i="12"/>
  <c r="X2422" i="12"/>
  <c r="X1586" i="12"/>
  <c r="V1535" i="12"/>
  <c r="X1524" i="12"/>
  <c r="X1525" i="12"/>
  <c r="X2526" i="12"/>
  <c r="V1516" i="12"/>
  <c r="X434" i="12"/>
  <c r="V2527" i="12"/>
  <c r="X2594" i="12"/>
  <c r="X2595" i="12"/>
  <c r="X2121" i="12"/>
  <c r="V2529" i="12"/>
  <c r="X1507" i="12"/>
  <c r="X2143" i="12"/>
  <c r="X536" i="12"/>
  <c r="X502" i="12"/>
  <c r="X468" i="12"/>
  <c r="X2211" i="12"/>
  <c r="X1648" i="12"/>
  <c r="X1908" i="12"/>
  <c r="V1587" i="12"/>
  <c r="V1589" i="12"/>
  <c r="T2123" i="12"/>
  <c r="T2147" i="12"/>
  <c r="X1526" i="12"/>
  <c r="X1906" i="12"/>
  <c r="X1907" i="12"/>
  <c r="X2188" i="12"/>
  <c r="T2145" i="12"/>
  <c r="V2423" i="12"/>
  <c r="N1647" i="12"/>
  <c r="X1647" i="12"/>
  <c r="AC1658" i="12"/>
  <c r="V2329" i="12"/>
  <c r="P2187" i="12"/>
  <c r="P2210" i="12"/>
  <c r="X2164" i="12"/>
  <c r="V1557" i="12"/>
  <c r="P2166" i="12"/>
  <c r="X2099" i="12"/>
  <c r="L2212" i="12"/>
  <c r="L2189" i="12"/>
  <c r="T2166" i="12"/>
  <c r="P1565" i="12"/>
  <c r="P1587" i="12"/>
  <c r="X1543" i="12"/>
  <c r="P2528" i="12"/>
  <c r="P2424" i="12"/>
  <c r="X2320" i="12"/>
  <c r="P1589" i="12"/>
  <c r="P1567" i="12"/>
  <c r="X1545" i="12"/>
  <c r="P2527" i="12"/>
  <c r="P2423" i="12"/>
  <c r="X2319" i="12"/>
  <c r="P1566" i="12"/>
  <c r="P1588" i="12"/>
  <c r="X1544" i="12"/>
  <c r="P2529" i="12"/>
  <c r="P2425" i="12"/>
  <c r="X2321" i="12"/>
  <c r="L2168" i="12"/>
  <c r="T2101" i="12"/>
  <c r="T2103" i="12"/>
  <c r="T2122" i="12" l="1"/>
  <c r="T2144" i="12"/>
  <c r="P2041" i="12"/>
  <c r="P2017" i="12"/>
  <c r="P2065" i="12"/>
  <c r="L2167" i="12"/>
  <c r="T2100" i="12"/>
  <c r="T2017" i="12"/>
  <c r="T2022" i="12"/>
  <c r="AE1999" i="12"/>
  <c r="P2006" i="12"/>
  <c r="P2078" i="12"/>
  <c r="P1983" i="12"/>
  <c r="N1982" i="12"/>
  <c r="P2054" i="12"/>
  <c r="T2032" i="12"/>
  <c r="T2008" i="12"/>
  <c r="T2056" i="12"/>
  <c r="P2030" i="12"/>
  <c r="T2041" i="12"/>
  <c r="L2124" i="12"/>
  <c r="L2146" i="12"/>
  <c r="L2102" i="12"/>
  <c r="T2080" i="12"/>
  <c r="T2065" i="12"/>
  <c r="V2606" i="12"/>
  <c r="V2433" i="12"/>
  <c r="L2170" i="12"/>
  <c r="X1516" i="12"/>
  <c r="N2080" i="12"/>
  <c r="N2032" i="12"/>
  <c r="N2008" i="12"/>
  <c r="N2056" i="12"/>
  <c r="T1639" i="12"/>
  <c r="V2435" i="12"/>
  <c r="X1567" i="12"/>
  <c r="X1535" i="12"/>
  <c r="X2008" i="12"/>
  <c r="X2529" i="12"/>
  <c r="T2212" i="12"/>
  <c r="X1588" i="12"/>
  <c r="X1566" i="12"/>
  <c r="X2527" i="12"/>
  <c r="X2604" i="12"/>
  <c r="X2187" i="12"/>
  <c r="V1601" i="12"/>
  <c r="P2146" i="12"/>
  <c r="P2102" i="12"/>
  <c r="P2124" i="12"/>
  <c r="X2080" i="12"/>
  <c r="V2537" i="12"/>
  <c r="X1587" i="12"/>
  <c r="X1917" i="12"/>
  <c r="V2331" i="12"/>
  <c r="X2032" i="12"/>
  <c r="V1579" i="12"/>
  <c r="N1629" i="12"/>
  <c r="N1648" i="12"/>
  <c r="P1647" i="12"/>
  <c r="X2423" i="12"/>
  <c r="X2424" i="12"/>
  <c r="N1985" i="12"/>
  <c r="P2033" i="12"/>
  <c r="P2057" i="12"/>
  <c r="P2009" i="12"/>
  <c r="P2081" i="12"/>
  <c r="X1589" i="12"/>
  <c r="X1565" i="12"/>
  <c r="X2425" i="12"/>
  <c r="X2528" i="12"/>
  <c r="T2189" i="12"/>
  <c r="X2210" i="12"/>
  <c r="AD1658" i="12"/>
  <c r="X2056" i="12"/>
  <c r="X1557" i="12"/>
  <c r="X2329" i="12"/>
  <c r="P2189" i="12"/>
  <c r="X2166" i="12"/>
  <c r="P2212" i="12"/>
  <c r="L2214" i="12"/>
  <c r="L2191" i="12"/>
  <c r="T2168" i="12"/>
  <c r="X2041" i="12" l="1"/>
  <c r="X2065" i="12"/>
  <c r="T2046" i="12"/>
  <c r="X2017" i="12"/>
  <c r="X2054" i="12"/>
  <c r="N2078" i="12"/>
  <c r="N2006" i="12"/>
  <c r="N2030" i="12"/>
  <c r="N2054" i="12"/>
  <c r="T2092" i="12"/>
  <c r="P2031" i="12"/>
  <c r="N1983" i="12"/>
  <c r="P2079" i="12"/>
  <c r="P2007" i="12"/>
  <c r="P2055" i="12"/>
  <c r="L2169" i="12"/>
  <c r="T2102" i="12"/>
  <c r="T2070" i="12"/>
  <c r="P2100" i="12"/>
  <c r="P2144" i="12"/>
  <c r="X2078" i="12"/>
  <c r="P2122" i="12"/>
  <c r="X2030" i="12"/>
  <c r="T2146" i="12"/>
  <c r="X2006" i="12"/>
  <c r="L2213" i="12"/>
  <c r="T2167" i="12"/>
  <c r="L2190" i="12"/>
  <c r="T2124" i="12"/>
  <c r="T2170" i="12"/>
  <c r="L2193" i="12"/>
  <c r="L2216" i="12"/>
  <c r="T2216" i="12" s="1"/>
  <c r="X2537" i="12"/>
  <c r="V1629" i="12"/>
  <c r="V2080" i="12"/>
  <c r="N2102" i="12"/>
  <c r="N2146" i="12"/>
  <c r="N2124" i="12"/>
  <c r="T2214" i="12"/>
  <c r="X1579" i="12"/>
  <c r="N2081" i="12"/>
  <c r="N2033" i="12"/>
  <c r="N2009" i="12"/>
  <c r="N2057" i="12"/>
  <c r="X2146" i="12"/>
  <c r="X2212" i="12"/>
  <c r="X2539" i="12"/>
  <c r="P2147" i="12"/>
  <c r="P2103" i="12"/>
  <c r="P2125" i="12"/>
  <c r="X2081" i="12"/>
  <c r="X2189" i="12"/>
  <c r="X2009" i="12"/>
  <c r="V2539" i="12"/>
  <c r="T2193" i="12"/>
  <c r="AE1658" i="12"/>
  <c r="X1601" i="12"/>
  <c r="V2056" i="12"/>
  <c r="X2433" i="12"/>
  <c r="X2057" i="12"/>
  <c r="P1629" i="12"/>
  <c r="V2008" i="12"/>
  <c r="X2331" i="12"/>
  <c r="X2033" i="12"/>
  <c r="N1630" i="12"/>
  <c r="P1648" i="12"/>
  <c r="AC2332" i="12"/>
  <c r="X2124" i="12"/>
  <c r="V2032" i="12"/>
  <c r="T2191" i="12"/>
  <c r="X1935" i="12"/>
  <c r="P2169" i="12"/>
  <c r="X2102" i="12"/>
  <c r="X2606" i="12"/>
  <c r="X2144" i="12" l="1"/>
  <c r="X2055" i="12"/>
  <c r="V2054" i="12"/>
  <c r="P2167" i="12"/>
  <c r="X2100" i="12"/>
  <c r="T2136" i="12"/>
  <c r="N2055" i="12"/>
  <c r="N2079" i="12"/>
  <c r="N2031" i="12"/>
  <c r="N2007" i="12"/>
  <c r="N2144" i="12"/>
  <c r="N2100" i="12"/>
  <c r="N2122" i="12"/>
  <c r="V2078" i="12"/>
  <c r="X2007" i="12"/>
  <c r="V2006" i="12"/>
  <c r="T2190" i="12"/>
  <c r="X2031" i="12"/>
  <c r="V2030" i="12"/>
  <c r="T2158" i="12"/>
  <c r="P2101" i="12"/>
  <c r="X2079" i="12"/>
  <c r="P2123" i="12"/>
  <c r="P2145" i="12"/>
  <c r="T2114" i="12"/>
  <c r="T2213" i="12"/>
  <c r="X2122" i="12"/>
  <c r="L2192" i="12"/>
  <c r="L2215" i="12"/>
  <c r="T2169" i="12"/>
  <c r="X2046" i="12"/>
  <c r="X2169" i="12"/>
  <c r="P2215" i="12"/>
  <c r="P2192" i="12"/>
  <c r="N2125" i="12"/>
  <c r="N2147" i="12"/>
  <c r="N2103" i="12"/>
  <c r="V2081" i="12"/>
  <c r="X2435" i="12"/>
  <c r="N2169" i="12"/>
  <c r="V2102" i="12"/>
  <c r="V1630" i="12"/>
  <c r="X2147" i="12"/>
  <c r="V2033" i="12"/>
  <c r="V2146" i="12"/>
  <c r="X2092" i="12"/>
  <c r="V2124" i="12"/>
  <c r="X2125" i="12"/>
  <c r="V2057" i="12"/>
  <c r="X2070" i="12"/>
  <c r="P1630" i="12"/>
  <c r="AD2332" i="12"/>
  <c r="X1629" i="12"/>
  <c r="P2170" i="12"/>
  <c r="X2103" i="12"/>
  <c r="V2009" i="12"/>
  <c r="V2007" i="12" l="1"/>
  <c r="P2213" i="12"/>
  <c r="P2190" i="12"/>
  <c r="X2167" i="12"/>
  <c r="T2215" i="12"/>
  <c r="V2031" i="12"/>
  <c r="V2122" i="12"/>
  <c r="X2123" i="12"/>
  <c r="V2055" i="12"/>
  <c r="P2168" i="12"/>
  <c r="X2101" i="12"/>
  <c r="N2167" i="12"/>
  <c r="V2100" i="12"/>
  <c r="X2145" i="12"/>
  <c r="N2101" i="12"/>
  <c r="V2079" i="12"/>
  <c r="N2145" i="12"/>
  <c r="N2123" i="12"/>
  <c r="V2144" i="12"/>
  <c r="T2192" i="12"/>
  <c r="X2022" i="12"/>
  <c r="T2181" i="12"/>
  <c r="X2158" i="12"/>
  <c r="X1630" i="12"/>
  <c r="V2046" i="12"/>
  <c r="V2125" i="12"/>
  <c r="P2216" i="12"/>
  <c r="P2193" i="12"/>
  <c r="X2170" i="12"/>
  <c r="X2114" i="12"/>
  <c r="V2070" i="12"/>
  <c r="V2147" i="12"/>
  <c r="V2022" i="12"/>
  <c r="V2092" i="12"/>
  <c r="V1631" i="12"/>
  <c r="X2136" i="12"/>
  <c r="X2192" i="12"/>
  <c r="N2215" i="12"/>
  <c r="N2192" i="12"/>
  <c r="V2169" i="12"/>
  <c r="X2215" i="12"/>
  <c r="AE2332" i="12"/>
  <c r="N2170" i="12"/>
  <c r="V2103" i="12"/>
  <c r="T2227" i="12" l="1"/>
  <c r="V2123" i="12"/>
  <c r="N2190" i="12"/>
  <c r="N2213" i="12"/>
  <c r="V2167" i="12"/>
  <c r="X2190" i="12"/>
  <c r="V2145" i="12"/>
  <c r="X2213" i="12"/>
  <c r="X2181" i="12"/>
  <c r="V2101" i="12"/>
  <c r="N2168" i="12"/>
  <c r="X2168" i="12"/>
  <c r="P2191" i="12"/>
  <c r="P2214" i="12"/>
  <c r="T2204" i="12"/>
  <c r="X2216" i="12"/>
  <c r="N2216" i="12"/>
  <c r="N2193" i="12"/>
  <c r="V2170" i="12"/>
  <c r="V2192" i="12"/>
  <c r="V2215" i="12"/>
  <c r="V1639" i="12"/>
  <c r="X1631" i="12"/>
  <c r="X2193" i="12"/>
  <c r="V2213" i="12" l="1"/>
  <c r="X2214" i="12"/>
  <c r="V2190" i="12"/>
  <c r="X2191" i="12"/>
  <c r="V2136" i="12"/>
  <c r="V2114" i="12"/>
  <c r="N2214" i="12"/>
  <c r="N2191" i="12"/>
  <c r="V2168" i="12"/>
  <c r="V2158" i="12"/>
  <c r="X1639" i="12"/>
  <c r="V2193" i="12"/>
  <c r="X2227" i="12"/>
  <c r="V2216" i="12"/>
  <c r="A348" i="10"/>
  <c r="A347" i="10"/>
  <c r="A346" i="10"/>
  <c r="A345" i="10"/>
  <c r="A344" i="10"/>
  <c r="A343" i="10"/>
  <c r="Q342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C284" i="10"/>
  <c r="C283" i="10"/>
  <c r="C282" i="10"/>
  <c r="C280" i="10"/>
  <c r="A278" i="10"/>
  <c r="A277" i="10"/>
  <c r="A276" i="10"/>
  <c r="A275" i="10"/>
  <c r="A274" i="10"/>
  <c r="A273" i="10"/>
  <c r="Q272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C214" i="10"/>
  <c r="C213" i="10"/>
  <c r="C212" i="10"/>
  <c r="C210" i="10"/>
  <c r="A208" i="10"/>
  <c r="A207" i="10"/>
  <c r="A206" i="10"/>
  <c r="A205" i="10"/>
  <c r="A204" i="10"/>
  <c r="A203" i="10"/>
  <c r="Q202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P159" i="10"/>
  <c r="O159" i="10"/>
  <c r="N159" i="10"/>
  <c r="M159" i="10"/>
  <c r="L159" i="10"/>
  <c r="K159" i="10"/>
  <c r="J159" i="10"/>
  <c r="I159" i="10"/>
  <c r="H159" i="10"/>
  <c r="G159" i="10"/>
  <c r="F159" i="10"/>
  <c r="A159" i="10"/>
  <c r="A158" i="10"/>
  <c r="A157" i="10"/>
  <c r="A156" i="10"/>
  <c r="A155" i="10"/>
  <c r="A154" i="10"/>
  <c r="A153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C144" i="10"/>
  <c r="C143" i="10"/>
  <c r="C142" i="10"/>
  <c r="C140" i="10"/>
  <c r="A138" i="10"/>
  <c r="A137" i="10"/>
  <c r="A136" i="10"/>
  <c r="A135" i="10"/>
  <c r="A134" i="10"/>
  <c r="A133" i="10"/>
  <c r="Q132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P89" i="10"/>
  <c r="O89" i="10"/>
  <c r="N89" i="10"/>
  <c r="M89" i="10"/>
  <c r="L89" i="10"/>
  <c r="K89" i="10"/>
  <c r="J89" i="10"/>
  <c r="I89" i="10"/>
  <c r="H89" i="10"/>
  <c r="G89" i="10"/>
  <c r="F89" i="10"/>
  <c r="A89" i="10"/>
  <c r="A88" i="10"/>
  <c r="A87" i="10"/>
  <c r="A86" i="10"/>
  <c r="A85" i="10"/>
  <c r="A84" i="10"/>
  <c r="A83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C74" i="10"/>
  <c r="C73" i="10"/>
  <c r="C72" i="10"/>
  <c r="C70" i="10"/>
  <c r="A68" i="10"/>
  <c r="A67" i="10"/>
  <c r="A66" i="10"/>
  <c r="A65" i="10"/>
  <c r="A64" i="10"/>
  <c r="A63" i="10"/>
  <c r="Q62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C6" i="10"/>
  <c r="C5" i="10"/>
  <c r="C4" i="10"/>
  <c r="C2" i="10"/>
  <c r="G2" i="9"/>
  <c r="G4" i="9"/>
  <c r="G5" i="9"/>
  <c r="G6" i="9"/>
  <c r="F8" i="9"/>
  <c r="O23" i="9"/>
  <c r="O75" i="9" s="1"/>
  <c r="P23" i="9"/>
  <c r="P75" i="9" s="1"/>
  <c r="T23" i="9"/>
  <c r="T75" i="9" s="1"/>
  <c r="U23" i="9"/>
  <c r="U75" i="9" s="1"/>
  <c r="E83" i="9"/>
  <c r="A88" i="9"/>
  <c r="F92" i="9"/>
  <c r="X92" i="9"/>
  <c r="A93" i="9"/>
  <c r="AI93" i="9"/>
  <c r="AJ93" i="9"/>
  <c r="A94" i="9"/>
  <c r="X94" i="9"/>
  <c r="AJ94" i="9"/>
  <c r="A95" i="9"/>
  <c r="AJ95" i="9"/>
  <c r="A96" i="9"/>
  <c r="AJ96" i="9"/>
  <c r="A97" i="9"/>
  <c r="AJ97" i="9"/>
  <c r="A98" i="9"/>
  <c r="AI98" i="9"/>
  <c r="AI99" i="9" s="1"/>
  <c r="AJ98" i="9"/>
  <c r="A99" i="9"/>
  <c r="O99" i="9"/>
  <c r="P99" i="9"/>
  <c r="Q99" i="9"/>
  <c r="Q102" i="9" s="1"/>
  <c r="R99" i="9"/>
  <c r="T99" i="9"/>
  <c r="U99" i="9"/>
  <c r="V99" i="9"/>
  <c r="W99" i="9"/>
  <c r="X99" i="9"/>
  <c r="AJ99" i="9"/>
  <c r="A100" i="9"/>
  <c r="F100" i="9"/>
  <c r="O100" i="9"/>
  <c r="P100" i="9"/>
  <c r="Q100" i="9"/>
  <c r="R100" i="9"/>
  <c r="T100" i="9"/>
  <c r="U100" i="9"/>
  <c r="V100" i="9"/>
  <c r="W100" i="9"/>
  <c r="X100" i="9"/>
  <c r="AJ100" i="9"/>
  <c r="A101" i="9"/>
  <c r="F101" i="9"/>
  <c r="O101" i="9"/>
  <c r="P101" i="9"/>
  <c r="Q101" i="9"/>
  <c r="R101" i="9"/>
  <c r="T101" i="9"/>
  <c r="U101" i="9"/>
  <c r="V101" i="9"/>
  <c r="W101" i="9"/>
  <c r="X101" i="9"/>
  <c r="AG101" i="9"/>
  <c r="AJ101" i="9"/>
  <c r="A102" i="9"/>
  <c r="H102" i="9"/>
  <c r="I102" i="9"/>
  <c r="J102" i="9"/>
  <c r="K102" i="9"/>
  <c r="L102" i="9"/>
  <c r="AJ102" i="9"/>
  <c r="A103" i="9"/>
  <c r="AJ103" i="9"/>
  <c r="A104" i="9"/>
  <c r="X104" i="9"/>
  <c r="AI104" i="9"/>
  <c r="AI105" i="9" s="1"/>
  <c r="AI106" i="9" s="1"/>
  <c r="AI107" i="9" s="1"/>
  <c r="AJ104" i="9"/>
  <c r="A105" i="9"/>
  <c r="O105" i="9"/>
  <c r="O106" i="9" s="1"/>
  <c r="P105" i="9"/>
  <c r="P106" i="9" s="1"/>
  <c r="Q105" i="9"/>
  <c r="R105" i="9"/>
  <c r="T105" i="9"/>
  <c r="T106" i="9" s="1"/>
  <c r="U105" i="9"/>
  <c r="U106" i="9" s="1"/>
  <c r="V105" i="9"/>
  <c r="V106" i="9" s="1"/>
  <c r="W105" i="9"/>
  <c r="W106" i="9" s="1"/>
  <c r="AJ105" i="9"/>
  <c r="A106" i="9"/>
  <c r="H106" i="9"/>
  <c r="I106" i="9"/>
  <c r="J106" i="9"/>
  <c r="K106" i="9"/>
  <c r="L106" i="9"/>
  <c r="Y106" i="9"/>
  <c r="Z106" i="9"/>
  <c r="AA106" i="9"/>
  <c r="AB106" i="9"/>
  <c r="AC106" i="9"/>
  <c r="AJ106" i="9"/>
  <c r="A107" i="9"/>
  <c r="AJ107" i="9"/>
  <c r="A108" i="9"/>
  <c r="X108" i="9"/>
  <c r="AI108" i="9"/>
  <c r="AI109" i="9" s="1"/>
  <c r="AI110" i="9" s="1"/>
  <c r="AJ108" i="9"/>
  <c r="A109" i="9"/>
  <c r="O109" i="9"/>
  <c r="O111" i="9" s="1"/>
  <c r="P109" i="9"/>
  <c r="P111" i="9" s="1"/>
  <c r="Q109" i="9"/>
  <c r="Q111" i="9" s="1"/>
  <c r="R109" i="9"/>
  <c r="R111" i="9" s="1"/>
  <c r="T109" i="9"/>
  <c r="T111" i="9" s="1"/>
  <c r="U109" i="9"/>
  <c r="V109" i="9"/>
  <c r="V111" i="9" s="1"/>
  <c r="W109" i="9"/>
  <c r="W111" i="9" s="1"/>
  <c r="AJ109" i="9"/>
  <c r="A110" i="9"/>
  <c r="AJ110" i="9"/>
  <c r="A111" i="9"/>
  <c r="H111" i="9"/>
  <c r="I111" i="9"/>
  <c r="J111" i="9"/>
  <c r="K111" i="9"/>
  <c r="L111" i="9"/>
  <c r="U111" i="9"/>
  <c r="Y111" i="9"/>
  <c r="Z111" i="9"/>
  <c r="AA111" i="9"/>
  <c r="AB111" i="9"/>
  <c r="AC111" i="9"/>
  <c r="AJ111" i="9"/>
  <c r="A112" i="9"/>
  <c r="AJ112" i="9"/>
  <c r="A113" i="9"/>
  <c r="AI113" i="9"/>
  <c r="AI114" i="9" s="1"/>
  <c r="AI115" i="9" s="1"/>
  <c r="AI116" i="9" s="1"/>
  <c r="AI117" i="9" s="1"/>
  <c r="AJ113" i="9"/>
  <c r="A114" i="9"/>
  <c r="F114" i="9"/>
  <c r="O114" i="9"/>
  <c r="P114" i="9"/>
  <c r="Q114" i="9"/>
  <c r="Q116" i="9" s="1"/>
  <c r="R114" i="9"/>
  <c r="R116" i="9" s="1"/>
  <c r="T114" i="9"/>
  <c r="T116" i="9" s="1"/>
  <c r="U114" i="9"/>
  <c r="U116" i="9" s="1"/>
  <c r="V114" i="9"/>
  <c r="W114" i="9"/>
  <c r="X114" i="9"/>
  <c r="AJ114" i="9"/>
  <c r="A115" i="9"/>
  <c r="F115" i="9"/>
  <c r="O115" i="9"/>
  <c r="P115" i="9"/>
  <c r="Q115" i="9"/>
  <c r="R115" i="9"/>
  <c r="T115" i="9"/>
  <c r="U115" i="9"/>
  <c r="V115" i="9"/>
  <c r="AF115" i="9" s="1"/>
  <c r="W115" i="9"/>
  <c r="X115" i="9"/>
  <c r="AJ115" i="9"/>
  <c r="A116" i="9"/>
  <c r="H116" i="9"/>
  <c r="I116" i="9"/>
  <c r="J116" i="9"/>
  <c r="K116" i="9"/>
  <c r="L116" i="9"/>
  <c r="AJ116" i="9"/>
  <c r="A117" i="9"/>
  <c r="AJ117" i="9"/>
  <c r="A118" i="9"/>
  <c r="AI118" i="9"/>
  <c r="AI119" i="9" s="1"/>
  <c r="AJ118" i="9"/>
  <c r="A119" i="9"/>
  <c r="AJ119" i="9"/>
  <c r="A120" i="9"/>
  <c r="AJ120" i="9"/>
  <c r="A121" i="9"/>
  <c r="AJ121" i="9"/>
  <c r="A122" i="9"/>
  <c r="AI122" i="9"/>
  <c r="AI123" i="9" s="1"/>
  <c r="AJ122" i="9"/>
  <c r="A123" i="9"/>
  <c r="F123" i="9"/>
  <c r="X123" i="9"/>
  <c r="AJ123" i="9"/>
  <c r="A124" i="9"/>
  <c r="AJ124" i="9"/>
  <c r="A125" i="9"/>
  <c r="AJ125" i="9"/>
  <c r="A126" i="9"/>
  <c r="AI126" i="9"/>
  <c r="AI127" i="9" s="1"/>
  <c r="AJ126" i="9"/>
  <c r="A127" i="9"/>
  <c r="F127" i="9"/>
  <c r="X127" i="9"/>
  <c r="AJ127" i="9"/>
  <c r="A128" i="9"/>
  <c r="F128" i="9"/>
  <c r="X128" i="9"/>
  <c r="AJ128" i="9"/>
  <c r="A129" i="9"/>
  <c r="F129" i="9"/>
  <c r="X129" i="9"/>
  <c r="AJ129" i="9"/>
  <c r="A130" i="9"/>
  <c r="F130" i="9"/>
  <c r="X130" i="9"/>
  <c r="AJ130" i="9"/>
  <c r="A131" i="9"/>
  <c r="AJ131" i="9"/>
  <c r="A132" i="9"/>
  <c r="AJ132" i="9"/>
  <c r="A133" i="9"/>
  <c r="AI133" i="9"/>
  <c r="AI134" i="9" s="1"/>
  <c r="AI135" i="9" s="1"/>
  <c r="AI136" i="9" s="1"/>
  <c r="AJ133" i="9"/>
  <c r="A134" i="9"/>
  <c r="F134" i="9"/>
  <c r="X134" i="9"/>
  <c r="AJ134" i="9"/>
  <c r="A135" i="9"/>
  <c r="F135" i="9"/>
  <c r="X135" i="9"/>
  <c r="AJ135" i="9"/>
  <c r="A136" i="9"/>
  <c r="AJ136" i="9"/>
  <c r="A137" i="9"/>
  <c r="F137" i="9"/>
  <c r="G137" i="9"/>
  <c r="X137" i="9"/>
  <c r="AJ137" i="9"/>
  <c r="A138" i="9"/>
  <c r="AJ138" i="9"/>
  <c r="A139" i="9"/>
  <c r="F139" i="9"/>
  <c r="G139" i="9"/>
  <c r="X139" i="9"/>
  <c r="AJ139" i="9"/>
  <c r="A140" i="9"/>
  <c r="AJ140" i="9"/>
  <c r="A141" i="9"/>
  <c r="AI141" i="9"/>
  <c r="AI142" i="9" s="1"/>
  <c r="AJ141" i="9"/>
  <c r="A142" i="9"/>
  <c r="AJ142" i="9"/>
  <c r="A143" i="9"/>
  <c r="AI143" i="9"/>
  <c r="AJ143" i="9"/>
  <c r="A144" i="9"/>
  <c r="AI144" i="9"/>
  <c r="AJ144" i="9"/>
  <c r="A145" i="9"/>
  <c r="F145" i="9"/>
  <c r="X145" i="9"/>
  <c r="AJ145" i="9"/>
  <c r="A146" i="9"/>
  <c r="F146" i="9"/>
  <c r="X146" i="9"/>
  <c r="AJ146" i="9"/>
  <c r="A147" i="9"/>
  <c r="AJ147" i="9"/>
  <c r="A148" i="9"/>
  <c r="AJ148" i="9"/>
  <c r="A149" i="9"/>
  <c r="AI149" i="9"/>
  <c r="AJ149" i="9"/>
  <c r="A150" i="9"/>
  <c r="F150" i="9"/>
  <c r="X150" i="9"/>
  <c r="AJ150" i="9"/>
  <c r="A151" i="9"/>
  <c r="F151" i="9"/>
  <c r="X151" i="9"/>
  <c r="AJ151" i="9"/>
  <c r="A152" i="9"/>
  <c r="F152" i="9"/>
  <c r="X152" i="9"/>
  <c r="AJ152" i="9"/>
  <c r="A153" i="9"/>
  <c r="AJ153" i="9"/>
  <c r="A154" i="9"/>
  <c r="AJ154" i="9"/>
  <c r="A155" i="9"/>
  <c r="AI155" i="9"/>
  <c r="AJ155" i="9"/>
  <c r="A156" i="9"/>
  <c r="F156" i="9"/>
  <c r="X156" i="9"/>
  <c r="AJ156" i="9"/>
  <c r="A157" i="9"/>
  <c r="AJ157" i="9"/>
  <c r="A158" i="9"/>
  <c r="AJ158" i="9"/>
  <c r="A159" i="9"/>
  <c r="AI159" i="9"/>
  <c r="AJ159" i="9"/>
  <c r="A160" i="9"/>
  <c r="F160" i="9"/>
  <c r="X160" i="9"/>
  <c r="AJ160" i="9"/>
  <c r="A161" i="9"/>
  <c r="F161" i="9"/>
  <c r="X161" i="9"/>
  <c r="AJ161" i="9"/>
  <c r="A162" i="9"/>
  <c r="F162" i="9"/>
  <c r="X162" i="9"/>
  <c r="AJ162" i="9"/>
  <c r="A163" i="9"/>
  <c r="F163" i="9"/>
  <c r="X163" i="9"/>
  <c r="AJ163" i="9"/>
  <c r="A164" i="9"/>
  <c r="AJ164" i="9"/>
  <c r="A165" i="9"/>
  <c r="AJ165" i="9"/>
  <c r="A166" i="9"/>
  <c r="AI166" i="9"/>
  <c r="AJ166" i="9"/>
  <c r="A167" i="9"/>
  <c r="F167" i="9"/>
  <c r="X167" i="9"/>
  <c r="AI167" i="9"/>
  <c r="AJ167" i="9"/>
  <c r="A168" i="9"/>
  <c r="F168" i="9"/>
  <c r="X168" i="9"/>
  <c r="AJ168" i="9"/>
  <c r="A169" i="9"/>
  <c r="F169" i="9"/>
  <c r="X169" i="9"/>
  <c r="AJ169" i="9"/>
  <c r="A170" i="9"/>
  <c r="F170" i="9"/>
  <c r="X170" i="9"/>
  <c r="AJ170" i="9"/>
  <c r="A171" i="9"/>
  <c r="F171" i="9"/>
  <c r="X171" i="9"/>
  <c r="AJ171" i="9"/>
  <c r="A172" i="9"/>
  <c r="AJ172" i="9"/>
  <c r="A173" i="9"/>
  <c r="AJ173" i="9"/>
  <c r="A174" i="9"/>
  <c r="AJ174" i="9"/>
  <c r="A175" i="9"/>
  <c r="AJ175" i="9"/>
  <c r="A176" i="9"/>
  <c r="AI176" i="9"/>
  <c r="AI177" i="9" s="1"/>
  <c r="AJ176" i="9"/>
  <c r="A177" i="9"/>
  <c r="AJ177" i="9"/>
  <c r="A178" i="9"/>
  <c r="AI178" i="9"/>
  <c r="AJ178" i="9"/>
  <c r="A179" i="9"/>
  <c r="AI179" i="9"/>
  <c r="AJ179" i="9"/>
  <c r="A180" i="9"/>
  <c r="F180" i="9"/>
  <c r="X180" i="9"/>
  <c r="AI180" i="9"/>
  <c r="AI181" i="9" s="1"/>
  <c r="AI182" i="9" s="1"/>
  <c r="AJ180" i="9"/>
  <c r="A181" i="9"/>
  <c r="F181" i="9"/>
  <c r="X181" i="9"/>
  <c r="AJ181" i="9"/>
  <c r="A182" i="9"/>
  <c r="F182" i="9"/>
  <c r="X182" i="9"/>
  <c r="AJ182" i="9"/>
  <c r="A183" i="9"/>
  <c r="F183" i="9"/>
  <c r="X183" i="9"/>
  <c r="AJ183" i="9"/>
  <c r="A184" i="9"/>
  <c r="F184" i="9"/>
  <c r="X184" i="9"/>
  <c r="AJ184" i="9"/>
  <c r="A185" i="9"/>
  <c r="AJ185" i="9"/>
  <c r="A186" i="9"/>
  <c r="AJ186" i="9"/>
  <c r="A187" i="9"/>
  <c r="AI187" i="9"/>
  <c r="AI188" i="9" s="1"/>
  <c r="AI189" i="9" s="1"/>
  <c r="AI190" i="9" s="1"/>
  <c r="AI191" i="9" s="1"/>
  <c r="AJ187" i="9"/>
  <c r="A188" i="9"/>
  <c r="F188" i="9"/>
  <c r="X188" i="9"/>
  <c r="AJ188" i="9"/>
  <c r="A189" i="9"/>
  <c r="F189" i="9"/>
  <c r="X189" i="9"/>
  <c r="AJ189" i="9"/>
  <c r="A190" i="9"/>
  <c r="AJ190" i="9"/>
  <c r="A191" i="9"/>
  <c r="AJ191" i="9"/>
  <c r="A192" i="9"/>
  <c r="AI192" i="9"/>
  <c r="AI193" i="9" s="1"/>
  <c r="AI194" i="9" s="1"/>
  <c r="AJ192" i="9"/>
  <c r="A193" i="9"/>
  <c r="F193" i="9"/>
  <c r="X193" i="9"/>
  <c r="AJ193" i="9"/>
  <c r="A194" i="9"/>
  <c r="AJ194" i="9"/>
  <c r="A195" i="9"/>
  <c r="AI195" i="9"/>
  <c r="AI196" i="9" s="1"/>
  <c r="AJ195" i="9"/>
  <c r="A196" i="9"/>
  <c r="F196" i="9"/>
  <c r="X196" i="9"/>
  <c r="AJ196" i="9"/>
  <c r="A197" i="9"/>
  <c r="AJ197" i="9"/>
  <c r="A198" i="9"/>
  <c r="AJ198" i="9"/>
  <c r="A199" i="9"/>
  <c r="AI199" i="9"/>
  <c r="AI200" i="9" s="1"/>
  <c r="AJ199" i="9"/>
  <c r="A200" i="9"/>
  <c r="F200" i="9"/>
  <c r="X200" i="9"/>
  <c r="AJ200" i="9"/>
  <c r="A201" i="9"/>
  <c r="AJ201" i="9"/>
  <c r="A202" i="9"/>
  <c r="AJ202" i="9"/>
  <c r="A203" i="9"/>
  <c r="AI203" i="9"/>
  <c r="AJ203" i="9"/>
  <c r="A204" i="9"/>
  <c r="F204" i="9"/>
  <c r="X204" i="9"/>
  <c r="AI204" i="9"/>
  <c r="AJ204" i="9"/>
  <c r="A205" i="9"/>
  <c r="F205" i="9"/>
  <c r="X205" i="9"/>
  <c r="AJ205" i="9"/>
  <c r="A206" i="9"/>
  <c r="F206" i="9"/>
  <c r="X206" i="9"/>
  <c r="AJ206" i="9"/>
  <c r="A207" i="9"/>
  <c r="F207" i="9"/>
  <c r="X207" i="9"/>
  <c r="AJ207" i="9"/>
  <c r="A208" i="9"/>
  <c r="F208" i="9"/>
  <c r="X208" i="9"/>
  <c r="AJ208" i="9"/>
  <c r="A209" i="9"/>
  <c r="F209" i="9"/>
  <c r="X209" i="9"/>
  <c r="AJ209" i="9"/>
  <c r="A210" i="9"/>
  <c r="AJ210" i="9"/>
  <c r="A211" i="9"/>
  <c r="AJ211" i="9"/>
  <c r="A212" i="9"/>
  <c r="AI212" i="9"/>
  <c r="AI213" i="9" s="1"/>
  <c r="AJ212" i="9"/>
  <c r="A213" i="9"/>
  <c r="AJ213" i="9"/>
  <c r="A214" i="9"/>
  <c r="AI214" i="9"/>
  <c r="AJ214" i="9"/>
  <c r="A215" i="9"/>
  <c r="AI215" i="9"/>
  <c r="AJ215" i="9"/>
  <c r="A216" i="9"/>
  <c r="F216" i="9"/>
  <c r="X216" i="9"/>
  <c r="AI216" i="9"/>
  <c r="AI217" i="9" s="1"/>
  <c r="AJ216" i="9"/>
  <c r="A217" i="9"/>
  <c r="AJ217" i="9"/>
  <c r="A218" i="9"/>
  <c r="AJ218" i="9"/>
  <c r="A219" i="9"/>
  <c r="AI219" i="9"/>
  <c r="AI220" i="9" s="1"/>
  <c r="AJ219" i="9"/>
  <c r="A220" i="9"/>
  <c r="F220" i="9"/>
  <c r="AJ220" i="9"/>
  <c r="A221" i="9"/>
  <c r="F221" i="9"/>
  <c r="AJ221" i="9"/>
  <c r="A222" i="9"/>
  <c r="F222" i="9"/>
  <c r="X222" i="9"/>
  <c r="AJ222" i="9"/>
  <c r="A223" i="9"/>
  <c r="AJ223" i="9"/>
  <c r="A224" i="9"/>
  <c r="AJ224" i="9"/>
  <c r="A225" i="9"/>
  <c r="AJ225" i="9"/>
  <c r="A226" i="9"/>
  <c r="AI226" i="9"/>
  <c r="AI227" i="9" s="1"/>
  <c r="AJ226" i="9"/>
  <c r="A227" i="9"/>
  <c r="AJ227" i="9"/>
  <c r="A228" i="9"/>
  <c r="AI228" i="9"/>
  <c r="AI229" i="9" s="1"/>
  <c r="AJ228" i="9"/>
  <c r="A229" i="9"/>
  <c r="AJ229" i="9"/>
  <c r="A230" i="9"/>
  <c r="AI230" i="9"/>
  <c r="AI231" i="9" s="1"/>
  <c r="AI232" i="9" s="1"/>
  <c r="AI233" i="9" s="1"/>
  <c r="AI234" i="9" s="1"/>
  <c r="AJ230" i="9"/>
  <c r="A231" i="9"/>
  <c r="F231" i="9"/>
  <c r="AJ231" i="9"/>
  <c r="A232" i="9"/>
  <c r="F232" i="9"/>
  <c r="AJ232" i="9"/>
  <c r="A233" i="9"/>
  <c r="Y233" i="9"/>
  <c r="Z233" i="9"/>
  <c r="AA233" i="9"/>
  <c r="AB233" i="9"/>
  <c r="AC233" i="9"/>
  <c r="AJ233" i="9"/>
  <c r="A234" i="9"/>
  <c r="AJ234" i="9"/>
  <c r="A235" i="9"/>
  <c r="AI235" i="9"/>
  <c r="AI236" i="9" s="1"/>
  <c r="AI237" i="9" s="1"/>
  <c r="AI238" i="9" s="1"/>
  <c r="AI239" i="9" s="1"/>
  <c r="AI240" i="9" s="1"/>
  <c r="AJ235" i="9"/>
  <c r="A236" i="9"/>
  <c r="F236" i="9"/>
  <c r="AJ236" i="9"/>
  <c r="A237" i="9"/>
  <c r="F237" i="9"/>
  <c r="AJ237" i="9"/>
  <c r="A238" i="9"/>
  <c r="F238" i="9"/>
  <c r="AJ238" i="9"/>
  <c r="A239" i="9"/>
  <c r="F239" i="9"/>
  <c r="AJ239" i="9"/>
  <c r="A240" i="9"/>
  <c r="F240" i="9"/>
  <c r="AJ240" i="9"/>
  <c r="A241" i="9"/>
  <c r="AJ241" i="9"/>
  <c r="A242" i="9"/>
  <c r="AI242" i="9"/>
  <c r="AI243" i="9" s="1"/>
  <c r="AJ242" i="9"/>
  <c r="A243" i="9"/>
  <c r="F243" i="9"/>
  <c r="AJ243" i="9"/>
  <c r="A244" i="9"/>
  <c r="F244" i="9"/>
  <c r="AJ244" i="9"/>
  <c r="A245" i="9"/>
  <c r="F245" i="9"/>
  <c r="AJ245" i="9"/>
  <c r="A246" i="9"/>
  <c r="F246" i="9"/>
  <c r="AJ246" i="9"/>
  <c r="A247" i="9"/>
  <c r="T247" i="9"/>
  <c r="U247" i="9"/>
  <c r="V247" i="9"/>
  <c r="W247" i="9"/>
  <c r="Y247" i="9"/>
  <c r="Z247" i="9"/>
  <c r="AA247" i="9"/>
  <c r="AB247" i="9"/>
  <c r="AC247" i="9"/>
  <c r="AJ247" i="9"/>
  <c r="A248" i="9"/>
  <c r="AJ248" i="9"/>
  <c r="A249" i="9"/>
  <c r="AI249" i="9"/>
  <c r="AI250" i="9" s="1"/>
  <c r="AI251" i="9" s="1"/>
  <c r="AJ249" i="9"/>
  <c r="A250" i="9"/>
  <c r="F250" i="9"/>
  <c r="AJ250" i="9"/>
  <c r="A251" i="9"/>
  <c r="F251" i="9"/>
  <c r="AJ251" i="9"/>
  <c r="A252" i="9"/>
  <c r="T252" i="9"/>
  <c r="U252" i="9"/>
  <c r="V252" i="9"/>
  <c r="W252" i="9"/>
  <c r="Y252" i="9"/>
  <c r="Z252" i="9"/>
  <c r="AA252" i="9"/>
  <c r="AB252" i="9"/>
  <c r="AC252" i="9"/>
  <c r="AJ252" i="9"/>
  <c r="A253" i="9"/>
  <c r="AJ253" i="9"/>
  <c r="A254" i="9"/>
  <c r="AI254" i="9"/>
  <c r="AI255" i="9" s="1"/>
  <c r="AI256" i="9" s="1"/>
  <c r="AJ254" i="9"/>
  <c r="A255" i="9"/>
  <c r="F255" i="9"/>
  <c r="AJ255" i="9"/>
  <c r="A256" i="9"/>
  <c r="AJ256" i="9"/>
  <c r="A257" i="9"/>
  <c r="AI257" i="9"/>
  <c r="AI258" i="9" s="1"/>
  <c r="AJ257" i="9"/>
  <c r="A258" i="9"/>
  <c r="F258" i="9"/>
  <c r="AJ258" i="9"/>
  <c r="A259" i="9"/>
  <c r="T259" i="9"/>
  <c r="U259" i="9"/>
  <c r="V259" i="9"/>
  <c r="W259" i="9"/>
  <c r="Y259" i="9"/>
  <c r="Z259" i="9"/>
  <c r="AA259" i="9"/>
  <c r="AB259" i="9"/>
  <c r="AC259" i="9"/>
  <c r="AJ259" i="9"/>
  <c r="A260" i="9"/>
  <c r="AJ260" i="9"/>
  <c r="A261" i="9"/>
  <c r="AI261" i="9"/>
  <c r="AI262" i="9" s="1"/>
  <c r="AI263" i="9" s="1"/>
  <c r="AI264" i="9" s="1"/>
  <c r="AJ261" i="9"/>
  <c r="A262" i="9"/>
  <c r="F262" i="9"/>
  <c r="AJ262" i="9"/>
  <c r="A263" i="9"/>
  <c r="F263" i="9"/>
  <c r="AJ263" i="9"/>
  <c r="A264" i="9"/>
  <c r="T264" i="9"/>
  <c r="U264" i="9"/>
  <c r="V264" i="9"/>
  <c r="W264" i="9"/>
  <c r="Y264" i="9"/>
  <c r="Z264" i="9"/>
  <c r="AA264" i="9"/>
  <c r="AB264" i="9"/>
  <c r="AC264" i="9"/>
  <c r="AJ264" i="9"/>
  <c r="A265" i="9"/>
  <c r="AJ265" i="9"/>
  <c r="A266" i="9"/>
  <c r="AI266" i="9"/>
  <c r="AI267" i="9" s="1"/>
  <c r="AI268" i="9" s="1"/>
  <c r="AJ266" i="9"/>
  <c r="A267" i="9"/>
  <c r="F267" i="9"/>
  <c r="AJ267" i="9"/>
  <c r="A268" i="9"/>
  <c r="F268" i="9"/>
  <c r="AJ268" i="9"/>
  <c r="A269" i="9"/>
  <c r="F269" i="9"/>
  <c r="AJ269" i="9"/>
  <c r="A270" i="9"/>
  <c r="T270" i="9"/>
  <c r="U270" i="9"/>
  <c r="V270" i="9"/>
  <c r="W270" i="9"/>
  <c r="Y270" i="9"/>
  <c r="Z270" i="9"/>
  <c r="AA270" i="9"/>
  <c r="AB270" i="9"/>
  <c r="AC270" i="9"/>
  <c r="AJ270" i="9"/>
  <c r="A271" i="9"/>
  <c r="AJ271" i="9"/>
  <c r="A272" i="9"/>
  <c r="AI272" i="9"/>
  <c r="AI273" i="9" s="1"/>
  <c r="AI274" i="9" s="1"/>
  <c r="AI275" i="9" s="1"/>
  <c r="AI276" i="9" s="1"/>
  <c r="AJ272" i="9"/>
  <c r="A273" i="9"/>
  <c r="F273" i="9"/>
  <c r="AJ273" i="9"/>
  <c r="A274" i="9"/>
  <c r="F274" i="9"/>
  <c r="AJ274" i="9"/>
  <c r="A275" i="9"/>
  <c r="T275" i="9"/>
  <c r="U275" i="9"/>
  <c r="V275" i="9"/>
  <c r="W275" i="9"/>
  <c r="Y275" i="9"/>
  <c r="Z275" i="9"/>
  <c r="AA275" i="9"/>
  <c r="AB275" i="9"/>
  <c r="AC275" i="9"/>
  <c r="AJ275" i="9"/>
  <c r="A276" i="9"/>
  <c r="AJ276" i="9"/>
  <c r="A277" i="9"/>
  <c r="AI277" i="9"/>
  <c r="AI278" i="9" s="1"/>
  <c r="AI279" i="9" s="1"/>
  <c r="AJ277" i="9"/>
  <c r="A278" i="9"/>
  <c r="F278" i="9"/>
  <c r="AJ278" i="9"/>
  <c r="A279" i="9"/>
  <c r="F279" i="9"/>
  <c r="AJ279" i="9"/>
  <c r="A280" i="9"/>
  <c r="F280" i="9"/>
  <c r="AJ280" i="9"/>
  <c r="A281" i="9"/>
  <c r="T281" i="9"/>
  <c r="U281" i="9"/>
  <c r="V281" i="9"/>
  <c r="W281" i="9"/>
  <c r="Y281" i="9"/>
  <c r="Z281" i="9"/>
  <c r="AA281" i="9"/>
  <c r="AB281" i="9"/>
  <c r="AC281" i="9"/>
  <c r="AJ281" i="9"/>
  <c r="A282" i="9"/>
  <c r="AJ282" i="9"/>
  <c r="A283" i="9"/>
  <c r="AI283" i="9"/>
  <c r="AI284" i="9" s="1"/>
  <c r="AI285" i="9" s="1"/>
  <c r="AI286" i="9" s="1"/>
  <c r="AI287" i="9" s="1"/>
  <c r="AJ283" i="9"/>
  <c r="A284" i="9"/>
  <c r="F284" i="9"/>
  <c r="AJ284" i="9"/>
  <c r="A285" i="9"/>
  <c r="F285" i="9"/>
  <c r="AJ285" i="9"/>
  <c r="A286" i="9"/>
  <c r="T286" i="9"/>
  <c r="U286" i="9"/>
  <c r="V286" i="9"/>
  <c r="W286" i="9"/>
  <c r="Y286" i="9"/>
  <c r="Z286" i="9"/>
  <c r="AA286" i="9"/>
  <c r="AB286" i="9"/>
  <c r="AC286" i="9"/>
  <c r="AJ286" i="9"/>
  <c r="A287" i="9"/>
  <c r="AJ287" i="9"/>
  <c r="A288" i="9"/>
  <c r="AI288" i="9"/>
  <c r="AI289" i="9" s="1"/>
  <c r="AI290" i="9" s="1"/>
  <c r="AI291" i="9" s="1"/>
  <c r="AJ288" i="9"/>
  <c r="A289" i="9"/>
  <c r="F289" i="9"/>
  <c r="AJ289" i="9"/>
  <c r="A290" i="9"/>
  <c r="F290" i="9"/>
  <c r="AJ290" i="9"/>
  <c r="A291" i="9"/>
  <c r="T291" i="9"/>
  <c r="U291" i="9"/>
  <c r="V291" i="9"/>
  <c r="W291" i="9"/>
  <c r="Y291" i="9"/>
  <c r="Z291" i="9"/>
  <c r="AA291" i="9"/>
  <c r="AB291" i="9"/>
  <c r="AC291" i="9"/>
  <c r="AJ291" i="9"/>
  <c r="A292" i="9"/>
  <c r="AJ292" i="9"/>
  <c r="A293" i="9"/>
  <c r="AI293" i="9"/>
  <c r="AI294" i="9" s="1"/>
  <c r="AI295" i="9" s="1"/>
  <c r="AI296" i="9" s="1"/>
  <c r="AI297" i="9" s="1"/>
  <c r="AJ293" i="9"/>
  <c r="A294" i="9"/>
  <c r="F294" i="9"/>
  <c r="AJ294" i="9"/>
  <c r="A295" i="9"/>
  <c r="F295" i="9"/>
  <c r="AJ295" i="9"/>
  <c r="A296" i="9"/>
  <c r="T296" i="9"/>
  <c r="U296" i="9"/>
  <c r="V296" i="9"/>
  <c r="W296" i="9"/>
  <c r="Y296" i="9"/>
  <c r="Z296" i="9"/>
  <c r="AA296" i="9"/>
  <c r="AB296" i="9"/>
  <c r="AC296" i="9"/>
  <c r="AJ296" i="9"/>
  <c r="A297" i="9"/>
  <c r="AJ297" i="9"/>
  <c r="A298" i="9"/>
  <c r="AI298" i="9"/>
  <c r="AI299" i="9" s="1"/>
  <c r="AI300" i="9" s="1"/>
  <c r="AJ298" i="9"/>
  <c r="A299" i="9"/>
  <c r="F299" i="9"/>
  <c r="AJ299" i="9"/>
  <c r="A300" i="9"/>
  <c r="F300" i="9"/>
  <c r="AJ300" i="9"/>
  <c r="A301" i="9"/>
  <c r="T301" i="9"/>
  <c r="U301" i="9"/>
  <c r="V301" i="9"/>
  <c r="W301" i="9"/>
  <c r="Y301" i="9"/>
  <c r="Z301" i="9"/>
  <c r="AA301" i="9"/>
  <c r="AB301" i="9"/>
  <c r="AC301" i="9"/>
  <c r="AJ301" i="9"/>
  <c r="A302" i="9"/>
  <c r="AJ302" i="9"/>
  <c r="A303" i="9"/>
  <c r="AI303" i="9"/>
  <c r="AI304" i="9" s="1"/>
  <c r="AJ303" i="9"/>
  <c r="A304" i="9"/>
  <c r="AJ304" i="9"/>
  <c r="A305" i="9"/>
  <c r="AI305" i="9"/>
  <c r="AI306" i="9" s="1"/>
  <c r="AI307" i="9" s="1"/>
  <c r="AI308" i="9" s="1"/>
  <c r="AJ305" i="9"/>
  <c r="A306" i="9"/>
  <c r="F306" i="9"/>
  <c r="AJ306" i="9"/>
  <c r="A307" i="9"/>
  <c r="T307" i="9"/>
  <c r="U307" i="9"/>
  <c r="V307" i="9"/>
  <c r="W307" i="9"/>
  <c r="Y307" i="9"/>
  <c r="Z307" i="9"/>
  <c r="AA307" i="9"/>
  <c r="AB307" i="9"/>
  <c r="AC307" i="9"/>
  <c r="AJ307" i="9"/>
  <c r="A308" i="9"/>
  <c r="AJ308" i="9"/>
  <c r="A309" i="9"/>
  <c r="AI309" i="9"/>
  <c r="AI310" i="9" s="1"/>
  <c r="AJ309" i="9"/>
  <c r="A310" i="9"/>
  <c r="F310" i="9"/>
  <c r="AJ310" i="9"/>
  <c r="A311" i="9"/>
  <c r="T311" i="9"/>
  <c r="U311" i="9"/>
  <c r="V311" i="9"/>
  <c r="W311" i="9"/>
  <c r="Y311" i="9"/>
  <c r="Z311" i="9"/>
  <c r="AA311" i="9"/>
  <c r="AB311" i="9"/>
  <c r="AC311" i="9"/>
  <c r="AJ311" i="9"/>
  <c r="A312" i="9"/>
  <c r="AJ312" i="9"/>
  <c r="A313" i="9"/>
  <c r="AJ313" i="9"/>
  <c r="A314" i="9"/>
  <c r="AI314" i="9"/>
  <c r="AI315" i="9" s="1"/>
  <c r="AI316" i="9" s="1"/>
  <c r="AJ314" i="9"/>
  <c r="A315" i="9"/>
  <c r="F315" i="9"/>
  <c r="AJ315" i="9"/>
  <c r="A316" i="9"/>
  <c r="T316" i="9"/>
  <c r="U316" i="9"/>
  <c r="V316" i="9"/>
  <c r="W316" i="9"/>
  <c r="Y316" i="9"/>
  <c r="Z316" i="9"/>
  <c r="AA316" i="9"/>
  <c r="AB316" i="9"/>
  <c r="AC316" i="9"/>
  <c r="AJ316" i="9"/>
  <c r="A317" i="9"/>
  <c r="AJ317" i="9"/>
  <c r="A318" i="9"/>
  <c r="AI318" i="9"/>
  <c r="AI319" i="9" s="1"/>
  <c r="AJ318" i="9"/>
  <c r="A319" i="9"/>
  <c r="F319" i="9"/>
  <c r="AJ319" i="9"/>
  <c r="A320" i="9"/>
  <c r="T320" i="9"/>
  <c r="U320" i="9"/>
  <c r="V320" i="9"/>
  <c r="W320" i="9"/>
  <c r="Y320" i="9"/>
  <c r="Z320" i="9"/>
  <c r="AA320" i="9"/>
  <c r="AB320" i="9"/>
  <c r="AC320" i="9"/>
  <c r="AJ320" i="9"/>
  <c r="A321" i="9"/>
  <c r="AJ321" i="9"/>
  <c r="A322" i="9"/>
  <c r="AI322" i="9"/>
  <c r="AJ322" i="9"/>
  <c r="A323" i="9"/>
  <c r="F323" i="9"/>
  <c r="AI323" i="9"/>
  <c r="AI324" i="9" s="1"/>
  <c r="AJ323" i="9"/>
  <c r="A324" i="9"/>
  <c r="T324" i="9"/>
  <c r="U324" i="9"/>
  <c r="V324" i="9"/>
  <c r="W324" i="9"/>
  <c r="Y324" i="9"/>
  <c r="Z324" i="9"/>
  <c r="AA324" i="9"/>
  <c r="AB324" i="9"/>
  <c r="AC324" i="9"/>
  <c r="AJ324" i="9"/>
  <c r="A325" i="9"/>
  <c r="AJ325" i="9"/>
  <c r="A326" i="9"/>
  <c r="AI326" i="9"/>
  <c r="AI327" i="9" s="1"/>
  <c r="AJ326" i="9"/>
  <c r="A327" i="9"/>
  <c r="F327" i="9"/>
  <c r="AJ327" i="9"/>
  <c r="A328" i="9"/>
  <c r="T328" i="9"/>
  <c r="U328" i="9"/>
  <c r="V328" i="9"/>
  <c r="W328" i="9"/>
  <c r="Y328" i="9"/>
  <c r="Z328" i="9"/>
  <c r="AA328" i="9"/>
  <c r="AB328" i="9"/>
  <c r="AC328" i="9"/>
  <c r="AJ328" i="9"/>
  <c r="A329" i="9"/>
  <c r="AJ329" i="9"/>
  <c r="A330" i="9"/>
  <c r="AI330" i="9"/>
  <c r="AJ330" i="9"/>
  <c r="A331" i="9"/>
  <c r="F331" i="9"/>
  <c r="AI331" i="9"/>
  <c r="AI332" i="9" s="1"/>
  <c r="AI333" i="9" s="1"/>
  <c r="AJ331" i="9"/>
  <c r="A332" i="9"/>
  <c r="T332" i="9"/>
  <c r="U332" i="9"/>
  <c r="V332" i="9"/>
  <c r="W332" i="9"/>
  <c r="Y332" i="9"/>
  <c r="Z332" i="9"/>
  <c r="AA332" i="9"/>
  <c r="AB332" i="9"/>
  <c r="AC332" i="9"/>
  <c r="AJ332" i="9"/>
  <c r="A333" i="9"/>
  <c r="AJ333" i="9"/>
  <c r="A334" i="9"/>
  <c r="AI334" i="9"/>
  <c r="AI335" i="9" s="1"/>
  <c r="AI336" i="9" s="1"/>
  <c r="AJ334" i="9"/>
  <c r="A335" i="9"/>
  <c r="F335" i="9"/>
  <c r="AJ335" i="9"/>
  <c r="A336" i="9"/>
  <c r="T336" i="9"/>
  <c r="U336" i="9"/>
  <c r="V336" i="9"/>
  <c r="W336" i="9"/>
  <c r="Y336" i="9"/>
  <c r="Z336" i="9"/>
  <c r="AA336" i="9"/>
  <c r="AB336" i="9"/>
  <c r="AC336" i="9"/>
  <c r="AJ336" i="9"/>
  <c r="A337" i="9"/>
  <c r="AJ337" i="9"/>
  <c r="A338" i="9"/>
  <c r="AI338" i="9"/>
  <c r="AI339" i="9" s="1"/>
  <c r="AJ338" i="9"/>
  <c r="A339" i="9"/>
  <c r="F339" i="9"/>
  <c r="AJ339" i="9"/>
  <c r="A340" i="9"/>
  <c r="T340" i="9"/>
  <c r="U340" i="9"/>
  <c r="V340" i="9"/>
  <c r="W340" i="9"/>
  <c r="Y340" i="9"/>
  <c r="Z340" i="9"/>
  <c r="AA340" i="9"/>
  <c r="AB340" i="9"/>
  <c r="AC340" i="9"/>
  <c r="AJ340" i="9"/>
  <c r="A341" i="9"/>
  <c r="AJ341" i="9"/>
  <c r="A342" i="9"/>
  <c r="AI342" i="9"/>
  <c r="AJ342" i="9"/>
  <c r="A343" i="9"/>
  <c r="F343" i="9"/>
  <c r="AJ343" i="9"/>
  <c r="A344" i="9"/>
  <c r="T344" i="9"/>
  <c r="U344" i="9"/>
  <c r="V344" i="9"/>
  <c r="W344" i="9"/>
  <c r="Y344" i="9"/>
  <c r="Z344" i="9"/>
  <c r="AA344" i="9"/>
  <c r="AB344" i="9"/>
  <c r="AC344" i="9"/>
  <c r="AJ344" i="9"/>
  <c r="A345" i="9"/>
  <c r="AJ345" i="9"/>
  <c r="A346" i="9"/>
  <c r="AI346" i="9"/>
  <c r="AI347" i="9" s="1"/>
  <c r="AJ346" i="9"/>
  <c r="A347" i="9"/>
  <c r="F347" i="9"/>
  <c r="AJ347" i="9"/>
  <c r="A348" i="9"/>
  <c r="T348" i="9"/>
  <c r="U348" i="9"/>
  <c r="V348" i="9"/>
  <c r="W348" i="9"/>
  <c r="Y348" i="9"/>
  <c r="Z348" i="9"/>
  <c r="AA348" i="9"/>
  <c r="AB348" i="9"/>
  <c r="AC348" i="9"/>
  <c r="AI348" i="9"/>
  <c r="AI349" i="9" s="1"/>
  <c r="AJ348" i="9"/>
  <c r="A349" i="9"/>
  <c r="AJ349" i="9"/>
  <c r="A350" i="9"/>
  <c r="AI350" i="9"/>
  <c r="AI351" i="9" s="1"/>
  <c r="AI352" i="9" s="1"/>
  <c r="AJ350" i="9"/>
  <c r="A351" i="9"/>
  <c r="AJ351" i="9"/>
  <c r="A352" i="9"/>
  <c r="AJ352" i="9"/>
  <c r="A353" i="9"/>
  <c r="AI353" i="9"/>
  <c r="AI354" i="9" s="1"/>
  <c r="AI355" i="9" s="1"/>
  <c r="AI356" i="9" s="1"/>
  <c r="AJ353" i="9"/>
  <c r="A354" i="9"/>
  <c r="F354" i="9"/>
  <c r="G354" i="9"/>
  <c r="AJ354" i="9"/>
  <c r="A355" i="9"/>
  <c r="F355" i="9"/>
  <c r="G355" i="9"/>
  <c r="AJ355" i="9"/>
  <c r="A356" i="9"/>
  <c r="T356" i="9"/>
  <c r="U356" i="9"/>
  <c r="V356" i="9"/>
  <c r="W356" i="9"/>
  <c r="Y356" i="9"/>
  <c r="Z356" i="9"/>
  <c r="AA356" i="9"/>
  <c r="AB356" i="9"/>
  <c r="AC356" i="9"/>
  <c r="AJ356" i="9"/>
  <c r="A357" i="9"/>
  <c r="AJ357" i="9"/>
  <c r="A358" i="9"/>
  <c r="AI358" i="9"/>
  <c r="AJ358" i="9"/>
  <c r="A359" i="9"/>
  <c r="F359" i="9"/>
  <c r="AJ359" i="9"/>
  <c r="A360" i="9"/>
  <c r="F360" i="9"/>
  <c r="AJ360" i="9"/>
  <c r="A361" i="9"/>
  <c r="T361" i="9"/>
  <c r="U361" i="9"/>
  <c r="V361" i="9"/>
  <c r="W361" i="9"/>
  <c r="Y361" i="9"/>
  <c r="Z361" i="9"/>
  <c r="AA361" i="9"/>
  <c r="AB361" i="9"/>
  <c r="AC361" i="9"/>
  <c r="AJ361" i="9"/>
  <c r="A362" i="9"/>
  <c r="AJ362" i="9"/>
  <c r="A363" i="9"/>
  <c r="AI363" i="9"/>
  <c r="AJ363" i="9"/>
  <c r="A364" i="9"/>
  <c r="F364" i="9"/>
  <c r="G364" i="9"/>
  <c r="AJ364" i="9"/>
  <c r="A365" i="9"/>
  <c r="F365" i="9"/>
  <c r="G365" i="9"/>
  <c r="AJ365" i="9"/>
  <c r="A366" i="9"/>
  <c r="T366" i="9"/>
  <c r="U366" i="9"/>
  <c r="V366" i="9"/>
  <c r="W366" i="9"/>
  <c r="Y366" i="9"/>
  <c r="Z366" i="9"/>
  <c r="AA366" i="9"/>
  <c r="AB366" i="9"/>
  <c r="AC366" i="9"/>
  <c r="AJ366" i="9"/>
  <c r="A367" i="9"/>
  <c r="AJ367" i="9"/>
  <c r="A368" i="9"/>
  <c r="AI368" i="9"/>
  <c r="AJ368" i="9"/>
  <c r="A369" i="9"/>
  <c r="F369" i="9"/>
  <c r="AJ369" i="9"/>
  <c r="A370" i="9"/>
  <c r="T370" i="9"/>
  <c r="U370" i="9"/>
  <c r="V370" i="9"/>
  <c r="W370" i="9"/>
  <c r="Y370" i="9"/>
  <c r="Z370" i="9"/>
  <c r="AA370" i="9"/>
  <c r="AB370" i="9"/>
  <c r="AC370" i="9"/>
  <c r="AJ370" i="9"/>
  <c r="A371" i="9"/>
  <c r="AJ371" i="9"/>
  <c r="A372" i="9"/>
  <c r="AI372" i="9"/>
  <c r="AI373" i="9" s="1"/>
  <c r="AI374" i="9" s="1"/>
  <c r="AI375" i="9" s="1"/>
  <c r="AJ372" i="9"/>
  <c r="A373" i="9"/>
  <c r="F373" i="9"/>
  <c r="G373" i="9"/>
  <c r="AJ373" i="9"/>
  <c r="A374" i="9"/>
  <c r="F374" i="9"/>
  <c r="G374" i="9"/>
  <c r="AJ374" i="9"/>
  <c r="A375" i="9"/>
  <c r="T375" i="9"/>
  <c r="U375" i="9"/>
  <c r="V375" i="9"/>
  <c r="W375" i="9"/>
  <c r="Y375" i="9"/>
  <c r="Z375" i="9"/>
  <c r="AA375" i="9"/>
  <c r="AB375" i="9"/>
  <c r="AC375" i="9"/>
  <c r="AJ375" i="9"/>
  <c r="A376" i="9"/>
  <c r="AJ376" i="9"/>
  <c r="A377" i="9"/>
  <c r="AI377" i="9"/>
  <c r="AJ377" i="9"/>
  <c r="A378" i="9"/>
  <c r="F378" i="9"/>
  <c r="AJ378" i="9"/>
  <c r="A379" i="9"/>
  <c r="F379" i="9"/>
  <c r="AJ379" i="9"/>
  <c r="A380" i="9"/>
  <c r="T380" i="9"/>
  <c r="U380" i="9"/>
  <c r="V380" i="9"/>
  <c r="W380" i="9"/>
  <c r="Y380" i="9"/>
  <c r="Z380" i="9"/>
  <c r="AA380" i="9"/>
  <c r="AB380" i="9"/>
  <c r="AC380" i="9"/>
  <c r="AJ380" i="9"/>
  <c r="A381" i="9"/>
  <c r="AJ381" i="9"/>
  <c r="A382" i="9"/>
  <c r="AI382" i="9"/>
  <c r="AI383" i="9" s="1"/>
  <c r="AI384" i="9" s="1"/>
  <c r="AJ382" i="9"/>
  <c r="A383" i="9"/>
  <c r="F383" i="9"/>
  <c r="AJ383" i="9"/>
  <c r="A384" i="9"/>
  <c r="T384" i="9"/>
  <c r="U384" i="9"/>
  <c r="V384" i="9"/>
  <c r="W384" i="9"/>
  <c r="Y384" i="9"/>
  <c r="Z384" i="9"/>
  <c r="AA384" i="9"/>
  <c r="AB384" i="9"/>
  <c r="AC384" i="9"/>
  <c r="AJ384" i="9"/>
  <c r="A385" i="9"/>
  <c r="AJ385" i="9"/>
  <c r="A386" i="9"/>
  <c r="AI386" i="9"/>
  <c r="AI387" i="9" s="1"/>
  <c r="AI388" i="9" s="1"/>
  <c r="AI389" i="9" s="1"/>
  <c r="AI390" i="9" s="1"/>
  <c r="AJ386" i="9"/>
  <c r="A387" i="9"/>
  <c r="F387" i="9"/>
  <c r="G387" i="9"/>
  <c r="AJ387" i="9"/>
  <c r="A388" i="9"/>
  <c r="F388" i="9"/>
  <c r="G388" i="9"/>
  <c r="AJ388" i="9"/>
  <c r="A389" i="9"/>
  <c r="T389" i="9"/>
  <c r="U389" i="9"/>
  <c r="V389" i="9"/>
  <c r="W389" i="9"/>
  <c r="Y389" i="9"/>
  <c r="Z389" i="9"/>
  <c r="AA389" i="9"/>
  <c r="AB389" i="9"/>
  <c r="AC389" i="9"/>
  <c r="AJ389" i="9"/>
  <c r="A390" i="9"/>
  <c r="AJ390" i="9"/>
  <c r="A391" i="9"/>
  <c r="AI391" i="9"/>
  <c r="AI392" i="9" s="1"/>
  <c r="AI393" i="9" s="1"/>
  <c r="AI394" i="9" s="1"/>
  <c r="AJ391" i="9"/>
  <c r="A392" i="9"/>
  <c r="F392" i="9"/>
  <c r="G392" i="9"/>
  <c r="AJ392" i="9"/>
  <c r="A393" i="9"/>
  <c r="F393" i="9"/>
  <c r="G393" i="9"/>
  <c r="AJ393" i="9"/>
  <c r="A394" i="9"/>
  <c r="T394" i="9"/>
  <c r="U394" i="9"/>
  <c r="V394" i="9"/>
  <c r="W394" i="9"/>
  <c r="Y394" i="9"/>
  <c r="Z394" i="9"/>
  <c r="AA394" i="9"/>
  <c r="AB394" i="9"/>
  <c r="AC394" i="9"/>
  <c r="AJ394" i="9"/>
  <c r="A395" i="9"/>
  <c r="AJ395" i="9"/>
  <c r="A396" i="9"/>
  <c r="AI396" i="9"/>
  <c r="AI397" i="9" s="1"/>
  <c r="AI398" i="9" s="1"/>
  <c r="AI399" i="9" s="1"/>
  <c r="AJ396" i="9"/>
  <c r="A397" i="9"/>
  <c r="F397" i="9"/>
  <c r="G397" i="9"/>
  <c r="AJ397" i="9"/>
  <c r="A398" i="9"/>
  <c r="F398" i="9"/>
  <c r="G398" i="9"/>
  <c r="AJ398" i="9"/>
  <c r="A399" i="9"/>
  <c r="T399" i="9"/>
  <c r="U399" i="9"/>
  <c r="V399" i="9"/>
  <c r="W399" i="9"/>
  <c r="Y399" i="9"/>
  <c r="Z399" i="9"/>
  <c r="AA399" i="9"/>
  <c r="AB399" i="9"/>
  <c r="AC399" i="9"/>
  <c r="AJ399" i="9"/>
  <c r="A400" i="9"/>
  <c r="AJ400" i="9"/>
  <c r="A401" i="9"/>
  <c r="AI401" i="9"/>
  <c r="AJ401" i="9"/>
  <c r="A402" i="9"/>
  <c r="F402" i="9"/>
  <c r="G402" i="9"/>
  <c r="AJ402" i="9"/>
  <c r="A403" i="9"/>
  <c r="F403" i="9"/>
  <c r="G403" i="9"/>
  <c r="AJ403" i="9"/>
  <c r="A404" i="9"/>
  <c r="T404" i="9"/>
  <c r="U404" i="9"/>
  <c r="V404" i="9"/>
  <c r="W404" i="9"/>
  <c r="Y404" i="9"/>
  <c r="Z404" i="9"/>
  <c r="AA404" i="9"/>
  <c r="AB404" i="9"/>
  <c r="AC404" i="9"/>
  <c r="AJ404" i="9"/>
  <c r="A405" i="9"/>
  <c r="AJ405" i="9"/>
  <c r="A406" i="9"/>
  <c r="AI406" i="9"/>
  <c r="AI407" i="9" s="1"/>
  <c r="AJ406" i="9"/>
  <c r="A407" i="9"/>
  <c r="AJ407" i="9"/>
  <c r="A408" i="9"/>
  <c r="AJ408" i="9"/>
  <c r="A409" i="9"/>
  <c r="AI409" i="9"/>
  <c r="AJ409" i="9"/>
  <c r="A410" i="9"/>
  <c r="F410" i="9"/>
  <c r="AJ410" i="9"/>
  <c r="A411" i="9"/>
  <c r="T411" i="9"/>
  <c r="U411" i="9"/>
  <c r="V411" i="9"/>
  <c r="W411" i="9"/>
  <c r="Y411" i="9"/>
  <c r="Z411" i="9"/>
  <c r="AA411" i="9"/>
  <c r="AB411" i="9"/>
  <c r="AC411" i="9"/>
  <c r="AJ411" i="9"/>
  <c r="A412" i="9"/>
  <c r="AJ412" i="9"/>
  <c r="A413" i="9"/>
  <c r="AI413" i="9"/>
  <c r="AJ413" i="9"/>
  <c r="A414" i="9"/>
  <c r="F414" i="9"/>
  <c r="AJ414" i="9"/>
  <c r="A415" i="9"/>
  <c r="F415" i="9"/>
  <c r="AJ415" i="9"/>
  <c r="A416" i="9"/>
  <c r="T416" i="9"/>
  <c r="U416" i="9"/>
  <c r="V416" i="9"/>
  <c r="W416" i="9"/>
  <c r="Y416" i="9"/>
  <c r="Z416" i="9"/>
  <c r="AA416" i="9"/>
  <c r="AB416" i="9"/>
  <c r="AC416" i="9"/>
  <c r="AJ416" i="9"/>
  <c r="A417" i="9"/>
  <c r="AJ417" i="9"/>
  <c r="A418" i="9"/>
  <c r="AI418" i="9"/>
  <c r="AI419" i="9" s="1"/>
  <c r="AJ418" i="9"/>
  <c r="A419" i="9"/>
  <c r="F419" i="9"/>
  <c r="AJ419" i="9"/>
  <c r="A420" i="9"/>
  <c r="F420" i="9"/>
  <c r="AJ420" i="9"/>
  <c r="A421" i="9"/>
  <c r="T421" i="9"/>
  <c r="U421" i="9"/>
  <c r="V421" i="9"/>
  <c r="W421" i="9"/>
  <c r="Y421" i="9"/>
  <c r="Z421" i="9"/>
  <c r="AA421" i="9"/>
  <c r="AB421" i="9"/>
  <c r="AC421" i="9"/>
  <c r="AJ421" i="9"/>
  <c r="A422" i="9"/>
  <c r="AJ422" i="9"/>
  <c r="A423" i="9"/>
  <c r="AI423" i="9"/>
  <c r="AI424" i="9" s="1"/>
  <c r="AJ423" i="9"/>
  <c r="A424" i="9"/>
  <c r="F424" i="9"/>
  <c r="AJ424" i="9"/>
  <c r="A425" i="9"/>
  <c r="F425" i="9"/>
  <c r="AJ425" i="9"/>
  <c r="A426" i="9"/>
  <c r="F426" i="9"/>
  <c r="AJ426" i="9"/>
  <c r="A427" i="9"/>
  <c r="T427" i="9"/>
  <c r="U427" i="9"/>
  <c r="V427" i="9"/>
  <c r="W427" i="9"/>
  <c r="Y427" i="9"/>
  <c r="Z427" i="9"/>
  <c r="AA427" i="9"/>
  <c r="AB427" i="9"/>
  <c r="AC427" i="9"/>
  <c r="AJ427" i="9"/>
  <c r="A428" i="9"/>
  <c r="AJ428" i="9"/>
  <c r="A429" i="9"/>
  <c r="AJ429" i="9"/>
  <c r="A430" i="9"/>
  <c r="AI430" i="9"/>
  <c r="AI431" i="9" s="1"/>
  <c r="AJ430" i="9"/>
  <c r="A431" i="9"/>
  <c r="F431" i="9"/>
  <c r="AJ431" i="9"/>
  <c r="A432" i="9"/>
  <c r="F432" i="9"/>
  <c r="AJ432" i="9"/>
  <c r="A433" i="9"/>
  <c r="T433" i="9"/>
  <c r="U433" i="9"/>
  <c r="V433" i="9"/>
  <c r="W433" i="9"/>
  <c r="AJ433" i="9"/>
  <c r="A434" i="9"/>
  <c r="AJ434" i="9"/>
  <c r="A435" i="9"/>
  <c r="AI435" i="9"/>
  <c r="AI436" i="9" s="1"/>
  <c r="AJ435" i="9"/>
  <c r="A436" i="9"/>
  <c r="F436" i="9"/>
  <c r="AJ436" i="9"/>
  <c r="A437" i="9"/>
  <c r="T437" i="9"/>
  <c r="U437" i="9"/>
  <c r="V437" i="9"/>
  <c r="W437" i="9"/>
  <c r="Y437" i="9"/>
  <c r="Z437" i="9"/>
  <c r="AA437" i="9"/>
  <c r="AB437" i="9"/>
  <c r="AC437" i="9"/>
  <c r="AJ437" i="9"/>
  <c r="A438" i="9"/>
  <c r="AJ438" i="9"/>
  <c r="A439" i="9"/>
  <c r="AI439" i="9"/>
  <c r="AJ439" i="9"/>
  <c r="A440" i="9"/>
  <c r="F440" i="9"/>
  <c r="AJ440" i="9"/>
  <c r="A441" i="9"/>
  <c r="F441" i="9"/>
  <c r="AJ441" i="9"/>
  <c r="A442" i="9"/>
  <c r="T442" i="9"/>
  <c r="U442" i="9"/>
  <c r="V442" i="9"/>
  <c r="W442" i="9"/>
  <c r="Y442" i="9"/>
  <c r="Z442" i="9"/>
  <c r="AA442" i="9"/>
  <c r="AB442" i="9"/>
  <c r="AC442" i="9"/>
  <c r="AJ442" i="9"/>
  <c r="A443" i="9"/>
  <c r="AJ443" i="9"/>
  <c r="A444" i="9"/>
  <c r="AJ444" i="9"/>
  <c r="A445" i="9"/>
  <c r="AI445" i="9"/>
  <c r="AJ445" i="9"/>
  <c r="A446" i="9"/>
  <c r="F446" i="9"/>
  <c r="AJ446" i="9"/>
  <c r="A447" i="9"/>
  <c r="F447" i="9"/>
  <c r="AJ447" i="9"/>
  <c r="A448" i="9"/>
  <c r="F448" i="9"/>
  <c r="G448" i="9"/>
  <c r="AJ448" i="9"/>
  <c r="A449" i="9"/>
  <c r="T449" i="9"/>
  <c r="U449" i="9"/>
  <c r="V449" i="9"/>
  <c r="W449" i="9"/>
  <c r="Y449" i="9"/>
  <c r="Z449" i="9"/>
  <c r="AA449" i="9"/>
  <c r="AB449" i="9"/>
  <c r="AC449" i="9"/>
  <c r="AJ449" i="9"/>
  <c r="A450" i="9"/>
  <c r="AJ450" i="9"/>
  <c r="A451" i="9"/>
  <c r="AI451" i="9"/>
  <c r="AJ451" i="9"/>
  <c r="A452" i="9"/>
  <c r="F452" i="9"/>
  <c r="AJ452" i="9"/>
  <c r="A453" i="9"/>
  <c r="F453" i="9"/>
  <c r="AJ453" i="9"/>
  <c r="A454" i="9"/>
  <c r="F454" i="9"/>
  <c r="AJ454" i="9"/>
  <c r="A455" i="9"/>
  <c r="T455" i="9"/>
  <c r="U455" i="9"/>
  <c r="V455" i="9"/>
  <c r="W455" i="9"/>
  <c r="Y455" i="9"/>
  <c r="Z455" i="9"/>
  <c r="AA455" i="9"/>
  <c r="AB455" i="9"/>
  <c r="AC455" i="9"/>
  <c r="AJ455" i="9"/>
  <c r="A456" i="9"/>
  <c r="AJ456" i="9"/>
  <c r="A457" i="9"/>
  <c r="AI457" i="9"/>
  <c r="AI458" i="9" s="1"/>
  <c r="AJ457" i="9"/>
  <c r="A458" i="9"/>
  <c r="AJ458" i="9"/>
  <c r="A459" i="9"/>
  <c r="AI459" i="9"/>
  <c r="AJ459" i="9"/>
  <c r="A460" i="9"/>
  <c r="F460" i="9"/>
  <c r="AI460" i="9"/>
  <c r="AJ460" i="9"/>
  <c r="A461" i="9"/>
  <c r="F461" i="9"/>
  <c r="AJ461" i="9"/>
  <c r="A462" i="9"/>
  <c r="F462" i="9"/>
  <c r="AJ462" i="9"/>
  <c r="A463" i="9"/>
  <c r="F463" i="9"/>
  <c r="AJ463" i="9"/>
  <c r="A464" i="9"/>
  <c r="F464" i="9"/>
  <c r="AJ464" i="9"/>
  <c r="A465" i="9"/>
  <c r="T465" i="9"/>
  <c r="U465" i="9"/>
  <c r="V465" i="9"/>
  <c r="W465" i="9"/>
  <c r="Y465" i="9"/>
  <c r="Z465" i="9"/>
  <c r="AA465" i="9"/>
  <c r="AB465" i="9"/>
  <c r="AC465" i="9"/>
  <c r="AJ465" i="9"/>
  <c r="A466" i="9"/>
  <c r="AJ466" i="9"/>
  <c r="A467" i="9"/>
  <c r="AI467" i="9"/>
  <c r="AJ467" i="9"/>
  <c r="A468" i="9"/>
  <c r="F468" i="9"/>
  <c r="AI468" i="9"/>
  <c r="AI469" i="9" s="1"/>
  <c r="AJ468" i="9"/>
  <c r="A469" i="9"/>
  <c r="T469" i="9"/>
  <c r="U469" i="9"/>
  <c r="V469" i="9"/>
  <c r="W469" i="9"/>
  <c r="Y469" i="9"/>
  <c r="Z469" i="9"/>
  <c r="Z497" i="9" s="1"/>
  <c r="AA469" i="9"/>
  <c r="AB469" i="9"/>
  <c r="AC469" i="9"/>
  <c r="AJ469" i="9"/>
  <c r="A470" i="9"/>
  <c r="AJ470" i="9"/>
  <c r="A471" i="9"/>
  <c r="AI471" i="9"/>
  <c r="AI472" i="9" s="1"/>
  <c r="AJ471" i="9"/>
  <c r="A472" i="9"/>
  <c r="F472" i="9"/>
  <c r="AJ472" i="9"/>
  <c r="A473" i="9"/>
  <c r="F473" i="9"/>
  <c r="AJ473" i="9"/>
  <c r="A474" i="9"/>
  <c r="F474" i="9"/>
  <c r="AJ474" i="9"/>
  <c r="A475" i="9"/>
  <c r="F475" i="9"/>
  <c r="AJ475" i="9"/>
  <c r="A476" i="9"/>
  <c r="F476" i="9"/>
  <c r="AJ476" i="9"/>
  <c r="A477" i="9"/>
  <c r="F477" i="9"/>
  <c r="AJ477" i="9"/>
  <c r="A478" i="9"/>
  <c r="T478" i="9"/>
  <c r="U478" i="9"/>
  <c r="V478" i="9"/>
  <c r="W478" i="9"/>
  <c r="Y478" i="9"/>
  <c r="Z478" i="9"/>
  <c r="AA478" i="9"/>
  <c r="AB478" i="9"/>
  <c r="AC478" i="9"/>
  <c r="AJ478" i="9"/>
  <c r="A479" i="9"/>
  <c r="AJ479" i="9"/>
  <c r="A480" i="9"/>
  <c r="AJ480" i="9"/>
  <c r="A481" i="9"/>
  <c r="F481" i="9"/>
  <c r="AJ481" i="9"/>
  <c r="A482" i="9"/>
  <c r="F482" i="9"/>
  <c r="AJ482" i="9"/>
  <c r="A483" i="9"/>
  <c r="F483" i="9"/>
  <c r="AJ483" i="9"/>
  <c r="A484" i="9"/>
  <c r="F484" i="9"/>
  <c r="AJ484" i="9"/>
  <c r="A485" i="9"/>
  <c r="F485" i="9"/>
  <c r="AJ485" i="9"/>
  <c r="A486" i="9"/>
  <c r="F486" i="9"/>
  <c r="AJ486" i="9"/>
  <c r="A487" i="9"/>
  <c r="AJ487" i="9"/>
  <c r="A488" i="9"/>
  <c r="AJ488" i="9"/>
  <c r="A489" i="9"/>
  <c r="AI489" i="9"/>
  <c r="AJ489" i="9"/>
  <c r="A490" i="9"/>
  <c r="F490" i="9"/>
  <c r="AI490" i="9"/>
  <c r="AI491" i="9" s="1"/>
  <c r="AJ490" i="9"/>
  <c r="A491" i="9"/>
  <c r="F491" i="9"/>
  <c r="AJ491" i="9"/>
  <c r="A492" i="9"/>
  <c r="F492" i="9"/>
  <c r="AJ492" i="9"/>
  <c r="A493" i="9"/>
  <c r="F493" i="9"/>
  <c r="AI493" i="9"/>
  <c r="AJ493" i="9"/>
  <c r="A494" i="9"/>
  <c r="F494" i="9"/>
  <c r="AI494" i="9"/>
  <c r="AI495" i="9" s="1"/>
  <c r="AI496" i="9" s="1"/>
  <c r="AJ494" i="9"/>
  <c r="A495" i="9"/>
  <c r="AJ495" i="9"/>
  <c r="A496" i="9"/>
  <c r="AJ496" i="9"/>
  <c r="A497" i="9"/>
  <c r="AI497" i="9"/>
  <c r="AJ497" i="9"/>
  <c r="A498" i="9"/>
  <c r="AJ498" i="9"/>
  <c r="A499" i="9"/>
  <c r="AI499" i="9"/>
  <c r="AI500" i="9" s="1"/>
  <c r="AJ499" i="9"/>
  <c r="A500" i="9"/>
  <c r="AJ500" i="9"/>
  <c r="A501" i="9"/>
  <c r="AI501" i="9"/>
  <c r="AI502" i="9" s="1"/>
  <c r="AJ501" i="9"/>
  <c r="A502" i="9"/>
  <c r="F502" i="9"/>
  <c r="AJ502" i="9"/>
  <c r="A503" i="9"/>
  <c r="F503" i="9"/>
  <c r="AJ503" i="9"/>
  <c r="A504" i="9"/>
  <c r="O504" i="9"/>
  <c r="P504" i="9"/>
  <c r="Q504" i="9"/>
  <c r="R504" i="9"/>
  <c r="Y504" i="9"/>
  <c r="Z504" i="9"/>
  <c r="AA504" i="9"/>
  <c r="AB504" i="9"/>
  <c r="AC504" i="9"/>
  <c r="AJ504" i="9"/>
  <c r="A505" i="9"/>
  <c r="AJ505" i="9"/>
  <c r="A506" i="9"/>
  <c r="AI506" i="9"/>
  <c r="AI507" i="9" s="1"/>
  <c r="AI508" i="9" s="1"/>
  <c r="AI509" i="9" s="1"/>
  <c r="AJ506" i="9"/>
  <c r="A507" i="9"/>
  <c r="F507" i="9"/>
  <c r="AJ507" i="9"/>
  <c r="A508" i="9"/>
  <c r="O508" i="9"/>
  <c r="P508" i="9"/>
  <c r="Q508" i="9"/>
  <c r="R508" i="9"/>
  <c r="Y508" i="9"/>
  <c r="Z508" i="9"/>
  <c r="AA508" i="9"/>
  <c r="AB508" i="9"/>
  <c r="AC508" i="9"/>
  <c r="AJ508" i="9"/>
  <c r="A509" i="9"/>
  <c r="AJ509" i="9"/>
  <c r="A510" i="9"/>
  <c r="AI510" i="9"/>
  <c r="AJ510" i="9"/>
  <c r="A511" i="9"/>
  <c r="F511" i="9"/>
  <c r="AJ511" i="9"/>
  <c r="A512" i="9"/>
  <c r="O512" i="9"/>
  <c r="P512" i="9"/>
  <c r="Q512" i="9"/>
  <c r="R512" i="9"/>
  <c r="Y512" i="9"/>
  <c r="Z512" i="9"/>
  <c r="AA512" i="9"/>
  <c r="AB512" i="9"/>
  <c r="AC512" i="9"/>
  <c r="AJ512" i="9"/>
  <c r="A513" i="9"/>
  <c r="AJ513" i="9"/>
  <c r="A514" i="9"/>
  <c r="AI514" i="9"/>
  <c r="AI515" i="9" s="1"/>
  <c r="AI516" i="9" s="1"/>
  <c r="AJ514" i="9"/>
  <c r="A515" i="9"/>
  <c r="F515" i="9"/>
  <c r="AJ515" i="9"/>
  <c r="A516" i="9"/>
  <c r="O516" i="9"/>
  <c r="P516" i="9"/>
  <c r="Q516" i="9"/>
  <c r="R516" i="9"/>
  <c r="Y516" i="9"/>
  <c r="Z516" i="9"/>
  <c r="AA516" i="9"/>
  <c r="AB516" i="9"/>
  <c r="AC516" i="9"/>
  <c r="AJ516" i="9"/>
  <c r="A517" i="9"/>
  <c r="AJ517" i="9"/>
  <c r="A518" i="9"/>
  <c r="AI518" i="9"/>
  <c r="AI519" i="9" s="1"/>
  <c r="AI520" i="9" s="1"/>
  <c r="AJ518" i="9"/>
  <c r="A519" i="9"/>
  <c r="F519" i="9"/>
  <c r="AJ519" i="9"/>
  <c r="A520" i="9"/>
  <c r="O520" i="9"/>
  <c r="P520" i="9"/>
  <c r="Q520" i="9"/>
  <c r="R520" i="9"/>
  <c r="Y520" i="9"/>
  <c r="Z520" i="9"/>
  <c r="AA520" i="9"/>
  <c r="AB520" i="9"/>
  <c r="AC520" i="9"/>
  <c r="AJ520" i="9"/>
  <c r="A521" i="9"/>
  <c r="AJ521" i="9"/>
  <c r="A522" i="9"/>
  <c r="AI522" i="9"/>
  <c r="AI523" i="9" s="1"/>
  <c r="AJ522" i="9"/>
  <c r="A523" i="9"/>
  <c r="F523" i="9"/>
  <c r="AJ523" i="9"/>
  <c r="A524" i="9"/>
  <c r="F524" i="9"/>
  <c r="AJ524" i="9"/>
  <c r="A525" i="9"/>
  <c r="O525" i="9"/>
  <c r="P525" i="9"/>
  <c r="Q525" i="9"/>
  <c r="R525" i="9"/>
  <c r="Y525" i="9"/>
  <c r="Z525" i="9"/>
  <c r="AA525" i="9"/>
  <c r="AB525" i="9"/>
  <c r="AC525" i="9"/>
  <c r="AJ525" i="9"/>
  <c r="A526" i="9"/>
  <c r="AJ526" i="9"/>
  <c r="A527" i="9"/>
  <c r="AI527" i="9"/>
  <c r="AI528" i="9" s="1"/>
  <c r="AI529" i="9" s="1"/>
  <c r="AI530" i="9" s="1"/>
  <c r="AJ527" i="9"/>
  <c r="A528" i="9"/>
  <c r="F528" i="9"/>
  <c r="AJ528" i="9"/>
  <c r="A529" i="9"/>
  <c r="O529" i="9"/>
  <c r="P529" i="9"/>
  <c r="Q529" i="9"/>
  <c r="R529" i="9"/>
  <c r="Y529" i="9"/>
  <c r="Z529" i="9"/>
  <c r="AA529" i="9"/>
  <c r="AB529" i="9"/>
  <c r="AC529" i="9"/>
  <c r="AJ529" i="9"/>
  <c r="A530" i="9"/>
  <c r="AJ530" i="9"/>
  <c r="A531" i="9"/>
  <c r="AI531" i="9"/>
  <c r="AI532" i="9" s="1"/>
  <c r="AI533" i="9" s="1"/>
  <c r="AI534" i="9" s="1"/>
  <c r="AJ531" i="9"/>
  <c r="A532" i="9"/>
  <c r="F532" i="9"/>
  <c r="AJ532" i="9"/>
  <c r="A533" i="9"/>
  <c r="O533" i="9"/>
  <c r="P533" i="9"/>
  <c r="Q533" i="9"/>
  <c r="R533" i="9"/>
  <c r="Y533" i="9"/>
  <c r="Z533" i="9"/>
  <c r="AA533" i="9"/>
  <c r="AB533" i="9"/>
  <c r="AC533" i="9"/>
  <c r="AJ533" i="9"/>
  <c r="A534" i="9"/>
  <c r="AJ534" i="9"/>
  <c r="A535" i="9"/>
  <c r="AI535" i="9"/>
  <c r="AI536" i="9" s="1"/>
  <c r="AI537" i="9" s="1"/>
  <c r="AI538" i="9" s="1"/>
  <c r="AJ535" i="9"/>
  <c r="A536" i="9"/>
  <c r="F536" i="9"/>
  <c r="AJ536" i="9"/>
  <c r="A537" i="9"/>
  <c r="O537" i="9"/>
  <c r="P537" i="9"/>
  <c r="Q537" i="9"/>
  <c r="R537" i="9"/>
  <c r="Y537" i="9"/>
  <c r="Z537" i="9"/>
  <c r="AA537" i="9"/>
  <c r="AB537" i="9"/>
  <c r="AC537" i="9"/>
  <c r="AJ537" i="9"/>
  <c r="A538" i="9"/>
  <c r="AJ538" i="9"/>
  <c r="A539" i="9"/>
  <c r="AI539" i="9"/>
  <c r="AI540" i="9" s="1"/>
  <c r="AJ539" i="9"/>
  <c r="A540" i="9"/>
  <c r="F540" i="9"/>
  <c r="AJ540" i="9"/>
  <c r="A541" i="9"/>
  <c r="O541" i="9"/>
  <c r="P541" i="9"/>
  <c r="Q541" i="9"/>
  <c r="R541" i="9"/>
  <c r="Y541" i="9"/>
  <c r="Z541" i="9"/>
  <c r="AA541" i="9"/>
  <c r="AB541" i="9"/>
  <c r="AC541" i="9"/>
  <c r="AJ541" i="9"/>
  <c r="A542" i="9"/>
  <c r="AJ542" i="9"/>
  <c r="A543" i="9"/>
  <c r="AI543" i="9"/>
  <c r="AJ543" i="9"/>
  <c r="A544" i="9"/>
  <c r="F544" i="9"/>
  <c r="AI544" i="9"/>
  <c r="AI545" i="9" s="1"/>
  <c r="AI546" i="9" s="1"/>
  <c r="AJ544" i="9"/>
  <c r="A545" i="9"/>
  <c r="O545" i="9"/>
  <c r="P545" i="9"/>
  <c r="Q545" i="9"/>
  <c r="R545" i="9"/>
  <c r="Y545" i="9"/>
  <c r="Z545" i="9"/>
  <c r="AA545" i="9"/>
  <c r="AB545" i="9"/>
  <c r="AC545" i="9"/>
  <c r="AJ545" i="9"/>
  <c r="A546" i="9"/>
  <c r="AJ546" i="9"/>
  <c r="A547" i="9"/>
  <c r="AI547" i="9"/>
  <c r="AI548" i="9" s="1"/>
  <c r="AI549" i="9" s="1"/>
  <c r="AI550" i="9" s="1"/>
  <c r="AJ547" i="9"/>
  <c r="A548" i="9"/>
  <c r="F548" i="9"/>
  <c r="AJ548" i="9"/>
  <c r="A549" i="9"/>
  <c r="O549" i="9"/>
  <c r="P549" i="9"/>
  <c r="Q549" i="9"/>
  <c r="R549" i="9"/>
  <c r="Y549" i="9"/>
  <c r="Z549" i="9"/>
  <c r="AA549" i="9"/>
  <c r="AB549" i="9"/>
  <c r="AC549" i="9"/>
  <c r="AJ549" i="9"/>
  <c r="A550" i="9"/>
  <c r="AJ550" i="9"/>
  <c r="A551" i="9"/>
  <c r="AI551" i="9"/>
  <c r="AI552" i="9" s="1"/>
  <c r="AI553" i="9" s="1"/>
  <c r="AI554" i="9" s="1"/>
  <c r="AJ551" i="9"/>
  <c r="A552" i="9"/>
  <c r="F552" i="9"/>
  <c r="AJ552" i="9"/>
  <c r="A553" i="9"/>
  <c r="O553" i="9"/>
  <c r="P553" i="9"/>
  <c r="Q553" i="9"/>
  <c r="R553" i="9"/>
  <c r="Y553" i="9"/>
  <c r="Z553" i="9"/>
  <c r="AA553" i="9"/>
  <c r="AB553" i="9"/>
  <c r="AC553" i="9"/>
  <c r="AJ553" i="9"/>
  <c r="A554" i="9"/>
  <c r="AJ554" i="9"/>
  <c r="A555" i="9"/>
  <c r="AI555" i="9"/>
  <c r="AJ555" i="9"/>
  <c r="A556" i="9"/>
  <c r="F556" i="9"/>
  <c r="AJ556" i="9"/>
  <c r="A557" i="9"/>
  <c r="O557" i="9"/>
  <c r="P557" i="9"/>
  <c r="Q557" i="9"/>
  <c r="R557" i="9"/>
  <c r="Y557" i="9"/>
  <c r="Z557" i="9"/>
  <c r="AA557" i="9"/>
  <c r="AB557" i="9"/>
  <c r="AC557" i="9"/>
  <c r="AJ557" i="9"/>
  <c r="A558" i="9"/>
  <c r="AJ558" i="9"/>
  <c r="A559" i="9"/>
  <c r="AI559" i="9"/>
  <c r="AJ559" i="9"/>
  <c r="A560" i="9"/>
  <c r="AJ560" i="9"/>
  <c r="A561" i="9"/>
  <c r="AI561" i="9"/>
  <c r="AJ561" i="9"/>
  <c r="A562" i="9"/>
  <c r="F562" i="9"/>
  <c r="X562" i="9"/>
  <c r="AJ562" i="9"/>
  <c r="A563" i="9"/>
  <c r="F563" i="9"/>
  <c r="X563" i="9"/>
  <c r="AJ563" i="9"/>
  <c r="A564" i="9"/>
  <c r="O564" i="9"/>
  <c r="P564" i="9"/>
  <c r="Q564" i="9"/>
  <c r="R564" i="9"/>
  <c r="T564" i="9"/>
  <c r="U564" i="9"/>
  <c r="V564" i="9"/>
  <c r="W564" i="9"/>
  <c r="AJ564" i="9"/>
  <c r="A565" i="9"/>
  <c r="AJ565" i="9"/>
  <c r="A566" i="9"/>
  <c r="AI566" i="9"/>
  <c r="AJ566" i="9"/>
  <c r="A567" i="9"/>
  <c r="F567" i="9"/>
  <c r="X567" i="9"/>
  <c r="AJ567" i="9"/>
  <c r="A568" i="9"/>
  <c r="F568" i="9"/>
  <c r="X568" i="9"/>
  <c r="AJ568" i="9"/>
  <c r="A569" i="9"/>
  <c r="O569" i="9"/>
  <c r="P569" i="9"/>
  <c r="Q569" i="9"/>
  <c r="R569" i="9"/>
  <c r="T569" i="9"/>
  <c r="U569" i="9"/>
  <c r="V569" i="9"/>
  <c r="W569" i="9"/>
  <c r="AJ569" i="9"/>
  <c r="A570" i="9"/>
  <c r="AJ570" i="9"/>
  <c r="A571" i="9"/>
  <c r="AI571" i="9"/>
  <c r="AI572" i="9" s="1"/>
  <c r="AI573" i="9" s="1"/>
  <c r="AI574" i="9" s="1"/>
  <c r="AI575" i="9" s="1"/>
  <c r="AJ571" i="9"/>
  <c r="A572" i="9"/>
  <c r="F572" i="9"/>
  <c r="X572" i="9"/>
  <c r="AJ572" i="9"/>
  <c r="A573" i="9"/>
  <c r="F573" i="9"/>
  <c r="X573" i="9"/>
  <c r="AJ573" i="9"/>
  <c r="A574" i="9"/>
  <c r="O574" i="9"/>
  <c r="P574" i="9"/>
  <c r="Q574" i="9"/>
  <c r="R574" i="9"/>
  <c r="T574" i="9"/>
  <c r="U574" i="9"/>
  <c r="V574" i="9"/>
  <c r="W574" i="9"/>
  <c r="AJ574" i="9"/>
  <c r="A575" i="9"/>
  <c r="AJ575" i="9"/>
  <c r="A576" i="9"/>
  <c r="AI576" i="9"/>
  <c r="AI577" i="9" s="1"/>
  <c r="AJ576" i="9"/>
  <c r="A577" i="9"/>
  <c r="F577" i="9"/>
  <c r="X577" i="9"/>
  <c r="AJ577" i="9"/>
  <c r="A578" i="9"/>
  <c r="F578" i="9"/>
  <c r="X578" i="9"/>
  <c r="AJ578" i="9"/>
  <c r="A579" i="9"/>
  <c r="O579" i="9"/>
  <c r="P579" i="9"/>
  <c r="Q579" i="9"/>
  <c r="R579" i="9"/>
  <c r="AJ579" i="9"/>
  <c r="A580" i="9"/>
  <c r="AJ580" i="9"/>
  <c r="A581" i="9"/>
  <c r="AI581" i="9"/>
  <c r="AI582" i="9" s="1"/>
  <c r="AI583" i="9" s="1"/>
  <c r="AI584" i="9" s="1"/>
  <c r="AJ581" i="9"/>
  <c r="A582" i="9"/>
  <c r="F582" i="9"/>
  <c r="X582" i="9"/>
  <c r="AJ582" i="9"/>
  <c r="A583" i="9"/>
  <c r="F583" i="9"/>
  <c r="X583" i="9"/>
  <c r="AJ583" i="9"/>
  <c r="A584" i="9"/>
  <c r="O584" i="9"/>
  <c r="P584" i="9"/>
  <c r="Q584" i="9"/>
  <c r="R584" i="9"/>
  <c r="T584" i="9"/>
  <c r="U584" i="9"/>
  <c r="V584" i="9"/>
  <c r="W584" i="9"/>
  <c r="AJ584" i="9"/>
  <c r="A585" i="9"/>
  <c r="AJ585" i="9"/>
  <c r="A586" i="9"/>
  <c r="AI586" i="9"/>
  <c r="AI587" i="9" s="1"/>
  <c r="AI588" i="9" s="1"/>
  <c r="AJ586" i="9"/>
  <c r="A587" i="9"/>
  <c r="F587" i="9"/>
  <c r="X587" i="9"/>
  <c r="AJ587" i="9"/>
  <c r="A588" i="9"/>
  <c r="F588" i="9"/>
  <c r="X588" i="9"/>
  <c r="AJ588" i="9"/>
  <c r="A589" i="9"/>
  <c r="O589" i="9"/>
  <c r="P589" i="9"/>
  <c r="Q589" i="9"/>
  <c r="R589" i="9"/>
  <c r="T589" i="9"/>
  <c r="U589" i="9"/>
  <c r="V589" i="9"/>
  <c r="W589" i="9"/>
  <c r="AJ589" i="9"/>
  <c r="A590" i="9"/>
  <c r="AJ590" i="9"/>
  <c r="A591" i="9"/>
  <c r="AI591" i="9"/>
  <c r="AI592" i="9" s="1"/>
  <c r="AJ591" i="9"/>
  <c r="A592" i="9"/>
  <c r="F592" i="9"/>
  <c r="X592" i="9"/>
  <c r="AJ592" i="9"/>
  <c r="A593" i="9"/>
  <c r="F593" i="9"/>
  <c r="X593" i="9"/>
  <c r="AJ593" i="9"/>
  <c r="A594" i="9"/>
  <c r="O594" i="9"/>
  <c r="P594" i="9"/>
  <c r="Q594" i="9"/>
  <c r="R594" i="9"/>
  <c r="T594" i="9"/>
  <c r="U594" i="9"/>
  <c r="V594" i="9"/>
  <c r="W594" i="9"/>
  <c r="AJ594" i="9"/>
  <c r="A595" i="9"/>
  <c r="AJ595" i="9"/>
  <c r="A596" i="9"/>
  <c r="AI596" i="9"/>
  <c r="AI597" i="9" s="1"/>
  <c r="AI598" i="9" s="1"/>
  <c r="AI599" i="9" s="1"/>
  <c r="AJ596" i="9"/>
  <c r="A597" i="9"/>
  <c r="F597" i="9"/>
  <c r="X597" i="9"/>
  <c r="AJ597" i="9"/>
  <c r="A598" i="9"/>
  <c r="F598" i="9"/>
  <c r="X598" i="9"/>
  <c r="AJ598" i="9"/>
  <c r="A599" i="9"/>
  <c r="O599" i="9"/>
  <c r="P599" i="9"/>
  <c r="Q599" i="9"/>
  <c r="R599" i="9"/>
  <c r="T599" i="9"/>
  <c r="U599" i="9"/>
  <c r="V599" i="9"/>
  <c r="W599" i="9"/>
  <c r="AJ599" i="9"/>
  <c r="A600" i="9"/>
  <c r="AJ600" i="9"/>
  <c r="A601" i="9"/>
  <c r="AI601" i="9"/>
  <c r="AI602" i="9" s="1"/>
  <c r="AJ601" i="9"/>
  <c r="A602" i="9"/>
  <c r="F602" i="9"/>
  <c r="X602" i="9"/>
  <c r="AJ602" i="9"/>
  <c r="A603" i="9"/>
  <c r="F603" i="9"/>
  <c r="X603" i="9"/>
  <c r="AJ603" i="9"/>
  <c r="A604" i="9"/>
  <c r="O604" i="9"/>
  <c r="P604" i="9"/>
  <c r="Q604" i="9"/>
  <c r="R604" i="9"/>
  <c r="T604" i="9"/>
  <c r="U604" i="9"/>
  <c r="V604" i="9"/>
  <c r="W604" i="9"/>
  <c r="AJ604" i="9"/>
  <c r="A605" i="9"/>
  <c r="AJ605" i="9"/>
  <c r="A606" i="9"/>
  <c r="AI606" i="9"/>
  <c r="AJ606" i="9"/>
  <c r="A607" i="9"/>
  <c r="F607" i="9"/>
  <c r="X607" i="9"/>
  <c r="AJ607" i="9"/>
  <c r="A608" i="9"/>
  <c r="F608" i="9"/>
  <c r="X608" i="9"/>
  <c r="AJ608" i="9"/>
  <c r="A609" i="9"/>
  <c r="O609" i="9"/>
  <c r="P609" i="9"/>
  <c r="Q609" i="9"/>
  <c r="R609" i="9"/>
  <c r="T609" i="9"/>
  <c r="U609" i="9"/>
  <c r="V609" i="9"/>
  <c r="W609" i="9"/>
  <c r="AJ609" i="9"/>
  <c r="A610" i="9"/>
  <c r="AJ610" i="9"/>
  <c r="A611" i="9"/>
  <c r="AI611" i="9"/>
  <c r="AI612" i="9" s="1"/>
  <c r="AI613" i="9" s="1"/>
  <c r="AI614" i="9" s="1"/>
  <c r="AJ611" i="9"/>
  <c r="A612" i="9"/>
  <c r="F612" i="9"/>
  <c r="X612" i="9"/>
  <c r="AJ612" i="9"/>
  <c r="A613" i="9"/>
  <c r="F613" i="9"/>
  <c r="X613" i="9"/>
  <c r="AJ613" i="9"/>
  <c r="A614" i="9"/>
  <c r="O614" i="9"/>
  <c r="P614" i="9"/>
  <c r="Q614" i="9"/>
  <c r="R614" i="9"/>
  <c r="T614" i="9"/>
  <c r="U614" i="9"/>
  <c r="V614" i="9"/>
  <c r="W614" i="9"/>
  <c r="AJ614" i="9"/>
  <c r="A615" i="9"/>
  <c r="AJ615" i="9"/>
  <c r="A616" i="9"/>
  <c r="AI616" i="9"/>
  <c r="AJ616" i="9"/>
  <c r="A617" i="9"/>
  <c r="F617" i="9"/>
  <c r="X617" i="9"/>
  <c r="AJ617" i="9"/>
  <c r="A618" i="9"/>
  <c r="F618" i="9"/>
  <c r="X618" i="9"/>
  <c r="AJ618" i="9"/>
  <c r="A619" i="9"/>
  <c r="O619" i="9"/>
  <c r="P619" i="9"/>
  <c r="Q619" i="9"/>
  <c r="R619" i="9"/>
  <c r="T619" i="9"/>
  <c r="U619" i="9"/>
  <c r="V619" i="9"/>
  <c r="W619" i="9"/>
  <c r="AJ619" i="9"/>
  <c r="A620" i="9"/>
  <c r="AJ620" i="9"/>
  <c r="A621" i="9"/>
  <c r="AI621" i="9"/>
  <c r="AI622" i="9" s="1"/>
  <c r="AJ621" i="9"/>
  <c r="A622" i="9"/>
  <c r="F622" i="9"/>
  <c r="X622" i="9"/>
  <c r="AJ622" i="9"/>
  <c r="A623" i="9"/>
  <c r="F623" i="9"/>
  <c r="X623" i="9"/>
  <c r="AJ623" i="9"/>
  <c r="A624" i="9"/>
  <c r="O624" i="9"/>
  <c r="P624" i="9"/>
  <c r="Q624" i="9"/>
  <c r="R624" i="9"/>
  <c r="T624" i="9"/>
  <c r="U624" i="9"/>
  <c r="V624" i="9"/>
  <c r="W624" i="9"/>
  <c r="AJ624" i="9"/>
  <c r="A625" i="9"/>
  <c r="AJ625" i="9"/>
  <c r="A626" i="9"/>
  <c r="AI626" i="9"/>
  <c r="AJ626" i="9"/>
  <c r="A627" i="9"/>
  <c r="F627" i="9"/>
  <c r="X627" i="9"/>
  <c r="AJ627" i="9"/>
  <c r="A628" i="9"/>
  <c r="F628" i="9"/>
  <c r="X628" i="9"/>
  <c r="AJ628" i="9"/>
  <c r="A629" i="9"/>
  <c r="O629" i="9"/>
  <c r="P629" i="9"/>
  <c r="Q629" i="9"/>
  <c r="R629" i="9"/>
  <c r="T629" i="9"/>
  <c r="U629" i="9"/>
  <c r="V629" i="9"/>
  <c r="W629" i="9"/>
  <c r="AJ629" i="9"/>
  <c r="A630" i="9"/>
  <c r="AJ630" i="9"/>
  <c r="A631" i="9"/>
  <c r="AI631" i="9"/>
  <c r="AI632" i="9" s="1"/>
  <c r="AI633" i="9" s="1"/>
  <c r="AI634" i="9" s="1"/>
  <c r="AI635" i="9" s="1"/>
  <c r="AJ631" i="9"/>
  <c r="A632" i="9"/>
  <c r="F632" i="9"/>
  <c r="X632" i="9"/>
  <c r="AJ632" i="9"/>
  <c r="A633" i="9"/>
  <c r="F633" i="9"/>
  <c r="X633" i="9"/>
  <c r="AJ633" i="9"/>
  <c r="A634" i="9"/>
  <c r="O634" i="9"/>
  <c r="P634" i="9"/>
  <c r="Q634" i="9"/>
  <c r="R634" i="9"/>
  <c r="T634" i="9"/>
  <c r="U634" i="9"/>
  <c r="V634" i="9"/>
  <c r="W634" i="9"/>
  <c r="AJ634" i="9"/>
  <c r="A635" i="9"/>
  <c r="AJ635" i="9"/>
  <c r="A636" i="9"/>
  <c r="AI636" i="9"/>
  <c r="AI637" i="9" s="1"/>
  <c r="AI638" i="9" s="1"/>
  <c r="AI639" i="9" s="1"/>
  <c r="AI640" i="9" s="1"/>
  <c r="AJ636" i="9"/>
  <c r="A637" i="9"/>
  <c r="F637" i="9"/>
  <c r="X637" i="9"/>
  <c r="AJ637" i="9"/>
  <c r="A638" i="9"/>
  <c r="F638" i="9"/>
  <c r="X638" i="9"/>
  <c r="AJ638" i="9"/>
  <c r="A639" i="9"/>
  <c r="O639" i="9"/>
  <c r="P639" i="9"/>
  <c r="Q639" i="9"/>
  <c r="R639" i="9"/>
  <c r="T639" i="9"/>
  <c r="U639" i="9"/>
  <c r="V639" i="9"/>
  <c r="W639" i="9"/>
  <c r="AJ639" i="9"/>
  <c r="A640" i="9"/>
  <c r="AJ640" i="9"/>
  <c r="A641" i="9"/>
  <c r="AI641" i="9"/>
  <c r="AI642" i="9" s="1"/>
  <c r="AJ641" i="9"/>
  <c r="A642" i="9"/>
  <c r="F642" i="9"/>
  <c r="X642" i="9"/>
  <c r="AJ642" i="9"/>
  <c r="A643" i="9"/>
  <c r="F643" i="9"/>
  <c r="X643" i="9"/>
  <c r="AJ643" i="9"/>
  <c r="A644" i="9"/>
  <c r="O644" i="9"/>
  <c r="P644" i="9"/>
  <c r="Q644" i="9"/>
  <c r="R644" i="9"/>
  <c r="T644" i="9"/>
  <c r="U644" i="9"/>
  <c r="V644" i="9"/>
  <c r="W644" i="9"/>
  <c r="AJ644" i="9"/>
  <c r="A645" i="9"/>
  <c r="AJ645" i="9"/>
  <c r="A646" i="9"/>
  <c r="AI646" i="9"/>
  <c r="AI647" i="9" s="1"/>
  <c r="AJ646" i="9"/>
  <c r="A647" i="9"/>
  <c r="F647" i="9"/>
  <c r="X647" i="9"/>
  <c r="AJ647" i="9"/>
  <c r="A648" i="9"/>
  <c r="F648" i="9"/>
  <c r="X648" i="9"/>
  <c r="AJ648" i="9"/>
  <c r="A649" i="9"/>
  <c r="O649" i="9"/>
  <c r="P649" i="9"/>
  <c r="Q649" i="9"/>
  <c r="R649" i="9"/>
  <c r="T649" i="9"/>
  <c r="U649" i="9"/>
  <c r="V649" i="9"/>
  <c r="W649" i="9"/>
  <c r="AJ649" i="9"/>
  <c r="A650" i="9"/>
  <c r="AJ650" i="9"/>
  <c r="A651" i="9"/>
  <c r="AI651" i="9"/>
  <c r="AI652" i="9" s="1"/>
  <c r="AJ651" i="9"/>
  <c r="A652" i="9"/>
  <c r="F652" i="9"/>
  <c r="X652" i="9"/>
  <c r="AJ652" i="9"/>
  <c r="A653" i="9"/>
  <c r="F653" i="9"/>
  <c r="X653" i="9"/>
  <c r="AJ653" i="9"/>
  <c r="A654" i="9"/>
  <c r="O654" i="9"/>
  <c r="P654" i="9"/>
  <c r="Q654" i="9"/>
  <c r="R654" i="9"/>
  <c r="T654" i="9"/>
  <c r="U654" i="9"/>
  <c r="V654" i="9"/>
  <c r="W654" i="9"/>
  <c r="AJ654" i="9"/>
  <c r="A655" i="9"/>
  <c r="AJ655" i="9"/>
  <c r="A656" i="9"/>
  <c r="AI656" i="9"/>
  <c r="AI657" i="9" s="1"/>
  <c r="AJ656" i="9"/>
  <c r="A657" i="9"/>
  <c r="AJ657" i="9"/>
  <c r="A658" i="9"/>
  <c r="AI658" i="9"/>
  <c r="AI659" i="9" s="1"/>
  <c r="AI660" i="9" s="1"/>
  <c r="AI661" i="9" s="1"/>
  <c r="AJ658" i="9"/>
  <c r="A659" i="9"/>
  <c r="F659" i="9"/>
  <c r="X659" i="9"/>
  <c r="AJ659" i="9"/>
  <c r="A660" i="9"/>
  <c r="F660" i="9"/>
  <c r="X660" i="9"/>
  <c r="AJ660" i="9"/>
  <c r="A661" i="9"/>
  <c r="O661" i="9"/>
  <c r="P661" i="9"/>
  <c r="Q661" i="9"/>
  <c r="R661" i="9"/>
  <c r="T661" i="9"/>
  <c r="U661" i="9"/>
  <c r="V661" i="9"/>
  <c r="W661" i="9"/>
  <c r="AJ661" i="9"/>
  <c r="A662" i="9"/>
  <c r="AJ662" i="9"/>
  <c r="A663" i="9"/>
  <c r="AI663" i="9"/>
  <c r="AJ663" i="9"/>
  <c r="A664" i="9"/>
  <c r="F664" i="9"/>
  <c r="X664" i="9"/>
  <c r="AJ664" i="9"/>
  <c r="A665" i="9"/>
  <c r="F665" i="9"/>
  <c r="X665" i="9"/>
  <c r="AJ665" i="9"/>
  <c r="A666" i="9"/>
  <c r="O666" i="9"/>
  <c r="P666" i="9"/>
  <c r="Q666" i="9"/>
  <c r="R666" i="9"/>
  <c r="T666" i="9"/>
  <c r="U666" i="9"/>
  <c r="V666" i="9"/>
  <c r="W666" i="9"/>
  <c r="AJ666" i="9"/>
  <c r="A667" i="9"/>
  <c r="AJ667" i="9"/>
  <c r="A668" i="9"/>
  <c r="AI668" i="9"/>
  <c r="AI669" i="9" s="1"/>
  <c r="AI670" i="9" s="1"/>
  <c r="AI671" i="9" s="1"/>
  <c r="AI672" i="9" s="1"/>
  <c r="AJ668" i="9"/>
  <c r="A669" i="9"/>
  <c r="F669" i="9"/>
  <c r="X669" i="9"/>
  <c r="AJ669" i="9"/>
  <c r="A670" i="9"/>
  <c r="F670" i="9"/>
  <c r="X670" i="9"/>
  <c r="AJ670" i="9"/>
  <c r="A671" i="9"/>
  <c r="O671" i="9"/>
  <c r="P671" i="9"/>
  <c r="Q671" i="9"/>
  <c r="R671" i="9"/>
  <c r="T671" i="9"/>
  <c r="U671" i="9"/>
  <c r="V671" i="9"/>
  <c r="W671" i="9"/>
  <c r="AJ671" i="9"/>
  <c r="A672" i="9"/>
  <c r="AJ672" i="9"/>
  <c r="A673" i="9"/>
  <c r="AI673" i="9"/>
  <c r="AI674" i="9" s="1"/>
  <c r="AJ673" i="9"/>
  <c r="A674" i="9"/>
  <c r="F674" i="9"/>
  <c r="X674" i="9"/>
  <c r="AJ674" i="9"/>
  <c r="A675" i="9"/>
  <c r="F675" i="9"/>
  <c r="X675" i="9"/>
  <c r="AJ675" i="9"/>
  <c r="A676" i="9"/>
  <c r="F676" i="9"/>
  <c r="X676" i="9"/>
  <c r="AJ676" i="9"/>
  <c r="A677" i="9"/>
  <c r="O677" i="9"/>
  <c r="P677" i="9"/>
  <c r="Q677" i="9"/>
  <c r="R677" i="9"/>
  <c r="T677" i="9"/>
  <c r="U677" i="9"/>
  <c r="V677" i="9"/>
  <c r="W677" i="9"/>
  <c r="AJ677" i="9"/>
  <c r="A678" i="9"/>
  <c r="AJ678" i="9"/>
  <c r="A679" i="9"/>
  <c r="AI679" i="9"/>
  <c r="AI680" i="9" s="1"/>
  <c r="AJ679" i="9"/>
  <c r="A680" i="9"/>
  <c r="F680" i="9"/>
  <c r="X680" i="9"/>
  <c r="AJ680" i="9"/>
  <c r="A681" i="9"/>
  <c r="F681" i="9"/>
  <c r="X681" i="9"/>
  <c r="AJ681" i="9"/>
  <c r="A682" i="9"/>
  <c r="O682" i="9"/>
  <c r="P682" i="9"/>
  <c r="Q682" i="9"/>
  <c r="R682" i="9"/>
  <c r="T682" i="9"/>
  <c r="U682" i="9"/>
  <c r="V682" i="9"/>
  <c r="W682" i="9"/>
  <c r="AJ682" i="9"/>
  <c r="A683" i="9"/>
  <c r="AJ683" i="9"/>
  <c r="A684" i="9"/>
  <c r="AI684" i="9"/>
  <c r="AI685" i="9" s="1"/>
  <c r="AJ684" i="9"/>
  <c r="A685" i="9"/>
  <c r="AJ685" i="9"/>
  <c r="A686" i="9"/>
  <c r="AI686" i="9"/>
  <c r="AI687" i="9" s="1"/>
  <c r="AI688" i="9" s="1"/>
  <c r="AJ686" i="9"/>
  <c r="A687" i="9"/>
  <c r="F687" i="9"/>
  <c r="X687" i="9"/>
  <c r="AJ687" i="9"/>
  <c r="A688" i="9"/>
  <c r="F688" i="9"/>
  <c r="X688" i="9"/>
  <c r="AJ688" i="9"/>
  <c r="A689" i="9"/>
  <c r="O689" i="9"/>
  <c r="P689" i="9"/>
  <c r="Q689" i="9"/>
  <c r="R689" i="9"/>
  <c r="T689" i="9"/>
  <c r="T706" i="9" s="1"/>
  <c r="U689" i="9"/>
  <c r="V689" i="9"/>
  <c r="W689" i="9"/>
  <c r="AJ689" i="9"/>
  <c r="A690" i="9"/>
  <c r="AJ690" i="9"/>
  <c r="A691" i="9"/>
  <c r="AI691" i="9"/>
  <c r="AI692" i="9" s="1"/>
  <c r="AJ691" i="9"/>
  <c r="A692" i="9"/>
  <c r="F692" i="9"/>
  <c r="X692" i="9"/>
  <c r="AJ692" i="9"/>
  <c r="A693" i="9"/>
  <c r="F693" i="9"/>
  <c r="X693" i="9"/>
  <c r="AJ693" i="9"/>
  <c r="A694" i="9"/>
  <c r="O694" i="9"/>
  <c r="P694" i="9"/>
  <c r="Q694" i="9"/>
  <c r="R694" i="9"/>
  <c r="T694" i="9"/>
  <c r="U694" i="9"/>
  <c r="V694" i="9"/>
  <c r="W694" i="9"/>
  <c r="AJ694" i="9"/>
  <c r="A695" i="9"/>
  <c r="AJ695" i="9"/>
  <c r="A696" i="9"/>
  <c r="AI696" i="9"/>
  <c r="AI697" i="9" s="1"/>
  <c r="AJ696" i="9"/>
  <c r="A697" i="9"/>
  <c r="F697" i="9"/>
  <c r="X697" i="9"/>
  <c r="AJ697" i="9"/>
  <c r="A698" i="9"/>
  <c r="F698" i="9"/>
  <c r="X698" i="9"/>
  <c r="AJ698" i="9"/>
  <c r="A699" i="9"/>
  <c r="O699" i="9"/>
  <c r="P699" i="9"/>
  <c r="Q699" i="9"/>
  <c r="R699" i="9"/>
  <c r="T699" i="9"/>
  <c r="U699" i="9"/>
  <c r="V699" i="9"/>
  <c r="W699" i="9"/>
  <c r="AJ699" i="9"/>
  <c r="A700" i="9"/>
  <c r="AJ700" i="9"/>
  <c r="A701" i="9"/>
  <c r="AI701" i="9"/>
  <c r="AJ701" i="9"/>
  <c r="A702" i="9"/>
  <c r="F702" i="9"/>
  <c r="X702" i="9"/>
  <c r="AJ702" i="9"/>
  <c r="A703" i="9"/>
  <c r="F703" i="9"/>
  <c r="X703" i="9"/>
  <c r="AJ703" i="9"/>
  <c r="A704" i="9"/>
  <c r="O704" i="9"/>
  <c r="P704" i="9"/>
  <c r="Q704" i="9"/>
  <c r="R704" i="9"/>
  <c r="T704" i="9"/>
  <c r="U704" i="9"/>
  <c r="V704" i="9"/>
  <c r="W704" i="9"/>
  <c r="AJ704" i="9"/>
  <c r="A705" i="9"/>
  <c r="AJ705" i="9"/>
  <c r="A706" i="9"/>
  <c r="AI706" i="9"/>
  <c r="AI707" i="9" s="1"/>
  <c r="AJ706" i="9"/>
  <c r="A707" i="9"/>
  <c r="AJ707" i="9"/>
  <c r="A708" i="9"/>
  <c r="AI708" i="9"/>
  <c r="AJ708" i="9"/>
  <c r="A709" i="9"/>
  <c r="F709" i="9"/>
  <c r="X709" i="9"/>
  <c r="AJ709" i="9"/>
  <c r="A710" i="9"/>
  <c r="F710" i="9"/>
  <c r="X710" i="9"/>
  <c r="AJ710" i="9"/>
  <c r="A711" i="9"/>
  <c r="O711" i="9"/>
  <c r="P711" i="9"/>
  <c r="Q711" i="9"/>
  <c r="R711" i="9"/>
  <c r="T711" i="9"/>
  <c r="U711" i="9"/>
  <c r="V711" i="9"/>
  <c r="W711" i="9"/>
  <c r="AJ711" i="9"/>
  <c r="A712" i="9"/>
  <c r="AJ712" i="9"/>
  <c r="A713" i="9"/>
  <c r="AI713" i="9"/>
  <c r="AJ713" i="9"/>
  <c r="A714" i="9"/>
  <c r="F714" i="9"/>
  <c r="X714" i="9"/>
  <c r="AJ714" i="9"/>
  <c r="A715" i="9"/>
  <c r="F715" i="9"/>
  <c r="X715" i="9"/>
  <c r="AJ715" i="9"/>
  <c r="A716" i="9"/>
  <c r="O716" i="9"/>
  <c r="P716" i="9"/>
  <c r="Q716" i="9"/>
  <c r="R716" i="9"/>
  <c r="T716" i="9"/>
  <c r="U716" i="9"/>
  <c r="V716" i="9"/>
  <c r="W716" i="9"/>
  <c r="AJ716" i="9"/>
  <c r="A717" i="9"/>
  <c r="AJ717" i="9"/>
  <c r="A718" i="9"/>
  <c r="AI718" i="9"/>
  <c r="AI719" i="9" s="1"/>
  <c r="AI720" i="9" s="1"/>
  <c r="AJ718" i="9"/>
  <c r="A719" i="9"/>
  <c r="F719" i="9"/>
  <c r="X719" i="9"/>
  <c r="AJ719" i="9"/>
  <c r="A720" i="9"/>
  <c r="F720" i="9"/>
  <c r="X720" i="9"/>
  <c r="AJ720" i="9"/>
  <c r="A721" i="9"/>
  <c r="O721" i="9"/>
  <c r="P721" i="9"/>
  <c r="Q721" i="9"/>
  <c r="R721" i="9"/>
  <c r="T721" i="9"/>
  <c r="U721" i="9"/>
  <c r="V721" i="9"/>
  <c r="W721" i="9"/>
  <c r="AJ721" i="9"/>
  <c r="A722" i="9"/>
  <c r="AJ722" i="9"/>
  <c r="A723" i="9"/>
  <c r="AI723" i="9"/>
  <c r="AI724" i="9" s="1"/>
  <c r="AJ723" i="9"/>
  <c r="A724" i="9"/>
  <c r="F724" i="9"/>
  <c r="X724" i="9"/>
  <c r="AJ724" i="9"/>
  <c r="A725" i="9"/>
  <c r="F725" i="9"/>
  <c r="X725" i="9"/>
  <c r="AJ725" i="9"/>
  <c r="A726" i="9"/>
  <c r="O726" i="9"/>
  <c r="P726" i="9"/>
  <c r="Q726" i="9"/>
  <c r="R726" i="9"/>
  <c r="T726" i="9"/>
  <c r="U726" i="9"/>
  <c r="V726" i="9"/>
  <c r="W726" i="9"/>
  <c r="AJ726" i="9"/>
  <c r="A727" i="9"/>
  <c r="AJ727" i="9"/>
  <c r="A728" i="9"/>
  <c r="AI728" i="9"/>
  <c r="AJ728" i="9"/>
  <c r="A729" i="9"/>
  <c r="AJ729" i="9"/>
  <c r="A730" i="9"/>
  <c r="AJ730" i="9"/>
  <c r="A731" i="9"/>
  <c r="AI731" i="9"/>
  <c r="AI732" i="9" s="1"/>
  <c r="AJ731" i="9"/>
  <c r="A732" i="9"/>
  <c r="F732" i="9"/>
  <c r="X732" i="9"/>
  <c r="AJ732" i="9"/>
  <c r="A733" i="9"/>
  <c r="F733" i="9"/>
  <c r="X733" i="9"/>
  <c r="AJ733" i="9"/>
  <c r="A734" i="9"/>
  <c r="F734" i="9"/>
  <c r="X734" i="9"/>
  <c r="AJ734" i="9"/>
  <c r="A735" i="9"/>
  <c r="AJ735" i="9"/>
  <c r="A736" i="9"/>
  <c r="AJ736" i="9"/>
  <c r="A737" i="9"/>
  <c r="AI737" i="9"/>
  <c r="AI738" i="9" s="1"/>
  <c r="AI739" i="9" s="1"/>
  <c r="AJ737" i="9"/>
  <c r="A738" i="9"/>
  <c r="F738" i="9"/>
  <c r="X738" i="9"/>
  <c r="AJ738" i="9"/>
  <c r="A739" i="9"/>
  <c r="F739" i="9"/>
  <c r="X739" i="9"/>
  <c r="AJ739" i="9"/>
  <c r="A740" i="9"/>
  <c r="F740" i="9"/>
  <c r="X740" i="9"/>
  <c r="AJ740" i="9"/>
  <c r="A741" i="9"/>
  <c r="AJ741" i="9"/>
  <c r="A742" i="9"/>
  <c r="AI742" i="9"/>
  <c r="AI743" i="9" s="1"/>
  <c r="AI744" i="9" s="1"/>
  <c r="AJ742" i="9"/>
  <c r="A743" i="9"/>
  <c r="F743" i="9"/>
  <c r="X743" i="9"/>
  <c r="AJ743" i="9"/>
  <c r="A744" i="9"/>
  <c r="AJ744" i="9"/>
  <c r="A745" i="9"/>
  <c r="AJ745" i="9"/>
  <c r="A746" i="9"/>
  <c r="AI746" i="9"/>
  <c r="AI747" i="9" s="1"/>
  <c r="AJ746" i="9"/>
  <c r="A747" i="9"/>
  <c r="F747" i="9"/>
  <c r="X747" i="9"/>
  <c r="AJ747" i="9"/>
  <c r="A748" i="9"/>
  <c r="F748" i="9"/>
  <c r="X748" i="9"/>
  <c r="AJ748" i="9"/>
  <c r="A749" i="9"/>
  <c r="F749" i="9"/>
  <c r="X749" i="9"/>
  <c r="AJ749" i="9"/>
  <c r="A750" i="9"/>
  <c r="AJ750" i="9"/>
  <c r="A751" i="9"/>
  <c r="AJ751" i="9"/>
  <c r="A752" i="9"/>
  <c r="AI752" i="9"/>
  <c r="AJ752" i="9"/>
  <c r="A753" i="9"/>
  <c r="F753" i="9"/>
  <c r="X753" i="9"/>
  <c r="AJ753" i="9"/>
  <c r="A754" i="9"/>
  <c r="F754" i="9"/>
  <c r="X754" i="9"/>
  <c r="AJ754" i="9"/>
  <c r="A755" i="9"/>
  <c r="F755" i="9"/>
  <c r="X755" i="9"/>
  <c r="AJ755" i="9"/>
  <c r="A756" i="9"/>
  <c r="AJ756" i="9"/>
  <c r="A757" i="9"/>
  <c r="AJ757" i="9"/>
  <c r="A758" i="9"/>
  <c r="AI758" i="9"/>
  <c r="AJ758" i="9"/>
  <c r="A759" i="9"/>
  <c r="F759" i="9"/>
  <c r="X759" i="9"/>
  <c r="AI759" i="9"/>
  <c r="AI760" i="9" s="1"/>
  <c r="AJ759" i="9"/>
  <c r="A760" i="9"/>
  <c r="AJ760" i="9"/>
  <c r="A761" i="9"/>
  <c r="AJ761" i="9"/>
  <c r="A762" i="9"/>
  <c r="AI762" i="9"/>
  <c r="AI763" i="9" s="1"/>
  <c r="AI764" i="9" s="1"/>
  <c r="AJ762" i="9"/>
  <c r="A763" i="9"/>
  <c r="F763" i="9"/>
  <c r="X763" i="9"/>
  <c r="AJ763" i="9"/>
  <c r="A764" i="9"/>
  <c r="F764" i="9"/>
  <c r="X764" i="9"/>
  <c r="AJ764" i="9"/>
  <c r="A765" i="9"/>
  <c r="F765" i="9"/>
  <c r="X765" i="9"/>
  <c r="AJ765" i="9"/>
  <c r="A766" i="9"/>
  <c r="AJ766" i="9"/>
  <c r="A767" i="9"/>
  <c r="AJ767" i="9"/>
  <c r="A768" i="9"/>
  <c r="AI768" i="9"/>
  <c r="AI769" i="9" s="1"/>
  <c r="AJ768" i="9"/>
  <c r="A769" i="9"/>
  <c r="F769" i="9"/>
  <c r="X769" i="9"/>
  <c r="AJ769" i="9"/>
  <c r="A770" i="9"/>
  <c r="F770" i="9"/>
  <c r="X770" i="9"/>
  <c r="AJ770" i="9"/>
  <c r="A771" i="9"/>
  <c r="AJ771" i="9"/>
  <c r="A772" i="9"/>
  <c r="AJ772" i="9"/>
  <c r="A773" i="9"/>
  <c r="AI773" i="9"/>
  <c r="AI774" i="9" s="1"/>
  <c r="AI775" i="9" s="1"/>
  <c r="AI776" i="9" s="1"/>
  <c r="AJ773" i="9"/>
  <c r="A774" i="9"/>
  <c r="F774" i="9"/>
  <c r="X774" i="9"/>
  <c r="AJ774" i="9"/>
  <c r="A775" i="9"/>
  <c r="F775" i="9"/>
  <c r="X775" i="9"/>
  <c r="AJ775" i="9"/>
  <c r="A776" i="9"/>
  <c r="F776" i="9"/>
  <c r="X776" i="9"/>
  <c r="AJ776" i="9"/>
  <c r="A777" i="9"/>
  <c r="F777" i="9"/>
  <c r="X777" i="9"/>
  <c r="AJ777" i="9"/>
  <c r="A778" i="9"/>
  <c r="AJ778" i="9"/>
  <c r="A779" i="9"/>
  <c r="AJ779" i="9"/>
  <c r="A780" i="9"/>
  <c r="F780" i="9"/>
  <c r="O780" i="9"/>
  <c r="P780" i="9"/>
  <c r="Q780" i="9"/>
  <c r="R780" i="9"/>
  <c r="T780" i="9"/>
  <c r="U780" i="9"/>
  <c r="V780" i="9"/>
  <c r="W780" i="9"/>
  <c r="X780" i="9"/>
  <c r="AI780" i="9"/>
  <c r="AI781" i="9" s="1"/>
  <c r="AJ780" i="9"/>
  <c r="A781" i="9"/>
  <c r="AJ781" i="9"/>
  <c r="A782" i="9"/>
  <c r="AI782" i="9"/>
  <c r="AI783" i="9" s="1"/>
  <c r="AI784" i="9" s="1"/>
  <c r="AI785" i="9" s="1"/>
  <c r="AJ782" i="9"/>
  <c r="A783" i="9"/>
  <c r="F783" i="9"/>
  <c r="X783" i="9"/>
  <c r="AJ783" i="9"/>
  <c r="A784" i="9"/>
  <c r="F784" i="9"/>
  <c r="X784" i="9"/>
  <c r="AJ784" i="9"/>
  <c r="A785" i="9"/>
  <c r="AJ785" i="9"/>
  <c r="A786" i="9"/>
  <c r="AJ786" i="9"/>
  <c r="A787" i="9"/>
  <c r="AI787" i="9"/>
  <c r="AI788" i="9" s="1"/>
  <c r="AI789" i="9" s="1"/>
  <c r="AI790" i="9" s="1"/>
  <c r="AJ787" i="9"/>
  <c r="A788" i="9"/>
  <c r="F788" i="9"/>
  <c r="X788" i="9"/>
  <c r="AJ788" i="9"/>
  <c r="A789" i="9"/>
  <c r="F789" i="9"/>
  <c r="X789" i="9"/>
  <c r="AJ789" i="9"/>
  <c r="A790" i="9"/>
  <c r="F790" i="9"/>
  <c r="X790" i="9"/>
  <c r="AJ790" i="9"/>
  <c r="A791" i="9"/>
  <c r="AJ791" i="9"/>
  <c r="A792" i="9"/>
  <c r="AJ792" i="9"/>
  <c r="A793" i="9"/>
  <c r="AI793" i="9"/>
  <c r="AI794" i="9" s="1"/>
  <c r="AI795" i="9" s="1"/>
  <c r="AI796" i="9" s="1"/>
  <c r="AJ793" i="9"/>
  <c r="A794" i="9"/>
  <c r="F794" i="9"/>
  <c r="X794" i="9"/>
  <c r="AJ794" i="9"/>
  <c r="A795" i="9"/>
  <c r="F795" i="9"/>
  <c r="X795" i="9"/>
  <c r="AJ795" i="9"/>
  <c r="A796" i="9"/>
  <c r="AJ796" i="9"/>
  <c r="A797" i="9"/>
  <c r="AJ797" i="9"/>
  <c r="A798" i="9"/>
  <c r="AI798" i="9"/>
  <c r="AI799" i="9" s="1"/>
  <c r="AI800" i="9" s="1"/>
  <c r="AJ798" i="9"/>
  <c r="A799" i="9"/>
  <c r="F799" i="9"/>
  <c r="X799" i="9"/>
  <c r="AJ799" i="9"/>
  <c r="A800" i="9"/>
  <c r="F800" i="9"/>
  <c r="X800" i="9"/>
  <c r="AJ800" i="9"/>
  <c r="A801" i="9"/>
  <c r="F801" i="9"/>
  <c r="X801" i="9"/>
  <c r="AJ801" i="9"/>
  <c r="A802" i="9"/>
  <c r="AJ802" i="9"/>
  <c r="A803" i="9"/>
  <c r="AJ803" i="9"/>
  <c r="A804" i="9"/>
  <c r="AJ804" i="9"/>
  <c r="A805" i="9"/>
  <c r="AJ805" i="9"/>
  <c r="A806" i="9"/>
  <c r="AJ806" i="9"/>
  <c r="A807" i="9"/>
  <c r="AI807" i="9"/>
  <c r="AI808" i="9" s="1"/>
  <c r="AJ807" i="9"/>
  <c r="A808" i="9"/>
  <c r="AJ808" i="9"/>
  <c r="A809" i="9"/>
  <c r="AI809" i="9"/>
  <c r="AI810" i="9" s="1"/>
  <c r="AJ809" i="9"/>
  <c r="A810" i="9"/>
  <c r="F810" i="9"/>
  <c r="AJ810" i="9"/>
  <c r="A811" i="9"/>
  <c r="F811" i="9"/>
  <c r="AJ811" i="9"/>
  <c r="A812" i="9"/>
  <c r="F812" i="9"/>
  <c r="AJ812" i="9"/>
  <c r="A813" i="9"/>
  <c r="F813" i="9"/>
  <c r="AJ813" i="9"/>
  <c r="A814" i="9"/>
  <c r="T814" i="9"/>
  <c r="U814" i="9"/>
  <c r="V814" i="9"/>
  <c r="W814" i="9"/>
  <c r="Y814" i="9"/>
  <c r="Z814" i="9"/>
  <c r="AA814" i="9"/>
  <c r="AB814" i="9"/>
  <c r="AC814" i="9"/>
  <c r="AJ814" i="9"/>
  <c r="A815" i="9"/>
  <c r="AJ815" i="9"/>
  <c r="A816" i="9"/>
  <c r="AI816" i="9"/>
  <c r="AI817" i="9" s="1"/>
  <c r="AI818" i="9" s="1"/>
  <c r="AI819" i="9" s="1"/>
  <c r="AJ816" i="9"/>
  <c r="A817" i="9"/>
  <c r="F817" i="9"/>
  <c r="AJ817" i="9"/>
  <c r="A818" i="9"/>
  <c r="T818" i="9"/>
  <c r="U818" i="9"/>
  <c r="V818" i="9"/>
  <c r="W818" i="9"/>
  <c r="Y818" i="9"/>
  <c r="Z818" i="9"/>
  <c r="AA818" i="9"/>
  <c r="AB818" i="9"/>
  <c r="AC818" i="9"/>
  <c r="AJ818" i="9"/>
  <c r="A819" i="9"/>
  <c r="AJ819" i="9"/>
  <c r="A820" i="9"/>
  <c r="AI820" i="9"/>
  <c r="AJ820" i="9"/>
  <c r="A821" i="9"/>
  <c r="F821" i="9"/>
  <c r="AI821" i="9"/>
  <c r="AI822" i="9" s="1"/>
  <c r="AI823" i="9" s="1"/>
  <c r="AI824" i="9" s="1"/>
  <c r="AJ821" i="9"/>
  <c r="A822" i="9"/>
  <c r="F822" i="9"/>
  <c r="AJ822" i="9"/>
  <c r="A823" i="9"/>
  <c r="F823" i="9"/>
  <c r="AJ823" i="9"/>
  <c r="A824" i="9"/>
  <c r="F824" i="9"/>
  <c r="AJ824" i="9"/>
  <c r="A825" i="9"/>
  <c r="T825" i="9"/>
  <c r="U825" i="9"/>
  <c r="V825" i="9"/>
  <c r="W825" i="9"/>
  <c r="Y825" i="9"/>
  <c r="Z825" i="9"/>
  <c r="AA825" i="9"/>
  <c r="AB825" i="9"/>
  <c r="AC825" i="9"/>
  <c r="AJ825" i="9"/>
  <c r="A826" i="9"/>
  <c r="AJ826" i="9"/>
  <c r="A827" i="9"/>
  <c r="AI827" i="9"/>
  <c r="AI828" i="9" s="1"/>
  <c r="AI829" i="9" s="1"/>
  <c r="AJ827" i="9"/>
  <c r="A828" i="9"/>
  <c r="F828" i="9"/>
  <c r="AJ828" i="9"/>
  <c r="A829" i="9"/>
  <c r="F829" i="9"/>
  <c r="AJ829" i="9"/>
  <c r="A830" i="9"/>
  <c r="F830" i="9"/>
  <c r="AJ830" i="9"/>
  <c r="A831" i="9"/>
  <c r="F831" i="9"/>
  <c r="AJ831" i="9"/>
  <c r="A832" i="9"/>
  <c r="T832" i="9"/>
  <c r="U832" i="9"/>
  <c r="V832" i="9"/>
  <c r="W832" i="9"/>
  <c r="Y832" i="9"/>
  <c r="Z832" i="9"/>
  <c r="AA832" i="9"/>
  <c r="AB832" i="9"/>
  <c r="AC832" i="9"/>
  <c r="AJ832" i="9"/>
  <c r="A833" i="9"/>
  <c r="AJ833" i="9"/>
  <c r="A834" i="9"/>
  <c r="AI834" i="9"/>
  <c r="AI835" i="9" s="1"/>
  <c r="AI836" i="9" s="1"/>
  <c r="AJ834" i="9"/>
  <c r="A835" i="9"/>
  <c r="F835" i="9"/>
  <c r="AJ835" i="9"/>
  <c r="A836" i="9"/>
  <c r="F836" i="9"/>
  <c r="AJ836" i="9"/>
  <c r="A837" i="9"/>
  <c r="F837" i="9"/>
  <c r="AJ837" i="9"/>
  <c r="A838" i="9"/>
  <c r="O838" i="9"/>
  <c r="P838" i="9"/>
  <c r="Q838" i="9"/>
  <c r="R838" i="9"/>
  <c r="Y838" i="9"/>
  <c r="Z838" i="9"/>
  <c r="AA838" i="9"/>
  <c r="AB838" i="9"/>
  <c r="AC838" i="9"/>
  <c r="AJ838" i="9"/>
  <c r="A839" i="9"/>
  <c r="AJ839" i="9"/>
  <c r="A840" i="9"/>
  <c r="AI840" i="9"/>
  <c r="AJ840" i="9"/>
  <c r="A841" i="9"/>
  <c r="F841" i="9"/>
  <c r="X841" i="9"/>
  <c r="AI841" i="9"/>
  <c r="AJ841" i="9"/>
  <c r="A842" i="9"/>
  <c r="F842" i="9"/>
  <c r="X842" i="9"/>
  <c r="AI842" i="9"/>
  <c r="AJ842" i="9"/>
  <c r="A843" i="9"/>
  <c r="F843" i="9"/>
  <c r="X843" i="9"/>
  <c r="AI843" i="9"/>
  <c r="AJ843" i="9"/>
  <c r="A844" i="9"/>
  <c r="F844" i="9"/>
  <c r="X844" i="9"/>
  <c r="AI844" i="9"/>
  <c r="AJ844" i="9"/>
  <c r="A845" i="9"/>
  <c r="F845" i="9"/>
  <c r="X845" i="9"/>
  <c r="AI845" i="9"/>
  <c r="AJ845" i="9"/>
  <c r="A846" i="9"/>
  <c r="F846" i="9"/>
  <c r="X846" i="9"/>
  <c r="AI846" i="9"/>
  <c r="AJ846" i="9"/>
  <c r="A847" i="9"/>
  <c r="F847" i="9"/>
  <c r="X847" i="9"/>
  <c r="AI847" i="9"/>
  <c r="AJ847" i="9"/>
  <c r="A848" i="9"/>
  <c r="F848" i="9"/>
  <c r="X848" i="9"/>
  <c r="AI848" i="9"/>
  <c r="AJ848" i="9"/>
  <c r="A849" i="9"/>
  <c r="F849" i="9"/>
  <c r="X849" i="9"/>
  <c r="AI849" i="9"/>
  <c r="AJ849" i="9"/>
  <c r="A850" i="9"/>
  <c r="F850" i="9"/>
  <c r="X850" i="9"/>
  <c r="AI850" i="9"/>
  <c r="AJ850" i="9"/>
  <c r="A851" i="9"/>
  <c r="F851" i="9"/>
  <c r="X851" i="9"/>
  <c r="AI851" i="9"/>
  <c r="AJ851" i="9"/>
  <c r="A852" i="9"/>
  <c r="F852" i="9"/>
  <c r="X852" i="9"/>
  <c r="AI852" i="9"/>
  <c r="AJ852" i="9"/>
  <c r="A853" i="9"/>
  <c r="F853" i="9"/>
  <c r="X853" i="9"/>
  <c r="AI853" i="9"/>
  <c r="AJ853" i="9"/>
  <c r="A854" i="9"/>
  <c r="F854" i="9"/>
  <c r="X854" i="9"/>
  <c r="AI854" i="9"/>
  <c r="AJ854" i="9"/>
  <c r="A855" i="9"/>
  <c r="T855" i="9"/>
  <c r="U855" i="9"/>
  <c r="V855" i="9"/>
  <c r="W855" i="9"/>
  <c r="AJ855" i="9"/>
  <c r="A856" i="9"/>
  <c r="AJ856" i="9"/>
  <c r="A857" i="9"/>
  <c r="AI857" i="9"/>
  <c r="AI858" i="9" s="1"/>
  <c r="AI859" i="9" s="1"/>
  <c r="AJ857" i="9"/>
  <c r="A858" i="9"/>
  <c r="F858" i="9"/>
  <c r="X858" i="9"/>
  <c r="AJ858" i="9"/>
  <c r="A859" i="9"/>
  <c r="F859" i="9"/>
  <c r="X859" i="9"/>
  <c r="AJ859" i="9"/>
  <c r="A860" i="9"/>
  <c r="F860" i="9"/>
  <c r="X860" i="9"/>
  <c r="AJ860" i="9"/>
  <c r="A861" i="9"/>
  <c r="F861" i="9"/>
  <c r="X861" i="9"/>
  <c r="AJ861" i="9"/>
  <c r="A862" i="9"/>
  <c r="F862" i="9"/>
  <c r="X862" i="9"/>
  <c r="AJ862" i="9"/>
  <c r="A863" i="9"/>
  <c r="F863" i="9"/>
  <c r="X863" i="9"/>
  <c r="AJ863" i="9"/>
  <c r="A864" i="9"/>
  <c r="F864" i="9"/>
  <c r="X864" i="9"/>
  <c r="AJ864" i="9"/>
  <c r="A865" i="9"/>
  <c r="F865" i="9"/>
  <c r="X865" i="9"/>
  <c r="AJ865" i="9"/>
  <c r="A866" i="9"/>
  <c r="F866" i="9"/>
  <c r="X866" i="9"/>
  <c r="AJ866" i="9"/>
  <c r="A867" i="9"/>
  <c r="AJ867" i="9"/>
  <c r="A868" i="9"/>
  <c r="AJ868" i="9"/>
  <c r="A869" i="9"/>
  <c r="AI869" i="9"/>
  <c r="AI870" i="9" s="1"/>
  <c r="AJ869" i="9"/>
  <c r="A870" i="9"/>
  <c r="F870" i="9"/>
  <c r="X870" i="9"/>
  <c r="AJ870" i="9"/>
  <c r="A871" i="9"/>
  <c r="T871" i="9"/>
  <c r="U871" i="9"/>
  <c r="V871" i="9"/>
  <c r="W871" i="9"/>
  <c r="AJ871" i="9"/>
  <c r="A872" i="9"/>
  <c r="AJ872" i="9"/>
  <c r="A873" i="9"/>
  <c r="AI873" i="9"/>
  <c r="AI874" i="9" s="1"/>
  <c r="AI875" i="9" s="1"/>
  <c r="AJ873" i="9"/>
  <c r="A874" i="9"/>
  <c r="F874" i="9"/>
  <c r="AJ874" i="9"/>
  <c r="A875" i="9"/>
  <c r="T875" i="9"/>
  <c r="U875" i="9"/>
  <c r="V875" i="9"/>
  <c r="W875" i="9"/>
  <c r="Y875" i="9"/>
  <c r="Z875" i="9"/>
  <c r="AA875" i="9"/>
  <c r="AB875" i="9"/>
  <c r="AC875" i="9"/>
  <c r="AJ875" i="9"/>
  <c r="A876" i="9"/>
  <c r="AJ876" i="9"/>
  <c r="A877" i="9"/>
  <c r="AI877" i="9"/>
  <c r="AJ877" i="9"/>
  <c r="A878" i="9"/>
  <c r="F878" i="9"/>
  <c r="AI878" i="9"/>
  <c r="AJ878" i="9"/>
  <c r="A879" i="9"/>
  <c r="F879" i="9"/>
  <c r="AJ879" i="9"/>
  <c r="A880" i="9"/>
  <c r="T880" i="9"/>
  <c r="U880" i="9"/>
  <c r="V880" i="9"/>
  <c r="W880" i="9"/>
  <c r="Y880" i="9"/>
  <c r="Z880" i="9"/>
  <c r="AA880" i="9"/>
  <c r="AB880" i="9"/>
  <c r="AC880" i="9"/>
  <c r="AJ880" i="9"/>
  <c r="A881" i="9"/>
  <c r="AJ881" i="9"/>
  <c r="A882" i="9"/>
  <c r="AI882" i="9"/>
  <c r="AI883" i="9" s="1"/>
  <c r="AJ882" i="9"/>
  <c r="A883" i="9"/>
  <c r="AJ883" i="9"/>
  <c r="A884" i="9"/>
  <c r="AI884" i="9"/>
  <c r="AI885" i="9" s="1"/>
  <c r="AI886" i="9" s="1"/>
  <c r="AI887" i="9" s="1"/>
  <c r="AJ884" i="9"/>
  <c r="A885" i="9"/>
  <c r="F885" i="9"/>
  <c r="X885" i="9"/>
  <c r="AJ885" i="9"/>
  <c r="A886" i="9"/>
  <c r="F886" i="9"/>
  <c r="X886" i="9"/>
  <c r="AJ886" i="9"/>
  <c r="A887" i="9"/>
  <c r="F887" i="9"/>
  <c r="X887" i="9"/>
  <c r="AJ887" i="9"/>
  <c r="A888" i="9"/>
  <c r="F888" i="9"/>
  <c r="X888" i="9"/>
  <c r="AJ888" i="9"/>
  <c r="A889" i="9"/>
  <c r="F889" i="9"/>
  <c r="X889" i="9"/>
  <c r="AJ889" i="9"/>
  <c r="A890" i="9"/>
  <c r="F890" i="9"/>
  <c r="X890" i="9"/>
  <c r="AJ890" i="9"/>
  <c r="A891" i="9"/>
  <c r="AJ891" i="9"/>
  <c r="A892" i="9"/>
  <c r="AJ892" i="9"/>
  <c r="A893" i="9"/>
  <c r="AI893" i="9"/>
  <c r="AI894" i="9" s="1"/>
  <c r="AJ893" i="9"/>
  <c r="A894" i="9"/>
  <c r="F894" i="9"/>
  <c r="X894" i="9"/>
  <c r="AJ894" i="9"/>
  <c r="A895" i="9"/>
  <c r="AJ895" i="9"/>
  <c r="A896" i="9"/>
  <c r="AJ896" i="9"/>
  <c r="A897" i="9"/>
  <c r="AI897" i="9"/>
  <c r="AI898" i="9" s="1"/>
  <c r="AJ897" i="9"/>
  <c r="A898" i="9"/>
  <c r="F898" i="9"/>
  <c r="X898" i="9"/>
  <c r="AJ898" i="9"/>
  <c r="A899" i="9"/>
  <c r="F899" i="9"/>
  <c r="X899" i="9"/>
  <c r="AJ899" i="9"/>
  <c r="A900" i="9"/>
  <c r="F900" i="9"/>
  <c r="X900" i="9"/>
  <c r="AJ900" i="9"/>
  <c r="A901" i="9"/>
  <c r="F901" i="9"/>
  <c r="X901" i="9"/>
  <c r="AJ901" i="9"/>
  <c r="A902" i="9"/>
  <c r="F902" i="9"/>
  <c r="X902" i="9"/>
  <c r="AJ902" i="9"/>
  <c r="A903" i="9"/>
  <c r="F903" i="9"/>
  <c r="X903" i="9"/>
  <c r="AJ903" i="9"/>
  <c r="A904" i="9"/>
  <c r="F904" i="9"/>
  <c r="X904" i="9"/>
  <c r="AJ904" i="9"/>
  <c r="A905" i="9"/>
  <c r="F905" i="9"/>
  <c r="X905" i="9"/>
  <c r="AJ905" i="9"/>
  <c r="A906" i="9"/>
  <c r="F906" i="9"/>
  <c r="X906" i="9"/>
  <c r="AJ906" i="9"/>
  <c r="A907" i="9"/>
  <c r="F907" i="9"/>
  <c r="X907" i="9"/>
  <c r="AJ907" i="9"/>
  <c r="A908" i="9"/>
  <c r="F908" i="9"/>
  <c r="X908" i="9"/>
  <c r="AJ908" i="9"/>
  <c r="A909" i="9"/>
  <c r="AJ909" i="9"/>
  <c r="A910" i="9"/>
  <c r="AJ910" i="9"/>
  <c r="A911" i="9"/>
  <c r="AI911" i="9"/>
  <c r="AJ911" i="9"/>
  <c r="A912" i="9"/>
  <c r="F912" i="9"/>
  <c r="X912" i="9"/>
  <c r="AJ912" i="9"/>
  <c r="A913" i="9"/>
  <c r="AJ913" i="9"/>
  <c r="A914" i="9"/>
  <c r="AJ914" i="9"/>
  <c r="A915" i="9"/>
  <c r="AI915" i="9"/>
  <c r="AJ915" i="9"/>
  <c r="A916" i="9"/>
  <c r="F916" i="9"/>
  <c r="X916" i="9"/>
  <c r="AJ916" i="9"/>
  <c r="A917" i="9"/>
  <c r="F917" i="9"/>
  <c r="X917" i="9"/>
  <c r="AJ917" i="9"/>
  <c r="A918" i="9"/>
  <c r="AJ918" i="9"/>
  <c r="A919" i="9"/>
  <c r="AJ919" i="9"/>
  <c r="A920" i="9"/>
  <c r="AI920" i="9"/>
  <c r="AI921" i="9" s="1"/>
  <c r="AI922" i="9" s="1"/>
  <c r="AJ920" i="9"/>
  <c r="A921" i="9"/>
  <c r="AJ921" i="9"/>
  <c r="A922" i="9"/>
  <c r="AJ922" i="9"/>
  <c r="A923" i="9"/>
  <c r="AI923" i="9"/>
  <c r="AI924" i="9" s="1"/>
  <c r="AI925" i="9" s="1"/>
  <c r="AJ923" i="9"/>
  <c r="A924" i="9"/>
  <c r="F924" i="9"/>
  <c r="X924" i="9"/>
  <c r="AJ924" i="9"/>
  <c r="A925" i="9"/>
  <c r="AJ925" i="9"/>
  <c r="A926" i="9"/>
  <c r="AJ926" i="9"/>
  <c r="A927" i="9"/>
  <c r="AJ927" i="9"/>
  <c r="A928" i="9"/>
  <c r="AI928" i="9"/>
  <c r="AI929" i="9" s="1"/>
  <c r="AI930" i="9" s="1"/>
  <c r="AI931" i="9" s="1"/>
  <c r="AI932" i="9" s="1"/>
  <c r="AJ928" i="9"/>
  <c r="A929" i="9"/>
  <c r="F929" i="9"/>
  <c r="AJ929" i="9"/>
  <c r="A930" i="9"/>
  <c r="F930" i="9"/>
  <c r="AJ930" i="9"/>
  <c r="A931" i="9"/>
  <c r="F931" i="9"/>
  <c r="AJ931" i="9"/>
  <c r="A932" i="9"/>
  <c r="F932" i="9"/>
  <c r="AJ932" i="9"/>
  <c r="A933" i="9"/>
  <c r="F933" i="9"/>
  <c r="AJ933" i="9"/>
  <c r="A934" i="9"/>
  <c r="Y934" i="9"/>
  <c r="Z934" i="9"/>
  <c r="AA934" i="9"/>
  <c r="AB934" i="9"/>
  <c r="AC934" i="9"/>
  <c r="AJ934" i="9"/>
  <c r="A935" i="9"/>
  <c r="AJ935" i="9"/>
  <c r="A936" i="9"/>
  <c r="AI936" i="9"/>
  <c r="AI937" i="9" s="1"/>
  <c r="AJ936" i="9"/>
  <c r="A937" i="9"/>
  <c r="F937" i="9"/>
  <c r="X937" i="9"/>
  <c r="AJ937" i="9"/>
  <c r="A938" i="9"/>
  <c r="F938" i="9"/>
  <c r="X938" i="9"/>
  <c r="AJ938" i="9"/>
  <c r="A939" i="9"/>
  <c r="F939" i="9"/>
  <c r="X939" i="9"/>
  <c r="AJ939" i="9"/>
  <c r="A940" i="9"/>
  <c r="F940" i="9"/>
  <c r="X940" i="9"/>
  <c r="AJ940" i="9"/>
  <c r="A941" i="9"/>
  <c r="F941" i="9"/>
  <c r="X941" i="9"/>
  <c r="AJ941" i="9"/>
  <c r="A942" i="9"/>
  <c r="F942" i="9"/>
  <c r="X942" i="9"/>
  <c r="AJ942" i="9"/>
  <c r="A943" i="9"/>
  <c r="AJ943" i="9"/>
  <c r="A944" i="9"/>
  <c r="AJ944" i="9"/>
  <c r="A945" i="9"/>
  <c r="AI945" i="9"/>
  <c r="AI946" i="9" s="1"/>
  <c r="AJ945" i="9"/>
  <c r="A946" i="9"/>
  <c r="AJ946" i="9"/>
  <c r="A947" i="9"/>
  <c r="AI947" i="9"/>
  <c r="AJ947" i="9"/>
  <c r="A948" i="9"/>
  <c r="F948" i="9"/>
  <c r="X948" i="9"/>
  <c r="AI948" i="9"/>
  <c r="AI949" i="9" s="1"/>
  <c r="AI950" i="9" s="1"/>
  <c r="AJ948" i="9"/>
  <c r="A949" i="9"/>
  <c r="F949" i="9"/>
  <c r="X949" i="9"/>
  <c r="AJ949" i="9"/>
  <c r="A950" i="9"/>
  <c r="F950" i="9"/>
  <c r="X950" i="9"/>
  <c r="AJ950" i="9"/>
  <c r="A951" i="9"/>
  <c r="F951" i="9"/>
  <c r="X951" i="9"/>
  <c r="AJ951" i="9"/>
  <c r="A952" i="9"/>
  <c r="F952" i="9"/>
  <c r="X952" i="9"/>
  <c r="AJ952" i="9"/>
  <c r="A953" i="9"/>
  <c r="F953" i="9"/>
  <c r="X953" i="9"/>
  <c r="AJ953" i="9"/>
  <c r="A954" i="9"/>
  <c r="F954" i="9"/>
  <c r="X954" i="9"/>
  <c r="AJ954" i="9"/>
  <c r="A955" i="9"/>
  <c r="F955" i="9"/>
  <c r="X955" i="9"/>
  <c r="AJ955" i="9"/>
  <c r="A956" i="9"/>
  <c r="AJ956" i="9"/>
  <c r="A957" i="9"/>
  <c r="AJ957" i="9"/>
  <c r="A958" i="9"/>
  <c r="AI958" i="9"/>
  <c r="AJ958" i="9"/>
  <c r="A959" i="9"/>
  <c r="F959" i="9"/>
  <c r="X959" i="9"/>
  <c r="AI959" i="9"/>
  <c r="AJ959" i="9"/>
  <c r="A960" i="9"/>
  <c r="AJ960" i="9"/>
  <c r="A961" i="9"/>
  <c r="AJ961" i="9"/>
  <c r="A962" i="9"/>
  <c r="AJ962" i="9"/>
  <c r="A963" i="9"/>
  <c r="AI963" i="9"/>
  <c r="AJ963" i="9"/>
  <c r="A964" i="9"/>
  <c r="F964" i="9"/>
  <c r="X964" i="9"/>
  <c r="AJ964" i="9"/>
  <c r="A965" i="9"/>
  <c r="AJ965" i="9"/>
  <c r="A966" i="9"/>
  <c r="Q966" i="9"/>
  <c r="R966" i="9"/>
  <c r="AJ966" i="9"/>
  <c r="A967" i="9"/>
  <c r="AJ967" i="9"/>
  <c r="A968" i="9"/>
  <c r="AI968" i="9"/>
  <c r="AJ968" i="9"/>
  <c r="A969" i="9"/>
  <c r="AJ969" i="9"/>
  <c r="A970" i="9"/>
  <c r="AI970" i="9"/>
  <c r="AJ970" i="9"/>
  <c r="A971" i="9"/>
  <c r="X971" i="9"/>
  <c r="AJ971" i="9"/>
  <c r="A972" i="9"/>
  <c r="F972" i="9"/>
  <c r="X972" i="9"/>
  <c r="AJ972" i="9"/>
  <c r="A973" i="9"/>
  <c r="AJ973" i="9"/>
  <c r="A974" i="9"/>
  <c r="AJ974" i="9"/>
  <c r="A975" i="9"/>
  <c r="AI975" i="9"/>
  <c r="AI976" i="9" s="1"/>
  <c r="AJ975" i="9"/>
  <c r="A976" i="9"/>
  <c r="F976" i="9"/>
  <c r="X976" i="9"/>
  <c r="AJ976" i="9"/>
  <c r="A977" i="9"/>
  <c r="AJ977" i="9"/>
  <c r="A978" i="9"/>
  <c r="AJ978" i="9"/>
  <c r="A979" i="9"/>
  <c r="AI979" i="9"/>
  <c r="AI980" i="9" s="1"/>
  <c r="AJ979" i="9"/>
  <c r="A980" i="9"/>
  <c r="F980" i="9"/>
  <c r="X980" i="9"/>
  <c r="AJ980" i="9"/>
  <c r="A981" i="9"/>
  <c r="AJ981" i="9"/>
  <c r="A982" i="9"/>
  <c r="AJ982" i="9"/>
  <c r="A983" i="9"/>
  <c r="AI983" i="9"/>
  <c r="AI984" i="9" s="1"/>
  <c r="AJ983" i="9"/>
  <c r="A984" i="9"/>
  <c r="F984" i="9"/>
  <c r="X984" i="9"/>
  <c r="AJ984" i="9"/>
  <c r="A985" i="9"/>
  <c r="F985" i="9"/>
  <c r="X985" i="9"/>
  <c r="AJ985" i="9"/>
  <c r="A986" i="9"/>
  <c r="F986" i="9"/>
  <c r="X986" i="9"/>
  <c r="AJ986" i="9"/>
  <c r="A987" i="9"/>
  <c r="AJ987" i="9"/>
  <c r="A988" i="9"/>
  <c r="AJ988" i="9"/>
  <c r="A989" i="9"/>
  <c r="AI989" i="9"/>
  <c r="AI990" i="9" s="1"/>
  <c r="AI991" i="9" s="1"/>
  <c r="AJ989" i="9"/>
  <c r="A990" i="9"/>
  <c r="F990" i="9"/>
  <c r="X990" i="9"/>
  <c r="AJ990" i="9"/>
  <c r="A991" i="9"/>
  <c r="AJ991" i="9"/>
  <c r="A992" i="9"/>
  <c r="AJ992" i="9"/>
  <c r="A993" i="9"/>
  <c r="AJ993" i="9"/>
  <c r="A994" i="9"/>
  <c r="AJ994" i="9"/>
  <c r="A995" i="9"/>
  <c r="AJ995" i="9"/>
  <c r="A996" i="9"/>
  <c r="AJ996" i="9"/>
  <c r="A997" i="9"/>
  <c r="AJ997" i="9"/>
  <c r="A998" i="9"/>
  <c r="AI998" i="9"/>
  <c r="AI999" i="9" s="1"/>
  <c r="AI1000" i="9" s="1"/>
  <c r="AJ998" i="9"/>
  <c r="A999" i="9"/>
  <c r="F999" i="9"/>
  <c r="X999" i="9"/>
  <c r="AJ999" i="9"/>
  <c r="A1000" i="9"/>
  <c r="AJ1000" i="9"/>
  <c r="A1001" i="9"/>
  <c r="AJ1001" i="9"/>
  <c r="A1002" i="9"/>
  <c r="AI1002" i="9"/>
  <c r="AI1003" i="9" s="1"/>
  <c r="AJ1002" i="9"/>
  <c r="A1003" i="9"/>
  <c r="F1003" i="9"/>
  <c r="X1003" i="9"/>
  <c r="AJ1003" i="9"/>
  <c r="A1004" i="9"/>
  <c r="F1004" i="9"/>
  <c r="X1004" i="9"/>
  <c r="AJ1004" i="9"/>
  <c r="A1005" i="9"/>
  <c r="F1005" i="9"/>
  <c r="X1005" i="9"/>
  <c r="AJ1005" i="9"/>
  <c r="A1006" i="9"/>
  <c r="F1006" i="9"/>
  <c r="X1006" i="9"/>
  <c r="AJ1006" i="9"/>
  <c r="A1007" i="9"/>
  <c r="F1007" i="9"/>
  <c r="X1007" i="9"/>
  <c r="AJ1007" i="9"/>
  <c r="A1008" i="9"/>
  <c r="F1008" i="9"/>
  <c r="X1008" i="9"/>
  <c r="AJ1008" i="9"/>
  <c r="A1009" i="9"/>
  <c r="F1009" i="9"/>
  <c r="X1009" i="9"/>
  <c r="AJ1009" i="9"/>
  <c r="A1010" i="9"/>
  <c r="F1010" i="9"/>
  <c r="X1010" i="9"/>
  <c r="AJ1010" i="9"/>
  <c r="A1011" i="9"/>
  <c r="F1011" i="9"/>
  <c r="X1011" i="9"/>
  <c r="AJ1011" i="9"/>
  <c r="A1012" i="9"/>
  <c r="F1012" i="9"/>
  <c r="X1012" i="9"/>
  <c r="AJ1012" i="9"/>
  <c r="A1013" i="9"/>
  <c r="F1013" i="9"/>
  <c r="X1013" i="9"/>
  <c r="AJ1013" i="9"/>
  <c r="A1014" i="9"/>
  <c r="F1014" i="9"/>
  <c r="X1014" i="9"/>
  <c r="AJ1014" i="9"/>
  <c r="A1015" i="9"/>
  <c r="F1015" i="9"/>
  <c r="X1015" i="9"/>
  <c r="AJ1015" i="9"/>
  <c r="A1016" i="9"/>
  <c r="F1016" i="9"/>
  <c r="X1016" i="9"/>
  <c r="AJ1016" i="9"/>
  <c r="A1017" i="9"/>
  <c r="F1017" i="9"/>
  <c r="X1017" i="9"/>
  <c r="AJ1017" i="9"/>
  <c r="A1018" i="9"/>
  <c r="F1018" i="9"/>
  <c r="X1018" i="9"/>
  <c r="AJ1018" i="9"/>
  <c r="A1019" i="9"/>
  <c r="AJ1019" i="9"/>
  <c r="A1020" i="9"/>
  <c r="AJ1020" i="9"/>
  <c r="A1021" i="9"/>
  <c r="AI1021" i="9"/>
  <c r="AJ1021" i="9"/>
  <c r="A1022" i="9"/>
  <c r="F1022" i="9"/>
  <c r="X1022" i="9"/>
  <c r="AI1022" i="9"/>
  <c r="AJ1022" i="9"/>
  <c r="A1023" i="9"/>
  <c r="F1023" i="9"/>
  <c r="X1023" i="9"/>
  <c r="AJ1023" i="9"/>
  <c r="A1024" i="9"/>
  <c r="F1024" i="9"/>
  <c r="X1024" i="9"/>
  <c r="AJ1024" i="9"/>
  <c r="A1025" i="9"/>
  <c r="F1025" i="9"/>
  <c r="X1025" i="9"/>
  <c r="AJ1025" i="9"/>
  <c r="A1026" i="9"/>
  <c r="F1026" i="9"/>
  <c r="X1026" i="9"/>
  <c r="AJ1026" i="9"/>
  <c r="A1027" i="9"/>
  <c r="F1027" i="9"/>
  <c r="X1027" i="9"/>
  <c r="AJ1027" i="9"/>
  <c r="A1028" i="9"/>
  <c r="F1028" i="9"/>
  <c r="X1028" i="9"/>
  <c r="AJ1028" i="9"/>
  <c r="A1029" i="9"/>
  <c r="F1029" i="9"/>
  <c r="X1029" i="9"/>
  <c r="AJ1029" i="9"/>
  <c r="A1030" i="9"/>
  <c r="F1030" i="9"/>
  <c r="X1030" i="9"/>
  <c r="AJ1030" i="9"/>
  <c r="A1031" i="9"/>
  <c r="F1031" i="9"/>
  <c r="X1031" i="9"/>
  <c r="AJ1031" i="9"/>
  <c r="A1032" i="9"/>
  <c r="F1032" i="9"/>
  <c r="X1032" i="9"/>
  <c r="AJ1032" i="9"/>
  <c r="A1033" i="9"/>
  <c r="F1033" i="9"/>
  <c r="X1033" i="9"/>
  <c r="AJ1033" i="9"/>
  <c r="A1034" i="9"/>
  <c r="AJ1034" i="9"/>
  <c r="A1035" i="9"/>
  <c r="AJ1035" i="9"/>
  <c r="A1036" i="9"/>
  <c r="AI1036" i="9"/>
  <c r="AI1037" i="9" s="1"/>
  <c r="AI1038" i="9" s="1"/>
  <c r="AJ1036" i="9"/>
  <c r="A1037" i="9"/>
  <c r="F1037" i="9"/>
  <c r="X1037" i="9"/>
  <c r="AJ1037" i="9"/>
  <c r="A1038" i="9"/>
  <c r="F1038" i="9"/>
  <c r="X1038" i="9"/>
  <c r="AJ1038" i="9"/>
  <c r="A1039" i="9"/>
  <c r="F1039" i="9"/>
  <c r="X1039" i="9"/>
  <c r="AJ1039" i="9"/>
  <c r="A1040" i="9"/>
  <c r="F1040" i="9"/>
  <c r="X1040" i="9"/>
  <c r="AJ1040" i="9"/>
  <c r="A1041" i="9"/>
  <c r="F1041" i="9"/>
  <c r="X1041" i="9"/>
  <c r="AJ1041" i="9"/>
  <c r="A1042" i="9"/>
  <c r="F1042" i="9"/>
  <c r="X1042" i="9"/>
  <c r="AJ1042" i="9"/>
  <c r="A1043" i="9"/>
  <c r="F1043" i="9"/>
  <c r="X1043" i="9"/>
  <c r="AJ1043" i="9"/>
  <c r="A1044" i="9"/>
  <c r="F1044" i="9"/>
  <c r="X1044" i="9"/>
  <c r="AJ1044" i="9"/>
  <c r="A1045" i="9"/>
  <c r="F1045" i="9"/>
  <c r="X1045" i="9"/>
  <c r="AJ1045" i="9"/>
  <c r="A1046" i="9"/>
  <c r="F1046" i="9"/>
  <c r="X1046" i="9"/>
  <c r="AJ1046" i="9"/>
  <c r="A1047" i="9"/>
  <c r="F1047" i="9"/>
  <c r="X1047" i="9"/>
  <c r="AJ1047" i="9"/>
  <c r="A1048" i="9"/>
  <c r="F1048" i="9"/>
  <c r="X1048" i="9"/>
  <c r="AJ1048" i="9"/>
  <c r="A1049" i="9"/>
  <c r="F1049" i="9"/>
  <c r="X1049" i="9"/>
  <c r="AJ1049" i="9"/>
  <c r="A1050" i="9"/>
  <c r="F1050" i="9"/>
  <c r="X1050" i="9"/>
  <c r="AJ1050" i="9"/>
  <c r="A1051" i="9"/>
  <c r="F1051" i="9"/>
  <c r="X1051" i="9"/>
  <c r="AJ1051" i="9"/>
  <c r="A1052" i="9"/>
  <c r="F1052" i="9"/>
  <c r="X1052" i="9"/>
  <c r="AJ1052" i="9"/>
  <c r="A1053" i="9"/>
  <c r="AJ1053" i="9"/>
  <c r="A1054" i="9"/>
  <c r="AJ1054" i="9"/>
  <c r="A1055" i="9"/>
  <c r="AI1055" i="9"/>
  <c r="AJ1055" i="9"/>
  <c r="A1056" i="9"/>
  <c r="F1056" i="9"/>
  <c r="X1056" i="9"/>
  <c r="AI1056" i="9"/>
  <c r="AI1057" i="9" s="1"/>
  <c r="AI1058" i="9" s="1"/>
  <c r="AJ1056" i="9"/>
  <c r="A1057" i="9"/>
  <c r="F1057" i="9"/>
  <c r="X1057" i="9"/>
  <c r="AJ1057" i="9"/>
  <c r="A1058" i="9"/>
  <c r="F1058" i="9"/>
  <c r="X1058" i="9"/>
  <c r="AJ1058" i="9"/>
  <c r="A1059" i="9"/>
  <c r="F1059" i="9"/>
  <c r="X1059" i="9"/>
  <c r="AJ1059" i="9"/>
  <c r="A1060" i="9"/>
  <c r="F1060" i="9"/>
  <c r="X1060" i="9"/>
  <c r="AJ1060" i="9"/>
  <c r="A1061" i="9"/>
  <c r="F1061" i="9"/>
  <c r="X1061" i="9"/>
  <c r="AJ1061" i="9"/>
  <c r="A1062" i="9"/>
  <c r="F1062" i="9"/>
  <c r="X1062" i="9"/>
  <c r="AJ1062" i="9"/>
  <c r="A1063" i="9"/>
  <c r="F1063" i="9"/>
  <c r="X1063" i="9"/>
  <c r="AJ1063" i="9"/>
  <c r="A1064" i="9"/>
  <c r="F1064" i="9"/>
  <c r="X1064" i="9"/>
  <c r="AJ1064" i="9"/>
  <c r="A1065" i="9"/>
  <c r="F1065" i="9"/>
  <c r="X1065" i="9"/>
  <c r="AJ1065" i="9"/>
  <c r="A1066" i="9"/>
  <c r="F1066" i="9"/>
  <c r="X1066" i="9"/>
  <c r="AJ1066" i="9"/>
  <c r="A1067" i="9"/>
  <c r="F1067" i="9"/>
  <c r="X1067" i="9"/>
  <c r="AJ1067" i="9"/>
  <c r="A1068" i="9"/>
  <c r="AJ1068" i="9"/>
  <c r="A1069" i="9"/>
  <c r="AJ1069" i="9"/>
  <c r="A1070" i="9"/>
  <c r="AI1070" i="9"/>
  <c r="AI1071" i="9" s="1"/>
  <c r="AJ1070" i="9"/>
  <c r="A1071" i="9"/>
  <c r="AJ1071" i="9"/>
  <c r="A1072" i="9"/>
  <c r="AI1072" i="9"/>
  <c r="AI1073" i="9" s="1"/>
  <c r="AJ1072" i="9"/>
  <c r="A1073" i="9"/>
  <c r="F1073" i="9"/>
  <c r="X1073" i="9"/>
  <c r="AJ1073" i="9"/>
  <c r="A1074" i="9"/>
  <c r="F1074" i="9"/>
  <c r="X1074" i="9"/>
  <c r="AJ1074" i="9"/>
  <c r="A1075" i="9"/>
  <c r="F1075" i="9"/>
  <c r="X1075" i="9"/>
  <c r="AJ1075" i="9"/>
  <c r="A1076" i="9"/>
  <c r="F1076" i="9"/>
  <c r="X1076" i="9"/>
  <c r="AJ1076" i="9"/>
  <c r="A1077" i="9"/>
  <c r="F1077" i="9"/>
  <c r="X1077" i="9"/>
  <c r="AJ1077" i="9"/>
  <c r="A1078" i="9"/>
  <c r="F1078" i="9"/>
  <c r="X1078" i="9"/>
  <c r="AJ1078" i="9"/>
  <c r="A1079" i="9"/>
  <c r="AJ1079" i="9"/>
  <c r="A1080" i="9"/>
  <c r="AJ1080" i="9"/>
  <c r="A1081" i="9"/>
  <c r="AI1081" i="9"/>
  <c r="AI1082" i="9" s="1"/>
  <c r="AJ1081" i="9"/>
  <c r="A1082" i="9"/>
  <c r="F1082" i="9"/>
  <c r="X1082" i="9"/>
  <c r="AJ1082" i="9"/>
  <c r="A1083" i="9"/>
  <c r="F1083" i="9"/>
  <c r="X1083" i="9"/>
  <c r="AJ1083" i="9"/>
  <c r="A1084" i="9"/>
  <c r="F1084" i="9"/>
  <c r="X1084" i="9"/>
  <c r="AJ1084" i="9"/>
  <c r="A1085" i="9"/>
  <c r="F1085" i="9"/>
  <c r="X1085" i="9"/>
  <c r="AJ1085" i="9"/>
  <c r="A1086" i="9"/>
  <c r="F1086" i="9"/>
  <c r="X1086" i="9"/>
  <c r="AJ1086" i="9"/>
  <c r="A1087" i="9"/>
  <c r="F1087" i="9"/>
  <c r="X1087" i="9"/>
  <c r="AJ1087" i="9"/>
  <c r="A1088" i="9"/>
  <c r="AJ1088" i="9"/>
  <c r="A1089" i="9"/>
  <c r="AJ1089" i="9"/>
  <c r="A1090" i="9"/>
  <c r="AI1090" i="9"/>
  <c r="AI1091" i="9" s="1"/>
  <c r="AI1092" i="9" s="1"/>
  <c r="AI1093" i="9" s="1"/>
  <c r="AI1094" i="9" s="1"/>
  <c r="AI1095" i="9" s="1"/>
  <c r="AJ1090" i="9"/>
  <c r="A1091" i="9"/>
  <c r="F1091" i="9"/>
  <c r="X1091" i="9"/>
  <c r="AJ1091" i="9"/>
  <c r="A1092" i="9"/>
  <c r="F1092" i="9"/>
  <c r="X1092" i="9"/>
  <c r="AJ1092" i="9"/>
  <c r="A1093" i="9"/>
  <c r="F1093" i="9"/>
  <c r="X1093" i="9"/>
  <c r="AJ1093" i="9"/>
  <c r="A1094" i="9"/>
  <c r="F1094" i="9"/>
  <c r="X1094" i="9"/>
  <c r="AJ1094" i="9"/>
  <c r="A1095" i="9"/>
  <c r="F1095" i="9"/>
  <c r="X1095" i="9"/>
  <c r="AJ1095" i="9"/>
  <c r="A1096" i="9"/>
  <c r="F1096" i="9"/>
  <c r="X1096" i="9"/>
  <c r="AJ1096" i="9"/>
  <c r="A1097" i="9"/>
  <c r="F1097" i="9"/>
  <c r="X1097" i="9"/>
  <c r="AJ1097" i="9"/>
  <c r="A1098" i="9"/>
  <c r="F1098" i="9"/>
  <c r="X1098" i="9"/>
  <c r="AJ1098" i="9"/>
  <c r="A1099" i="9"/>
  <c r="F1099" i="9"/>
  <c r="X1099" i="9"/>
  <c r="AJ1099" i="9"/>
  <c r="A1100" i="9"/>
  <c r="F1100" i="9"/>
  <c r="X1100" i="9"/>
  <c r="AJ1100" i="9"/>
  <c r="A1101" i="9"/>
  <c r="F1101" i="9"/>
  <c r="X1101" i="9"/>
  <c r="AJ1101" i="9"/>
  <c r="A1102" i="9"/>
  <c r="F1102" i="9"/>
  <c r="X1102" i="9"/>
  <c r="AJ1102" i="9"/>
  <c r="A1103" i="9"/>
  <c r="F1103" i="9"/>
  <c r="X1103" i="9"/>
  <c r="AJ1103" i="9"/>
  <c r="A1104" i="9"/>
  <c r="F1104" i="9"/>
  <c r="X1104" i="9"/>
  <c r="AJ1104" i="9"/>
  <c r="A1105" i="9"/>
  <c r="AJ1105" i="9"/>
  <c r="A1106" i="9"/>
  <c r="AJ1106" i="9"/>
  <c r="A1107" i="9"/>
  <c r="AI1107" i="9"/>
  <c r="AI1108" i="9" s="1"/>
  <c r="AJ1107" i="9"/>
  <c r="A1108" i="9"/>
  <c r="AJ1108" i="9"/>
  <c r="A1109" i="9"/>
  <c r="AI1109" i="9"/>
  <c r="AI1110" i="9" s="1"/>
  <c r="AJ1109" i="9"/>
  <c r="A1110" i="9"/>
  <c r="F1110" i="9"/>
  <c r="X1110" i="9"/>
  <c r="AJ1110" i="9"/>
  <c r="A1111" i="9"/>
  <c r="F1111" i="9"/>
  <c r="X1111" i="9"/>
  <c r="AJ1111" i="9"/>
  <c r="A1112" i="9"/>
  <c r="F1112" i="9"/>
  <c r="X1112" i="9"/>
  <c r="AJ1112" i="9"/>
  <c r="A1113" i="9"/>
  <c r="AJ1113" i="9"/>
  <c r="A1114" i="9"/>
  <c r="AI1114" i="9"/>
  <c r="AJ1114" i="9"/>
  <c r="A1115" i="9"/>
  <c r="F1115" i="9"/>
  <c r="X1115" i="9"/>
  <c r="AJ1115" i="9"/>
  <c r="A1116" i="9"/>
  <c r="F1116" i="9"/>
  <c r="X1116" i="9"/>
  <c r="AJ1116" i="9"/>
  <c r="A1117" i="9"/>
  <c r="F1117" i="9"/>
  <c r="X1117" i="9"/>
  <c r="AJ1117" i="9"/>
  <c r="A1118" i="9"/>
  <c r="F1118" i="9"/>
  <c r="X1118" i="9"/>
  <c r="AJ1118" i="9"/>
  <c r="A1119" i="9"/>
  <c r="F1119" i="9"/>
  <c r="X1119" i="9"/>
  <c r="AJ1119" i="9"/>
  <c r="A1120" i="9"/>
  <c r="F1120" i="9"/>
  <c r="X1120" i="9"/>
  <c r="AJ1120" i="9"/>
  <c r="A1121" i="9"/>
  <c r="AJ1121" i="9"/>
  <c r="A1122" i="9"/>
  <c r="AJ1122" i="9"/>
  <c r="A1123" i="9"/>
  <c r="AI1123" i="9"/>
  <c r="AI1124" i="9" s="1"/>
  <c r="AJ1123" i="9"/>
  <c r="A1124" i="9"/>
  <c r="F1124" i="9"/>
  <c r="X1124" i="9"/>
  <c r="AJ1124" i="9"/>
  <c r="A1125" i="9"/>
  <c r="F1125" i="9"/>
  <c r="X1125" i="9"/>
  <c r="AJ1125" i="9"/>
  <c r="A1126" i="9"/>
  <c r="F1126" i="9"/>
  <c r="X1126" i="9"/>
  <c r="AJ1126" i="9"/>
  <c r="A1127" i="9"/>
  <c r="F1127" i="9"/>
  <c r="X1127" i="9"/>
  <c r="AJ1127" i="9"/>
  <c r="A1128" i="9"/>
  <c r="F1128" i="9"/>
  <c r="X1128" i="9"/>
  <c r="AJ1128" i="9"/>
  <c r="A1129" i="9"/>
  <c r="F1129" i="9"/>
  <c r="X1129" i="9"/>
  <c r="AJ1129" i="9"/>
  <c r="A1130" i="9"/>
  <c r="F1130" i="9"/>
  <c r="X1130" i="9"/>
  <c r="AJ1130" i="9"/>
  <c r="A1131" i="9"/>
  <c r="F1131" i="9"/>
  <c r="X1131" i="9"/>
  <c r="AJ1131" i="9"/>
  <c r="A1132" i="9"/>
  <c r="F1132" i="9"/>
  <c r="X1132" i="9"/>
  <c r="AJ1132" i="9"/>
  <c r="A1133" i="9"/>
  <c r="F1133" i="9"/>
  <c r="X1133" i="9"/>
  <c r="AJ1133" i="9"/>
  <c r="A1134" i="9"/>
  <c r="F1134" i="9"/>
  <c r="X1134" i="9"/>
  <c r="AJ1134" i="9"/>
  <c r="A1135" i="9"/>
  <c r="F1135" i="9"/>
  <c r="X1135" i="9"/>
  <c r="AJ1135" i="9"/>
  <c r="A1136" i="9"/>
  <c r="AJ1136" i="9"/>
  <c r="A1137" i="9"/>
  <c r="AJ1137" i="9"/>
  <c r="A1138" i="9"/>
  <c r="AI1138" i="9"/>
  <c r="AI1139" i="9" s="1"/>
  <c r="AJ1138" i="9"/>
  <c r="A1139" i="9"/>
  <c r="AJ1139" i="9"/>
  <c r="A1140" i="9"/>
  <c r="AI1140" i="9"/>
  <c r="AI1141" i="9" s="1"/>
  <c r="AJ1140" i="9"/>
  <c r="A1141" i="9"/>
  <c r="AJ1141" i="9"/>
  <c r="A1142" i="9"/>
  <c r="AI1142" i="9"/>
  <c r="AI1143" i="9" s="1"/>
  <c r="AI1144" i="9" s="1"/>
  <c r="AJ1142" i="9"/>
  <c r="A1143" i="9"/>
  <c r="F1143" i="9"/>
  <c r="X1143" i="9"/>
  <c r="AJ1143" i="9"/>
  <c r="A1144" i="9"/>
  <c r="F1144" i="9"/>
  <c r="X1144" i="9"/>
  <c r="AJ1144" i="9"/>
  <c r="A1145" i="9"/>
  <c r="F1145" i="9"/>
  <c r="X1145" i="9"/>
  <c r="AJ1145" i="9"/>
  <c r="A1146" i="9"/>
  <c r="F1146" i="9"/>
  <c r="X1146" i="9"/>
  <c r="AJ1146" i="9"/>
  <c r="A1147" i="9"/>
  <c r="AI1147" i="9"/>
  <c r="AI1148" i="9" s="1"/>
  <c r="AJ1147" i="9"/>
  <c r="A1148" i="9"/>
  <c r="AJ1148" i="9"/>
  <c r="A1149" i="9"/>
  <c r="AI1149" i="9"/>
  <c r="AI1150" i="9" s="1"/>
  <c r="AI1151" i="9" s="1"/>
  <c r="AJ1149" i="9"/>
  <c r="A1150" i="9"/>
  <c r="AJ1150" i="9"/>
  <c r="A1151" i="9"/>
  <c r="AJ1151" i="9"/>
  <c r="A1152" i="9"/>
  <c r="AJ1152" i="9"/>
  <c r="A1153" i="9"/>
  <c r="AJ1153" i="9"/>
  <c r="A1154" i="9"/>
  <c r="AJ1154" i="9"/>
  <c r="A1155" i="9"/>
  <c r="AJ1155" i="9"/>
  <c r="A1156" i="9"/>
  <c r="AJ1156" i="9"/>
  <c r="A1157" i="9"/>
  <c r="AJ1157" i="9"/>
  <c r="A1158" i="9"/>
  <c r="AJ1158" i="9"/>
  <c r="A1159" i="9"/>
  <c r="AJ1159" i="9"/>
  <c r="A1160" i="9"/>
  <c r="AJ1160" i="9"/>
  <c r="A1161" i="9"/>
  <c r="AD1161" i="9"/>
  <c r="AE1161" i="9"/>
  <c r="AF1161" i="9"/>
  <c r="AG1161" i="9"/>
  <c r="AJ1161" i="9"/>
  <c r="A1162" i="9"/>
  <c r="AJ1162" i="9"/>
  <c r="A1163" i="9"/>
  <c r="AJ1163" i="9"/>
  <c r="A1164" i="9"/>
  <c r="AJ1164" i="9"/>
  <c r="A1165" i="9"/>
  <c r="AJ1165" i="9"/>
  <c r="A1166" i="9"/>
  <c r="F1166" i="9"/>
  <c r="X1166" i="9"/>
  <c r="AJ1166" i="9"/>
  <c r="A1167" i="9"/>
  <c r="AJ1167" i="9"/>
  <c r="A1168" i="9"/>
  <c r="AI1168" i="9"/>
  <c r="AI1169" i="9" s="1"/>
  <c r="AJ1168" i="9"/>
  <c r="A1169" i="9"/>
  <c r="AJ1169" i="9"/>
  <c r="A1170" i="9"/>
  <c r="G1170" i="9"/>
  <c r="AI1170" i="9"/>
  <c r="AI1171" i="9" s="1"/>
  <c r="AJ1170" i="9"/>
  <c r="A1171" i="9"/>
  <c r="AJ1171" i="9"/>
  <c r="A1172" i="9"/>
  <c r="AI1172" i="9"/>
  <c r="AI1173" i="9" s="1"/>
  <c r="AJ1172" i="9"/>
  <c r="A1173" i="9"/>
  <c r="AJ1173" i="9"/>
  <c r="A1174" i="9"/>
  <c r="AI1174" i="9"/>
  <c r="AJ1174" i="9"/>
  <c r="A1175" i="9"/>
  <c r="F1175" i="9"/>
  <c r="AI1175" i="9"/>
  <c r="AJ1175" i="9"/>
  <c r="A1176" i="9"/>
  <c r="F1176" i="9"/>
  <c r="AI1176" i="9"/>
  <c r="AJ1176" i="9"/>
  <c r="A1177" i="9"/>
  <c r="F1177" i="9"/>
  <c r="AI1177" i="9"/>
  <c r="AJ1177" i="9"/>
  <c r="A1178" i="9"/>
  <c r="F1178" i="9"/>
  <c r="AI1178" i="9"/>
  <c r="AJ1178" i="9"/>
  <c r="A1179" i="9"/>
  <c r="Y1179" i="9"/>
  <c r="Z1179" i="9"/>
  <c r="AA1179" i="9"/>
  <c r="AB1179" i="9"/>
  <c r="AC1179" i="9"/>
  <c r="AI1179" i="9"/>
  <c r="AJ1179" i="9"/>
  <c r="A1180" i="9"/>
  <c r="AI1180" i="9"/>
  <c r="AJ1180" i="9"/>
  <c r="A1181" i="9"/>
  <c r="AJ1181" i="9"/>
  <c r="A1182" i="9"/>
  <c r="AI1182" i="9"/>
  <c r="AJ1182" i="9"/>
  <c r="A1183" i="9"/>
  <c r="AJ1183" i="9"/>
  <c r="A1184" i="9"/>
  <c r="F1184" i="9"/>
  <c r="X1184" i="9"/>
  <c r="AI1184" i="9"/>
  <c r="AI1185" i="9" s="1"/>
  <c r="AJ1184" i="9"/>
  <c r="A1185" i="9"/>
  <c r="AJ1185" i="9"/>
  <c r="A1186" i="9"/>
  <c r="AI1186" i="9"/>
  <c r="AI1187" i="9" s="1"/>
  <c r="AJ1186" i="9"/>
  <c r="A1187" i="9"/>
  <c r="AJ1187" i="9"/>
  <c r="A1188" i="9"/>
  <c r="AJ1188" i="9"/>
  <c r="A1189" i="9"/>
  <c r="AI1189" i="9"/>
  <c r="AJ1189" i="9"/>
  <c r="A1190" i="9"/>
  <c r="F1190" i="9"/>
  <c r="AJ1190" i="9"/>
  <c r="A1191" i="9"/>
  <c r="F1191" i="9"/>
  <c r="AJ1191" i="9"/>
  <c r="A1192" i="9"/>
  <c r="F1192" i="9"/>
  <c r="AJ1192" i="9"/>
  <c r="A1193" i="9"/>
  <c r="F1193" i="9"/>
  <c r="AJ1193" i="9"/>
  <c r="A1194" i="9"/>
  <c r="F1194" i="9"/>
  <c r="AJ1194" i="9"/>
  <c r="A1195" i="9"/>
  <c r="T1195" i="9"/>
  <c r="U1195" i="9"/>
  <c r="V1195" i="9"/>
  <c r="W1195" i="9"/>
  <c r="Y1195" i="9"/>
  <c r="Z1195" i="9"/>
  <c r="AA1195" i="9"/>
  <c r="AB1195" i="9"/>
  <c r="AC1195" i="9"/>
  <c r="AJ1195" i="9"/>
  <c r="A1196" i="9"/>
  <c r="AJ1196" i="9"/>
  <c r="A1197" i="9"/>
  <c r="AI1197" i="9"/>
  <c r="AI1198" i="9" s="1"/>
  <c r="AI1199" i="9" s="1"/>
  <c r="AJ1197" i="9"/>
  <c r="A1198" i="9"/>
  <c r="F1198" i="9"/>
  <c r="AJ1198" i="9"/>
  <c r="A1199" i="9"/>
  <c r="F1199" i="9"/>
  <c r="AJ1199" i="9"/>
  <c r="A1200" i="9"/>
  <c r="F1200" i="9"/>
  <c r="AJ1200" i="9"/>
  <c r="A1201" i="9"/>
  <c r="F1201" i="9"/>
  <c r="AJ1201" i="9"/>
  <c r="A1202" i="9"/>
  <c r="T1202" i="9"/>
  <c r="U1202" i="9"/>
  <c r="V1202" i="9"/>
  <c r="W1202" i="9"/>
  <c r="Y1202" i="9"/>
  <c r="Z1202" i="9"/>
  <c r="AA1202" i="9"/>
  <c r="AB1202" i="9"/>
  <c r="AC1202" i="9"/>
  <c r="AJ1202" i="9"/>
  <c r="A1203" i="9"/>
  <c r="AJ1203" i="9"/>
  <c r="A1204" i="9"/>
  <c r="AI1204" i="9"/>
  <c r="AI1205" i="9" s="1"/>
  <c r="AJ1204" i="9"/>
  <c r="A1205" i="9"/>
  <c r="F1205" i="9"/>
  <c r="AJ1205" i="9"/>
  <c r="A1206" i="9"/>
  <c r="F1206" i="9"/>
  <c r="AJ1206" i="9"/>
  <c r="A1207" i="9"/>
  <c r="F1207" i="9"/>
  <c r="AJ1207" i="9"/>
  <c r="A1208" i="9"/>
  <c r="F1208" i="9"/>
  <c r="AJ1208" i="9"/>
  <c r="A1209" i="9"/>
  <c r="T1209" i="9"/>
  <c r="U1209" i="9"/>
  <c r="V1209" i="9"/>
  <c r="W1209" i="9"/>
  <c r="Y1209" i="9"/>
  <c r="Z1209" i="9"/>
  <c r="AA1209" i="9"/>
  <c r="AB1209" i="9"/>
  <c r="AC1209" i="9"/>
  <c r="AJ1209" i="9"/>
  <c r="A1210" i="9"/>
  <c r="AJ1210" i="9"/>
  <c r="A1211" i="9"/>
  <c r="AI1211" i="9"/>
  <c r="AJ1211" i="9"/>
  <c r="A1212" i="9"/>
  <c r="F1212" i="9"/>
  <c r="AJ1212" i="9"/>
  <c r="A1213" i="9"/>
  <c r="F1213" i="9"/>
  <c r="AJ1213" i="9"/>
  <c r="A1214" i="9"/>
  <c r="F1214" i="9"/>
  <c r="AJ1214" i="9"/>
  <c r="A1215" i="9"/>
  <c r="F1215" i="9"/>
  <c r="AJ1215" i="9"/>
  <c r="A1216" i="9"/>
  <c r="T1216" i="9"/>
  <c r="U1216" i="9"/>
  <c r="V1216" i="9"/>
  <c r="W1216" i="9"/>
  <c r="Y1216" i="9"/>
  <c r="Z1216" i="9"/>
  <c r="AA1216" i="9"/>
  <c r="AB1216" i="9"/>
  <c r="AC1216" i="9"/>
  <c r="AJ1216" i="9"/>
  <c r="A1217" i="9"/>
  <c r="AJ1217" i="9"/>
  <c r="A1218" i="9"/>
  <c r="AI1218" i="9"/>
  <c r="AI1219" i="9" s="1"/>
  <c r="AI1220" i="9" s="1"/>
  <c r="AI1221" i="9" s="1"/>
  <c r="AJ1218" i="9"/>
  <c r="A1219" i="9"/>
  <c r="F1219" i="9"/>
  <c r="AJ1219" i="9"/>
  <c r="A1220" i="9"/>
  <c r="F1220" i="9"/>
  <c r="AJ1220" i="9"/>
  <c r="A1221" i="9"/>
  <c r="F1221" i="9"/>
  <c r="AJ1221" i="9"/>
  <c r="A1222" i="9"/>
  <c r="F1222" i="9"/>
  <c r="AJ1222" i="9"/>
  <c r="A1223" i="9"/>
  <c r="T1223" i="9"/>
  <c r="U1223" i="9"/>
  <c r="V1223" i="9"/>
  <c r="W1223" i="9"/>
  <c r="Y1223" i="9"/>
  <c r="Z1223" i="9"/>
  <c r="AA1223" i="9"/>
  <c r="AB1223" i="9"/>
  <c r="AC1223" i="9"/>
  <c r="AJ1223" i="9"/>
  <c r="A1224" i="9"/>
  <c r="AJ1224" i="9"/>
  <c r="A1225" i="9"/>
  <c r="AI1225" i="9"/>
  <c r="AI1226" i="9" s="1"/>
  <c r="AI1227" i="9" s="1"/>
  <c r="AJ1225" i="9"/>
  <c r="A1226" i="9"/>
  <c r="F1226" i="9"/>
  <c r="AJ1226" i="9"/>
  <c r="A1227" i="9"/>
  <c r="F1227" i="9"/>
  <c r="AJ1227" i="9"/>
  <c r="A1228" i="9"/>
  <c r="F1228" i="9"/>
  <c r="AJ1228" i="9"/>
  <c r="A1229" i="9"/>
  <c r="F1229" i="9"/>
  <c r="AJ1229" i="9"/>
  <c r="A1230" i="9"/>
  <c r="T1230" i="9"/>
  <c r="U1230" i="9"/>
  <c r="V1230" i="9"/>
  <c r="W1230" i="9"/>
  <c r="Y1230" i="9"/>
  <c r="Z1230" i="9"/>
  <c r="AA1230" i="9"/>
  <c r="AB1230" i="9"/>
  <c r="AC1230" i="9"/>
  <c r="AJ1230" i="9"/>
  <c r="A1231" i="9"/>
  <c r="AJ1231" i="9"/>
  <c r="A1232" i="9"/>
  <c r="AJ1232" i="9"/>
  <c r="A1233" i="9"/>
  <c r="AI1233" i="9"/>
  <c r="AI1234" i="9" s="1"/>
  <c r="AJ1233" i="9"/>
  <c r="A1234" i="9"/>
  <c r="F1234" i="9"/>
  <c r="AJ1234" i="9"/>
  <c r="A1235" i="9"/>
  <c r="T1235" i="9"/>
  <c r="U1235" i="9"/>
  <c r="V1235" i="9"/>
  <c r="W1235" i="9"/>
  <c r="Y1235" i="9"/>
  <c r="Z1235" i="9"/>
  <c r="AA1235" i="9"/>
  <c r="AB1235" i="9"/>
  <c r="AC1235" i="9"/>
  <c r="AJ1235" i="9"/>
  <c r="A1236" i="9"/>
  <c r="AJ1236" i="9"/>
  <c r="A1237" i="9"/>
  <c r="AJ1237" i="9"/>
  <c r="A1238" i="9"/>
  <c r="AI1238" i="9"/>
  <c r="AI1239" i="9" s="1"/>
  <c r="AJ1238" i="9"/>
  <c r="A1239" i="9"/>
  <c r="AJ1239" i="9"/>
  <c r="A1240" i="9"/>
  <c r="AI1240" i="9"/>
  <c r="AI1241" i="9" s="1"/>
  <c r="AI1242" i="9" s="1"/>
  <c r="AJ1240" i="9"/>
  <c r="A1241" i="9"/>
  <c r="F1241" i="9"/>
  <c r="AJ1241" i="9"/>
  <c r="A1242" i="9"/>
  <c r="T1242" i="9"/>
  <c r="U1242" i="9"/>
  <c r="V1242" i="9"/>
  <c r="W1242" i="9"/>
  <c r="Y1242" i="9"/>
  <c r="Z1242" i="9"/>
  <c r="AA1242" i="9"/>
  <c r="AB1242" i="9"/>
  <c r="AC1242" i="9"/>
  <c r="AJ1242" i="9"/>
  <c r="A1243" i="9"/>
  <c r="AJ1243" i="9"/>
  <c r="A1244" i="9"/>
  <c r="AI1244" i="9"/>
  <c r="AJ1244" i="9"/>
  <c r="A1245" i="9"/>
  <c r="F1245" i="9"/>
  <c r="AJ1245" i="9"/>
  <c r="A1246" i="9"/>
  <c r="T1246" i="9"/>
  <c r="U1246" i="9"/>
  <c r="V1246" i="9"/>
  <c r="W1246" i="9"/>
  <c r="Y1246" i="9"/>
  <c r="Z1246" i="9"/>
  <c r="AA1246" i="9"/>
  <c r="AB1246" i="9"/>
  <c r="AC1246" i="9"/>
  <c r="AJ1246" i="9"/>
  <c r="A1247" i="9"/>
  <c r="AJ1247" i="9"/>
  <c r="A1248" i="9"/>
  <c r="AI1248" i="9"/>
  <c r="AI1249" i="9" s="1"/>
  <c r="AI1250" i="9" s="1"/>
  <c r="AI1251" i="9" s="1"/>
  <c r="AJ1248" i="9"/>
  <c r="A1249" i="9"/>
  <c r="F1249" i="9"/>
  <c r="AJ1249" i="9"/>
  <c r="A1250" i="9"/>
  <c r="T1250" i="9"/>
  <c r="U1250" i="9"/>
  <c r="V1250" i="9"/>
  <c r="W1250" i="9"/>
  <c r="Y1250" i="9"/>
  <c r="Z1250" i="9"/>
  <c r="AA1250" i="9"/>
  <c r="AB1250" i="9"/>
  <c r="AC1250" i="9"/>
  <c r="AJ1250" i="9"/>
  <c r="A1251" i="9"/>
  <c r="AJ1251" i="9"/>
  <c r="A1252" i="9"/>
  <c r="AI1252" i="9"/>
  <c r="AJ1252" i="9"/>
  <c r="A1253" i="9"/>
  <c r="F1253" i="9"/>
  <c r="AJ1253" i="9"/>
  <c r="A1254" i="9"/>
  <c r="T1254" i="9"/>
  <c r="T1270" i="9" s="1"/>
  <c r="U1254" i="9"/>
  <c r="V1254" i="9"/>
  <c r="W1254" i="9"/>
  <c r="Y1254" i="9"/>
  <c r="Z1254" i="9"/>
  <c r="AA1254" i="9"/>
  <c r="AB1254" i="9"/>
  <c r="AC1254" i="9"/>
  <c r="AJ1254" i="9"/>
  <c r="A1255" i="9"/>
  <c r="AJ1255" i="9"/>
  <c r="A1256" i="9"/>
  <c r="AI1256" i="9"/>
  <c r="AI1257" i="9" s="1"/>
  <c r="AJ1256" i="9"/>
  <c r="A1257" i="9"/>
  <c r="F1257" i="9"/>
  <c r="AJ1257" i="9"/>
  <c r="A1258" i="9"/>
  <c r="T1258" i="9"/>
  <c r="U1258" i="9"/>
  <c r="V1258" i="9"/>
  <c r="W1258" i="9"/>
  <c r="Y1258" i="9"/>
  <c r="Z1258" i="9"/>
  <c r="AA1258" i="9"/>
  <c r="AB1258" i="9"/>
  <c r="AC1258" i="9"/>
  <c r="AJ1258" i="9"/>
  <c r="A1259" i="9"/>
  <c r="AJ1259" i="9"/>
  <c r="A1260" i="9"/>
  <c r="AI1260" i="9"/>
  <c r="AJ1260" i="9"/>
  <c r="A1261" i="9"/>
  <c r="F1261" i="9"/>
  <c r="AJ1261" i="9"/>
  <c r="A1262" i="9"/>
  <c r="T1262" i="9"/>
  <c r="U1262" i="9"/>
  <c r="V1262" i="9"/>
  <c r="W1262" i="9"/>
  <c r="Y1262" i="9"/>
  <c r="Z1262" i="9"/>
  <c r="AA1262" i="9"/>
  <c r="AB1262" i="9"/>
  <c r="AC1262" i="9"/>
  <c r="AJ1262" i="9"/>
  <c r="A1263" i="9"/>
  <c r="AJ1263" i="9"/>
  <c r="A1264" i="9"/>
  <c r="AJ1264" i="9"/>
  <c r="A1265" i="9"/>
  <c r="AI1265" i="9"/>
  <c r="AI1266" i="9" s="1"/>
  <c r="AI1267" i="9" s="1"/>
  <c r="AI1268" i="9" s="1"/>
  <c r="AJ1265" i="9"/>
  <c r="A1266" i="9"/>
  <c r="F1266" i="9"/>
  <c r="AJ1266" i="9"/>
  <c r="A1267" i="9"/>
  <c r="T1267" i="9"/>
  <c r="U1267" i="9"/>
  <c r="V1267" i="9"/>
  <c r="W1267" i="9"/>
  <c r="Y1267" i="9"/>
  <c r="Z1267" i="9"/>
  <c r="AA1267" i="9"/>
  <c r="AB1267" i="9"/>
  <c r="AC1267" i="9"/>
  <c r="AJ1267" i="9"/>
  <c r="A1268" i="9"/>
  <c r="AJ1268" i="9"/>
  <c r="A1269" i="9"/>
  <c r="AJ1269" i="9"/>
  <c r="A1270" i="9"/>
  <c r="AI1270" i="9"/>
  <c r="AI1271" i="9" s="1"/>
  <c r="AJ1270" i="9"/>
  <c r="A1271" i="9"/>
  <c r="AJ1271" i="9"/>
  <c r="A1272" i="9"/>
  <c r="AI1272" i="9"/>
  <c r="AI1273" i="9" s="1"/>
  <c r="AI1274" i="9" s="1"/>
  <c r="AI1275" i="9" s="1"/>
  <c r="AJ1272" i="9"/>
  <c r="A1273" i="9"/>
  <c r="F1273" i="9"/>
  <c r="AJ1273" i="9"/>
  <c r="A1274" i="9"/>
  <c r="F1274" i="9"/>
  <c r="AJ1274" i="9"/>
  <c r="A1275" i="9"/>
  <c r="F1275" i="9"/>
  <c r="AJ1275" i="9"/>
  <c r="A1276" i="9"/>
  <c r="F1276" i="9"/>
  <c r="AJ1276" i="9"/>
  <c r="A1277" i="9"/>
  <c r="T1277" i="9"/>
  <c r="U1277" i="9"/>
  <c r="V1277" i="9"/>
  <c r="W1277" i="9"/>
  <c r="Y1277" i="9"/>
  <c r="Z1277" i="9"/>
  <c r="AA1277" i="9"/>
  <c r="AB1277" i="9"/>
  <c r="AC1277" i="9"/>
  <c r="AJ1277" i="9"/>
  <c r="A1278" i="9"/>
  <c r="AJ1278" i="9"/>
  <c r="A1279" i="9"/>
  <c r="AI1279" i="9"/>
  <c r="AI1280" i="9" s="1"/>
  <c r="AI1281" i="9" s="1"/>
  <c r="AI1282" i="9" s="1"/>
  <c r="AI1283" i="9" s="1"/>
  <c r="AI1284" i="9" s="1"/>
  <c r="AJ1279" i="9"/>
  <c r="A1280" i="9"/>
  <c r="F1280" i="9"/>
  <c r="AJ1280" i="9"/>
  <c r="A1281" i="9"/>
  <c r="F1281" i="9"/>
  <c r="AJ1281" i="9"/>
  <c r="A1282" i="9"/>
  <c r="F1282" i="9"/>
  <c r="AJ1282" i="9"/>
  <c r="A1283" i="9"/>
  <c r="F1283" i="9"/>
  <c r="AJ1283" i="9"/>
  <c r="A1284" i="9"/>
  <c r="T1284" i="9"/>
  <c r="U1284" i="9"/>
  <c r="V1284" i="9"/>
  <c r="W1284" i="9"/>
  <c r="Y1284" i="9"/>
  <c r="Z1284" i="9"/>
  <c r="AA1284" i="9"/>
  <c r="AB1284" i="9"/>
  <c r="AC1284" i="9"/>
  <c r="AJ1284" i="9"/>
  <c r="A1285" i="9"/>
  <c r="AJ1285" i="9"/>
  <c r="A1286" i="9"/>
  <c r="AI1286" i="9"/>
  <c r="AI1287" i="9" s="1"/>
  <c r="AI1288" i="9" s="1"/>
  <c r="AI1289" i="9" s="1"/>
  <c r="AI1290" i="9" s="1"/>
  <c r="AI1291" i="9" s="1"/>
  <c r="AJ1286" i="9"/>
  <c r="A1287" i="9"/>
  <c r="F1287" i="9"/>
  <c r="AJ1287" i="9"/>
  <c r="A1288" i="9"/>
  <c r="F1288" i="9"/>
  <c r="AJ1288" i="9"/>
  <c r="A1289" i="9"/>
  <c r="F1289" i="9"/>
  <c r="AJ1289" i="9"/>
  <c r="A1290" i="9"/>
  <c r="F1290" i="9"/>
  <c r="AJ1290" i="9"/>
  <c r="A1291" i="9"/>
  <c r="T1291" i="9"/>
  <c r="U1291" i="9"/>
  <c r="V1291" i="9"/>
  <c r="W1291" i="9"/>
  <c r="Y1291" i="9"/>
  <c r="Z1291" i="9"/>
  <c r="AA1291" i="9"/>
  <c r="AB1291" i="9"/>
  <c r="AC1291" i="9"/>
  <c r="AJ1291" i="9"/>
  <c r="A1292" i="9"/>
  <c r="AJ1292" i="9"/>
  <c r="A1293" i="9"/>
  <c r="AI1293" i="9"/>
  <c r="AJ1293" i="9"/>
  <c r="A1294" i="9"/>
  <c r="F1294" i="9"/>
  <c r="AJ1294" i="9"/>
  <c r="A1295" i="9"/>
  <c r="F1295" i="9"/>
  <c r="AJ1295" i="9"/>
  <c r="A1296" i="9"/>
  <c r="F1296" i="9"/>
  <c r="AJ1296" i="9"/>
  <c r="A1297" i="9"/>
  <c r="F1297" i="9"/>
  <c r="AJ1297" i="9"/>
  <c r="A1298" i="9"/>
  <c r="T1298" i="9"/>
  <c r="U1298" i="9"/>
  <c r="V1298" i="9"/>
  <c r="W1298" i="9"/>
  <c r="Y1298" i="9"/>
  <c r="Z1298" i="9"/>
  <c r="AA1298" i="9"/>
  <c r="AB1298" i="9"/>
  <c r="AC1298" i="9"/>
  <c r="AJ1298" i="9"/>
  <c r="A1299" i="9"/>
  <c r="AJ1299" i="9"/>
  <c r="A1300" i="9"/>
  <c r="AI1300" i="9"/>
  <c r="AI1301" i="9" s="1"/>
  <c r="AI1302" i="9" s="1"/>
  <c r="AJ1300" i="9"/>
  <c r="A1301" i="9"/>
  <c r="F1301" i="9"/>
  <c r="AJ1301" i="9"/>
  <c r="A1302" i="9"/>
  <c r="F1302" i="9"/>
  <c r="AJ1302" i="9"/>
  <c r="A1303" i="9"/>
  <c r="F1303" i="9"/>
  <c r="AJ1303" i="9"/>
  <c r="A1304" i="9"/>
  <c r="F1304" i="9"/>
  <c r="AJ1304" i="9"/>
  <c r="A1305" i="9"/>
  <c r="T1305" i="9"/>
  <c r="U1305" i="9"/>
  <c r="V1305" i="9"/>
  <c r="W1305" i="9"/>
  <c r="Y1305" i="9"/>
  <c r="Z1305" i="9"/>
  <c r="AA1305" i="9"/>
  <c r="AB1305" i="9"/>
  <c r="AC1305" i="9"/>
  <c r="AJ1305" i="9"/>
  <c r="A1306" i="9"/>
  <c r="AJ1306" i="9"/>
  <c r="A1307" i="9"/>
  <c r="AI1307" i="9"/>
  <c r="AI1308" i="9" s="1"/>
  <c r="AJ1307" i="9"/>
  <c r="A1308" i="9"/>
  <c r="F1308" i="9"/>
  <c r="AJ1308" i="9"/>
  <c r="A1309" i="9"/>
  <c r="F1309" i="9"/>
  <c r="AJ1309" i="9"/>
  <c r="A1310" i="9"/>
  <c r="F1310" i="9"/>
  <c r="AJ1310" i="9"/>
  <c r="A1311" i="9"/>
  <c r="F1311" i="9"/>
  <c r="AJ1311" i="9"/>
  <c r="A1312" i="9"/>
  <c r="T1312" i="9"/>
  <c r="U1312" i="9"/>
  <c r="V1312" i="9"/>
  <c r="W1312" i="9"/>
  <c r="Y1312" i="9"/>
  <c r="Z1312" i="9"/>
  <c r="AA1312" i="9"/>
  <c r="AB1312" i="9"/>
  <c r="AC1312" i="9"/>
  <c r="AJ1312" i="9"/>
  <c r="A1313" i="9"/>
  <c r="AJ1313" i="9"/>
  <c r="A1314" i="9"/>
  <c r="AI1314" i="9"/>
  <c r="AJ1314" i="9"/>
  <c r="A1315" i="9"/>
  <c r="F1315" i="9"/>
  <c r="AJ1315" i="9"/>
  <c r="A1316" i="9"/>
  <c r="F1316" i="9"/>
  <c r="AJ1316" i="9"/>
  <c r="A1317" i="9"/>
  <c r="F1317" i="9"/>
  <c r="AJ1317" i="9"/>
  <c r="A1318" i="9"/>
  <c r="F1318" i="9"/>
  <c r="AJ1318" i="9"/>
  <c r="A1319" i="9"/>
  <c r="T1319" i="9"/>
  <c r="U1319" i="9"/>
  <c r="V1319" i="9"/>
  <c r="W1319" i="9"/>
  <c r="Y1319" i="9"/>
  <c r="Z1319" i="9"/>
  <c r="AA1319" i="9"/>
  <c r="AB1319" i="9"/>
  <c r="AC1319" i="9"/>
  <c r="AJ1319" i="9"/>
  <c r="A1320" i="9"/>
  <c r="AJ1320" i="9"/>
  <c r="A1321" i="9"/>
  <c r="AJ1321" i="9"/>
  <c r="A1322" i="9"/>
  <c r="AI1322" i="9"/>
  <c r="AI1323" i="9" s="1"/>
  <c r="AI1324" i="9" s="1"/>
  <c r="AJ1322" i="9"/>
  <c r="A1323" i="9"/>
  <c r="F1323" i="9"/>
  <c r="AJ1323" i="9"/>
  <c r="A1324" i="9"/>
  <c r="F1324" i="9"/>
  <c r="AJ1324" i="9"/>
  <c r="A1325" i="9"/>
  <c r="T1325" i="9"/>
  <c r="U1325" i="9"/>
  <c r="V1325" i="9"/>
  <c r="W1325" i="9"/>
  <c r="Y1325" i="9"/>
  <c r="Z1325" i="9"/>
  <c r="AA1325" i="9"/>
  <c r="AB1325" i="9"/>
  <c r="AC1325" i="9"/>
  <c r="AJ1325" i="9"/>
  <c r="A1326" i="9"/>
  <c r="AJ1326" i="9"/>
  <c r="A1327" i="9"/>
  <c r="AJ1327" i="9"/>
  <c r="A1328" i="9"/>
  <c r="AI1328" i="9"/>
  <c r="AI1329" i="9" s="1"/>
  <c r="AJ1328" i="9"/>
  <c r="A1329" i="9"/>
  <c r="AJ1329" i="9"/>
  <c r="A1330" i="9"/>
  <c r="AI1330" i="9"/>
  <c r="AI1331" i="9" s="1"/>
  <c r="AI1332" i="9" s="1"/>
  <c r="AJ1330" i="9"/>
  <c r="A1331" i="9"/>
  <c r="F1331" i="9"/>
  <c r="AJ1331" i="9"/>
  <c r="A1332" i="9"/>
  <c r="F1332" i="9"/>
  <c r="AJ1332" i="9"/>
  <c r="A1333" i="9"/>
  <c r="F1333" i="9"/>
  <c r="AJ1333" i="9"/>
  <c r="A1334" i="9"/>
  <c r="T1334" i="9"/>
  <c r="U1334" i="9"/>
  <c r="U1381" i="9" s="1"/>
  <c r="V1334" i="9"/>
  <c r="W1334" i="9"/>
  <c r="Y1334" i="9"/>
  <c r="Z1334" i="9"/>
  <c r="AA1334" i="9"/>
  <c r="AB1334" i="9"/>
  <c r="AC1334" i="9"/>
  <c r="AJ1334" i="9"/>
  <c r="A1335" i="9"/>
  <c r="AJ1335" i="9"/>
  <c r="A1336" i="9"/>
  <c r="AI1336" i="9"/>
  <c r="AI1337" i="9" s="1"/>
  <c r="AI1338" i="9" s="1"/>
  <c r="AI1339" i="9" s="1"/>
  <c r="AJ1336" i="9"/>
  <c r="A1337" i="9"/>
  <c r="F1337" i="9"/>
  <c r="AJ1337" i="9"/>
  <c r="A1338" i="9"/>
  <c r="F1338" i="9"/>
  <c r="AJ1338" i="9"/>
  <c r="A1339" i="9"/>
  <c r="F1339" i="9"/>
  <c r="AJ1339" i="9"/>
  <c r="A1340" i="9"/>
  <c r="F1340" i="9"/>
  <c r="AJ1340" i="9"/>
  <c r="A1341" i="9"/>
  <c r="T1341" i="9"/>
  <c r="U1341" i="9"/>
  <c r="V1341" i="9"/>
  <c r="W1341" i="9"/>
  <c r="Y1341" i="9"/>
  <c r="Z1341" i="9"/>
  <c r="AA1341" i="9"/>
  <c r="AB1341" i="9"/>
  <c r="AC1341" i="9"/>
  <c r="AJ1341" i="9"/>
  <c r="A1342" i="9"/>
  <c r="AJ1342" i="9"/>
  <c r="A1343" i="9"/>
  <c r="AI1343" i="9"/>
  <c r="AI1344" i="9" s="1"/>
  <c r="AI1345" i="9" s="1"/>
  <c r="AJ1343" i="9"/>
  <c r="A1344" i="9"/>
  <c r="F1344" i="9"/>
  <c r="AJ1344" i="9"/>
  <c r="A1345" i="9"/>
  <c r="F1345" i="9"/>
  <c r="AJ1345" i="9"/>
  <c r="A1346" i="9"/>
  <c r="F1346" i="9"/>
  <c r="AJ1346" i="9"/>
  <c r="A1347" i="9"/>
  <c r="T1347" i="9"/>
  <c r="U1347" i="9"/>
  <c r="V1347" i="9"/>
  <c r="W1347" i="9"/>
  <c r="Y1347" i="9"/>
  <c r="Z1347" i="9"/>
  <c r="AA1347" i="9"/>
  <c r="AB1347" i="9"/>
  <c r="AC1347" i="9"/>
  <c r="AJ1347" i="9"/>
  <c r="A1348" i="9"/>
  <c r="AJ1348" i="9"/>
  <c r="A1349" i="9"/>
  <c r="AI1349" i="9"/>
  <c r="AI1350" i="9" s="1"/>
  <c r="AI1351" i="9" s="1"/>
  <c r="AI1352" i="9" s="1"/>
  <c r="AI1353" i="9" s="1"/>
  <c r="AI1354" i="9" s="1"/>
  <c r="AI1355" i="9" s="1"/>
  <c r="AJ1349" i="9"/>
  <c r="A1350" i="9"/>
  <c r="F1350" i="9"/>
  <c r="AJ1350" i="9"/>
  <c r="A1351" i="9"/>
  <c r="F1351" i="9"/>
  <c r="AJ1351" i="9"/>
  <c r="A1352" i="9"/>
  <c r="F1352" i="9"/>
  <c r="AJ1352" i="9"/>
  <c r="A1353" i="9"/>
  <c r="F1353" i="9"/>
  <c r="AJ1353" i="9"/>
  <c r="A1354" i="9"/>
  <c r="T1354" i="9"/>
  <c r="U1354" i="9"/>
  <c r="V1354" i="9"/>
  <c r="W1354" i="9"/>
  <c r="Y1354" i="9"/>
  <c r="Z1354" i="9"/>
  <c r="AA1354" i="9"/>
  <c r="AB1354" i="9"/>
  <c r="AC1354" i="9"/>
  <c r="AJ1354" i="9"/>
  <c r="A1355" i="9"/>
  <c r="AJ1355" i="9"/>
  <c r="A1356" i="9"/>
  <c r="AI1356" i="9"/>
  <c r="AI1357" i="9" s="1"/>
  <c r="AJ1356" i="9"/>
  <c r="A1357" i="9"/>
  <c r="F1357" i="9"/>
  <c r="AJ1357" i="9"/>
  <c r="A1358" i="9"/>
  <c r="F1358" i="9"/>
  <c r="AJ1358" i="9"/>
  <c r="A1359" i="9"/>
  <c r="F1359" i="9"/>
  <c r="AJ1359" i="9"/>
  <c r="A1360" i="9"/>
  <c r="F1360" i="9"/>
  <c r="AJ1360" i="9"/>
  <c r="A1361" i="9"/>
  <c r="T1361" i="9"/>
  <c r="U1361" i="9"/>
  <c r="V1361" i="9"/>
  <c r="W1361" i="9"/>
  <c r="Y1361" i="9"/>
  <c r="Z1361" i="9"/>
  <c r="AA1361" i="9"/>
  <c r="AB1361" i="9"/>
  <c r="AC1361" i="9"/>
  <c r="AJ1361" i="9"/>
  <c r="A1362" i="9"/>
  <c r="AJ1362" i="9"/>
  <c r="A1363" i="9"/>
  <c r="AI1363" i="9"/>
  <c r="AJ1363" i="9"/>
  <c r="A1364" i="9"/>
  <c r="F1364" i="9"/>
  <c r="AI1364" i="9"/>
  <c r="AI1365" i="9" s="1"/>
  <c r="AJ1364" i="9"/>
  <c r="A1365" i="9"/>
  <c r="F1365" i="9"/>
  <c r="AJ1365" i="9"/>
  <c r="A1366" i="9"/>
  <c r="F1366" i="9"/>
  <c r="AJ1366" i="9"/>
  <c r="A1367" i="9"/>
  <c r="F1367" i="9"/>
  <c r="AJ1367" i="9"/>
  <c r="A1368" i="9"/>
  <c r="T1368" i="9"/>
  <c r="U1368" i="9"/>
  <c r="V1368" i="9"/>
  <c r="W1368" i="9"/>
  <c r="Y1368" i="9"/>
  <c r="Z1368" i="9"/>
  <c r="AA1368" i="9"/>
  <c r="AB1368" i="9"/>
  <c r="AC1368" i="9"/>
  <c r="AJ1368" i="9"/>
  <c r="A1369" i="9"/>
  <c r="AJ1369" i="9"/>
  <c r="A1370" i="9"/>
  <c r="AI1370" i="9"/>
  <c r="AI1371" i="9" s="1"/>
  <c r="AI1372" i="9" s="1"/>
  <c r="AJ1370" i="9"/>
  <c r="A1371" i="9"/>
  <c r="F1371" i="9"/>
  <c r="AJ1371" i="9"/>
  <c r="A1372" i="9"/>
  <c r="F1372" i="9"/>
  <c r="AJ1372" i="9"/>
  <c r="A1373" i="9"/>
  <c r="F1373" i="9"/>
  <c r="AJ1373" i="9"/>
  <c r="A1374" i="9"/>
  <c r="T1374" i="9"/>
  <c r="U1374" i="9"/>
  <c r="V1374" i="9"/>
  <c r="W1374" i="9"/>
  <c r="Y1374" i="9"/>
  <c r="Z1374" i="9"/>
  <c r="AA1374" i="9"/>
  <c r="AB1374" i="9"/>
  <c r="AC1374" i="9"/>
  <c r="AJ1374" i="9"/>
  <c r="A1375" i="9"/>
  <c r="AJ1375" i="9"/>
  <c r="A1376" i="9"/>
  <c r="AI1376" i="9"/>
  <c r="AI1377" i="9" s="1"/>
  <c r="AJ1376" i="9"/>
  <c r="A1377" i="9"/>
  <c r="F1377" i="9"/>
  <c r="AJ1377" i="9"/>
  <c r="A1378" i="9"/>
  <c r="F1378" i="9"/>
  <c r="AJ1378" i="9"/>
  <c r="A1379" i="9"/>
  <c r="T1379" i="9"/>
  <c r="U1379" i="9"/>
  <c r="V1379" i="9"/>
  <c r="W1379" i="9"/>
  <c r="Y1379" i="9"/>
  <c r="Z1379" i="9"/>
  <c r="AA1379" i="9"/>
  <c r="AB1379" i="9"/>
  <c r="AC1379" i="9"/>
  <c r="AJ1379" i="9"/>
  <c r="A1380" i="9"/>
  <c r="AJ1380" i="9"/>
  <c r="A1381" i="9"/>
  <c r="AI1381" i="9"/>
  <c r="AI1382" i="9" s="1"/>
  <c r="AJ1381" i="9"/>
  <c r="A1382" i="9"/>
  <c r="AJ1382" i="9"/>
  <c r="A1383" i="9"/>
  <c r="AI1383" i="9"/>
  <c r="AJ1383" i="9"/>
  <c r="A1384" i="9"/>
  <c r="AI1384" i="9"/>
  <c r="AJ1384" i="9"/>
  <c r="A1385" i="9"/>
  <c r="F1385" i="9"/>
  <c r="O1385" i="9"/>
  <c r="O1386" i="9" s="1"/>
  <c r="P1385" i="9"/>
  <c r="P1386" i="9" s="1"/>
  <c r="Q1385" i="9"/>
  <c r="Q1386" i="9" s="1"/>
  <c r="R1385" i="9"/>
  <c r="R1386" i="9" s="1"/>
  <c r="AI1385" i="9"/>
  <c r="AJ1385" i="9"/>
  <c r="A1386" i="9"/>
  <c r="T1386" i="9"/>
  <c r="U1386" i="9"/>
  <c r="V1386" i="9"/>
  <c r="W1386" i="9"/>
  <c r="Y1386" i="9"/>
  <c r="Z1386" i="9"/>
  <c r="AA1386" i="9"/>
  <c r="AB1386" i="9"/>
  <c r="AC1386" i="9"/>
  <c r="AI1386" i="9"/>
  <c r="AJ1386" i="9"/>
  <c r="A1387" i="9"/>
  <c r="AJ1387" i="9"/>
  <c r="A1388" i="9"/>
  <c r="AI1388" i="9"/>
  <c r="AI1389" i="9" s="1"/>
  <c r="AJ1388" i="9"/>
  <c r="A1389" i="9"/>
  <c r="AJ1389" i="9"/>
  <c r="A1390" i="9"/>
  <c r="AI1390" i="9"/>
  <c r="AI1391" i="9" s="1"/>
  <c r="AI1392" i="9" s="1"/>
  <c r="AI1393" i="9" s="1"/>
  <c r="AJ1390" i="9"/>
  <c r="A1391" i="9"/>
  <c r="F1391" i="9"/>
  <c r="AJ1391" i="9"/>
  <c r="A1392" i="9"/>
  <c r="F1392" i="9"/>
  <c r="AJ1392" i="9"/>
  <c r="A1393" i="9"/>
  <c r="F1393" i="9"/>
  <c r="AJ1393" i="9"/>
  <c r="A1394" i="9"/>
  <c r="O1394" i="9"/>
  <c r="P1394" i="9"/>
  <c r="Q1394" i="9"/>
  <c r="R1394" i="9"/>
  <c r="Y1394" i="9"/>
  <c r="Z1394" i="9"/>
  <c r="AA1394" i="9"/>
  <c r="AB1394" i="9"/>
  <c r="AC1394" i="9"/>
  <c r="AJ1394" i="9"/>
  <c r="A1395" i="9"/>
  <c r="AJ1395" i="9"/>
  <c r="A1396" i="9"/>
  <c r="AI1396" i="9"/>
  <c r="AI1397" i="9" s="1"/>
  <c r="AI1398" i="9" s="1"/>
  <c r="AJ1396" i="9"/>
  <c r="A1397" i="9"/>
  <c r="F1397" i="9"/>
  <c r="AJ1397" i="9"/>
  <c r="A1398" i="9"/>
  <c r="F1398" i="9"/>
  <c r="AJ1398" i="9"/>
  <c r="A1399" i="9"/>
  <c r="F1399" i="9"/>
  <c r="AJ1399" i="9"/>
  <c r="A1400" i="9"/>
  <c r="F1400" i="9"/>
  <c r="AJ1400" i="9"/>
  <c r="A1401" i="9"/>
  <c r="O1401" i="9"/>
  <c r="P1401" i="9"/>
  <c r="Q1401" i="9"/>
  <c r="R1401" i="9"/>
  <c r="Y1401" i="9"/>
  <c r="Z1401" i="9"/>
  <c r="AA1401" i="9"/>
  <c r="AB1401" i="9"/>
  <c r="AC1401" i="9"/>
  <c r="AJ1401" i="9"/>
  <c r="A1402" i="9"/>
  <c r="AJ1402" i="9"/>
  <c r="A1403" i="9"/>
  <c r="AI1403" i="9"/>
  <c r="AI1404" i="9" s="1"/>
  <c r="AI1405" i="9" s="1"/>
  <c r="AJ1403" i="9"/>
  <c r="A1404" i="9"/>
  <c r="F1404" i="9"/>
  <c r="AJ1404" i="9"/>
  <c r="A1405" i="9"/>
  <c r="F1405" i="9"/>
  <c r="AJ1405" i="9"/>
  <c r="A1406" i="9"/>
  <c r="F1406" i="9"/>
  <c r="AJ1406" i="9"/>
  <c r="A1407" i="9"/>
  <c r="O1407" i="9"/>
  <c r="P1407" i="9"/>
  <c r="Q1407" i="9"/>
  <c r="R1407" i="9"/>
  <c r="Y1407" i="9"/>
  <c r="Z1407" i="9"/>
  <c r="AA1407" i="9"/>
  <c r="AB1407" i="9"/>
  <c r="AC1407" i="9"/>
  <c r="AJ1407" i="9"/>
  <c r="A1408" i="9"/>
  <c r="AJ1408" i="9"/>
  <c r="A1409" i="9"/>
  <c r="AI1409" i="9"/>
  <c r="AI1410" i="9" s="1"/>
  <c r="AJ1409" i="9"/>
  <c r="A1410" i="9"/>
  <c r="F1410" i="9"/>
  <c r="AJ1410" i="9"/>
  <c r="A1411" i="9"/>
  <c r="F1411" i="9"/>
  <c r="AJ1411" i="9"/>
  <c r="A1412" i="9"/>
  <c r="F1412" i="9"/>
  <c r="AJ1412" i="9"/>
  <c r="A1413" i="9"/>
  <c r="O1413" i="9"/>
  <c r="P1413" i="9"/>
  <c r="Q1413" i="9"/>
  <c r="R1413" i="9"/>
  <c r="Y1413" i="9"/>
  <c r="Z1413" i="9"/>
  <c r="AA1413" i="9"/>
  <c r="AB1413" i="9"/>
  <c r="AC1413" i="9"/>
  <c r="AJ1413" i="9"/>
  <c r="A1414" i="9"/>
  <c r="AJ1414" i="9"/>
  <c r="A1415" i="9"/>
  <c r="AI1415" i="9"/>
  <c r="AI1416" i="9" s="1"/>
  <c r="AI1417" i="9" s="1"/>
  <c r="AJ1415" i="9"/>
  <c r="A1416" i="9"/>
  <c r="F1416" i="9"/>
  <c r="AJ1416" i="9"/>
  <c r="A1417" i="9"/>
  <c r="F1417" i="9"/>
  <c r="AJ1417" i="9"/>
  <c r="A1418" i="9"/>
  <c r="F1418" i="9"/>
  <c r="AJ1418" i="9"/>
  <c r="A1419" i="9"/>
  <c r="O1419" i="9"/>
  <c r="P1419" i="9"/>
  <c r="Q1419" i="9"/>
  <c r="R1419" i="9"/>
  <c r="Y1419" i="9"/>
  <c r="Z1419" i="9"/>
  <c r="AA1419" i="9"/>
  <c r="AB1419" i="9"/>
  <c r="AC1419" i="9"/>
  <c r="AJ1419" i="9"/>
  <c r="A1420" i="9"/>
  <c r="AJ1420" i="9"/>
  <c r="A1421" i="9"/>
  <c r="AI1421" i="9"/>
  <c r="AI1422" i="9" s="1"/>
  <c r="AJ1421" i="9"/>
  <c r="A1422" i="9"/>
  <c r="F1422" i="9"/>
  <c r="AJ1422" i="9"/>
  <c r="A1423" i="9"/>
  <c r="F1423" i="9"/>
  <c r="AJ1423" i="9"/>
  <c r="A1424" i="9"/>
  <c r="F1424" i="9"/>
  <c r="AJ1424" i="9"/>
  <c r="A1425" i="9"/>
  <c r="O1425" i="9"/>
  <c r="P1425" i="9"/>
  <c r="Q1425" i="9"/>
  <c r="R1425" i="9"/>
  <c r="Y1425" i="9"/>
  <c r="Z1425" i="9"/>
  <c r="AA1425" i="9"/>
  <c r="AB1425" i="9"/>
  <c r="AC1425" i="9"/>
  <c r="AJ1425" i="9"/>
  <c r="A1426" i="9"/>
  <c r="AJ1426" i="9"/>
  <c r="A1427" i="9"/>
  <c r="AI1427" i="9"/>
  <c r="AI1428" i="9" s="1"/>
  <c r="AI1429" i="9" s="1"/>
  <c r="AJ1427" i="9"/>
  <c r="A1428" i="9"/>
  <c r="F1428" i="9"/>
  <c r="AJ1428" i="9"/>
  <c r="A1429" i="9"/>
  <c r="F1429" i="9"/>
  <c r="AJ1429" i="9"/>
  <c r="A1430" i="9"/>
  <c r="F1430" i="9"/>
  <c r="AJ1430" i="9"/>
  <c r="A1431" i="9"/>
  <c r="O1431" i="9"/>
  <c r="P1431" i="9"/>
  <c r="Q1431" i="9"/>
  <c r="R1431" i="9"/>
  <c r="Y1431" i="9"/>
  <c r="Z1431" i="9"/>
  <c r="AA1431" i="9"/>
  <c r="AB1431" i="9"/>
  <c r="AC1431" i="9"/>
  <c r="AJ1431" i="9"/>
  <c r="A1432" i="9"/>
  <c r="AJ1432" i="9"/>
  <c r="A1433" i="9"/>
  <c r="AI1433" i="9"/>
  <c r="AI1434" i="9" s="1"/>
  <c r="AJ1433" i="9"/>
  <c r="A1434" i="9"/>
  <c r="F1434" i="9"/>
  <c r="AJ1434" i="9"/>
  <c r="A1435" i="9"/>
  <c r="F1435" i="9"/>
  <c r="AJ1435" i="9"/>
  <c r="A1436" i="9"/>
  <c r="F1436" i="9"/>
  <c r="AJ1436" i="9"/>
  <c r="A1437" i="9"/>
  <c r="O1437" i="9"/>
  <c r="P1437" i="9"/>
  <c r="Q1437" i="9"/>
  <c r="R1437" i="9"/>
  <c r="Y1437" i="9"/>
  <c r="Z1437" i="9"/>
  <c r="AA1437" i="9"/>
  <c r="AB1437" i="9"/>
  <c r="AC1437" i="9"/>
  <c r="AJ1437" i="9"/>
  <c r="A1438" i="9"/>
  <c r="AJ1438" i="9"/>
  <c r="A1439" i="9"/>
  <c r="AI1439" i="9"/>
  <c r="AI1440" i="9" s="1"/>
  <c r="AI1441" i="9" s="1"/>
  <c r="AJ1439" i="9"/>
  <c r="A1440" i="9"/>
  <c r="F1440" i="9"/>
  <c r="AJ1440" i="9"/>
  <c r="A1441" i="9"/>
  <c r="F1441" i="9"/>
  <c r="AJ1441" i="9"/>
  <c r="A1442" i="9"/>
  <c r="F1442" i="9"/>
  <c r="AJ1442" i="9"/>
  <c r="A1443" i="9"/>
  <c r="O1443" i="9"/>
  <c r="P1443" i="9"/>
  <c r="Q1443" i="9"/>
  <c r="R1443" i="9"/>
  <c r="Y1443" i="9"/>
  <c r="Z1443" i="9"/>
  <c r="AA1443" i="9"/>
  <c r="AB1443" i="9"/>
  <c r="AC1443" i="9"/>
  <c r="AJ1443" i="9"/>
  <c r="A1444" i="9"/>
  <c r="AJ1444" i="9"/>
  <c r="A1445" i="9"/>
  <c r="AI1445" i="9"/>
  <c r="AI1446" i="9" s="1"/>
  <c r="AJ1445" i="9"/>
  <c r="A1446" i="9"/>
  <c r="F1446" i="9"/>
  <c r="AJ1446" i="9"/>
  <c r="A1447" i="9"/>
  <c r="O1447" i="9"/>
  <c r="P1447" i="9"/>
  <c r="Q1447" i="9"/>
  <c r="R1447" i="9"/>
  <c r="Y1447" i="9"/>
  <c r="Z1447" i="9"/>
  <c r="AA1447" i="9"/>
  <c r="AB1447" i="9"/>
  <c r="AC1447" i="9"/>
  <c r="AJ1447" i="9"/>
  <c r="A1448" i="9"/>
  <c r="AJ1448" i="9"/>
  <c r="A1449" i="9"/>
  <c r="AI1449" i="9"/>
  <c r="AI1450" i="9" s="1"/>
  <c r="AJ1449" i="9"/>
  <c r="A1450" i="9"/>
  <c r="F1450" i="9"/>
  <c r="AJ1450" i="9"/>
  <c r="A1451" i="9"/>
  <c r="O1451" i="9"/>
  <c r="P1451" i="9"/>
  <c r="Q1451" i="9"/>
  <c r="R1451" i="9"/>
  <c r="Y1451" i="9"/>
  <c r="Z1451" i="9"/>
  <c r="AA1451" i="9"/>
  <c r="AB1451" i="9"/>
  <c r="AC1451" i="9"/>
  <c r="AJ1451" i="9"/>
  <c r="A1452" i="9"/>
  <c r="AJ1452" i="9"/>
  <c r="A1453" i="9"/>
  <c r="AI1453" i="9"/>
  <c r="AI1454" i="9" s="1"/>
  <c r="AJ1453" i="9"/>
  <c r="A1454" i="9"/>
  <c r="AJ1454" i="9"/>
  <c r="A1455" i="9"/>
  <c r="AI1455" i="9"/>
  <c r="AJ1455" i="9"/>
  <c r="A1456" i="9"/>
  <c r="F1456" i="9"/>
  <c r="X1456" i="9"/>
  <c r="AI1456" i="9"/>
  <c r="AI1457" i="9" s="1"/>
  <c r="AJ1456" i="9"/>
  <c r="A1457" i="9"/>
  <c r="O1457" i="9"/>
  <c r="P1457" i="9"/>
  <c r="P1516" i="9" s="1"/>
  <c r="Q1457" i="9"/>
  <c r="R1457" i="9"/>
  <c r="T1457" i="9"/>
  <c r="U1457" i="9"/>
  <c r="V1457" i="9"/>
  <c r="W1457" i="9"/>
  <c r="AJ1457" i="9"/>
  <c r="A1458" i="9"/>
  <c r="AJ1458" i="9"/>
  <c r="A1459" i="9"/>
  <c r="AI1459" i="9"/>
  <c r="AJ1459" i="9"/>
  <c r="A1460" i="9"/>
  <c r="F1460" i="9"/>
  <c r="X1460" i="9"/>
  <c r="AI1460" i="9"/>
  <c r="AI1461" i="9" s="1"/>
  <c r="AJ1460" i="9"/>
  <c r="A1461" i="9"/>
  <c r="O1461" i="9"/>
  <c r="P1461" i="9"/>
  <c r="Q1461" i="9"/>
  <c r="R1461" i="9"/>
  <c r="T1461" i="9"/>
  <c r="U1461" i="9"/>
  <c r="V1461" i="9"/>
  <c r="W1461" i="9"/>
  <c r="AJ1461" i="9"/>
  <c r="A1462" i="9"/>
  <c r="AJ1462" i="9"/>
  <c r="A1463" i="9"/>
  <c r="AI1463" i="9"/>
  <c r="AJ1463" i="9"/>
  <c r="A1464" i="9"/>
  <c r="F1464" i="9"/>
  <c r="X1464" i="9"/>
  <c r="AI1464" i="9"/>
  <c r="AJ1464" i="9"/>
  <c r="A1465" i="9"/>
  <c r="O1465" i="9"/>
  <c r="P1465" i="9"/>
  <c r="Q1465" i="9"/>
  <c r="R1465" i="9"/>
  <c r="T1465" i="9"/>
  <c r="U1465" i="9"/>
  <c r="V1465" i="9"/>
  <c r="W1465" i="9"/>
  <c r="AJ1465" i="9"/>
  <c r="A1466" i="9"/>
  <c r="AJ1466" i="9"/>
  <c r="A1467" i="9"/>
  <c r="AI1467" i="9"/>
  <c r="AJ1467" i="9"/>
  <c r="A1468" i="9"/>
  <c r="F1468" i="9"/>
  <c r="X1468" i="9"/>
  <c r="AI1468" i="9"/>
  <c r="AI1469" i="9" s="1"/>
  <c r="AJ1468" i="9"/>
  <c r="A1469" i="9"/>
  <c r="O1469" i="9"/>
  <c r="P1469" i="9"/>
  <c r="Q1469" i="9"/>
  <c r="R1469" i="9"/>
  <c r="T1469" i="9"/>
  <c r="U1469" i="9"/>
  <c r="V1469" i="9"/>
  <c r="W1469" i="9"/>
  <c r="AJ1469" i="9"/>
  <c r="A1470" i="9"/>
  <c r="AJ1470" i="9"/>
  <c r="A1471" i="9"/>
  <c r="AI1471" i="9"/>
  <c r="AJ1471" i="9"/>
  <c r="A1472" i="9"/>
  <c r="F1472" i="9"/>
  <c r="X1472" i="9"/>
  <c r="AI1472" i="9"/>
  <c r="AI1473" i="9" s="1"/>
  <c r="AJ1472" i="9"/>
  <c r="A1473" i="9"/>
  <c r="O1473" i="9"/>
  <c r="P1473" i="9"/>
  <c r="Q1473" i="9"/>
  <c r="R1473" i="9"/>
  <c r="T1473" i="9"/>
  <c r="U1473" i="9"/>
  <c r="V1473" i="9"/>
  <c r="W1473" i="9"/>
  <c r="AJ1473" i="9"/>
  <c r="A1474" i="9"/>
  <c r="AJ1474" i="9"/>
  <c r="A1475" i="9"/>
  <c r="AI1475" i="9"/>
  <c r="AJ1475" i="9"/>
  <c r="A1476" i="9"/>
  <c r="F1476" i="9"/>
  <c r="X1476" i="9"/>
  <c r="AI1476" i="9"/>
  <c r="AI1477" i="9" s="1"/>
  <c r="AI1478" i="9" s="1"/>
  <c r="AJ1476" i="9"/>
  <c r="A1477" i="9"/>
  <c r="O1477" i="9"/>
  <c r="P1477" i="9"/>
  <c r="Q1477" i="9"/>
  <c r="R1477" i="9"/>
  <c r="T1477" i="9"/>
  <c r="U1477" i="9"/>
  <c r="V1477" i="9"/>
  <c r="W1477" i="9"/>
  <c r="AJ1477" i="9"/>
  <c r="A1478" i="9"/>
  <c r="AJ1478" i="9"/>
  <c r="A1479" i="9"/>
  <c r="AI1479" i="9"/>
  <c r="AJ1479" i="9"/>
  <c r="A1480" i="9"/>
  <c r="F1480" i="9"/>
  <c r="X1480" i="9"/>
  <c r="AI1480" i="9"/>
  <c r="AI1481" i="9" s="1"/>
  <c r="AI1482" i="9" s="1"/>
  <c r="AJ1480" i="9"/>
  <c r="A1481" i="9"/>
  <c r="O1481" i="9"/>
  <c r="P1481" i="9"/>
  <c r="Q1481" i="9"/>
  <c r="R1481" i="9"/>
  <c r="T1481" i="9"/>
  <c r="U1481" i="9"/>
  <c r="V1481" i="9"/>
  <c r="W1481" i="9"/>
  <c r="AJ1481" i="9"/>
  <c r="A1482" i="9"/>
  <c r="AJ1482" i="9"/>
  <c r="A1483" i="9"/>
  <c r="AI1483" i="9"/>
  <c r="AI1484" i="9" s="1"/>
  <c r="AI1485" i="9" s="1"/>
  <c r="AI1486" i="9" s="1"/>
  <c r="AJ1483" i="9"/>
  <c r="A1484" i="9"/>
  <c r="F1484" i="9"/>
  <c r="X1484" i="9"/>
  <c r="AJ1484" i="9"/>
  <c r="A1485" i="9"/>
  <c r="O1485" i="9"/>
  <c r="P1485" i="9"/>
  <c r="Q1485" i="9"/>
  <c r="R1485" i="9"/>
  <c r="R1516" i="9" s="1"/>
  <c r="T1485" i="9"/>
  <c r="U1485" i="9"/>
  <c r="V1485" i="9"/>
  <c r="W1485" i="9"/>
  <c r="AJ1485" i="9"/>
  <c r="A1486" i="9"/>
  <c r="AJ1486" i="9"/>
  <c r="A1487" i="9"/>
  <c r="AI1487" i="9"/>
  <c r="AI1488" i="9" s="1"/>
  <c r="AI1489" i="9" s="1"/>
  <c r="AI1490" i="9" s="1"/>
  <c r="AJ1487" i="9"/>
  <c r="A1488" i="9"/>
  <c r="F1488" i="9"/>
  <c r="X1488" i="9"/>
  <c r="AJ1488" i="9"/>
  <c r="A1489" i="9"/>
  <c r="O1489" i="9"/>
  <c r="P1489" i="9"/>
  <c r="Q1489" i="9"/>
  <c r="R1489" i="9"/>
  <c r="T1489" i="9"/>
  <c r="U1489" i="9"/>
  <c r="V1489" i="9"/>
  <c r="W1489" i="9"/>
  <c r="AJ1489" i="9"/>
  <c r="A1490" i="9"/>
  <c r="AJ1490" i="9"/>
  <c r="A1491" i="9"/>
  <c r="AI1491" i="9"/>
  <c r="AI1492" i="9" s="1"/>
  <c r="AI1493" i="9" s="1"/>
  <c r="AJ1491" i="9"/>
  <c r="A1492" i="9"/>
  <c r="F1492" i="9"/>
  <c r="X1492" i="9"/>
  <c r="AJ1492" i="9"/>
  <c r="A1493" i="9"/>
  <c r="O1493" i="9"/>
  <c r="P1493" i="9"/>
  <c r="Q1493" i="9"/>
  <c r="R1493" i="9"/>
  <c r="T1493" i="9"/>
  <c r="U1493" i="9"/>
  <c r="V1493" i="9"/>
  <c r="W1493" i="9"/>
  <c r="AJ1493" i="9"/>
  <c r="A1494" i="9"/>
  <c r="AJ1494" i="9"/>
  <c r="A1495" i="9"/>
  <c r="AI1495" i="9"/>
  <c r="AI1496" i="9" s="1"/>
  <c r="AI1497" i="9" s="1"/>
  <c r="AI1498" i="9" s="1"/>
  <c r="AJ1495" i="9"/>
  <c r="A1496" i="9"/>
  <c r="F1496" i="9"/>
  <c r="X1496" i="9"/>
  <c r="AJ1496" i="9"/>
  <c r="A1497" i="9"/>
  <c r="O1497" i="9"/>
  <c r="P1497" i="9"/>
  <c r="Q1497" i="9"/>
  <c r="R1497" i="9"/>
  <c r="T1497" i="9"/>
  <c r="U1497" i="9"/>
  <c r="V1497" i="9"/>
  <c r="W1497" i="9"/>
  <c r="AJ1497" i="9"/>
  <c r="A1498" i="9"/>
  <c r="AJ1498" i="9"/>
  <c r="A1499" i="9"/>
  <c r="AI1499" i="9"/>
  <c r="AJ1499" i="9"/>
  <c r="A1500" i="9"/>
  <c r="F1500" i="9"/>
  <c r="X1500" i="9"/>
  <c r="AI1500" i="9"/>
  <c r="AI1501" i="9" s="1"/>
  <c r="AI1502" i="9" s="1"/>
  <c r="AJ1500" i="9"/>
  <c r="A1501" i="9"/>
  <c r="O1501" i="9"/>
  <c r="P1501" i="9"/>
  <c r="Q1501" i="9"/>
  <c r="R1501" i="9"/>
  <c r="T1501" i="9"/>
  <c r="U1501" i="9"/>
  <c r="V1501" i="9"/>
  <c r="W1501" i="9"/>
  <c r="AJ1501" i="9"/>
  <c r="A1502" i="9"/>
  <c r="AJ1502" i="9"/>
  <c r="A1503" i="9"/>
  <c r="AI1503" i="9"/>
  <c r="AI1504" i="9" s="1"/>
  <c r="AI1505" i="9" s="1"/>
  <c r="AI1506" i="9" s="1"/>
  <c r="AJ1503" i="9"/>
  <c r="A1504" i="9"/>
  <c r="F1504" i="9"/>
  <c r="X1504" i="9"/>
  <c r="AJ1504" i="9"/>
  <c r="A1505" i="9"/>
  <c r="O1505" i="9"/>
  <c r="P1505" i="9"/>
  <c r="Q1505" i="9"/>
  <c r="R1505" i="9"/>
  <c r="T1505" i="9"/>
  <c r="U1505" i="9"/>
  <c r="V1505" i="9"/>
  <c r="W1505" i="9"/>
  <c r="AJ1505" i="9"/>
  <c r="A1506" i="9"/>
  <c r="AJ1506" i="9"/>
  <c r="A1507" i="9"/>
  <c r="AI1507" i="9"/>
  <c r="AI1508" i="9" s="1"/>
  <c r="AJ1507" i="9"/>
  <c r="A1508" i="9"/>
  <c r="F1508" i="9"/>
  <c r="X1508" i="9"/>
  <c r="AJ1508" i="9"/>
  <c r="A1509" i="9"/>
  <c r="O1509" i="9"/>
  <c r="P1509" i="9"/>
  <c r="Q1509" i="9"/>
  <c r="R1509" i="9"/>
  <c r="T1509" i="9"/>
  <c r="U1509" i="9"/>
  <c r="V1509" i="9"/>
  <c r="W1509" i="9"/>
  <c r="AJ1509" i="9"/>
  <c r="A1510" i="9"/>
  <c r="AJ1510" i="9"/>
  <c r="A1511" i="9"/>
  <c r="AI1511" i="9"/>
  <c r="AI1512" i="9" s="1"/>
  <c r="AI1513" i="9" s="1"/>
  <c r="AJ1511" i="9"/>
  <c r="A1512" i="9"/>
  <c r="F1512" i="9"/>
  <c r="X1512" i="9"/>
  <c r="AJ1512" i="9"/>
  <c r="A1513" i="9"/>
  <c r="O1513" i="9"/>
  <c r="P1513" i="9"/>
  <c r="Q1513" i="9"/>
  <c r="R1513" i="9"/>
  <c r="T1513" i="9"/>
  <c r="U1513" i="9"/>
  <c r="V1513" i="9"/>
  <c r="W1513" i="9"/>
  <c r="AJ1513" i="9"/>
  <c r="A1514" i="9"/>
  <c r="AJ1514" i="9"/>
  <c r="A1515" i="9"/>
  <c r="AJ1515" i="9"/>
  <c r="A1516" i="9"/>
  <c r="AI1516" i="9"/>
  <c r="AJ1516" i="9"/>
  <c r="A1517" i="9"/>
  <c r="AJ1517" i="9"/>
  <c r="A1518" i="9"/>
  <c r="AI1518" i="9"/>
  <c r="AI1519" i="9" s="1"/>
  <c r="AI1520" i="9" s="1"/>
  <c r="AJ1518" i="9"/>
  <c r="A1519" i="9"/>
  <c r="F1519" i="9"/>
  <c r="X1519" i="9"/>
  <c r="AJ1519" i="9"/>
  <c r="A1520" i="9"/>
  <c r="F1520" i="9"/>
  <c r="X1520" i="9"/>
  <c r="AJ1520" i="9"/>
  <c r="A1521" i="9"/>
  <c r="F1521" i="9"/>
  <c r="X1521" i="9"/>
  <c r="AJ1521" i="9"/>
  <c r="A1522" i="9"/>
  <c r="F1522" i="9"/>
  <c r="X1522" i="9"/>
  <c r="AJ1522" i="9"/>
  <c r="A1523" i="9"/>
  <c r="F1523" i="9"/>
  <c r="X1523" i="9"/>
  <c r="AJ1523" i="9"/>
  <c r="A1524" i="9"/>
  <c r="AJ1524" i="9"/>
  <c r="A1525" i="9"/>
  <c r="AJ1525" i="9"/>
  <c r="A1526" i="9"/>
  <c r="AI1526" i="9"/>
  <c r="AI1527" i="9" s="1"/>
  <c r="AI1528" i="9" s="1"/>
  <c r="AJ1526" i="9"/>
  <c r="A1527" i="9"/>
  <c r="F1527" i="9"/>
  <c r="X1527" i="9"/>
  <c r="AJ1527" i="9"/>
  <c r="A1528" i="9"/>
  <c r="F1528" i="9"/>
  <c r="X1528" i="9"/>
  <c r="AJ1528" i="9"/>
  <c r="A1529" i="9"/>
  <c r="F1529" i="9"/>
  <c r="X1529" i="9"/>
  <c r="AJ1529" i="9"/>
  <c r="A1530" i="9"/>
  <c r="F1530" i="9"/>
  <c r="X1530" i="9"/>
  <c r="AJ1530" i="9"/>
  <c r="A1531" i="9"/>
  <c r="F1531" i="9"/>
  <c r="X1531" i="9"/>
  <c r="AJ1531" i="9"/>
  <c r="A1532" i="9"/>
  <c r="F1532" i="9"/>
  <c r="X1532" i="9"/>
  <c r="AJ1532" i="9"/>
  <c r="A1533" i="9"/>
  <c r="F1533" i="9"/>
  <c r="X1533" i="9"/>
  <c r="AJ1533" i="9"/>
  <c r="A1534" i="9"/>
  <c r="AJ1534" i="9"/>
  <c r="A1535" i="9"/>
  <c r="AJ1535" i="9"/>
  <c r="A1536" i="9"/>
  <c r="AI1536" i="9"/>
  <c r="AI1537" i="9" s="1"/>
  <c r="AI1538" i="9" s="1"/>
  <c r="AJ1536" i="9"/>
  <c r="A1537" i="9"/>
  <c r="F1537" i="9"/>
  <c r="X1537" i="9"/>
  <c r="AJ1537" i="9"/>
  <c r="A1538" i="9"/>
  <c r="F1538" i="9"/>
  <c r="X1538" i="9"/>
  <c r="AJ1538" i="9"/>
  <c r="A1539" i="9"/>
  <c r="F1539" i="9"/>
  <c r="X1539" i="9"/>
  <c r="AJ1539" i="9"/>
  <c r="A1540" i="9"/>
  <c r="F1540" i="9"/>
  <c r="X1540" i="9"/>
  <c r="AJ1540" i="9"/>
  <c r="A1541" i="9"/>
  <c r="F1541" i="9"/>
  <c r="X1541" i="9"/>
  <c r="AJ1541" i="9"/>
  <c r="A1542" i="9"/>
  <c r="F1542" i="9"/>
  <c r="X1542" i="9"/>
  <c r="AJ1542" i="9"/>
  <c r="A1543" i="9"/>
  <c r="F1543" i="9"/>
  <c r="X1543" i="9"/>
  <c r="AJ1543" i="9"/>
  <c r="A1544" i="9"/>
  <c r="F1544" i="9"/>
  <c r="X1544" i="9"/>
  <c r="AJ1544" i="9"/>
  <c r="A1545" i="9"/>
  <c r="F1545" i="9"/>
  <c r="X1545" i="9"/>
  <c r="AJ1545" i="9"/>
  <c r="A1546" i="9"/>
  <c r="AJ1546" i="9"/>
  <c r="A1547" i="9"/>
  <c r="AJ1547" i="9"/>
  <c r="A1548" i="9"/>
  <c r="AI1548" i="9"/>
  <c r="AI1549" i="9" s="1"/>
  <c r="AI1550" i="9" s="1"/>
  <c r="AI1551" i="9" s="1"/>
  <c r="AJ1548" i="9"/>
  <c r="A1549" i="9"/>
  <c r="F1549" i="9"/>
  <c r="X1549" i="9"/>
  <c r="AJ1549" i="9"/>
  <c r="A1550" i="9"/>
  <c r="F1550" i="9"/>
  <c r="X1550" i="9"/>
  <c r="AJ1550" i="9"/>
  <c r="A1551" i="9"/>
  <c r="F1551" i="9"/>
  <c r="X1551" i="9"/>
  <c r="AJ1551" i="9"/>
  <c r="A1552" i="9"/>
  <c r="F1552" i="9"/>
  <c r="X1552" i="9"/>
  <c r="AJ1552" i="9"/>
  <c r="A1553" i="9"/>
  <c r="F1553" i="9"/>
  <c r="X1553" i="9"/>
  <c r="AJ1553" i="9"/>
  <c r="A1554" i="9"/>
  <c r="F1554" i="9"/>
  <c r="X1554" i="9"/>
  <c r="AJ1554" i="9"/>
  <c r="A1555" i="9"/>
  <c r="F1555" i="9"/>
  <c r="X1555" i="9"/>
  <c r="AJ1555" i="9"/>
  <c r="A1556" i="9"/>
  <c r="F1556" i="9"/>
  <c r="X1556" i="9"/>
  <c r="AJ1556" i="9"/>
  <c r="A1557" i="9"/>
  <c r="F1557" i="9"/>
  <c r="X1557" i="9"/>
  <c r="AJ1557" i="9"/>
  <c r="A1558" i="9"/>
  <c r="AJ1558" i="9"/>
  <c r="A1559" i="9"/>
  <c r="AJ1559" i="9"/>
  <c r="A1560" i="9"/>
  <c r="AI1560" i="9"/>
  <c r="AI1561" i="9" s="1"/>
  <c r="AI1562" i="9" s="1"/>
  <c r="AJ1560" i="9"/>
  <c r="A1561" i="9"/>
  <c r="F1561" i="9"/>
  <c r="X1561" i="9"/>
  <c r="AJ1561" i="9"/>
  <c r="A1562" i="9"/>
  <c r="F1562" i="9"/>
  <c r="X1562" i="9"/>
  <c r="AJ1562" i="9"/>
  <c r="A1563" i="9"/>
  <c r="F1563" i="9"/>
  <c r="X1563" i="9"/>
  <c r="AI1563" i="9"/>
  <c r="AJ1563" i="9"/>
  <c r="A1564" i="9"/>
  <c r="F1564" i="9"/>
  <c r="X1564" i="9"/>
  <c r="AJ1564" i="9"/>
  <c r="A1565" i="9"/>
  <c r="F1565" i="9"/>
  <c r="X1565" i="9"/>
  <c r="AJ1565" i="9"/>
  <c r="A1566" i="9"/>
  <c r="F1566" i="9"/>
  <c r="X1566" i="9"/>
  <c r="AJ1566" i="9"/>
  <c r="A1567" i="9"/>
  <c r="AJ1567" i="9"/>
  <c r="A1568" i="9"/>
  <c r="AJ1568" i="9"/>
  <c r="A1569" i="9"/>
  <c r="AI1569" i="9"/>
  <c r="AI1570" i="9" s="1"/>
  <c r="AJ1569" i="9"/>
  <c r="A1570" i="9"/>
  <c r="F1570" i="9"/>
  <c r="X1570" i="9"/>
  <c r="AJ1570" i="9"/>
  <c r="A1571" i="9"/>
  <c r="F1571" i="9"/>
  <c r="X1571" i="9"/>
  <c r="AJ1571" i="9"/>
  <c r="A1572" i="9"/>
  <c r="F1572" i="9"/>
  <c r="X1572" i="9"/>
  <c r="AJ1572" i="9"/>
  <c r="A1573" i="9"/>
  <c r="F1573" i="9"/>
  <c r="X1573" i="9"/>
  <c r="AJ1573" i="9"/>
  <c r="A1574" i="9"/>
  <c r="F1574" i="9"/>
  <c r="X1574" i="9"/>
  <c r="AJ1574" i="9"/>
  <c r="A1575" i="9"/>
  <c r="F1575" i="9"/>
  <c r="X1575" i="9"/>
  <c r="AJ1575" i="9"/>
  <c r="A1576" i="9"/>
  <c r="F1576" i="9"/>
  <c r="X1576" i="9"/>
  <c r="AJ1576" i="9"/>
  <c r="A1577" i="9"/>
  <c r="F1577" i="9"/>
  <c r="X1577" i="9"/>
  <c r="AJ1577" i="9"/>
  <c r="A1578" i="9"/>
  <c r="AJ1578" i="9"/>
  <c r="A1579" i="9"/>
  <c r="AJ1579" i="9"/>
  <c r="A1580" i="9"/>
  <c r="AI1580" i="9"/>
  <c r="AI1581" i="9" s="1"/>
  <c r="AJ1580" i="9"/>
  <c r="A1581" i="9"/>
  <c r="F1581" i="9"/>
  <c r="X1581" i="9"/>
  <c r="AJ1581" i="9"/>
  <c r="A1582" i="9"/>
  <c r="F1582" i="9"/>
  <c r="X1582" i="9"/>
  <c r="AJ1582" i="9"/>
  <c r="A1583" i="9"/>
  <c r="F1583" i="9"/>
  <c r="X1583" i="9"/>
  <c r="AJ1583" i="9"/>
  <c r="A1584" i="9"/>
  <c r="F1584" i="9"/>
  <c r="X1584" i="9"/>
  <c r="AJ1584" i="9"/>
  <c r="A1585" i="9"/>
  <c r="F1585" i="9"/>
  <c r="X1585" i="9"/>
  <c r="AJ1585" i="9"/>
  <c r="A1586" i="9"/>
  <c r="F1586" i="9"/>
  <c r="X1586" i="9"/>
  <c r="AJ1586" i="9"/>
  <c r="A1587" i="9"/>
  <c r="F1587" i="9"/>
  <c r="X1587" i="9"/>
  <c r="AJ1587" i="9"/>
  <c r="A1588" i="9"/>
  <c r="F1588" i="9"/>
  <c r="X1588" i="9"/>
  <c r="AJ1588" i="9"/>
  <c r="A1589" i="9"/>
  <c r="AJ1589" i="9"/>
  <c r="A1590" i="9"/>
  <c r="AJ1590" i="9"/>
  <c r="A1591" i="9"/>
  <c r="AI1591" i="9"/>
  <c r="AJ1591" i="9"/>
  <c r="A1592" i="9"/>
  <c r="F1592" i="9"/>
  <c r="X1592" i="9"/>
  <c r="AJ1592" i="9"/>
  <c r="A1593" i="9"/>
  <c r="F1593" i="9"/>
  <c r="X1593" i="9"/>
  <c r="AJ1593" i="9"/>
  <c r="A1594" i="9"/>
  <c r="F1594" i="9"/>
  <c r="X1594" i="9"/>
  <c r="AJ1594" i="9"/>
  <c r="A1595" i="9"/>
  <c r="F1595" i="9"/>
  <c r="X1595" i="9"/>
  <c r="AJ1595" i="9"/>
  <c r="A1596" i="9"/>
  <c r="F1596" i="9"/>
  <c r="X1596" i="9"/>
  <c r="AJ1596" i="9"/>
  <c r="A1597" i="9"/>
  <c r="F1597" i="9"/>
  <c r="X1597" i="9"/>
  <c r="AJ1597" i="9"/>
  <c r="A1598" i="9"/>
  <c r="F1598" i="9"/>
  <c r="X1598" i="9"/>
  <c r="AJ1598" i="9"/>
  <c r="A1599" i="9"/>
  <c r="F1599" i="9"/>
  <c r="X1599" i="9"/>
  <c r="AJ1599" i="9"/>
  <c r="A1600" i="9"/>
  <c r="AJ1600" i="9"/>
  <c r="A1601" i="9"/>
  <c r="AJ1601" i="9"/>
  <c r="A1602" i="9"/>
  <c r="AI1602" i="9"/>
  <c r="AI1603" i="9" s="1"/>
  <c r="AI1604" i="9" s="1"/>
  <c r="AJ1602" i="9"/>
  <c r="A1603" i="9"/>
  <c r="F1603" i="9"/>
  <c r="X1603" i="9"/>
  <c r="AJ1603" i="9"/>
  <c r="A1604" i="9"/>
  <c r="F1604" i="9"/>
  <c r="X1604" i="9"/>
  <c r="AJ1604" i="9"/>
  <c r="A1605" i="9"/>
  <c r="F1605" i="9"/>
  <c r="X1605" i="9"/>
  <c r="AJ1605" i="9"/>
  <c r="A1606" i="9"/>
  <c r="F1606" i="9"/>
  <c r="X1606" i="9"/>
  <c r="AJ1606" i="9"/>
  <c r="A1607" i="9"/>
  <c r="F1607" i="9"/>
  <c r="X1607" i="9"/>
  <c r="AJ1607" i="9"/>
  <c r="A1608" i="9"/>
  <c r="F1608" i="9"/>
  <c r="X1608" i="9"/>
  <c r="AJ1608" i="9"/>
  <c r="A1609" i="9"/>
  <c r="F1609" i="9"/>
  <c r="X1609" i="9"/>
  <c r="AJ1609" i="9"/>
  <c r="A1610" i="9"/>
  <c r="F1610" i="9"/>
  <c r="X1610" i="9"/>
  <c r="AJ1610" i="9"/>
  <c r="A1611" i="9"/>
  <c r="F1611" i="9"/>
  <c r="X1611" i="9"/>
  <c r="AJ1611" i="9"/>
  <c r="A1612" i="9"/>
  <c r="AJ1612" i="9"/>
  <c r="A1613" i="9"/>
  <c r="AJ1613" i="9"/>
  <c r="A1614" i="9"/>
  <c r="AI1614" i="9"/>
  <c r="AJ1614" i="9"/>
  <c r="A1615" i="9"/>
  <c r="F1615" i="9"/>
  <c r="X1615" i="9"/>
  <c r="AI1615" i="9"/>
  <c r="AI1616" i="9" s="1"/>
  <c r="AJ1615" i="9"/>
  <c r="A1616" i="9"/>
  <c r="F1616" i="9"/>
  <c r="X1616" i="9"/>
  <c r="AJ1616" i="9"/>
  <c r="A1617" i="9"/>
  <c r="F1617" i="9"/>
  <c r="X1617" i="9"/>
  <c r="AJ1617" i="9"/>
  <c r="A1618" i="9"/>
  <c r="F1618" i="9"/>
  <c r="X1618" i="9"/>
  <c r="AJ1618" i="9"/>
  <c r="A1619" i="9"/>
  <c r="F1619" i="9"/>
  <c r="X1619" i="9"/>
  <c r="AJ1619" i="9"/>
  <c r="A1620" i="9"/>
  <c r="F1620" i="9"/>
  <c r="X1620" i="9"/>
  <c r="AJ1620" i="9"/>
  <c r="A1621" i="9"/>
  <c r="F1621" i="9"/>
  <c r="X1621" i="9"/>
  <c r="AJ1621" i="9"/>
  <c r="A1622" i="9"/>
  <c r="F1622" i="9"/>
  <c r="X1622" i="9"/>
  <c r="AJ1622" i="9"/>
  <c r="A1623" i="9"/>
  <c r="AJ1623" i="9"/>
  <c r="A1624" i="9"/>
  <c r="AJ1624" i="9"/>
  <c r="A1625" i="9"/>
  <c r="AI1625" i="9"/>
  <c r="AJ1625" i="9"/>
  <c r="A1626" i="9"/>
  <c r="F1626" i="9"/>
  <c r="X1626" i="9"/>
  <c r="AJ1626" i="9"/>
  <c r="A1627" i="9"/>
  <c r="F1627" i="9"/>
  <c r="X1627" i="9"/>
  <c r="AJ1627" i="9"/>
  <c r="A1628" i="9"/>
  <c r="AJ1628" i="9"/>
  <c r="A1629" i="9"/>
  <c r="AJ1629" i="9"/>
  <c r="A1630" i="9"/>
  <c r="AJ1630" i="9"/>
  <c r="A1631" i="9"/>
  <c r="AI1631" i="9"/>
  <c r="AJ1631" i="9"/>
  <c r="A1632" i="9"/>
  <c r="F1632" i="9"/>
  <c r="X1632" i="9"/>
  <c r="AJ1632" i="9"/>
  <c r="A1633" i="9"/>
  <c r="AJ1633" i="9"/>
  <c r="A1634" i="9"/>
  <c r="AJ1634" i="9"/>
  <c r="A1635" i="9"/>
  <c r="F1635" i="9"/>
  <c r="X1635" i="9"/>
  <c r="AJ1635" i="9"/>
  <c r="A1636" i="9"/>
  <c r="AJ1636" i="9"/>
  <c r="A1637" i="9"/>
  <c r="AJ1637" i="9"/>
  <c r="A1638" i="9"/>
  <c r="AI1638" i="9"/>
  <c r="AI1639" i="9" s="1"/>
  <c r="AJ1638" i="9"/>
  <c r="A1639" i="9"/>
  <c r="AJ1639" i="9"/>
  <c r="A1640" i="9"/>
  <c r="F1640" i="9"/>
  <c r="X1640" i="9"/>
  <c r="AJ1640" i="9"/>
  <c r="A1641" i="9"/>
  <c r="F1641" i="9"/>
  <c r="X1641" i="9"/>
  <c r="AJ1641" i="9"/>
  <c r="A1642" i="9"/>
  <c r="F1642" i="9"/>
  <c r="X1642" i="9"/>
  <c r="AJ1642" i="9"/>
  <c r="A1643" i="9"/>
  <c r="AJ1643" i="9"/>
  <c r="A1644" i="9"/>
  <c r="AJ1644" i="9"/>
  <c r="A1645" i="9"/>
  <c r="AJ1645" i="9"/>
  <c r="A1646" i="9"/>
  <c r="AJ1646" i="9"/>
  <c r="A1647" i="9"/>
  <c r="AJ1647" i="9"/>
  <c r="A1648" i="9"/>
  <c r="AI1648" i="9"/>
  <c r="AI1649" i="9" s="1"/>
  <c r="AJ1648" i="9"/>
  <c r="A1649" i="9"/>
  <c r="F1649" i="9"/>
  <c r="X1649" i="9"/>
  <c r="AJ1649" i="9"/>
  <c r="A1650" i="9"/>
  <c r="AJ1650" i="9"/>
  <c r="A1651" i="9"/>
  <c r="AJ1651" i="9"/>
  <c r="A1652" i="9"/>
  <c r="F1652" i="9"/>
  <c r="X1652" i="9"/>
  <c r="AJ1652" i="9"/>
  <c r="A1653" i="9"/>
  <c r="AJ1653" i="9"/>
  <c r="A1654" i="9"/>
  <c r="AJ1654" i="9"/>
  <c r="A1655" i="9"/>
  <c r="AI1655" i="9"/>
  <c r="AJ1655" i="9"/>
  <c r="A1656" i="9"/>
  <c r="F1656" i="9"/>
  <c r="X1656" i="9"/>
  <c r="AJ1656" i="9"/>
  <c r="A1657" i="9"/>
  <c r="F1657" i="9"/>
  <c r="X1657" i="9"/>
  <c r="AJ1657" i="9"/>
  <c r="A1658" i="9"/>
  <c r="F1658" i="9"/>
  <c r="X1658" i="9"/>
  <c r="AJ1658" i="9"/>
  <c r="A1659" i="9"/>
  <c r="F1659" i="9"/>
  <c r="X1659" i="9"/>
  <c r="AJ1659" i="9"/>
  <c r="A1660" i="9"/>
  <c r="F1660" i="9"/>
  <c r="X1660" i="9"/>
  <c r="AJ1660" i="9"/>
  <c r="A1661" i="9"/>
  <c r="F1661" i="9"/>
  <c r="X1661" i="9"/>
  <c r="AJ1661" i="9"/>
  <c r="A1662" i="9"/>
  <c r="AJ1662" i="9"/>
  <c r="A1663" i="9"/>
  <c r="AJ1663" i="9"/>
  <c r="A1664" i="9"/>
  <c r="AI1664" i="9"/>
  <c r="AJ1664" i="9"/>
  <c r="A1665" i="9"/>
  <c r="F1665" i="9"/>
  <c r="X1665" i="9"/>
  <c r="AJ1665" i="9"/>
  <c r="A1666" i="9"/>
  <c r="F1666" i="9"/>
  <c r="X1666" i="9"/>
  <c r="AJ1666" i="9"/>
  <c r="A1667" i="9"/>
  <c r="F1667" i="9"/>
  <c r="X1667" i="9"/>
  <c r="AJ1667" i="9"/>
  <c r="A1668" i="9"/>
  <c r="F1668" i="9"/>
  <c r="X1668" i="9"/>
  <c r="AJ1668" i="9"/>
  <c r="A1669" i="9"/>
  <c r="F1669" i="9"/>
  <c r="X1669" i="9"/>
  <c r="AJ1669" i="9"/>
  <c r="A1670" i="9"/>
  <c r="AJ1670" i="9"/>
  <c r="A1671" i="9"/>
  <c r="AJ1671" i="9"/>
  <c r="A1672" i="9"/>
  <c r="AI1672" i="9"/>
  <c r="AI1673" i="9" s="1"/>
  <c r="AJ1672" i="9"/>
  <c r="A1673" i="9"/>
  <c r="AJ1673" i="9"/>
  <c r="A1674" i="9"/>
  <c r="AI1674" i="9"/>
  <c r="AI1675" i="9" s="1"/>
  <c r="AJ1674" i="9"/>
  <c r="A1675" i="9"/>
  <c r="F1675" i="9"/>
  <c r="X1675" i="9"/>
  <c r="AJ1675" i="9"/>
  <c r="A1676" i="9"/>
  <c r="F1676" i="9"/>
  <c r="X1676" i="9"/>
  <c r="AJ1676" i="9"/>
  <c r="A1677" i="9"/>
  <c r="F1677" i="9"/>
  <c r="X1677" i="9"/>
  <c r="AJ1677" i="9"/>
  <c r="A1678" i="9"/>
  <c r="AJ1678" i="9"/>
  <c r="A1679" i="9"/>
  <c r="AI1679" i="9"/>
  <c r="AJ1679" i="9"/>
  <c r="A1680" i="9"/>
  <c r="F1680" i="9"/>
  <c r="X1680" i="9"/>
  <c r="AJ1680" i="9"/>
  <c r="A1681" i="9"/>
  <c r="F1681" i="9"/>
  <c r="X1681" i="9"/>
  <c r="AJ1681" i="9"/>
  <c r="A1682" i="9"/>
  <c r="F1682" i="9"/>
  <c r="X1682" i="9"/>
  <c r="AJ1682" i="9"/>
  <c r="A1683" i="9"/>
  <c r="F1683" i="9"/>
  <c r="X1683" i="9"/>
  <c r="AJ1683" i="9"/>
  <c r="A1684" i="9"/>
  <c r="F1684" i="9"/>
  <c r="X1684" i="9"/>
  <c r="AJ1684" i="9"/>
  <c r="A1685" i="9"/>
  <c r="F1685" i="9"/>
  <c r="X1685" i="9"/>
  <c r="AJ1685" i="9"/>
  <c r="A1686" i="9"/>
  <c r="AJ1686" i="9"/>
  <c r="A1687" i="9"/>
  <c r="AJ1687" i="9"/>
  <c r="A1688" i="9"/>
  <c r="AI1688" i="9"/>
  <c r="AJ1688" i="9"/>
  <c r="A1689" i="9"/>
  <c r="F1689" i="9"/>
  <c r="X1689" i="9"/>
  <c r="AJ1689" i="9"/>
  <c r="A1690" i="9"/>
  <c r="F1690" i="9"/>
  <c r="X1690" i="9"/>
  <c r="AJ1690" i="9"/>
  <c r="A1691" i="9"/>
  <c r="F1691" i="9"/>
  <c r="X1691" i="9"/>
  <c r="AJ1691" i="9"/>
  <c r="A1692" i="9"/>
  <c r="F1692" i="9"/>
  <c r="X1692" i="9"/>
  <c r="AJ1692" i="9"/>
  <c r="A1693" i="9"/>
  <c r="F1693" i="9"/>
  <c r="X1693" i="9"/>
  <c r="AJ1693" i="9"/>
  <c r="A1694" i="9"/>
  <c r="F1694" i="9"/>
  <c r="X1694" i="9"/>
  <c r="AJ1694" i="9"/>
  <c r="A1695" i="9"/>
  <c r="F1695" i="9"/>
  <c r="X1695" i="9"/>
  <c r="AJ1695" i="9"/>
  <c r="A1696" i="9"/>
  <c r="AJ1696" i="9"/>
  <c r="A1697" i="9"/>
  <c r="AI1697" i="9"/>
  <c r="AJ1697" i="9"/>
  <c r="A1698" i="9"/>
  <c r="F1698" i="9"/>
  <c r="O1698" i="9"/>
  <c r="P1698" i="9"/>
  <c r="Q1698" i="9"/>
  <c r="Q1699" i="9" s="1"/>
  <c r="R1698" i="9"/>
  <c r="R1699" i="9" s="1"/>
  <c r="T1698" i="9"/>
  <c r="T1699" i="9" s="1"/>
  <c r="U1698" i="9"/>
  <c r="U1699" i="9" s="1"/>
  <c r="V1698" i="9"/>
  <c r="W1698" i="9"/>
  <c r="W1699" i="9" s="1"/>
  <c r="X1698" i="9"/>
  <c r="AI1698" i="9"/>
  <c r="AI1699" i="9" s="1"/>
  <c r="AI1700" i="9" s="1"/>
  <c r="AJ1698" i="9"/>
  <c r="A1699" i="9"/>
  <c r="H1699" i="9"/>
  <c r="I1699" i="9"/>
  <c r="J1699" i="9"/>
  <c r="K1699" i="9"/>
  <c r="L1699" i="9"/>
  <c r="P1699" i="9"/>
  <c r="AJ1699" i="9"/>
  <c r="A1700" i="9"/>
  <c r="AJ1700" i="9"/>
  <c r="A1701" i="9"/>
  <c r="AI1701" i="9"/>
  <c r="AI1702" i="9" s="1"/>
  <c r="AI1703" i="9" s="1"/>
  <c r="AJ1701" i="9"/>
  <c r="A1702" i="9"/>
  <c r="F1702" i="9"/>
  <c r="X1702" i="9"/>
  <c r="AJ1702" i="9"/>
  <c r="A1703" i="9"/>
  <c r="F1703" i="9"/>
  <c r="X1703" i="9"/>
  <c r="AJ1703" i="9"/>
  <c r="A1704" i="9"/>
  <c r="F1704" i="9"/>
  <c r="X1704" i="9"/>
  <c r="AJ1704" i="9"/>
  <c r="A1705" i="9"/>
  <c r="F1705" i="9"/>
  <c r="X1705" i="9"/>
  <c r="AJ1705" i="9"/>
  <c r="A1706" i="9"/>
  <c r="AJ1706" i="9"/>
  <c r="A1707" i="9"/>
  <c r="AJ1707" i="9"/>
  <c r="A1708" i="9"/>
  <c r="AI1708" i="9"/>
  <c r="AI1709" i="9" s="1"/>
  <c r="AJ1708" i="9"/>
  <c r="A1709" i="9"/>
  <c r="AJ1709" i="9"/>
  <c r="A1710" i="9"/>
  <c r="AJ1710" i="9"/>
  <c r="A1711" i="9"/>
  <c r="AI1711" i="9"/>
  <c r="AJ1711" i="9"/>
  <c r="A1712" i="9"/>
  <c r="AJ1712" i="9"/>
  <c r="A1713" i="9"/>
  <c r="AI1713" i="9"/>
  <c r="AJ1713" i="9"/>
  <c r="A1714" i="9"/>
  <c r="F1714" i="9"/>
  <c r="X1714" i="9"/>
  <c r="AJ1714" i="9"/>
  <c r="A1715" i="9"/>
  <c r="F1715" i="9"/>
  <c r="X1715" i="9"/>
  <c r="AJ1715" i="9"/>
  <c r="A1716" i="9"/>
  <c r="F1716" i="9"/>
  <c r="X1716" i="9"/>
  <c r="AJ1716" i="9"/>
  <c r="A1717" i="9"/>
  <c r="F1717" i="9"/>
  <c r="X1717" i="9"/>
  <c r="AJ1717" i="9"/>
  <c r="A1718" i="9"/>
  <c r="F1718" i="9"/>
  <c r="X1718" i="9"/>
  <c r="AJ1718" i="9"/>
  <c r="A1719" i="9"/>
  <c r="F1719" i="9"/>
  <c r="X1719" i="9"/>
  <c r="AJ1719" i="9"/>
  <c r="A1720" i="9"/>
  <c r="AJ1720" i="9"/>
  <c r="A1721" i="9"/>
  <c r="AJ1721" i="9"/>
  <c r="A1722" i="9"/>
  <c r="AI1722" i="9"/>
  <c r="AJ1722" i="9"/>
  <c r="A1723" i="9"/>
  <c r="F1723" i="9"/>
  <c r="X1723" i="9"/>
  <c r="AJ1723" i="9"/>
  <c r="A1724" i="9"/>
  <c r="F1724" i="9"/>
  <c r="X1724" i="9"/>
  <c r="AJ1724" i="9"/>
  <c r="A1725" i="9"/>
  <c r="F1725" i="9"/>
  <c r="X1725" i="9"/>
  <c r="AJ1725" i="9"/>
  <c r="A1726" i="9"/>
  <c r="AJ1726" i="9"/>
  <c r="A1727" i="9"/>
  <c r="AJ1727" i="9"/>
  <c r="A1728" i="9"/>
  <c r="AI1728" i="9"/>
  <c r="AI1729" i="9" s="1"/>
  <c r="AI1730" i="9" s="1"/>
  <c r="AI1731" i="9" s="1"/>
  <c r="AJ1728" i="9"/>
  <c r="A1729" i="9"/>
  <c r="F1729" i="9"/>
  <c r="X1729" i="9"/>
  <c r="AJ1729" i="9"/>
  <c r="A1730" i="9"/>
  <c r="F1730" i="9"/>
  <c r="X1730" i="9"/>
  <c r="AJ1730" i="9"/>
  <c r="A1731" i="9"/>
  <c r="F1731" i="9"/>
  <c r="X1731" i="9"/>
  <c r="AJ1731" i="9"/>
  <c r="A1732" i="9"/>
  <c r="AJ1732" i="9"/>
  <c r="A1733" i="9"/>
  <c r="AJ1733" i="9"/>
  <c r="A1734" i="9"/>
  <c r="F1734" i="9"/>
  <c r="X1734" i="9"/>
  <c r="AI1734" i="9"/>
  <c r="AI1735" i="9" s="1"/>
  <c r="AJ1734" i="9"/>
  <c r="A1735" i="9"/>
  <c r="AJ1735" i="9"/>
  <c r="A1736" i="9"/>
  <c r="AJ1736" i="9"/>
  <c r="A1737" i="9"/>
  <c r="AI1737" i="9"/>
  <c r="AI1738" i="9" s="1"/>
  <c r="AI1739" i="9" s="1"/>
  <c r="AI1740" i="9" s="1"/>
  <c r="AJ1737" i="9"/>
  <c r="A1738" i="9"/>
  <c r="F1738" i="9"/>
  <c r="X1738" i="9"/>
  <c r="AJ1738" i="9"/>
  <c r="A1739" i="9"/>
  <c r="F1739" i="9"/>
  <c r="X1739" i="9"/>
  <c r="AJ1739" i="9"/>
  <c r="A1740" i="9"/>
  <c r="AJ1740" i="9"/>
  <c r="A1741" i="9"/>
  <c r="AJ1741" i="9"/>
  <c r="A1742" i="9"/>
  <c r="AI1742" i="9"/>
  <c r="AI1743" i="9" s="1"/>
  <c r="AI1744" i="9" s="1"/>
  <c r="AJ1742" i="9"/>
  <c r="A1743" i="9"/>
  <c r="F1743" i="9"/>
  <c r="X1743" i="9"/>
  <c r="AJ1743" i="9"/>
  <c r="A1744" i="9"/>
  <c r="F1744" i="9"/>
  <c r="X1744" i="9"/>
  <c r="AJ1744" i="9"/>
  <c r="A1745" i="9"/>
  <c r="F1745" i="9"/>
  <c r="X1745" i="9"/>
  <c r="AJ1745" i="9"/>
  <c r="A1746" i="9"/>
  <c r="F1746" i="9"/>
  <c r="X1746" i="9"/>
  <c r="AJ1746" i="9"/>
  <c r="A1747" i="9"/>
  <c r="AJ1747" i="9"/>
  <c r="A1748" i="9"/>
  <c r="AJ1748" i="9"/>
  <c r="A1749" i="9"/>
  <c r="AI1749" i="9"/>
  <c r="AI1750" i="9" s="1"/>
  <c r="AI1751" i="9" s="1"/>
  <c r="AJ1749" i="9"/>
  <c r="A1750" i="9"/>
  <c r="F1750" i="9"/>
  <c r="X1750" i="9"/>
  <c r="AJ1750" i="9"/>
  <c r="A1751" i="9"/>
  <c r="F1751" i="9"/>
  <c r="X1751" i="9"/>
  <c r="AJ1751" i="9"/>
  <c r="A1752" i="9"/>
  <c r="F1752" i="9"/>
  <c r="X1752" i="9"/>
  <c r="AJ1752" i="9"/>
  <c r="A1753" i="9"/>
  <c r="F1753" i="9"/>
  <c r="X1753" i="9"/>
  <c r="AJ1753" i="9"/>
  <c r="A1754" i="9"/>
  <c r="F1754" i="9"/>
  <c r="X1754" i="9"/>
  <c r="AJ1754" i="9"/>
  <c r="A1755" i="9"/>
  <c r="AJ1755" i="9"/>
  <c r="A1756" i="9"/>
  <c r="AJ1756" i="9"/>
  <c r="A1757" i="9"/>
  <c r="AJ1757" i="9"/>
  <c r="A1758" i="9"/>
  <c r="AJ1758" i="9"/>
  <c r="A1759" i="9"/>
  <c r="AI1759" i="9"/>
  <c r="AI1760" i="9" s="1"/>
  <c r="AI1761" i="9" s="1"/>
  <c r="AI1762" i="9" s="1"/>
  <c r="AJ1759" i="9"/>
  <c r="A1760" i="9"/>
  <c r="F1760" i="9"/>
  <c r="X1760" i="9"/>
  <c r="AJ1760" i="9"/>
  <c r="A1761" i="9"/>
  <c r="F1761" i="9"/>
  <c r="X1761" i="9"/>
  <c r="AJ1761" i="9"/>
  <c r="A1762" i="9"/>
  <c r="F1762" i="9"/>
  <c r="X1762" i="9"/>
  <c r="AJ1762" i="9"/>
  <c r="A1763" i="9"/>
  <c r="AJ1763" i="9"/>
  <c r="A1764" i="9"/>
  <c r="AJ1764" i="9"/>
  <c r="A1765" i="9"/>
  <c r="AI1765" i="9"/>
  <c r="AI1766" i="9" s="1"/>
  <c r="AJ1765" i="9"/>
  <c r="A1766" i="9"/>
  <c r="F1766" i="9"/>
  <c r="X1766" i="9"/>
  <c r="AJ1766" i="9"/>
  <c r="A1767" i="9"/>
  <c r="AJ1767" i="9"/>
  <c r="A1768" i="9"/>
  <c r="AJ1768" i="9"/>
  <c r="A1769" i="9"/>
  <c r="AI1769" i="9"/>
  <c r="AI1770" i="9" s="1"/>
  <c r="AJ1769" i="9"/>
  <c r="A1770" i="9"/>
  <c r="F1770" i="9"/>
  <c r="X1770" i="9"/>
  <c r="AJ1770" i="9"/>
  <c r="A1771" i="9"/>
  <c r="T1771" i="9"/>
  <c r="U1771" i="9"/>
  <c r="V1771" i="9"/>
  <c r="W1771" i="9"/>
  <c r="AJ1771" i="9"/>
  <c r="A1772" i="9"/>
  <c r="AJ1772" i="9"/>
  <c r="A1773" i="9"/>
  <c r="AI1773" i="9"/>
  <c r="AJ1773" i="9"/>
  <c r="A1774" i="9"/>
  <c r="F1774" i="9"/>
  <c r="X1774" i="9"/>
  <c r="AI1774" i="9"/>
  <c r="AI1775" i="9" s="1"/>
  <c r="AI1776" i="9" s="1"/>
  <c r="AJ1774" i="9"/>
  <c r="A1775" i="9"/>
  <c r="AJ1775" i="9"/>
  <c r="A1776" i="9"/>
  <c r="AJ1776" i="9"/>
  <c r="A1777" i="9"/>
  <c r="AI1777" i="9"/>
  <c r="AI1778" i="9" s="1"/>
  <c r="AI1779" i="9" s="1"/>
  <c r="AI1780" i="9" s="1"/>
  <c r="AJ1777" i="9"/>
  <c r="A1778" i="9"/>
  <c r="F1778" i="9"/>
  <c r="X1778" i="9"/>
  <c r="AJ1778" i="9"/>
  <c r="A1779" i="9"/>
  <c r="AJ1779" i="9"/>
  <c r="A1780" i="9"/>
  <c r="AJ1780" i="9"/>
  <c r="A1781" i="9"/>
  <c r="AJ1781" i="9"/>
  <c r="A1782" i="9"/>
  <c r="AJ1782" i="9"/>
  <c r="A1783" i="9"/>
  <c r="AI1783" i="9"/>
  <c r="AI1784" i="9" s="1"/>
  <c r="AI1785" i="9" s="1"/>
  <c r="AJ1783" i="9"/>
  <c r="A1784" i="9"/>
  <c r="F1784" i="9"/>
  <c r="X1784" i="9"/>
  <c r="AJ1784" i="9"/>
  <c r="A1785" i="9"/>
  <c r="F1785" i="9"/>
  <c r="X1785" i="9"/>
  <c r="AJ1785" i="9"/>
  <c r="A1786" i="9"/>
  <c r="F1786" i="9"/>
  <c r="X1786" i="9"/>
  <c r="AJ1786" i="9"/>
  <c r="A1787" i="9"/>
  <c r="F1787" i="9"/>
  <c r="X1787" i="9"/>
  <c r="AJ1787" i="9"/>
  <c r="A1788" i="9"/>
  <c r="F1788" i="9"/>
  <c r="X1788" i="9"/>
  <c r="AJ1788" i="9"/>
  <c r="A1789" i="9"/>
  <c r="F1789" i="9"/>
  <c r="X1789" i="9"/>
  <c r="AJ1789" i="9"/>
  <c r="A1790" i="9"/>
  <c r="F1790" i="9"/>
  <c r="X1790" i="9"/>
  <c r="AJ1790" i="9"/>
  <c r="A1791" i="9"/>
  <c r="F1791" i="9"/>
  <c r="X1791" i="9"/>
  <c r="AJ1791" i="9"/>
  <c r="A1792" i="9"/>
  <c r="F1792" i="9"/>
  <c r="X1792" i="9"/>
  <c r="AJ1792" i="9"/>
  <c r="A1793" i="9"/>
  <c r="F1793" i="9"/>
  <c r="X1793" i="9"/>
  <c r="AJ1793" i="9"/>
  <c r="A1794" i="9"/>
  <c r="F1794" i="9"/>
  <c r="X1794" i="9"/>
  <c r="AJ1794" i="9"/>
  <c r="A1795" i="9"/>
  <c r="F1795" i="9"/>
  <c r="X1795" i="9"/>
  <c r="AJ1795" i="9"/>
  <c r="A1796" i="9"/>
  <c r="F1796" i="9"/>
  <c r="X1796" i="9"/>
  <c r="AJ1796" i="9"/>
  <c r="A1797" i="9"/>
  <c r="AJ1797" i="9"/>
  <c r="A1798" i="9"/>
  <c r="AJ1798" i="9"/>
  <c r="A1799" i="9"/>
  <c r="AI1799" i="9"/>
  <c r="AJ1799" i="9"/>
  <c r="A1800" i="9"/>
  <c r="F1800" i="9"/>
  <c r="X1800" i="9"/>
  <c r="AJ1800" i="9"/>
  <c r="A1801" i="9"/>
  <c r="AJ1801" i="9"/>
  <c r="A1802" i="9"/>
  <c r="AJ1802" i="9"/>
  <c r="A1803" i="9"/>
  <c r="AJ1803" i="9"/>
  <c r="A1804" i="9"/>
  <c r="AI1804" i="9"/>
  <c r="AJ1804" i="9"/>
  <c r="A1805" i="9"/>
  <c r="F1805" i="9"/>
  <c r="X1805" i="9"/>
  <c r="AI1805" i="9"/>
  <c r="AJ1805" i="9"/>
  <c r="A1806" i="9"/>
  <c r="AJ1806" i="9"/>
  <c r="A1807" i="9"/>
  <c r="AJ1807" i="9"/>
  <c r="A1808" i="9"/>
  <c r="AJ1808" i="9"/>
  <c r="A1809" i="9"/>
  <c r="AJ1809" i="9"/>
  <c r="A1810" i="9"/>
  <c r="AJ1810" i="9"/>
  <c r="A1811" i="9"/>
  <c r="AI1811" i="9"/>
  <c r="AI1812" i="9" s="1"/>
  <c r="AI1813" i="9" s="1"/>
  <c r="AI1814" i="9" s="1"/>
  <c r="AJ1811" i="9"/>
  <c r="A1812" i="9"/>
  <c r="F1812" i="9"/>
  <c r="X1812" i="9"/>
  <c r="AJ1812" i="9"/>
  <c r="A1813" i="9"/>
  <c r="F1813" i="9"/>
  <c r="X1813" i="9"/>
  <c r="AJ1813" i="9"/>
  <c r="A1814" i="9"/>
  <c r="F1814" i="9"/>
  <c r="X1814" i="9"/>
  <c r="AJ1814" i="9"/>
  <c r="A1815" i="9"/>
  <c r="F1815" i="9"/>
  <c r="X1815" i="9"/>
  <c r="AJ1815" i="9"/>
  <c r="A1816" i="9"/>
  <c r="F1816" i="9"/>
  <c r="X1816" i="9"/>
  <c r="AJ1816" i="9"/>
  <c r="A1817" i="9"/>
  <c r="AJ1817" i="9"/>
  <c r="A1818" i="9"/>
  <c r="AJ1818" i="9"/>
  <c r="A1819" i="9"/>
  <c r="AI1819" i="9"/>
  <c r="AJ1819" i="9"/>
  <c r="A1820" i="9"/>
  <c r="F1820" i="9"/>
  <c r="X1820" i="9"/>
  <c r="AI1820" i="9"/>
  <c r="AJ1820" i="9"/>
  <c r="A1821" i="9"/>
  <c r="F1821" i="9"/>
  <c r="X1821" i="9"/>
  <c r="AJ1821" i="9"/>
  <c r="A1822" i="9"/>
  <c r="F1822" i="9"/>
  <c r="X1822" i="9"/>
  <c r="AJ1822" i="9"/>
  <c r="A1823" i="9"/>
  <c r="F1823" i="9"/>
  <c r="X1823" i="9"/>
  <c r="AJ1823" i="9"/>
  <c r="A1824" i="9"/>
  <c r="F1824" i="9"/>
  <c r="X1824" i="9"/>
  <c r="AJ1824" i="9"/>
  <c r="A1825" i="9"/>
  <c r="F1825" i="9"/>
  <c r="X1825" i="9"/>
  <c r="AJ1825" i="9"/>
  <c r="A1826" i="9"/>
  <c r="F1826" i="9"/>
  <c r="X1826" i="9"/>
  <c r="AJ1826" i="9"/>
  <c r="A1827" i="9"/>
  <c r="AJ1827" i="9"/>
  <c r="A1828" i="9"/>
  <c r="AJ1828" i="9"/>
  <c r="A1829" i="9"/>
  <c r="AI1829" i="9"/>
  <c r="AI1830" i="9" s="1"/>
  <c r="AJ1829" i="9"/>
  <c r="A1830" i="9"/>
  <c r="F1830" i="9"/>
  <c r="X1830" i="9"/>
  <c r="AJ1830" i="9"/>
  <c r="A1831" i="9"/>
  <c r="F1831" i="9"/>
  <c r="X1831" i="9"/>
  <c r="AJ1831" i="9"/>
  <c r="A1832" i="9"/>
  <c r="F1832" i="9"/>
  <c r="X1832" i="9"/>
  <c r="AJ1832" i="9"/>
  <c r="A1833" i="9"/>
  <c r="F1833" i="9"/>
  <c r="X1833" i="9"/>
  <c r="AJ1833" i="9"/>
  <c r="A1834" i="9"/>
  <c r="F1834" i="9"/>
  <c r="X1834" i="9"/>
  <c r="AJ1834" i="9"/>
  <c r="A1835" i="9"/>
  <c r="F1835" i="9"/>
  <c r="X1835" i="9"/>
  <c r="AJ1835" i="9"/>
  <c r="A1836" i="9"/>
  <c r="F1836" i="9"/>
  <c r="X1836" i="9"/>
  <c r="AJ1836" i="9"/>
  <c r="A1837" i="9"/>
  <c r="F1837" i="9"/>
  <c r="X1837" i="9"/>
  <c r="AJ1837" i="9"/>
  <c r="A1838" i="9"/>
  <c r="AJ1838" i="9"/>
  <c r="A1839" i="9"/>
  <c r="AJ1839" i="9"/>
  <c r="A1840" i="9"/>
  <c r="AI1840" i="9"/>
  <c r="AJ1840" i="9"/>
  <c r="A1841" i="9"/>
  <c r="AI1841" i="9"/>
  <c r="AJ1841" i="9"/>
  <c r="A1842" i="9"/>
  <c r="F1842" i="9"/>
  <c r="X1842" i="9"/>
  <c r="AJ1842" i="9"/>
  <c r="A1843" i="9"/>
  <c r="F1843" i="9"/>
  <c r="X1843" i="9"/>
  <c r="AJ1843" i="9"/>
  <c r="A1844" i="9"/>
  <c r="F1844" i="9"/>
  <c r="X1844" i="9"/>
  <c r="AJ1844" i="9"/>
  <c r="A1845" i="9"/>
  <c r="AJ1845" i="9"/>
  <c r="A1846" i="9"/>
  <c r="AJ1846" i="9"/>
  <c r="A1847" i="9"/>
  <c r="AI1847" i="9"/>
  <c r="AJ1847" i="9"/>
  <c r="A1848" i="9"/>
  <c r="F1848" i="9"/>
  <c r="X1848" i="9"/>
  <c r="AI1848" i="9"/>
  <c r="AJ1848" i="9"/>
  <c r="A1849" i="9"/>
  <c r="F1849" i="9"/>
  <c r="X1849" i="9"/>
  <c r="AI1849" i="9"/>
  <c r="AJ1849" i="9"/>
  <c r="A1850" i="9"/>
  <c r="F1850" i="9"/>
  <c r="X1850" i="9"/>
  <c r="AI1850" i="9"/>
  <c r="AJ1850" i="9"/>
  <c r="A1851" i="9"/>
  <c r="F1851" i="9"/>
  <c r="X1851" i="9"/>
  <c r="AI1851" i="9"/>
  <c r="AJ1851" i="9"/>
  <c r="A1852" i="9"/>
  <c r="F1852" i="9"/>
  <c r="X1852" i="9"/>
  <c r="AI1852" i="9"/>
  <c r="AJ1852" i="9"/>
  <c r="A1853" i="9"/>
  <c r="F1853" i="9"/>
  <c r="X1853" i="9"/>
  <c r="AI1853" i="9"/>
  <c r="AJ1853" i="9"/>
  <c r="A1854" i="9"/>
  <c r="F1854" i="9"/>
  <c r="X1854" i="9"/>
  <c r="AI1854" i="9"/>
  <c r="AJ1854" i="9"/>
  <c r="A1855" i="9"/>
  <c r="F1855" i="9"/>
  <c r="X1855" i="9"/>
  <c r="AI1855" i="9"/>
  <c r="AJ1855" i="9"/>
  <c r="A1856" i="9"/>
  <c r="F1856" i="9"/>
  <c r="X1856" i="9"/>
  <c r="AI1856" i="9"/>
  <c r="AI1857" i="9" s="1"/>
  <c r="AI1858" i="9" s="1"/>
  <c r="AJ1856" i="9"/>
  <c r="A1857" i="9"/>
  <c r="AJ1857" i="9"/>
  <c r="A1858" i="9"/>
  <c r="AJ1858" i="9"/>
  <c r="A1859" i="9"/>
  <c r="AI1859" i="9"/>
  <c r="AI1860" i="9" s="1"/>
  <c r="AJ1859" i="9"/>
  <c r="A1860" i="9"/>
  <c r="AJ1860" i="9"/>
  <c r="A1861" i="9"/>
  <c r="AI1861" i="9"/>
  <c r="AJ1861" i="9"/>
  <c r="A1862" i="9"/>
  <c r="AI1862" i="9"/>
  <c r="AI1863" i="9" s="1"/>
  <c r="AI1864" i="9" s="1"/>
  <c r="AJ1862" i="9"/>
  <c r="A1863" i="9"/>
  <c r="F1863" i="9"/>
  <c r="X1863" i="9"/>
  <c r="AJ1863" i="9"/>
  <c r="A1864" i="9"/>
  <c r="AJ1864" i="9"/>
  <c r="A1865" i="9"/>
  <c r="AJ1865" i="9"/>
  <c r="A1866" i="9"/>
  <c r="AJ1866" i="9"/>
  <c r="A1867" i="9"/>
  <c r="AI1867" i="9"/>
  <c r="AI1868" i="9" s="1"/>
  <c r="AJ1867" i="9"/>
  <c r="A1868" i="9"/>
  <c r="F1868" i="9"/>
  <c r="X1868" i="9"/>
  <c r="AJ1868" i="9"/>
  <c r="A1869" i="9"/>
  <c r="F1869" i="9"/>
  <c r="X1869" i="9"/>
  <c r="AJ1869" i="9"/>
  <c r="A1870" i="9"/>
  <c r="F1870" i="9"/>
  <c r="X1870" i="9"/>
  <c r="AJ1870" i="9"/>
  <c r="A1871" i="9"/>
  <c r="AJ1871" i="9"/>
  <c r="A1872" i="9"/>
  <c r="AJ1872" i="9"/>
  <c r="A1873" i="9"/>
  <c r="AI1873" i="9"/>
  <c r="AI1874" i="9" s="1"/>
  <c r="AJ1873" i="9"/>
  <c r="A1874" i="9"/>
  <c r="F1874" i="9"/>
  <c r="X1874" i="9"/>
  <c r="AJ1874" i="9"/>
  <c r="A1875" i="9"/>
  <c r="F1875" i="9"/>
  <c r="X1875" i="9"/>
  <c r="AJ1875" i="9"/>
  <c r="A1876" i="9"/>
  <c r="AJ1876" i="9"/>
  <c r="A1877" i="9"/>
  <c r="AJ1877" i="9"/>
  <c r="A1878" i="9"/>
  <c r="AI1878" i="9"/>
  <c r="AJ1878" i="9"/>
  <c r="A1879" i="9"/>
  <c r="F1879" i="9"/>
  <c r="X1879" i="9"/>
  <c r="AJ1879" i="9"/>
  <c r="A1880" i="9"/>
  <c r="AJ1880" i="9"/>
  <c r="A1881" i="9"/>
  <c r="AJ1881" i="9"/>
  <c r="A1882" i="9"/>
  <c r="AJ1882" i="9"/>
  <c r="A1883" i="9"/>
  <c r="AI1883" i="9"/>
  <c r="AI1884" i="9" s="1"/>
  <c r="AJ1883" i="9"/>
  <c r="A1884" i="9"/>
  <c r="AJ1884" i="9"/>
  <c r="A1885" i="9"/>
  <c r="AJ1885" i="9"/>
  <c r="A1886" i="9"/>
  <c r="AI1886" i="9"/>
  <c r="AI1887" i="9" s="1"/>
  <c r="AJ1886" i="9"/>
  <c r="A1887" i="9"/>
  <c r="AJ1887" i="9"/>
  <c r="A1888" i="9"/>
  <c r="AI1888" i="9"/>
  <c r="AJ1888" i="9"/>
  <c r="A1889" i="9"/>
  <c r="F1889" i="9"/>
  <c r="X1889" i="9"/>
  <c r="AI1889" i="9"/>
  <c r="AI1890" i="9" s="1"/>
  <c r="AI1891" i="9" s="1"/>
  <c r="AJ1889" i="9"/>
  <c r="A1890" i="9"/>
  <c r="AJ1890" i="9"/>
  <c r="A1891" i="9"/>
  <c r="AJ1891" i="9"/>
  <c r="A1892" i="9"/>
  <c r="AI1892" i="9"/>
  <c r="AI1893" i="9" s="1"/>
  <c r="AI1894" i="9" s="1"/>
  <c r="AI1895" i="9" s="1"/>
  <c r="AJ1892" i="9"/>
  <c r="A1893" i="9"/>
  <c r="F1893" i="9"/>
  <c r="X1893" i="9"/>
  <c r="AJ1893" i="9"/>
  <c r="A1894" i="9"/>
  <c r="AJ1894" i="9"/>
  <c r="A1895" i="9"/>
  <c r="AJ1895" i="9"/>
  <c r="A1896" i="9"/>
  <c r="AI1896" i="9"/>
  <c r="AJ1896" i="9"/>
  <c r="A1897" i="9"/>
  <c r="F1897" i="9"/>
  <c r="X1897" i="9"/>
  <c r="AI1897" i="9"/>
  <c r="AI1898" i="9" s="1"/>
  <c r="AI1899" i="9" s="1"/>
  <c r="AJ1897" i="9"/>
  <c r="A1898" i="9"/>
  <c r="AJ1898" i="9"/>
  <c r="A1899" i="9"/>
  <c r="AJ1899" i="9"/>
  <c r="A1900" i="9"/>
  <c r="AI1900" i="9"/>
  <c r="AI1901" i="9" s="1"/>
  <c r="AI1902" i="9" s="1"/>
  <c r="AJ1900" i="9"/>
  <c r="A1901" i="9"/>
  <c r="F1901" i="9"/>
  <c r="X1901" i="9"/>
  <c r="AJ1901" i="9"/>
  <c r="A1902" i="9"/>
  <c r="F1902" i="9"/>
  <c r="X1902" i="9"/>
  <c r="AJ1902" i="9"/>
  <c r="A1903" i="9"/>
  <c r="AJ1903" i="9"/>
  <c r="A1904" i="9"/>
  <c r="AJ1904" i="9"/>
  <c r="A1905" i="9"/>
  <c r="AJ1905" i="9"/>
  <c r="A1906" i="9"/>
  <c r="AI1906" i="9"/>
  <c r="AI1907" i="9" s="1"/>
  <c r="AJ1906" i="9"/>
  <c r="A1907" i="9"/>
  <c r="F1907" i="9"/>
  <c r="X1907" i="9"/>
  <c r="AJ1907" i="9"/>
  <c r="A1908" i="9"/>
  <c r="AJ1908" i="9"/>
  <c r="A1909" i="9"/>
  <c r="AJ1909" i="9"/>
  <c r="A1910" i="9"/>
  <c r="AI1910" i="9"/>
  <c r="AI1911" i="9" s="1"/>
  <c r="AI1912" i="9" s="1"/>
  <c r="AI1913" i="9" s="1"/>
  <c r="AJ1910" i="9"/>
  <c r="A1911" i="9"/>
  <c r="F1911" i="9"/>
  <c r="X1911" i="9"/>
  <c r="AJ1911" i="9"/>
  <c r="A1912" i="9"/>
  <c r="AJ1912" i="9"/>
  <c r="A1913" i="9"/>
  <c r="AJ1913" i="9"/>
  <c r="A1914" i="9"/>
  <c r="AI1914" i="9"/>
  <c r="AI1915" i="9" s="1"/>
  <c r="AI1916" i="9" s="1"/>
  <c r="AI1917" i="9" s="1"/>
  <c r="AI1918" i="9" s="1"/>
  <c r="AJ1914" i="9"/>
  <c r="A1915" i="9"/>
  <c r="F1915" i="9"/>
  <c r="X1915" i="9"/>
  <c r="AJ1915" i="9"/>
  <c r="A1916" i="9"/>
  <c r="F1916" i="9"/>
  <c r="X1916" i="9"/>
  <c r="AJ1916" i="9"/>
  <c r="A1917" i="9"/>
  <c r="AJ1917" i="9"/>
  <c r="A1918" i="9"/>
  <c r="AJ1918" i="9"/>
  <c r="A1919" i="9"/>
  <c r="F1919" i="9"/>
  <c r="X1919" i="9"/>
  <c r="AI1919" i="9"/>
  <c r="AJ1919" i="9"/>
  <c r="A1920" i="9"/>
  <c r="F1920" i="9"/>
  <c r="X1920" i="9"/>
  <c r="AI1920" i="9"/>
  <c r="AI1921" i="9" s="1"/>
  <c r="AJ1920" i="9"/>
  <c r="A1921" i="9"/>
  <c r="AJ1921" i="9"/>
  <c r="A1922" i="9"/>
  <c r="AJ1922" i="9"/>
  <c r="A1923" i="9"/>
  <c r="AI1923" i="9"/>
  <c r="AJ1923" i="9"/>
  <c r="A1924" i="9"/>
  <c r="F1924" i="9"/>
  <c r="X1924" i="9"/>
  <c r="AJ1924" i="9"/>
  <c r="A1925" i="9"/>
  <c r="F1925" i="9"/>
  <c r="X1925" i="9"/>
  <c r="AJ1925" i="9"/>
  <c r="A1926" i="9"/>
  <c r="F1926" i="9"/>
  <c r="X1926" i="9"/>
  <c r="AJ1926" i="9"/>
  <c r="A1927" i="9"/>
  <c r="F1927" i="9"/>
  <c r="X1927" i="9"/>
  <c r="AJ1927" i="9"/>
  <c r="A1928" i="9"/>
  <c r="F1928" i="9"/>
  <c r="X1928" i="9"/>
  <c r="AJ1928" i="9"/>
  <c r="A1929" i="9"/>
  <c r="AJ1929" i="9"/>
  <c r="A1930" i="9"/>
  <c r="AJ1930" i="9"/>
  <c r="A1931" i="9"/>
  <c r="AI1931" i="9"/>
  <c r="AI1932" i="9" s="1"/>
  <c r="AI1933" i="9" s="1"/>
  <c r="AJ1931" i="9"/>
  <c r="A1932" i="9"/>
  <c r="F1932" i="9"/>
  <c r="X1932" i="9"/>
  <c r="AJ1932" i="9"/>
  <c r="A1933" i="9"/>
  <c r="AJ1933" i="9"/>
  <c r="A1934" i="9"/>
  <c r="AJ1934" i="9"/>
  <c r="A1935" i="9"/>
  <c r="AI1935" i="9"/>
  <c r="AJ1935" i="9"/>
  <c r="A1936" i="9"/>
  <c r="F1936" i="9"/>
  <c r="X1936" i="9"/>
  <c r="AJ1936" i="9"/>
  <c r="A1937" i="9"/>
  <c r="F1937" i="9"/>
  <c r="X1937" i="9"/>
  <c r="AJ1937" i="9"/>
  <c r="A1938" i="9"/>
  <c r="F1938" i="9"/>
  <c r="X1938" i="9"/>
  <c r="AJ1938" i="9"/>
  <c r="A1939" i="9"/>
  <c r="F1939" i="9"/>
  <c r="X1939" i="9"/>
  <c r="AJ1939" i="9"/>
  <c r="A1940" i="9"/>
  <c r="AJ1940" i="9"/>
  <c r="A1941" i="9"/>
  <c r="AJ1941" i="9"/>
  <c r="A1942" i="9"/>
  <c r="AI1942" i="9"/>
  <c r="AJ1942" i="9"/>
  <c r="A1943" i="9"/>
  <c r="F1943" i="9"/>
  <c r="X1943" i="9"/>
  <c r="AI1943" i="9"/>
  <c r="AI1944" i="9" s="1"/>
  <c r="AI1945" i="9" s="1"/>
  <c r="AI1946" i="9" s="1"/>
  <c r="AI1947" i="9" s="1"/>
  <c r="AJ1943" i="9"/>
  <c r="A1944" i="9"/>
  <c r="F1944" i="9"/>
  <c r="X1944" i="9"/>
  <c r="AJ1944" i="9"/>
  <c r="A1945" i="9"/>
  <c r="F1945" i="9"/>
  <c r="X1945" i="9"/>
  <c r="AJ1945" i="9"/>
  <c r="A1946" i="9"/>
  <c r="F1946" i="9"/>
  <c r="X1946" i="9"/>
  <c r="AJ1946" i="9"/>
  <c r="A1947" i="9"/>
  <c r="F1947" i="9"/>
  <c r="X1947" i="9"/>
  <c r="AJ1947" i="9"/>
  <c r="A1948" i="9"/>
  <c r="F1948" i="9"/>
  <c r="X1948" i="9"/>
  <c r="AJ1948" i="9"/>
  <c r="A1949" i="9"/>
  <c r="F1949" i="9"/>
  <c r="X1949" i="9"/>
  <c r="AJ1949" i="9"/>
  <c r="A1950" i="9"/>
  <c r="F1950" i="9"/>
  <c r="X1950" i="9"/>
  <c r="AJ1950" i="9"/>
  <c r="A1951" i="9"/>
  <c r="F1951" i="9"/>
  <c r="X1951" i="9"/>
  <c r="AJ1951" i="9"/>
  <c r="A1952" i="9"/>
  <c r="F1952" i="9"/>
  <c r="X1952" i="9"/>
  <c r="AJ1952" i="9"/>
  <c r="A1953" i="9"/>
  <c r="F1953" i="9"/>
  <c r="X1953" i="9"/>
  <c r="AJ1953" i="9"/>
  <c r="A1954" i="9"/>
  <c r="F1954" i="9"/>
  <c r="X1954" i="9"/>
  <c r="AJ1954" i="9"/>
  <c r="A1955" i="9"/>
  <c r="F1955" i="9"/>
  <c r="X1955" i="9"/>
  <c r="AJ1955" i="9"/>
  <c r="A1956" i="9"/>
  <c r="F1956" i="9"/>
  <c r="X1956" i="9"/>
  <c r="AJ1956" i="9"/>
  <c r="A1957" i="9"/>
  <c r="F1957" i="9"/>
  <c r="AJ1957" i="9"/>
  <c r="A1958" i="9"/>
  <c r="AJ1958" i="9"/>
  <c r="A1959" i="9"/>
  <c r="AI1959" i="9"/>
  <c r="AI1960" i="9" s="1"/>
  <c r="AJ1959" i="9"/>
  <c r="A1960" i="9"/>
  <c r="F1960" i="9"/>
  <c r="X1960" i="9"/>
  <c r="AJ1960" i="9"/>
  <c r="A1961" i="9"/>
  <c r="F1961" i="9"/>
  <c r="X1961" i="9"/>
  <c r="AJ1961" i="9"/>
  <c r="A1962" i="9"/>
  <c r="F1962" i="9"/>
  <c r="X1962" i="9"/>
  <c r="AJ1962" i="9"/>
  <c r="A1963" i="9"/>
  <c r="AJ1963" i="9"/>
  <c r="A1964" i="9"/>
  <c r="AJ1964" i="9"/>
  <c r="A1965" i="9"/>
  <c r="AI1965" i="9"/>
  <c r="AI1966" i="9" s="1"/>
  <c r="AI1967" i="9" s="1"/>
  <c r="AJ1965" i="9"/>
  <c r="A1966" i="9"/>
  <c r="F1966" i="9"/>
  <c r="X1966" i="9"/>
  <c r="AJ1966" i="9"/>
  <c r="A1967" i="9"/>
  <c r="F1967" i="9"/>
  <c r="X1967" i="9"/>
  <c r="AJ1967" i="9"/>
  <c r="A1968" i="9"/>
  <c r="F1968" i="9"/>
  <c r="X1968" i="9"/>
  <c r="AJ1968" i="9"/>
  <c r="A1969" i="9"/>
  <c r="F1969" i="9"/>
  <c r="X1969" i="9"/>
  <c r="AJ1969" i="9"/>
  <c r="A1970" i="9"/>
  <c r="F1970" i="9"/>
  <c r="X1970" i="9"/>
  <c r="AJ1970" i="9"/>
  <c r="A1971" i="9"/>
  <c r="F1971" i="9"/>
  <c r="X1971" i="9"/>
  <c r="AJ1971" i="9"/>
  <c r="A1972" i="9"/>
  <c r="F1972" i="9"/>
  <c r="X1972" i="9"/>
  <c r="AJ1972" i="9"/>
  <c r="A1973" i="9"/>
  <c r="F1973" i="9"/>
  <c r="X1973" i="9"/>
  <c r="AJ1973" i="9"/>
  <c r="A1974" i="9"/>
  <c r="F1974" i="9"/>
  <c r="X1974" i="9"/>
  <c r="AJ1974" i="9"/>
  <c r="A1975" i="9"/>
  <c r="F1975" i="9"/>
  <c r="X1975" i="9"/>
  <c r="AJ1975" i="9"/>
  <c r="A1976" i="9"/>
  <c r="F1976" i="9"/>
  <c r="X1976" i="9"/>
  <c r="AJ1976" i="9"/>
  <c r="A1977" i="9"/>
  <c r="F1977" i="9"/>
  <c r="X1977" i="9"/>
  <c r="AJ1977" i="9"/>
  <c r="A1978" i="9"/>
  <c r="F1978" i="9"/>
  <c r="X1978" i="9"/>
  <c r="AJ1978" i="9"/>
  <c r="A1979" i="9"/>
  <c r="F1979" i="9"/>
  <c r="X1979" i="9"/>
  <c r="AJ1979" i="9"/>
  <c r="A1980" i="9"/>
  <c r="F1980" i="9"/>
  <c r="X1980" i="9"/>
  <c r="AJ1980" i="9"/>
  <c r="A1981" i="9"/>
  <c r="AJ1981" i="9"/>
  <c r="A1982" i="9"/>
  <c r="AJ1982" i="9"/>
  <c r="A1983" i="9"/>
  <c r="AI1983" i="9"/>
  <c r="AJ1983" i="9"/>
  <c r="A1984" i="9"/>
  <c r="F1984" i="9"/>
  <c r="X1984" i="9"/>
  <c r="AI1984" i="9"/>
  <c r="AJ1984" i="9"/>
  <c r="A1985" i="9"/>
  <c r="F1985" i="9"/>
  <c r="X1985" i="9"/>
  <c r="AJ1985" i="9"/>
  <c r="A1986" i="9"/>
  <c r="F1986" i="9"/>
  <c r="X1986" i="9"/>
  <c r="AJ1986" i="9"/>
  <c r="A1987" i="9"/>
  <c r="F1987" i="9"/>
  <c r="X1987" i="9"/>
  <c r="AJ1987" i="9"/>
  <c r="A1988" i="9"/>
  <c r="F1988" i="9"/>
  <c r="X1988" i="9"/>
  <c r="AJ1988" i="9"/>
  <c r="A1989" i="9"/>
  <c r="F1989" i="9"/>
  <c r="X1989" i="9"/>
  <c r="AJ1989" i="9"/>
  <c r="A1990" i="9"/>
  <c r="F1990" i="9"/>
  <c r="X1990" i="9"/>
  <c r="AJ1990" i="9"/>
  <c r="A1991" i="9"/>
  <c r="F1991" i="9"/>
  <c r="X1991" i="9"/>
  <c r="AJ1991" i="9"/>
  <c r="A1992" i="9"/>
  <c r="F1992" i="9"/>
  <c r="X1992" i="9"/>
  <c r="AJ1992" i="9"/>
  <c r="A1993" i="9"/>
  <c r="F1993" i="9"/>
  <c r="X1993" i="9"/>
  <c r="AJ1993" i="9"/>
  <c r="A1994" i="9"/>
  <c r="F1994" i="9"/>
  <c r="AJ1994" i="9"/>
  <c r="A1995" i="9"/>
  <c r="AJ1995" i="9"/>
  <c r="A1996" i="9"/>
  <c r="AI1996" i="9"/>
  <c r="AI1997" i="9" s="1"/>
  <c r="AJ1996" i="9"/>
  <c r="A1997" i="9"/>
  <c r="AJ1997" i="9"/>
  <c r="A1998" i="9"/>
  <c r="AI1998" i="9"/>
  <c r="AI1999" i="9" s="1"/>
  <c r="AJ1998" i="9"/>
  <c r="A1999" i="9"/>
  <c r="F1999" i="9"/>
  <c r="X1999" i="9"/>
  <c r="AJ1999" i="9"/>
  <c r="A2000" i="9"/>
  <c r="F2000" i="9"/>
  <c r="X2000" i="9"/>
  <c r="AJ2000" i="9"/>
  <c r="A2001" i="9"/>
  <c r="F2001" i="9"/>
  <c r="X2001" i="9"/>
  <c r="AJ2001" i="9"/>
  <c r="A2002" i="9"/>
  <c r="F2002" i="9"/>
  <c r="X2002" i="9"/>
  <c r="AJ2002" i="9"/>
  <c r="A2003" i="9"/>
  <c r="F2003" i="9"/>
  <c r="X2003" i="9"/>
  <c r="AJ2003" i="9"/>
  <c r="A2004" i="9"/>
  <c r="F2004" i="9"/>
  <c r="X2004" i="9"/>
  <c r="AJ2004" i="9"/>
  <c r="A2005" i="9"/>
  <c r="F2005" i="9"/>
  <c r="X2005" i="9"/>
  <c r="AJ2005" i="9"/>
  <c r="A2006" i="9"/>
  <c r="F2006" i="9"/>
  <c r="X2006" i="9"/>
  <c r="AJ2006" i="9"/>
  <c r="A2007" i="9"/>
  <c r="AJ2007" i="9"/>
  <c r="A2008" i="9"/>
  <c r="AJ2008" i="9"/>
  <c r="A2009" i="9"/>
  <c r="AI2009" i="9"/>
  <c r="AJ2009" i="9"/>
  <c r="A2010" i="9"/>
  <c r="AJ2010" i="9"/>
  <c r="A2011" i="9"/>
  <c r="AI2011" i="9"/>
  <c r="AI2012" i="9" s="1"/>
  <c r="AI2013" i="9" s="1"/>
  <c r="AI2014" i="9" s="1"/>
  <c r="AI2015" i="9" s="1"/>
  <c r="AJ2011" i="9"/>
  <c r="A2012" i="9"/>
  <c r="AJ2012" i="9"/>
  <c r="A2013" i="9"/>
  <c r="F2013" i="9"/>
  <c r="AJ2013" i="9"/>
  <c r="A2014" i="9"/>
  <c r="F2014" i="9"/>
  <c r="AJ2014" i="9"/>
  <c r="A2015" i="9"/>
  <c r="F2015" i="9"/>
  <c r="AJ2015" i="9"/>
  <c r="A2016" i="9"/>
  <c r="F2016" i="9"/>
  <c r="AJ2016" i="9"/>
  <c r="A2017" i="9"/>
  <c r="F2017" i="9"/>
  <c r="AJ2017" i="9"/>
  <c r="A2018" i="9"/>
  <c r="F2018" i="9"/>
  <c r="AJ2018" i="9"/>
  <c r="A2019" i="9"/>
  <c r="T2019" i="9"/>
  <c r="U2019" i="9"/>
  <c r="V2019" i="9"/>
  <c r="W2019" i="9"/>
  <c r="Y2019" i="9"/>
  <c r="Z2019" i="9"/>
  <c r="AA2019" i="9"/>
  <c r="AB2019" i="9"/>
  <c r="AC2019" i="9"/>
  <c r="AJ2019" i="9"/>
  <c r="A2020" i="9"/>
  <c r="AJ2020" i="9"/>
  <c r="A2021" i="9"/>
  <c r="AI2021" i="9"/>
  <c r="AI2022" i="9" s="1"/>
  <c r="AJ2021" i="9"/>
  <c r="A2022" i="9"/>
  <c r="F2022" i="9"/>
  <c r="AJ2022" i="9"/>
  <c r="A2023" i="9"/>
  <c r="F2023" i="9"/>
  <c r="AJ2023" i="9"/>
  <c r="A2024" i="9"/>
  <c r="F2024" i="9"/>
  <c r="AJ2024" i="9"/>
  <c r="A2025" i="9"/>
  <c r="T2025" i="9"/>
  <c r="U2025" i="9"/>
  <c r="V2025" i="9"/>
  <c r="W2025" i="9"/>
  <c r="Y2025" i="9"/>
  <c r="Z2025" i="9"/>
  <c r="AA2025" i="9"/>
  <c r="AB2025" i="9"/>
  <c r="AC2025" i="9"/>
  <c r="AJ2025" i="9"/>
  <c r="A2026" i="9"/>
  <c r="AJ2026" i="9"/>
  <c r="A2027" i="9"/>
  <c r="AJ2027" i="9"/>
  <c r="A2028" i="9"/>
  <c r="AI2028" i="9"/>
  <c r="AI2029" i="9" s="1"/>
  <c r="AJ2028" i="9"/>
  <c r="A2029" i="9"/>
  <c r="F2029" i="9"/>
  <c r="AJ2029" i="9"/>
  <c r="A2030" i="9"/>
  <c r="F2030" i="9"/>
  <c r="AJ2030" i="9"/>
  <c r="A2031" i="9"/>
  <c r="F2031" i="9"/>
  <c r="AJ2031" i="9"/>
  <c r="A2032" i="9"/>
  <c r="F2032" i="9"/>
  <c r="AJ2032" i="9"/>
  <c r="A2033" i="9"/>
  <c r="T2033" i="9"/>
  <c r="U2033" i="9"/>
  <c r="V2033" i="9"/>
  <c r="W2033" i="9"/>
  <c r="Y2033" i="9"/>
  <c r="Z2033" i="9"/>
  <c r="AA2033" i="9"/>
  <c r="AB2033" i="9"/>
  <c r="AC2033" i="9"/>
  <c r="AJ2033" i="9"/>
  <c r="A2034" i="9"/>
  <c r="AJ2034" i="9"/>
  <c r="A2035" i="9"/>
  <c r="AI2035" i="9"/>
  <c r="AI2036" i="9" s="1"/>
  <c r="AI2037" i="9" s="1"/>
  <c r="AJ2035" i="9"/>
  <c r="A2036" i="9"/>
  <c r="F2036" i="9"/>
  <c r="AJ2036" i="9"/>
  <c r="A2037" i="9"/>
  <c r="F2037" i="9"/>
  <c r="AJ2037" i="9"/>
  <c r="A2038" i="9"/>
  <c r="F2038" i="9"/>
  <c r="AJ2038" i="9"/>
  <c r="A2039" i="9"/>
  <c r="F2039" i="9"/>
  <c r="AJ2039" i="9"/>
  <c r="A2040" i="9"/>
  <c r="F2040" i="9"/>
  <c r="AJ2040" i="9"/>
  <c r="A2041" i="9"/>
  <c r="T2041" i="9"/>
  <c r="U2041" i="9"/>
  <c r="U2048" i="9" s="1"/>
  <c r="V2041" i="9"/>
  <c r="W2041" i="9"/>
  <c r="Y2041" i="9"/>
  <c r="Z2041" i="9"/>
  <c r="AA2041" i="9"/>
  <c r="AB2041" i="9"/>
  <c r="AC2041" i="9"/>
  <c r="AJ2041" i="9"/>
  <c r="A2042" i="9"/>
  <c r="AJ2042" i="9"/>
  <c r="A2043" i="9"/>
  <c r="AI2043" i="9"/>
  <c r="AJ2043" i="9"/>
  <c r="A2044" i="9"/>
  <c r="F2044" i="9"/>
  <c r="AJ2044" i="9"/>
  <c r="A2045" i="9"/>
  <c r="F2045" i="9"/>
  <c r="AJ2045" i="9"/>
  <c r="A2046" i="9"/>
  <c r="T2046" i="9"/>
  <c r="U2046" i="9"/>
  <c r="V2046" i="9"/>
  <c r="W2046" i="9"/>
  <c r="Y2046" i="9"/>
  <c r="Z2046" i="9"/>
  <c r="AA2046" i="9"/>
  <c r="AB2046" i="9"/>
  <c r="AC2046" i="9"/>
  <c r="AJ2046" i="9"/>
  <c r="A2047" i="9"/>
  <c r="AJ2047" i="9"/>
  <c r="A2048" i="9"/>
  <c r="AI2048" i="9"/>
  <c r="AI2049" i="9" s="1"/>
  <c r="AJ2048" i="9"/>
  <c r="A2049" i="9"/>
  <c r="AJ2049" i="9"/>
  <c r="A2050" i="9"/>
  <c r="AI2050" i="9"/>
  <c r="AJ2050" i="9"/>
  <c r="A2051" i="9"/>
  <c r="F2051" i="9"/>
  <c r="AJ2051" i="9"/>
  <c r="A2052" i="9"/>
  <c r="F2052" i="9"/>
  <c r="AJ2052" i="9"/>
  <c r="A2053" i="9"/>
  <c r="F2053" i="9"/>
  <c r="AJ2053" i="9"/>
  <c r="A2054" i="9"/>
  <c r="O2054" i="9"/>
  <c r="P2054" i="9"/>
  <c r="Q2054" i="9"/>
  <c r="R2054" i="9"/>
  <c r="Y2054" i="9"/>
  <c r="Z2054" i="9"/>
  <c r="AA2054" i="9"/>
  <c r="AB2054" i="9"/>
  <c r="AC2054" i="9"/>
  <c r="AI2054" i="9"/>
  <c r="AJ2054" i="9"/>
  <c r="A2055" i="9"/>
  <c r="AJ2055" i="9"/>
  <c r="A2056" i="9"/>
  <c r="AI2056" i="9"/>
  <c r="AJ2056" i="9"/>
  <c r="A2057" i="9"/>
  <c r="F2057" i="9"/>
  <c r="X2057" i="9"/>
  <c r="AJ2057" i="9"/>
  <c r="A2058" i="9"/>
  <c r="O2058" i="9"/>
  <c r="P2058" i="9"/>
  <c r="Q2058" i="9"/>
  <c r="R2058" i="9"/>
  <c r="T2058" i="9"/>
  <c r="U2058" i="9"/>
  <c r="V2058" i="9"/>
  <c r="W2058" i="9"/>
  <c r="AJ2058" i="9"/>
  <c r="A2059" i="9"/>
  <c r="AJ2059" i="9"/>
  <c r="A2060" i="9"/>
  <c r="AI2060" i="9"/>
  <c r="AJ2060" i="9"/>
  <c r="A2061" i="9"/>
  <c r="F2061" i="9"/>
  <c r="X2061" i="9"/>
  <c r="AJ2061" i="9"/>
  <c r="A2062" i="9"/>
  <c r="O2062" i="9"/>
  <c r="P2062" i="9"/>
  <c r="Q2062" i="9"/>
  <c r="R2062" i="9"/>
  <c r="T2062" i="9"/>
  <c r="U2062" i="9"/>
  <c r="V2062" i="9"/>
  <c r="W2062" i="9"/>
  <c r="AJ2062" i="9"/>
  <c r="A2063" i="9"/>
  <c r="AJ2063" i="9"/>
  <c r="A2064" i="9"/>
  <c r="AI2064" i="9"/>
  <c r="AJ2064" i="9"/>
  <c r="A2065" i="9"/>
  <c r="F2065" i="9"/>
  <c r="X2065" i="9"/>
  <c r="AJ2065" i="9"/>
  <c r="A2066" i="9"/>
  <c r="O2066" i="9"/>
  <c r="P2066" i="9"/>
  <c r="Q2066" i="9"/>
  <c r="R2066" i="9"/>
  <c r="T2066" i="9"/>
  <c r="U2066" i="9"/>
  <c r="V2066" i="9"/>
  <c r="W2066" i="9"/>
  <c r="AJ2066" i="9"/>
  <c r="A2067" i="9"/>
  <c r="AJ2067" i="9"/>
  <c r="A2068" i="9"/>
  <c r="AI2068" i="9"/>
  <c r="AJ2068" i="9"/>
  <c r="A2069" i="9"/>
  <c r="F2069" i="9"/>
  <c r="X2069" i="9"/>
  <c r="AJ2069" i="9"/>
  <c r="A2070" i="9"/>
  <c r="O2070" i="9"/>
  <c r="P2070" i="9"/>
  <c r="Q2070" i="9"/>
  <c r="R2070" i="9"/>
  <c r="T2070" i="9"/>
  <c r="U2070" i="9"/>
  <c r="V2070" i="9"/>
  <c r="W2070" i="9"/>
  <c r="AJ2070" i="9"/>
  <c r="A2071" i="9"/>
  <c r="AJ2071" i="9"/>
  <c r="A2072" i="9"/>
  <c r="AI2072" i="9"/>
  <c r="AJ2072" i="9"/>
  <c r="A2073" i="9"/>
  <c r="F2073" i="9"/>
  <c r="X2073" i="9"/>
  <c r="AJ2073" i="9"/>
  <c r="A2074" i="9"/>
  <c r="O2074" i="9"/>
  <c r="P2074" i="9"/>
  <c r="Q2074" i="9"/>
  <c r="R2074" i="9"/>
  <c r="T2074" i="9"/>
  <c r="U2074" i="9"/>
  <c r="V2074" i="9"/>
  <c r="W2074" i="9"/>
  <c r="AJ2074" i="9"/>
  <c r="A2075" i="9"/>
  <c r="AJ2075" i="9"/>
  <c r="A2076" i="9"/>
  <c r="AI2076" i="9"/>
  <c r="AJ2076" i="9"/>
  <c r="A2077" i="9"/>
  <c r="F2077" i="9"/>
  <c r="X2077" i="9"/>
  <c r="AJ2077" i="9"/>
  <c r="A2078" i="9"/>
  <c r="O2078" i="9"/>
  <c r="P2078" i="9"/>
  <c r="Q2078" i="9"/>
  <c r="R2078" i="9"/>
  <c r="T2078" i="9"/>
  <c r="U2078" i="9"/>
  <c r="V2078" i="9"/>
  <c r="W2078" i="9"/>
  <c r="AJ2078" i="9"/>
  <c r="A2079" i="9"/>
  <c r="AJ2079" i="9"/>
  <c r="A2080" i="9"/>
  <c r="AI2080" i="9"/>
  <c r="AJ2080" i="9"/>
  <c r="A2081" i="9"/>
  <c r="F2081" i="9"/>
  <c r="X2081" i="9"/>
  <c r="AJ2081" i="9"/>
  <c r="A2082" i="9"/>
  <c r="O2082" i="9"/>
  <c r="P2082" i="9"/>
  <c r="Q2082" i="9"/>
  <c r="R2082" i="9"/>
  <c r="T2082" i="9"/>
  <c r="U2082" i="9"/>
  <c r="V2082" i="9"/>
  <c r="W2082" i="9"/>
  <c r="AJ2082" i="9"/>
  <c r="A2083" i="9"/>
  <c r="AJ2083" i="9"/>
  <c r="A2084" i="9"/>
  <c r="AI2084" i="9"/>
  <c r="AJ2084" i="9"/>
  <c r="A2085" i="9"/>
  <c r="F2085" i="9"/>
  <c r="X2085" i="9"/>
  <c r="AJ2085" i="9"/>
  <c r="A2086" i="9"/>
  <c r="O2086" i="9"/>
  <c r="P2086" i="9"/>
  <c r="Q2086" i="9"/>
  <c r="R2086" i="9"/>
  <c r="T2086" i="9"/>
  <c r="U2086" i="9"/>
  <c r="V2086" i="9"/>
  <c r="W2086" i="9"/>
  <c r="AJ2086" i="9"/>
  <c r="A2087" i="9"/>
  <c r="AJ2087" i="9"/>
  <c r="A2088" i="9"/>
  <c r="AI2088" i="9"/>
  <c r="AJ2088" i="9"/>
  <c r="A2089" i="9"/>
  <c r="F2089" i="9"/>
  <c r="X2089" i="9"/>
  <c r="AJ2089" i="9"/>
  <c r="A2090" i="9"/>
  <c r="O2090" i="9"/>
  <c r="P2090" i="9"/>
  <c r="Q2090" i="9"/>
  <c r="R2090" i="9"/>
  <c r="T2090" i="9"/>
  <c r="U2090" i="9"/>
  <c r="V2090" i="9"/>
  <c r="W2090" i="9"/>
  <c r="AJ2090" i="9"/>
  <c r="A2091" i="9"/>
  <c r="AJ2091" i="9"/>
  <c r="A2092" i="9"/>
  <c r="AI2092" i="9"/>
  <c r="AJ2092" i="9"/>
  <c r="A2093" i="9"/>
  <c r="F2093" i="9"/>
  <c r="X2093" i="9"/>
  <c r="AJ2093" i="9"/>
  <c r="A2094" i="9"/>
  <c r="O2094" i="9"/>
  <c r="P2094" i="9"/>
  <c r="Q2094" i="9"/>
  <c r="R2094" i="9"/>
  <c r="T2094" i="9"/>
  <c r="U2094" i="9"/>
  <c r="V2094" i="9"/>
  <c r="W2094" i="9"/>
  <c r="AJ2094" i="9"/>
  <c r="A2095" i="9"/>
  <c r="AJ2095" i="9"/>
  <c r="A2096" i="9"/>
  <c r="AI2096" i="9"/>
  <c r="AJ2096" i="9"/>
  <c r="A2097" i="9"/>
  <c r="F2097" i="9"/>
  <c r="X2097" i="9"/>
  <c r="AJ2097" i="9"/>
  <c r="A2098" i="9"/>
  <c r="O2098" i="9"/>
  <c r="P2098" i="9"/>
  <c r="Q2098" i="9"/>
  <c r="R2098" i="9"/>
  <c r="T2098" i="9"/>
  <c r="U2098" i="9"/>
  <c r="V2098" i="9"/>
  <c r="W2098" i="9"/>
  <c r="AJ2098" i="9"/>
  <c r="A2099" i="9"/>
  <c r="AJ2099" i="9"/>
  <c r="A2100" i="9"/>
  <c r="AI2100" i="9"/>
  <c r="AJ2100" i="9"/>
  <c r="A2101" i="9"/>
  <c r="F2101" i="9"/>
  <c r="X2101" i="9"/>
  <c r="AJ2101" i="9"/>
  <c r="A2102" i="9"/>
  <c r="O2102" i="9"/>
  <c r="P2102" i="9"/>
  <c r="Q2102" i="9"/>
  <c r="R2102" i="9"/>
  <c r="T2102" i="9"/>
  <c r="U2102" i="9"/>
  <c r="V2102" i="9"/>
  <c r="W2102" i="9"/>
  <c r="AJ2102" i="9"/>
  <c r="A2103" i="9"/>
  <c r="AJ2103" i="9"/>
  <c r="A2104" i="9"/>
  <c r="AI2104" i="9"/>
  <c r="AJ2104" i="9"/>
  <c r="A2105" i="9"/>
  <c r="F2105" i="9"/>
  <c r="X2105" i="9"/>
  <c r="AJ2105" i="9"/>
  <c r="A2106" i="9"/>
  <c r="O2106" i="9"/>
  <c r="P2106" i="9"/>
  <c r="Q2106" i="9"/>
  <c r="R2106" i="9"/>
  <c r="T2106" i="9"/>
  <c r="U2106" i="9"/>
  <c r="V2106" i="9"/>
  <c r="W2106" i="9"/>
  <c r="AJ2106" i="9"/>
  <c r="A2107" i="9"/>
  <c r="AJ2107" i="9"/>
  <c r="A2108" i="9"/>
  <c r="AI2108" i="9"/>
  <c r="AJ2108" i="9"/>
  <c r="A2109" i="9"/>
  <c r="F2109" i="9"/>
  <c r="X2109" i="9"/>
  <c r="AJ2109" i="9"/>
  <c r="A2110" i="9"/>
  <c r="O2110" i="9"/>
  <c r="P2110" i="9"/>
  <c r="Q2110" i="9"/>
  <c r="R2110" i="9"/>
  <c r="T2110" i="9"/>
  <c r="U2110" i="9"/>
  <c r="V2110" i="9"/>
  <c r="W2110" i="9"/>
  <c r="AJ2110" i="9"/>
  <c r="A2111" i="9"/>
  <c r="AJ2111" i="9"/>
  <c r="A2112" i="9"/>
  <c r="AI2112" i="9"/>
  <c r="AJ2112" i="9"/>
  <c r="A2113" i="9"/>
  <c r="F2113" i="9"/>
  <c r="X2113" i="9"/>
  <c r="AJ2113" i="9"/>
  <c r="A2114" i="9"/>
  <c r="O2114" i="9"/>
  <c r="P2114" i="9"/>
  <c r="Q2114" i="9"/>
  <c r="R2114" i="9"/>
  <c r="T2114" i="9"/>
  <c r="U2114" i="9"/>
  <c r="V2114" i="9"/>
  <c r="W2114" i="9"/>
  <c r="AJ2114" i="9"/>
  <c r="A2115" i="9"/>
  <c r="AJ2115" i="9"/>
  <c r="A2116" i="9"/>
  <c r="AI2116" i="9"/>
  <c r="AJ2116" i="9"/>
  <c r="A2117" i="9"/>
  <c r="F2117" i="9"/>
  <c r="X2117" i="9"/>
  <c r="AJ2117" i="9"/>
  <c r="A2118" i="9"/>
  <c r="O2118" i="9"/>
  <c r="P2118" i="9"/>
  <c r="Q2118" i="9"/>
  <c r="R2118" i="9"/>
  <c r="T2118" i="9"/>
  <c r="U2118" i="9"/>
  <c r="V2118" i="9"/>
  <c r="W2118" i="9"/>
  <c r="AJ2118" i="9"/>
  <c r="A2119" i="9"/>
  <c r="AJ2119" i="9"/>
  <c r="A2120" i="9"/>
  <c r="AJ2120" i="9"/>
  <c r="A2121" i="9"/>
  <c r="AI2121" i="9"/>
  <c r="AI2122" i="9" s="1"/>
  <c r="AJ2121" i="9"/>
  <c r="A2122" i="9"/>
  <c r="AJ2122" i="9"/>
  <c r="A2123" i="9"/>
  <c r="AI2123" i="9"/>
  <c r="AJ2123" i="9"/>
  <c r="A2124" i="9"/>
  <c r="F2124" i="9"/>
  <c r="X2124" i="9"/>
  <c r="AI2124" i="9"/>
  <c r="AJ2124" i="9"/>
  <c r="A2125" i="9"/>
  <c r="F2125" i="9"/>
  <c r="X2125" i="9"/>
  <c r="AJ2125" i="9"/>
  <c r="A2126" i="9"/>
  <c r="F2126" i="9"/>
  <c r="X2126" i="9"/>
  <c r="AJ2126" i="9"/>
  <c r="A2127" i="9"/>
  <c r="F2127" i="9"/>
  <c r="X2127" i="9"/>
  <c r="AJ2127" i="9"/>
  <c r="A2128" i="9"/>
  <c r="F2128" i="9"/>
  <c r="X2128" i="9"/>
  <c r="AJ2128" i="9"/>
  <c r="A2129" i="9"/>
  <c r="F2129" i="9"/>
  <c r="X2129" i="9"/>
  <c r="AJ2129" i="9"/>
  <c r="A2130" i="9"/>
  <c r="F2130" i="9"/>
  <c r="X2130" i="9"/>
  <c r="AJ2130" i="9"/>
  <c r="A2131" i="9"/>
  <c r="F2131" i="9"/>
  <c r="X2131" i="9"/>
  <c r="AJ2131" i="9"/>
  <c r="A2132" i="9"/>
  <c r="F2132" i="9"/>
  <c r="X2132" i="9"/>
  <c r="AJ2132" i="9"/>
  <c r="A2133" i="9"/>
  <c r="AJ2133" i="9"/>
  <c r="A2134" i="9"/>
  <c r="AJ2134" i="9"/>
  <c r="A2135" i="9"/>
  <c r="AJ2135" i="9"/>
  <c r="A2136" i="9"/>
  <c r="AI2136" i="9"/>
  <c r="AI2137" i="9" s="1"/>
  <c r="AJ2136" i="9"/>
  <c r="A2137" i="9"/>
  <c r="F2137" i="9"/>
  <c r="AJ2137" i="9"/>
  <c r="A2138" i="9"/>
  <c r="F2138" i="9"/>
  <c r="AJ2138" i="9"/>
  <c r="A2139" i="9"/>
  <c r="F2139" i="9"/>
  <c r="AJ2139" i="9"/>
  <c r="A2140" i="9"/>
  <c r="Y2140" i="9"/>
  <c r="Z2140" i="9"/>
  <c r="AA2140" i="9"/>
  <c r="AB2140" i="9"/>
  <c r="AC2140" i="9"/>
  <c r="AJ2140" i="9"/>
  <c r="A2141" i="9"/>
  <c r="AJ2141" i="9"/>
  <c r="A2142" i="9"/>
  <c r="AI2142" i="9"/>
  <c r="AI2143" i="9" s="1"/>
  <c r="AI2144" i="9" s="1"/>
  <c r="AJ2142" i="9"/>
  <c r="A2143" i="9"/>
  <c r="F2143" i="9"/>
  <c r="AJ2143" i="9"/>
  <c r="A2144" i="9"/>
  <c r="Y2144" i="9"/>
  <c r="Z2144" i="9"/>
  <c r="AA2144" i="9"/>
  <c r="AB2144" i="9"/>
  <c r="AC2144" i="9"/>
  <c r="AJ2144" i="9"/>
  <c r="A2145" i="9"/>
  <c r="AJ2145" i="9"/>
  <c r="A2146" i="9"/>
  <c r="AI2146" i="9"/>
  <c r="AI2147" i="9" s="1"/>
  <c r="AJ2146" i="9"/>
  <c r="A2147" i="9"/>
  <c r="F2147" i="9"/>
  <c r="X2147" i="9"/>
  <c r="AJ2147" i="9"/>
  <c r="A2148" i="9"/>
  <c r="AJ2148" i="9"/>
  <c r="A2149" i="9"/>
  <c r="AJ2149" i="9"/>
  <c r="A2150" i="9"/>
  <c r="F2150" i="9"/>
  <c r="AJ2150" i="9"/>
  <c r="A2151" i="9"/>
  <c r="Y2151" i="9"/>
  <c r="Z2151" i="9"/>
  <c r="AA2151" i="9"/>
  <c r="AB2151" i="9"/>
  <c r="AC2151" i="9"/>
  <c r="AJ2151" i="9"/>
  <c r="A2152" i="9"/>
  <c r="AJ2152" i="9"/>
  <c r="A2153" i="9"/>
  <c r="AI2153" i="9"/>
  <c r="AI2154" i="9" s="1"/>
  <c r="AJ2153" i="9"/>
  <c r="A2154" i="9"/>
  <c r="F2154" i="9"/>
  <c r="X2154" i="9"/>
  <c r="AJ2154" i="9"/>
  <c r="A2155" i="9"/>
  <c r="F2155" i="9"/>
  <c r="X2155" i="9"/>
  <c r="AI2155" i="9"/>
  <c r="AJ2155" i="9"/>
  <c r="A2156" i="9"/>
  <c r="AJ2156" i="9"/>
  <c r="A2157" i="9"/>
  <c r="AJ2157" i="9"/>
  <c r="A2158" i="9"/>
  <c r="F2158" i="9"/>
  <c r="AJ2158" i="9"/>
  <c r="A2159" i="9"/>
  <c r="Y2159" i="9"/>
  <c r="Z2159" i="9"/>
  <c r="AA2159" i="9"/>
  <c r="AB2159" i="9"/>
  <c r="AC2159" i="9"/>
  <c r="AJ2159" i="9"/>
  <c r="A2160" i="9"/>
  <c r="AJ2160" i="9"/>
  <c r="A2161" i="9"/>
  <c r="AJ2161" i="9"/>
  <c r="A2162" i="9"/>
  <c r="AI2162" i="9"/>
  <c r="AI2163" i="9" s="1"/>
  <c r="AJ2162" i="9"/>
  <c r="A2163" i="9"/>
  <c r="AJ2163" i="9"/>
  <c r="A2164" i="9"/>
  <c r="AJ2164" i="9"/>
  <c r="A2165" i="9"/>
  <c r="AI2165" i="9"/>
  <c r="AI2166" i="9" s="1"/>
  <c r="AI2167" i="9" s="1"/>
  <c r="AJ2165" i="9"/>
  <c r="A2166" i="9"/>
  <c r="AJ2166" i="9"/>
  <c r="A2167" i="9"/>
  <c r="AJ2167" i="9"/>
  <c r="A2168" i="9"/>
  <c r="AI2168" i="9"/>
  <c r="AI2169" i="9" s="1"/>
  <c r="AJ2168" i="9"/>
  <c r="A2169" i="9"/>
  <c r="F2169" i="9"/>
  <c r="X2169" i="9"/>
  <c r="AJ2169" i="9"/>
  <c r="A2170" i="9"/>
  <c r="F2170" i="9"/>
  <c r="X2170" i="9"/>
  <c r="AJ2170" i="9"/>
  <c r="A2171" i="9"/>
  <c r="AJ2171" i="9"/>
  <c r="A2172" i="9"/>
  <c r="AJ2172" i="9"/>
  <c r="A2173" i="9"/>
  <c r="AJ2173" i="9"/>
  <c r="A2174" i="9"/>
  <c r="AI2174" i="9"/>
  <c r="AI2175" i="9" s="1"/>
  <c r="AJ2174" i="9"/>
  <c r="A2175" i="9"/>
  <c r="F2175" i="9"/>
  <c r="X2175" i="9"/>
  <c r="AJ2175" i="9"/>
  <c r="A2176" i="9"/>
  <c r="F2176" i="9"/>
  <c r="X2176" i="9"/>
  <c r="AJ2176" i="9"/>
  <c r="A2177" i="9"/>
  <c r="F2177" i="9"/>
  <c r="X2177" i="9"/>
  <c r="AJ2177" i="9"/>
  <c r="A2178" i="9"/>
  <c r="F2178" i="9"/>
  <c r="X2178" i="9"/>
  <c r="AJ2178" i="9"/>
  <c r="A2179" i="9"/>
  <c r="F2179" i="9"/>
  <c r="X2179" i="9"/>
  <c r="AJ2179" i="9"/>
  <c r="A2180" i="9"/>
  <c r="AJ2180" i="9"/>
  <c r="A2181" i="9"/>
  <c r="AJ2181" i="9"/>
  <c r="A2182" i="9"/>
  <c r="AJ2182" i="9"/>
  <c r="A2183" i="9"/>
  <c r="AI2183" i="9"/>
  <c r="AI2184" i="9" s="1"/>
  <c r="AJ2183" i="9"/>
  <c r="A2184" i="9"/>
  <c r="F2184" i="9"/>
  <c r="X2184" i="9"/>
  <c r="AJ2184" i="9"/>
  <c r="A2185" i="9"/>
  <c r="F2185" i="9"/>
  <c r="X2185" i="9"/>
  <c r="AJ2185" i="9"/>
  <c r="A2186" i="9"/>
  <c r="F2186" i="9"/>
  <c r="X2186" i="9"/>
  <c r="AJ2186" i="9"/>
  <c r="A2187" i="9"/>
  <c r="F2187" i="9"/>
  <c r="X2187" i="9"/>
  <c r="AJ2187" i="9"/>
  <c r="A2188" i="9"/>
  <c r="AJ2188" i="9"/>
  <c r="A2189" i="9"/>
  <c r="AJ2189" i="9"/>
  <c r="A2190" i="9"/>
  <c r="AJ2190" i="9"/>
  <c r="A2191" i="9"/>
  <c r="AI2191" i="9"/>
  <c r="AI2192" i="9" s="1"/>
  <c r="AI2193" i="9" s="1"/>
  <c r="AJ2191" i="9"/>
  <c r="A2192" i="9"/>
  <c r="F2192" i="9"/>
  <c r="X2192" i="9"/>
  <c r="AJ2192" i="9"/>
  <c r="A2193" i="9"/>
  <c r="F2193" i="9"/>
  <c r="X2193" i="9"/>
  <c r="AJ2193" i="9"/>
  <c r="A2194" i="9"/>
  <c r="F2194" i="9"/>
  <c r="X2194" i="9"/>
  <c r="AJ2194" i="9"/>
  <c r="A2195" i="9"/>
  <c r="F2195" i="9"/>
  <c r="X2195" i="9"/>
  <c r="AJ2195" i="9"/>
  <c r="A2196" i="9"/>
  <c r="F2196" i="9"/>
  <c r="X2196" i="9"/>
  <c r="AJ2196" i="9"/>
  <c r="A2197" i="9"/>
  <c r="F2197" i="9"/>
  <c r="X2197" i="9"/>
  <c r="AJ2197" i="9"/>
  <c r="A2198" i="9"/>
  <c r="F2198" i="9"/>
  <c r="X2198" i="9"/>
  <c r="AJ2198" i="9"/>
  <c r="A2199" i="9"/>
  <c r="F2199" i="9"/>
  <c r="X2199" i="9"/>
  <c r="AJ2199" i="9"/>
  <c r="A2200" i="9"/>
  <c r="F2200" i="9"/>
  <c r="X2200" i="9"/>
  <c r="AJ2200" i="9"/>
  <c r="A2201" i="9"/>
  <c r="F2201" i="9"/>
  <c r="X2201" i="9"/>
  <c r="AJ2201" i="9"/>
  <c r="A2202" i="9"/>
  <c r="F2202" i="9"/>
  <c r="X2202" i="9"/>
  <c r="AJ2202" i="9"/>
  <c r="A2203" i="9"/>
  <c r="AJ2203" i="9"/>
  <c r="A2204" i="9"/>
  <c r="AI2204" i="9"/>
  <c r="AI2205" i="9" s="1"/>
  <c r="AJ2204" i="9"/>
  <c r="A2205" i="9"/>
  <c r="F2205" i="9"/>
  <c r="AJ2205" i="9"/>
  <c r="A2206" i="9"/>
  <c r="AJ2206" i="9"/>
  <c r="A2207" i="9"/>
  <c r="AJ2207" i="9"/>
  <c r="A2208" i="9"/>
  <c r="AI2208" i="9"/>
  <c r="AJ2208" i="9"/>
  <c r="A2209" i="9"/>
  <c r="F2209" i="9"/>
  <c r="X2209" i="9"/>
  <c r="AI2209" i="9"/>
  <c r="AI2210" i="9" s="1"/>
  <c r="AJ2209" i="9"/>
  <c r="A2210" i="9"/>
  <c r="F2210" i="9"/>
  <c r="X2210" i="9"/>
  <c r="AJ2210" i="9"/>
  <c r="A2211" i="9"/>
  <c r="F2211" i="9"/>
  <c r="X2211" i="9"/>
  <c r="AJ2211" i="9"/>
  <c r="A2212" i="9"/>
  <c r="AJ2212" i="9"/>
  <c r="A2213" i="9"/>
  <c r="AJ2213" i="9"/>
  <c r="A2214" i="9"/>
  <c r="AJ2214" i="9"/>
  <c r="A2215" i="9"/>
  <c r="AJ2215" i="9"/>
  <c r="AI2216" i="9"/>
  <c r="AJ2216" i="9"/>
  <c r="N2466" i="8"/>
  <c r="M2466" i="8"/>
  <c r="L2466" i="8"/>
  <c r="K2466" i="8"/>
  <c r="J2466" i="8"/>
  <c r="I2466" i="8"/>
  <c r="S2445" i="8"/>
  <c r="Q2445" i="8"/>
  <c r="S2444" i="8"/>
  <c r="Q2444" i="8"/>
  <c r="S2443" i="8"/>
  <c r="Q2443" i="8"/>
  <c r="S2442" i="8"/>
  <c r="Q2442" i="8"/>
  <c r="S2441" i="8"/>
  <c r="Q2441" i="8"/>
  <c r="P2441" i="8"/>
  <c r="S2440" i="8"/>
  <c r="Q2440" i="8"/>
  <c r="P2440" i="8"/>
  <c r="S2439" i="8"/>
  <c r="Q2439" i="8"/>
  <c r="S2438" i="8"/>
  <c r="Q2438" i="8"/>
  <c r="S2437" i="8"/>
  <c r="Q2437" i="8"/>
  <c r="S2436" i="8"/>
  <c r="Q2436" i="8"/>
  <c r="P2436" i="8"/>
  <c r="P2437" i="8" s="1"/>
  <c r="S2435" i="8"/>
  <c r="Q2435" i="8"/>
  <c r="S2434" i="8"/>
  <c r="Q2434" i="8"/>
  <c r="S2433" i="8"/>
  <c r="Q2433" i="8"/>
  <c r="S2432" i="8"/>
  <c r="Q2432" i="8"/>
  <c r="S2431" i="8"/>
  <c r="Q2431" i="8"/>
  <c r="S2430" i="8"/>
  <c r="Q2430" i="8"/>
  <c r="S2429" i="8"/>
  <c r="Q2429" i="8"/>
  <c r="S2428" i="8"/>
  <c r="Q2428" i="8"/>
  <c r="S2427" i="8"/>
  <c r="Q2427" i="8"/>
  <c r="S2426" i="8"/>
  <c r="Q2426" i="8"/>
  <c r="S2425" i="8"/>
  <c r="Q2425" i="8"/>
  <c r="P2425" i="8"/>
  <c r="S2424" i="8"/>
  <c r="Q2424" i="8"/>
  <c r="P2424" i="8"/>
  <c r="S2423" i="8"/>
  <c r="Q2423" i="8"/>
  <c r="P2423" i="8"/>
  <c r="S2422" i="8"/>
  <c r="Q2422" i="8"/>
  <c r="S2421" i="8"/>
  <c r="Q2421" i="8"/>
  <c r="S2420" i="8"/>
  <c r="Q2420" i="8"/>
  <c r="S2419" i="8"/>
  <c r="Q2419" i="8"/>
  <c r="S2418" i="8"/>
  <c r="Q2418" i="8"/>
  <c r="S2417" i="8"/>
  <c r="Q2417" i="8"/>
  <c r="S2416" i="8"/>
  <c r="Q2416" i="8"/>
  <c r="S2415" i="8"/>
  <c r="Q2415" i="8"/>
  <c r="P2415" i="8"/>
  <c r="S2414" i="8"/>
  <c r="Q2414" i="8"/>
  <c r="S2413" i="8"/>
  <c r="Q2413" i="8"/>
  <c r="S2412" i="8"/>
  <c r="Q2412" i="8"/>
  <c r="S2411" i="8"/>
  <c r="Q2411" i="8"/>
  <c r="S2410" i="8"/>
  <c r="Q2410" i="8"/>
  <c r="S2409" i="8"/>
  <c r="Q2409" i="8"/>
  <c r="P2409" i="8"/>
  <c r="S2408" i="8"/>
  <c r="Q2408" i="8"/>
  <c r="P2408" i="8"/>
  <c r="S2407" i="8"/>
  <c r="Q2407" i="8"/>
  <c r="P2407" i="8"/>
  <c r="S2406" i="8"/>
  <c r="Q2406" i="8"/>
  <c r="P2406" i="8"/>
  <c r="S2405" i="8"/>
  <c r="Q2405" i="8"/>
  <c r="S2404" i="8"/>
  <c r="Q2404" i="8"/>
  <c r="S2403" i="8"/>
  <c r="Q2403" i="8"/>
  <c r="S2402" i="8"/>
  <c r="Q2402" i="8"/>
  <c r="S2401" i="8"/>
  <c r="Q2401" i="8"/>
  <c r="S2400" i="8"/>
  <c r="Q2400" i="8"/>
  <c r="P2400" i="8"/>
  <c r="S2399" i="8"/>
  <c r="Q2399" i="8"/>
  <c r="P2399" i="8"/>
  <c r="S2398" i="8"/>
  <c r="Q2398" i="8"/>
  <c r="S2397" i="8"/>
  <c r="Q2397" i="8"/>
  <c r="S2396" i="8"/>
  <c r="Q2396" i="8"/>
  <c r="P2396" i="8"/>
  <c r="S2395" i="8"/>
  <c r="Q2395" i="8"/>
  <c r="S2394" i="8"/>
  <c r="Q2394" i="8"/>
  <c r="S2393" i="8"/>
  <c r="Q2393" i="8"/>
  <c r="S2392" i="8"/>
  <c r="Q2392" i="8"/>
  <c r="S2391" i="8"/>
  <c r="Q2391" i="8"/>
  <c r="S2390" i="8"/>
  <c r="Q2390" i="8"/>
  <c r="S2389" i="8"/>
  <c r="Q2389" i="8"/>
  <c r="S2388" i="8"/>
  <c r="Q2388" i="8"/>
  <c r="S2387" i="8"/>
  <c r="Q2387" i="8"/>
  <c r="S2386" i="8"/>
  <c r="Q2386" i="8"/>
  <c r="S2385" i="8"/>
  <c r="Q2385" i="8"/>
  <c r="S2384" i="8"/>
  <c r="Q2384" i="8"/>
  <c r="P2384" i="8"/>
  <c r="S2383" i="8"/>
  <c r="Q2383" i="8"/>
  <c r="S2382" i="8"/>
  <c r="Q2382" i="8"/>
  <c r="S2381" i="8"/>
  <c r="Q2381" i="8"/>
  <c r="S2380" i="8"/>
  <c r="Q2380" i="8"/>
  <c r="P2380" i="8"/>
  <c r="S2379" i="8"/>
  <c r="Q2379" i="8"/>
  <c r="S2378" i="8"/>
  <c r="Q2378" i="8"/>
  <c r="S2377" i="8"/>
  <c r="Q2377" i="8"/>
  <c r="S2376" i="8"/>
  <c r="Q2376" i="8"/>
  <c r="S2375" i="8"/>
  <c r="Q2375" i="8"/>
  <c r="S2374" i="8"/>
  <c r="Q2374" i="8"/>
  <c r="S2373" i="8"/>
  <c r="Q2373" i="8"/>
  <c r="S2372" i="8"/>
  <c r="Q2372" i="8"/>
  <c r="S2371" i="8"/>
  <c r="Q2371" i="8"/>
  <c r="P2371" i="8"/>
  <c r="P2372" i="8" s="1"/>
  <c r="S2370" i="8"/>
  <c r="Q2370" i="8"/>
  <c r="S2369" i="8"/>
  <c r="Q2369" i="8"/>
  <c r="S2368" i="8"/>
  <c r="Q2368" i="8"/>
  <c r="S2367" i="8"/>
  <c r="Q2367" i="8"/>
  <c r="S2366" i="8"/>
  <c r="Q2366" i="8"/>
  <c r="S2365" i="8"/>
  <c r="Q2365" i="8"/>
  <c r="S2364" i="8"/>
  <c r="Q2364" i="8"/>
  <c r="P2364" i="8"/>
  <c r="S2363" i="8"/>
  <c r="Q2363" i="8"/>
  <c r="S2362" i="8"/>
  <c r="Q2362" i="8"/>
  <c r="S2361" i="8"/>
  <c r="Q2361" i="8"/>
  <c r="P2361" i="8"/>
  <c r="S2360" i="8"/>
  <c r="Q2360" i="8"/>
  <c r="P2360" i="8"/>
  <c r="S2359" i="8"/>
  <c r="Q2359" i="8"/>
  <c r="S2358" i="8"/>
  <c r="Q2358" i="8"/>
  <c r="S2357" i="8"/>
  <c r="Q2357" i="8"/>
  <c r="S2356" i="8"/>
  <c r="Q2356" i="8"/>
  <c r="P2356" i="8"/>
  <c r="P2357" i="8" s="1"/>
  <c r="S2355" i="8"/>
  <c r="Q2355" i="8"/>
  <c r="S2354" i="8"/>
  <c r="Q2354" i="8"/>
  <c r="S2353" i="8"/>
  <c r="Q2353" i="8"/>
  <c r="S2352" i="8"/>
  <c r="Q2352" i="8"/>
  <c r="S2351" i="8"/>
  <c r="Q2351" i="8"/>
  <c r="S2350" i="8"/>
  <c r="Q2350" i="8"/>
  <c r="S2349" i="8"/>
  <c r="Q2349" i="8"/>
  <c r="S2348" i="8"/>
  <c r="Q2348" i="8"/>
  <c r="S2347" i="8"/>
  <c r="Q2347" i="8"/>
  <c r="S2346" i="8"/>
  <c r="Q2346" i="8"/>
  <c r="S2345" i="8"/>
  <c r="Q2345" i="8"/>
  <c r="P2345" i="8"/>
  <c r="S2344" i="8"/>
  <c r="Q2344" i="8"/>
  <c r="P2344" i="8"/>
  <c r="S2343" i="8"/>
  <c r="Q2343" i="8"/>
  <c r="P2343" i="8"/>
  <c r="S2342" i="8"/>
  <c r="Q2342" i="8"/>
  <c r="P2342" i="8"/>
  <c r="S2341" i="8"/>
  <c r="Q2341" i="8"/>
  <c r="S2340" i="8"/>
  <c r="Q2340" i="8"/>
  <c r="S2339" i="8"/>
  <c r="Q2339" i="8"/>
  <c r="P2339" i="8"/>
  <c r="P2340" i="8" s="1"/>
  <c r="S2338" i="8"/>
  <c r="Q2338" i="8"/>
  <c r="P2338" i="8"/>
  <c r="S2337" i="8"/>
  <c r="Q2337" i="8"/>
  <c r="P2337" i="8"/>
  <c r="S2336" i="8"/>
  <c r="Q2336" i="8"/>
  <c r="S2335" i="8"/>
  <c r="Q2335" i="8"/>
  <c r="S2334" i="8"/>
  <c r="Q2334" i="8"/>
  <c r="S2333" i="8"/>
  <c r="Q2333" i="8"/>
  <c r="S2332" i="8"/>
  <c r="Q2332" i="8"/>
  <c r="P2332" i="8"/>
  <c r="S2331" i="8"/>
  <c r="Q2331" i="8"/>
  <c r="S2330" i="8"/>
  <c r="Q2330" i="8"/>
  <c r="S2329" i="8"/>
  <c r="Q2329" i="8"/>
  <c r="P2329" i="8"/>
  <c r="S2328" i="8"/>
  <c r="Q2328" i="8"/>
  <c r="P2328" i="8"/>
  <c r="S2327" i="8"/>
  <c r="Q2327" i="8"/>
  <c r="S2326" i="8"/>
  <c r="Q2326" i="8"/>
  <c r="S2325" i="8"/>
  <c r="Q2325" i="8"/>
  <c r="S2324" i="8"/>
  <c r="Q2324" i="8"/>
  <c r="P2324" i="8"/>
  <c r="P2325" i="8" s="1"/>
  <c r="S2323" i="8"/>
  <c r="Q2323" i="8"/>
  <c r="S2322" i="8"/>
  <c r="Q2322" i="8"/>
  <c r="S2321" i="8"/>
  <c r="Q2321" i="8"/>
  <c r="S2320" i="8"/>
  <c r="Q2320" i="8"/>
  <c r="P2320" i="8"/>
  <c r="S2319" i="8"/>
  <c r="Q2319" i="8"/>
  <c r="S2318" i="8"/>
  <c r="Q2318" i="8"/>
  <c r="S2317" i="8"/>
  <c r="Q2317" i="8"/>
  <c r="S2316" i="8"/>
  <c r="Q2316" i="8"/>
  <c r="P2316" i="8"/>
  <c r="S2315" i="8"/>
  <c r="Q2315" i="8"/>
  <c r="S2314" i="8"/>
  <c r="Q2314" i="8"/>
  <c r="S2313" i="8"/>
  <c r="Q2313" i="8"/>
  <c r="P2313" i="8"/>
  <c r="S2312" i="8"/>
  <c r="Q2312" i="8"/>
  <c r="P2312" i="8"/>
  <c r="S2311" i="8"/>
  <c r="Q2311" i="8"/>
  <c r="S2310" i="8"/>
  <c r="Q2310" i="8"/>
  <c r="S2309" i="8"/>
  <c r="Q2309" i="8"/>
  <c r="S2308" i="8"/>
  <c r="Q2308" i="8"/>
  <c r="S2307" i="8"/>
  <c r="Q2307" i="8"/>
  <c r="S2306" i="8"/>
  <c r="Q2306" i="8"/>
  <c r="P2306" i="8"/>
  <c r="S2305" i="8"/>
  <c r="Q2305" i="8"/>
  <c r="S2304" i="8"/>
  <c r="Q2304" i="8"/>
  <c r="S2303" i="8"/>
  <c r="Q2303" i="8"/>
  <c r="P2303" i="8"/>
  <c r="S2302" i="8"/>
  <c r="Q2302" i="8"/>
  <c r="P2302" i="8"/>
  <c r="S2301" i="8"/>
  <c r="Q2301" i="8"/>
  <c r="S2300" i="8"/>
  <c r="Q2300" i="8"/>
  <c r="P2300" i="8"/>
  <c r="S2299" i="8"/>
  <c r="Q2299" i="8"/>
  <c r="P2299" i="8"/>
  <c r="S2298" i="8"/>
  <c r="Q2298" i="8"/>
  <c r="P2298" i="8"/>
  <c r="S2297" i="8"/>
  <c r="Q2297" i="8"/>
  <c r="P2297" i="8"/>
  <c r="S2296" i="8"/>
  <c r="Q2296" i="8"/>
  <c r="P2296" i="8"/>
  <c r="S2295" i="8"/>
  <c r="Q2295" i="8"/>
  <c r="P2295" i="8"/>
  <c r="S2294" i="8"/>
  <c r="Q2294" i="8"/>
  <c r="P2294" i="8"/>
  <c r="S2293" i="8"/>
  <c r="Q2293" i="8"/>
  <c r="S2292" i="8"/>
  <c r="Q2292" i="8"/>
  <c r="S2291" i="8"/>
  <c r="Q2291" i="8"/>
  <c r="S2290" i="8"/>
  <c r="Q2290" i="8"/>
  <c r="P2290" i="8"/>
  <c r="S2289" i="8"/>
  <c r="Q2289" i="8"/>
  <c r="S2288" i="8"/>
  <c r="Q2288" i="8"/>
  <c r="S2287" i="8"/>
  <c r="Q2287" i="8"/>
  <c r="P2287" i="8"/>
  <c r="S2286" i="8"/>
  <c r="Q2286" i="8"/>
  <c r="P2286" i="8"/>
  <c r="S2285" i="8"/>
  <c r="Q2285" i="8"/>
  <c r="S2284" i="8"/>
  <c r="Q2284" i="8"/>
  <c r="P2284" i="8"/>
  <c r="S2283" i="8"/>
  <c r="Q2283" i="8"/>
  <c r="P2283" i="8"/>
  <c r="S2282" i="8"/>
  <c r="Q2282" i="8"/>
  <c r="P2282" i="8"/>
  <c r="S2281" i="8"/>
  <c r="Q2281" i="8"/>
  <c r="P2281" i="8"/>
  <c r="S2280" i="8"/>
  <c r="Q2280" i="8"/>
  <c r="P2280" i="8"/>
  <c r="S2279" i="8"/>
  <c r="Q2279" i="8"/>
  <c r="P2279" i="8"/>
  <c r="S2278" i="8"/>
  <c r="Q2278" i="8"/>
  <c r="P2278" i="8"/>
  <c r="S2277" i="8"/>
  <c r="Q2277" i="8"/>
  <c r="S2276" i="8"/>
  <c r="Q2276" i="8"/>
  <c r="S2275" i="8"/>
  <c r="Q2275" i="8"/>
  <c r="P2275" i="8"/>
  <c r="S2274" i="8"/>
  <c r="Q2274" i="8"/>
  <c r="P2274" i="8"/>
  <c r="S2273" i="8"/>
  <c r="Q2273" i="8"/>
  <c r="S2272" i="8"/>
  <c r="Q2272" i="8"/>
  <c r="S2271" i="8"/>
  <c r="Q2271" i="8"/>
  <c r="P2271" i="8"/>
  <c r="S2270" i="8"/>
  <c r="Q2270" i="8"/>
  <c r="P2270" i="8"/>
  <c r="S2269" i="8"/>
  <c r="Q2269" i="8"/>
  <c r="S2268" i="8"/>
  <c r="Q2268" i="8"/>
  <c r="S2267" i="8"/>
  <c r="Q2267" i="8"/>
  <c r="P2267" i="8"/>
  <c r="S2266" i="8"/>
  <c r="Q2266" i="8"/>
  <c r="P2266" i="8"/>
  <c r="S2265" i="8"/>
  <c r="Q2265" i="8"/>
  <c r="P2265" i="8"/>
  <c r="S2264" i="8"/>
  <c r="Q2264" i="8"/>
  <c r="S2263" i="8"/>
  <c r="Q2263" i="8"/>
  <c r="S2262" i="8"/>
  <c r="Q2262" i="8"/>
  <c r="S2261" i="8"/>
  <c r="Q2261" i="8"/>
  <c r="P2261" i="8"/>
  <c r="S2260" i="8"/>
  <c r="Q2260" i="8"/>
  <c r="S2259" i="8"/>
  <c r="Q2259" i="8"/>
  <c r="P2259" i="8"/>
  <c r="S2258" i="8"/>
  <c r="Q2258" i="8"/>
  <c r="P2258" i="8"/>
  <c r="S2257" i="8"/>
  <c r="Q2257" i="8"/>
  <c r="S2256" i="8"/>
  <c r="Q2256" i="8"/>
  <c r="S2255" i="8"/>
  <c r="Q2255" i="8"/>
  <c r="S2254" i="8"/>
  <c r="Q2254" i="8"/>
  <c r="S2253" i="8"/>
  <c r="Q2253" i="8"/>
  <c r="S2252" i="8"/>
  <c r="Q2252" i="8"/>
  <c r="S2251" i="8"/>
  <c r="Q2251" i="8"/>
  <c r="P2251" i="8"/>
  <c r="S2250" i="8"/>
  <c r="Q2250" i="8"/>
  <c r="S2249" i="8"/>
  <c r="Q2249" i="8"/>
  <c r="P2249" i="8"/>
  <c r="S2248" i="8"/>
  <c r="Q2248" i="8"/>
  <c r="S2247" i="8"/>
  <c r="Q2247" i="8"/>
  <c r="S2246" i="8"/>
  <c r="Q2246" i="8"/>
  <c r="S2245" i="8"/>
  <c r="Q2245" i="8"/>
  <c r="P2245" i="8"/>
  <c r="S2244" i="8"/>
  <c r="Q2244" i="8"/>
  <c r="P2244" i="8"/>
  <c r="S2243" i="8"/>
  <c r="Q2243" i="8"/>
  <c r="S2242" i="8"/>
  <c r="Q2242" i="8"/>
  <c r="S2241" i="8"/>
  <c r="Q2241" i="8"/>
  <c r="S2240" i="8"/>
  <c r="Q2240" i="8"/>
  <c r="S2239" i="8"/>
  <c r="Q2239" i="8"/>
  <c r="S2238" i="8"/>
  <c r="Q2238" i="8"/>
  <c r="S2237" i="8"/>
  <c r="Q2237" i="8"/>
  <c r="P2237" i="8"/>
  <c r="S2236" i="8"/>
  <c r="Q2236" i="8"/>
  <c r="P2236" i="8"/>
  <c r="S2235" i="8"/>
  <c r="Q2235" i="8"/>
  <c r="S2234" i="8"/>
  <c r="Q2234" i="8"/>
  <c r="S2233" i="8"/>
  <c r="Q2233" i="8"/>
  <c r="S2232" i="8"/>
  <c r="Q2232" i="8"/>
  <c r="S2231" i="8"/>
  <c r="Q2231" i="8"/>
  <c r="S2230" i="8"/>
  <c r="Q2230" i="8"/>
  <c r="S2229" i="8"/>
  <c r="Q2229" i="8"/>
  <c r="P2229" i="8"/>
  <c r="S2228" i="8"/>
  <c r="Q2228" i="8"/>
  <c r="P2228" i="8"/>
  <c r="S2227" i="8"/>
  <c r="Q2227" i="8"/>
  <c r="S2226" i="8"/>
  <c r="Q2226" i="8"/>
  <c r="S2225" i="8"/>
  <c r="Q2225" i="8"/>
  <c r="S2224" i="8"/>
  <c r="Q2224" i="8"/>
  <c r="S2223" i="8"/>
  <c r="Q2223" i="8"/>
  <c r="S2222" i="8"/>
  <c r="Q2222" i="8"/>
  <c r="S2221" i="8"/>
  <c r="Q2221" i="8"/>
  <c r="P2221" i="8"/>
  <c r="S2220" i="8"/>
  <c r="Q2220" i="8"/>
  <c r="S2219" i="8"/>
  <c r="Q2219" i="8"/>
  <c r="S2218" i="8"/>
  <c r="Q2218" i="8"/>
  <c r="S2217" i="8"/>
  <c r="Q2217" i="8"/>
  <c r="S2216" i="8"/>
  <c r="Q2216" i="8"/>
  <c r="S2215" i="8"/>
  <c r="Q2215" i="8"/>
  <c r="S2214" i="8"/>
  <c r="Q2214" i="8"/>
  <c r="S2213" i="8"/>
  <c r="Q2213" i="8"/>
  <c r="P2213" i="8"/>
  <c r="S2212" i="8"/>
  <c r="Q2212" i="8"/>
  <c r="P2212" i="8"/>
  <c r="S2211" i="8"/>
  <c r="Q2211" i="8"/>
  <c r="S2210" i="8"/>
  <c r="Q2210" i="8"/>
  <c r="S2209" i="8"/>
  <c r="Q2209" i="8"/>
  <c r="S2208" i="8"/>
  <c r="Q2208" i="8"/>
  <c r="P2208" i="8"/>
  <c r="S2207" i="8"/>
  <c r="Q2207" i="8"/>
  <c r="S2206" i="8"/>
  <c r="Q2206" i="8"/>
  <c r="P2206" i="8"/>
  <c r="S2205" i="8"/>
  <c r="Q2205" i="8"/>
  <c r="S2204" i="8"/>
  <c r="Q2204" i="8"/>
  <c r="S2203" i="8"/>
  <c r="Q2203" i="8"/>
  <c r="S2202" i="8"/>
  <c r="Q2202" i="8"/>
  <c r="S2201" i="8"/>
  <c r="Q2201" i="8"/>
  <c r="S2200" i="8"/>
  <c r="Q2200" i="8"/>
  <c r="S2199" i="8"/>
  <c r="Q2199" i="8"/>
  <c r="S2198" i="8"/>
  <c r="Q2198" i="8"/>
  <c r="P2198" i="8"/>
  <c r="S2197" i="8"/>
  <c r="Q2197" i="8"/>
  <c r="P2197" i="8"/>
  <c r="S2196" i="8"/>
  <c r="Q2196" i="8"/>
  <c r="P2196" i="8"/>
  <c r="S2195" i="8"/>
  <c r="Q2195" i="8"/>
  <c r="S2194" i="8"/>
  <c r="Q2194" i="8"/>
  <c r="S2193" i="8"/>
  <c r="Q2193" i="8"/>
  <c r="S2192" i="8"/>
  <c r="Q2192" i="8"/>
  <c r="S2191" i="8"/>
  <c r="Q2191" i="8"/>
  <c r="S2190" i="8"/>
  <c r="Q2190" i="8"/>
  <c r="S2189" i="8"/>
  <c r="Q2189" i="8"/>
  <c r="S2188" i="8"/>
  <c r="Q2188" i="8"/>
  <c r="S2187" i="8"/>
  <c r="Q2187" i="8"/>
  <c r="S2186" i="8"/>
  <c r="Q2186" i="8"/>
  <c r="S2185" i="8"/>
  <c r="Q2185" i="8"/>
  <c r="S2184" i="8"/>
  <c r="Q2184" i="8"/>
  <c r="P2184" i="8"/>
  <c r="S2183" i="8"/>
  <c r="Q2183" i="8"/>
  <c r="P2183" i="8"/>
  <c r="S2182" i="8"/>
  <c r="Q2182" i="8"/>
  <c r="S2181" i="8"/>
  <c r="Q2181" i="8"/>
  <c r="S2180" i="8"/>
  <c r="Q2180" i="8"/>
  <c r="S2179" i="8"/>
  <c r="Q2179" i="8"/>
  <c r="S2178" i="8"/>
  <c r="Q2178" i="8"/>
  <c r="S2177" i="8"/>
  <c r="Q2177" i="8"/>
  <c r="S2176" i="8"/>
  <c r="Q2176" i="8"/>
  <c r="S2175" i="8"/>
  <c r="Q2175" i="8"/>
  <c r="S2174" i="8"/>
  <c r="Q2174" i="8"/>
  <c r="S2173" i="8"/>
  <c r="Q2173" i="8"/>
  <c r="S2172" i="8"/>
  <c r="Q2172" i="8"/>
  <c r="S2171" i="8"/>
  <c r="Q2171" i="8"/>
  <c r="S2170" i="8"/>
  <c r="Q2170" i="8"/>
  <c r="S2169" i="8"/>
  <c r="Q2169" i="8"/>
  <c r="S2168" i="8"/>
  <c r="Q2168" i="8"/>
  <c r="S2167" i="8"/>
  <c r="Q2167" i="8"/>
  <c r="S2166" i="8"/>
  <c r="Q2166" i="8"/>
  <c r="P2166" i="8"/>
  <c r="S2165" i="8"/>
  <c r="Q2165" i="8"/>
  <c r="P2165" i="8"/>
  <c r="S2164" i="8"/>
  <c r="Q2164" i="8"/>
  <c r="S2163" i="8"/>
  <c r="Q2163" i="8"/>
  <c r="S2162" i="8"/>
  <c r="Q2162" i="8"/>
  <c r="S2161" i="8"/>
  <c r="Q2161" i="8"/>
  <c r="S2160" i="8"/>
  <c r="Q2160" i="8"/>
  <c r="S2159" i="8"/>
  <c r="Q2159" i="8"/>
  <c r="P2159" i="8"/>
  <c r="S2158" i="8"/>
  <c r="Q2158" i="8"/>
  <c r="S2157" i="8"/>
  <c r="Q2157" i="8"/>
  <c r="S2156" i="8"/>
  <c r="Q2156" i="8"/>
  <c r="S2155" i="8"/>
  <c r="Q2155" i="8"/>
  <c r="S2154" i="8"/>
  <c r="Q2154" i="8"/>
  <c r="S2153" i="8"/>
  <c r="Q2153" i="8"/>
  <c r="S2152" i="8"/>
  <c r="Q2152" i="8"/>
  <c r="S2151" i="8"/>
  <c r="Q2151" i="8"/>
  <c r="S2150" i="8"/>
  <c r="Q2150" i="8"/>
  <c r="S2149" i="8"/>
  <c r="Q2149" i="8"/>
  <c r="S2148" i="8"/>
  <c r="Q2148" i="8"/>
  <c r="S2147" i="8"/>
  <c r="Q2147" i="8"/>
  <c r="S2146" i="8"/>
  <c r="Q2146" i="8"/>
  <c r="S2145" i="8"/>
  <c r="Q2145" i="8"/>
  <c r="S2144" i="8"/>
  <c r="Q2144" i="8"/>
  <c r="S2143" i="8"/>
  <c r="Q2143" i="8"/>
  <c r="P2143" i="8"/>
  <c r="S2142" i="8"/>
  <c r="Q2142" i="8"/>
  <c r="P2142" i="8"/>
  <c r="S2141" i="8"/>
  <c r="Q2141" i="8"/>
  <c r="S2140" i="8"/>
  <c r="Q2140" i="8"/>
  <c r="S2139" i="8"/>
  <c r="Q2139" i="8"/>
  <c r="S2138" i="8"/>
  <c r="Q2138" i="8"/>
  <c r="S2137" i="8"/>
  <c r="Q2137" i="8"/>
  <c r="S2136" i="8"/>
  <c r="Q2136" i="8"/>
  <c r="S2135" i="8"/>
  <c r="Q2135" i="8"/>
  <c r="P2135" i="8"/>
  <c r="S2134" i="8"/>
  <c r="Q2134" i="8"/>
  <c r="S2133" i="8"/>
  <c r="Q2133" i="8"/>
  <c r="S2132" i="8"/>
  <c r="Q2132" i="8"/>
  <c r="S2131" i="8"/>
  <c r="Q2131" i="8"/>
  <c r="P2131" i="8"/>
  <c r="S2130" i="8"/>
  <c r="Q2130" i="8"/>
  <c r="S2129" i="8"/>
  <c r="Q2129" i="8"/>
  <c r="P2129" i="8"/>
  <c r="S2128" i="8"/>
  <c r="Q2128" i="8"/>
  <c r="S2127" i="8"/>
  <c r="Q2127" i="8"/>
  <c r="S2126" i="8"/>
  <c r="Q2126" i="8"/>
  <c r="S2125" i="8"/>
  <c r="Q2125" i="8"/>
  <c r="S2124" i="8"/>
  <c r="Q2124" i="8"/>
  <c r="S2123" i="8"/>
  <c r="Q2123" i="8"/>
  <c r="P2123" i="8"/>
  <c r="S2122" i="8"/>
  <c r="Q2122" i="8"/>
  <c r="S2121" i="8"/>
  <c r="Q2121" i="8"/>
  <c r="P2121" i="8"/>
  <c r="S2120" i="8"/>
  <c r="Q2120" i="8"/>
  <c r="P2120" i="8"/>
  <c r="S2119" i="8"/>
  <c r="Q2119" i="8"/>
  <c r="P2119" i="8"/>
  <c r="S2118" i="8"/>
  <c r="Q2118" i="8"/>
  <c r="P2118" i="8"/>
  <c r="S2117" i="8"/>
  <c r="Q2117" i="8"/>
  <c r="P2117" i="8"/>
  <c r="S2116" i="8"/>
  <c r="Q2116" i="8"/>
  <c r="S2115" i="8"/>
  <c r="Q2115" i="8"/>
  <c r="S2114" i="8"/>
  <c r="Q2114" i="8"/>
  <c r="S2113" i="8"/>
  <c r="Q2113" i="8"/>
  <c r="S2112" i="8"/>
  <c r="Q2112" i="8"/>
  <c r="P2112" i="8"/>
  <c r="S2111" i="8"/>
  <c r="Q2111" i="8"/>
  <c r="S2110" i="8"/>
  <c r="Q2110" i="8"/>
  <c r="S2109" i="8"/>
  <c r="Q2109" i="8"/>
  <c r="P2109" i="8"/>
  <c r="S2108" i="8"/>
  <c r="Q2108" i="8"/>
  <c r="P2108" i="8"/>
  <c r="S2107" i="8"/>
  <c r="Q2107" i="8"/>
  <c r="P2107" i="8"/>
  <c r="S2106" i="8"/>
  <c r="Q2106" i="8"/>
  <c r="P2106" i="8"/>
  <c r="S2105" i="8"/>
  <c r="Q2105" i="8"/>
  <c r="P2105" i="8"/>
  <c r="S2104" i="8"/>
  <c r="Q2104" i="8"/>
  <c r="P2104" i="8"/>
  <c r="S2103" i="8"/>
  <c r="Q2103" i="8"/>
  <c r="S2102" i="8"/>
  <c r="Q2102" i="8"/>
  <c r="P2102" i="8"/>
  <c r="S2101" i="8"/>
  <c r="Q2101" i="8"/>
  <c r="S2100" i="8"/>
  <c r="Q2100" i="8"/>
  <c r="S2099" i="8"/>
  <c r="Q2099" i="8"/>
  <c r="P2099" i="8"/>
  <c r="S2098" i="8"/>
  <c r="Q2098" i="8"/>
  <c r="P2098" i="8"/>
  <c r="S2097" i="8"/>
  <c r="Q2097" i="8"/>
  <c r="S2096" i="8"/>
  <c r="Q2096" i="8"/>
  <c r="P2096" i="8"/>
  <c r="S2095" i="8"/>
  <c r="Q2095" i="8"/>
  <c r="S2094" i="8"/>
  <c r="Q2094" i="8"/>
  <c r="S2093" i="8"/>
  <c r="Q2093" i="8"/>
  <c r="S2092" i="8"/>
  <c r="Q2092" i="8"/>
  <c r="S2091" i="8"/>
  <c r="Q2091" i="8"/>
  <c r="P2091" i="8"/>
  <c r="S2090" i="8"/>
  <c r="Q2090" i="8"/>
  <c r="S2089" i="8"/>
  <c r="Q2089" i="8"/>
  <c r="S2088" i="8"/>
  <c r="Q2088" i="8"/>
  <c r="S2087" i="8"/>
  <c r="Q2087" i="8"/>
  <c r="S2086" i="8"/>
  <c r="Q2086" i="8"/>
  <c r="S2085" i="8"/>
  <c r="Q2085" i="8"/>
  <c r="S2084" i="8"/>
  <c r="Q2084" i="8"/>
  <c r="S2083" i="8"/>
  <c r="Q2083" i="8"/>
  <c r="P2083" i="8"/>
  <c r="S2082" i="8"/>
  <c r="Q2082" i="8"/>
  <c r="S2081" i="8"/>
  <c r="Q2081" i="8"/>
  <c r="S2080" i="8"/>
  <c r="Q2080" i="8"/>
  <c r="S2079" i="8"/>
  <c r="Q2079" i="8"/>
  <c r="S2078" i="8"/>
  <c r="Q2078" i="8"/>
  <c r="P2078" i="8"/>
  <c r="S2077" i="8"/>
  <c r="Q2077" i="8"/>
  <c r="P2077" i="8"/>
  <c r="S2076" i="8"/>
  <c r="Q2076" i="8"/>
  <c r="P2076" i="8"/>
  <c r="S2075" i="8"/>
  <c r="Q2075" i="8"/>
  <c r="P2075" i="8"/>
  <c r="S2074" i="8"/>
  <c r="Q2074" i="8"/>
  <c r="P2074" i="8"/>
  <c r="S2073" i="8"/>
  <c r="Q2073" i="8"/>
  <c r="P2073" i="8"/>
  <c r="S2072" i="8"/>
  <c r="Q2072" i="8"/>
  <c r="P2072" i="8"/>
  <c r="S2071" i="8"/>
  <c r="Q2071" i="8"/>
  <c r="P2071" i="8"/>
  <c r="S2070" i="8"/>
  <c r="Q2070" i="8"/>
  <c r="P2070" i="8"/>
  <c r="S2069" i="8"/>
  <c r="Q2069" i="8"/>
  <c r="P2069" i="8"/>
  <c r="S2068" i="8"/>
  <c r="Q2068" i="8"/>
  <c r="P2068" i="8"/>
  <c r="S2067" i="8"/>
  <c r="Q2067" i="8"/>
  <c r="P2067" i="8"/>
  <c r="S2066" i="8"/>
  <c r="Q2066" i="8"/>
  <c r="P2066" i="8"/>
  <c r="S2065" i="8"/>
  <c r="Q2065" i="8"/>
  <c r="P2065" i="8"/>
  <c r="S2064" i="8"/>
  <c r="Q2064" i="8"/>
  <c r="P2064" i="8"/>
  <c r="S2063" i="8"/>
  <c r="Q2063" i="8"/>
  <c r="P2063" i="8"/>
  <c r="S2062" i="8"/>
  <c r="Q2062" i="8"/>
  <c r="P2062" i="8"/>
  <c r="S2061" i="8"/>
  <c r="Q2061" i="8"/>
  <c r="P2061" i="8"/>
  <c r="S2060" i="8"/>
  <c r="Q2060" i="8"/>
  <c r="P2060" i="8"/>
  <c r="S2059" i="8"/>
  <c r="Q2059" i="8"/>
  <c r="P2059" i="8"/>
  <c r="S2058" i="8"/>
  <c r="Q2058" i="8"/>
  <c r="P2058" i="8"/>
  <c r="S2057" i="8"/>
  <c r="Q2057" i="8"/>
  <c r="S2056" i="8"/>
  <c r="Q2056" i="8"/>
  <c r="S2055" i="8"/>
  <c r="Q2055" i="8"/>
  <c r="S2054" i="8"/>
  <c r="Q2054" i="8"/>
  <c r="S2053" i="8"/>
  <c r="Q2053" i="8"/>
  <c r="P2053" i="8"/>
  <c r="S2052" i="8"/>
  <c r="Q2052" i="8"/>
  <c r="P2052" i="8"/>
  <c r="S2051" i="8"/>
  <c r="Q2051" i="8"/>
  <c r="P2051" i="8"/>
  <c r="S2050" i="8"/>
  <c r="Q2050" i="8"/>
  <c r="P2050" i="8"/>
  <c r="S2049" i="8"/>
  <c r="Q2049" i="8"/>
  <c r="P2049" i="8"/>
  <c r="S2048" i="8"/>
  <c r="Q2048" i="8"/>
  <c r="S2047" i="8"/>
  <c r="Q2047" i="8"/>
  <c r="S2046" i="8"/>
  <c r="Q2046" i="8"/>
  <c r="S2045" i="8"/>
  <c r="Q2045" i="8"/>
  <c r="S2044" i="8"/>
  <c r="Q2044" i="8"/>
  <c r="S2043" i="8"/>
  <c r="Q2043" i="8"/>
  <c r="S2042" i="8"/>
  <c r="Q2042" i="8"/>
  <c r="S2041" i="8"/>
  <c r="Q2041" i="8"/>
  <c r="S2040" i="8"/>
  <c r="Q2040" i="8"/>
  <c r="P2040" i="8"/>
  <c r="S2039" i="8"/>
  <c r="Q2039" i="8"/>
  <c r="S2038" i="8"/>
  <c r="Q2038" i="8"/>
  <c r="S2037" i="8"/>
  <c r="Q2037" i="8"/>
  <c r="S2036" i="8"/>
  <c r="Q2036" i="8"/>
  <c r="S2035" i="8"/>
  <c r="Q2035" i="8"/>
  <c r="S2034" i="8"/>
  <c r="Q2034" i="8"/>
  <c r="S2033" i="8"/>
  <c r="Q2033" i="8"/>
  <c r="S2032" i="8"/>
  <c r="Q2032" i="8"/>
  <c r="S2031" i="8"/>
  <c r="Q2031" i="8"/>
  <c r="S2030" i="8"/>
  <c r="Q2030" i="8"/>
  <c r="P2030" i="8"/>
  <c r="S2029" i="8"/>
  <c r="Q2029" i="8"/>
  <c r="P2029" i="8"/>
  <c r="S2028" i="8"/>
  <c r="Q2028" i="8"/>
  <c r="P2028" i="8"/>
  <c r="S2027" i="8"/>
  <c r="Q2027" i="8"/>
  <c r="S2026" i="8"/>
  <c r="Q2026" i="8"/>
  <c r="S2025" i="8"/>
  <c r="Q2025" i="8"/>
  <c r="S2024" i="8"/>
  <c r="Q2024" i="8"/>
  <c r="S2023" i="8"/>
  <c r="Q2023" i="8"/>
  <c r="P2023" i="8"/>
  <c r="P2024" i="8" s="1"/>
  <c r="P2025" i="8" s="1"/>
  <c r="S2022" i="8"/>
  <c r="Q2022" i="8"/>
  <c r="P2022" i="8"/>
  <c r="S2021" i="8"/>
  <c r="Q2021" i="8"/>
  <c r="P2021" i="8"/>
  <c r="S2020" i="8"/>
  <c r="Q2020" i="8"/>
  <c r="P2020" i="8"/>
  <c r="S2019" i="8"/>
  <c r="Q2019" i="8"/>
  <c r="S2018" i="8"/>
  <c r="Q2018" i="8"/>
  <c r="S2017" i="8"/>
  <c r="Q2017" i="8"/>
  <c r="S2016" i="8"/>
  <c r="Q2016" i="8"/>
  <c r="S2015" i="8"/>
  <c r="Q2015" i="8"/>
  <c r="P2015" i="8"/>
  <c r="P2016" i="8" s="1"/>
  <c r="P2017" i="8" s="1"/>
  <c r="S2014" i="8"/>
  <c r="Q2014" i="8"/>
  <c r="S2013" i="8"/>
  <c r="Q2013" i="8"/>
  <c r="S2012" i="8"/>
  <c r="Q2012" i="8"/>
  <c r="S2011" i="8"/>
  <c r="Q2011" i="8"/>
  <c r="P2011" i="8"/>
  <c r="P2012" i="8" s="1"/>
  <c r="P2013" i="8" s="1"/>
  <c r="S2010" i="8"/>
  <c r="Q2010" i="8"/>
  <c r="P2010" i="8"/>
  <c r="S2009" i="8"/>
  <c r="Q2009" i="8"/>
  <c r="S2008" i="8"/>
  <c r="Q2008" i="8"/>
  <c r="S2007" i="8"/>
  <c r="Q2007" i="8"/>
  <c r="S2006" i="8"/>
  <c r="Q2006" i="8"/>
  <c r="S2005" i="8"/>
  <c r="Q2005" i="8"/>
  <c r="S2004" i="8"/>
  <c r="Q2004" i="8"/>
  <c r="S2003" i="8"/>
  <c r="Q2003" i="8"/>
  <c r="S2002" i="8"/>
  <c r="Q2002" i="8"/>
  <c r="S2001" i="8"/>
  <c r="Q2001" i="8"/>
  <c r="S2000" i="8"/>
  <c r="Q2000" i="8"/>
  <c r="S1999" i="8"/>
  <c r="Q1999" i="8"/>
  <c r="S1998" i="8"/>
  <c r="Q1998" i="8"/>
  <c r="S1997" i="8"/>
  <c r="Q1997" i="8"/>
  <c r="S1996" i="8"/>
  <c r="Q1996" i="8"/>
  <c r="S1995" i="8"/>
  <c r="Q1995" i="8"/>
  <c r="P1995" i="8"/>
  <c r="P1996" i="8" s="1"/>
  <c r="S1994" i="8"/>
  <c r="Q1994" i="8"/>
  <c r="P1994" i="8"/>
  <c r="S1993" i="8"/>
  <c r="Q1993" i="8"/>
  <c r="P1993" i="8"/>
  <c r="S1992" i="8"/>
  <c r="Q1992" i="8"/>
  <c r="S1991" i="8"/>
  <c r="Q1991" i="8"/>
  <c r="S1990" i="8"/>
  <c r="Q1990" i="8"/>
  <c r="S1989" i="8"/>
  <c r="Q1989" i="8"/>
  <c r="P1989" i="8"/>
  <c r="S1988" i="8"/>
  <c r="Q1988" i="8"/>
  <c r="S1987" i="8"/>
  <c r="Q1987" i="8"/>
  <c r="S1986" i="8"/>
  <c r="Q1986" i="8"/>
  <c r="S1985" i="8"/>
  <c r="Q1985" i="8"/>
  <c r="P1985" i="8"/>
  <c r="S1984" i="8"/>
  <c r="Q1984" i="8"/>
  <c r="S1983" i="8"/>
  <c r="Q1983" i="8"/>
  <c r="S1982" i="8"/>
  <c r="Q1982" i="8"/>
  <c r="S1981" i="8"/>
  <c r="Q1981" i="8"/>
  <c r="P1981" i="8"/>
  <c r="S1980" i="8"/>
  <c r="Q1980" i="8"/>
  <c r="S1979" i="8"/>
  <c r="Q1979" i="8"/>
  <c r="S1978" i="8"/>
  <c r="Q1978" i="8"/>
  <c r="S1977" i="8"/>
  <c r="Q1977" i="8"/>
  <c r="P1977" i="8"/>
  <c r="S1976" i="8"/>
  <c r="Q1976" i="8"/>
  <c r="S1975" i="8"/>
  <c r="Q1975" i="8"/>
  <c r="S1974" i="8"/>
  <c r="Q1974" i="8"/>
  <c r="S1973" i="8"/>
  <c r="Q1973" i="8"/>
  <c r="S1972" i="8"/>
  <c r="Q1972" i="8"/>
  <c r="S1971" i="8"/>
  <c r="Q1971" i="8"/>
  <c r="S1970" i="8"/>
  <c r="Q1970" i="8"/>
  <c r="P1970" i="8"/>
  <c r="P1971" i="8" s="1"/>
  <c r="S1969" i="8"/>
  <c r="Q1969" i="8"/>
  <c r="P1969" i="8"/>
  <c r="S1968" i="8"/>
  <c r="Q1968" i="8"/>
  <c r="P1968" i="8"/>
  <c r="S1967" i="8"/>
  <c r="Q1967" i="8"/>
  <c r="S1966" i="8"/>
  <c r="Q1966" i="8"/>
  <c r="S1965" i="8"/>
  <c r="Q1965" i="8"/>
  <c r="S1964" i="8"/>
  <c r="Q1964" i="8"/>
  <c r="S1963" i="8"/>
  <c r="Q1963" i="8"/>
  <c r="S1962" i="8"/>
  <c r="Q1962" i="8"/>
  <c r="S1961" i="8"/>
  <c r="Q1961" i="8"/>
  <c r="S1960" i="8"/>
  <c r="Q1960" i="8"/>
  <c r="P1960" i="8"/>
  <c r="S1959" i="8"/>
  <c r="Q1959" i="8"/>
  <c r="S1958" i="8"/>
  <c r="Q1958" i="8"/>
  <c r="S1957" i="8"/>
  <c r="Q1957" i="8"/>
  <c r="S1956" i="8"/>
  <c r="Q1956" i="8"/>
  <c r="S1955" i="8"/>
  <c r="Q1955" i="8"/>
  <c r="S1954" i="8"/>
  <c r="Q1954" i="8"/>
  <c r="S1953" i="8"/>
  <c r="Q1953" i="8"/>
  <c r="P1953" i="8"/>
  <c r="S1952" i="8"/>
  <c r="Q1952" i="8"/>
  <c r="S1951" i="8"/>
  <c r="Q1951" i="8"/>
  <c r="S1950" i="8"/>
  <c r="Q1950" i="8"/>
  <c r="S1949" i="8"/>
  <c r="Q1949" i="8"/>
  <c r="S1948" i="8"/>
  <c r="Q1948" i="8"/>
  <c r="P1948" i="8"/>
  <c r="P1949" i="8" s="1"/>
  <c r="S1947" i="8"/>
  <c r="Q1947" i="8"/>
  <c r="P1947" i="8"/>
  <c r="S1946" i="8"/>
  <c r="Q1946" i="8"/>
  <c r="P1946" i="8"/>
  <c r="S1945" i="8"/>
  <c r="Q1945" i="8"/>
  <c r="S1944" i="8"/>
  <c r="Q1944" i="8"/>
  <c r="P1944" i="8"/>
  <c r="S1943" i="8"/>
  <c r="Q1943" i="8"/>
  <c r="S1942" i="8"/>
  <c r="Q1942" i="8"/>
  <c r="S1941" i="8"/>
  <c r="Q1941" i="8"/>
  <c r="S1940" i="8"/>
  <c r="Q1940" i="8"/>
  <c r="S1939" i="8"/>
  <c r="Q1939" i="8"/>
  <c r="S1938" i="8"/>
  <c r="Q1938" i="8"/>
  <c r="P1938" i="8"/>
  <c r="P1939" i="8" s="1"/>
  <c r="S1937" i="8"/>
  <c r="Q1937" i="8"/>
  <c r="P1937" i="8"/>
  <c r="S1936" i="8"/>
  <c r="Q1936" i="8"/>
  <c r="P1936" i="8"/>
  <c r="S1935" i="8"/>
  <c r="Q1935" i="8"/>
  <c r="S1934" i="8"/>
  <c r="Q1934" i="8"/>
  <c r="P1934" i="8"/>
  <c r="S1933" i="8"/>
  <c r="Q1933" i="8"/>
  <c r="P1933" i="8"/>
  <c r="S1932" i="8"/>
  <c r="Q1932" i="8"/>
  <c r="P1932" i="8"/>
  <c r="S1931" i="8"/>
  <c r="Q1931" i="8"/>
  <c r="S1930" i="8"/>
  <c r="Q1930" i="8"/>
  <c r="P1930" i="8"/>
  <c r="P1931" i="8" s="1"/>
  <c r="S1929" i="8"/>
  <c r="Q1929" i="8"/>
  <c r="S1928" i="8"/>
  <c r="Q1928" i="8"/>
  <c r="S1927" i="8"/>
  <c r="Q1927" i="8"/>
  <c r="S1926" i="8"/>
  <c r="Q1926" i="8"/>
  <c r="S1925" i="8"/>
  <c r="Q1925" i="8"/>
  <c r="S1924" i="8"/>
  <c r="Q1924" i="8"/>
  <c r="S1923" i="8"/>
  <c r="Q1923" i="8"/>
  <c r="S1922" i="8"/>
  <c r="Q1922" i="8"/>
  <c r="S1921" i="8"/>
  <c r="Q1921" i="8"/>
  <c r="P1921" i="8"/>
  <c r="S1920" i="8"/>
  <c r="Q1920" i="8"/>
  <c r="S1919" i="8"/>
  <c r="Q1919" i="8"/>
  <c r="S1918" i="8"/>
  <c r="Q1918" i="8"/>
  <c r="S1917" i="8"/>
  <c r="Q1917" i="8"/>
  <c r="S1916" i="8"/>
  <c r="Q1916" i="8"/>
  <c r="S1915" i="8"/>
  <c r="Q1915" i="8"/>
  <c r="S1914" i="8"/>
  <c r="Q1914" i="8"/>
  <c r="S1913" i="8"/>
  <c r="Q1913" i="8"/>
  <c r="S1912" i="8"/>
  <c r="Q1912" i="8"/>
  <c r="S1911" i="8"/>
  <c r="Q1911" i="8"/>
  <c r="S1910" i="8"/>
  <c r="Q1910" i="8"/>
  <c r="S1909" i="8"/>
  <c r="Q1909" i="8"/>
  <c r="S1908" i="8"/>
  <c r="Q1908" i="8"/>
  <c r="P1908" i="8"/>
  <c r="P1909" i="8" s="1"/>
  <c r="S1907" i="8"/>
  <c r="Q1907" i="8"/>
  <c r="P1907" i="8"/>
  <c r="S1906" i="8"/>
  <c r="Q1906" i="8"/>
  <c r="S1905" i="8"/>
  <c r="Q1905" i="8"/>
  <c r="P1905" i="8"/>
  <c r="S1904" i="8"/>
  <c r="Q1904" i="8"/>
  <c r="S1903" i="8"/>
  <c r="Q1903" i="8"/>
  <c r="S1902" i="8"/>
  <c r="Q1902" i="8"/>
  <c r="S1901" i="8"/>
  <c r="Q1901" i="8"/>
  <c r="S1900" i="8"/>
  <c r="Q1900" i="8"/>
  <c r="S1899" i="8"/>
  <c r="Q1899" i="8"/>
  <c r="S1898" i="8"/>
  <c r="Q1898" i="8"/>
  <c r="S1897" i="8"/>
  <c r="Q1897" i="8"/>
  <c r="S1896" i="8"/>
  <c r="Q1896" i="8"/>
  <c r="S1895" i="8"/>
  <c r="Q1895" i="8"/>
  <c r="S1894" i="8"/>
  <c r="Q1894" i="8"/>
  <c r="S1893" i="8"/>
  <c r="Q1893" i="8"/>
  <c r="P1893" i="8"/>
  <c r="P1894" i="8" s="1"/>
  <c r="S1892" i="8"/>
  <c r="Q1892" i="8"/>
  <c r="P1892" i="8"/>
  <c r="S1891" i="8"/>
  <c r="Q1891" i="8"/>
  <c r="S1890" i="8"/>
  <c r="Q1890" i="8"/>
  <c r="S1889" i="8"/>
  <c r="Q1889" i="8"/>
  <c r="S1888" i="8"/>
  <c r="Q1888" i="8"/>
  <c r="S1887" i="8"/>
  <c r="Q1887" i="8"/>
  <c r="S1886" i="8"/>
  <c r="Q1886" i="8"/>
  <c r="S1885" i="8"/>
  <c r="Q1885" i="8"/>
  <c r="S1884" i="8"/>
  <c r="Q1884" i="8"/>
  <c r="S1883" i="8"/>
  <c r="Q1883" i="8"/>
  <c r="P1883" i="8"/>
  <c r="P1884" i="8" s="1"/>
  <c r="S1882" i="8"/>
  <c r="Q1882" i="8"/>
  <c r="P1882" i="8"/>
  <c r="S1881" i="8"/>
  <c r="Q1881" i="8"/>
  <c r="S1880" i="8"/>
  <c r="Q1880" i="8"/>
  <c r="P1880" i="8"/>
  <c r="P1881" i="8" s="1"/>
  <c r="S1879" i="8"/>
  <c r="Q1879" i="8"/>
  <c r="S1878" i="8"/>
  <c r="Q1878" i="8"/>
  <c r="S1877" i="8"/>
  <c r="Q1877" i="8"/>
  <c r="S1876" i="8"/>
  <c r="Q1876" i="8"/>
  <c r="S1875" i="8"/>
  <c r="Q1875" i="8"/>
  <c r="S1874" i="8"/>
  <c r="Q1874" i="8"/>
  <c r="S1873" i="8"/>
  <c r="Q1873" i="8"/>
  <c r="P1873" i="8"/>
  <c r="P1874" i="8" s="1"/>
  <c r="S1872" i="8"/>
  <c r="Q1872" i="8"/>
  <c r="S1871" i="8"/>
  <c r="Q1871" i="8"/>
  <c r="P1871" i="8"/>
  <c r="P1872" i="8" s="1"/>
  <c r="S1870" i="8"/>
  <c r="Q1870" i="8"/>
  <c r="P1870" i="8"/>
  <c r="S1869" i="8"/>
  <c r="Q1869" i="8"/>
  <c r="S1868" i="8"/>
  <c r="Q1868" i="8"/>
  <c r="S1867" i="8"/>
  <c r="Q1867" i="8"/>
  <c r="S1866" i="8"/>
  <c r="Q1866" i="8"/>
  <c r="S1865" i="8"/>
  <c r="Q1865" i="8"/>
  <c r="S1864" i="8"/>
  <c r="Q1864" i="8"/>
  <c r="S1863" i="8"/>
  <c r="Q1863" i="8"/>
  <c r="S1862" i="8"/>
  <c r="Q1862" i="8"/>
  <c r="S1861" i="8"/>
  <c r="Q1861" i="8"/>
  <c r="P1861" i="8"/>
  <c r="P1862" i="8" s="1"/>
  <c r="S1860" i="8"/>
  <c r="Q1860" i="8"/>
  <c r="S1859" i="8"/>
  <c r="Q1859" i="8"/>
  <c r="S1858" i="8"/>
  <c r="Q1858" i="8"/>
  <c r="S1857" i="8"/>
  <c r="Q1857" i="8"/>
  <c r="S1856" i="8"/>
  <c r="Q1856" i="8"/>
  <c r="S1855" i="8"/>
  <c r="Q1855" i="8"/>
  <c r="S1854" i="8"/>
  <c r="Q1854" i="8"/>
  <c r="S1853" i="8"/>
  <c r="Q1853" i="8"/>
  <c r="P1853" i="8"/>
  <c r="P1854" i="8" s="1"/>
  <c r="S1852" i="8"/>
  <c r="Q1852" i="8"/>
  <c r="P1852" i="8"/>
  <c r="S1851" i="8"/>
  <c r="Q1851" i="8"/>
  <c r="S1850" i="8"/>
  <c r="Q1850" i="8"/>
  <c r="S1849" i="8"/>
  <c r="Q1849" i="8"/>
  <c r="S1848" i="8"/>
  <c r="Q1848" i="8"/>
  <c r="S1847" i="8"/>
  <c r="Q1847" i="8"/>
  <c r="P1847" i="8"/>
  <c r="P1848" i="8" s="1"/>
  <c r="S1846" i="8"/>
  <c r="Q1846" i="8"/>
  <c r="P1846" i="8"/>
  <c r="S1845" i="8"/>
  <c r="Q1845" i="8"/>
  <c r="S1844" i="8"/>
  <c r="Q1844" i="8"/>
  <c r="S1843" i="8"/>
  <c r="Q1843" i="8"/>
  <c r="S1842" i="8"/>
  <c r="Q1842" i="8"/>
  <c r="S1841" i="8"/>
  <c r="Q1841" i="8"/>
  <c r="S1840" i="8"/>
  <c r="Q1840" i="8"/>
  <c r="S1839" i="8"/>
  <c r="Q1839" i="8"/>
  <c r="S1838" i="8"/>
  <c r="Q1838" i="8"/>
  <c r="S1837" i="8"/>
  <c r="Q1837" i="8"/>
  <c r="S1836" i="8"/>
  <c r="Q1836" i="8"/>
  <c r="S1835" i="8"/>
  <c r="Q1835" i="8"/>
  <c r="S1834" i="8"/>
  <c r="Q1834" i="8"/>
  <c r="P1834" i="8"/>
  <c r="P1835" i="8" s="1"/>
  <c r="S1833" i="8"/>
  <c r="Q1833" i="8"/>
  <c r="P1833" i="8"/>
  <c r="S1832" i="8"/>
  <c r="Q1832" i="8"/>
  <c r="P1832" i="8"/>
  <c r="S1831" i="8"/>
  <c r="Q1831" i="8"/>
  <c r="S1830" i="8"/>
  <c r="Q1830" i="8"/>
  <c r="S1829" i="8"/>
  <c r="Q1829" i="8"/>
  <c r="S1828" i="8"/>
  <c r="Q1828" i="8"/>
  <c r="S1827" i="8"/>
  <c r="Q1827" i="8"/>
  <c r="S1826" i="8"/>
  <c r="Q1826" i="8"/>
  <c r="S1825" i="8"/>
  <c r="Q1825" i="8"/>
  <c r="P1825" i="8"/>
  <c r="P1826" i="8" s="1"/>
  <c r="S1824" i="8"/>
  <c r="Q1824" i="8"/>
  <c r="P1824" i="8"/>
  <c r="S1823" i="8"/>
  <c r="Q1823" i="8"/>
  <c r="S1822" i="8"/>
  <c r="Q1822" i="8"/>
  <c r="S1821" i="8"/>
  <c r="Q1821" i="8"/>
  <c r="S1820" i="8"/>
  <c r="Q1820" i="8"/>
  <c r="S1819" i="8"/>
  <c r="Q1819" i="8"/>
  <c r="S1818" i="8"/>
  <c r="Q1818" i="8"/>
  <c r="S1817" i="8"/>
  <c r="Q1817" i="8"/>
  <c r="S1816" i="8"/>
  <c r="Q1816" i="8"/>
  <c r="S1815" i="8"/>
  <c r="Q1815" i="8"/>
  <c r="P1815" i="8"/>
  <c r="S1814" i="8"/>
  <c r="Q1814" i="8"/>
  <c r="S1813" i="8"/>
  <c r="Q1813" i="8"/>
  <c r="S1812" i="8"/>
  <c r="Q1812" i="8"/>
  <c r="S1811" i="8"/>
  <c r="Q1811" i="8"/>
  <c r="S1810" i="8"/>
  <c r="Q1810" i="8"/>
  <c r="S1809" i="8"/>
  <c r="Q1809" i="8"/>
  <c r="P1809" i="8"/>
  <c r="P1810" i="8" s="1"/>
  <c r="S1808" i="8"/>
  <c r="Q1808" i="8"/>
  <c r="P1808" i="8"/>
  <c r="S1807" i="8"/>
  <c r="Q1807" i="8"/>
  <c r="S1806" i="8"/>
  <c r="Q1806" i="8"/>
  <c r="S1805" i="8"/>
  <c r="Q1805" i="8"/>
  <c r="S1804" i="8"/>
  <c r="Q1804" i="8"/>
  <c r="S1803" i="8"/>
  <c r="Q1803" i="8"/>
  <c r="S1802" i="8"/>
  <c r="Q1802" i="8"/>
  <c r="S1801" i="8"/>
  <c r="Q1801" i="8"/>
  <c r="S1800" i="8"/>
  <c r="Q1800" i="8"/>
  <c r="S1799" i="8"/>
  <c r="Q1799" i="8"/>
  <c r="P1799" i="8"/>
  <c r="S1798" i="8"/>
  <c r="Q1798" i="8"/>
  <c r="S1797" i="8"/>
  <c r="Q1797" i="8"/>
  <c r="S1796" i="8"/>
  <c r="Q1796" i="8"/>
  <c r="S1795" i="8"/>
  <c r="Q1795" i="8"/>
  <c r="S1794" i="8"/>
  <c r="Q1794" i="8"/>
  <c r="S1793" i="8"/>
  <c r="Q1793" i="8"/>
  <c r="P1793" i="8"/>
  <c r="P1794" i="8" s="1"/>
  <c r="S1792" i="8"/>
  <c r="Q1792" i="8"/>
  <c r="P1792" i="8"/>
  <c r="S1791" i="8"/>
  <c r="Q1791" i="8"/>
  <c r="P1791" i="8"/>
  <c r="S1790" i="8"/>
  <c r="Q1790" i="8"/>
  <c r="P1790" i="8"/>
  <c r="S1789" i="8"/>
  <c r="Q1789" i="8"/>
  <c r="P1789" i="8"/>
  <c r="S1788" i="8"/>
  <c r="Q1788" i="8"/>
  <c r="S1787" i="8"/>
  <c r="Q1787" i="8"/>
  <c r="P1787" i="8"/>
  <c r="S1786" i="8"/>
  <c r="Q1786" i="8"/>
  <c r="S1785" i="8"/>
  <c r="Q1785" i="8"/>
  <c r="S1784" i="8"/>
  <c r="Q1784" i="8"/>
  <c r="S1783" i="8"/>
  <c r="Q1783" i="8"/>
  <c r="S1782" i="8"/>
  <c r="Q1782" i="8"/>
  <c r="S1781" i="8"/>
  <c r="Q1781" i="8"/>
  <c r="S1780" i="8"/>
  <c r="Q1780" i="8"/>
  <c r="S1779" i="8"/>
  <c r="Q1779" i="8"/>
  <c r="S1778" i="8"/>
  <c r="Q1778" i="8"/>
  <c r="S1777" i="8"/>
  <c r="Q1777" i="8"/>
  <c r="P1777" i="8"/>
  <c r="P1778" i="8" s="1"/>
  <c r="S1776" i="8"/>
  <c r="Q1776" i="8"/>
  <c r="P1776" i="8"/>
  <c r="S1775" i="8"/>
  <c r="Q1775" i="8"/>
  <c r="S1774" i="8"/>
  <c r="Q1774" i="8"/>
  <c r="S1773" i="8"/>
  <c r="Q1773" i="8"/>
  <c r="S1772" i="8"/>
  <c r="Q1772" i="8"/>
  <c r="S1771" i="8"/>
  <c r="Q1771" i="8"/>
  <c r="S1770" i="8"/>
  <c r="Q1770" i="8"/>
  <c r="S1769" i="8"/>
  <c r="Q1769" i="8"/>
  <c r="S1768" i="8"/>
  <c r="Q1768" i="8"/>
  <c r="S1767" i="8"/>
  <c r="Q1767" i="8"/>
  <c r="S1766" i="8"/>
  <c r="Q1766" i="8"/>
  <c r="S1765" i="8"/>
  <c r="Q1765" i="8"/>
  <c r="S1764" i="8"/>
  <c r="Q1764" i="8"/>
  <c r="P1764" i="8"/>
  <c r="S1763" i="8"/>
  <c r="Q1763" i="8"/>
  <c r="S1762" i="8"/>
  <c r="Q1762" i="8"/>
  <c r="S1761" i="8"/>
  <c r="Q1761" i="8"/>
  <c r="S1760" i="8"/>
  <c r="Q1760" i="8"/>
  <c r="S1759" i="8"/>
  <c r="Q1759" i="8"/>
  <c r="S1758" i="8"/>
  <c r="Q1758" i="8"/>
  <c r="S1757" i="8"/>
  <c r="Q1757" i="8"/>
  <c r="S1756" i="8"/>
  <c r="Q1756" i="8"/>
  <c r="S1755" i="8"/>
  <c r="Q1755" i="8"/>
  <c r="S1754" i="8"/>
  <c r="Q1754" i="8"/>
  <c r="P1754" i="8"/>
  <c r="S1753" i="8"/>
  <c r="Q1753" i="8"/>
  <c r="S1752" i="8"/>
  <c r="Q1752" i="8"/>
  <c r="S1751" i="8"/>
  <c r="Q1751" i="8"/>
  <c r="S1750" i="8"/>
  <c r="Q1750" i="8"/>
  <c r="S1749" i="8"/>
  <c r="Q1749" i="8"/>
  <c r="S1748" i="8"/>
  <c r="Q1748" i="8"/>
  <c r="S1747" i="8"/>
  <c r="Q1747" i="8"/>
  <c r="S1746" i="8"/>
  <c r="Q1746" i="8"/>
  <c r="S1745" i="8"/>
  <c r="Q1745" i="8"/>
  <c r="S1744" i="8"/>
  <c r="Q1744" i="8"/>
  <c r="P1744" i="8"/>
  <c r="S1743" i="8"/>
  <c r="Q1743" i="8"/>
  <c r="P1743" i="8"/>
  <c r="S1742" i="8"/>
  <c r="Q1742" i="8"/>
  <c r="S1741" i="8"/>
  <c r="Q1741" i="8"/>
  <c r="S1740" i="8"/>
  <c r="Q1740" i="8"/>
  <c r="S1739" i="8"/>
  <c r="Q1739" i="8"/>
  <c r="S1738" i="8"/>
  <c r="Q1738" i="8"/>
  <c r="S1737" i="8"/>
  <c r="Q1737" i="8"/>
  <c r="S1736" i="8"/>
  <c r="Q1736" i="8"/>
  <c r="S1735" i="8"/>
  <c r="Q1735" i="8"/>
  <c r="S1734" i="8"/>
  <c r="Q1734" i="8"/>
  <c r="S1733" i="8"/>
  <c r="Q1733" i="8"/>
  <c r="S1732" i="8"/>
  <c r="Q1732" i="8"/>
  <c r="P1732" i="8"/>
  <c r="S1731" i="8"/>
  <c r="Q1731" i="8"/>
  <c r="S1730" i="8"/>
  <c r="Q1730" i="8"/>
  <c r="S1729" i="8"/>
  <c r="Q1729" i="8"/>
  <c r="S1728" i="8"/>
  <c r="Q1728" i="8"/>
  <c r="S1727" i="8"/>
  <c r="Q1727" i="8"/>
  <c r="S1726" i="8"/>
  <c r="Q1726" i="8"/>
  <c r="S1725" i="8"/>
  <c r="Q1725" i="8"/>
  <c r="S1724" i="8"/>
  <c r="Q1724" i="8"/>
  <c r="P1724" i="8"/>
  <c r="S1723" i="8"/>
  <c r="Q1723" i="8"/>
  <c r="P1723" i="8"/>
  <c r="S1722" i="8"/>
  <c r="Q1722" i="8"/>
  <c r="S1721" i="8"/>
  <c r="Q1721" i="8"/>
  <c r="S1720" i="8"/>
  <c r="Q1720" i="8"/>
  <c r="S1719" i="8"/>
  <c r="Q1719" i="8"/>
  <c r="S1718" i="8"/>
  <c r="Q1718" i="8"/>
  <c r="S1717" i="8"/>
  <c r="Q1717" i="8"/>
  <c r="S1716" i="8"/>
  <c r="Q1716" i="8"/>
  <c r="S1715" i="8"/>
  <c r="Q1715" i="8"/>
  <c r="S1714" i="8"/>
  <c r="Q1714" i="8"/>
  <c r="S1713" i="8"/>
  <c r="Q1713" i="8"/>
  <c r="S1712" i="8"/>
  <c r="Q1712" i="8"/>
  <c r="P1712" i="8"/>
  <c r="S1711" i="8"/>
  <c r="Q1711" i="8"/>
  <c r="P1711" i="8"/>
  <c r="S1710" i="8"/>
  <c r="Q1710" i="8"/>
  <c r="S1709" i="8"/>
  <c r="Q1709" i="8"/>
  <c r="S1708" i="8"/>
  <c r="Q1708" i="8"/>
  <c r="S1707" i="8"/>
  <c r="Q1707" i="8"/>
  <c r="S1706" i="8"/>
  <c r="Q1706" i="8"/>
  <c r="S1705" i="8"/>
  <c r="Q1705" i="8"/>
  <c r="S1704" i="8"/>
  <c r="Q1704" i="8"/>
  <c r="S1703" i="8"/>
  <c r="Q1703" i="8"/>
  <c r="S1702" i="8"/>
  <c r="Q1702" i="8"/>
  <c r="S1701" i="8"/>
  <c r="Q1701" i="8"/>
  <c r="S1700" i="8"/>
  <c r="Q1700" i="8"/>
  <c r="P1700" i="8"/>
  <c r="S1699" i="8"/>
  <c r="Q1699" i="8"/>
  <c r="P1699" i="8"/>
  <c r="S1698" i="8"/>
  <c r="Q1698" i="8"/>
  <c r="S1697" i="8"/>
  <c r="Q1697" i="8"/>
  <c r="S1696" i="8"/>
  <c r="Q1696" i="8"/>
  <c r="S1695" i="8"/>
  <c r="Q1695" i="8"/>
  <c r="S1694" i="8"/>
  <c r="Q1694" i="8"/>
  <c r="S1693" i="8"/>
  <c r="Q1693" i="8"/>
  <c r="S1692" i="8"/>
  <c r="Q1692" i="8"/>
  <c r="S1691" i="8"/>
  <c r="Q1691" i="8"/>
  <c r="S1690" i="8"/>
  <c r="Q1690" i="8"/>
  <c r="P1690" i="8"/>
  <c r="S1689" i="8"/>
  <c r="Q1689" i="8"/>
  <c r="P1689" i="8"/>
  <c r="S1688" i="8"/>
  <c r="Q1688" i="8"/>
  <c r="S1687" i="8"/>
  <c r="Q1687" i="8"/>
  <c r="S1686" i="8"/>
  <c r="Q1686" i="8"/>
  <c r="S1685" i="8"/>
  <c r="Q1685" i="8"/>
  <c r="S1684" i="8"/>
  <c r="Q1684" i="8"/>
  <c r="S1683" i="8"/>
  <c r="Q1683" i="8"/>
  <c r="S1682" i="8"/>
  <c r="Q1682" i="8"/>
  <c r="P1682" i="8"/>
  <c r="S1681" i="8"/>
  <c r="Q1681" i="8"/>
  <c r="P1681" i="8"/>
  <c r="S1680" i="8"/>
  <c r="Q1680" i="8"/>
  <c r="P1680" i="8"/>
  <c r="S1679" i="8"/>
  <c r="Q1679" i="8"/>
  <c r="S1678" i="8"/>
  <c r="Q1678" i="8"/>
  <c r="P1678" i="8"/>
  <c r="S1677" i="8"/>
  <c r="Q1677" i="8"/>
  <c r="P1677" i="8"/>
  <c r="S1676" i="8"/>
  <c r="Q1676" i="8"/>
  <c r="P1676" i="8"/>
  <c r="S1675" i="8"/>
  <c r="Q1675" i="8"/>
  <c r="P1675" i="8"/>
  <c r="S1674" i="8"/>
  <c r="Q1674" i="8"/>
  <c r="S1673" i="8"/>
  <c r="Q1673" i="8"/>
  <c r="S1672" i="8"/>
  <c r="Q1672" i="8"/>
  <c r="S1671" i="8"/>
  <c r="Q1671" i="8"/>
  <c r="S1670" i="8"/>
  <c r="Q1670" i="8"/>
  <c r="P1670" i="8"/>
  <c r="S1669" i="8"/>
  <c r="Q1669" i="8"/>
  <c r="S1668" i="8"/>
  <c r="Q1668" i="8"/>
  <c r="S1667" i="8"/>
  <c r="Q1667" i="8"/>
  <c r="S1666" i="8"/>
  <c r="Q1666" i="8"/>
  <c r="P1666" i="8"/>
  <c r="S1665" i="8"/>
  <c r="Q1665" i="8"/>
  <c r="S1664" i="8"/>
  <c r="Q1664" i="8"/>
  <c r="S1663" i="8"/>
  <c r="Q1663" i="8"/>
  <c r="S1662" i="8"/>
  <c r="Q1662" i="8"/>
  <c r="P1662" i="8"/>
  <c r="S1661" i="8"/>
  <c r="Q1661" i="8"/>
  <c r="S1660" i="8"/>
  <c r="Q1660" i="8"/>
  <c r="S1659" i="8"/>
  <c r="Q1659" i="8"/>
  <c r="S1658" i="8"/>
  <c r="Q1658" i="8"/>
  <c r="P1658" i="8"/>
  <c r="S1657" i="8"/>
  <c r="Q1657" i="8"/>
  <c r="S1656" i="8"/>
  <c r="Q1656" i="8"/>
  <c r="S1655" i="8"/>
  <c r="Q1655" i="8"/>
  <c r="S1654" i="8"/>
  <c r="Q1654" i="8"/>
  <c r="P1654" i="8"/>
  <c r="S1653" i="8"/>
  <c r="Q1653" i="8"/>
  <c r="S1652" i="8"/>
  <c r="Q1652" i="8"/>
  <c r="S1651" i="8"/>
  <c r="Q1651" i="8"/>
  <c r="S1650" i="8"/>
  <c r="Q1650" i="8"/>
  <c r="P1650" i="8"/>
  <c r="S1649" i="8"/>
  <c r="Q1649" i="8"/>
  <c r="S1648" i="8"/>
  <c r="Q1648" i="8"/>
  <c r="S1647" i="8"/>
  <c r="Q1647" i="8"/>
  <c r="S1646" i="8"/>
  <c r="Q1646" i="8"/>
  <c r="P1646" i="8"/>
  <c r="S1645" i="8"/>
  <c r="Q1645" i="8"/>
  <c r="S1644" i="8"/>
  <c r="Q1644" i="8"/>
  <c r="S1643" i="8"/>
  <c r="Q1643" i="8"/>
  <c r="S1642" i="8"/>
  <c r="Q1642" i="8"/>
  <c r="P1642" i="8"/>
  <c r="S1641" i="8"/>
  <c r="Q1641" i="8"/>
  <c r="S1640" i="8"/>
  <c r="Q1640" i="8"/>
  <c r="S1639" i="8"/>
  <c r="Q1639" i="8"/>
  <c r="S1638" i="8"/>
  <c r="Q1638" i="8"/>
  <c r="P1638" i="8"/>
  <c r="S1637" i="8"/>
  <c r="Q1637" i="8"/>
  <c r="S1636" i="8"/>
  <c r="Q1636" i="8"/>
  <c r="S1635" i="8"/>
  <c r="Q1635" i="8"/>
  <c r="S1634" i="8"/>
  <c r="Q1634" i="8"/>
  <c r="S1633" i="8"/>
  <c r="Q1633" i="8"/>
  <c r="S1632" i="8"/>
  <c r="Q1632" i="8"/>
  <c r="P1632" i="8"/>
  <c r="S1631" i="8"/>
  <c r="Q1631" i="8"/>
  <c r="P1631" i="8"/>
  <c r="S1630" i="8"/>
  <c r="Q1630" i="8"/>
  <c r="S1629" i="8"/>
  <c r="Q1629" i="8"/>
  <c r="S1628" i="8"/>
  <c r="Q1628" i="8"/>
  <c r="P1628" i="8"/>
  <c r="S1627" i="8"/>
  <c r="Q1627" i="8"/>
  <c r="P1627" i="8"/>
  <c r="S1626" i="8"/>
  <c r="Q1626" i="8"/>
  <c r="S1625" i="8"/>
  <c r="Q1625" i="8"/>
  <c r="S1624" i="8"/>
  <c r="Q1624" i="8"/>
  <c r="P1624" i="8"/>
  <c r="S1623" i="8"/>
  <c r="Q1623" i="8"/>
  <c r="P1623" i="8"/>
  <c r="S1622" i="8"/>
  <c r="Q1622" i="8"/>
  <c r="S1621" i="8"/>
  <c r="Q1621" i="8"/>
  <c r="S1620" i="8"/>
  <c r="Q1620" i="8"/>
  <c r="S1619" i="8"/>
  <c r="Q1619" i="8"/>
  <c r="P1619" i="8"/>
  <c r="P1620" i="8" s="1"/>
  <c r="S1618" i="8"/>
  <c r="Q1618" i="8"/>
  <c r="S1617" i="8"/>
  <c r="Q1617" i="8"/>
  <c r="S1616" i="8"/>
  <c r="Q1616" i="8"/>
  <c r="S1615" i="8"/>
  <c r="Q1615" i="8"/>
  <c r="P1615" i="8"/>
  <c r="S1614" i="8"/>
  <c r="Q1614" i="8"/>
  <c r="S1613" i="8"/>
  <c r="Q1613" i="8"/>
  <c r="S1612" i="8"/>
  <c r="Q1612" i="8"/>
  <c r="S1611" i="8"/>
  <c r="Q1611" i="8"/>
  <c r="P1611" i="8"/>
  <c r="S1610" i="8"/>
  <c r="Q1610" i="8"/>
  <c r="S1609" i="8"/>
  <c r="Q1609" i="8"/>
  <c r="S1608" i="8"/>
  <c r="Q1608" i="8"/>
  <c r="P1608" i="8"/>
  <c r="S1607" i="8"/>
  <c r="Q1607" i="8"/>
  <c r="P1607" i="8"/>
  <c r="S1606" i="8"/>
  <c r="Q1606" i="8"/>
  <c r="P1606" i="8"/>
  <c r="S1605" i="8"/>
  <c r="Q1605" i="8"/>
  <c r="S1604" i="8"/>
  <c r="Q1604" i="8"/>
  <c r="S1603" i="8"/>
  <c r="Q1603" i="8"/>
  <c r="P1603" i="8"/>
  <c r="P1604" i="8" s="1"/>
  <c r="S1602" i="8"/>
  <c r="Q1602" i="8"/>
  <c r="P1602" i="8"/>
  <c r="S1601" i="8"/>
  <c r="Q1601" i="8"/>
  <c r="P1601" i="8"/>
  <c r="S1600" i="8"/>
  <c r="Q1600" i="8"/>
  <c r="S1599" i="8"/>
  <c r="Q1599" i="8"/>
  <c r="P1599" i="8"/>
  <c r="S1598" i="8"/>
  <c r="Q1598" i="8"/>
  <c r="P1598" i="8"/>
  <c r="S1597" i="8"/>
  <c r="Q1597" i="8"/>
  <c r="P1597" i="8"/>
  <c r="S1596" i="8"/>
  <c r="Q1596" i="8"/>
  <c r="S1595" i="8"/>
  <c r="Q1595" i="8"/>
  <c r="S1594" i="8"/>
  <c r="Q1594" i="8"/>
  <c r="P1594" i="8"/>
  <c r="P1595" i="8" s="1"/>
  <c r="S1593" i="8"/>
  <c r="Q1593" i="8"/>
  <c r="P1593" i="8"/>
  <c r="S1592" i="8"/>
  <c r="Q1592" i="8"/>
  <c r="S1591" i="8"/>
  <c r="Q1591" i="8"/>
  <c r="S1590" i="8"/>
  <c r="Q1590" i="8"/>
  <c r="S1589" i="8"/>
  <c r="Q1589" i="8"/>
  <c r="S1588" i="8"/>
  <c r="Q1588" i="8"/>
  <c r="S1587" i="8"/>
  <c r="Q1587" i="8"/>
  <c r="P1587" i="8"/>
  <c r="P1588" i="8" s="1"/>
  <c r="S1586" i="8"/>
  <c r="Q1586" i="8"/>
  <c r="S1585" i="8"/>
  <c r="Q1585" i="8"/>
  <c r="S1584" i="8"/>
  <c r="Q1584" i="8"/>
  <c r="S1583" i="8"/>
  <c r="Q1583" i="8"/>
  <c r="P1583" i="8"/>
  <c r="S1582" i="8"/>
  <c r="Q1582" i="8"/>
  <c r="P1582" i="8"/>
  <c r="S1581" i="8"/>
  <c r="Q1581" i="8"/>
  <c r="P1581" i="8"/>
  <c r="S1580" i="8"/>
  <c r="Q1580" i="8"/>
  <c r="S1579" i="8"/>
  <c r="Q1579" i="8"/>
  <c r="S1578" i="8"/>
  <c r="Q1578" i="8"/>
  <c r="S1577" i="8"/>
  <c r="Q1577" i="8"/>
  <c r="S1576" i="8"/>
  <c r="Q1576" i="8"/>
  <c r="P1576" i="8"/>
  <c r="S1575" i="8"/>
  <c r="Q1575" i="8"/>
  <c r="P1575" i="8"/>
  <c r="S1574" i="8"/>
  <c r="Q1574" i="8"/>
  <c r="S1573" i="8"/>
  <c r="Q1573" i="8"/>
  <c r="S1572" i="8"/>
  <c r="Q1572" i="8"/>
  <c r="S1571" i="8"/>
  <c r="Q1571" i="8"/>
  <c r="S1570" i="8"/>
  <c r="Q1570" i="8"/>
  <c r="S1569" i="8"/>
  <c r="Q1569" i="8"/>
  <c r="P1569" i="8"/>
  <c r="S1568" i="8"/>
  <c r="Q1568" i="8"/>
  <c r="S1567" i="8"/>
  <c r="Q1567" i="8"/>
  <c r="S1566" i="8"/>
  <c r="Q1566" i="8"/>
  <c r="S1565" i="8"/>
  <c r="Q1565" i="8"/>
  <c r="S1564" i="8"/>
  <c r="Q1564" i="8"/>
  <c r="S1563" i="8"/>
  <c r="Q1563" i="8"/>
  <c r="P1563" i="8"/>
  <c r="S1562" i="8"/>
  <c r="Q1562" i="8"/>
  <c r="S1561" i="8"/>
  <c r="Q1561" i="8"/>
  <c r="S1560" i="8"/>
  <c r="Q1560" i="8"/>
  <c r="S1559" i="8"/>
  <c r="Q1559" i="8"/>
  <c r="S1558" i="8"/>
  <c r="Q1558" i="8"/>
  <c r="P1558" i="8"/>
  <c r="S1557" i="8"/>
  <c r="Q1557" i="8"/>
  <c r="P1557" i="8"/>
  <c r="S1556" i="8"/>
  <c r="Q1556" i="8"/>
  <c r="S1555" i="8"/>
  <c r="Q1555" i="8"/>
  <c r="S1554" i="8"/>
  <c r="Q1554" i="8"/>
  <c r="S1553" i="8"/>
  <c r="Q1553" i="8"/>
  <c r="S1552" i="8"/>
  <c r="Q1552" i="8"/>
  <c r="S1551" i="8"/>
  <c r="Q1551" i="8"/>
  <c r="P1551" i="8"/>
  <c r="S1550" i="8"/>
  <c r="Q1550" i="8"/>
  <c r="S1549" i="8"/>
  <c r="Q1549" i="8"/>
  <c r="S1548" i="8"/>
  <c r="Q1548" i="8"/>
  <c r="S1547" i="8"/>
  <c r="Q1547" i="8"/>
  <c r="S1546" i="8"/>
  <c r="Q1546" i="8"/>
  <c r="S1545" i="8"/>
  <c r="Q1545" i="8"/>
  <c r="S1544" i="8"/>
  <c r="Q1544" i="8"/>
  <c r="P1544" i="8"/>
  <c r="S1543" i="8"/>
  <c r="Q1543" i="8"/>
  <c r="S1542" i="8"/>
  <c r="Q1542" i="8"/>
  <c r="S1541" i="8"/>
  <c r="Q1541" i="8"/>
  <c r="S1540" i="8"/>
  <c r="Q1540" i="8"/>
  <c r="S1539" i="8"/>
  <c r="Q1539" i="8"/>
  <c r="P1539" i="8"/>
  <c r="P1540" i="8" s="1"/>
  <c r="S1538" i="8"/>
  <c r="Q1538" i="8"/>
  <c r="P1538" i="8"/>
  <c r="S1537" i="8"/>
  <c r="Q1537" i="8"/>
  <c r="P1537" i="8"/>
  <c r="S1536" i="8"/>
  <c r="Q1536" i="8"/>
  <c r="S1535" i="8"/>
  <c r="Q1535" i="8"/>
  <c r="P1535" i="8"/>
  <c r="S1534" i="8"/>
  <c r="Q1534" i="8"/>
  <c r="P1534" i="8"/>
  <c r="S1533" i="8"/>
  <c r="Q1533" i="8"/>
  <c r="P1533" i="8"/>
  <c r="S1532" i="8"/>
  <c r="Q1532" i="8"/>
  <c r="P1532" i="8"/>
  <c r="S1531" i="8"/>
  <c r="Q1531" i="8"/>
  <c r="S1530" i="8"/>
  <c r="Q1530" i="8"/>
  <c r="P1530" i="8"/>
  <c r="P1531" i="8" s="1"/>
  <c r="S1529" i="8"/>
  <c r="Q1529" i="8"/>
  <c r="S1528" i="8"/>
  <c r="Q1528" i="8"/>
  <c r="S1527" i="8"/>
  <c r="Q1527" i="8"/>
  <c r="S1526" i="8"/>
  <c r="Q1526" i="8"/>
  <c r="P1526" i="8"/>
  <c r="S1525" i="8"/>
  <c r="Q1525" i="8"/>
  <c r="P1525" i="8"/>
  <c r="S1524" i="8"/>
  <c r="Q1524" i="8"/>
  <c r="S1523" i="8"/>
  <c r="Q1523" i="8"/>
  <c r="P1523" i="8"/>
  <c r="P1524" i="8" s="1"/>
  <c r="S1522" i="8"/>
  <c r="Q1522" i="8"/>
  <c r="S1521" i="8"/>
  <c r="Q1521" i="8"/>
  <c r="S1520" i="8"/>
  <c r="Q1520" i="8"/>
  <c r="S1519" i="8"/>
  <c r="Q1519" i="8"/>
  <c r="P1519" i="8"/>
  <c r="S1518" i="8"/>
  <c r="Q1518" i="8"/>
  <c r="P1518" i="8"/>
  <c r="S1517" i="8"/>
  <c r="Q1517" i="8"/>
  <c r="S1516" i="8"/>
  <c r="Q1516" i="8"/>
  <c r="S1515" i="8"/>
  <c r="Q1515" i="8"/>
  <c r="O1515" i="8"/>
  <c r="S1514" i="8"/>
  <c r="Q1514" i="8"/>
  <c r="P1514" i="8"/>
  <c r="P1515" i="8" s="1"/>
  <c r="S1513" i="8"/>
  <c r="Q1513" i="8"/>
  <c r="S1512" i="8"/>
  <c r="Q1512" i="8"/>
  <c r="S1511" i="8"/>
  <c r="Q1511" i="8"/>
  <c r="S1510" i="8"/>
  <c r="Q1510" i="8"/>
  <c r="S1509" i="8"/>
  <c r="Q1509" i="8"/>
  <c r="P1509" i="8"/>
  <c r="P1510" i="8" s="1"/>
  <c r="S1508" i="8"/>
  <c r="Q1508" i="8"/>
  <c r="P1508" i="8"/>
  <c r="S1507" i="8"/>
  <c r="Q1507" i="8"/>
  <c r="S1506" i="8"/>
  <c r="Q1506" i="8"/>
  <c r="S1505" i="8"/>
  <c r="Q1505" i="8"/>
  <c r="S1504" i="8"/>
  <c r="Q1504" i="8"/>
  <c r="S1503" i="8"/>
  <c r="Q1503" i="8"/>
  <c r="S1502" i="8"/>
  <c r="Q1502" i="8"/>
  <c r="S1501" i="8"/>
  <c r="Q1501" i="8"/>
  <c r="S1500" i="8"/>
  <c r="Q1500" i="8"/>
  <c r="S1499" i="8"/>
  <c r="Q1499" i="8"/>
  <c r="P1499" i="8"/>
  <c r="P1500" i="8" s="1"/>
  <c r="P1501" i="8" s="1"/>
  <c r="S1498" i="8"/>
  <c r="Q1498" i="8"/>
  <c r="S1497" i="8"/>
  <c r="Q1497" i="8"/>
  <c r="S1496" i="8"/>
  <c r="Q1496" i="8"/>
  <c r="S1495" i="8"/>
  <c r="Q1495" i="8"/>
  <c r="S1494" i="8"/>
  <c r="Q1494" i="8"/>
  <c r="S1493" i="8"/>
  <c r="Q1493" i="8"/>
  <c r="P1493" i="8"/>
  <c r="P1494" i="8" s="1"/>
  <c r="P1495" i="8" s="1"/>
  <c r="S1492" i="8"/>
  <c r="Q1492" i="8"/>
  <c r="P1492" i="8"/>
  <c r="S1491" i="8"/>
  <c r="Q1491" i="8"/>
  <c r="S1490" i="8"/>
  <c r="Q1490" i="8"/>
  <c r="S1489" i="8"/>
  <c r="Q1489" i="8"/>
  <c r="S1488" i="8"/>
  <c r="Q1488" i="8"/>
  <c r="S1487" i="8"/>
  <c r="Q1487" i="8"/>
  <c r="S1486" i="8"/>
  <c r="Q1486" i="8"/>
  <c r="S1485" i="8"/>
  <c r="Q1485" i="8"/>
  <c r="P1485" i="8"/>
  <c r="P1486" i="8" s="1"/>
  <c r="P1487" i="8" s="1"/>
  <c r="S1484" i="8"/>
  <c r="Q1484" i="8"/>
  <c r="P1484" i="8"/>
  <c r="S1483" i="8"/>
  <c r="Q1483" i="8"/>
  <c r="S1482" i="8"/>
  <c r="Q1482" i="8"/>
  <c r="S1481" i="8"/>
  <c r="Q1481" i="8"/>
  <c r="S1480" i="8"/>
  <c r="Q1480" i="8"/>
  <c r="S1479" i="8"/>
  <c r="Q1479" i="8"/>
  <c r="P1479" i="8"/>
  <c r="P1480" i="8" s="1"/>
  <c r="P1481" i="8" s="1"/>
  <c r="S1478" i="8"/>
  <c r="Q1478" i="8"/>
  <c r="P1478" i="8"/>
  <c r="S1477" i="8"/>
  <c r="Q1477" i="8"/>
  <c r="S1476" i="8"/>
  <c r="Q1476" i="8"/>
  <c r="S1475" i="8"/>
  <c r="Q1475" i="8"/>
  <c r="S1474" i="8"/>
  <c r="Q1474" i="8"/>
  <c r="S1473" i="8"/>
  <c r="Q1473" i="8"/>
  <c r="S1472" i="8"/>
  <c r="Q1472" i="8"/>
  <c r="S1471" i="8"/>
  <c r="Q1471" i="8"/>
  <c r="P1471" i="8"/>
  <c r="P1472" i="8" s="1"/>
  <c r="S1470" i="8"/>
  <c r="Q1470" i="8"/>
  <c r="S1469" i="8"/>
  <c r="Q1469" i="8"/>
  <c r="S1468" i="8"/>
  <c r="Q1468" i="8"/>
  <c r="S1467" i="8"/>
  <c r="Q1467" i="8"/>
  <c r="S1466" i="8"/>
  <c r="Q1466" i="8"/>
  <c r="S1465" i="8"/>
  <c r="Q1465" i="8"/>
  <c r="P1465" i="8"/>
  <c r="P1466" i="8" s="1"/>
  <c r="S1464" i="8"/>
  <c r="Q1464" i="8"/>
  <c r="P1464" i="8"/>
  <c r="S1463" i="8"/>
  <c r="Q1463" i="8"/>
  <c r="S1462" i="8"/>
  <c r="Q1462" i="8"/>
  <c r="P1462" i="8"/>
  <c r="P1463" i="8" s="1"/>
  <c r="S1461" i="8"/>
  <c r="Q1461" i="8"/>
  <c r="S1460" i="8"/>
  <c r="Q1460" i="8"/>
  <c r="S1459" i="8"/>
  <c r="Q1459" i="8"/>
  <c r="S1458" i="8"/>
  <c r="Q1458" i="8"/>
  <c r="S1457" i="8"/>
  <c r="Q1457" i="8"/>
  <c r="P1457" i="8"/>
  <c r="P1458" i="8" s="1"/>
  <c r="P1459" i="8" s="1"/>
  <c r="S1456" i="8"/>
  <c r="Q1456" i="8"/>
  <c r="S1455" i="8"/>
  <c r="Q1455" i="8"/>
  <c r="P1455" i="8"/>
  <c r="P1456" i="8" s="1"/>
  <c r="S1454" i="8"/>
  <c r="Q1454" i="8"/>
  <c r="S1453" i="8"/>
  <c r="Q1453" i="8"/>
  <c r="S1452" i="8"/>
  <c r="Q1452" i="8"/>
  <c r="S1451" i="8"/>
  <c r="Q1451" i="8"/>
  <c r="S1450" i="8"/>
  <c r="Q1450" i="8"/>
  <c r="S1449" i="8"/>
  <c r="Q1449" i="8"/>
  <c r="S1448" i="8"/>
  <c r="Q1448" i="8"/>
  <c r="P1448" i="8"/>
  <c r="P1449" i="8" s="1"/>
  <c r="S1447" i="8"/>
  <c r="Q1447" i="8"/>
  <c r="S1446" i="8"/>
  <c r="Q1446" i="8"/>
  <c r="S1445" i="8"/>
  <c r="Q1445" i="8"/>
  <c r="S1444" i="8"/>
  <c r="Q1444" i="8"/>
  <c r="P1444" i="8"/>
  <c r="P1445" i="8" s="1"/>
  <c r="S1443" i="8"/>
  <c r="Q1443" i="8"/>
  <c r="S1442" i="8"/>
  <c r="Q1442" i="8"/>
  <c r="S1441" i="8"/>
  <c r="Q1441" i="8"/>
  <c r="S1440" i="8"/>
  <c r="Q1440" i="8"/>
  <c r="S1439" i="8"/>
  <c r="Q1439" i="8"/>
  <c r="S1438" i="8"/>
  <c r="Q1438" i="8"/>
  <c r="S1437" i="8"/>
  <c r="Q1437" i="8"/>
  <c r="P1437" i="8"/>
  <c r="P1438" i="8" s="1"/>
  <c r="P1439" i="8" s="1"/>
  <c r="S1436" i="8"/>
  <c r="Q1436" i="8"/>
  <c r="S1435" i="8"/>
  <c r="Q1435" i="8"/>
  <c r="S1434" i="8"/>
  <c r="Q1434" i="8"/>
  <c r="S1433" i="8"/>
  <c r="Q1433" i="8"/>
  <c r="S1432" i="8"/>
  <c r="Q1432" i="8"/>
  <c r="S1431" i="8"/>
  <c r="Q1431" i="8"/>
  <c r="S1430" i="8"/>
  <c r="Q1430" i="8"/>
  <c r="P1430" i="8"/>
  <c r="P1431" i="8" s="1"/>
  <c r="S1429" i="8"/>
  <c r="Q1429" i="8"/>
  <c r="S1428" i="8"/>
  <c r="Q1428" i="8"/>
  <c r="S1427" i="8"/>
  <c r="Q1427" i="8"/>
  <c r="S1426" i="8"/>
  <c r="Q1426" i="8"/>
  <c r="S1425" i="8"/>
  <c r="Q1425" i="8"/>
  <c r="S1424" i="8"/>
  <c r="Q1424" i="8"/>
  <c r="S1423" i="8"/>
  <c r="Q1423" i="8"/>
  <c r="S1422" i="8"/>
  <c r="Q1422" i="8"/>
  <c r="P1422" i="8"/>
  <c r="P1423" i="8" s="1"/>
  <c r="S1421" i="8"/>
  <c r="Q1421" i="8"/>
  <c r="P1421" i="8"/>
  <c r="S1420" i="8"/>
  <c r="Q1420" i="8"/>
  <c r="S1419" i="8"/>
  <c r="Q1419" i="8"/>
  <c r="S1418" i="8"/>
  <c r="Q1418" i="8"/>
  <c r="S1417" i="8"/>
  <c r="Q1417" i="8"/>
  <c r="S1416" i="8"/>
  <c r="Q1416" i="8"/>
  <c r="S1415" i="8"/>
  <c r="Q1415" i="8"/>
  <c r="P1415" i="8"/>
  <c r="P1416" i="8" s="1"/>
  <c r="S1414" i="8"/>
  <c r="Q1414" i="8"/>
  <c r="P1414" i="8"/>
  <c r="S1413" i="8"/>
  <c r="Q1413" i="8"/>
  <c r="S1412" i="8"/>
  <c r="Q1412" i="8"/>
  <c r="S1411" i="8"/>
  <c r="Q1411" i="8"/>
  <c r="S1410" i="8"/>
  <c r="Q1410" i="8"/>
  <c r="S1409" i="8"/>
  <c r="Q1409" i="8"/>
  <c r="S1408" i="8"/>
  <c r="Q1408" i="8"/>
  <c r="P1408" i="8"/>
  <c r="P1409" i="8" s="1"/>
  <c r="S1407" i="8"/>
  <c r="Q1407" i="8"/>
  <c r="P1407" i="8"/>
  <c r="S1406" i="8"/>
  <c r="Q1406" i="8"/>
  <c r="S1405" i="8"/>
  <c r="Q1405" i="8"/>
  <c r="S1404" i="8"/>
  <c r="Q1404" i="8"/>
  <c r="S1403" i="8"/>
  <c r="Q1403" i="8"/>
  <c r="S1402" i="8"/>
  <c r="Q1402" i="8"/>
  <c r="P1402" i="8"/>
  <c r="P1403" i="8" s="1"/>
  <c r="S1401" i="8"/>
  <c r="Q1401" i="8"/>
  <c r="P1401" i="8"/>
  <c r="S1400" i="8"/>
  <c r="Q1400" i="8"/>
  <c r="P1400" i="8"/>
  <c r="S1399" i="8"/>
  <c r="Q1399" i="8"/>
  <c r="S1398" i="8"/>
  <c r="Q1398" i="8"/>
  <c r="S1397" i="8"/>
  <c r="Q1397" i="8"/>
  <c r="S1396" i="8"/>
  <c r="Q1396" i="8"/>
  <c r="S1395" i="8"/>
  <c r="Q1395" i="8"/>
  <c r="P1395" i="8"/>
  <c r="S1394" i="8"/>
  <c r="Q1394" i="8"/>
  <c r="P1394" i="8"/>
  <c r="S1393" i="8"/>
  <c r="Q1393" i="8"/>
  <c r="P1393" i="8"/>
  <c r="S1392" i="8"/>
  <c r="Q1392" i="8"/>
  <c r="P1392" i="8"/>
  <c r="S1391" i="8"/>
  <c r="Q1391" i="8"/>
  <c r="P1391" i="8"/>
  <c r="S1390" i="8"/>
  <c r="Q1390" i="8"/>
  <c r="S1389" i="8"/>
  <c r="Q1389" i="8"/>
  <c r="S1388" i="8"/>
  <c r="Q1388" i="8"/>
  <c r="P1388" i="8"/>
  <c r="S1387" i="8"/>
  <c r="Q1387" i="8"/>
  <c r="S1386" i="8"/>
  <c r="Q1386" i="8"/>
  <c r="P1386" i="8"/>
  <c r="P1387" i="8" s="1"/>
  <c r="S1385" i="8"/>
  <c r="Q1385" i="8"/>
  <c r="S1384" i="8"/>
  <c r="Q1384" i="8"/>
  <c r="S1383" i="8"/>
  <c r="Q1383" i="8"/>
  <c r="P1383" i="8"/>
  <c r="P1384" i="8" s="1"/>
  <c r="S1382" i="8"/>
  <c r="Q1382" i="8"/>
  <c r="P1382" i="8"/>
  <c r="S1381" i="8"/>
  <c r="Q1381" i="8"/>
  <c r="S1380" i="8"/>
  <c r="Q1380" i="8"/>
  <c r="S1379" i="8"/>
  <c r="Q1379" i="8"/>
  <c r="P1379" i="8"/>
  <c r="S1378" i="8"/>
  <c r="Q1378" i="8"/>
  <c r="P1378" i="8"/>
  <c r="S1377" i="8"/>
  <c r="Q1377" i="8"/>
  <c r="P1377" i="8"/>
  <c r="S1376" i="8"/>
  <c r="Q1376" i="8"/>
  <c r="S1375" i="8"/>
  <c r="Q1375" i="8"/>
  <c r="S1374" i="8"/>
  <c r="Q1374" i="8"/>
  <c r="S1373" i="8"/>
  <c r="Q1373" i="8"/>
  <c r="S1372" i="8"/>
  <c r="Q1372" i="8"/>
  <c r="P1372" i="8"/>
  <c r="S1371" i="8"/>
  <c r="Q1371" i="8"/>
  <c r="P1371" i="8"/>
  <c r="S1370" i="8"/>
  <c r="Q1370" i="8"/>
  <c r="S1369" i="8"/>
  <c r="Q1369" i="8"/>
  <c r="S1368" i="8"/>
  <c r="Q1368" i="8"/>
  <c r="S1367" i="8"/>
  <c r="Q1367" i="8"/>
  <c r="P1367" i="8"/>
  <c r="P1368" i="8" s="1"/>
  <c r="S1366" i="8"/>
  <c r="Q1366" i="8"/>
  <c r="P1366" i="8"/>
  <c r="S1365" i="8"/>
  <c r="Q1365" i="8"/>
  <c r="S1364" i="8"/>
  <c r="Q1364" i="8"/>
  <c r="S1363" i="8"/>
  <c r="Q1363" i="8"/>
  <c r="P1363" i="8"/>
  <c r="S1362" i="8"/>
  <c r="Q1362" i="8"/>
  <c r="P1362" i="8"/>
  <c r="S1361" i="8"/>
  <c r="Q1361" i="8"/>
  <c r="P1361" i="8"/>
  <c r="S1360" i="8"/>
  <c r="Q1360" i="8"/>
  <c r="S1359" i="8"/>
  <c r="Q1359" i="8"/>
  <c r="S1358" i="8"/>
  <c r="Q1358" i="8"/>
  <c r="S1357" i="8"/>
  <c r="Q1357" i="8"/>
  <c r="S1356" i="8"/>
  <c r="Q1356" i="8"/>
  <c r="P1356" i="8"/>
  <c r="S1355" i="8"/>
  <c r="Q1355" i="8"/>
  <c r="S1354" i="8"/>
  <c r="Q1354" i="8"/>
  <c r="S1353" i="8"/>
  <c r="Q1353" i="8"/>
  <c r="S1352" i="8"/>
  <c r="Q1352" i="8"/>
  <c r="S1351" i="8"/>
  <c r="Q1351" i="8"/>
  <c r="P1351" i="8"/>
  <c r="P1352" i="8" s="1"/>
  <c r="S1350" i="8"/>
  <c r="Q1350" i="8"/>
  <c r="S1349" i="8"/>
  <c r="Q1349" i="8"/>
  <c r="S1348" i="8"/>
  <c r="Q1348" i="8"/>
  <c r="S1347" i="8"/>
  <c r="Q1347" i="8"/>
  <c r="P1347" i="8"/>
  <c r="S1346" i="8"/>
  <c r="Q1346" i="8"/>
  <c r="P1346" i="8"/>
  <c r="S1345" i="8"/>
  <c r="Q1345" i="8"/>
  <c r="P1345" i="8"/>
  <c r="S1344" i="8"/>
  <c r="Q1344" i="8"/>
  <c r="S1343" i="8"/>
  <c r="Q1343" i="8"/>
  <c r="S1342" i="8"/>
  <c r="Q1342" i="8"/>
  <c r="S1341" i="8"/>
  <c r="Q1341" i="8"/>
  <c r="S1340" i="8"/>
  <c r="Q1340" i="8"/>
  <c r="P1340" i="8"/>
  <c r="S1339" i="8"/>
  <c r="Q1339" i="8"/>
  <c r="P1339" i="8"/>
  <c r="S1338" i="8"/>
  <c r="Q1338" i="8"/>
  <c r="P1338" i="8"/>
  <c r="S1337" i="8"/>
  <c r="Q1337" i="8"/>
  <c r="P1337" i="8"/>
  <c r="S1336" i="8"/>
  <c r="Q1336" i="8"/>
  <c r="P1336" i="8"/>
  <c r="S1335" i="8"/>
  <c r="Q1335" i="8"/>
  <c r="S1334" i="8"/>
  <c r="Q1334" i="8"/>
  <c r="S1333" i="8"/>
  <c r="Q1333" i="8"/>
  <c r="S1332" i="8"/>
  <c r="Q1332" i="8"/>
  <c r="S1331" i="8"/>
  <c r="Q1331" i="8"/>
  <c r="P1331" i="8"/>
  <c r="S1330" i="8"/>
  <c r="Q1330" i="8"/>
  <c r="S1329" i="8"/>
  <c r="Q1329" i="8"/>
  <c r="S1328" i="8"/>
  <c r="Q1328" i="8"/>
  <c r="P1328" i="8"/>
  <c r="P1329" i="8" s="1"/>
  <c r="S1327" i="8"/>
  <c r="Q1327" i="8"/>
  <c r="P1327" i="8"/>
  <c r="S1326" i="8"/>
  <c r="Q1326" i="8"/>
  <c r="S1325" i="8"/>
  <c r="Q1325" i="8"/>
  <c r="S1324" i="8"/>
  <c r="Q1324" i="8"/>
  <c r="S1323" i="8"/>
  <c r="Q1323" i="8"/>
  <c r="S1322" i="8"/>
  <c r="Q1322" i="8"/>
  <c r="P1322" i="8"/>
  <c r="P1323" i="8" s="1"/>
  <c r="S1321" i="8"/>
  <c r="Q1321" i="8"/>
  <c r="P1321" i="8"/>
  <c r="S1320" i="8"/>
  <c r="Q1320" i="8"/>
  <c r="P1320" i="8"/>
  <c r="S1319" i="8"/>
  <c r="Q1319" i="8"/>
  <c r="S1318" i="8"/>
  <c r="Q1318" i="8"/>
  <c r="S1317" i="8"/>
  <c r="Q1317" i="8"/>
  <c r="S1316" i="8"/>
  <c r="Q1316" i="8"/>
  <c r="S1315" i="8"/>
  <c r="Q1315" i="8"/>
  <c r="S1314" i="8"/>
  <c r="Q1314" i="8"/>
  <c r="S1313" i="8"/>
  <c r="Q1313" i="8"/>
  <c r="S1312" i="8"/>
  <c r="Q1312" i="8"/>
  <c r="P1312" i="8"/>
  <c r="P1313" i="8" s="1"/>
  <c r="S1311" i="8"/>
  <c r="Q1311" i="8"/>
  <c r="P1311" i="8"/>
  <c r="S1310" i="8"/>
  <c r="Q1310" i="8"/>
  <c r="S1309" i="8"/>
  <c r="Q1309" i="8"/>
  <c r="S1308" i="8"/>
  <c r="Q1308" i="8"/>
  <c r="S1307" i="8"/>
  <c r="Q1307" i="8"/>
  <c r="S1306" i="8"/>
  <c r="Q1306" i="8"/>
  <c r="P1306" i="8"/>
  <c r="P1307" i="8" s="1"/>
  <c r="S1305" i="8"/>
  <c r="Q1305" i="8"/>
  <c r="P1305" i="8"/>
  <c r="S1304" i="8"/>
  <c r="Q1304" i="8"/>
  <c r="P1304" i="8"/>
  <c r="S1303" i="8"/>
  <c r="Q1303" i="8"/>
  <c r="S1302" i="8"/>
  <c r="Q1302" i="8"/>
  <c r="S1301" i="8"/>
  <c r="Q1301" i="8"/>
  <c r="S1300" i="8"/>
  <c r="Q1300" i="8"/>
  <c r="S1299" i="8"/>
  <c r="Q1299" i="8"/>
  <c r="P1299" i="8"/>
  <c r="S1298" i="8"/>
  <c r="Q1298" i="8"/>
  <c r="P1298" i="8"/>
  <c r="S1297" i="8"/>
  <c r="Q1297" i="8"/>
  <c r="P1297" i="8"/>
  <c r="S1296" i="8"/>
  <c r="Q1296" i="8"/>
  <c r="S1295" i="8"/>
  <c r="Q1295" i="8"/>
  <c r="S1294" i="8"/>
  <c r="Q1294" i="8"/>
  <c r="S1293" i="8"/>
  <c r="Q1293" i="8"/>
  <c r="S1292" i="8"/>
  <c r="Q1292" i="8"/>
  <c r="S1291" i="8"/>
  <c r="Q1291" i="8"/>
  <c r="S1290" i="8"/>
  <c r="Q1290" i="8"/>
  <c r="P1290" i="8"/>
  <c r="P1291" i="8" s="1"/>
  <c r="S1289" i="8"/>
  <c r="Q1289" i="8"/>
  <c r="S1288" i="8"/>
  <c r="Q1288" i="8"/>
  <c r="S1287" i="8"/>
  <c r="Q1287" i="8"/>
  <c r="S1286" i="8"/>
  <c r="Q1286" i="8"/>
  <c r="S1285" i="8"/>
  <c r="Q1285" i="8"/>
  <c r="S1284" i="8"/>
  <c r="Q1284" i="8"/>
  <c r="S1283" i="8"/>
  <c r="Q1283" i="8"/>
  <c r="P1283" i="8"/>
  <c r="S1282" i="8"/>
  <c r="Q1282" i="8"/>
  <c r="P1282" i="8"/>
  <c r="S1281" i="8"/>
  <c r="Q1281" i="8"/>
  <c r="P1281" i="8"/>
  <c r="S1280" i="8"/>
  <c r="Q1280" i="8"/>
  <c r="P1280" i="8"/>
  <c r="S1279" i="8"/>
  <c r="Q1279" i="8"/>
  <c r="P1279" i="8"/>
  <c r="S1278" i="8"/>
  <c r="Q1278" i="8"/>
  <c r="P1278" i="8"/>
  <c r="S1277" i="8"/>
  <c r="Q1277" i="8"/>
  <c r="P1277" i="8"/>
  <c r="S1276" i="8"/>
  <c r="Q1276" i="8"/>
  <c r="P1276" i="8"/>
  <c r="S1275" i="8"/>
  <c r="Q1275" i="8"/>
  <c r="P1275" i="8"/>
  <c r="S1274" i="8"/>
  <c r="Q1274" i="8"/>
  <c r="P1274" i="8"/>
  <c r="S1273" i="8"/>
  <c r="Q1273" i="8"/>
  <c r="P1273" i="8"/>
  <c r="S1272" i="8"/>
  <c r="Q1272" i="8"/>
  <c r="P1272" i="8"/>
  <c r="S1271" i="8"/>
  <c r="Q1271" i="8"/>
  <c r="P1271" i="8"/>
  <c r="S1270" i="8"/>
  <c r="Q1270" i="8"/>
  <c r="P1270" i="8"/>
  <c r="S1269" i="8"/>
  <c r="Q1269" i="8"/>
  <c r="P1269" i="8"/>
  <c r="S1268" i="8"/>
  <c r="Q1268" i="8"/>
  <c r="P1268" i="8"/>
  <c r="S1267" i="8"/>
  <c r="Q1267" i="8"/>
  <c r="S1266" i="8"/>
  <c r="Q1266" i="8"/>
  <c r="S1265" i="8"/>
  <c r="Q1265" i="8"/>
  <c r="S1264" i="8"/>
  <c r="Q1264" i="8"/>
  <c r="S1263" i="8"/>
  <c r="Q1263" i="8"/>
  <c r="S1262" i="8"/>
  <c r="Q1262" i="8"/>
  <c r="S1261" i="8"/>
  <c r="Q1261" i="8"/>
  <c r="S1260" i="8"/>
  <c r="Q1260" i="8"/>
  <c r="S1259" i="8"/>
  <c r="Q1259" i="8"/>
  <c r="S1258" i="8"/>
  <c r="Q1258" i="8"/>
  <c r="S1257" i="8"/>
  <c r="Q1257" i="8"/>
  <c r="S1256" i="8"/>
  <c r="Q1256" i="8"/>
  <c r="S1255" i="8"/>
  <c r="Q1255" i="8"/>
  <c r="S1254" i="8"/>
  <c r="Q1254" i="8"/>
  <c r="S1253" i="8"/>
  <c r="Q1253" i="8"/>
  <c r="S1252" i="8"/>
  <c r="Q1252" i="8"/>
  <c r="S1251" i="8"/>
  <c r="Q1251" i="8"/>
  <c r="P1251" i="8"/>
  <c r="S1250" i="8"/>
  <c r="Q1250" i="8"/>
  <c r="P1250" i="8"/>
  <c r="S1249" i="8"/>
  <c r="Q1249" i="8"/>
  <c r="P1249" i="8"/>
  <c r="S1248" i="8"/>
  <c r="Q1248" i="8"/>
  <c r="S1247" i="8"/>
  <c r="Q1247" i="8"/>
  <c r="S1246" i="8"/>
  <c r="Q1246" i="8"/>
  <c r="P1246" i="8"/>
  <c r="P1247" i="8" s="1"/>
  <c r="S1245" i="8"/>
  <c r="Q1245" i="8"/>
  <c r="S1244" i="8"/>
  <c r="Q1244" i="8"/>
  <c r="P1244" i="8"/>
  <c r="S1243" i="8"/>
  <c r="Q1243" i="8"/>
  <c r="S1242" i="8"/>
  <c r="Q1242" i="8"/>
  <c r="P1242" i="8"/>
  <c r="P1243" i="8" s="1"/>
  <c r="S1241" i="8"/>
  <c r="Q1241" i="8"/>
  <c r="P1241" i="8"/>
  <c r="S1240" i="8"/>
  <c r="Q1240" i="8"/>
  <c r="S1239" i="8"/>
  <c r="Q1239" i="8"/>
  <c r="S1238" i="8"/>
  <c r="Q1238" i="8"/>
  <c r="S1237" i="8"/>
  <c r="Q1237" i="8"/>
  <c r="P1237" i="8"/>
  <c r="S1236" i="8"/>
  <c r="Q1236" i="8"/>
  <c r="S1235" i="8"/>
  <c r="Q1235" i="8"/>
  <c r="P1235" i="8"/>
  <c r="S1234" i="8"/>
  <c r="Q1234" i="8"/>
  <c r="S1233" i="8"/>
  <c r="Q1233" i="8"/>
  <c r="S1232" i="8"/>
  <c r="Q1232" i="8"/>
  <c r="S1231" i="8"/>
  <c r="Q1231" i="8"/>
  <c r="S1230" i="8"/>
  <c r="Q1230" i="8"/>
  <c r="S1229" i="8"/>
  <c r="Q1229" i="8"/>
  <c r="S1228" i="8"/>
  <c r="Q1228" i="8"/>
  <c r="S1227" i="8"/>
  <c r="Q1227" i="8"/>
  <c r="S1226" i="8"/>
  <c r="Q1226" i="8"/>
  <c r="S1225" i="8"/>
  <c r="Q1225" i="8"/>
  <c r="S1224" i="8"/>
  <c r="Q1224" i="8"/>
  <c r="S1223" i="8"/>
  <c r="Q1223" i="8"/>
  <c r="S1222" i="8"/>
  <c r="Q1222" i="8"/>
  <c r="S1221" i="8"/>
  <c r="Q1221" i="8"/>
  <c r="S1220" i="8"/>
  <c r="Q1220" i="8"/>
  <c r="P1220" i="8"/>
  <c r="P1221" i="8" s="1"/>
  <c r="S1219" i="8"/>
  <c r="Q1219" i="8"/>
  <c r="S1218" i="8"/>
  <c r="Q1218" i="8"/>
  <c r="S1217" i="8"/>
  <c r="Q1217" i="8"/>
  <c r="S1216" i="8"/>
  <c r="Q1216" i="8"/>
  <c r="S1215" i="8"/>
  <c r="Q1215" i="8"/>
  <c r="S1214" i="8"/>
  <c r="Q1214" i="8"/>
  <c r="S1213" i="8"/>
  <c r="Q1213" i="8"/>
  <c r="S1212" i="8"/>
  <c r="Q1212" i="8"/>
  <c r="P1212" i="8"/>
  <c r="P1213" i="8" s="1"/>
  <c r="S1211" i="8"/>
  <c r="Q1211" i="8"/>
  <c r="P1211" i="8"/>
  <c r="S1210" i="8"/>
  <c r="Q1210" i="8"/>
  <c r="S1209" i="8"/>
  <c r="Q1209" i="8"/>
  <c r="S1208" i="8"/>
  <c r="Q1208" i="8"/>
  <c r="S1207" i="8"/>
  <c r="Q1207" i="8"/>
  <c r="S1206" i="8"/>
  <c r="Q1206" i="8"/>
  <c r="P1206" i="8"/>
  <c r="P1207" i="8" s="1"/>
  <c r="S1205" i="8"/>
  <c r="Q1205" i="8"/>
  <c r="S1204" i="8"/>
  <c r="Q1204" i="8"/>
  <c r="P1204" i="8"/>
  <c r="P1205" i="8" s="1"/>
  <c r="S1203" i="8"/>
  <c r="Q1203" i="8"/>
  <c r="S1202" i="8"/>
  <c r="Q1202" i="8"/>
  <c r="S1201" i="8"/>
  <c r="Q1201" i="8"/>
  <c r="S1200" i="8"/>
  <c r="Q1200" i="8"/>
  <c r="S1199" i="8"/>
  <c r="Q1199" i="8"/>
  <c r="S1198" i="8"/>
  <c r="Q1198" i="8"/>
  <c r="S1197" i="8"/>
  <c r="Q1197" i="8"/>
  <c r="S1196" i="8"/>
  <c r="Q1196" i="8"/>
  <c r="S1195" i="8"/>
  <c r="Q1195" i="8"/>
  <c r="S1194" i="8"/>
  <c r="Q1194" i="8"/>
  <c r="S1193" i="8"/>
  <c r="Q1193" i="8"/>
  <c r="S1192" i="8"/>
  <c r="Q1192" i="8"/>
  <c r="S1191" i="8"/>
  <c r="Q1191" i="8"/>
  <c r="S1190" i="8"/>
  <c r="Q1190" i="8"/>
  <c r="S1189" i="8"/>
  <c r="Q1189" i="8"/>
  <c r="S1188" i="8"/>
  <c r="Q1188" i="8"/>
  <c r="P1188" i="8"/>
  <c r="P1189" i="8" s="1"/>
  <c r="S1187" i="8"/>
  <c r="Q1187" i="8"/>
  <c r="P1187" i="8"/>
  <c r="S1186" i="8"/>
  <c r="Q1186" i="8"/>
  <c r="S1185" i="8"/>
  <c r="Q1185" i="8"/>
  <c r="S1184" i="8"/>
  <c r="Q1184" i="8"/>
  <c r="S1183" i="8"/>
  <c r="Q1183" i="8"/>
  <c r="S1182" i="8"/>
  <c r="Q1182" i="8"/>
  <c r="S1181" i="8"/>
  <c r="Q1181" i="8"/>
  <c r="S1180" i="8"/>
  <c r="Q1180" i="8"/>
  <c r="S1179" i="8"/>
  <c r="Q1179" i="8"/>
  <c r="S1178" i="8"/>
  <c r="Q1178" i="8"/>
  <c r="P1178" i="8"/>
  <c r="P1179" i="8" s="1"/>
  <c r="S1177" i="8"/>
  <c r="Q1177" i="8"/>
  <c r="S1176" i="8"/>
  <c r="Q1176" i="8"/>
  <c r="S1175" i="8"/>
  <c r="Q1175" i="8"/>
  <c r="S1174" i="8"/>
  <c r="Q1174" i="8"/>
  <c r="S1173" i="8"/>
  <c r="Q1173" i="8"/>
  <c r="S1172" i="8"/>
  <c r="Q1172" i="8"/>
  <c r="S1171" i="8"/>
  <c r="Q1171" i="8"/>
  <c r="S1170" i="8"/>
  <c r="Q1170" i="8"/>
  <c r="P1170" i="8"/>
  <c r="P1171" i="8" s="1"/>
  <c r="S1169" i="8"/>
  <c r="Q1169" i="8"/>
  <c r="P1169" i="8"/>
  <c r="S1168" i="8"/>
  <c r="Q1168" i="8"/>
  <c r="P1168" i="8"/>
  <c r="S1167" i="8"/>
  <c r="Q1167" i="8"/>
  <c r="S1166" i="8"/>
  <c r="Q1166" i="8"/>
  <c r="S1165" i="8"/>
  <c r="Q1165" i="8"/>
  <c r="S1164" i="8"/>
  <c r="Q1164" i="8"/>
  <c r="S1163" i="8"/>
  <c r="Q1163" i="8"/>
  <c r="S1162" i="8"/>
  <c r="Q1162" i="8"/>
  <c r="S1161" i="8"/>
  <c r="Q1161" i="8"/>
  <c r="S1160" i="8"/>
  <c r="Q1160" i="8"/>
  <c r="S1159" i="8"/>
  <c r="Q1159" i="8"/>
  <c r="S1158" i="8"/>
  <c r="Q1158" i="8"/>
  <c r="S1157" i="8"/>
  <c r="Q1157" i="8"/>
  <c r="S1156" i="8"/>
  <c r="Q1156" i="8"/>
  <c r="S1155" i="8"/>
  <c r="Q1155" i="8"/>
  <c r="S1154" i="8"/>
  <c r="Q1154" i="8"/>
  <c r="S1153" i="8"/>
  <c r="Q1153" i="8"/>
  <c r="S1152" i="8"/>
  <c r="Q1152" i="8"/>
  <c r="S1151" i="8"/>
  <c r="Q1151" i="8"/>
  <c r="S1150" i="8"/>
  <c r="Q1150" i="8"/>
  <c r="P1150" i="8"/>
  <c r="P1151" i="8" s="1"/>
  <c r="S1149" i="8"/>
  <c r="Q1149" i="8"/>
  <c r="P1149" i="8"/>
  <c r="S1148" i="8"/>
  <c r="Q1148" i="8"/>
  <c r="S1147" i="8"/>
  <c r="Q1147" i="8"/>
  <c r="S1146" i="8"/>
  <c r="Q1146" i="8"/>
  <c r="S1145" i="8"/>
  <c r="Q1145" i="8"/>
  <c r="S1144" i="8"/>
  <c r="Q1144" i="8"/>
  <c r="S1143" i="8"/>
  <c r="Q1143" i="8"/>
  <c r="S1142" i="8"/>
  <c r="Q1142" i="8"/>
  <c r="S1141" i="8"/>
  <c r="Q1141" i="8"/>
  <c r="S1140" i="8"/>
  <c r="Q1140" i="8"/>
  <c r="S1139" i="8"/>
  <c r="Q1139" i="8"/>
  <c r="S1138" i="8"/>
  <c r="Q1138" i="8"/>
  <c r="S1137" i="8"/>
  <c r="Q1137" i="8"/>
  <c r="S1136" i="8"/>
  <c r="Q1136" i="8"/>
  <c r="S1135" i="8"/>
  <c r="Q1135" i="8"/>
  <c r="S1134" i="8"/>
  <c r="Q1134" i="8"/>
  <c r="S1133" i="8"/>
  <c r="Q1133" i="8"/>
  <c r="S1132" i="8"/>
  <c r="Q1132" i="8"/>
  <c r="S1131" i="8"/>
  <c r="Q1131" i="8"/>
  <c r="S1130" i="8"/>
  <c r="Q1130" i="8"/>
  <c r="S1129" i="8"/>
  <c r="Q1129" i="8"/>
  <c r="S1128" i="8"/>
  <c r="Q1128" i="8"/>
  <c r="P1128" i="8"/>
  <c r="P1129" i="8" s="1"/>
  <c r="S1127" i="8"/>
  <c r="Q1127" i="8"/>
  <c r="S1126" i="8"/>
  <c r="Q1126" i="8"/>
  <c r="S1125" i="8"/>
  <c r="Q1125" i="8"/>
  <c r="S1124" i="8"/>
  <c r="Q1124" i="8"/>
  <c r="S1123" i="8"/>
  <c r="Q1123" i="8"/>
  <c r="S1122" i="8"/>
  <c r="Q1122" i="8"/>
  <c r="P1122" i="8"/>
  <c r="S1121" i="8"/>
  <c r="Q1121" i="8"/>
  <c r="S1120" i="8"/>
  <c r="Q1120" i="8"/>
  <c r="S1119" i="8"/>
  <c r="Q1119" i="8"/>
  <c r="S1118" i="8"/>
  <c r="Q1118" i="8"/>
  <c r="S1117" i="8"/>
  <c r="Q1117" i="8"/>
  <c r="S1116" i="8"/>
  <c r="Q1116" i="8"/>
  <c r="S1115" i="8"/>
  <c r="Q1115" i="8"/>
  <c r="S1114" i="8"/>
  <c r="Q1114" i="8"/>
  <c r="S1113" i="8"/>
  <c r="Q1113" i="8"/>
  <c r="S1112" i="8"/>
  <c r="Q1112" i="8"/>
  <c r="S1111" i="8"/>
  <c r="Q1111" i="8"/>
  <c r="S1110" i="8"/>
  <c r="Q1110" i="8"/>
  <c r="S1109" i="8"/>
  <c r="Q1109" i="8"/>
  <c r="S1108" i="8"/>
  <c r="Q1108" i="8"/>
  <c r="S1107" i="8"/>
  <c r="Q1107" i="8"/>
  <c r="S1106" i="8"/>
  <c r="Q1106" i="8"/>
  <c r="P1106" i="8"/>
  <c r="P1107" i="8" s="1"/>
  <c r="P1108" i="8" s="1"/>
  <c r="S1105" i="8"/>
  <c r="Q1105" i="8"/>
  <c r="P1105" i="8"/>
  <c r="S1104" i="8"/>
  <c r="Q1104" i="8"/>
  <c r="P1104" i="8"/>
  <c r="S1103" i="8"/>
  <c r="Q1103" i="8"/>
  <c r="S1102" i="8"/>
  <c r="Q1102" i="8"/>
  <c r="P1102" i="8"/>
  <c r="P1103" i="8" s="1"/>
  <c r="S1101" i="8"/>
  <c r="Q1101" i="8"/>
  <c r="S1100" i="8"/>
  <c r="Q1100" i="8"/>
  <c r="P1100" i="8"/>
  <c r="P1101" i="8" s="1"/>
  <c r="S1099" i="8"/>
  <c r="Q1099" i="8"/>
  <c r="P1099" i="8"/>
  <c r="S1098" i="8"/>
  <c r="Q1098" i="8"/>
  <c r="S1097" i="8"/>
  <c r="Q1097" i="8"/>
  <c r="S1096" i="8"/>
  <c r="Q1096" i="8"/>
  <c r="P1096" i="8"/>
  <c r="P1097" i="8" s="1"/>
  <c r="P1098" i="8" s="1"/>
  <c r="S1095" i="8"/>
  <c r="Q1095" i="8"/>
  <c r="P1095" i="8"/>
  <c r="S1094" i="8"/>
  <c r="Q1094" i="8"/>
  <c r="P1094" i="8"/>
  <c r="S1093" i="8"/>
  <c r="Q1093" i="8"/>
  <c r="S1092" i="8"/>
  <c r="Q1092" i="8"/>
  <c r="P1092" i="8"/>
  <c r="P1093" i="8" s="1"/>
  <c r="S1091" i="8"/>
  <c r="Q1091" i="8"/>
  <c r="P1091" i="8"/>
  <c r="S1090" i="8"/>
  <c r="Q1090" i="8"/>
  <c r="S1089" i="8"/>
  <c r="Q1089" i="8"/>
  <c r="S1088" i="8"/>
  <c r="Q1088" i="8"/>
  <c r="S1087" i="8"/>
  <c r="Q1087" i="8"/>
  <c r="S1086" i="8"/>
  <c r="Q1086" i="8"/>
  <c r="P1086" i="8"/>
  <c r="P1087" i="8" s="1"/>
  <c r="P1088" i="8" s="1"/>
  <c r="S1085" i="8"/>
  <c r="Q1085" i="8"/>
  <c r="S1084" i="8"/>
  <c r="Q1084" i="8"/>
  <c r="P1084" i="8"/>
  <c r="S1083" i="8"/>
  <c r="Q1083" i="8"/>
  <c r="P1083" i="8"/>
  <c r="S1082" i="8"/>
  <c r="Q1082" i="8"/>
  <c r="S1081" i="8"/>
  <c r="Q1081" i="8"/>
  <c r="S1080" i="8"/>
  <c r="Q1080" i="8"/>
  <c r="S1079" i="8"/>
  <c r="Q1079" i="8"/>
  <c r="S1078" i="8"/>
  <c r="Q1078" i="8"/>
  <c r="P1078" i="8"/>
  <c r="P1079" i="8" s="1"/>
  <c r="P1080" i="8" s="1"/>
  <c r="S1077" i="8"/>
  <c r="Q1077" i="8"/>
  <c r="S1076" i="8"/>
  <c r="Q1076" i="8"/>
  <c r="P1076" i="8"/>
  <c r="P1077" i="8" s="1"/>
  <c r="S1075" i="8"/>
  <c r="Q1075" i="8"/>
  <c r="S1074" i="8"/>
  <c r="Q1074" i="8"/>
  <c r="P1074" i="8"/>
  <c r="P1075" i="8" s="1"/>
  <c r="S1073" i="8"/>
  <c r="Q1073" i="8"/>
  <c r="P1073" i="8"/>
  <c r="S1072" i="8"/>
  <c r="Q1072" i="8"/>
  <c r="P1072" i="8"/>
  <c r="S1071" i="8"/>
  <c r="Q1071" i="8"/>
  <c r="S1070" i="8"/>
  <c r="Q1070" i="8"/>
  <c r="P1070" i="8"/>
  <c r="P1071" i="8" s="1"/>
  <c r="S1069" i="8"/>
  <c r="Q1069" i="8"/>
  <c r="S1068" i="8"/>
  <c r="Q1068" i="8"/>
  <c r="S1067" i="8"/>
  <c r="Q1067" i="8"/>
  <c r="S1066" i="8"/>
  <c r="Q1066" i="8"/>
  <c r="S1065" i="8"/>
  <c r="Q1065" i="8"/>
  <c r="S1064" i="8"/>
  <c r="Q1064" i="8"/>
  <c r="S1063" i="8"/>
  <c r="Q1063" i="8"/>
  <c r="S1062" i="8"/>
  <c r="Q1062" i="8"/>
  <c r="S1061" i="8"/>
  <c r="Q1061" i="8"/>
  <c r="S1060" i="8"/>
  <c r="Q1060" i="8"/>
  <c r="S1059" i="8"/>
  <c r="Q1059" i="8"/>
  <c r="S1058" i="8"/>
  <c r="Q1058" i="8"/>
  <c r="P1058" i="8"/>
  <c r="S1057" i="8"/>
  <c r="Q1057" i="8"/>
  <c r="P1057" i="8"/>
  <c r="S1056" i="8"/>
  <c r="Q1056" i="8"/>
  <c r="S1055" i="8"/>
  <c r="Q1055" i="8"/>
  <c r="S1054" i="8"/>
  <c r="Q1054" i="8"/>
  <c r="S1053" i="8"/>
  <c r="Q1053" i="8"/>
  <c r="S1052" i="8"/>
  <c r="Q1052" i="8"/>
  <c r="S1051" i="8"/>
  <c r="Q1051" i="8"/>
  <c r="S1050" i="8"/>
  <c r="Q1050" i="8"/>
  <c r="P1050" i="8"/>
  <c r="P1051" i="8" s="1"/>
  <c r="P1052" i="8" s="1"/>
  <c r="S1049" i="8"/>
  <c r="Q1049" i="8"/>
  <c r="S1048" i="8"/>
  <c r="Q1048" i="8"/>
  <c r="P1048" i="8"/>
  <c r="P1049" i="8" s="1"/>
  <c r="S1047" i="8"/>
  <c r="Q1047" i="8"/>
  <c r="S1046" i="8"/>
  <c r="Q1046" i="8"/>
  <c r="P1046" i="8"/>
  <c r="P1047" i="8" s="1"/>
  <c r="S1045" i="8"/>
  <c r="Q1045" i="8"/>
  <c r="S1044" i="8"/>
  <c r="Q1044" i="8"/>
  <c r="S1043" i="8"/>
  <c r="Q1043" i="8"/>
  <c r="S1042" i="8"/>
  <c r="Q1042" i="8"/>
  <c r="P1042" i="8"/>
  <c r="P1043" i="8" s="1"/>
  <c r="P1044" i="8" s="1"/>
  <c r="S1041" i="8"/>
  <c r="Q1041" i="8"/>
  <c r="S1040" i="8"/>
  <c r="Q1040" i="8"/>
  <c r="S1039" i="8"/>
  <c r="Q1039" i="8"/>
  <c r="S1038" i="8"/>
  <c r="Q1038" i="8"/>
  <c r="S1037" i="8"/>
  <c r="Q1037" i="8"/>
  <c r="S1036" i="8"/>
  <c r="Q1036" i="8"/>
  <c r="S1035" i="8"/>
  <c r="Q1035" i="8"/>
  <c r="S1034" i="8"/>
  <c r="Q1034" i="8"/>
  <c r="P1034" i="8"/>
  <c r="P1035" i="8" s="1"/>
  <c r="P1036" i="8" s="1"/>
  <c r="S1033" i="8"/>
  <c r="Q1033" i="8"/>
  <c r="P1033" i="8"/>
  <c r="S1032" i="8"/>
  <c r="Q1032" i="8"/>
  <c r="S1031" i="8"/>
  <c r="Q1031" i="8"/>
  <c r="S1030" i="8"/>
  <c r="Q1030" i="8"/>
  <c r="S1029" i="8"/>
  <c r="Q1029" i="8"/>
  <c r="S1028" i="8"/>
  <c r="Q1028" i="8"/>
  <c r="S1027" i="8"/>
  <c r="Q1027" i="8"/>
  <c r="S1026" i="8"/>
  <c r="Q1026" i="8"/>
  <c r="P1026" i="8"/>
  <c r="P1027" i="8" s="1"/>
  <c r="P1028" i="8" s="1"/>
  <c r="S1025" i="8"/>
  <c r="Q1025" i="8"/>
  <c r="S1024" i="8"/>
  <c r="Q1024" i="8"/>
  <c r="P1024" i="8"/>
  <c r="S1023" i="8"/>
  <c r="Q1023" i="8"/>
  <c r="S1022" i="8"/>
  <c r="Q1022" i="8"/>
  <c r="P1022" i="8"/>
  <c r="P1023" i="8" s="1"/>
  <c r="S1021" i="8"/>
  <c r="Q1021" i="8"/>
  <c r="P1021" i="8"/>
  <c r="S1020" i="8"/>
  <c r="Q1020" i="8"/>
  <c r="S1019" i="8"/>
  <c r="Q1019" i="8"/>
  <c r="S1018" i="8"/>
  <c r="Q1018" i="8"/>
  <c r="P1018" i="8"/>
  <c r="P1019" i="8" s="1"/>
  <c r="P1020" i="8" s="1"/>
  <c r="S1017" i="8"/>
  <c r="Q1017" i="8"/>
  <c r="S1016" i="8"/>
  <c r="Q1016" i="8"/>
  <c r="S1015" i="8"/>
  <c r="Q1015" i="8"/>
  <c r="S1014" i="8"/>
  <c r="Q1014" i="8"/>
  <c r="S1013" i="8"/>
  <c r="Q1013" i="8"/>
  <c r="S1012" i="8"/>
  <c r="Q1012" i="8"/>
  <c r="P1012" i="8"/>
  <c r="P1013" i="8" s="1"/>
  <c r="S1011" i="8"/>
  <c r="Q1011" i="8"/>
  <c r="S1010" i="8"/>
  <c r="Q1010" i="8"/>
  <c r="S1009" i="8"/>
  <c r="Q1009" i="8"/>
  <c r="S1008" i="8"/>
  <c r="Q1008" i="8"/>
  <c r="S1007" i="8"/>
  <c r="Q1007" i="8"/>
  <c r="P1007" i="8"/>
  <c r="S1006" i="8"/>
  <c r="Q1006" i="8"/>
  <c r="S1005" i="8"/>
  <c r="Q1005" i="8"/>
  <c r="P1005" i="8"/>
  <c r="S1004" i="8"/>
  <c r="Q1004" i="8"/>
  <c r="P1004" i="8"/>
  <c r="S1003" i="8"/>
  <c r="Q1003" i="8"/>
  <c r="P1003" i="8"/>
  <c r="S1002" i="8"/>
  <c r="Q1002" i="8"/>
  <c r="S1001" i="8"/>
  <c r="Q1001" i="8"/>
  <c r="S1000" i="8"/>
  <c r="Q1000" i="8"/>
  <c r="S999" i="8"/>
  <c r="Q999" i="8"/>
  <c r="S998" i="8"/>
  <c r="Q998" i="8"/>
  <c r="S997" i="8"/>
  <c r="Q997" i="8"/>
  <c r="S996" i="8"/>
  <c r="Q996" i="8"/>
  <c r="S995" i="8"/>
  <c r="Q995" i="8"/>
  <c r="S994" i="8"/>
  <c r="Q994" i="8"/>
  <c r="S993" i="8"/>
  <c r="Q993" i="8"/>
  <c r="S992" i="8"/>
  <c r="Q992" i="8"/>
  <c r="S991" i="8"/>
  <c r="Q991" i="8"/>
  <c r="S990" i="8"/>
  <c r="Q990" i="8"/>
  <c r="S989" i="8"/>
  <c r="Q989" i="8"/>
  <c r="P989" i="8"/>
  <c r="S988" i="8"/>
  <c r="Q988" i="8"/>
  <c r="S987" i="8"/>
  <c r="Q987" i="8"/>
  <c r="S986" i="8"/>
  <c r="Q986" i="8"/>
  <c r="S985" i="8"/>
  <c r="Q985" i="8"/>
  <c r="S984" i="8"/>
  <c r="Q984" i="8"/>
  <c r="P984" i="8"/>
  <c r="S983" i="8"/>
  <c r="Q983" i="8"/>
  <c r="S982" i="8"/>
  <c r="Q982" i="8"/>
  <c r="S981" i="8"/>
  <c r="Q981" i="8"/>
  <c r="S980" i="8"/>
  <c r="Q980" i="8"/>
  <c r="S979" i="8"/>
  <c r="Q979" i="8"/>
  <c r="S978" i="8"/>
  <c r="Q978" i="8"/>
  <c r="S977" i="8"/>
  <c r="Q977" i="8"/>
  <c r="S976" i="8"/>
  <c r="Q976" i="8"/>
  <c r="S975" i="8"/>
  <c r="Q975" i="8"/>
  <c r="P975" i="8"/>
  <c r="S974" i="8"/>
  <c r="Q974" i="8"/>
  <c r="S973" i="8"/>
  <c r="Q973" i="8"/>
  <c r="P973" i="8"/>
  <c r="S972" i="8"/>
  <c r="Q972" i="8"/>
  <c r="S971" i="8"/>
  <c r="Q971" i="8"/>
  <c r="S970" i="8"/>
  <c r="Q970" i="8"/>
  <c r="S969" i="8"/>
  <c r="Q969" i="8"/>
  <c r="S968" i="8"/>
  <c r="Q968" i="8"/>
  <c r="S967" i="8"/>
  <c r="Q967" i="8"/>
  <c r="S966" i="8"/>
  <c r="Q966" i="8"/>
  <c r="S965" i="8"/>
  <c r="Q965" i="8"/>
  <c r="S964" i="8"/>
  <c r="Q964" i="8"/>
  <c r="P964" i="8"/>
  <c r="P965" i="8" s="1"/>
  <c r="S963" i="8"/>
  <c r="Q963" i="8"/>
  <c r="S962" i="8"/>
  <c r="Q962" i="8"/>
  <c r="P962" i="8"/>
  <c r="P963" i="8" s="1"/>
  <c r="S961" i="8"/>
  <c r="Q961" i="8"/>
  <c r="S960" i="8"/>
  <c r="Q960" i="8"/>
  <c r="S959" i="8"/>
  <c r="Q959" i="8"/>
  <c r="S958" i="8"/>
  <c r="Q958" i="8"/>
  <c r="P958" i="8"/>
  <c r="P959" i="8" s="1"/>
  <c r="S957" i="8"/>
  <c r="Q957" i="8"/>
  <c r="P957" i="8"/>
  <c r="S956" i="8"/>
  <c r="Q956" i="8"/>
  <c r="S955" i="8"/>
  <c r="Q955" i="8"/>
  <c r="S954" i="8"/>
  <c r="Q954" i="8"/>
  <c r="P954" i="8"/>
  <c r="P955" i="8" s="1"/>
  <c r="S953" i="8"/>
  <c r="Q953" i="8"/>
  <c r="P953" i="8"/>
  <c r="S952" i="8"/>
  <c r="Q952" i="8"/>
  <c r="S951" i="8"/>
  <c r="Q951" i="8"/>
  <c r="S950" i="8"/>
  <c r="Q950" i="8"/>
  <c r="P950" i="8"/>
  <c r="P951" i="8" s="1"/>
  <c r="S949" i="8"/>
  <c r="Q949" i="8"/>
  <c r="P949" i="8"/>
  <c r="S948" i="8"/>
  <c r="Q948" i="8"/>
  <c r="S947" i="8"/>
  <c r="Q947" i="8"/>
  <c r="S946" i="8"/>
  <c r="Q946" i="8"/>
  <c r="P946" i="8"/>
  <c r="P947" i="8" s="1"/>
  <c r="S945" i="8"/>
  <c r="Q945" i="8"/>
  <c r="P945" i="8"/>
  <c r="S944" i="8"/>
  <c r="Q944" i="8"/>
  <c r="S943" i="8"/>
  <c r="Q943" i="8"/>
  <c r="S942" i="8"/>
  <c r="Q942" i="8"/>
  <c r="S941" i="8"/>
  <c r="Q941" i="8"/>
  <c r="S940" i="8"/>
  <c r="Q940" i="8"/>
  <c r="S939" i="8"/>
  <c r="Q939" i="8"/>
  <c r="S938" i="8"/>
  <c r="Q938" i="8"/>
  <c r="S937" i="8"/>
  <c r="Q937" i="8"/>
  <c r="S936" i="8"/>
  <c r="Q936" i="8"/>
  <c r="S935" i="8"/>
  <c r="Q935" i="8"/>
  <c r="S934" i="8"/>
  <c r="Q934" i="8"/>
  <c r="P934" i="8"/>
  <c r="P935" i="8" s="1"/>
  <c r="S933" i="8"/>
  <c r="Q933" i="8"/>
  <c r="P933" i="8"/>
  <c r="S932" i="8"/>
  <c r="Q932" i="8"/>
  <c r="S931" i="8"/>
  <c r="Q931" i="8"/>
  <c r="S930" i="8"/>
  <c r="Q930" i="8"/>
  <c r="P930" i="8"/>
  <c r="P931" i="8" s="1"/>
  <c r="S929" i="8"/>
  <c r="Q929" i="8"/>
  <c r="P929" i="8"/>
  <c r="S928" i="8"/>
  <c r="Q928" i="8"/>
  <c r="P928" i="8"/>
  <c r="S927" i="8"/>
  <c r="Q927" i="8"/>
  <c r="P927" i="8"/>
  <c r="S926" i="8"/>
  <c r="Q926" i="8"/>
  <c r="P926" i="8"/>
  <c r="S925" i="8"/>
  <c r="Q925" i="8"/>
  <c r="P925" i="8"/>
  <c r="S924" i="8"/>
  <c r="Q924" i="8"/>
  <c r="P924" i="8"/>
  <c r="S923" i="8"/>
  <c r="Q923" i="8"/>
  <c r="P923" i="8"/>
  <c r="S922" i="8"/>
  <c r="Q922" i="8"/>
  <c r="P922" i="8"/>
  <c r="S921" i="8"/>
  <c r="Q921" i="8"/>
  <c r="P921" i="8"/>
  <c r="S920" i="8"/>
  <c r="Q920" i="8"/>
  <c r="P920" i="8"/>
  <c r="S919" i="8"/>
  <c r="Q919" i="8"/>
  <c r="P919" i="8"/>
  <c r="S918" i="8"/>
  <c r="Q918" i="8"/>
  <c r="P918" i="8"/>
  <c r="S917" i="8"/>
  <c r="Q917" i="8"/>
  <c r="P917" i="8"/>
  <c r="S916" i="8"/>
  <c r="Q916" i="8"/>
  <c r="P916" i="8"/>
  <c r="S915" i="8"/>
  <c r="Q915" i="8"/>
  <c r="S914" i="8"/>
  <c r="Q914" i="8"/>
  <c r="S913" i="8"/>
  <c r="Q913" i="8"/>
  <c r="S912" i="8"/>
  <c r="Q912" i="8"/>
  <c r="S911" i="8"/>
  <c r="Q911" i="8"/>
  <c r="S910" i="8"/>
  <c r="Q910" i="8"/>
  <c r="S909" i="8"/>
  <c r="Q909" i="8"/>
  <c r="S908" i="8"/>
  <c r="Q908" i="8"/>
  <c r="P908" i="8"/>
  <c r="P909" i="8" s="1"/>
  <c r="S907" i="8"/>
  <c r="Q907" i="8"/>
  <c r="S906" i="8"/>
  <c r="Q906" i="8"/>
  <c r="S905" i="8"/>
  <c r="Q905" i="8"/>
  <c r="S904" i="8"/>
  <c r="Q904" i="8"/>
  <c r="S903" i="8"/>
  <c r="Q903" i="8"/>
  <c r="S902" i="8"/>
  <c r="Q902" i="8"/>
  <c r="P902" i="8"/>
  <c r="P903" i="8" s="1"/>
  <c r="S901" i="8"/>
  <c r="Q901" i="8"/>
  <c r="P901" i="8"/>
  <c r="S900" i="8"/>
  <c r="Q900" i="8"/>
  <c r="S899" i="8"/>
  <c r="Q899" i="8"/>
  <c r="S898" i="8"/>
  <c r="Q898" i="8"/>
  <c r="S897" i="8"/>
  <c r="Q897" i="8"/>
  <c r="S896" i="8"/>
  <c r="Q896" i="8"/>
  <c r="S895" i="8"/>
  <c r="Q895" i="8"/>
  <c r="S894" i="8"/>
  <c r="Q894" i="8"/>
  <c r="P894" i="8"/>
  <c r="P895" i="8" s="1"/>
  <c r="S893" i="8"/>
  <c r="Q893" i="8"/>
  <c r="S892" i="8"/>
  <c r="Q892" i="8"/>
  <c r="S891" i="8"/>
  <c r="Q891" i="8"/>
  <c r="S890" i="8"/>
  <c r="Q890" i="8"/>
  <c r="P890" i="8"/>
  <c r="P891" i="8" s="1"/>
  <c r="S889" i="8"/>
  <c r="Q889" i="8"/>
  <c r="S888" i="8"/>
  <c r="Q888" i="8"/>
  <c r="S887" i="8"/>
  <c r="Q887" i="8"/>
  <c r="S886" i="8"/>
  <c r="Q886" i="8"/>
  <c r="S885" i="8"/>
  <c r="Q885" i="8"/>
  <c r="S884" i="8"/>
  <c r="Q884" i="8"/>
  <c r="P884" i="8"/>
  <c r="P885" i="8" s="1"/>
  <c r="S883" i="8"/>
  <c r="Q883" i="8"/>
  <c r="P883" i="8"/>
  <c r="S882" i="8"/>
  <c r="Q882" i="8"/>
  <c r="P882" i="8"/>
  <c r="S881" i="8"/>
  <c r="Q881" i="8"/>
  <c r="S880" i="8"/>
  <c r="Q880" i="8"/>
  <c r="P880" i="8"/>
  <c r="S879" i="8"/>
  <c r="Q879" i="8"/>
  <c r="S878" i="8"/>
  <c r="Q878" i="8"/>
  <c r="S877" i="8"/>
  <c r="Q877" i="8"/>
  <c r="S876" i="8"/>
  <c r="Q876" i="8"/>
  <c r="S875" i="8"/>
  <c r="Q875" i="8"/>
  <c r="S874" i="8"/>
  <c r="Q874" i="8"/>
  <c r="P874" i="8"/>
  <c r="S873" i="8"/>
  <c r="Q873" i="8"/>
  <c r="S872" i="8"/>
  <c r="Q872" i="8"/>
  <c r="P872" i="8"/>
  <c r="S871" i="8"/>
  <c r="Q871" i="8"/>
  <c r="S870" i="8"/>
  <c r="Q870" i="8"/>
  <c r="S869" i="8"/>
  <c r="Q869" i="8"/>
  <c r="S868" i="8"/>
  <c r="Q868" i="8"/>
  <c r="S867" i="8"/>
  <c r="Q867" i="8"/>
  <c r="S866" i="8"/>
  <c r="Q866" i="8"/>
  <c r="P866" i="8"/>
  <c r="S865" i="8"/>
  <c r="Q865" i="8"/>
  <c r="P865" i="8"/>
  <c r="S864" i="8"/>
  <c r="Q864" i="8"/>
  <c r="P864" i="8"/>
  <c r="S863" i="8"/>
  <c r="Q863" i="8"/>
  <c r="P863" i="8"/>
  <c r="S862" i="8"/>
  <c r="Q862" i="8"/>
  <c r="P862" i="8"/>
  <c r="S861" i="8"/>
  <c r="Q861" i="8"/>
  <c r="P861" i="8"/>
  <c r="S860" i="8"/>
  <c r="Q860" i="8"/>
  <c r="S859" i="8"/>
  <c r="Q859" i="8"/>
  <c r="S858" i="8"/>
  <c r="Q858" i="8"/>
  <c r="S857" i="8"/>
  <c r="Q857" i="8"/>
  <c r="P857" i="8"/>
  <c r="S856" i="8"/>
  <c r="Q856" i="8"/>
  <c r="P856" i="8"/>
  <c r="S855" i="8"/>
  <c r="Q855" i="8"/>
  <c r="P855" i="8"/>
  <c r="S854" i="8"/>
  <c r="Q854" i="8"/>
  <c r="P854" i="8"/>
  <c r="S853" i="8"/>
  <c r="Q853" i="8"/>
  <c r="S852" i="8"/>
  <c r="Q852" i="8"/>
  <c r="S851" i="8"/>
  <c r="Q851" i="8"/>
  <c r="S850" i="8"/>
  <c r="Q850" i="8"/>
  <c r="S849" i="8"/>
  <c r="Q849" i="8"/>
  <c r="P849" i="8"/>
  <c r="S848" i="8"/>
  <c r="Q848" i="8"/>
  <c r="S847" i="8"/>
  <c r="Q847" i="8"/>
  <c r="S846" i="8"/>
  <c r="Q846" i="8"/>
  <c r="S845" i="8"/>
  <c r="Q845" i="8"/>
  <c r="S844" i="8"/>
  <c r="Q844" i="8"/>
  <c r="S843" i="8"/>
  <c r="Q843" i="8"/>
  <c r="P843" i="8"/>
  <c r="P844" i="8" s="1"/>
  <c r="S842" i="8"/>
  <c r="Q842" i="8"/>
  <c r="P842" i="8"/>
  <c r="S841" i="8"/>
  <c r="Q841" i="8"/>
  <c r="S840" i="8"/>
  <c r="Q840" i="8"/>
  <c r="S839" i="8"/>
  <c r="Q839" i="8"/>
  <c r="P839" i="8"/>
  <c r="S838" i="8"/>
  <c r="Q838" i="8"/>
  <c r="P838" i="8"/>
  <c r="S837" i="8"/>
  <c r="Q837" i="8"/>
  <c r="P837" i="8"/>
  <c r="S836" i="8"/>
  <c r="Q836" i="8"/>
  <c r="S835" i="8"/>
  <c r="Q835" i="8"/>
  <c r="S834" i="8"/>
  <c r="Q834" i="8"/>
  <c r="S833" i="8"/>
  <c r="Q833" i="8"/>
  <c r="S832" i="8"/>
  <c r="Q832" i="8"/>
  <c r="S831" i="8"/>
  <c r="Q831" i="8"/>
  <c r="P831" i="8"/>
  <c r="S830" i="8"/>
  <c r="Q830" i="8"/>
  <c r="S829" i="8"/>
  <c r="Q829" i="8"/>
  <c r="S828" i="8"/>
  <c r="Q828" i="8"/>
  <c r="S827" i="8"/>
  <c r="Q827" i="8"/>
  <c r="P827" i="8"/>
  <c r="P828" i="8" s="1"/>
  <c r="S826" i="8"/>
  <c r="Q826" i="8"/>
  <c r="P826" i="8"/>
  <c r="S825" i="8"/>
  <c r="Q825" i="8"/>
  <c r="S824" i="8"/>
  <c r="Q824" i="8"/>
  <c r="S823" i="8"/>
  <c r="Q823" i="8"/>
  <c r="P823" i="8"/>
  <c r="S822" i="8"/>
  <c r="Q822" i="8"/>
  <c r="P822" i="8"/>
  <c r="S821" i="8"/>
  <c r="Q821" i="8"/>
  <c r="P821" i="8"/>
  <c r="S820" i="8"/>
  <c r="Q820" i="8"/>
  <c r="P820" i="8"/>
  <c r="S819" i="8"/>
  <c r="Q819" i="8"/>
  <c r="S818" i="8"/>
  <c r="Q818" i="8"/>
  <c r="S817" i="8"/>
  <c r="Q817" i="8"/>
  <c r="S816" i="8"/>
  <c r="Q816" i="8"/>
  <c r="S815" i="8"/>
  <c r="Q815" i="8"/>
  <c r="P815" i="8"/>
  <c r="S814" i="8"/>
  <c r="Q814" i="8"/>
  <c r="P814" i="8"/>
  <c r="S813" i="8"/>
  <c r="Q813" i="8"/>
  <c r="S812" i="8"/>
  <c r="Q812" i="8"/>
  <c r="S811" i="8"/>
  <c r="Q811" i="8"/>
  <c r="S810" i="8"/>
  <c r="Q810" i="8"/>
  <c r="S809" i="8"/>
  <c r="Q809" i="8"/>
  <c r="P809" i="8"/>
  <c r="S808" i="8"/>
  <c r="Q808" i="8"/>
  <c r="P808" i="8"/>
  <c r="S807" i="8"/>
  <c r="Q807" i="8"/>
  <c r="S806" i="8"/>
  <c r="Q806" i="8"/>
  <c r="S805" i="8"/>
  <c r="Q805" i="8"/>
  <c r="S804" i="8"/>
  <c r="Q804" i="8"/>
  <c r="S803" i="8"/>
  <c r="Q803" i="8"/>
  <c r="P803" i="8"/>
  <c r="P804" i="8" s="1"/>
  <c r="S802" i="8"/>
  <c r="Q802" i="8"/>
  <c r="P802" i="8"/>
  <c r="S801" i="8"/>
  <c r="Q801" i="8"/>
  <c r="S800" i="8"/>
  <c r="Q800" i="8"/>
  <c r="S799" i="8"/>
  <c r="Q799" i="8"/>
  <c r="P799" i="8"/>
  <c r="S798" i="8"/>
  <c r="Q798" i="8"/>
  <c r="P798" i="8"/>
  <c r="S797" i="8"/>
  <c r="Q797" i="8"/>
  <c r="P797" i="8"/>
  <c r="S796" i="8"/>
  <c r="Q796" i="8"/>
  <c r="P796" i="8"/>
  <c r="S795" i="8"/>
  <c r="Q795" i="8"/>
  <c r="P795" i="8"/>
  <c r="S794" i="8"/>
  <c r="Q794" i="8"/>
  <c r="S793" i="8"/>
  <c r="Q793" i="8"/>
  <c r="P793" i="8"/>
  <c r="S792" i="8"/>
  <c r="Q792" i="8"/>
  <c r="S791" i="8"/>
  <c r="Q791" i="8"/>
  <c r="P791" i="8"/>
  <c r="S790" i="8"/>
  <c r="Q790" i="8"/>
  <c r="P790" i="8"/>
  <c r="S789" i="8"/>
  <c r="Q789" i="8"/>
  <c r="S788" i="8"/>
  <c r="Q788" i="8"/>
  <c r="S787" i="8"/>
  <c r="Q787" i="8"/>
  <c r="P787" i="8"/>
  <c r="P788" i="8" s="1"/>
  <c r="S786" i="8"/>
  <c r="Q786" i="8"/>
  <c r="S785" i="8"/>
  <c r="Q785" i="8"/>
  <c r="S784" i="8"/>
  <c r="Q784" i="8"/>
  <c r="S783" i="8"/>
  <c r="Q783" i="8"/>
  <c r="P783" i="8"/>
  <c r="S782" i="8"/>
  <c r="Q782" i="8"/>
  <c r="P782" i="8"/>
  <c r="S781" i="8"/>
  <c r="Q781" i="8"/>
  <c r="S780" i="8"/>
  <c r="Q780" i="8"/>
  <c r="S779" i="8"/>
  <c r="Q779" i="8"/>
  <c r="S778" i="8"/>
  <c r="Q778" i="8"/>
  <c r="S777" i="8"/>
  <c r="Q777" i="8"/>
  <c r="P777" i="8"/>
  <c r="S776" i="8"/>
  <c r="Q776" i="8"/>
  <c r="S775" i="8"/>
  <c r="Q775" i="8"/>
  <c r="P775" i="8"/>
  <c r="S774" i="8"/>
  <c r="Q774" i="8"/>
  <c r="P774" i="8"/>
  <c r="S773" i="8"/>
  <c r="Q773" i="8"/>
  <c r="P773" i="8"/>
  <c r="S772" i="8"/>
  <c r="Q772" i="8"/>
  <c r="P772" i="8"/>
  <c r="S771" i="8"/>
  <c r="Q771" i="8"/>
  <c r="S770" i="8"/>
  <c r="Q770" i="8"/>
  <c r="S769" i="8"/>
  <c r="Q769" i="8"/>
  <c r="S768" i="8"/>
  <c r="Q768" i="8"/>
  <c r="S767" i="8"/>
  <c r="Q767" i="8"/>
  <c r="P767" i="8"/>
  <c r="S766" i="8"/>
  <c r="Q766" i="8"/>
  <c r="P766" i="8"/>
  <c r="S765" i="8"/>
  <c r="Q765" i="8"/>
  <c r="P765" i="8"/>
  <c r="S764" i="8"/>
  <c r="Q764" i="8"/>
  <c r="P764" i="8"/>
  <c r="S763" i="8"/>
  <c r="Q763" i="8"/>
  <c r="S762" i="8"/>
  <c r="Q762" i="8"/>
  <c r="S761" i="8"/>
  <c r="Q761" i="8"/>
  <c r="P761" i="8"/>
  <c r="S760" i="8"/>
  <c r="Q760" i="8"/>
  <c r="P760" i="8"/>
  <c r="S759" i="8"/>
  <c r="Q759" i="8"/>
  <c r="P759" i="8"/>
  <c r="S758" i="8"/>
  <c r="Q758" i="8"/>
  <c r="P758" i="8"/>
  <c r="S757" i="8"/>
  <c r="Q757" i="8"/>
  <c r="P757" i="8"/>
  <c r="S756" i="8"/>
  <c r="Q756" i="8"/>
  <c r="S755" i="8"/>
  <c r="Q755" i="8"/>
  <c r="S754" i="8"/>
  <c r="Q754" i="8"/>
  <c r="S753" i="8"/>
  <c r="Q753" i="8"/>
  <c r="S752" i="8"/>
  <c r="Q752" i="8"/>
  <c r="S751" i="8"/>
  <c r="Q751" i="8"/>
  <c r="P751" i="8"/>
  <c r="S750" i="8"/>
  <c r="Q750" i="8"/>
  <c r="S749" i="8"/>
  <c r="Q749" i="8"/>
  <c r="S748" i="8"/>
  <c r="Q748" i="8"/>
  <c r="S747" i="8"/>
  <c r="Q747" i="8"/>
  <c r="P747" i="8"/>
  <c r="P748" i="8" s="1"/>
  <c r="S746" i="8"/>
  <c r="Q746" i="8"/>
  <c r="P746" i="8"/>
  <c r="S745" i="8"/>
  <c r="Q745" i="8"/>
  <c r="S744" i="8"/>
  <c r="Q744" i="8"/>
  <c r="S743" i="8"/>
  <c r="Q743" i="8"/>
  <c r="S742" i="8"/>
  <c r="Q742" i="8"/>
  <c r="S741" i="8"/>
  <c r="Q741" i="8"/>
  <c r="S740" i="8"/>
  <c r="Q740" i="8"/>
  <c r="S739" i="8"/>
  <c r="Q739" i="8"/>
  <c r="P739" i="8"/>
  <c r="P740" i="8" s="1"/>
  <c r="S738" i="8"/>
  <c r="Q738" i="8"/>
  <c r="S737" i="8"/>
  <c r="Q737" i="8"/>
  <c r="S736" i="8"/>
  <c r="Q736" i="8"/>
  <c r="S735" i="8"/>
  <c r="Q735" i="8"/>
  <c r="P735" i="8"/>
  <c r="S734" i="8"/>
  <c r="Q734" i="8"/>
  <c r="P734" i="8"/>
  <c r="S733" i="8"/>
  <c r="Q733" i="8"/>
  <c r="P733" i="8"/>
  <c r="S732" i="8"/>
  <c r="Q732" i="8"/>
  <c r="P732" i="8"/>
  <c r="S731" i="8"/>
  <c r="Q731" i="8"/>
  <c r="S730" i="8"/>
  <c r="Q730" i="8"/>
  <c r="S729" i="8"/>
  <c r="Q729" i="8"/>
  <c r="P729" i="8"/>
  <c r="S728" i="8"/>
  <c r="Q728" i="8"/>
  <c r="P728" i="8"/>
  <c r="S727" i="8"/>
  <c r="Q727" i="8"/>
  <c r="P727" i="8"/>
  <c r="S726" i="8"/>
  <c r="Q726" i="8"/>
  <c r="P726" i="8"/>
  <c r="S725" i="8"/>
  <c r="Q725" i="8"/>
  <c r="S724" i="8"/>
  <c r="Q724" i="8"/>
  <c r="S723" i="8"/>
  <c r="Q723" i="8"/>
  <c r="S722" i="8"/>
  <c r="Q722" i="8"/>
  <c r="S721" i="8"/>
  <c r="Q721" i="8"/>
  <c r="P721" i="8"/>
  <c r="S720" i="8"/>
  <c r="Q720" i="8"/>
  <c r="S719" i="8"/>
  <c r="Q719" i="8"/>
  <c r="S718" i="8"/>
  <c r="Q718" i="8"/>
  <c r="S717" i="8"/>
  <c r="Q717" i="8"/>
  <c r="S716" i="8"/>
  <c r="Q716" i="8"/>
  <c r="S715" i="8"/>
  <c r="Q715" i="8"/>
  <c r="P715" i="8"/>
  <c r="P716" i="8" s="1"/>
  <c r="S714" i="8"/>
  <c r="Q714" i="8"/>
  <c r="S713" i="8"/>
  <c r="Q713" i="8"/>
  <c r="S712" i="8"/>
  <c r="Q712" i="8"/>
  <c r="S711" i="8"/>
  <c r="Q711" i="8"/>
  <c r="P711" i="8"/>
  <c r="S710" i="8"/>
  <c r="Q710" i="8"/>
  <c r="P710" i="8"/>
  <c r="S709" i="8"/>
  <c r="Q709" i="8"/>
  <c r="S708" i="8"/>
  <c r="Q708" i="8"/>
  <c r="S707" i="8"/>
  <c r="Q707" i="8"/>
  <c r="S706" i="8"/>
  <c r="Q706" i="8"/>
  <c r="S705" i="8"/>
  <c r="Q705" i="8"/>
  <c r="P705" i="8"/>
  <c r="S704" i="8"/>
  <c r="Q704" i="8"/>
  <c r="S703" i="8"/>
  <c r="Q703" i="8"/>
  <c r="S702" i="8"/>
  <c r="Q702" i="8"/>
  <c r="S701" i="8"/>
  <c r="Q701" i="8"/>
  <c r="S700" i="8"/>
  <c r="Q700" i="8"/>
  <c r="P700" i="8"/>
  <c r="P701" i="8" s="1"/>
  <c r="S699" i="8"/>
  <c r="Q699" i="8"/>
  <c r="S698" i="8"/>
  <c r="Q698" i="8"/>
  <c r="P698" i="8"/>
  <c r="S697" i="8"/>
  <c r="Q697" i="8"/>
  <c r="S696" i="8"/>
  <c r="Q696" i="8"/>
  <c r="S695" i="8"/>
  <c r="Q695" i="8"/>
  <c r="P695" i="8"/>
  <c r="P696" i="8" s="1"/>
  <c r="S694" i="8"/>
  <c r="Q694" i="8"/>
  <c r="P694" i="8"/>
  <c r="S693" i="8"/>
  <c r="Q693" i="8"/>
  <c r="S692" i="8"/>
  <c r="Q692" i="8"/>
  <c r="S691" i="8"/>
  <c r="Q691" i="8"/>
  <c r="P691" i="8"/>
  <c r="S690" i="8"/>
  <c r="Q690" i="8"/>
  <c r="S689" i="8"/>
  <c r="Q689" i="8"/>
  <c r="S688" i="8"/>
  <c r="Q688" i="8"/>
  <c r="S687" i="8"/>
  <c r="Q687" i="8"/>
  <c r="S686" i="8"/>
  <c r="Q686" i="8"/>
  <c r="P686" i="8"/>
  <c r="P687" i="8" s="1"/>
  <c r="S685" i="8"/>
  <c r="Q685" i="8"/>
  <c r="S684" i="8"/>
  <c r="Q684" i="8"/>
  <c r="S683" i="8"/>
  <c r="Q683" i="8"/>
  <c r="S682" i="8"/>
  <c r="Q682" i="8"/>
  <c r="P682" i="8"/>
  <c r="S681" i="8"/>
  <c r="Q681" i="8"/>
  <c r="P681" i="8"/>
  <c r="S680" i="8"/>
  <c r="Q680" i="8"/>
  <c r="S679" i="8"/>
  <c r="Q679" i="8"/>
  <c r="P679" i="8"/>
  <c r="P680" i="8" s="1"/>
  <c r="S678" i="8"/>
  <c r="Q678" i="8"/>
  <c r="P678" i="8"/>
  <c r="S677" i="8"/>
  <c r="Q677" i="8"/>
  <c r="P677" i="8"/>
  <c r="S676" i="8"/>
  <c r="Q676" i="8"/>
  <c r="P676" i="8"/>
  <c r="S675" i="8"/>
  <c r="Q675" i="8"/>
  <c r="S674" i="8"/>
  <c r="Q674" i="8"/>
  <c r="S673" i="8"/>
  <c r="Q673" i="8"/>
  <c r="S672" i="8"/>
  <c r="Q672" i="8"/>
  <c r="S671" i="8"/>
  <c r="Q671" i="8"/>
  <c r="P671" i="8"/>
  <c r="S670" i="8"/>
  <c r="Q670" i="8"/>
  <c r="S669" i="8"/>
  <c r="Q669" i="8"/>
  <c r="S668" i="8"/>
  <c r="Q668" i="8"/>
  <c r="S667" i="8"/>
  <c r="Q667" i="8"/>
  <c r="S666" i="8"/>
  <c r="Q666" i="8"/>
  <c r="P666" i="8"/>
  <c r="S665" i="8"/>
  <c r="Q665" i="8"/>
  <c r="S664" i="8"/>
  <c r="Q664" i="8"/>
  <c r="S663" i="8"/>
  <c r="Q663" i="8"/>
  <c r="P663" i="8"/>
  <c r="P664" i="8" s="1"/>
  <c r="S662" i="8"/>
  <c r="Q662" i="8"/>
  <c r="P662" i="8"/>
  <c r="S661" i="8"/>
  <c r="Q661" i="8"/>
  <c r="P661" i="8"/>
  <c r="S660" i="8"/>
  <c r="Q660" i="8"/>
  <c r="S659" i="8"/>
  <c r="Q659" i="8"/>
  <c r="P659" i="8"/>
  <c r="S658" i="8"/>
  <c r="Q658" i="8"/>
  <c r="P658" i="8"/>
  <c r="S657" i="8"/>
  <c r="Q657" i="8"/>
  <c r="P657" i="8"/>
  <c r="S656" i="8"/>
  <c r="Q656" i="8"/>
  <c r="S655" i="8"/>
  <c r="Q655" i="8"/>
  <c r="S654" i="8"/>
  <c r="Q654" i="8"/>
  <c r="S653" i="8"/>
  <c r="Q653" i="8"/>
  <c r="S652" i="8"/>
  <c r="Q652" i="8"/>
  <c r="P652" i="8"/>
  <c r="P653" i="8" s="1"/>
  <c r="S651" i="8"/>
  <c r="Q651" i="8"/>
  <c r="S650" i="8"/>
  <c r="Q650" i="8"/>
  <c r="S649" i="8"/>
  <c r="Q649" i="8"/>
  <c r="S648" i="8"/>
  <c r="Q648" i="8"/>
  <c r="S647" i="8"/>
  <c r="Q647" i="8"/>
  <c r="P647" i="8"/>
  <c r="P648" i="8" s="1"/>
  <c r="S646" i="8"/>
  <c r="Q646" i="8"/>
  <c r="S645" i="8"/>
  <c r="Q645" i="8"/>
  <c r="S644" i="8"/>
  <c r="Q644" i="8"/>
  <c r="S643" i="8"/>
  <c r="Q643" i="8"/>
  <c r="P643" i="8"/>
  <c r="S642" i="8"/>
  <c r="Q642" i="8"/>
  <c r="P642" i="8"/>
  <c r="S641" i="8"/>
  <c r="Q641" i="8"/>
  <c r="S640" i="8"/>
  <c r="Q640" i="8"/>
  <c r="S639" i="8"/>
  <c r="Q639" i="8"/>
  <c r="S638" i="8"/>
  <c r="Q638" i="8"/>
  <c r="P638" i="8"/>
  <c r="P639" i="8" s="1"/>
  <c r="S637" i="8"/>
  <c r="Q637" i="8"/>
  <c r="P637" i="8"/>
  <c r="S636" i="8"/>
  <c r="Q636" i="8"/>
  <c r="S635" i="8"/>
  <c r="Q635" i="8"/>
  <c r="S634" i="8"/>
  <c r="Q634" i="8"/>
  <c r="P634" i="8"/>
  <c r="S633" i="8"/>
  <c r="Q633" i="8"/>
  <c r="P633" i="8"/>
  <c r="S632" i="8"/>
  <c r="Q632" i="8"/>
  <c r="P632" i="8"/>
  <c r="S631" i="8"/>
  <c r="Q631" i="8"/>
  <c r="S630" i="8"/>
  <c r="Q630" i="8"/>
  <c r="S629" i="8"/>
  <c r="Q629" i="8"/>
  <c r="S628" i="8"/>
  <c r="Q628" i="8"/>
  <c r="S627" i="8"/>
  <c r="Q627" i="8"/>
  <c r="P627" i="8"/>
  <c r="S626" i="8"/>
  <c r="Q626" i="8"/>
  <c r="S625" i="8"/>
  <c r="Q625" i="8"/>
  <c r="S624" i="8"/>
  <c r="Q624" i="8"/>
  <c r="S623" i="8"/>
  <c r="Q623" i="8"/>
  <c r="S622" i="8"/>
  <c r="Q622" i="8"/>
  <c r="P622" i="8"/>
  <c r="P623" i="8" s="1"/>
  <c r="S621" i="8"/>
  <c r="Q621" i="8"/>
  <c r="S620" i="8"/>
  <c r="Q620" i="8"/>
  <c r="S619" i="8"/>
  <c r="Q619" i="8"/>
  <c r="S618" i="8"/>
  <c r="Q618" i="8"/>
  <c r="P618" i="8"/>
  <c r="S617" i="8"/>
  <c r="Q617" i="8"/>
  <c r="P617" i="8"/>
  <c r="S616" i="8"/>
  <c r="Q616" i="8"/>
  <c r="S615" i="8"/>
  <c r="Q615" i="8"/>
  <c r="P615" i="8"/>
  <c r="P616" i="8" s="1"/>
  <c r="S614" i="8"/>
  <c r="Q614" i="8"/>
  <c r="P614" i="8"/>
  <c r="S613" i="8"/>
  <c r="Q613" i="8"/>
  <c r="P613" i="8"/>
  <c r="S612" i="8"/>
  <c r="Q612" i="8"/>
  <c r="P612" i="8"/>
  <c r="S611" i="8"/>
  <c r="Q611" i="8"/>
  <c r="S610" i="8"/>
  <c r="Q610" i="8"/>
  <c r="S609" i="8"/>
  <c r="Q609" i="8"/>
  <c r="S608" i="8"/>
  <c r="Q608" i="8"/>
  <c r="S607" i="8"/>
  <c r="Q607" i="8"/>
  <c r="P607" i="8"/>
  <c r="S606" i="8"/>
  <c r="Q606" i="8"/>
  <c r="S605" i="8"/>
  <c r="Q605" i="8"/>
  <c r="S604" i="8"/>
  <c r="Q604" i="8"/>
  <c r="S603" i="8"/>
  <c r="Q603" i="8"/>
  <c r="S602" i="8"/>
  <c r="Q602" i="8"/>
  <c r="P602" i="8"/>
  <c r="S601" i="8"/>
  <c r="Q601" i="8"/>
  <c r="S600" i="8"/>
  <c r="Q600" i="8"/>
  <c r="S599" i="8"/>
  <c r="Q599" i="8"/>
  <c r="P599" i="8"/>
  <c r="P600" i="8" s="1"/>
  <c r="S598" i="8"/>
  <c r="Q598" i="8"/>
  <c r="P598" i="8"/>
  <c r="S597" i="8"/>
  <c r="Q597" i="8"/>
  <c r="P597" i="8"/>
  <c r="S596" i="8"/>
  <c r="Q596" i="8"/>
  <c r="P596" i="8"/>
  <c r="S595" i="8"/>
  <c r="Q595" i="8"/>
  <c r="S594" i="8"/>
  <c r="Q594" i="8"/>
  <c r="S593" i="8"/>
  <c r="Q593" i="8"/>
  <c r="S592" i="8"/>
  <c r="Q592" i="8"/>
  <c r="P592" i="8"/>
  <c r="S591" i="8"/>
  <c r="Q591" i="8"/>
  <c r="S590" i="8"/>
  <c r="Q590" i="8"/>
  <c r="P590" i="8"/>
  <c r="P591" i="8" s="1"/>
  <c r="S589" i="8"/>
  <c r="Q589" i="8"/>
  <c r="S588" i="8"/>
  <c r="Q588" i="8"/>
  <c r="S587" i="8"/>
  <c r="Q587" i="8"/>
  <c r="S586" i="8"/>
  <c r="Q586" i="8"/>
  <c r="P586" i="8"/>
  <c r="S585" i="8"/>
  <c r="Q585" i="8"/>
  <c r="P585" i="8"/>
  <c r="S584" i="8"/>
  <c r="Q584" i="8"/>
  <c r="S583" i="8"/>
  <c r="Q583" i="8"/>
  <c r="P583" i="8"/>
  <c r="P584" i="8" s="1"/>
  <c r="S582" i="8"/>
  <c r="Q582" i="8"/>
  <c r="P582" i="8"/>
  <c r="S581" i="8"/>
  <c r="Q581" i="8"/>
  <c r="P581" i="8"/>
  <c r="S580" i="8"/>
  <c r="Q580" i="8"/>
  <c r="P580" i="8"/>
  <c r="S579" i="8"/>
  <c r="Q579" i="8"/>
  <c r="S578" i="8"/>
  <c r="Q578" i="8"/>
  <c r="S577" i="8"/>
  <c r="Q577" i="8"/>
  <c r="S576" i="8"/>
  <c r="Q576" i="8"/>
  <c r="S575" i="8"/>
  <c r="Q575" i="8"/>
  <c r="S574" i="8"/>
  <c r="Q574" i="8"/>
  <c r="P574" i="8"/>
  <c r="P575" i="8" s="1"/>
  <c r="S573" i="8"/>
  <c r="Q573" i="8"/>
  <c r="S572" i="8"/>
  <c r="Q572" i="8"/>
  <c r="S571" i="8"/>
  <c r="Q571" i="8"/>
  <c r="S570" i="8"/>
  <c r="Q570" i="8"/>
  <c r="P570" i="8"/>
  <c r="S569" i="8"/>
  <c r="Q569" i="8"/>
  <c r="P569" i="8"/>
  <c r="S568" i="8"/>
  <c r="Q568" i="8"/>
  <c r="S567" i="8"/>
  <c r="Q567" i="8"/>
  <c r="P567" i="8"/>
  <c r="P568" i="8" s="1"/>
  <c r="S566" i="8"/>
  <c r="Q566" i="8"/>
  <c r="P566" i="8"/>
  <c r="S565" i="8"/>
  <c r="Q565" i="8"/>
  <c r="P565" i="8"/>
  <c r="S564" i="8"/>
  <c r="Q564" i="8"/>
  <c r="P564" i="8"/>
  <c r="S563" i="8"/>
  <c r="Q563" i="8"/>
  <c r="S562" i="8"/>
  <c r="Q562" i="8"/>
  <c r="S561" i="8"/>
  <c r="Q561" i="8"/>
  <c r="S560" i="8"/>
  <c r="Q560" i="8"/>
  <c r="S559" i="8"/>
  <c r="Q559" i="8"/>
  <c r="P559" i="8"/>
  <c r="S558" i="8"/>
  <c r="Q558" i="8"/>
  <c r="S557" i="8"/>
  <c r="Q557" i="8"/>
  <c r="S556" i="8"/>
  <c r="Q556" i="8"/>
  <c r="S555" i="8"/>
  <c r="Q555" i="8"/>
  <c r="S554" i="8"/>
  <c r="Q554" i="8"/>
  <c r="P554" i="8"/>
  <c r="S553" i="8"/>
  <c r="Q553" i="8"/>
  <c r="S552" i="8"/>
  <c r="Q552" i="8"/>
  <c r="S551" i="8"/>
  <c r="Q551" i="8"/>
  <c r="P551" i="8"/>
  <c r="P552" i="8" s="1"/>
  <c r="S550" i="8"/>
  <c r="Q550" i="8"/>
  <c r="P550" i="8"/>
  <c r="S549" i="8"/>
  <c r="Q549" i="8"/>
  <c r="P549" i="8"/>
  <c r="S548" i="8"/>
  <c r="Q548" i="8"/>
  <c r="S547" i="8"/>
  <c r="Q547" i="8"/>
  <c r="S546" i="8"/>
  <c r="Q546" i="8"/>
  <c r="S545" i="8"/>
  <c r="Q545" i="8"/>
  <c r="S544" i="8"/>
  <c r="Q544" i="8"/>
  <c r="S543" i="8"/>
  <c r="Q543" i="8"/>
  <c r="S542" i="8"/>
  <c r="Q542" i="8"/>
  <c r="P542" i="8"/>
  <c r="P543" i="8" s="1"/>
  <c r="S541" i="8"/>
  <c r="Q541" i="8"/>
  <c r="S540" i="8"/>
  <c r="Q540" i="8"/>
  <c r="S539" i="8"/>
  <c r="Q539" i="8"/>
  <c r="S538" i="8"/>
  <c r="Q538" i="8"/>
  <c r="P538" i="8"/>
  <c r="S537" i="8"/>
  <c r="Q537" i="8"/>
  <c r="P537" i="8"/>
  <c r="S536" i="8"/>
  <c r="Q536" i="8"/>
  <c r="S535" i="8"/>
  <c r="Q535" i="8"/>
  <c r="P535" i="8"/>
  <c r="P536" i="8" s="1"/>
  <c r="S534" i="8"/>
  <c r="Q534" i="8"/>
  <c r="P534" i="8"/>
  <c r="S533" i="8"/>
  <c r="Q533" i="8"/>
  <c r="P533" i="8"/>
  <c r="S532" i="8"/>
  <c r="Q532" i="8"/>
  <c r="P532" i="8"/>
  <c r="S531" i="8"/>
  <c r="Q531" i="8"/>
  <c r="S530" i="8"/>
  <c r="Q530" i="8"/>
  <c r="S529" i="8"/>
  <c r="Q529" i="8"/>
  <c r="S528" i="8"/>
  <c r="Q528" i="8"/>
  <c r="S527" i="8"/>
  <c r="Q527" i="8"/>
  <c r="P527" i="8"/>
  <c r="P528" i="8" s="1"/>
  <c r="S526" i="8"/>
  <c r="Q526" i="8"/>
  <c r="S525" i="8"/>
  <c r="Q525" i="8"/>
  <c r="S524" i="8"/>
  <c r="Q524" i="8"/>
  <c r="S523" i="8"/>
  <c r="Q523" i="8"/>
  <c r="P523" i="8"/>
  <c r="P524" i="8" s="1"/>
  <c r="S522" i="8"/>
  <c r="Q522" i="8"/>
  <c r="P522" i="8"/>
  <c r="S521" i="8"/>
  <c r="Q521" i="8"/>
  <c r="S520" i="8"/>
  <c r="Q520" i="8"/>
  <c r="S519" i="8"/>
  <c r="Q519" i="8"/>
  <c r="P519" i="8"/>
  <c r="P520" i="8" s="1"/>
  <c r="S518" i="8"/>
  <c r="Q518" i="8"/>
  <c r="P518" i="8"/>
  <c r="S517" i="8"/>
  <c r="Q517" i="8"/>
  <c r="S516" i="8"/>
  <c r="Q516" i="8"/>
  <c r="S515" i="8"/>
  <c r="Q515" i="8"/>
  <c r="S514" i="8"/>
  <c r="Q514" i="8"/>
  <c r="S513" i="8"/>
  <c r="Q513" i="8"/>
  <c r="P513" i="8"/>
  <c r="P514" i="8" s="1"/>
  <c r="S512" i="8"/>
  <c r="Q512" i="8"/>
  <c r="P512" i="8"/>
  <c r="S511" i="8"/>
  <c r="Q511" i="8"/>
  <c r="P511" i="8"/>
  <c r="S510" i="8"/>
  <c r="Q510" i="8"/>
  <c r="S509" i="8"/>
  <c r="Q509" i="8"/>
  <c r="S508" i="8"/>
  <c r="Q508" i="8"/>
  <c r="S507" i="8"/>
  <c r="Q507" i="8"/>
  <c r="S506" i="8"/>
  <c r="Q506" i="8"/>
  <c r="S505" i="8"/>
  <c r="Q505" i="8"/>
  <c r="S504" i="8"/>
  <c r="Q504" i="8"/>
  <c r="S503" i="8"/>
  <c r="Q503" i="8"/>
  <c r="S502" i="8"/>
  <c r="Q502" i="8"/>
  <c r="S501" i="8"/>
  <c r="Q501" i="8"/>
  <c r="S500" i="8"/>
  <c r="Q500" i="8"/>
  <c r="S499" i="8"/>
  <c r="Q499" i="8"/>
  <c r="S498" i="8"/>
  <c r="Q498" i="8"/>
  <c r="S497" i="8"/>
  <c r="Q497" i="8"/>
  <c r="S496" i="8"/>
  <c r="Q496" i="8"/>
  <c r="S495" i="8"/>
  <c r="Q495" i="8"/>
  <c r="S494" i="8"/>
  <c r="Q494" i="8"/>
  <c r="S493" i="8"/>
  <c r="Q493" i="8"/>
  <c r="P493" i="8"/>
  <c r="P494" i="8" s="1"/>
  <c r="S492" i="8"/>
  <c r="Q492" i="8"/>
  <c r="P492" i="8"/>
  <c r="S491" i="8"/>
  <c r="Q491" i="8"/>
  <c r="S490" i="8"/>
  <c r="Q490" i="8"/>
  <c r="S489" i="8"/>
  <c r="Q489" i="8"/>
  <c r="P489" i="8"/>
  <c r="P490" i="8" s="1"/>
  <c r="S488" i="8"/>
  <c r="Q488" i="8"/>
  <c r="S487" i="8"/>
  <c r="Q487" i="8"/>
  <c r="P487" i="8"/>
  <c r="P488" i="8" s="1"/>
  <c r="S486" i="8"/>
  <c r="Q486" i="8"/>
  <c r="S485" i="8"/>
  <c r="Q485" i="8"/>
  <c r="P485" i="8"/>
  <c r="P486" i="8" s="1"/>
  <c r="S484" i="8"/>
  <c r="Q484" i="8"/>
  <c r="P484" i="8"/>
  <c r="S483" i="8"/>
  <c r="Q483" i="8"/>
  <c r="P483" i="8"/>
  <c r="S482" i="8"/>
  <c r="Q482" i="8"/>
  <c r="P482" i="8"/>
  <c r="S481" i="8"/>
  <c r="Q481" i="8"/>
  <c r="S480" i="8"/>
  <c r="Q480" i="8"/>
  <c r="S479" i="8"/>
  <c r="Q479" i="8"/>
  <c r="S478" i="8"/>
  <c r="Q478" i="8"/>
  <c r="S477" i="8"/>
  <c r="Q477" i="8"/>
  <c r="S476" i="8"/>
  <c r="Q476" i="8"/>
  <c r="S475" i="8"/>
  <c r="Q475" i="8"/>
  <c r="P475" i="8"/>
  <c r="P476" i="8" s="1"/>
  <c r="S474" i="8"/>
  <c r="Q474" i="8"/>
  <c r="P474" i="8"/>
  <c r="S473" i="8"/>
  <c r="Q473" i="8"/>
  <c r="P473" i="8"/>
  <c r="S472" i="8"/>
  <c r="Q472" i="8"/>
  <c r="P472" i="8"/>
  <c r="S471" i="8"/>
  <c r="Q471" i="8"/>
  <c r="P471" i="8"/>
  <c r="S470" i="8"/>
  <c r="Q470" i="8"/>
  <c r="P470" i="8"/>
  <c r="S469" i="8"/>
  <c r="Q469" i="8"/>
  <c r="P469" i="8"/>
  <c r="S468" i="8"/>
  <c r="Q468" i="8"/>
  <c r="S467" i="8"/>
  <c r="Q467" i="8"/>
  <c r="S466" i="8"/>
  <c r="Q466" i="8"/>
  <c r="S465" i="8"/>
  <c r="Q465" i="8"/>
  <c r="S464" i="8"/>
  <c r="Q464" i="8"/>
  <c r="S463" i="8"/>
  <c r="Q463" i="8"/>
  <c r="S462" i="8"/>
  <c r="Q462" i="8"/>
  <c r="S461" i="8"/>
  <c r="Q461" i="8"/>
  <c r="S460" i="8"/>
  <c r="Q460" i="8"/>
  <c r="S459" i="8"/>
  <c r="Q459" i="8"/>
  <c r="P459" i="8"/>
  <c r="P460" i="8" s="1"/>
  <c r="S458" i="8"/>
  <c r="Q458" i="8"/>
  <c r="S457" i="8"/>
  <c r="Q457" i="8"/>
  <c r="S456" i="8"/>
  <c r="Q456" i="8"/>
  <c r="S455" i="8"/>
  <c r="Q455" i="8"/>
  <c r="S454" i="8"/>
  <c r="Q454" i="8"/>
  <c r="S453" i="8"/>
  <c r="Q453" i="8"/>
  <c r="P453" i="8"/>
  <c r="P454" i="8" s="1"/>
  <c r="S452" i="8"/>
  <c r="Q452" i="8"/>
  <c r="P452" i="8"/>
  <c r="S451" i="8"/>
  <c r="Q451" i="8"/>
  <c r="S450" i="8"/>
  <c r="Q450" i="8"/>
  <c r="S449" i="8"/>
  <c r="Q449" i="8"/>
  <c r="S448" i="8"/>
  <c r="Q448" i="8"/>
  <c r="S447" i="8"/>
  <c r="Q447" i="8"/>
  <c r="S446" i="8"/>
  <c r="Q446" i="8"/>
  <c r="S445" i="8"/>
  <c r="Q445" i="8"/>
  <c r="S444" i="8"/>
  <c r="Q444" i="8"/>
  <c r="S443" i="8"/>
  <c r="Q443" i="8"/>
  <c r="P443" i="8"/>
  <c r="P444" i="8" s="1"/>
  <c r="S442" i="8"/>
  <c r="Q442" i="8"/>
  <c r="S441" i="8"/>
  <c r="Q441" i="8"/>
  <c r="S440" i="8"/>
  <c r="Q440" i="8"/>
  <c r="S439" i="8"/>
  <c r="Q439" i="8"/>
  <c r="P439" i="8"/>
  <c r="P440" i="8" s="1"/>
  <c r="S438" i="8"/>
  <c r="Q438" i="8"/>
  <c r="S437" i="8"/>
  <c r="Q437" i="8"/>
  <c r="P437" i="8"/>
  <c r="P438" i="8" s="1"/>
  <c r="S436" i="8"/>
  <c r="Q436" i="8"/>
  <c r="P436" i="8"/>
  <c r="S435" i="8"/>
  <c r="Q435" i="8"/>
  <c r="S434" i="8"/>
  <c r="Q434" i="8"/>
  <c r="S433" i="8"/>
  <c r="Q433" i="8"/>
  <c r="S432" i="8"/>
  <c r="Q432" i="8"/>
  <c r="S431" i="8"/>
  <c r="Q431" i="8"/>
  <c r="S430" i="8"/>
  <c r="Q430" i="8"/>
  <c r="S429" i="8"/>
  <c r="Q429" i="8"/>
  <c r="P429" i="8"/>
  <c r="P430" i="8" s="1"/>
  <c r="S428" i="8"/>
  <c r="Q428" i="8"/>
  <c r="S427" i="8"/>
  <c r="Q427" i="8"/>
  <c r="S426" i="8"/>
  <c r="Q426" i="8"/>
  <c r="S425" i="8"/>
  <c r="Q425" i="8"/>
  <c r="S424" i="8"/>
  <c r="Q424" i="8"/>
  <c r="S423" i="8"/>
  <c r="Q423" i="8"/>
  <c r="P423" i="8"/>
  <c r="P424" i="8" s="1"/>
  <c r="S422" i="8"/>
  <c r="Q422" i="8"/>
  <c r="P422" i="8"/>
  <c r="S421" i="8"/>
  <c r="Q421" i="8"/>
  <c r="S420" i="8"/>
  <c r="Q420" i="8"/>
  <c r="S419" i="8"/>
  <c r="Q419" i="8"/>
  <c r="S418" i="8"/>
  <c r="Q418" i="8"/>
  <c r="S417" i="8"/>
  <c r="Q417" i="8"/>
  <c r="P417" i="8"/>
  <c r="P418" i="8" s="1"/>
  <c r="S416" i="8"/>
  <c r="Q416" i="8"/>
  <c r="P416" i="8"/>
  <c r="S415" i="8"/>
  <c r="Q415" i="8"/>
  <c r="S414" i="8"/>
  <c r="Q414" i="8"/>
  <c r="S413" i="8"/>
  <c r="Q413" i="8"/>
  <c r="P413" i="8"/>
  <c r="P414" i="8" s="1"/>
  <c r="S412" i="8"/>
  <c r="Q412" i="8"/>
  <c r="P412" i="8"/>
  <c r="S411" i="8"/>
  <c r="Q411" i="8"/>
  <c r="S410" i="8"/>
  <c r="Q410" i="8"/>
  <c r="S409" i="8"/>
  <c r="Q409" i="8"/>
  <c r="S408" i="8"/>
  <c r="Q408" i="8"/>
  <c r="S407" i="8"/>
  <c r="Q407" i="8"/>
  <c r="P407" i="8"/>
  <c r="P408" i="8" s="1"/>
  <c r="S406" i="8"/>
  <c r="Q406" i="8"/>
  <c r="P406" i="8"/>
  <c r="S405" i="8"/>
  <c r="Q405" i="8"/>
  <c r="S404" i="8"/>
  <c r="Q404" i="8"/>
  <c r="S403" i="8"/>
  <c r="Q403" i="8"/>
  <c r="S402" i="8"/>
  <c r="Q402" i="8"/>
  <c r="S401" i="8"/>
  <c r="Q401" i="8"/>
  <c r="S400" i="8"/>
  <c r="Q400" i="8"/>
  <c r="S399" i="8"/>
  <c r="Q399" i="8"/>
  <c r="S398" i="8"/>
  <c r="Q398" i="8"/>
  <c r="S397" i="8"/>
  <c r="Q397" i="8"/>
  <c r="S396" i="8"/>
  <c r="Q396" i="8"/>
  <c r="S395" i="8"/>
  <c r="Q395" i="8"/>
  <c r="P395" i="8"/>
  <c r="P396" i="8" s="1"/>
  <c r="S394" i="8"/>
  <c r="Q394" i="8"/>
  <c r="S393" i="8"/>
  <c r="Q393" i="8"/>
  <c r="S392" i="8"/>
  <c r="Q392" i="8"/>
  <c r="S391" i="8"/>
  <c r="Q391" i="8"/>
  <c r="S390" i="8"/>
  <c r="Q390" i="8"/>
  <c r="S389" i="8"/>
  <c r="Q389" i="8"/>
  <c r="P389" i="8"/>
  <c r="P390" i="8" s="1"/>
  <c r="S388" i="8"/>
  <c r="Q388" i="8"/>
  <c r="S387" i="8"/>
  <c r="Q387" i="8"/>
  <c r="S386" i="8"/>
  <c r="Q386" i="8"/>
  <c r="S385" i="8"/>
  <c r="Q385" i="8"/>
  <c r="P385" i="8"/>
  <c r="P386" i="8" s="1"/>
  <c r="S384" i="8"/>
  <c r="Q384" i="8"/>
  <c r="P384" i="8"/>
  <c r="S383" i="8"/>
  <c r="Q383" i="8"/>
  <c r="S382" i="8"/>
  <c r="Q382" i="8"/>
  <c r="S381" i="8"/>
  <c r="Q381" i="8"/>
  <c r="S380" i="8"/>
  <c r="Q380" i="8"/>
  <c r="S379" i="8"/>
  <c r="Q379" i="8"/>
  <c r="P379" i="8"/>
  <c r="P380" i="8" s="1"/>
  <c r="S378" i="8"/>
  <c r="Q378" i="8"/>
  <c r="S377" i="8"/>
  <c r="Q377" i="8"/>
  <c r="S376" i="8"/>
  <c r="Q376" i="8"/>
  <c r="S375" i="8"/>
  <c r="Q375" i="8"/>
  <c r="S374" i="8"/>
  <c r="Q374" i="8"/>
  <c r="S373" i="8"/>
  <c r="Q373" i="8"/>
  <c r="P373" i="8"/>
  <c r="P374" i="8" s="1"/>
  <c r="S372" i="8"/>
  <c r="Q372" i="8"/>
  <c r="S371" i="8"/>
  <c r="Q371" i="8"/>
  <c r="P371" i="8"/>
  <c r="P372" i="8" s="1"/>
  <c r="S370" i="8"/>
  <c r="Q370" i="8"/>
  <c r="S369" i="8"/>
  <c r="Q369" i="8"/>
  <c r="S368" i="8"/>
  <c r="Q368" i="8"/>
  <c r="S367" i="8"/>
  <c r="Q367" i="8"/>
  <c r="S366" i="8"/>
  <c r="Q366" i="8"/>
  <c r="S365" i="8"/>
  <c r="Q365" i="8"/>
  <c r="S364" i="8"/>
  <c r="Q364" i="8"/>
  <c r="S363" i="8"/>
  <c r="Q363" i="8"/>
  <c r="P363" i="8"/>
  <c r="P364" i="8" s="1"/>
  <c r="S362" i="8"/>
  <c r="Q362" i="8"/>
  <c r="S361" i="8"/>
  <c r="Q361" i="8"/>
  <c r="S360" i="8"/>
  <c r="Q360" i="8"/>
  <c r="S359" i="8"/>
  <c r="Q359" i="8"/>
  <c r="S358" i="8"/>
  <c r="Q358" i="8"/>
  <c r="S357" i="8"/>
  <c r="Q357" i="8"/>
  <c r="P357" i="8"/>
  <c r="P358" i="8" s="1"/>
  <c r="S356" i="8"/>
  <c r="Q356" i="8"/>
  <c r="P356" i="8"/>
  <c r="S355" i="8"/>
  <c r="Q355" i="8"/>
  <c r="S354" i="8"/>
  <c r="Q354" i="8"/>
  <c r="S353" i="8"/>
  <c r="Q353" i="8"/>
  <c r="S352" i="8"/>
  <c r="Q352" i="8"/>
  <c r="S351" i="8"/>
  <c r="Q351" i="8"/>
  <c r="S350" i="8"/>
  <c r="Q350" i="8"/>
  <c r="S349" i="8"/>
  <c r="Q349" i="8"/>
  <c r="P349" i="8"/>
  <c r="P350" i="8" s="1"/>
  <c r="S348" i="8"/>
  <c r="Q348" i="8"/>
  <c r="S347" i="8"/>
  <c r="Q347" i="8"/>
  <c r="S346" i="8"/>
  <c r="Q346" i="8"/>
  <c r="S345" i="8"/>
  <c r="Q345" i="8"/>
  <c r="S344" i="8"/>
  <c r="Q344" i="8"/>
  <c r="S343" i="8"/>
  <c r="Q343" i="8"/>
  <c r="S342" i="8"/>
  <c r="Q342" i="8"/>
  <c r="S341" i="8"/>
  <c r="Q341" i="8"/>
  <c r="S340" i="8"/>
  <c r="Q340" i="8"/>
  <c r="S339" i="8"/>
  <c r="Q339" i="8"/>
  <c r="P339" i="8"/>
  <c r="P340" i="8" s="1"/>
  <c r="S338" i="8"/>
  <c r="Q338" i="8"/>
  <c r="S337" i="8"/>
  <c r="Q337" i="8"/>
  <c r="S336" i="8"/>
  <c r="Q336" i="8"/>
  <c r="S335" i="8"/>
  <c r="Q335" i="8"/>
  <c r="S334" i="8"/>
  <c r="Q334" i="8"/>
  <c r="S333" i="8"/>
  <c r="Q333" i="8"/>
  <c r="P333" i="8"/>
  <c r="S332" i="8"/>
  <c r="Q332" i="8"/>
  <c r="P332" i="8"/>
  <c r="S331" i="8"/>
  <c r="Q331" i="8"/>
  <c r="S330" i="8"/>
  <c r="Q330" i="8"/>
  <c r="S329" i="8"/>
  <c r="Q329" i="8"/>
  <c r="S328" i="8"/>
  <c r="Q328" i="8"/>
  <c r="S327" i="8"/>
  <c r="Q327" i="8"/>
  <c r="S326" i="8"/>
  <c r="Q326" i="8"/>
  <c r="S325" i="8"/>
  <c r="Q325" i="8"/>
  <c r="P325" i="8"/>
  <c r="S324" i="8"/>
  <c r="Q324" i="8"/>
  <c r="S323" i="8"/>
  <c r="Q323" i="8"/>
  <c r="S322" i="8"/>
  <c r="Q322" i="8"/>
  <c r="S321" i="8"/>
  <c r="Q321" i="8"/>
  <c r="S320" i="8"/>
  <c r="Q320" i="8"/>
  <c r="S319" i="8"/>
  <c r="Q319" i="8"/>
  <c r="S318" i="8"/>
  <c r="Q318" i="8"/>
  <c r="S317" i="8"/>
  <c r="Q317" i="8"/>
  <c r="P317" i="8"/>
  <c r="S316" i="8"/>
  <c r="Q316" i="8"/>
  <c r="S315" i="8"/>
  <c r="Q315" i="8"/>
  <c r="S314" i="8"/>
  <c r="Q314" i="8"/>
  <c r="S313" i="8"/>
  <c r="Q313" i="8"/>
  <c r="S312" i="8"/>
  <c r="Q312" i="8"/>
  <c r="S311" i="8"/>
  <c r="Q311" i="8"/>
  <c r="P311" i="8"/>
  <c r="P312" i="8" s="1"/>
  <c r="S310" i="8"/>
  <c r="Q310" i="8"/>
  <c r="P310" i="8"/>
  <c r="S309" i="8"/>
  <c r="Q309" i="8"/>
  <c r="S308" i="8"/>
  <c r="Q308" i="8"/>
  <c r="S307" i="8"/>
  <c r="Q307" i="8"/>
  <c r="S306" i="8"/>
  <c r="Q306" i="8"/>
  <c r="S305" i="8"/>
  <c r="Q305" i="8"/>
  <c r="S304" i="8"/>
  <c r="Q304" i="8"/>
  <c r="S303" i="8"/>
  <c r="Q303" i="8"/>
  <c r="P303" i="8"/>
  <c r="P304" i="8" s="1"/>
  <c r="S302" i="8"/>
  <c r="Q302" i="8"/>
  <c r="S301" i="8"/>
  <c r="Q301" i="8"/>
  <c r="S300" i="8"/>
  <c r="Q300" i="8"/>
  <c r="S299" i="8"/>
  <c r="Q299" i="8"/>
  <c r="S298" i="8"/>
  <c r="Q298" i="8"/>
  <c r="S297" i="8"/>
  <c r="Q297" i="8"/>
  <c r="S296" i="8"/>
  <c r="Q296" i="8"/>
  <c r="P296" i="8"/>
  <c r="S295" i="8"/>
  <c r="Q295" i="8"/>
  <c r="S294" i="8"/>
  <c r="Q294" i="8"/>
  <c r="S293" i="8"/>
  <c r="Q293" i="8"/>
  <c r="S292" i="8"/>
  <c r="Q292" i="8"/>
  <c r="S291" i="8"/>
  <c r="Q291" i="8"/>
  <c r="S290" i="8"/>
  <c r="Q290" i="8"/>
  <c r="S289" i="8"/>
  <c r="Q289" i="8"/>
  <c r="S288" i="8"/>
  <c r="Q288" i="8"/>
  <c r="P288" i="8"/>
  <c r="S287" i="8"/>
  <c r="Q287" i="8"/>
  <c r="P287" i="8"/>
  <c r="S286" i="8"/>
  <c r="Q286" i="8"/>
  <c r="P286" i="8"/>
  <c r="S285" i="8"/>
  <c r="Q285" i="8"/>
  <c r="S284" i="8"/>
  <c r="Q284" i="8"/>
  <c r="S283" i="8"/>
  <c r="Q283" i="8"/>
  <c r="S282" i="8"/>
  <c r="Q282" i="8"/>
  <c r="P282" i="8"/>
  <c r="P283" i="8" s="1"/>
  <c r="S281" i="8"/>
  <c r="Q281" i="8"/>
  <c r="S280" i="8"/>
  <c r="Q280" i="8"/>
  <c r="S279" i="8"/>
  <c r="Q279" i="8"/>
  <c r="P279" i="8"/>
  <c r="P280" i="8" s="1"/>
  <c r="S278" i="8"/>
  <c r="Q278" i="8"/>
  <c r="P278" i="8"/>
  <c r="S277" i="8"/>
  <c r="Q277" i="8"/>
  <c r="S276" i="8"/>
  <c r="Q276" i="8"/>
  <c r="S275" i="8"/>
  <c r="Q275" i="8"/>
  <c r="S274" i="8"/>
  <c r="Q274" i="8"/>
  <c r="P274" i="8"/>
  <c r="P275" i="8" s="1"/>
  <c r="P276" i="8" s="1"/>
  <c r="S273" i="8"/>
  <c r="Q273" i="8"/>
  <c r="S272" i="8"/>
  <c r="Q272" i="8"/>
  <c r="S271" i="8"/>
  <c r="Q271" i="8"/>
  <c r="P271" i="8"/>
  <c r="S270" i="8"/>
  <c r="Q270" i="8"/>
  <c r="P270" i="8"/>
  <c r="S269" i="8"/>
  <c r="Q269" i="8"/>
  <c r="S268" i="8"/>
  <c r="Q268" i="8"/>
  <c r="S267" i="8"/>
  <c r="Q267" i="8"/>
  <c r="S266" i="8"/>
  <c r="Q266" i="8"/>
  <c r="P266" i="8"/>
  <c r="P267" i="8" s="1"/>
  <c r="S265" i="8"/>
  <c r="Q265" i="8"/>
  <c r="S264" i="8"/>
  <c r="Q264" i="8"/>
  <c r="S263" i="8"/>
  <c r="Q263" i="8"/>
  <c r="P263" i="8"/>
  <c r="P264" i="8" s="1"/>
  <c r="S262" i="8"/>
  <c r="Q262" i="8"/>
  <c r="P262" i="8"/>
  <c r="S261" i="8"/>
  <c r="Q261" i="8"/>
  <c r="S260" i="8"/>
  <c r="Q260" i="8"/>
  <c r="S259" i="8"/>
  <c r="Q259" i="8"/>
  <c r="P259" i="8"/>
  <c r="P260" i="8" s="1"/>
  <c r="S258" i="8"/>
  <c r="Q258" i="8"/>
  <c r="P258" i="8"/>
  <c r="S257" i="8"/>
  <c r="Q257" i="8"/>
  <c r="S256" i="8"/>
  <c r="Q256" i="8"/>
  <c r="S255" i="8"/>
  <c r="Q255" i="8"/>
  <c r="S254" i="8"/>
  <c r="Q254" i="8"/>
  <c r="S253" i="8"/>
  <c r="Q253" i="8"/>
  <c r="P253" i="8"/>
  <c r="S252" i="8"/>
  <c r="Q252" i="8"/>
  <c r="P252" i="8"/>
  <c r="S251" i="8"/>
  <c r="Q251" i="8"/>
  <c r="S250" i="8"/>
  <c r="Q250" i="8"/>
  <c r="S249" i="8"/>
  <c r="Q249" i="8"/>
  <c r="P249" i="8"/>
  <c r="P250" i="8" s="1"/>
  <c r="S248" i="8"/>
  <c r="Q248" i="8"/>
  <c r="P248" i="8"/>
  <c r="S247" i="8"/>
  <c r="Q247" i="8"/>
  <c r="S246" i="8"/>
  <c r="Q246" i="8"/>
  <c r="S245" i="8"/>
  <c r="Q245" i="8"/>
  <c r="S244" i="8"/>
  <c r="Q244" i="8"/>
  <c r="S243" i="8"/>
  <c r="Q243" i="8"/>
  <c r="P243" i="8"/>
  <c r="P244" i="8" s="1"/>
  <c r="S242" i="8"/>
  <c r="Q242" i="8"/>
  <c r="S241" i="8"/>
  <c r="Q241" i="8"/>
  <c r="S240" i="8"/>
  <c r="Q240" i="8"/>
  <c r="S239" i="8"/>
  <c r="Q239" i="8"/>
  <c r="P239" i="8"/>
  <c r="P240" i="8" s="1"/>
  <c r="S238" i="8"/>
  <c r="Q238" i="8"/>
  <c r="P238" i="8"/>
  <c r="S237" i="8"/>
  <c r="Q237" i="8"/>
  <c r="S236" i="8"/>
  <c r="Q236" i="8"/>
  <c r="S235" i="8"/>
  <c r="Q235" i="8"/>
  <c r="S234" i="8"/>
  <c r="Q234" i="8"/>
  <c r="S233" i="8"/>
  <c r="Q233" i="8"/>
  <c r="P233" i="8"/>
  <c r="P234" i="8" s="1"/>
  <c r="S232" i="8"/>
  <c r="Q232" i="8"/>
  <c r="P232" i="8"/>
  <c r="S231" i="8"/>
  <c r="Q231" i="8"/>
  <c r="S230" i="8"/>
  <c r="Q230" i="8"/>
  <c r="S229" i="8"/>
  <c r="Q229" i="8"/>
  <c r="S228" i="8"/>
  <c r="Q228" i="8"/>
  <c r="S227" i="8"/>
  <c r="Q227" i="8"/>
  <c r="P227" i="8"/>
  <c r="P228" i="8" s="1"/>
  <c r="S226" i="8"/>
  <c r="Q226" i="8"/>
  <c r="P226" i="8"/>
  <c r="S225" i="8"/>
  <c r="Q225" i="8"/>
  <c r="S224" i="8"/>
  <c r="Q224" i="8"/>
  <c r="S223" i="8"/>
  <c r="Q223" i="8"/>
  <c r="S222" i="8"/>
  <c r="Q222" i="8"/>
  <c r="S221" i="8"/>
  <c r="Q221" i="8"/>
  <c r="P221" i="8"/>
  <c r="S220" i="8"/>
  <c r="Q220" i="8"/>
  <c r="P220" i="8"/>
  <c r="S219" i="8"/>
  <c r="Q219" i="8"/>
  <c r="S218" i="8"/>
  <c r="Q218" i="8"/>
  <c r="S217" i="8"/>
  <c r="Q217" i="8"/>
  <c r="S216" i="8"/>
  <c r="Q216" i="8"/>
  <c r="S215" i="8"/>
  <c r="Q215" i="8"/>
  <c r="P215" i="8"/>
  <c r="P216" i="8" s="1"/>
  <c r="S214" i="8"/>
  <c r="Q214" i="8"/>
  <c r="P214" i="8"/>
  <c r="S213" i="8"/>
  <c r="Q213" i="8"/>
  <c r="S212" i="8"/>
  <c r="Q212" i="8"/>
  <c r="S211" i="8"/>
  <c r="Q211" i="8"/>
  <c r="S210" i="8"/>
  <c r="Q210" i="8"/>
  <c r="S209" i="8"/>
  <c r="Q209" i="8"/>
  <c r="S208" i="8"/>
  <c r="Q208" i="8"/>
  <c r="S207" i="8"/>
  <c r="Q207" i="8"/>
  <c r="P207" i="8"/>
  <c r="P208" i="8" s="1"/>
  <c r="S206" i="8"/>
  <c r="Q206" i="8"/>
  <c r="P206" i="8"/>
  <c r="S205" i="8"/>
  <c r="Q205" i="8"/>
  <c r="S204" i="8"/>
  <c r="Q204" i="8"/>
  <c r="S203" i="8"/>
  <c r="Q203" i="8"/>
  <c r="S202" i="8"/>
  <c r="Q202" i="8"/>
  <c r="S201" i="8"/>
  <c r="Q201" i="8"/>
  <c r="P201" i="8"/>
  <c r="P202" i="8" s="1"/>
  <c r="S200" i="8"/>
  <c r="Q200" i="8"/>
  <c r="S199" i="8"/>
  <c r="Q199" i="8"/>
  <c r="S198" i="8"/>
  <c r="Q198" i="8"/>
  <c r="S197" i="8"/>
  <c r="Q197" i="8"/>
  <c r="S196" i="8"/>
  <c r="Q196" i="8"/>
  <c r="S195" i="8"/>
  <c r="Q195" i="8"/>
  <c r="P195" i="8"/>
  <c r="P196" i="8" s="1"/>
  <c r="S194" i="8"/>
  <c r="Q194" i="8"/>
  <c r="P194" i="8"/>
  <c r="S193" i="8"/>
  <c r="Q193" i="8"/>
  <c r="S192" i="8"/>
  <c r="Q192" i="8"/>
  <c r="S191" i="8"/>
  <c r="Q191" i="8"/>
  <c r="S190" i="8"/>
  <c r="Q190" i="8"/>
  <c r="S189" i="8"/>
  <c r="Q189" i="8"/>
  <c r="P189" i="8"/>
  <c r="S188" i="8"/>
  <c r="Q188" i="8"/>
  <c r="P188" i="8"/>
  <c r="S187" i="8"/>
  <c r="Q187" i="8"/>
  <c r="S186" i="8"/>
  <c r="Q186" i="8"/>
  <c r="S185" i="8"/>
  <c r="Q185" i="8"/>
  <c r="P185" i="8"/>
  <c r="S184" i="8"/>
  <c r="Q184" i="8"/>
  <c r="P184" i="8"/>
  <c r="S183" i="8"/>
  <c r="Q183" i="8"/>
  <c r="S182" i="8"/>
  <c r="Q182" i="8"/>
  <c r="S181" i="8"/>
  <c r="Q181" i="8"/>
  <c r="P181" i="8"/>
  <c r="S180" i="8"/>
  <c r="Q180" i="8"/>
  <c r="P180" i="8"/>
  <c r="S179" i="8"/>
  <c r="Q179" i="8"/>
  <c r="S178" i="8"/>
  <c r="Q178" i="8"/>
  <c r="S177" i="8"/>
  <c r="Q177" i="8"/>
  <c r="S176" i="8"/>
  <c r="Q176" i="8"/>
  <c r="S175" i="8"/>
  <c r="Q175" i="8"/>
  <c r="P175" i="8"/>
  <c r="P176" i="8" s="1"/>
  <c r="S174" i="8"/>
  <c r="Q174" i="8"/>
  <c r="P174" i="8"/>
  <c r="S173" i="8"/>
  <c r="Q173" i="8"/>
  <c r="S172" i="8"/>
  <c r="Q172" i="8"/>
  <c r="S171" i="8"/>
  <c r="Q171" i="8"/>
  <c r="S170" i="8"/>
  <c r="Q170" i="8"/>
  <c r="S169" i="8"/>
  <c r="Q169" i="8"/>
  <c r="S168" i="8"/>
  <c r="Q168" i="8"/>
  <c r="S167" i="8"/>
  <c r="Q167" i="8"/>
  <c r="S166" i="8"/>
  <c r="Q166" i="8"/>
  <c r="S165" i="8"/>
  <c r="Q165" i="8"/>
  <c r="P165" i="8"/>
  <c r="P166" i="8" s="1"/>
  <c r="S164" i="8"/>
  <c r="Q164" i="8"/>
  <c r="P164" i="8"/>
  <c r="S163" i="8"/>
  <c r="Q163" i="8"/>
  <c r="S162" i="8"/>
  <c r="Q162" i="8"/>
  <c r="S161" i="8"/>
  <c r="Q161" i="8"/>
  <c r="S160" i="8"/>
  <c r="Q160" i="8"/>
  <c r="S159" i="8"/>
  <c r="Q159" i="8"/>
  <c r="S158" i="8"/>
  <c r="Q158" i="8"/>
  <c r="S157" i="8"/>
  <c r="Q157" i="8"/>
  <c r="P157" i="8"/>
  <c r="P158" i="8" s="1"/>
  <c r="S156" i="8"/>
  <c r="Q156" i="8"/>
  <c r="P156" i="8"/>
  <c r="S155" i="8"/>
  <c r="Q155" i="8"/>
  <c r="S154" i="8"/>
  <c r="Q154" i="8"/>
  <c r="S153" i="8"/>
  <c r="Q153" i="8"/>
  <c r="S152" i="8"/>
  <c r="Q152" i="8"/>
  <c r="S151" i="8"/>
  <c r="Q151" i="8"/>
  <c r="S150" i="8"/>
  <c r="Q150" i="8"/>
  <c r="P150" i="8"/>
  <c r="S149" i="8"/>
  <c r="Q149" i="8"/>
  <c r="P149" i="8"/>
  <c r="S148" i="8"/>
  <c r="Q148" i="8"/>
  <c r="P148" i="8"/>
  <c r="S147" i="8"/>
  <c r="Q147" i="8"/>
  <c r="P147" i="8"/>
  <c r="S146" i="8"/>
  <c r="Q146" i="8"/>
  <c r="P146" i="8"/>
  <c r="S145" i="8"/>
  <c r="Q145" i="8"/>
  <c r="S144" i="8"/>
  <c r="Q144" i="8"/>
  <c r="S143" i="8"/>
  <c r="Q143" i="8"/>
  <c r="P143" i="8"/>
  <c r="P144" i="8" s="1"/>
  <c r="S142" i="8"/>
  <c r="Q142" i="8"/>
  <c r="P142" i="8"/>
  <c r="S141" i="8"/>
  <c r="Q141" i="8"/>
  <c r="P141" i="8"/>
  <c r="S140" i="8"/>
  <c r="Q140" i="8"/>
  <c r="S139" i="8"/>
  <c r="Q139" i="8"/>
  <c r="S138" i="8"/>
  <c r="Q138" i="8"/>
  <c r="S137" i="8"/>
  <c r="Q137" i="8"/>
  <c r="S136" i="8"/>
  <c r="Q136" i="8"/>
  <c r="S135" i="8"/>
  <c r="Q135" i="8"/>
  <c r="S134" i="8"/>
  <c r="Q134" i="8"/>
  <c r="S133" i="8"/>
  <c r="Q133" i="8"/>
  <c r="P133" i="8"/>
  <c r="P134" i="8" s="1"/>
  <c r="S132" i="8"/>
  <c r="Q132" i="8"/>
  <c r="P132" i="8"/>
  <c r="S131" i="8"/>
  <c r="Q131" i="8"/>
  <c r="S130" i="8"/>
  <c r="Q130" i="8"/>
  <c r="S129" i="8"/>
  <c r="Q129" i="8"/>
  <c r="P129" i="8"/>
  <c r="S128" i="8"/>
  <c r="Q128" i="8"/>
  <c r="P128" i="8"/>
  <c r="S127" i="8"/>
  <c r="Q127" i="8"/>
  <c r="S126" i="8"/>
  <c r="Q126" i="8"/>
  <c r="S125" i="8"/>
  <c r="Q125" i="8"/>
  <c r="P125" i="8"/>
  <c r="P126" i="8" s="1"/>
  <c r="S124" i="8"/>
  <c r="Q124" i="8"/>
  <c r="P124" i="8"/>
  <c r="S123" i="8"/>
  <c r="Q123" i="8"/>
  <c r="S122" i="8"/>
  <c r="Q122" i="8"/>
  <c r="S121" i="8"/>
  <c r="Q121" i="8"/>
  <c r="S120" i="8"/>
  <c r="Q120" i="8"/>
  <c r="P120" i="8"/>
  <c r="S119" i="8"/>
  <c r="Q119" i="8"/>
  <c r="P119" i="8"/>
  <c r="S118" i="8"/>
  <c r="Q118" i="8"/>
  <c r="S117" i="8"/>
  <c r="Q117" i="8"/>
  <c r="S116" i="8"/>
  <c r="Q116" i="8"/>
  <c r="S115" i="8"/>
  <c r="Q115" i="8"/>
  <c r="P115" i="8"/>
  <c r="P116" i="8" s="1"/>
  <c r="S114" i="8"/>
  <c r="Q114" i="8"/>
  <c r="P114" i="8"/>
  <c r="S113" i="8"/>
  <c r="Q113" i="8"/>
  <c r="S112" i="8"/>
  <c r="Q112" i="8"/>
  <c r="S111" i="8"/>
  <c r="Q111" i="8"/>
  <c r="S110" i="8"/>
  <c r="Q110" i="8"/>
  <c r="S109" i="8"/>
  <c r="Q109" i="8"/>
  <c r="S108" i="8"/>
  <c r="Q108" i="8"/>
  <c r="S107" i="8"/>
  <c r="Q107" i="8"/>
  <c r="P107" i="8"/>
  <c r="P108" i="8" s="1"/>
  <c r="S106" i="8"/>
  <c r="Q106" i="8"/>
  <c r="P106" i="8"/>
  <c r="S105" i="8"/>
  <c r="Q105" i="8"/>
  <c r="P105" i="8"/>
  <c r="S104" i="8"/>
  <c r="Q104" i="8"/>
  <c r="P104" i="8"/>
  <c r="S103" i="8"/>
  <c r="Q103" i="8"/>
  <c r="S102" i="8"/>
  <c r="Q102" i="8"/>
  <c r="S101" i="8"/>
  <c r="Q101" i="8"/>
  <c r="S100" i="8"/>
  <c r="Q100" i="8"/>
  <c r="S99" i="8"/>
  <c r="Q99" i="8"/>
  <c r="S98" i="8"/>
  <c r="Q98" i="8"/>
  <c r="S97" i="8"/>
  <c r="Q97" i="8"/>
  <c r="S96" i="8"/>
  <c r="Q96" i="8"/>
  <c r="P96" i="8"/>
  <c r="S95" i="8"/>
  <c r="Q95" i="8"/>
  <c r="S94" i="8"/>
  <c r="Q94" i="8"/>
  <c r="P94" i="8"/>
  <c r="S93" i="8"/>
  <c r="Q93" i="8"/>
  <c r="P93" i="8"/>
  <c r="S92" i="8"/>
  <c r="Q92" i="8"/>
  <c r="P92" i="8"/>
  <c r="S91" i="8"/>
  <c r="Q91" i="8"/>
  <c r="S90" i="8"/>
  <c r="Q90" i="8"/>
  <c r="S89" i="8"/>
  <c r="Q89" i="8"/>
  <c r="S88" i="8"/>
  <c r="Q88" i="8"/>
  <c r="S87" i="8"/>
  <c r="Q87" i="8"/>
  <c r="S86" i="8"/>
  <c r="Q86" i="8"/>
  <c r="S85" i="8"/>
  <c r="Q85" i="8"/>
  <c r="S84" i="8"/>
  <c r="Q84" i="8"/>
  <c r="S83" i="8"/>
  <c r="Q83" i="8"/>
  <c r="P83" i="8"/>
  <c r="P84" i="8" s="1"/>
  <c r="S82" i="8"/>
  <c r="Q82" i="8"/>
  <c r="P82" i="8"/>
  <c r="S81" i="8"/>
  <c r="Q81" i="8"/>
  <c r="S80" i="8"/>
  <c r="Q80" i="8"/>
  <c r="S79" i="8"/>
  <c r="Q79" i="8"/>
  <c r="S78" i="8"/>
  <c r="Q78" i="8"/>
  <c r="S77" i="8"/>
  <c r="Q77" i="8"/>
  <c r="S76" i="8"/>
  <c r="Q76" i="8"/>
  <c r="S75" i="8"/>
  <c r="Q75" i="8"/>
  <c r="S74" i="8"/>
  <c r="Q74" i="8"/>
  <c r="S73" i="8"/>
  <c r="Q73" i="8"/>
  <c r="P73" i="8"/>
  <c r="S72" i="8"/>
  <c r="Q72" i="8"/>
  <c r="S71" i="8"/>
  <c r="Q71" i="8"/>
  <c r="S70" i="8"/>
  <c r="Q70" i="8"/>
  <c r="S69" i="8"/>
  <c r="Q69" i="8"/>
  <c r="P69" i="8"/>
  <c r="P70" i="8" s="1"/>
  <c r="S68" i="8"/>
  <c r="Q68" i="8"/>
  <c r="S67" i="8"/>
  <c r="Q67" i="8"/>
  <c r="S66" i="8"/>
  <c r="Q66" i="8"/>
  <c r="S65" i="8"/>
  <c r="Q65" i="8"/>
  <c r="S64" i="8"/>
  <c r="Q64" i="8"/>
  <c r="P64" i="8"/>
  <c r="S63" i="8"/>
  <c r="Q63" i="8"/>
  <c r="P63" i="8"/>
  <c r="S62" i="8"/>
  <c r="Q62" i="8"/>
  <c r="S61" i="8"/>
  <c r="Q61" i="8"/>
  <c r="S60" i="8"/>
  <c r="Q60" i="8"/>
  <c r="S59" i="8"/>
  <c r="Q59" i="8"/>
  <c r="P59" i="8"/>
  <c r="P60" i="8" s="1"/>
  <c r="S58" i="8"/>
  <c r="Q58" i="8"/>
  <c r="P58" i="8"/>
  <c r="S57" i="8"/>
  <c r="Q57" i="8"/>
  <c r="P57" i="8"/>
  <c r="S56" i="8"/>
  <c r="Q56" i="8"/>
  <c r="S55" i="8"/>
  <c r="Q55" i="8"/>
  <c r="S54" i="8"/>
  <c r="Q54" i="8"/>
  <c r="S53" i="8"/>
  <c r="Q53" i="8"/>
  <c r="S52" i="8"/>
  <c r="Q52" i="8"/>
  <c r="S51" i="8"/>
  <c r="Q51" i="8"/>
  <c r="P51" i="8"/>
  <c r="P52" i="8" s="1"/>
  <c r="S50" i="8"/>
  <c r="Q50" i="8"/>
  <c r="P50" i="8"/>
  <c r="S49" i="8"/>
  <c r="Q49" i="8"/>
  <c r="S48" i="8"/>
  <c r="Q48" i="8"/>
  <c r="S47" i="8"/>
  <c r="Q47" i="8"/>
  <c r="S46" i="8"/>
  <c r="Q46" i="8"/>
  <c r="S45" i="8"/>
  <c r="Q45" i="8"/>
  <c r="S44" i="8"/>
  <c r="Q44" i="8"/>
  <c r="S43" i="8"/>
  <c r="Q43" i="8"/>
  <c r="P43" i="8"/>
  <c r="P44" i="8" s="1"/>
  <c r="S42" i="8"/>
  <c r="Q42" i="8"/>
  <c r="P42" i="8"/>
  <c r="S41" i="8"/>
  <c r="Q41" i="8"/>
  <c r="S40" i="8"/>
  <c r="Q40" i="8"/>
  <c r="S39" i="8"/>
  <c r="Q39" i="8"/>
  <c r="S38" i="8"/>
  <c r="Q38" i="8"/>
  <c r="P38" i="8"/>
  <c r="S37" i="8"/>
  <c r="Q37" i="8"/>
  <c r="S36" i="8"/>
  <c r="Q36" i="8"/>
  <c r="S35" i="8"/>
  <c r="Q35" i="8"/>
  <c r="P35" i="8"/>
  <c r="P36" i="8" s="1"/>
  <c r="S34" i="8"/>
  <c r="Q34" i="8"/>
  <c r="P34" i="8"/>
  <c r="S33" i="8"/>
  <c r="Q33" i="8"/>
  <c r="S32" i="8"/>
  <c r="Q32" i="8"/>
  <c r="S31" i="8"/>
  <c r="Q31" i="8"/>
  <c r="S30" i="8"/>
  <c r="Q30" i="8"/>
  <c r="S29" i="8"/>
  <c r="Q29" i="8"/>
  <c r="P29" i="8"/>
  <c r="P30" i="8" s="1"/>
  <c r="S28" i="8"/>
  <c r="Q28" i="8"/>
  <c r="S27" i="8"/>
  <c r="Q27" i="8"/>
  <c r="S26" i="8"/>
  <c r="Q26" i="8"/>
  <c r="S25" i="8"/>
  <c r="Q25" i="8"/>
  <c r="S24" i="8"/>
  <c r="Q24" i="8"/>
  <c r="P24" i="8"/>
  <c r="S23" i="8"/>
  <c r="Q23" i="8"/>
  <c r="S22" i="8"/>
  <c r="Q22" i="8"/>
  <c r="S21" i="8"/>
  <c r="Q21" i="8"/>
  <c r="S20" i="8"/>
  <c r="Q20" i="8"/>
  <c r="S19" i="8"/>
  <c r="Q19" i="8"/>
  <c r="P19" i="8"/>
  <c r="P20" i="8" s="1"/>
  <c r="S18" i="8"/>
  <c r="Q18" i="8"/>
  <c r="S17" i="8"/>
  <c r="Q17" i="8"/>
  <c r="S16" i="8"/>
  <c r="Q16" i="8"/>
  <c r="S15" i="8"/>
  <c r="Q15" i="8"/>
  <c r="S14" i="8"/>
  <c r="Q14" i="8"/>
  <c r="S13" i="8"/>
  <c r="Q13" i="8"/>
  <c r="S12" i="8"/>
  <c r="Q12" i="8"/>
  <c r="S11" i="8"/>
  <c r="Q11" i="8"/>
  <c r="P11" i="8"/>
  <c r="P12" i="8" s="1"/>
  <c r="S10" i="8"/>
  <c r="Q10" i="8"/>
  <c r="S9" i="8"/>
  <c r="Q9" i="8"/>
  <c r="S8" i="8"/>
  <c r="Q8" i="8"/>
  <c r="S7" i="8"/>
  <c r="Q7" i="8"/>
  <c r="S6" i="8"/>
  <c r="Q6" i="8"/>
  <c r="P6" i="8"/>
  <c r="V2191" i="12" l="1"/>
  <c r="V2181" i="12"/>
  <c r="V2214" i="12"/>
  <c r="X2204" i="12"/>
  <c r="E89" i="10"/>
  <c r="Q89" i="10" s="1"/>
  <c r="V2204" i="12"/>
  <c r="E159" i="10"/>
  <c r="Q159" i="10" s="1"/>
  <c r="AF100" i="9"/>
  <c r="AK93" i="9"/>
  <c r="AK94" i="9" s="1"/>
  <c r="G94" i="9" s="1"/>
  <c r="G96" i="9" s="1"/>
  <c r="W684" i="9"/>
  <c r="V728" i="9"/>
  <c r="T497" i="9"/>
  <c r="AA350" i="9"/>
  <c r="W116" i="9"/>
  <c r="W728" i="9"/>
  <c r="Z406" i="9"/>
  <c r="V2121" i="9"/>
  <c r="AA497" i="9"/>
  <c r="AC497" i="9"/>
  <c r="Y497" i="9"/>
  <c r="W406" i="9"/>
  <c r="V350" i="9"/>
  <c r="W350" i="9"/>
  <c r="U1238" i="9"/>
  <c r="AC303" i="9"/>
  <c r="AA303" i="9"/>
  <c r="T102" i="9"/>
  <c r="AA1270" i="9"/>
  <c r="V1270" i="9"/>
  <c r="T728" i="9"/>
  <c r="Y406" i="9"/>
  <c r="AB303" i="9"/>
  <c r="Y1270" i="9"/>
  <c r="AB457" i="9"/>
  <c r="U406" i="9"/>
  <c r="V102" i="9"/>
  <c r="Q2121" i="9"/>
  <c r="AB1381" i="9"/>
  <c r="AC1270" i="9"/>
  <c r="Q728" i="9"/>
  <c r="P684" i="9"/>
  <c r="O684" i="9"/>
  <c r="AC457" i="9"/>
  <c r="P1453" i="9"/>
  <c r="Q559" i="9"/>
  <c r="AB497" i="9"/>
  <c r="AA457" i="9"/>
  <c r="Q1516" i="9"/>
  <c r="AC1453" i="9"/>
  <c r="O1453" i="9"/>
  <c r="AA1328" i="9"/>
  <c r="AA1453" i="9"/>
  <c r="Z1381" i="9"/>
  <c r="W1516" i="9"/>
  <c r="Y1381" i="9"/>
  <c r="V656" i="9"/>
  <c r="U2121" i="9"/>
  <c r="O2121" i="9"/>
  <c r="Z2048" i="9"/>
  <c r="O1699" i="9"/>
  <c r="AE1698" i="9"/>
  <c r="T2121" i="9"/>
  <c r="W2121" i="9"/>
  <c r="U1516" i="9"/>
  <c r="R2121" i="9"/>
  <c r="Y1453" i="9"/>
  <c r="P706" i="9"/>
  <c r="AB350" i="9"/>
  <c r="AB1328" i="9"/>
  <c r="AB1238" i="9"/>
  <c r="W706" i="9"/>
  <c r="T656" i="9"/>
  <c r="U656" i="9"/>
  <c r="W497" i="9"/>
  <c r="AF114" i="9"/>
  <c r="R102" i="9"/>
  <c r="AI94" i="9"/>
  <c r="AI95" i="9" s="1"/>
  <c r="AB559" i="9"/>
  <c r="Z350" i="9"/>
  <c r="T1238" i="9"/>
  <c r="R728" i="9"/>
  <c r="W2048" i="9"/>
  <c r="V1516" i="9"/>
  <c r="W1381" i="9"/>
  <c r="Z1328" i="9"/>
  <c r="W1238" i="9"/>
  <c r="AE780" i="9"/>
  <c r="V706" i="9"/>
  <c r="U684" i="9"/>
  <c r="Q684" i="9"/>
  <c r="U497" i="9"/>
  <c r="AB406" i="9"/>
  <c r="Y350" i="9"/>
  <c r="Y2048" i="9"/>
  <c r="V2048" i="9"/>
  <c r="AF1698" i="9"/>
  <c r="Q1453" i="9"/>
  <c r="Z1453" i="9"/>
  <c r="Y1238" i="9"/>
  <c r="P728" i="9"/>
  <c r="U706" i="9"/>
  <c r="Q656" i="9"/>
  <c r="AA406" i="9"/>
  <c r="AA499" i="9" s="1"/>
  <c r="AE115" i="9"/>
  <c r="AC350" i="9"/>
  <c r="T350" i="9"/>
  <c r="AC1238" i="9"/>
  <c r="P2121" i="9"/>
  <c r="AE1699" i="9"/>
  <c r="W1328" i="9"/>
  <c r="T457" i="9"/>
  <c r="AC2048" i="9"/>
  <c r="T2048" i="9"/>
  <c r="AA2048" i="9"/>
  <c r="AC1381" i="9"/>
  <c r="T1381" i="9"/>
  <c r="V1328" i="9"/>
  <c r="Z1238" i="9"/>
  <c r="V1238" i="9"/>
  <c r="Q706" i="9"/>
  <c r="V497" i="9"/>
  <c r="Y303" i="9"/>
  <c r="V116" i="9"/>
  <c r="AF101" i="9"/>
  <c r="AB2048" i="9"/>
  <c r="U1328" i="9"/>
  <c r="AF780" i="9"/>
  <c r="V684" i="9"/>
  <c r="AC406" i="9"/>
  <c r="U102" i="9"/>
  <c r="G404" i="9"/>
  <c r="G375" i="9"/>
  <c r="AI2206" i="9"/>
  <c r="AI2194" i="9"/>
  <c r="AI2176" i="9"/>
  <c r="AI2148" i="9"/>
  <c r="AI2016" i="9"/>
  <c r="AI2000" i="9"/>
  <c r="AI2185" i="9"/>
  <c r="AI2170" i="9"/>
  <c r="AI2164" i="9"/>
  <c r="AI2030" i="9"/>
  <c r="AI2145" i="9"/>
  <c r="AI2138" i="9"/>
  <c r="AI2211" i="9"/>
  <c r="AI2023" i="9"/>
  <c r="AI985" i="9"/>
  <c r="AI2051" i="9"/>
  <c r="AI2044" i="9"/>
  <c r="AI1922" i="9"/>
  <c r="AI1704" i="9"/>
  <c r="AI1961" i="9"/>
  <c r="AI1934" i="9"/>
  <c r="AI1908" i="9"/>
  <c r="AI1736" i="9"/>
  <c r="AI2125" i="9"/>
  <c r="AI2117" i="9"/>
  <c r="AI2113" i="9"/>
  <c r="AI2109" i="9"/>
  <c r="AI2105" i="9"/>
  <c r="AI2101" i="9"/>
  <c r="AI2097" i="9"/>
  <c r="AI2093" i="9"/>
  <c r="AI2089" i="9"/>
  <c r="AI2085" i="9"/>
  <c r="AI2081" i="9"/>
  <c r="AI2077" i="9"/>
  <c r="AI2073" i="9"/>
  <c r="AI2069" i="9"/>
  <c r="AI2065" i="9"/>
  <c r="AI2061" i="9"/>
  <c r="AI2057" i="9"/>
  <c r="AI1903" i="9"/>
  <c r="AI1948" i="9"/>
  <c r="AI2156" i="9"/>
  <c r="AI2055" i="9"/>
  <c r="AI1985" i="9"/>
  <c r="AI1968" i="9"/>
  <c r="AI1924" i="9"/>
  <c r="AI1815" i="9"/>
  <c r="AI1771" i="9"/>
  <c r="AI1745" i="9"/>
  <c r="AI1732" i="9"/>
  <c r="AI1831" i="9"/>
  <c r="AI2038" i="9"/>
  <c r="AI2010" i="9"/>
  <c r="AI1936" i="9"/>
  <c r="AI1869" i="9"/>
  <c r="AI1875" i="9"/>
  <c r="AI1786" i="9"/>
  <c r="AI1767" i="9"/>
  <c r="AI1752" i="9"/>
  <c r="AI1763" i="9"/>
  <c r="AI1885" i="9"/>
  <c r="AI1865" i="9"/>
  <c r="AI1656" i="9"/>
  <c r="AI1879" i="9"/>
  <c r="AI1842" i="9"/>
  <c r="AI1821" i="9"/>
  <c r="AI1806" i="9"/>
  <c r="AI1800" i="9"/>
  <c r="AI1521" i="9"/>
  <c r="AI1781" i="9"/>
  <c r="AI1741" i="9"/>
  <c r="AI1714" i="9"/>
  <c r="AI1269" i="9"/>
  <c r="AI1723" i="9"/>
  <c r="AI1710" i="9"/>
  <c r="AI1529" i="9"/>
  <c r="AI1680" i="9"/>
  <c r="AI1712" i="9"/>
  <c r="AI1617" i="9"/>
  <c r="AI1564" i="9"/>
  <c r="AI1539" i="9"/>
  <c r="AI1509" i="9"/>
  <c r="AI1378" i="9"/>
  <c r="AI1292" i="9"/>
  <c r="AI1689" i="9"/>
  <c r="AI1665" i="9"/>
  <c r="AI1571" i="9"/>
  <c r="AI1442" i="9"/>
  <c r="AI1592" i="9"/>
  <c r="AI1676" i="9"/>
  <c r="AI1650" i="9"/>
  <c r="AI1640" i="9"/>
  <c r="AI1632" i="9"/>
  <c r="AI1517" i="9"/>
  <c r="V1699" i="9"/>
  <c r="AF1699" i="9" s="1"/>
  <c r="AI1605" i="9"/>
  <c r="AI1552" i="9"/>
  <c r="AI1373" i="9"/>
  <c r="AI1465" i="9"/>
  <c r="AI1333" i="9"/>
  <c r="AI1626" i="9"/>
  <c r="AI1582" i="9"/>
  <c r="AI1411" i="9"/>
  <c r="AI1447" i="9"/>
  <c r="O1516" i="9"/>
  <c r="AI1418" i="9"/>
  <c r="AI1340" i="9"/>
  <c r="AI1470" i="9"/>
  <c r="AI1423" i="9"/>
  <c r="R1453" i="9"/>
  <c r="AA1381" i="9"/>
  <c r="AI1325" i="9"/>
  <c r="AI1190" i="9"/>
  <c r="AI1387" i="9"/>
  <c r="AI1514" i="9"/>
  <c r="AI1462" i="9"/>
  <c r="AI1430" i="9"/>
  <c r="AI1399" i="9"/>
  <c r="AI1366" i="9"/>
  <c r="AI1303" i="9"/>
  <c r="AI1294" i="9"/>
  <c r="AI1494" i="9"/>
  <c r="AI1474" i="9"/>
  <c r="T1516" i="9"/>
  <c r="AI1458" i="9"/>
  <c r="AI1435" i="9"/>
  <c r="AI1394" i="9"/>
  <c r="V1381" i="9"/>
  <c r="AI1309" i="9"/>
  <c r="AI1285" i="9"/>
  <c r="AI1451" i="9"/>
  <c r="AB1453" i="9"/>
  <c r="AI1406" i="9"/>
  <c r="AI1358" i="9"/>
  <c r="AI1346" i="9"/>
  <c r="AI1276" i="9"/>
  <c r="AI1261" i="9"/>
  <c r="AB1270" i="9"/>
  <c r="AI1200" i="9"/>
  <c r="AC1328" i="9"/>
  <c r="T1328" i="9"/>
  <c r="T1388" i="9" s="1"/>
  <c r="AI1245" i="9"/>
  <c r="AI1183" i="9"/>
  <c r="Z1270" i="9"/>
  <c r="AI1125" i="9"/>
  <c r="AI1315" i="9"/>
  <c r="AA1238" i="9"/>
  <c r="W1270" i="9"/>
  <c r="AI1188" i="9"/>
  <c r="Y1328" i="9"/>
  <c r="AI1222" i="9"/>
  <c r="AI1212" i="9"/>
  <c r="AI1152" i="9"/>
  <c r="AI1258" i="9"/>
  <c r="AI1243" i="9"/>
  <c r="U1270" i="9"/>
  <c r="AI1181" i="9"/>
  <c r="AI1253" i="9"/>
  <c r="AI1235" i="9"/>
  <c r="AI1228" i="9"/>
  <c r="AI1206" i="9"/>
  <c r="AI1115" i="9"/>
  <c r="AI1083" i="9"/>
  <c r="AI1039" i="9"/>
  <c r="AI1145" i="9"/>
  <c r="AI1096" i="9"/>
  <c r="AI1111" i="9"/>
  <c r="AI1074" i="9"/>
  <c r="AI951" i="9"/>
  <c r="AI1004" i="9"/>
  <c r="AI981" i="9"/>
  <c r="AI938" i="9"/>
  <c r="AI1059" i="9"/>
  <c r="AI1023" i="9"/>
  <c r="AI1001" i="9"/>
  <c r="AI977" i="9"/>
  <c r="AI992" i="9"/>
  <c r="AI926" i="9"/>
  <c r="AI888" i="9"/>
  <c r="AI860" i="9"/>
  <c r="AI971" i="9"/>
  <c r="AI969" i="9"/>
  <c r="AI960" i="9"/>
  <c r="AI912" i="9"/>
  <c r="AI895" i="9"/>
  <c r="AI876" i="9"/>
  <c r="AI830" i="9"/>
  <c r="AI964" i="9"/>
  <c r="AI933" i="9"/>
  <c r="AI916" i="9"/>
  <c r="AI899" i="9"/>
  <c r="AI871" i="9"/>
  <c r="AI811" i="9"/>
  <c r="AI791" i="9"/>
  <c r="AI777" i="9"/>
  <c r="AI765" i="9"/>
  <c r="AI879" i="9"/>
  <c r="AI855" i="9"/>
  <c r="AI725" i="9"/>
  <c r="R656" i="9"/>
  <c r="AI786" i="9"/>
  <c r="AI801" i="9"/>
  <c r="AI797" i="9"/>
  <c r="AI837" i="9"/>
  <c r="AI825" i="9"/>
  <c r="AI770" i="9"/>
  <c r="AI740" i="9"/>
  <c r="AI748" i="9"/>
  <c r="AI733" i="9"/>
  <c r="AI721" i="9"/>
  <c r="AI689" i="9"/>
  <c r="AI753" i="9"/>
  <c r="U728" i="9"/>
  <c r="O728" i="9"/>
  <c r="O706" i="9"/>
  <c r="AI693" i="9"/>
  <c r="AI617" i="9"/>
  <c r="AI745" i="9"/>
  <c r="AI662" i="9"/>
  <c r="AI648" i="9"/>
  <c r="AI761" i="9"/>
  <c r="R706" i="9"/>
  <c r="AI709" i="9"/>
  <c r="AI729" i="9"/>
  <c r="AI681" i="9"/>
  <c r="AI653" i="9"/>
  <c r="AI714" i="9"/>
  <c r="AI675" i="9"/>
  <c r="AI643" i="9"/>
  <c r="P656" i="9"/>
  <c r="AI702" i="9"/>
  <c r="AI698" i="9"/>
  <c r="AI664" i="9"/>
  <c r="W656" i="9"/>
  <c r="AI556" i="9"/>
  <c r="O656" i="9"/>
  <c r="AI600" i="9"/>
  <c r="AI615" i="9"/>
  <c r="AI593" i="9"/>
  <c r="AI589" i="9"/>
  <c r="T684" i="9"/>
  <c r="AI562" i="9"/>
  <c r="R684" i="9"/>
  <c r="AI578" i="9"/>
  <c r="AI627" i="9"/>
  <c r="AI623" i="9"/>
  <c r="AA559" i="9"/>
  <c r="AI585" i="9"/>
  <c r="AI567" i="9"/>
  <c r="R559" i="9"/>
  <c r="P559" i="9"/>
  <c r="AC559" i="9"/>
  <c r="AI461" i="9"/>
  <c r="AI524" i="9"/>
  <c r="AI560" i="9"/>
  <c r="AI414" i="9"/>
  <c r="AI607" i="9"/>
  <c r="AI603" i="9"/>
  <c r="AI541" i="9"/>
  <c r="Z559" i="9"/>
  <c r="Y559" i="9"/>
  <c r="AI446" i="9"/>
  <c r="AI440" i="9"/>
  <c r="Z457" i="9"/>
  <c r="AI420" i="9"/>
  <c r="AI517" i="9"/>
  <c r="AI511" i="9"/>
  <c r="AI473" i="9"/>
  <c r="AI395" i="9"/>
  <c r="AI521" i="9"/>
  <c r="AI452" i="9"/>
  <c r="AI437" i="9"/>
  <c r="AI432" i="9"/>
  <c r="V457" i="9"/>
  <c r="O559" i="9"/>
  <c r="AI376" i="9"/>
  <c r="AI470" i="9"/>
  <c r="AI410" i="9"/>
  <c r="G399" i="9"/>
  <c r="AI492" i="9"/>
  <c r="AI498" i="9"/>
  <c r="Y457" i="9"/>
  <c r="AI408" i="9"/>
  <c r="W457" i="9"/>
  <c r="AI400" i="9"/>
  <c r="T406" i="9"/>
  <c r="AI402" i="9"/>
  <c r="AI403" i="9" s="1"/>
  <c r="AI404" i="9" s="1"/>
  <c r="AI503" i="9"/>
  <c r="AI425" i="9"/>
  <c r="AI359" i="9"/>
  <c r="V406" i="9"/>
  <c r="G394" i="9"/>
  <c r="G389" i="9"/>
  <c r="AI385" i="9"/>
  <c r="AI378" i="9"/>
  <c r="AI369" i="9"/>
  <c r="AI357" i="9"/>
  <c r="AI340" i="9"/>
  <c r="U457" i="9"/>
  <c r="AI328" i="9"/>
  <c r="AI292" i="9"/>
  <c r="AI343" i="9"/>
  <c r="AI337" i="9"/>
  <c r="AI364" i="9"/>
  <c r="AI365" i="9" s="1"/>
  <c r="AI366" i="9" s="1"/>
  <c r="U350" i="9"/>
  <c r="AI317" i="9"/>
  <c r="AI252" i="9"/>
  <c r="G366" i="9"/>
  <c r="G356" i="9"/>
  <c r="AI320" i="9"/>
  <c r="AI325" i="9"/>
  <c r="AI311" i="9"/>
  <c r="AI218" i="9"/>
  <c r="AI205" i="9"/>
  <c r="AI301" i="9"/>
  <c r="AI280" i="9"/>
  <c r="AI259" i="9"/>
  <c r="Z303" i="9"/>
  <c r="AI269" i="9"/>
  <c r="AI265" i="9"/>
  <c r="AI244" i="9"/>
  <c r="AI241" i="9"/>
  <c r="AI201" i="9"/>
  <c r="AI183" i="9"/>
  <c r="AI221" i="9"/>
  <c r="AI197" i="9"/>
  <c r="AI168" i="9"/>
  <c r="AI150" i="9"/>
  <c r="AI128" i="9"/>
  <c r="AI156" i="9"/>
  <c r="AI160" i="9"/>
  <c r="O116" i="9"/>
  <c r="AE114" i="9"/>
  <c r="AI137" i="9"/>
  <c r="P102" i="9"/>
  <c r="AF116" i="9"/>
  <c r="AI145" i="9"/>
  <c r="AE101" i="9"/>
  <c r="AI100" i="9"/>
  <c r="AI124" i="9"/>
  <c r="AI120" i="9"/>
  <c r="AI111" i="9"/>
  <c r="P116" i="9"/>
  <c r="O102" i="9"/>
  <c r="AE100" i="9"/>
  <c r="AI96" i="9"/>
  <c r="W102" i="9"/>
  <c r="P37" i="8"/>
  <c r="P127" i="8"/>
  <c r="P71" i="8"/>
  <c r="P13" i="8"/>
  <c r="P45" i="8"/>
  <c r="P61" i="8"/>
  <c r="P21" i="8"/>
  <c r="P31" i="8"/>
  <c r="P109" i="8"/>
  <c r="P135" i="8"/>
  <c r="P85" i="8"/>
  <c r="P145" i="8"/>
  <c r="P53" i="8"/>
  <c r="P117" i="8"/>
  <c r="P159" i="8"/>
  <c r="P203" i="8"/>
  <c r="P261" i="8"/>
  <c r="P268" i="8"/>
  <c r="P74" i="8"/>
  <c r="P130" i="8"/>
  <c r="P177" i="8"/>
  <c r="P186" i="8"/>
  <c r="P25" i="8"/>
  <c r="P65" i="8"/>
  <c r="P97" i="8"/>
  <c r="P121" i="8"/>
  <c r="P235" i="8"/>
  <c r="P245" i="8"/>
  <c r="P277" i="8"/>
  <c r="P7" i="8"/>
  <c r="P39" i="8"/>
  <c r="P95" i="8"/>
  <c r="P151" i="8"/>
  <c r="P209" i="8"/>
  <c r="P281" i="8"/>
  <c r="P167" i="8"/>
  <c r="P197" i="8"/>
  <c r="P217" i="8"/>
  <c r="P229" i="8"/>
  <c r="P241" i="8"/>
  <c r="P251" i="8"/>
  <c r="P265" i="8"/>
  <c r="R6" i="8"/>
  <c r="P272" i="8"/>
  <c r="P359" i="8"/>
  <c r="P381" i="8"/>
  <c r="P441" i="8"/>
  <c r="P521" i="8"/>
  <c r="P544" i="8"/>
  <c r="P576" i="8"/>
  <c r="P587" i="8"/>
  <c r="P635" i="8"/>
  <c r="P649" i="8"/>
  <c r="P667" i="8"/>
  <c r="P697" i="8"/>
  <c r="P706" i="8"/>
  <c r="P717" i="8"/>
  <c r="P341" i="8"/>
  <c r="P431" i="8"/>
  <c r="P445" i="8"/>
  <c r="P603" i="8"/>
  <c r="P665" i="8"/>
  <c r="P683" i="8"/>
  <c r="P730" i="8"/>
  <c r="P762" i="8"/>
  <c r="P182" i="8"/>
  <c r="P190" i="8"/>
  <c r="P222" i="8"/>
  <c r="P254" i="8"/>
  <c r="P305" i="8"/>
  <c r="P318" i="8"/>
  <c r="P515" i="8"/>
  <c r="P525" i="8"/>
  <c r="P601" i="8"/>
  <c r="P619" i="8"/>
  <c r="P640" i="8"/>
  <c r="P688" i="8"/>
  <c r="P794" i="8"/>
  <c r="P829" i="8"/>
  <c r="P845" i="8"/>
  <c r="P375" i="8"/>
  <c r="P477" i="8"/>
  <c r="P529" i="8"/>
  <c r="P624" i="8"/>
  <c r="P741" i="8"/>
  <c r="P778" i="8"/>
  <c r="P789" i="8"/>
  <c r="P858" i="8"/>
  <c r="P1089" i="8"/>
  <c r="P397" i="8"/>
  <c r="P415" i="8"/>
  <c r="P425" i="8"/>
  <c r="P461" i="8"/>
  <c r="P654" i="8"/>
  <c r="P702" i="8"/>
  <c r="P810" i="8"/>
  <c r="P284" i="8"/>
  <c r="P334" i="8"/>
  <c r="P365" i="8"/>
  <c r="P491" i="8"/>
  <c r="P722" i="8"/>
  <c r="P326" i="8"/>
  <c r="P351" i="8"/>
  <c r="P387" i="8"/>
  <c r="P409" i="8"/>
  <c r="P419" i="8"/>
  <c r="P555" i="8"/>
  <c r="P660" i="8"/>
  <c r="P692" i="8"/>
  <c r="P749" i="8"/>
  <c r="P805" i="8"/>
  <c r="P313" i="8"/>
  <c r="P391" i="8"/>
  <c r="P455" i="8"/>
  <c r="P495" i="8"/>
  <c r="P539" i="8"/>
  <c r="P553" i="8"/>
  <c r="P571" i="8"/>
  <c r="P628" i="8"/>
  <c r="P644" i="8"/>
  <c r="P699" i="8"/>
  <c r="P850" i="8"/>
  <c r="P593" i="8"/>
  <c r="P886" i="8"/>
  <c r="P904" i="8"/>
  <c r="P932" i="8"/>
  <c r="P956" i="8"/>
  <c r="P966" i="8"/>
  <c r="P1014" i="8"/>
  <c r="P1404" i="8"/>
  <c r="P1621" i="8"/>
  <c r="P873" i="8"/>
  <c r="P1029" i="8"/>
  <c r="P1053" i="8"/>
  <c r="P867" i="8"/>
  <c r="P936" i="8"/>
  <c r="P960" i="8"/>
  <c r="P1085" i="8"/>
  <c r="P289" i="8"/>
  <c r="P297" i="8"/>
  <c r="P1059" i="8"/>
  <c r="P1473" i="8"/>
  <c r="P1536" i="8"/>
  <c r="P560" i="8"/>
  <c r="P608" i="8"/>
  <c r="P672" i="8"/>
  <c r="P712" i="8"/>
  <c r="P736" i="8"/>
  <c r="P752" i="8"/>
  <c r="P768" i="8"/>
  <c r="P776" i="8"/>
  <c r="P784" i="8"/>
  <c r="P792" i="8"/>
  <c r="P800" i="8"/>
  <c r="P816" i="8"/>
  <c r="P824" i="8"/>
  <c r="P832" i="8"/>
  <c r="P840" i="8"/>
  <c r="P948" i="8"/>
  <c r="P1025" i="8"/>
  <c r="P1081" i="8"/>
  <c r="P1109" i="8"/>
  <c r="P881" i="8"/>
  <c r="P892" i="8"/>
  <c r="P910" i="8"/>
  <c r="P985" i="8"/>
  <c r="P1037" i="8"/>
  <c r="P1172" i="8"/>
  <c r="P1357" i="8"/>
  <c r="P875" i="8"/>
  <c r="P896" i="8"/>
  <c r="P952" i="8"/>
  <c r="P1045" i="8"/>
  <c r="P1123" i="8"/>
  <c r="P1180" i="8"/>
  <c r="P1238" i="8"/>
  <c r="P1314" i="8"/>
  <c r="P1330" i="8"/>
  <c r="P1341" i="8"/>
  <c r="P1373" i="8"/>
  <c r="P1417" i="8"/>
  <c r="P1245" i="8"/>
  <c r="P1389" i="8"/>
  <c r="P1424" i="8"/>
  <c r="P1214" i="8"/>
  <c r="P1450" i="8"/>
  <c r="P1467" i="8"/>
  <c r="P976" i="8"/>
  <c r="P1008" i="8"/>
  <c r="P1222" i="8"/>
  <c r="P1432" i="8"/>
  <c r="P974" i="8"/>
  <c r="P990" i="8"/>
  <c r="P1006" i="8"/>
  <c r="P1152" i="8"/>
  <c r="P1208" i="8"/>
  <c r="P1353" i="8"/>
  <c r="P1369" i="8"/>
  <c r="P1552" i="8"/>
  <c r="P1292" i="8"/>
  <c r="P1385" i="8"/>
  <c r="P1130" i="8"/>
  <c r="P1190" i="8"/>
  <c r="P1248" i="8"/>
  <c r="P1308" i="8"/>
  <c r="P1324" i="8"/>
  <c r="P1410" i="8"/>
  <c r="P1511" i="8"/>
  <c r="P1460" i="8"/>
  <c r="P1559" i="8"/>
  <c r="P1584" i="8"/>
  <c r="P1647" i="8"/>
  <c r="P1440" i="8"/>
  <c r="P1541" i="8"/>
  <c r="P1589" i="8"/>
  <c r="P1811" i="8"/>
  <c r="P1236" i="8"/>
  <c r="P1252" i="8"/>
  <c r="P1284" i="8"/>
  <c r="P1300" i="8"/>
  <c r="P1332" i="8"/>
  <c r="P1348" i="8"/>
  <c r="P1364" i="8"/>
  <c r="P1380" i="8"/>
  <c r="P1396" i="8"/>
  <c r="P1520" i="8"/>
  <c r="P1600" i="8"/>
  <c r="P1609" i="8"/>
  <c r="P1446" i="8"/>
  <c r="P1496" i="8"/>
  <c r="P1502" i="8"/>
  <c r="P1516" i="8"/>
  <c r="P1570" i="8"/>
  <c r="P1596" i="8"/>
  <c r="P1482" i="8"/>
  <c r="P1527" i="8"/>
  <c r="P1577" i="8"/>
  <c r="P1616" i="8"/>
  <c r="P1663" i="8"/>
  <c r="P1765" i="8"/>
  <c r="P1488" i="8"/>
  <c r="P1545" i="8"/>
  <c r="P1605" i="8"/>
  <c r="P1629" i="8"/>
  <c r="P1651" i="8"/>
  <c r="P1667" i="8"/>
  <c r="P1679" i="8"/>
  <c r="P1691" i="8"/>
  <c r="P1725" i="8"/>
  <c r="P1800" i="8"/>
  <c r="P1713" i="8"/>
  <c r="P1639" i="8"/>
  <c r="P1655" i="8"/>
  <c r="P1671" i="8"/>
  <c r="P1701" i="8"/>
  <c r="P1633" i="8"/>
  <c r="P1683" i="8"/>
  <c r="P1795" i="8"/>
  <c r="P1827" i="8"/>
  <c r="P1564" i="8"/>
  <c r="P1612" i="8"/>
  <c r="P1643" i="8"/>
  <c r="P1659" i="8"/>
  <c r="P1779" i="8"/>
  <c r="P1816" i="8"/>
  <c r="P1625" i="8"/>
  <c r="P1733" i="8"/>
  <c r="P1745" i="8"/>
  <c r="P1755" i="8"/>
  <c r="P1836" i="8"/>
  <c r="P1961" i="8"/>
  <c r="P1972" i="8"/>
  <c r="P1855" i="8"/>
  <c r="P1954" i="8"/>
  <c r="P1997" i="8"/>
  <c r="P2110" i="8"/>
  <c r="P2130" i="8"/>
  <c r="P1863" i="8"/>
  <c r="P1895" i="8"/>
  <c r="P1922" i="8"/>
  <c r="P1945" i="8"/>
  <c r="P1849" i="8"/>
  <c r="P2031" i="8"/>
  <c r="P2092" i="8"/>
  <c r="P1885" i="8"/>
  <c r="P1788" i="8"/>
  <c r="P1875" i="8"/>
  <c r="P1906" i="8"/>
  <c r="P1910" i="8"/>
  <c r="P1940" i="8"/>
  <c r="P1950" i="8"/>
  <c r="P1935" i="8"/>
  <c r="P1978" i="8"/>
  <c r="P1986" i="8"/>
  <c r="P2014" i="8"/>
  <c r="P2054" i="8"/>
  <c r="P1982" i="8"/>
  <c r="P1990" i="8"/>
  <c r="P2018" i="8"/>
  <c r="P2026" i="8"/>
  <c r="P2084" i="8"/>
  <c r="P2124" i="8"/>
  <c r="P2268" i="8"/>
  <c r="P2362" i="8"/>
  <c r="P2185" i="8"/>
  <c r="P2214" i="8"/>
  <c r="P2238" i="8"/>
  <c r="P2262" i="8"/>
  <c r="P2426" i="8"/>
  <c r="P2041" i="8"/>
  <c r="P2097" i="8"/>
  <c r="P2113" i="8"/>
  <c r="P2122" i="8"/>
  <c r="P2144" i="8"/>
  <c r="P2160" i="8"/>
  <c r="P2222" i="8"/>
  <c r="P2246" i="8"/>
  <c r="P2100" i="8"/>
  <c r="P2132" i="8"/>
  <c r="P2199" i="8"/>
  <c r="P2079" i="8"/>
  <c r="P2103" i="8"/>
  <c r="P2167" i="8"/>
  <c r="P2291" i="8"/>
  <c r="P2136" i="8"/>
  <c r="P2230" i="8"/>
  <c r="P2373" i="8"/>
  <c r="P2250" i="8"/>
  <c r="P2330" i="8"/>
  <c r="P2438" i="8"/>
  <c r="P2307" i="8"/>
  <c r="P2314" i="8"/>
  <c r="P2341" i="8"/>
  <c r="P2346" i="8"/>
  <c r="P2410" i="8"/>
  <c r="P2260" i="8"/>
  <c r="P2272" i="8"/>
  <c r="P2358" i="8"/>
  <c r="P2209" i="8"/>
  <c r="P2326" i="8"/>
  <c r="P2442" i="8"/>
  <c r="P2207" i="8"/>
  <c r="P2252" i="8"/>
  <c r="P2276" i="8"/>
  <c r="P2288" i="8"/>
  <c r="P2304" i="8"/>
  <c r="P2416" i="8"/>
  <c r="P2321" i="8"/>
  <c r="P2385" i="8"/>
  <c r="P2401" i="8"/>
  <c r="P2285" i="8"/>
  <c r="P2301" i="8"/>
  <c r="P2317" i="8"/>
  <c r="P2333" i="8"/>
  <c r="P2365" i="8"/>
  <c r="P2381" i="8"/>
  <c r="P2397" i="8"/>
  <c r="V2227" i="12" l="1"/>
  <c r="AK95" i="9"/>
  <c r="AB499" i="9"/>
  <c r="V1388" i="9"/>
  <c r="W1388" i="9"/>
  <c r="U1388" i="9"/>
  <c r="AC1388" i="9"/>
  <c r="Z1388" i="9"/>
  <c r="Y499" i="9"/>
  <c r="AB1388" i="9"/>
  <c r="AA1388" i="9"/>
  <c r="AC499" i="9"/>
  <c r="AE116" i="9"/>
  <c r="Z499" i="9"/>
  <c r="Y1388" i="9"/>
  <c r="AI1627" i="9"/>
  <c r="AI1572" i="9"/>
  <c r="AI1618" i="9"/>
  <c r="AI101" i="9"/>
  <c r="AI474" i="9"/>
  <c r="AI1213" i="9"/>
  <c r="AI1412" i="9"/>
  <c r="AI1651" i="9"/>
  <c r="AI206" i="9"/>
  <c r="AI557" i="9"/>
  <c r="AI880" i="9"/>
  <c r="AI1553" i="9"/>
  <c r="AI1677" i="9"/>
  <c r="AI1801" i="9"/>
  <c r="AI1207" i="9"/>
  <c r="AI1510" i="9"/>
  <c r="AI329" i="9"/>
  <c r="AI722" i="9"/>
  <c r="AI972" i="9"/>
  <c r="AI1084" i="9"/>
  <c r="AI1229" i="9"/>
  <c r="AI1515" i="9"/>
  <c r="AI462" i="9"/>
  <c r="AI939" i="9"/>
  <c r="AI1259" i="9"/>
  <c r="AI1341" i="9"/>
  <c r="AI1715" i="9"/>
  <c r="AI1153" i="9"/>
  <c r="AI157" i="9"/>
  <c r="AI594" i="9"/>
  <c r="AI1359" i="9"/>
  <c r="AI1565" i="9"/>
  <c r="AI624" i="9"/>
  <c r="AI1277" i="9"/>
  <c r="AI1787" i="9"/>
  <c r="AI2098" i="9"/>
  <c r="AI1909" i="9"/>
  <c r="AI151" i="9"/>
  <c r="AI184" i="9"/>
  <c r="AI245" i="9"/>
  <c r="AI312" i="9"/>
  <c r="AI321" i="9"/>
  <c r="AI370" i="9"/>
  <c r="AI360" i="9"/>
  <c r="AI504" i="9"/>
  <c r="AI608" i="9"/>
  <c r="AI568" i="9"/>
  <c r="AI579" i="9"/>
  <c r="AI699" i="9"/>
  <c r="AI715" i="9"/>
  <c r="AI771" i="9"/>
  <c r="AI838" i="9"/>
  <c r="AI872" i="9"/>
  <c r="AI1126" i="9"/>
  <c r="AI1246" i="9"/>
  <c r="AI1436" i="9"/>
  <c r="AI1326" i="9"/>
  <c r="AI1843" i="9"/>
  <c r="AI1764" i="9"/>
  <c r="AI1876" i="9"/>
  <c r="AI1772" i="9"/>
  <c r="AI1816" i="9"/>
  <c r="AI1949" i="9"/>
  <c r="AI2070" i="9"/>
  <c r="AI2102" i="9"/>
  <c r="AI2139" i="9"/>
  <c r="AI2186" i="9"/>
  <c r="AI2177" i="9"/>
  <c r="AI121" i="9"/>
  <c r="AI161" i="9"/>
  <c r="AI270" i="9"/>
  <c r="AI367" i="9"/>
  <c r="AI453" i="9"/>
  <c r="AI421" i="9"/>
  <c r="AI628" i="9"/>
  <c r="AI703" i="9"/>
  <c r="AI734" i="9"/>
  <c r="AI749" i="9"/>
  <c r="AI889" i="9"/>
  <c r="AI978" i="9"/>
  <c r="AI1024" i="9"/>
  <c r="AI1112" i="9"/>
  <c r="AI1146" i="9"/>
  <c r="AI1236" i="9"/>
  <c r="AI1419" i="9"/>
  <c r="AI1334" i="9"/>
  <c r="AI1540" i="9"/>
  <c r="AI1807" i="9"/>
  <c r="AI1822" i="9"/>
  <c r="AI1768" i="9"/>
  <c r="AI1733" i="9"/>
  <c r="AI2074" i="9"/>
  <c r="AI2106" i="9"/>
  <c r="AI986" i="9"/>
  <c r="AI202" i="9"/>
  <c r="AI525" i="9"/>
  <c r="AI665" i="9"/>
  <c r="AI618" i="9"/>
  <c r="AI726" i="9"/>
  <c r="AI900" i="9"/>
  <c r="AI934" i="9"/>
  <c r="AI965" i="9"/>
  <c r="AI861" i="9"/>
  <c r="AI1295" i="9"/>
  <c r="AI1633" i="9"/>
  <c r="AI1666" i="9"/>
  <c r="AI1681" i="9"/>
  <c r="AI1986" i="9"/>
  <c r="AI2078" i="9"/>
  <c r="AI2110" i="9"/>
  <c r="AI2212" i="9"/>
  <c r="AI2031" i="9"/>
  <c r="AI2195" i="9"/>
  <c r="AI2052" i="9"/>
  <c r="AI341" i="9"/>
  <c r="AI379" i="9"/>
  <c r="AI97" i="9"/>
  <c r="AK97" i="9" s="1"/>
  <c r="AK96" i="9"/>
  <c r="AI125" i="9"/>
  <c r="AI260" i="9"/>
  <c r="AI253" i="9"/>
  <c r="AI512" i="9"/>
  <c r="AI441" i="9"/>
  <c r="AI676" i="9"/>
  <c r="AI654" i="9"/>
  <c r="AI649" i="9"/>
  <c r="AI856" i="9"/>
  <c r="AI766" i="9"/>
  <c r="AI792" i="9"/>
  <c r="AI831" i="9"/>
  <c r="AI952" i="9"/>
  <c r="AI1097" i="9"/>
  <c r="AI1310" i="9"/>
  <c r="AI1304" i="9"/>
  <c r="AI1400" i="9"/>
  <c r="AI1431" i="9"/>
  <c r="AI1448" i="9"/>
  <c r="AI1583" i="9"/>
  <c r="AI1466" i="9"/>
  <c r="AI1593" i="9"/>
  <c r="AI1530" i="9"/>
  <c r="AI1724" i="9"/>
  <c r="AI1782" i="9"/>
  <c r="AI1866" i="9"/>
  <c r="AI1925" i="9"/>
  <c r="AI2082" i="9"/>
  <c r="AI2114" i="9"/>
  <c r="AI1962" i="9"/>
  <c r="AI2149" i="9"/>
  <c r="AI138" i="9"/>
  <c r="AI281" i="9"/>
  <c r="AI146" i="9"/>
  <c r="AI129" i="9"/>
  <c r="AI344" i="9"/>
  <c r="AI426" i="9"/>
  <c r="AI427" i="9"/>
  <c r="AI411" i="9"/>
  <c r="AI447" i="9"/>
  <c r="AI590" i="9"/>
  <c r="AI710" i="9"/>
  <c r="AI694" i="9"/>
  <c r="AI754" i="9"/>
  <c r="AI826" i="9"/>
  <c r="AI802" i="9"/>
  <c r="AI961" i="9"/>
  <c r="AI927" i="9"/>
  <c r="AI982" i="9"/>
  <c r="AI1116" i="9"/>
  <c r="AI1254" i="9"/>
  <c r="AI1223" i="9"/>
  <c r="AI1262" i="9"/>
  <c r="AI1347" i="9"/>
  <c r="AI1641" i="9"/>
  <c r="AI1522" i="9"/>
  <c r="AI1880" i="9"/>
  <c r="AI1870" i="9"/>
  <c r="AI1937" i="9"/>
  <c r="AI2039" i="9"/>
  <c r="AI1746" i="9"/>
  <c r="AI1969" i="9"/>
  <c r="AI2086" i="9"/>
  <c r="AI2118" i="9"/>
  <c r="AI1705" i="9"/>
  <c r="AI2001" i="9"/>
  <c r="AI2207" i="9"/>
  <c r="AI2017" i="9"/>
  <c r="AI169" i="9"/>
  <c r="AI302" i="9"/>
  <c r="AI405" i="9"/>
  <c r="AI433" i="9"/>
  <c r="AI542" i="9"/>
  <c r="AI415" i="9"/>
  <c r="AI690" i="9"/>
  <c r="AI741" i="9"/>
  <c r="AI778" i="9"/>
  <c r="AI917" i="9"/>
  <c r="AI896" i="9"/>
  <c r="AI993" i="9"/>
  <c r="AI1005" i="9"/>
  <c r="AI1075" i="9"/>
  <c r="AI1040" i="9"/>
  <c r="AI1407" i="9"/>
  <c r="AI1452" i="9"/>
  <c r="AI1191" i="9"/>
  <c r="AI1374" i="9"/>
  <c r="AI1606" i="9"/>
  <c r="AI1443" i="9"/>
  <c r="AI1379" i="9"/>
  <c r="AI1753" i="9"/>
  <c r="AI1832" i="9"/>
  <c r="AI2058" i="9"/>
  <c r="AI2090" i="9"/>
  <c r="AI2126" i="9"/>
  <c r="AI2045" i="9"/>
  <c r="AI2171" i="9"/>
  <c r="AI2066" i="9"/>
  <c r="AI198" i="9"/>
  <c r="AI112" i="9"/>
  <c r="AI222" i="9"/>
  <c r="AI438" i="9"/>
  <c r="AI604" i="9"/>
  <c r="AI563" i="9"/>
  <c r="AI644" i="9"/>
  <c r="AI682" i="9"/>
  <c r="AI730" i="9"/>
  <c r="AI812" i="9"/>
  <c r="AI913" i="9"/>
  <c r="AI1060" i="9"/>
  <c r="AI1316" i="9"/>
  <c r="AI1201" i="9"/>
  <c r="AI1395" i="9"/>
  <c r="AI1367" i="9"/>
  <c r="AI1424" i="9"/>
  <c r="AI1690" i="9"/>
  <c r="AI1657" i="9"/>
  <c r="AI2157" i="9"/>
  <c r="AI1904" i="9"/>
  <c r="AI2062" i="9"/>
  <c r="AI2094" i="9"/>
  <c r="AI2024" i="9"/>
  <c r="P2289" i="8"/>
  <c r="P2308" i="8"/>
  <c r="P2231" i="8"/>
  <c r="P1660" i="8"/>
  <c r="P2334" i="8"/>
  <c r="P2443" i="8"/>
  <c r="P2027" i="8"/>
  <c r="P1886" i="8"/>
  <c r="P1923" i="8"/>
  <c r="P1656" i="8"/>
  <c r="P2382" i="8"/>
  <c r="P2292" i="8"/>
  <c r="P2019" i="8"/>
  <c r="P1828" i="8"/>
  <c r="P2439" i="8"/>
  <c r="P2114" i="8"/>
  <c r="P1973" i="8"/>
  <c r="P2398" i="8"/>
  <c r="P2417" i="8"/>
  <c r="P2215" i="8"/>
  <c r="P2374" i="8"/>
  <c r="P2427" i="8"/>
  <c r="P2273" i="8"/>
  <c r="P2402" i="8"/>
  <c r="P2359" i="8"/>
  <c r="P2411" i="8"/>
  <c r="P2386" i="8"/>
  <c r="P2247" i="8"/>
  <c r="P2042" i="8"/>
  <c r="P1991" i="8"/>
  <c r="P1876" i="8"/>
  <c r="P2111" i="8"/>
  <c r="P1856" i="8"/>
  <c r="P1962" i="8"/>
  <c r="P1837" i="8"/>
  <c r="P1644" i="8"/>
  <c r="P1796" i="8"/>
  <c r="P1640" i="8"/>
  <c r="P1726" i="8"/>
  <c r="P1521" i="8"/>
  <c r="P1301" i="8"/>
  <c r="P1590" i="8"/>
  <c r="P1560" i="8"/>
  <c r="P1468" i="8"/>
  <c r="P1215" i="8"/>
  <c r="P876" i="8"/>
  <c r="P1358" i="8"/>
  <c r="P893" i="8"/>
  <c r="P1110" i="8"/>
  <c r="P737" i="8"/>
  <c r="P629" i="8"/>
  <c r="P388" i="8"/>
  <c r="P811" i="8"/>
  <c r="P668" i="8"/>
  <c r="P577" i="8"/>
  <c r="P442" i="8"/>
  <c r="P198" i="8"/>
  <c r="P152" i="8"/>
  <c r="P40" i="8"/>
  <c r="P236" i="8"/>
  <c r="P86" i="8"/>
  <c r="P110" i="8"/>
  <c r="P2318" i="8"/>
  <c r="P2322" i="8"/>
  <c r="P2305" i="8"/>
  <c r="P2347" i="8"/>
  <c r="P2137" i="8"/>
  <c r="P2080" i="8"/>
  <c r="P2101" i="8"/>
  <c r="P2223" i="8"/>
  <c r="P2239" i="8"/>
  <c r="P2055" i="8"/>
  <c r="P1911" i="8"/>
  <c r="P1896" i="8"/>
  <c r="P1756" i="8"/>
  <c r="P1702" i="8"/>
  <c r="P1652" i="8"/>
  <c r="P1617" i="8"/>
  <c r="P1285" i="8"/>
  <c r="P1325" i="8"/>
  <c r="P1131" i="8"/>
  <c r="P1354" i="8"/>
  <c r="P1153" i="8"/>
  <c r="P1433" i="8"/>
  <c r="P1342" i="8"/>
  <c r="P986" i="8"/>
  <c r="P801" i="8"/>
  <c r="P868" i="8"/>
  <c r="P1054" i="8"/>
  <c r="P905" i="8"/>
  <c r="P456" i="8"/>
  <c r="P750" i="8"/>
  <c r="P398" i="8"/>
  <c r="P530" i="8"/>
  <c r="P846" i="8"/>
  <c r="P641" i="8"/>
  <c r="P731" i="8"/>
  <c r="P604" i="8"/>
  <c r="P342" i="8"/>
  <c r="P718" i="8"/>
  <c r="P98" i="8"/>
  <c r="P26" i="8"/>
  <c r="P204" i="8"/>
  <c r="P118" i="8"/>
  <c r="P62" i="8"/>
  <c r="P2363" i="8"/>
  <c r="P1983" i="8"/>
  <c r="P2093" i="8"/>
  <c r="P1746" i="8"/>
  <c r="P1626" i="8"/>
  <c r="P1817" i="8"/>
  <c r="P1613" i="8"/>
  <c r="P1692" i="8"/>
  <c r="P1483" i="8"/>
  <c r="P1503" i="8"/>
  <c r="P1542" i="8"/>
  <c r="P1648" i="8"/>
  <c r="P1461" i="8"/>
  <c r="P1309" i="8"/>
  <c r="P1293" i="8"/>
  <c r="P1553" i="8"/>
  <c r="P1451" i="8"/>
  <c r="P1425" i="8"/>
  <c r="P1082" i="8"/>
  <c r="P713" i="8"/>
  <c r="P561" i="8"/>
  <c r="P1060" i="8"/>
  <c r="P961" i="8"/>
  <c r="P967" i="8"/>
  <c r="P851" i="8"/>
  <c r="P556" i="8"/>
  <c r="P723" i="8"/>
  <c r="P703" i="8"/>
  <c r="P779" i="8"/>
  <c r="P526" i="8"/>
  <c r="P650" i="8"/>
  <c r="P545" i="8"/>
  <c r="P382" i="8"/>
  <c r="P218" i="8"/>
  <c r="P210" i="8"/>
  <c r="P1734" i="8"/>
  <c r="P1684" i="8"/>
  <c r="P1397" i="8"/>
  <c r="P1253" i="8"/>
  <c r="P1181" i="8"/>
  <c r="P785" i="8"/>
  <c r="P1030" i="8"/>
  <c r="P887" i="8"/>
  <c r="P540" i="8"/>
  <c r="P392" i="8"/>
  <c r="P693" i="8"/>
  <c r="P366" i="8"/>
  <c r="P462" i="8"/>
  <c r="P830" i="8"/>
  <c r="P255" i="8"/>
  <c r="P707" i="8"/>
  <c r="P168" i="8"/>
  <c r="P246" i="8"/>
  <c r="P122" i="8"/>
  <c r="P54" i="8"/>
  <c r="P32" i="8"/>
  <c r="P46" i="8"/>
  <c r="P72" i="8"/>
  <c r="P1998" i="8"/>
  <c r="P1565" i="8"/>
  <c r="P2366" i="8"/>
  <c r="P2331" i="8"/>
  <c r="P2200" i="8"/>
  <c r="P2269" i="8"/>
  <c r="P1864" i="8"/>
  <c r="P1955" i="8"/>
  <c r="P1780" i="8"/>
  <c r="P1672" i="8"/>
  <c r="P1630" i="8"/>
  <c r="P1546" i="8"/>
  <c r="P1571" i="8"/>
  <c r="P1497" i="8"/>
  <c r="P1381" i="8"/>
  <c r="P1009" i="8"/>
  <c r="P1315" i="8"/>
  <c r="P1173" i="8"/>
  <c r="P841" i="8"/>
  <c r="P673" i="8"/>
  <c r="P937" i="8"/>
  <c r="P1622" i="8"/>
  <c r="P594" i="8"/>
  <c r="P314" i="8"/>
  <c r="P420" i="8"/>
  <c r="P352" i="8"/>
  <c r="P655" i="8"/>
  <c r="P742" i="8"/>
  <c r="P478" i="8"/>
  <c r="P516" i="8"/>
  <c r="P223" i="8"/>
  <c r="P684" i="8"/>
  <c r="P636" i="8"/>
  <c r="P360" i="8"/>
  <c r="P269" i="8"/>
  <c r="P160" i="8"/>
  <c r="P136" i="8"/>
  <c r="P2277" i="8"/>
  <c r="P2327" i="8"/>
  <c r="P2210" i="8"/>
  <c r="P2315" i="8"/>
  <c r="P2168" i="8"/>
  <c r="P2161" i="8"/>
  <c r="P2186" i="8"/>
  <c r="P2085" i="8"/>
  <c r="P1987" i="8"/>
  <c r="P1951" i="8"/>
  <c r="P2032" i="8"/>
  <c r="P1634" i="8"/>
  <c r="P1801" i="8"/>
  <c r="P1766" i="8"/>
  <c r="P1578" i="8"/>
  <c r="P1610" i="8"/>
  <c r="P1365" i="8"/>
  <c r="P1812" i="8"/>
  <c r="P1441" i="8"/>
  <c r="P1585" i="8"/>
  <c r="P991" i="8"/>
  <c r="P977" i="8"/>
  <c r="P1390" i="8"/>
  <c r="P1418" i="8"/>
  <c r="P911" i="8"/>
  <c r="P833" i="8"/>
  <c r="P769" i="8"/>
  <c r="P298" i="8"/>
  <c r="P1405" i="8"/>
  <c r="P335" i="8"/>
  <c r="P426" i="8"/>
  <c r="P1090" i="8"/>
  <c r="P620" i="8"/>
  <c r="P191" i="8"/>
  <c r="P446" i="8"/>
  <c r="P273" i="8"/>
  <c r="R7" i="8"/>
  <c r="P8" i="8"/>
  <c r="P187" i="8"/>
  <c r="P14" i="8"/>
  <c r="P1489" i="8"/>
  <c r="P1349" i="8"/>
  <c r="P1512" i="8"/>
  <c r="P1223" i="8"/>
  <c r="P1124" i="8"/>
  <c r="P897" i="8"/>
  <c r="P1038" i="8"/>
  <c r="P825" i="8"/>
  <c r="P290" i="8"/>
  <c r="P645" i="8"/>
  <c r="P572" i="8"/>
  <c r="P496" i="8"/>
  <c r="P410" i="8"/>
  <c r="P327" i="8"/>
  <c r="P285" i="8"/>
  <c r="P859" i="8"/>
  <c r="P625" i="8"/>
  <c r="P319" i="8"/>
  <c r="P183" i="8"/>
  <c r="P588" i="8"/>
  <c r="P242" i="8"/>
  <c r="P2253" i="8"/>
  <c r="P2133" i="8"/>
  <c r="P2145" i="8"/>
  <c r="P2263" i="8"/>
  <c r="P2125" i="8"/>
  <c r="P1979" i="8"/>
  <c r="P1941" i="8"/>
  <c r="P1850" i="8"/>
  <c r="P1714" i="8"/>
  <c r="P1668" i="8"/>
  <c r="P1664" i="8"/>
  <c r="P1528" i="8"/>
  <c r="P1517" i="8"/>
  <c r="P1447" i="8"/>
  <c r="P1333" i="8"/>
  <c r="P1411" i="8"/>
  <c r="P1191" i="8"/>
  <c r="P1370" i="8"/>
  <c r="P1209" i="8"/>
  <c r="P1374" i="8"/>
  <c r="P1239" i="8"/>
  <c r="P817" i="8"/>
  <c r="P753" i="8"/>
  <c r="P609" i="8"/>
  <c r="P1474" i="8"/>
  <c r="P1015" i="8"/>
  <c r="P806" i="8"/>
  <c r="P376" i="8"/>
  <c r="P689" i="8"/>
  <c r="P306" i="8"/>
  <c r="P763" i="8"/>
  <c r="P432" i="8"/>
  <c r="P230" i="8"/>
  <c r="P66" i="8"/>
  <c r="P178" i="8"/>
  <c r="P131" i="8"/>
  <c r="P75" i="8"/>
  <c r="P22" i="8"/>
  <c r="AI1607" i="9" l="1"/>
  <c r="AK98" i="9"/>
  <c r="AK99" i="9" s="1"/>
  <c r="G99" i="9" s="1"/>
  <c r="AI1823" i="9"/>
  <c r="AI1247" i="9"/>
  <c r="AI881" i="9"/>
  <c r="AI102" i="9"/>
  <c r="AI1658" i="9"/>
  <c r="AI683" i="9"/>
  <c r="AI1375" i="9"/>
  <c r="AI994" i="9"/>
  <c r="AI1938" i="9"/>
  <c r="AI1255" i="9"/>
  <c r="AI130" i="9"/>
  <c r="AI1725" i="9"/>
  <c r="AI1584" i="9"/>
  <c r="AI677" i="9"/>
  <c r="AI2111" i="9"/>
  <c r="AI1667" i="9"/>
  <c r="AI862" i="9"/>
  <c r="AI526" i="9"/>
  <c r="AI1335" i="9"/>
  <c r="AI1817" i="9"/>
  <c r="AI772" i="9"/>
  <c r="AI569" i="9"/>
  <c r="AI361" i="9"/>
  <c r="AI158" i="9"/>
  <c r="AI1230" i="9"/>
  <c r="AI2095" i="9"/>
  <c r="AI1061" i="9"/>
  <c r="AI428" i="9"/>
  <c r="AI2150" i="9"/>
  <c r="AI2083" i="9"/>
  <c r="AI1401" i="9"/>
  <c r="AI767" i="9"/>
  <c r="AI901" i="9"/>
  <c r="AI2107" i="9"/>
  <c r="AI704" i="9"/>
  <c r="AI2140" i="9"/>
  <c r="AI1844" i="9"/>
  <c r="AI505" i="9"/>
  <c r="AI313" i="9"/>
  <c r="AI625" i="9"/>
  <c r="AI1413" i="9"/>
  <c r="AI914" i="9"/>
  <c r="AI645" i="9"/>
  <c r="AI2127" i="9"/>
  <c r="AI1754" i="9"/>
  <c r="AI2087" i="9"/>
  <c r="AI1642" i="9"/>
  <c r="AI962" i="9"/>
  <c r="AI448" i="9"/>
  <c r="AI449" i="9" s="1"/>
  <c r="AI1926" i="9"/>
  <c r="AI953" i="9"/>
  <c r="AI380" i="9"/>
  <c r="AI2196" i="9"/>
  <c r="AI1634" i="9"/>
  <c r="AI727" i="9"/>
  <c r="AI2075" i="9"/>
  <c r="AI1808" i="9"/>
  <c r="AI890" i="9"/>
  <c r="AI629" i="9"/>
  <c r="AI246" i="9"/>
  <c r="AI2099" i="9"/>
  <c r="AI1154" i="9"/>
  <c r="AI1802" i="9"/>
  <c r="AI558" i="9"/>
  <c r="AI1041" i="9"/>
  <c r="AI2032" i="9"/>
  <c r="AI2079" i="9"/>
  <c r="AI1420" i="9"/>
  <c r="AI1113" i="9"/>
  <c r="AI750" i="9"/>
  <c r="AI2103" i="9"/>
  <c r="AI1327" i="9"/>
  <c r="AI1127" i="9"/>
  <c r="AI716" i="9"/>
  <c r="AI371" i="9"/>
  <c r="AI1566" i="9"/>
  <c r="AI940" i="9"/>
  <c r="AI1085" i="9"/>
  <c r="AI1214" i="9"/>
  <c r="AI1619" i="9"/>
  <c r="AI2119" i="9"/>
  <c r="AI2091" i="9"/>
  <c r="AI1192" i="9"/>
  <c r="AI1691" i="9"/>
  <c r="AI564" i="9"/>
  <c r="AI2067" i="9"/>
  <c r="AI1076" i="9"/>
  <c r="AI918" i="9"/>
  <c r="AI1871" i="9"/>
  <c r="AI1348" i="9"/>
  <c r="AI695" i="9"/>
  <c r="AI282" i="9"/>
  <c r="AI832" i="9"/>
  <c r="AI650" i="9"/>
  <c r="AI442" i="9"/>
  <c r="AI1987" i="9"/>
  <c r="AI966" i="9"/>
  <c r="AI619" i="9"/>
  <c r="AI422" i="9"/>
  <c r="AI2178" i="9"/>
  <c r="AI1877" i="9"/>
  <c r="AI185" i="9"/>
  <c r="AI1788" i="9"/>
  <c r="AI463" i="9"/>
  <c r="AI1380" i="9"/>
  <c r="AI434" i="9"/>
  <c r="AI2002" i="9"/>
  <c r="AI1970" i="9"/>
  <c r="AI1117" i="9"/>
  <c r="AI755" i="9"/>
  <c r="AI147" i="9"/>
  <c r="AI1531" i="9"/>
  <c r="AI1305" i="9"/>
  <c r="AI1905" i="9"/>
  <c r="AI1425" i="9"/>
  <c r="AI813" i="9"/>
  <c r="AI223" i="9"/>
  <c r="AI2172" i="9"/>
  <c r="AI1444" i="9"/>
  <c r="AI1747" i="9"/>
  <c r="AI1881" i="9"/>
  <c r="AI1263" i="9"/>
  <c r="AI803" i="9"/>
  <c r="AI345" i="9"/>
  <c r="AI1296" i="9"/>
  <c r="AI987" i="9"/>
  <c r="AI454" i="9"/>
  <c r="AI271" i="9"/>
  <c r="AI2071" i="9"/>
  <c r="AI1437" i="9"/>
  <c r="AI700" i="9"/>
  <c r="AI609" i="9"/>
  <c r="AI152" i="9"/>
  <c r="AI1278" i="9"/>
  <c r="AI1360" i="9"/>
  <c r="AI1716" i="9"/>
  <c r="AI973" i="9"/>
  <c r="AI1678" i="9"/>
  <c r="AI207" i="9"/>
  <c r="AI1573" i="9"/>
  <c r="AI2213" i="9"/>
  <c r="AI935" i="9"/>
  <c r="AI1541" i="9"/>
  <c r="AI1025" i="9"/>
  <c r="AI735" i="9"/>
  <c r="AI2187" i="9"/>
  <c r="AI1950" i="9"/>
  <c r="AI839" i="9"/>
  <c r="AI580" i="9"/>
  <c r="AI595" i="9"/>
  <c r="AI1208" i="9"/>
  <c r="AI1652" i="9"/>
  <c r="AI1628" i="9"/>
  <c r="AI1833" i="9"/>
  <c r="AI1098" i="9"/>
  <c r="AI2063" i="9"/>
  <c r="AI1202" i="9"/>
  <c r="AI1963" i="9"/>
  <c r="AI2025" i="9"/>
  <c r="AI2158" i="9"/>
  <c r="AI1317" i="9"/>
  <c r="AI2059" i="9"/>
  <c r="AI1006" i="9"/>
  <c r="AI779" i="9"/>
  <c r="AI416" i="9"/>
  <c r="AI170" i="9"/>
  <c r="AI1706" i="9"/>
  <c r="AI711" i="9"/>
  <c r="AI412" i="9"/>
  <c r="AI139" i="9"/>
  <c r="AI2115" i="9"/>
  <c r="AI1594" i="9"/>
  <c r="AI1432" i="9"/>
  <c r="AI1311" i="9"/>
  <c r="AI1368" i="9"/>
  <c r="AI605" i="9"/>
  <c r="AI2046" i="9"/>
  <c r="AI1408" i="9"/>
  <c r="AI2018" i="9"/>
  <c r="AI2040" i="9"/>
  <c r="AI1523" i="9"/>
  <c r="AI1224" i="9"/>
  <c r="AI655" i="9"/>
  <c r="AI513" i="9"/>
  <c r="AI2053" i="9"/>
  <c r="AI1682" i="9"/>
  <c r="AI666" i="9"/>
  <c r="AI1237" i="9"/>
  <c r="AI162" i="9"/>
  <c r="AI1342" i="9"/>
  <c r="AI1554" i="9"/>
  <c r="AI475" i="9"/>
  <c r="P1334" i="8"/>
  <c r="P1665" i="8"/>
  <c r="P1851" i="8"/>
  <c r="P573" i="8"/>
  <c r="P1224" i="8"/>
  <c r="P1490" i="8"/>
  <c r="P1952" i="8"/>
  <c r="P2187" i="8"/>
  <c r="P137" i="8"/>
  <c r="P1547" i="8"/>
  <c r="P367" i="8"/>
  <c r="P888" i="8"/>
  <c r="P1735" i="8"/>
  <c r="P1554" i="8"/>
  <c r="P1649" i="8"/>
  <c r="P343" i="8"/>
  <c r="P457" i="8"/>
  <c r="P1326" i="8"/>
  <c r="P2056" i="8"/>
  <c r="P578" i="8"/>
  <c r="P630" i="8"/>
  <c r="P1359" i="8"/>
  <c r="P1469" i="8"/>
  <c r="P2248" i="8"/>
  <c r="P1887" i="8"/>
  <c r="P1661" i="8"/>
  <c r="P179" i="8"/>
  <c r="P433" i="8"/>
  <c r="P1016" i="8"/>
  <c r="P818" i="8"/>
  <c r="P1210" i="8"/>
  <c r="P2146" i="8"/>
  <c r="P1039" i="8"/>
  <c r="R8" i="8"/>
  <c r="P9" i="8"/>
  <c r="P1406" i="8"/>
  <c r="P992" i="8"/>
  <c r="P2162" i="8"/>
  <c r="P479" i="8"/>
  <c r="P421" i="8"/>
  <c r="P1956" i="8"/>
  <c r="P1999" i="8"/>
  <c r="P256" i="8"/>
  <c r="P1031" i="8"/>
  <c r="P1254" i="8"/>
  <c r="P219" i="8"/>
  <c r="P557" i="8"/>
  <c r="P1061" i="8"/>
  <c r="P605" i="8"/>
  <c r="P1154" i="8"/>
  <c r="P1286" i="8"/>
  <c r="P1757" i="8"/>
  <c r="P2081" i="8"/>
  <c r="P2323" i="8"/>
  <c r="P237" i="8"/>
  <c r="P1561" i="8"/>
  <c r="P912" i="8"/>
  <c r="P1802" i="8"/>
  <c r="P685" i="8"/>
  <c r="P743" i="8"/>
  <c r="P938" i="8"/>
  <c r="P1174" i="8"/>
  <c r="P1543" i="8"/>
  <c r="P1693" i="8"/>
  <c r="P531" i="8"/>
  <c r="P987" i="8"/>
  <c r="P1355" i="8"/>
  <c r="P2240" i="8"/>
  <c r="P111" i="8"/>
  <c r="P199" i="8"/>
  <c r="P669" i="8"/>
  <c r="P738" i="8"/>
  <c r="P877" i="8"/>
  <c r="P1727" i="8"/>
  <c r="P1838" i="8"/>
  <c r="P1877" i="8"/>
  <c r="P2403" i="8"/>
  <c r="P2375" i="8"/>
  <c r="P1829" i="8"/>
  <c r="P2383" i="8"/>
  <c r="P2232" i="8"/>
  <c r="P754" i="8"/>
  <c r="P1669" i="8"/>
  <c r="P1942" i="8"/>
  <c r="P2134" i="8"/>
  <c r="P447" i="8"/>
  <c r="P299" i="8"/>
  <c r="P1419" i="8"/>
  <c r="P1586" i="8"/>
  <c r="P1988" i="8"/>
  <c r="P2169" i="8"/>
  <c r="P315" i="8"/>
  <c r="P1316" i="8"/>
  <c r="P1865" i="8"/>
  <c r="P55" i="8"/>
  <c r="P247" i="8"/>
  <c r="P786" i="8"/>
  <c r="P1398" i="8"/>
  <c r="P780" i="8"/>
  <c r="P852" i="8"/>
  <c r="P562" i="8"/>
  <c r="P1294" i="8"/>
  <c r="P1747" i="8"/>
  <c r="P27" i="8"/>
  <c r="P906" i="8"/>
  <c r="P1618" i="8"/>
  <c r="P1897" i="8"/>
  <c r="P2138" i="8"/>
  <c r="P812" i="8"/>
  <c r="P1591" i="8"/>
  <c r="P1641" i="8"/>
  <c r="P1963" i="8"/>
  <c r="P1657" i="8"/>
  <c r="P2444" i="8"/>
  <c r="P377" i="8"/>
  <c r="P320" i="8"/>
  <c r="P328" i="8"/>
  <c r="P646" i="8"/>
  <c r="P1513" i="8"/>
  <c r="P23" i="8"/>
  <c r="P76" i="8"/>
  <c r="P67" i="8"/>
  <c r="P1475" i="8"/>
  <c r="P1715" i="8"/>
  <c r="P1980" i="8"/>
  <c r="P626" i="8"/>
  <c r="P898" i="8"/>
  <c r="P1350" i="8"/>
  <c r="P15" i="8"/>
  <c r="P192" i="8"/>
  <c r="P427" i="8"/>
  <c r="P770" i="8"/>
  <c r="P1635" i="8"/>
  <c r="P224" i="8"/>
  <c r="P595" i="8"/>
  <c r="P674" i="8"/>
  <c r="P1673" i="8"/>
  <c r="P393" i="8"/>
  <c r="P383" i="8"/>
  <c r="P2094" i="8"/>
  <c r="P205" i="8"/>
  <c r="P399" i="8"/>
  <c r="P1055" i="8"/>
  <c r="P1343" i="8"/>
  <c r="P87" i="8"/>
  <c r="P1111" i="8"/>
  <c r="P2387" i="8"/>
  <c r="P2216" i="8"/>
  <c r="P1974" i="8"/>
  <c r="P2264" i="8"/>
  <c r="P610" i="8"/>
  <c r="P1240" i="8"/>
  <c r="P1192" i="8"/>
  <c r="P2126" i="8"/>
  <c r="P589" i="8"/>
  <c r="P411" i="8"/>
  <c r="P1125" i="8"/>
  <c r="P1579" i="8"/>
  <c r="P2086" i="8"/>
  <c r="P161" i="8"/>
  <c r="P656" i="8"/>
  <c r="P1010" i="8"/>
  <c r="P1498" i="8"/>
  <c r="P2367" i="8"/>
  <c r="P541" i="8"/>
  <c r="P1685" i="8"/>
  <c r="P546" i="8"/>
  <c r="P714" i="8"/>
  <c r="P1426" i="8"/>
  <c r="P1310" i="8"/>
  <c r="P1504" i="8"/>
  <c r="P1614" i="8"/>
  <c r="P719" i="8"/>
  <c r="P1653" i="8"/>
  <c r="P2224" i="8"/>
  <c r="P2348" i="8"/>
  <c r="P2319" i="8"/>
  <c r="P41" i="8"/>
  <c r="P1302" i="8"/>
  <c r="P1797" i="8"/>
  <c r="P1992" i="8"/>
  <c r="P2309" i="8"/>
  <c r="P690" i="8"/>
  <c r="P231" i="8"/>
  <c r="P307" i="8"/>
  <c r="P807" i="8"/>
  <c r="P1375" i="8"/>
  <c r="P1412" i="8"/>
  <c r="P1529" i="8"/>
  <c r="P2254" i="8"/>
  <c r="P860" i="8"/>
  <c r="P291" i="8"/>
  <c r="P621" i="8"/>
  <c r="P336" i="8"/>
  <c r="P834" i="8"/>
  <c r="P1442" i="8"/>
  <c r="P2033" i="8"/>
  <c r="P1781" i="8"/>
  <c r="P47" i="8"/>
  <c r="P169" i="8"/>
  <c r="P463" i="8"/>
  <c r="P211" i="8"/>
  <c r="P704" i="8"/>
  <c r="P968" i="8"/>
  <c r="P1818" i="8"/>
  <c r="P99" i="8"/>
  <c r="P869" i="8"/>
  <c r="P1132" i="8"/>
  <c r="P1216" i="8"/>
  <c r="P1857" i="8"/>
  <c r="P2043" i="8"/>
  <c r="P2412" i="8"/>
  <c r="P2115" i="8"/>
  <c r="P1924" i="8"/>
  <c r="P497" i="8"/>
  <c r="P978" i="8"/>
  <c r="P1813" i="8"/>
  <c r="P1767" i="8"/>
  <c r="P2211" i="8"/>
  <c r="P361" i="8"/>
  <c r="P517" i="8"/>
  <c r="P353" i="8"/>
  <c r="P1572" i="8"/>
  <c r="P2201" i="8"/>
  <c r="P1566" i="8"/>
  <c r="P33" i="8"/>
  <c r="P123" i="8"/>
  <c r="P708" i="8"/>
  <c r="P1182" i="8"/>
  <c r="P651" i="8"/>
  <c r="P724" i="8"/>
  <c r="P1452" i="8"/>
  <c r="P1984" i="8"/>
  <c r="P847" i="8"/>
  <c r="P1434" i="8"/>
  <c r="P1703" i="8"/>
  <c r="P1912" i="8"/>
  <c r="P153" i="8"/>
  <c r="P1522" i="8"/>
  <c r="P1645" i="8"/>
  <c r="P2428" i="8"/>
  <c r="P2418" i="8"/>
  <c r="P2293" i="8"/>
  <c r="P2335" i="8"/>
  <c r="AK100" i="9" l="1"/>
  <c r="G100" i="9" s="1"/>
  <c r="AD100" i="9" s="1"/>
  <c r="AI995" i="9"/>
  <c r="AI1118" i="9"/>
  <c r="AI1939" i="9"/>
  <c r="AI1524" i="9"/>
  <c r="AI1595" i="9"/>
  <c r="AI1318" i="9"/>
  <c r="AI153" i="9"/>
  <c r="AI1438" i="9"/>
  <c r="AI988" i="9"/>
  <c r="AI814" i="9"/>
  <c r="AI833" i="9"/>
  <c r="AI247" i="9"/>
  <c r="AI1927" i="9"/>
  <c r="AI429" i="9"/>
  <c r="AI1369" i="9"/>
  <c r="AI1964" i="9"/>
  <c r="AI224" i="9"/>
  <c r="AI751" i="9"/>
  <c r="AI1555" i="9"/>
  <c r="AI1683" i="9"/>
  <c r="AI1306" i="9"/>
  <c r="AI1042" i="9"/>
  <c r="AI1755" i="9"/>
  <c r="AK102" i="9"/>
  <c r="AI103" i="9"/>
  <c r="AI163" i="9"/>
  <c r="AI1707" i="9"/>
  <c r="AI2159" i="9"/>
  <c r="AI736" i="9"/>
  <c r="AI455" i="9"/>
  <c r="AI804" i="9"/>
  <c r="AI1532" i="9"/>
  <c r="AI1971" i="9"/>
  <c r="AI620" i="9"/>
  <c r="AI1872" i="9"/>
  <c r="AI919" i="9"/>
  <c r="AI941" i="9"/>
  <c r="AI630" i="9"/>
  <c r="AI2128" i="9"/>
  <c r="AI1845" i="9"/>
  <c r="AI1402" i="9"/>
  <c r="AI1585" i="9"/>
  <c r="AI1692" i="9"/>
  <c r="AI570" i="9"/>
  <c r="AI2047" i="9"/>
  <c r="AI1007" i="9"/>
  <c r="AI1834" i="9"/>
  <c r="AI1209" i="9"/>
  <c r="AI1951" i="9"/>
  <c r="AI1026" i="9"/>
  <c r="AI208" i="9"/>
  <c r="AI1717" i="9"/>
  <c r="AI1426" i="9"/>
  <c r="AI148" i="9"/>
  <c r="AI2003" i="9"/>
  <c r="AI1789" i="9"/>
  <c r="AI565" i="9"/>
  <c r="AI1193" i="9"/>
  <c r="AI1215" i="9"/>
  <c r="AI717" i="9"/>
  <c r="AI2197" i="9"/>
  <c r="AI1062" i="9"/>
  <c r="AI863" i="9"/>
  <c r="AI1726" i="9"/>
  <c r="AI1099" i="9"/>
  <c r="AI1542" i="9"/>
  <c r="AI2214" i="9"/>
  <c r="AI450" i="9"/>
  <c r="AI712" i="9"/>
  <c r="AI1653" i="9"/>
  <c r="AI1574" i="9"/>
  <c r="AI1748" i="9"/>
  <c r="AI1620" i="9"/>
  <c r="AI2041" i="9"/>
  <c r="AI140" i="9"/>
  <c r="AI2026" i="9"/>
  <c r="AI1203" i="9"/>
  <c r="AI1297" i="9"/>
  <c r="AI967" i="9"/>
  <c r="AI1077" i="9"/>
  <c r="AI1567" i="9"/>
  <c r="AI1155" i="9"/>
  <c r="AI891" i="9"/>
  <c r="AI1643" i="9"/>
  <c r="AI2141" i="9"/>
  <c r="AI902" i="9"/>
  <c r="AI1231" i="9"/>
  <c r="AI1818" i="9"/>
  <c r="AI678" i="9"/>
  <c r="AI1659" i="9"/>
  <c r="AI974" i="9"/>
  <c r="AI1809" i="9"/>
  <c r="AI1635" i="9"/>
  <c r="AI1312" i="9"/>
  <c r="AI171" i="9"/>
  <c r="AI1629" i="9"/>
  <c r="AI2188" i="9"/>
  <c r="AI610" i="9"/>
  <c r="AI1264" i="9"/>
  <c r="AI2173" i="9"/>
  <c r="AI756" i="9"/>
  <c r="AI1128" i="9"/>
  <c r="AI2033" i="9"/>
  <c r="AI381" i="9"/>
  <c r="AI954" i="9"/>
  <c r="AI1414" i="9"/>
  <c r="AI362" i="9"/>
  <c r="AI1668" i="9"/>
  <c r="AI1824" i="9"/>
  <c r="AI1608" i="9"/>
  <c r="AI1882" i="9"/>
  <c r="AI2179" i="9"/>
  <c r="AI1988" i="9"/>
  <c r="AI2151" i="9"/>
  <c r="AI131" i="9"/>
  <c r="AI464" i="9"/>
  <c r="AI1086" i="9"/>
  <c r="AI667" i="9"/>
  <c r="AI476" i="9"/>
  <c r="AI2019" i="9"/>
  <c r="AI417" i="9"/>
  <c r="AI1361" i="9"/>
  <c r="AI186" i="9"/>
  <c r="AI443" i="9"/>
  <c r="AI2120" i="9"/>
  <c r="AI1803" i="9"/>
  <c r="AI705" i="9"/>
  <c r="P48" i="8"/>
  <c r="P835" i="8"/>
  <c r="P2429" i="8"/>
  <c r="P1567" i="8"/>
  <c r="P1768" i="8"/>
  <c r="P1858" i="8"/>
  <c r="P547" i="8"/>
  <c r="P394" i="8"/>
  <c r="P2445" i="8"/>
  <c r="P1295" i="8"/>
  <c r="P755" i="8"/>
  <c r="P2336" i="8"/>
  <c r="P709" i="8"/>
  <c r="P1814" i="8"/>
  <c r="P498" i="8"/>
  <c r="P2034" i="8"/>
  <c r="P292" i="8"/>
  <c r="P1413" i="8"/>
  <c r="P88" i="8"/>
  <c r="P675" i="8"/>
  <c r="P428" i="8"/>
  <c r="P1716" i="8"/>
  <c r="P1898" i="8"/>
  <c r="P2170" i="8"/>
  <c r="P300" i="8"/>
  <c r="P2376" i="8"/>
  <c r="P1435" i="8"/>
  <c r="P1453" i="8"/>
  <c r="P2202" i="8"/>
  <c r="P1133" i="8"/>
  <c r="P100" i="8"/>
  <c r="P464" i="8"/>
  <c r="P337" i="8"/>
  <c r="P1798" i="8"/>
  <c r="P2349" i="8"/>
  <c r="P1427" i="8"/>
  <c r="P611" i="8"/>
  <c r="P1975" i="8"/>
  <c r="P1056" i="8"/>
  <c r="P193" i="8"/>
  <c r="P28" i="8"/>
  <c r="P563" i="8"/>
  <c r="P1399" i="8"/>
  <c r="P2233" i="8"/>
  <c r="P2404" i="8"/>
  <c r="P112" i="8"/>
  <c r="P988" i="8"/>
  <c r="P212" i="8"/>
  <c r="P2225" i="8"/>
  <c r="P2217" i="8"/>
  <c r="P1636" i="8"/>
  <c r="P77" i="8"/>
  <c r="P329" i="8"/>
  <c r="P316" i="8"/>
  <c r="P913" i="8"/>
  <c r="P1758" i="8"/>
  <c r="P257" i="8"/>
  <c r="P2163" i="8"/>
  <c r="P362" i="8"/>
  <c r="P354" i="8"/>
  <c r="P979" i="8"/>
  <c r="P170" i="8"/>
  <c r="P1782" i="8"/>
  <c r="P1913" i="8"/>
  <c r="P1925" i="8"/>
  <c r="P2413" i="8"/>
  <c r="P1217" i="8"/>
  <c r="P1376" i="8"/>
  <c r="P1303" i="8"/>
  <c r="P1112" i="8"/>
  <c r="P16" i="8"/>
  <c r="P321" i="8"/>
  <c r="P853" i="8"/>
  <c r="P448" i="8"/>
  <c r="P1878" i="8"/>
  <c r="P1573" i="8"/>
  <c r="P2044" i="8"/>
  <c r="P870" i="8"/>
  <c r="P720" i="8"/>
  <c r="P1686" i="8"/>
  <c r="P1011" i="8"/>
  <c r="P2127" i="8"/>
  <c r="P2388" i="8"/>
  <c r="P225" i="8"/>
  <c r="P1476" i="8"/>
  <c r="P1748" i="8"/>
  <c r="P781" i="8"/>
  <c r="P1866" i="8"/>
  <c r="P558" i="8"/>
  <c r="P2419" i="8"/>
  <c r="P154" i="8"/>
  <c r="P848" i="8"/>
  <c r="P725" i="8"/>
  <c r="P1443" i="8"/>
  <c r="P1704" i="8"/>
  <c r="P1183" i="8"/>
  <c r="P969" i="8"/>
  <c r="P2255" i="8"/>
  <c r="P2310" i="8"/>
  <c r="P162" i="8"/>
  <c r="P1580" i="8"/>
  <c r="P1674" i="8"/>
  <c r="P378" i="8"/>
  <c r="P907" i="8"/>
  <c r="P1839" i="8"/>
  <c r="P670" i="8"/>
  <c r="P1957" i="8"/>
  <c r="P2116" i="8"/>
  <c r="P1819" i="8"/>
  <c r="P308" i="8"/>
  <c r="P1505" i="8"/>
  <c r="P2368" i="8"/>
  <c r="P1193" i="8"/>
  <c r="P771" i="8"/>
  <c r="P813" i="8"/>
  <c r="P2087" i="8"/>
  <c r="P1126" i="8"/>
  <c r="P1344" i="8"/>
  <c r="P68" i="8"/>
  <c r="P1592" i="8"/>
  <c r="P56" i="8"/>
  <c r="P1317" i="8"/>
  <c r="P1943" i="8"/>
  <c r="P1728" i="8"/>
  <c r="P939" i="8"/>
  <c r="P1255" i="8"/>
  <c r="P579" i="8"/>
  <c r="P2057" i="8"/>
  <c r="P458" i="8"/>
  <c r="P993" i="8"/>
  <c r="P2147" i="8"/>
  <c r="P434" i="8"/>
  <c r="P2188" i="8"/>
  <c r="P200" i="8"/>
  <c r="P2241" i="8"/>
  <c r="P744" i="8"/>
  <c r="P1562" i="8"/>
  <c r="P1470" i="8"/>
  <c r="P889" i="8"/>
  <c r="P1491" i="8"/>
  <c r="P1287" i="8"/>
  <c r="P606" i="8"/>
  <c r="P1032" i="8"/>
  <c r="P2000" i="8"/>
  <c r="P344" i="8"/>
  <c r="P400" i="8"/>
  <c r="P2095" i="8"/>
  <c r="P899" i="8"/>
  <c r="P1964" i="8"/>
  <c r="P2139" i="8"/>
  <c r="P1420" i="8"/>
  <c r="P1830" i="8"/>
  <c r="P878" i="8"/>
  <c r="P1694" i="8"/>
  <c r="P1803" i="8"/>
  <c r="R9" i="8"/>
  <c r="P10" i="8"/>
  <c r="P819" i="8"/>
  <c r="P1360" i="8"/>
  <c r="P368" i="8"/>
  <c r="P1225" i="8"/>
  <c r="P631" i="8"/>
  <c r="P1555" i="8"/>
  <c r="P1548" i="8"/>
  <c r="P1335" i="8"/>
  <c r="P1175" i="8"/>
  <c r="P2082" i="8"/>
  <c r="P1155" i="8"/>
  <c r="P480" i="8"/>
  <c r="P1017" i="8"/>
  <c r="P1736" i="8"/>
  <c r="P138" i="8"/>
  <c r="P1062" i="8"/>
  <c r="P1040" i="8"/>
  <c r="P1888" i="8"/>
  <c r="AK101" i="9" l="1"/>
  <c r="G101" i="9" s="1"/>
  <c r="AI1630" i="9"/>
  <c r="AI815" i="9"/>
  <c r="AI444" i="9"/>
  <c r="AI1129" i="9"/>
  <c r="AI892" i="9"/>
  <c r="AI1952" i="9"/>
  <c r="AI1008" i="9"/>
  <c r="AI805" i="9"/>
  <c r="AI456" i="9"/>
  <c r="AI225" i="9"/>
  <c r="AI1596" i="9"/>
  <c r="AI1644" i="9"/>
  <c r="AI996" i="9"/>
  <c r="AI1669" i="9"/>
  <c r="AI2189" i="9"/>
  <c r="AI1621" i="9"/>
  <c r="AI1543" i="9"/>
  <c r="AI2129" i="9"/>
  <c r="AI1756" i="9"/>
  <c r="AI903" i="9"/>
  <c r="AI209" i="9"/>
  <c r="AI1087" i="9"/>
  <c r="AI757" i="9"/>
  <c r="AI1684" i="9"/>
  <c r="AI477" i="9"/>
  <c r="AI1989" i="9"/>
  <c r="AI172" i="9"/>
  <c r="AI1810" i="9"/>
  <c r="AI1232" i="9"/>
  <c r="AI1078" i="9"/>
  <c r="AI2027" i="9"/>
  <c r="AI1063" i="9"/>
  <c r="AI2004" i="9"/>
  <c r="AI1210" i="9"/>
  <c r="AI942" i="9"/>
  <c r="AI1972" i="9"/>
  <c r="AI1928" i="9"/>
  <c r="AI1298" i="9"/>
  <c r="AI2152" i="9"/>
  <c r="AI164" i="9"/>
  <c r="AI1940" i="9"/>
  <c r="AI132" i="9"/>
  <c r="AI1609" i="9"/>
  <c r="AI1156" i="9"/>
  <c r="AI2042" i="9"/>
  <c r="AI1654" i="9"/>
  <c r="AI1100" i="9"/>
  <c r="AI2198" i="9"/>
  <c r="AI1216" i="9"/>
  <c r="AI1533" i="9"/>
  <c r="AI2160" i="9"/>
  <c r="AI1119" i="9"/>
  <c r="AI1636" i="9"/>
  <c r="AI1575" i="9"/>
  <c r="AI1825" i="9"/>
  <c r="AI2180" i="9"/>
  <c r="AI955" i="9"/>
  <c r="AI2034" i="9"/>
  <c r="AI864" i="9"/>
  <c r="AI1718" i="9"/>
  <c r="AI1835" i="9"/>
  <c r="AI1586" i="9"/>
  <c r="AK103" i="9"/>
  <c r="AI1556" i="9"/>
  <c r="AI248" i="9"/>
  <c r="AI2215" i="9"/>
  <c r="AI1790" i="9"/>
  <c r="AI1660" i="9"/>
  <c r="AI2020" i="9"/>
  <c r="AI1362" i="9"/>
  <c r="AI465" i="9"/>
  <c r="AI1313" i="9"/>
  <c r="AI1568" i="9"/>
  <c r="AI1727" i="9"/>
  <c r="AI1194" i="9"/>
  <c r="AI1027" i="9"/>
  <c r="AI1693" i="9"/>
  <c r="AI1846" i="9"/>
  <c r="AI1043" i="9"/>
  <c r="AI154" i="9"/>
  <c r="AI1319" i="9"/>
  <c r="AI1525" i="9"/>
  <c r="P1063" i="8"/>
  <c r="P1156" i="8"/>
  <c r="P1176" i="8"/>
  <c r="P1804" i="8"/>
  <c r="P435" i="8"/>
  <c r="P1256" i="8"/>
  <c r="P1318" i="8"/>
  <c r="P2369" i="8"/>
  <c r="P2256" i="8"/>
  <c r="P1749" i="8"/>
  <c r="P17" i="8"/>
  <c r="P2218" i="8"/>
  <c r="P1428" i="8"/>
  <c r="P465" i="8"/>
  <c r="P1454" i="8"/>
  <c r="P301" i="8"/>
  <c r="P1717" i="8"/>
  <c r="P2035" i="8"/>
  <c r="P1549" i="8"/>
  <c r="P900" i="8"/>
  <c r="P745" i="8"/>
  <c r="P2148" i="8"/>
  <c r="P1840" i="8"/>
  <c r="P2128" i="8"/>
  <c r="P871" i="8"/>
  <c r="P1879" i="8"/>
  <c r="P171" i="8"/>
  <c r="P914" i="8"/>
  <c r="P2350" i="8"/>
  <c r="P2430" i="8"/>
  <c r="P1226" i="8"/>
  <c r="R10" i="8"/>
  <c r="P1695" i="8"/>
  <c r="P1477" i="8"/>
  <c r="P1113" i="8"/>
  <c r="P1926" i="8"/>
  <c r="P2164" i="8"/>
  <c r="P78" i="8"/>
  <c r="P101" i="8"/>
  <c r="P1436" i="8"/>
  <c r="P756" i="8"/>
  <c r="P1737" i="8"/>
  <c r="P2140" i="8"/>
  <c r="P2242" i="8"/>
  <c r="P994" i="8"/>
  <c r="P940" i="8"/>
  <c r="P1506" i="8"/>
  <c r="P970" i="8"/>
  <c r="P155" i="8"/>
  <c r="P2045" i="8"/>
  <c r="P449" i="8"/>
  <c r="P980" i="8"/>
  <c r="P2226" i="8"/>
  <c r="P113" i="8"/>
  <c r="P2171" i="8"/>
  <c r="P499" i="8"/>
  <c r="P1859" i="8"/>
  <c r="P836" i="8"/>
  <c r="P1288" i="8"/>
  <c r="P2189" i="8"/>
  <c r="P163" i="8"/>
  <c r="P2420" i="8"/>
  <c r="P1867" i="8"/>
  <c r="P1914" i="8"/>
  <c r="P1637" i="8"/>
  <c r="P1976" i="8"/>
  <c r="P1134" i="8"/>
  <c r="P1899" i="8"/>
  <c r="P1769" i="8"/>
  <c r="P1889" i="8"/>
  <c r="P1556" i="8"/>
  <c r="P879" i="8"/>
  <c r="P1965" i="8"/>
  <c r="P401" i="8"/>
  <c r="P1729" i="8"/>
  <c r="P1127" i="8"/>
  <c r="P309" i="8"/>
  <c r="P1958" i="8"/>
  <c r="P1687" i="8"/>
  <c r="P338" i="8"/>
  <c r="P1296" i="8"/>
  <c r="P548" i="8"/>
  <c r="P49" i="8"/>
  <c r="P139" i="8"/>
  <c r="P481" i="8"/>
  <c r="P2001" i="8"/>
  <c r="P2088" i="8"/>
  <c r="P1184" i="8"/>
  <c r="P322" i="8"/>
  <c r="P1218" i="8"/>
  <c r="P1783" i="8"/>
  <c r="P355" i="8"/>
  <c r="P1759" i="8"/>
  <c r="P2405" i="8"/>
  <c r="P2203" i="8"/>
  <c r="P2377" i="8"/>
  <c r="P293" i="8"/>
  <c r="P1568" i="8"/>
  <c r="P1041" i="8"/>
  <c r="P369" i="8"/>
  <c r="P1831" i="8"/>
  <c r="P345" i="8"/>
  <c r="P1194" i="8"/>
  <c r="P1820" i="8"/>
  <c r="P2311" i="8"/>
  <c r="P1705" i="8"/>
  <c r="P2389" i="8"/>
  <c r="P1574" i="8"/>
  <c r="P2414" i="8"/>
  <c r="P330" i="8"/>
  <c r="P213" i="8"/>
  <c r="P2234" i="8"/>
  <c r="P89" i="8"/>
  <c r="AI1009" i="9" l="1"/>
  <c r="AI1791" i="9"/>
  <c r="AI2199" i="9"/>
  <c r="AI165" i="9"/>
  <c r="AI904" i="9"/>
  <c r="AI2190" i="9"/>
  <c r="AI1953" i="9"/>
  <c r="AI865" i="9"/>
  <c r="AI1157" i="9"/>
  <c r="AI478" i="9"/>
  <c r="AI1694" i="9"/>
  <c r="AI466" i="9"/>
  <c r="AI1836" i="9"/>
  <c r="AI1534" i="9"/>
  <c r="AI1610" i="9"/>
  <c r="AI1929" i="9"/>
  <c r="AI1973" i="9"/>
  <c r="AI806" i="9"/>
  <c r="AI1299" i="9"/>
  <c r="AI1079" i="9"/>
  <c r="AI1044" i="9"/>
  <c r="AI1088" i="9"/>
  <c r="AI2130" i="9"/>
  <c r="AI2181" i="9"/>
  <c r="AI1719" i="9"/>
  <c r="AI956" i="9"/>
  <c r="AI1576" i="9"/>
  <c r="AI2161" i="9"/>
  <c r="AI1990" i="9"/>
  <c r="AI1622" i="9"/>
  <c r="AI997" i="9"/>
  <c r="AI1320" i="9"/>
  <c r="AI1195" i="9"/>
  <c r="AI1661" i="9"/>
  <c r="AI1217" i="9"/>
  <c r="AI1101" i="9"/>
  <c r="AI173" i="9"/>
  <c r="AI1757" i="9"/>
  <c r="AI1028" i="9"/>
  <c r="AI1557" i="9"/>
  <c r="AI1587" i="9"/>
  <c r="AI1637" i="9"/>
  <c r="AI1120" i="9"/>
  <c r="AK104" i="9"/>
  <c r="AI2005" i="9"/>
  <c r="AI1064" i="9"/>
  <c r="AI1685" i="9"/>
  <c r="AI1670" i="9"/>
  <c r="AI1645" i="9"/>
  <c r="AI1130" i="9"/>
  <c r="AI1826" i="9"/>
  <c r="AI1941" i="9"/>
  <c r="AI943" i="9"/>
  <c r="AD101" i="9"/>
  <c r="G102" i="9"/>
  <c r="AI210" i="9"/>
  <c r="AI1544" i="9"/>
  <c r="AI1597" i="9"/>
  <c r="P2390" i="8"/>
  <c r="P346" i="8"/>
  <c r="P1760" i="8"/>
  <c r="P1688" i="8"/>
  <c r="P1890" i="8"/>
  <c r="P2172" i="8"/>
  <c r="P1507" i="8"/>
  <c r="P1821" i="8"/>
  <c r="P331" i="8"/>
  <c r="P90" i="8"/>
  <c r="P323" i="8"/>
  <c r="P1185" i="8"/>
  <c r="P1959" i="8"/>
  <c r="P1730" i="8"/>
  <c r="P1915" i="8"/>
  <c r="P2227" i="8"/>
  <c r="P2243" i="8"/>
  <c r="P140" i="8"/>
  <c r="P1900" i="8"/>
  <c r="P1868" i="8"/>
  <c r="P1860" i="8"/>
  <c r="P2378" i="8"/>
  <c r="P1784" i="8"/>
  <c r="P1770" i="8"/>
  <c r="P450" i="8"/>
  <c r="P1706" i="8"/>
  <c r="P2421" i="8"/>
  <c r="P2190" i="8"/>
  <c r="P2046" i="8"/>
  <c r="P971" i="8"/>
  <c r="P941" i="8"/>
  <c r="P1195" i="8"/>
  <c r="P2204" i="8"/>
  <c r="P2002" i="8"/>
  <c r="P402" i="8"/>
  <c r="P1135" i="8"/>
  <c r="P2141" i="8"/>
  <c r="P2235" i="8"/>
  <c r="P370" i="8"/>
  <c r="P1219" i="8"/>
  <c r="P1289" i="8"/>
  <c r="P500" i="8"/>
  <c r="P981" i="8"/>
  <c r="P294" i="8"/>
  <c r="P2089" i="8"/>
  <c r="P1966" i="8"/>
  <c r="P79" i="8"/>
  <c r="P172" i="8"/>
  <c r="P1429" i="8"/>
  <c r="P102" i="8"/>
  <c r="P1114" i="8"/>
  <c r="P1696" i="8"/>
  <c r="P1227" i="8"/>
  <c r="P1841" i="8"/>
  <c r="P302" i="8"/>
  <c r="P1750" i="8"/>
  <c r="P1257" i="8"/>
  <c r="P2431" i="8"/>
  <c r="P2370" i="8"/>
  <c r="P1177" i="8"/>
  <c r="P1738" i="8"/>
  <c r="P2036" i="8"/>
  <c r="P2219" i="8"/>
  <c r="P18" i="8"/>
  <c r="P1927" i="8"/>
  <c r="P915" i="8"/>
  <c r="P1157" i="8"/>
  <c r="P995" i="8"/>
  <c r="P2351" i="8"/>
  <c r="P1550" i="8"/>
  <c r="P466" i="8"/>
  <c r="P1805" i="8"/>
  <c r="R11" i="8"/>
  <c r="P2149" i="8"/>
  <c r="P1718" i="8"/>
  <c r="P2257" i="8"/>
  <c r="P1319" i="8"/>
  <c r="P1064" i="8"/>
  <c r="AI1196" i="9" l="1"/>
  <c r="AI479" i="9"/>
  <c r="AI1954" i="9"/>
  <c r="AI1588" i="9"/>
  <c r="AI1758" i="9"/>
  <c r="AI1080" i="9"/>
  <c r="AI1010" i="9"/>
  <c r="AI1029" i="9"/>
  <c r="AI1321" i="9"/>
  <c r="AI1577" i="9"/>
  <c r="AI957" i="9"/>
  <c r="AI2182" i="9"/>
  <c r="AI1535" i="9"/>
  <c r="AI1158" i="9"/>
  <c r="AI211" i="9"/>
  <c r="AI1827" i="9"/>
  <c r="AI1646" i="9"/>
  <c r="AI174" i="9"/>
  <c r="AK105" i="9"/>
  <c r="AI2131" i="9"/>
  <c r="AI1930" i="9"/>
  <c r="AI1598" i="9"/>
  <c r="AI1545" i="9"/>
  <c r="AI1131" i="9"/>
  <c r="AI1065" i="9"/>
  <c r="AI1623" i="9"/>
  <c r="AI1991" i="9"/>
  <c r="AI1720" i="9"/>
  <c r="AI1121" i="9"/>
  <c r="AI944" i="9"/>
  <c r="AI1686" i="9"/>
  <c r="AI1045" i="9"/>
  <c r="AI1974" i="9"/>
  <c r="AI905" i="9"/>
  <c r="AI1671" i="9"/>
  <c r="AI1558" i="9"/>
  <c r="AI1089" i="9"/>
  <c r="AI1837" i="9"/>
  <c r="AI1695" i="9"/>
  <c r="AI866" i="9"/>
  <c r="AI2200" i="9"/>
  <c r="AI1792" i="9"/>
  <c r="AI1102" i="9"/>
  <c r="AI2006" i="9"/>
  <c r="AI1662" i="9"/>
  <c r="AI1611" i="9"/>
  <c r="P1806" i="8"/>
  <c r="P467" i="8"/>
  <c r="P1928" i="8"/>
  <c r="R15" i="8"/>
  <c r="P1258" i="8"/>
  <c r="P1228" i="8"/>
  <c r="P80" i="8"/>
  <c r="P501" i="8"/>
  <c r="P2422" i="8"/>
  <c r="P1771" i="8"/>
  <c r="P1916" i="8"/>
  <c r="P1761" i="8"/>
  <c r="R16" i="8"/>
  <c r="P1697" i="8"/>
  <c r="P403" i="8"/>
  <c r="P942" i="8"/>
  <c r="P2173" i="8"/>
  <c r="P996" i="8"/>
  <c r="P2037" i="8"/>
  <c r="P295" i="8"/>
  <c r="P1869" i="8"/>
  <c r="P1186" i="8"/>
  <c r="P1822" i="8"/>
  <c r="P2432" i="8"/>
  <c r="P1751" i="8"/>
  <c r="P1115" i="8"/>
  <c r="P1967" i="8"/>
  <c r="P2003" i="8"/>
  <c r="P972" i="8"/>
  <c r="P1785" i="8"/>
  <c r="P1901" i="8"/>
  <c r="P1731" i="8"/>
  <c r="P324" i="8"/>
  <c r="P2150" i="8"/>
  <c r="P173" i="8"/>
  <c r="P2047" i="8"/>
  <c r="P1707" i="8"/>
  <c r="P347" i="8"/>
  <c r="P1065" i="8"/>
  <c r="P1719" i="8"/>
  <c r="R12" i="8"/>
  <c r="P2352" i="8"/>
  <c r="P1158" i="8"/>
  <c r="R18" i="8"/>
  <c r="P1842" i="8"/>
  <c r="P2205" i="8"/>
  <c r="P1891" i="8"/>
  <c r="R17" i="8"/>
  <c r="P103" i="8"/>
  <c r="P982" i="8"/>
  <c r="P1136" i="8"/>
  <c r="P2379" i="8"/>
  <c r="P91" i="8"/>
  <c r="P2220" i="8"/>
  <c r="P1739" i="8"/>
  <c r="P2090" i="8"/>
  <c r="P1196" i="8"/>
  <c r="P2191" i="8"/>
  <c r="P451" i="8"/>
  <c r="P2391" i="8"/>
  <c r="AI1624" i="9" l="1"/>
  <c r="AI1589" i="9"/>
  <c r="AI1793" i="9"/>
  <c r="AI867" i="9"/>
  <c r="AI1975" i="9"/>
  <c r="AI2132" i="9"/>
  <c r="AI1578" i="9"/>
  <c r="AI1663" i="9"/>
  <c r="AI1647" i="9"/>
  <c r="AI480" i="9"/>
  <c r="AI1122" i="9"/>
  <c r="AI175" i="9"/>
  <c r="AI1828" i="9"/>
  <c r="AI1159" i="9"/>
  <c r="AI1559" i="9"/>
  <c r="AI1132" i="9"/>
  <c r="AI1103" i="9"/>
  <c r="AI906" i="9"/>
  <c r="AI1546" i="9"/>
  <c r="AI2201" i="9"/>
  <c r="AI1011" i="9"/>
  <c r="AI1838" i="9"/>
  <c r="AI1030" i="9"/>
  <c r="AI1612" i="9"/>
  <c r="AI2007" i="9"/>
  <c r="AI1696" i="9"/>
  <c r="AI1992" i="9"/>
  <c r="AI1599" i="9"/>
  <c r="G105" i="9"/>
  <c r="AK106" i="9"/>
  <c r="AI1046" i="9"/>
  <c r="AI1687" i="9"/>
  <c r="AI1721" i="9"/>
  <c r="AI1066" i="9"/>
  <c r="AI1955" i="9"/>
  <c r="P2192" i="8"/>
  <c r="P1137" i="8"/>
  <c r="P983" i="8"/>
  <c r="P1740" i="8"/>
  <c r="P1197" i="8"/>
  <c r="P1843" i="8"/>
  <c r="P2392" i="8"/>
  <c r="P997" i="8"/>
  <c r="P943" i="8"/>
  <c r="P1259" i="8"/>
  <c r="P81" i="8"/>
  <c r="P468" i="8"/>
  <c r="P1066" i="8"/>
  <c r="P2433" i="8"/>
  <c r="P404" i="8"/>
  <c r="P1698" i="8"/>
  <c r="P1929" i="8"/>
  <c r="P1807" i="8"/>
  <c r="R13" i="8"/>
  <c r="P1708" i="8"/>
  <c r="P1823" i="8"/>
  <c r="P1917" i="8"/>
  <c r="P348" i="8"/>
  <c r="P2151" i="8"/>
  <c r="P2038" i="8"/>
  <c r="P1159" i="8"/>
  <c r="P2048" i="8"/>
  <c r="P2004" i="8"/>
  <c r="P2353" i="8"/>
  <c r="P1902" i="8"/>
  <c r="P1116" i="8"/>
  <c r="P2174" i="8"/>
  <c r="P1229" i="8"/>
  <c r="P1720" i="8"/>
  <c r="P1786" i="8"/>
  <c r="P1752" i="8"/>
  <c r="P1762" i="8"/>
  <c r="P1772" i="8"/>
  <c r="P502" i="8"/>
  <c r="G106" i="9" l="1"/>
  <c r="AI1839" i="9"/>
  <c r="AI1547" i="9"/>
  <c r="AI1794" i="9"/>
  <c r="AI1600" i="9"/>
  <c r="AI1613" i="9"/>
  <c r="AI1579" i="9"/>
  <c r="AI1956" i="9"/>
  <c r="AI1047" i="9"/>
  <c r="AI481" i="9"/>
  <c r="AI1012" i="9"/>
  <c r="AI1104" i="9"/>
  <c r="AI1590" i="9"/>
  <c r="AI1993" i="9"/>
  <c r="AI1133" i="9"/>
  <c r="AI1160" i="9"/>
  <c r="AI2133" i="9"/>
  <c r="AI1067" i="9"/>
  <c r="AI1031" i="9"/>
  <c r="AI2202" i="9"/>
  <c r="AI1976" i="9"/>
  <c r="AI868" i="9"/>
  <c r="AK107" i="9"/>
  <c r="AI2008" i="9"/>
  <c r="AI907" i="9"/>
  <c r="P1763" i="8"/>
  <c r="P2354" i="8"/>
  <c r="P2152" i="8"/>
  <c r="P503" i="8"/>
  <c r="P1753" i="8"/>
  <c r="P1160" i="8"/>
  <c r="P1709" i="8"/>
  <c r="P405" i="8"/>
  <c r="P2434" i="8"/>
  <c r="P1773" i="8"/>
  <c r="P1230" i="8"/>
  <c r="P2175" i="8"/>
  <c r="P1260" i="8"/>
  <c r="P944" i="8"/>
  <c r="P1721" i="8"/>
  <c r="P2005" i="8"/>
  <c r="P1918" i="8"/>
  <c r="P2393" i="8"/>
  <c r="P2039" i="8"/>
  <c r="P1067" i="8"/>
  <c r="P998" i="8"/>
  <c r="P1138" i="8"/>
  <c r="P1844" i="8"/>
  <c r="P2193" i="8"/>
  <c r="P1903" i="8"/>
  <c r="P1117" i="8"/>
  <c r="R14" i="8"/>
  <c r="P1198" i="8"/>
  <c r="P1741" i="8"/>
  <c r="AI1068" i="9" l="1"/>
  <c r="AK108" i="9"/>
  <c r="AI1977" i="9"/>
  <c r="AI1994" i="9"/>
  <c r="AI1013" i="9"/>
  <c r="AI1601" i="9"/>
  <c r="AI1032" i="9"/>
  <c r="AI1161" i="9"/>
  <c r="AI908" i="9"/>
  <c r="AI482" i="9"/>
  <c r="AI1048" i="9"/>
  <c r="AI1134" i="9"/>
  <c r="AI2134" i="9"/>
  <c r="AI2203" i="9"/>
  <c r="AI1105" i="9"/>
  <c r="AI1957" i="9"/>
  <c r="AI1795" i="9"/>
  <c r="P1722" i="8"/>
  <c r="P1261" i="8"/>
  <c r="P1710" i="8"/>
  <c r="P1139" i="8"/>
  <c r="P2153" i="8"/>
  <c r="P1118" i="8"/>
  <c r="P2194" i="8"/>
  <c r="P999" i="8"/>
  <c r="P2006" i="8"/>
  <c r="P2176" i="8"/>
  <c r="P1774" i="8"/>
  <c r="P2435" i="8"/>
  <c r="P1742" i="8"/>
  <c r="P1199" i="8"/>
  <c r="P1904" i="8"/>
  <c r="P1161" i="8"/>
  <c r="P1919" i="8"/>
  <c r="P1231" i="8"/>
  <c r="R19" i="8"/>
  <c r="P504" i="8"/>
  <c r="P2355" i="8"/>
  <c r="P1845" i="8"/>
  <c r="P1068" i="8"/>
  <c r="P2394" i="8"/>
  <c r="R22" i="8"/>
  <c r="R23" i="8" s="1"/>
  <c r="AI1958" i="9" l="1"/>
  <c r="AI1995" i="9"/>
  <c r="AI2135" i="9"/>
  <c r="AI1978" i="9"/>
  <c r="AK109" i="9"/>
  <c r="AI1069" i="9"/>
  <c r="AI1049" i="9"/>
  <c r="AI909" i="9"/>
  <c r="AI1135" i="9"/>
  <c r="AI483" i="9"/>
  <c r="AI1014" i="9"/>
  <c r="AI1162" i="9"/>
  <c r="AI1796" i="9"/>
  <c r="AI1106" i="9"/>
  <c r="AI1033" i="9"/>
  <c r="P1069" i="8"/>
  <c r="P505" i="8"/>
  <c r="P1162" i="8"/>
  <c r="P2177" i="8"/>
  <c r="P1000" i="8"/>
  <c r="P1262" i="8"/>
  <c r="P1232" i="8"/>
  <c r="P1200" i="8"/>
  <c r="P2195" i="8"/>
  <c r="R20" i="8"/>
  <c r="P2007" i="8"/>
  <c r="P1119" i="8"/>
  <c r="P1140" i="8"/>
  <c r="P1920" i="8"/>
  <c r="P1775" i="8"/>
  <c r="P2154" i="8"/>
  <c r="P2395" i="8"/>
  <c r="AI1136" i="9" l="1"/>
  <c r="AI1979" i="9"/>
  <c r="AI1034" i="9"/>
  <c r="AI1163" i="9"/>
  <c r="AI1797" i="9"/>
  <c r="AI910" i="9"/>
  <c r="AI1015" i="9"/>
  <c r="AI484" i="9"/>
  <c r="AI1050" i="9"/>
  <c r="G109" i="9"/>
  <c r="AK110" i="9"/>
  <c r="R21" i="8"/>
  <c r="R24" i="8"/>
  <c r="R25" i="8" s="1"/>
  <c r="R26" i="8" s="1"/>
  <c r="R27" i="8" s="1"/>
  <c r="R28" i="8" s="1"/>
  <c r="R29" i="8" s="1"/>
  <c r="R30" i="8" s="1"/>
  <c r="R31" i="8" s="1"/>
  <c r="R32" i="8" s="1"/>
  <c r="R33" i="8" s="1"/>
  <c r="R34" i="8" s="1"/>
  <c r="R35" i="8" s="1"/>
  <c r="R36" i="8" s="1"/>
  <c r="R37" i="8" s="1"/>
  <c r="R38" i="8" s="1"/>
  <c r="R39" i="8" s="1"/>
  <c r="R40" i="8" s="1"/>
  <c r="R41" i="8" s="1"/>
  <c r="R42" i="8" s="1"/>
  <c r="R43" i="8" s="1"/>
  <c r="R44" i="8" s="1"/>
  <c r="R45" i="8" s="1"/>
  <c r="R46" i="8" s="1"/>
  <c r="R47" i="8" s="1"/>
  <c r="R48" i="8" s="1"/>
  <c r="R49" i="8" s="1"/>
  <c r="R50" i="8" s="1"/>
  <c r="R51" i="8" s="1"/>
  <c r="R52" i="8" s="1"/>
  <c r="R53" i="8" s="1"/>
  <c r="R54" i="8" s="1"/>
  <c r="R55" i="8" s="1"/>
  <c r="R56" i="8" s="1"/>
  <c r="R57" i="8" s="1"/>
  <c r="R58" i="8" s="1"/>
  <c r="R59" i="8" s="1"/>
  <c r="R60" i="8" s="1"/>
  <c r="R61" i="8" s="1"/>
  <c r="R62" i="8" s="1"/>
  <c r="R63" i="8" s="1"/>
  <c r="R64" i="8" s="1"/>
  <c r="R65" i="8" s="1"/>
  <c r="R66" i="8" s="1"/>
  <c r="R67" i="8" s="1"/>
  <c r="R68" i="8" s="1"/>
  <c r="R69" i="8" s="1"/>
  <c r="R70" i="8" s="1"/>
  <c r="R71" i="8" s="1"/>
  <c r="R72" i="8" s="1"/>
  <c r="R73" i="8" s="1"/>
  <c r="R74" i="8" s="1"/>
  <c r="R75" i="8" s="1"/>
  <c r="R76" i="8" s="1"/>
  <c r="R77" i="8" s="1"/>
  <c r="R78" i="8" s="1"/>
  <c r="R79" i="8" s="1"/>
  <c r="R80" i="8" s="1"/>
  <c r="P2155" i="8"/>
  <c r="P1233" i="8"/>
  <c r="P1120" i="8"/>
  <c r="P1201" i="8"/>
  <c r="P1163" i="8"/>
  <c r="P1001" i="8"/>
  <c r="P506" i="8"/>
  <c r="P2008" i="8"/>
  <c r="P1263" i="8"/>
  <c r="P1141" i="8"/>
  <c r="P2178" i="8"/>
  <c r="G111" i="9" l="1"/>
  <c r="AI1798" i="9"/>
  <c r="AI1035" i="9"/>
  <c r="AI1051" i="9"/>
  <c r="AI1016" i="9"/>
  <c r="AI1980" i="9"/>
  <c r="AI1164" i="9"/>
  <c r="AI485" i="9"/>
  <c r="AI1137" i="9"/>
  <c r="AK111" i="9"/>
  <c r="P1121" i="8"/>
  <c r="P2156" i="8"/>
  <c r="R81" i="8"/>
  <c r="R82" i="8" s="1"/>
  <c r="R83" i="8" s="1"/>
  <c r="R84" i="8" s="1"/>
  <c r="R85" i="8" s="1"/>
  <c r="R86" i="8" s="1"/>
  <c r="R87" i="8" s="1"/>
  <c r="R88" i="8" s="1"/>
  <c r="R89" i="8" s="1"/>
  <c r="R90" i="8" s="1"/>
  <c r="R91" i="8" s="1"/>
  <c r="R92" i="8" s="1"/>
  <c r="R93" i="8" s="1"/>
  <c r="R94" i="8" s="1"/>
  <c r="R95" i="8" s="1"/>
  <c r="R96" i="8" s="1"/>
  <c r="R97" i="8" s="1"/>
  <c r="R98" i="8" s="1"/>
  <c r="R99" i="8" s="1"/>
  <c r="R100" i="8" s="1"/>
  <c r="R101" i="8" s="1"/>
  <c r="R102" i="8" s="1"/>
  <c r="R103" i="8" s="1"/>
  <c r="R104" i="8" s="1"/>
  <c r="R105" i="8" s="1"/>
  <c r="R106" i="8" s="1"/>
  <c r="R107" i="8" s="1"/>
  <c r="R108" i="8" s="1"/>
  <c r="R109" i="8" s="1"/>
  <c r="R110" i="8" s="1"/>
  <c r="R111" i="8" s="1"/>
  <c r="R112" i="8" s="1"/>
  <c r="R113" i="8" s="1"/>
  <c r="R114" i="8" s="1"/>
  <c r="R115" i="8" s="1"/>
  <c r="R116" i="8" s="1"/>
  <c r="R117" i="8" s="1"/>
  <c r="R118" i="8" s="1"/>
  <c r="R119" i="8" s="1"/>
  <c r="R120" i="8" s="1"/>
  <c r="R121" i="8" s="1"/>
  <c r="R122" i="8" s="1"/>
  <c r="R123" i="8" s="1"/>
  <c r="R124" i="8" s="1"/>
  <c r="R125" i="8" s="1"/>
  <c r="R126" i="8" s="1"/>
  <c r="R127" i="8" s="1"/>
  <c r="R128" i="8" s="1"/>
  <c r="R129" i="8" s="1"/>
  <c r="R130" i="8" s="1"/>
  <c r="R131" i="8" s="1"/>
  <c r="R132" i="8" s="1"/>
  <c r="R133" i="8" s="1"/>
  <c r="R134" i="8" s="1"/>
  <c r="R135" i="8" s="1"/>
  <c r="R136" i="8" s="1"/>
  <c r="R137" i="8" s="1"/>
  <c r="R138" i="8" s="1"/>
  <c r="R139" i="8" s="1"/>
  <c r="R140" i="8" s="1"/>
  <c r="R141" i="8" s="1"/>
  <c r="R142" i="8" s="1"/>
  <c r="R143" i="8" s="1"/>
  <c r="R144" i="8" s="1"/>
  <c r="R145" i="8" s="1"/>
  <c r="R146" i="8" s="1"/>
  <c r="R147" i="8" s="1"/>
  <c r="R148" i="8" s="1"/>
  <c r="R149" i="8" s="1"/>
  <c r="R150" i="8" s="1"/>
  <c r="R151" i="8" s="1"/>
  <c r="R152" i="8" s="1"/>
  <c r="R153" i="8" s="1"/>
  <c r="R154" i="8" s="1"/>
  <c r="R155" i="8" s="1"/>
  <c r="R156" i="8" s="1"/>
  <c r="R157" i="8" s="1"/>
  <c r="R158" i="8" s="1"/>
  <c r="R159" i="8" s="1"/>
  <c r="R160" i="8" s="1"/>
  <c r="R161" i="8" s="1"/>
  <c r="R162" i="8" s="1"/>
  <c r="R163" i="8" s="1"/>
  <c r="R164" i="8" s="1"/>
  <c r="R165" i="8" s="1"/>
  <c r="R166" i="8" s="1"/>
  <c r="R167" i="8" s="1"/>
  <c r="R168" i="8" s="1"/>
  <c r="R169" i="8" s="1"/>
  <c r="R170" i="8" s="1"/>
  <c r="R171" i="8" s="1"/>
  <c r="R172" i="8" s="1"/>
  <c r="R173" i="8" s="1"/>
  <c r="R174" i="8" s="1"/>
  <c r="R175" i="8" s="1"/>
  <c r="R176" i="8" s="1"/>
  <c r="R177" i="8" s="1"/>
  <c r="R178" i="8" s="1"/>
  <c r="R179" i="8" s="1"/>
  <c r="R180" i="8" s="1"/>
  <c r="R181" i="8" s="1"/>
  <c r="R182" i="8" s="1"/>
  <c r="R183" i="8" s="1"/>
  <c r="R184" i="8" s="1"/>
  <c r="R185" i="8" s="1"/>
  <c r="R186" i="8" s="1"/>
  <c r="R187" i="8" s="1"/>
  <c r="R188" i="8" s="1"/>
  <c r="R189" i="8" s="1"/>
  <c r="R190" i="8" s="1"/>
  <c r="R191" i="8" s="1"/>
  <c r="R192" i="8" s="1"/>
  <c r="R193" i="8" s="1"/>
  <c r="R194" i="8" s="1"/>
  <c r="R195" i="8" s="1"/>
  <c r="R196" i="8" s="1"/>
  <c r="R197" i="8" s="1"/>
  <c r="R198" i="8" s="1"/>
  <c r="R199" i="8" s="1"/>
  <c r="R200" i="8" s="1"/>
  <c r="R201" i="8" s="1"/>
  <c r="R202" i="8" s="1"/>
  <c r="R203" i="8" s="1"/>
  <c r="R204" i="8" s="1"/>
  <c r="R205" i="8" s="1"/>
  <c r="R206" i="8" s="1"/>
  <c r="R207" i="8" s="1"/>
  <c r="R208" i="8" s="1"/>
  <c r="R209" i="8" s="1"/>
  <c r="R210" i="8" s="1"/>
  <c r="R211" i="8" s="1"/>
  <c r="R212" i="8" s="1"/>
  <c r="R213" i="8" s="1"/>
  <c r="R214" i="8" s="1"/>
  <c r="R215" i="8" s="1"/>
  <c r="R216" i="8" s="1"/>
  <c r="R217" i="8" s="1"/>
  <c r="R218" i="8" s="1"/>
  <c r="R219" i="8" s="1"/>
  <c r="R220" i="8" s="1"/>
  <c r="R221" i="8" s="1"/>
  <c r="R222" i="8" s="1"/>
  <c r="R223" i="8" s="1"/>
  <c r="R224" i="8" s="1"/>
  <c r="R225" i="8" s="1"/>
  <c r="R226" i="8" s="1"/>
  <c r="R227" i="8" s="1"/>
  <c r="R228" i="8" s="1"/>
  <c r="R229" i="8" s="1"/>
  <c r="R230" i="8" s="1"/>
  <c r="R231" i="8" s="1"/>
  <c r="R232" i="8" s="1"/>
  <c r="R233" i="8" s="1"/>
  <c r="R234" i="8" s="1"/>
  <c r="R235" i="8" s="1"/>
  <c r="R236" i="8" s="1"/>
  <c r="R237" i="8" s="1"/>
  <c r="R238" i="8" s="1"/>
  <c r="R239" i="8" s="1"/>
  <c r="R240" i="8" s="1"/>
  <c r="R241" i="8" s="1"/>
  <c r="R242" i="8" s="1"/>
  <c r="R243" i="8" s="1"/>
  <c r="R244" i="8" s="1"/>
  <c r="R245" i="8" s="1"/>
  <c r="R246" i="8" s="1"/>
  <c r="R247" i="8" s="1"/>
  <c r="R248" i="8" s="1"/>
  <c r="R249" i="8" s="1"/>
  <c r="R250" i="8" s="1"/>
  <c r="R251" i="8" s="1"/>
  <c r="R252" i="8" s="1"/>
  <c r="R253" i="8" s="1"/>
  <c r="R254" i="8" s="1"/>
  <c r="R255" i="8" s="1"/>
  <c r="R256" i="8" s="1"/>
  <c r="R257" i="8" s="1"/>
  <c r="R258" i="8" s="1"/>
  <c r="R259" i="8" s="1"/>
  <c r="R260" i="8" s="1"/>
  <c r="R261" i="8" s="1"/>
  <c r="R262" i="8" s="1"/>
  <c r="R263" i="8" s="1"/>
  <c r="R264" i="8" s="1"/>
  <c r="R265" i="8" s="1"/>
  <c r="R266" i="8" s="1"/>
  <c r="R267" i="8" s="1"/>
  <c r="R268" i="8" s="1"/>
  <c r="R269" i="8" s="1"/>
  <c r="R270" i="8" s="1"/>
  <c r="R271" i="8" s="1"/>
  <c r="R272" i="8" s="1"/>
  <c r="R273" i="8" s="1"/>
  <c r="R274" i="8" s="1"/>
  <c r="R275" i="8" s="1"/>
  <c r="R276" i="8" s="1"/>
  <c r="R277" i="8" s="1"/>
  <c r="R278" i="8" s="1"/>
  <c r="R279" i="8" s="1"/>
  <c r="R280" i="8" s="1"/>
  <c r="R281" i="8" s="1"/>
  <c r="R282" i="8" s="1"/>
  <c r="R283" i="8" s="1"/>
  <c r="R284" i="8" s="1"/>
  <c r="R285" i="8" s="1"/>
  <c r="R286" i="8" s="1"/>
  <c r="R287" i="8" s="1"/>
  <c r="R288" i="8" s="1"/>
  <c r="R289" i="8" s="1"/>
  <c r="R290" i="8" s="1"/>
  <c r="R291" i="8" s="1"/>
  <c r="R292" i="8" s="1"/>
  <c r="R293" i="8" s="1"/>
  <c r="R294" i="8" s="1"/>
  <c r="R295" i="8" s="1"/>
  <c r="R296" i="8" s="1"/>
  <c r="R297" i="8" s="1"/>
  <c r="R298" i="8" s="1"/>
  <c r="R299" i="8" s="1"/>
  <c r="R300" i="8" s="1"/>
  <c r="R301" i="8" s="1"/>
  <c r="R302" i="8" s="1"/>
  <c r="R303" i="8" s="1"/>
  <c r="R304" i="8" s="1"/>
  <c r="R305" i="8" s="1"/>
  <c r="R306" i="8" s="1"/>
  <c r="R307" i="8" s="1"/>
  <c r="R308" i="8" s="1"/>
  <c r="R309" i="8" s="1"/>
  <c r="R310" i="8" s="1"/>
  <c r="R311" i="8" s="1"/>
  <c r="R312" i="8" s="1"/>
  <c r="R313" i="8" s="1"/>
  <c r="R314" i="8" s="1"/>
  <c r="R315" i="8" s="1"/>
  <c r="R316" i="8" s="1"/>
  <c r="R317" i="8" s="1"/>
  <c r="R318" i="8" s="1"/>
  <c r="R319" i="8" s="1"/>
  <c r="R320" i="8" s="1"/>
  <c r="R321" i="8" s="1"/>
  <c r="R322" i="8" s="1"/>
  <c r="R323" i="8" s="1"/>
  <c r="R324" i="8" s="1"/>
  <c r="R325" i="8" s="1"/>
  <c r="R326" i="8" s="1"/>
  <c r="R327" i="8" s="1"/>
  <c r="R328" i="8" s="1"/>
  <c r="R329" i="8" s="1"/>
  <c r="R330" i="8" s="1"/>
  <c r="R331" i="8" s="1"/>
  <c r="R332" i="8" s="1"/>
  <c r="R333" i="8" s="1"/>
  <c r="R334" i="8" s="1"/>
  <c r="R335" i="8" s="1"/>
  <c r="R336" i="8" s="1"/>
  <c r="R337" i="8" s="1"/>
  <c r="R338" i="8" s="1"/>
  <c r="R339" i="8" s="1"/>
  <c r="R340" i="8" s="1"/>
  <c r="R341" i="8" s="1"/>
  <c r="R342" i="8" s="1"/>
  <c r="R343" i="8" s="1"/>
  <c r="R344" i="8" s="1"/>
  <c r="R345" i="8" s="1"/>
  <c r="R346" i="8" s="1"/>
  <c r="R347" i="8" s="1"/>
  <c r="R348" i="8" s="1"/>
  <c r="R349" i="8" s="1"/>
  <c r="R350" i="8" s="1"/>
  <c r="R351" i="8" s="1"/>
  <c r="R352" i="8" s="1"/>
  <c r="R353" i="8" s="1"/>
  <c r="R354" i="8" s="1"/>
  <c r="R355" i="8" s="1"/>
  <c r="R356" i="8" s="1"/>
  <c r="R357" i="8" s="1"/>
  <c r="R358" i="8" s="1"/>
  <c r="R359" i="8" s="1"/>
  <c r="R360" i="8" s="1"/>
  <c r="R361" i="8" s="1"/>
  <c r="R362" i="8" s="1"/>
  <c r="R363" i="8" s="1"/>
  <c r="R364" i="8" s="1"/>
  <c r="R365" i="8" s="1"/>
  <c r="R366" i="8" s="1"/>
  <c r="R367" i="8" s="1"/>
  <c r="R368" i="8" s="1"/>
  <c r="R369" i="8" s="1"/>
  <c r="R370" i="8" s="1"/>
  <c r="R371" i="8" s="1"/>
  <c r="R372" i="8" s="1"/>
  <c r="R373" i="8" s="1"/>
  <c r="R374" i="8" s="1"/>
  <c r="R375" i="8" s="1"/>
  <c r="R376" i="8" s="1"/>
  <c r="R377" i="8" s="1"/>
  <c r="R378" i="8" s="1"/>
  <c r="R379" i="8" s="1"/>
  <c r="R380" i="8" s="1"/>
  <c r="R381" i="8" s="1"/>
  <c r="R382" i="8" s="1"/>
  <c r="R383" i="8" s="1"/>
  <c r="R384" i="8" s="1"/>
  <c r="R385" i="8" s="1"/>
  <c r="R386" i="8" s="1"/>
  <c r="R387" i="8" s="1"/>
  <c r="R388" i="8" s="1"/>
  <c r="R389" i="8" s="1"/>
  <c r="R390" i="8" s="1"/>
  <c r="R391" i="8" s="1"/>
  <c r="R392" i="8" s="1"/>
  <c r="R393" i="8" s="1"/>
  <c r="R394" i="8" s="1"/>
  <c r="R395" i="8" s="1"/>
  <c r="R396" i="8" s="1"/>
  <c r="R397" i="8" s="1"/>
  <c r="R398" i="8" s="1"/>
  <c r="R399" i="8" s="1"/>
  <c r="R400" i="8" s="1"/>
  <c r="R401" i="8" s="1"/>
  <c r="R402" i="8" s="1"/>
  <c r="R403" i="8" s="1"/>
  <c r="R404" i="8" s="1"/>
  <c r="P1202" i="8"/>
  <c r="P1002" i="8"/>
  <c r="P1234" i="8"/>
  <c r="P1142" i="8"/>
  <c r="P1264" i="8"/>
  <c r="P1164" i="8"/>
  <c r="P507" i="8"/>
  <c r="P2009" i="8"/>
  <c r="P2179" i="8"/>
  <c r="AI1052" i="9" l="1"/>
  <c r="AI486" i="9"/>
  <c r="AI1981" i="9"/>
  <c r="AI1165" i="9"/>
  <c r="AK112" i="9"/>
  <c r="AI1017" i="9"/>
  <c r="P2180" i="8"/>
  <c r="P1265" i="8"/>
  <c r="P1165" i="8"/>
  <c r="P508" i="8"/>
  <c r="P1203" i="8"/>
  <c r="P2157" i="8"/>
  <c r="P1143" i="8"/>
  <c r="R405" i="8"/>
  <c r="R406" i="8" s="1"/>
  <c r="R407" i="8" s="1"/>
  <c r="R408" i="8" s="1"/>
  <c r="R409" i="8" s="1"/>
  <c r="R410" i="8" s="1"/>
  <c r="R411" i="8" s="1"/>
  <c r="R412" i="8" s="1"/>
  <c r="R413" i="8" s="1"/>
  <c r="R414" i="8" s="1"/>
  <c r="R415" i="8" s="1"/>
  <c r="R416" i="8" s="1"/>
  <c r="R417" i="8" s="1"/>
  <c r="R418" i="8" s="1"/>
  <c r="R419" i="8" s="1"/>
  <c r="R420" i="8" s="1"/>
  <c r="R421" i="8" s="1"/>
  <c r="R422" i="8" s="1"/>
  <c r="R423" i="8" s="1"/>
  <c r="R424" i="8" s="1"/>
  <c r="R425" i="8" s="1"/>
  <c r="R426" i="8" s="1"/>
  <c r="R427" i="8" s="1"/>
  <c r="R428" i="8" s="1"/>
  <c r="R429" i="8" s="1"/>
  <c r="R430" i="8" s="1"/>
  <c r="R431" i="8" s="1"/>
  <c r="R432" i="8" s="1"/>
  <c r="R433" i="8" s="1"/>
  <c r="R434" i="8" s="1"/>
  <c r="R435" i="8" s="1"/>
  <c r="R436" i="8" s="1"/>
  <c r="R437" i="8" s="1"/>
  <c r="R438" i="8" s="1"/>
  <c r="R439" i="8" s="1"/>
  <c r="R440" i="8" s="1"/>
  <c r="R441" i="8" s="1"/>
  <c r="R442" i="8" s="1"/>
  <c r="R443" i="8" s="1"/>
  <c r="R444" i="8" s="1"/>
  <c r="R445" i="8" s="1"/>
  <c r="R446" i="8" s="1"/>
  <c r="R447" i="8" s="1"/>
  <c r="R448" i="8" s="1"/>
  <c r="R449" i="8" s="1"/>
  <c r="R450" i="8" s="1"/>
  <c r="R451" i="8" s="1"/>
  <c r="R452" i="8" s="1"/>
  <c r="R453" i="8" s="1"/>
  <c r="R454" i="8" s="1"/>
  <c r="R455" i="8" s="1"/>
  <c r="R456" i="8" s="1"/>
  <c r="R457" i="8" s="1"/>
  <c r="R458" i="8" s="1"/>
  <c r="R459" i="8" s="1"/>
  <c r="R460" i="8" s="1"/>
  <c r="R461" i="8" s="1"/>
  <c r="R462" i="8" s="1"/>
  <c r="R463" i="8" s="1"/>
  <c r="R464" i="8" s="1"/>
  <c r="R465" i="8" s="1"/>
  <c r="R466" i="8" s="1"/>
  <c r="R467" i="8" s="1"/>
  <c r="R468" i="8" s="1"/>
  <c r="R469" i="8" s="1"/>
  <c r="R470" i="8" s="1"/>
  <c r="R471" i="8" s="1"/>
  <c r="R472" i="8" s="1"/>
  <c r="R473" i="8" s="1"/>
  <c r="R474" i="8" s="1"/>
  <c r="R475" i="8" s="1"/>
  <c r="R476" i="8" s="1"/>
  <c r="R477" i="8" s="1"/>
  <c r="R478" i="8" s="1"/>
  <c r="R479" i="8" s="1"/>
  <c r="R480" i="8" s="1"/>
  <c r="R481" i="8" s="1"/>
  <c r="R482" i="8" s="1"/>
  <c r="R483" i="8" s="1"/>
  <c r="R484" i="8" s="1"/>
  <c r="R485" i="8" s="1"/>
  <c r="R486" i="8" s="1"/>
  <c r="R487" i="8" s="1"/>
  <c r="R488" i="8" s="1"/>
  <c r="R489" i="8" s="1"/>
  <c r="R490" i="8" s="1"/>
  <c r="R491" i="8" s="1"/>
  <c r="R492" i="8" s="1"/>
  <c r="R493" i="8" s="1"/>
  <c r="R494" i="8" s="1"/>
  <c r="R495" i="8" s="1"/>
  <c r="R496" i="8" s="1"/>
  <c r="R497" i="8" s="1"/>
  <c r="R498" i="8" s="1"/>
  <c r="R499" i="8" s="1"/>
  <c r="R500" i="8" s="1"/>
  <c r="R501" i="8" s="1"/>
  <c r="R502" i="8" s="1"/>
  <c r="AI487" i="9" l="1"/>
  <c r="AK113" i="9"/>
  <c r="AI1018" i="9"/>
  <c r="AI1166" i="9"/>
  <c r="AI1053" i="9"/>
  <c r="AI1982" i="9"/>
  <c r="R504" i="8"/>
  <c r="P1144" i="8"/>
  <c r="P2158" i="8"/>
  <c r="P1166" i="8"/>
  <c r="P1266" i="8"/>
  <c r="R503" i="8"/>
  <c r="P2181" i="8"/>
  <c r="R506" i="8"/>
  <c r="R507" i="8"/>
  <c r="R505" i="8"/>
  <c r="P509" i="8"/>
  <c r="R508" i="8"/>
  <c r="AI1054" i="9" l="1"/>
  <c r="AI1167" i="9"/>
  <c r="AI1019" i="9"/>
  <c r="AK114" i="9"/>
  <c r="AI488" i="9"/>
  <c r="P1145" i="8"/>
  <c r="P1167" i="8"/>
  <c r="P2182" i="8"/>
  <c r="P510" i="8"/>
  <c r="R509" i="8"/>
  <c r="P1267" i="8"/>
  <c r="Y326" i="8" l="1"/>
  <c r="Y328" i="8"/>
  <c r="Y59" i="8"/>
  <c r="G114" i="9"/>
  <c r="AK115" i="9"/>
  <c r="AI1020" i="9"/>
  <c r="R510" i="8"/>
  <c r="P1146" i="8"/>
  <c r="Y150" i="8" l="1"/>
  <c r="Y94" i="8"/>
  <c r="Y323" i="8"/>
  <c r="Y106" i="8"/>
  <c r="Y313" i="8"/>
  <c r="Y266" i="8"/>
  <c r="Y228" i="8"/>
  <c r="Y37" i="8"/>
  <c r="Y253" i="8"/>
  <c r="Y143" i="8"/>
  <c r="Y141" i="8"/>
  <c r="Y153" i="8"/>
  <c r="Y109" i="8"/>
  <c r="Y303" i="8"/>
  <c r="Y315" i="8"/>
  <c r="Y288" i="8"/>
  <c r="Y161" i="8"/>
  <c r="Y325" i="8"/>
  <c r="Y149" i="8"/>
  <c r="Y51" i="8"/>
  <c r="Y10" i="8"/>
  <c r="Y108" i="8"/>
  <c r="Y148" i="8"/>
  <c r="Y169" i="8"/>
  <c r="Y324" i="8"/>
  <c r="Y314" i="8"/>
  <c r="Y265" i="8"/>
  <c r="G115" i="9"/>
  <c r="G116" i="9" s="1"/>
  <c r="AK116" i="9"/>
  <c r="Y145" i="8"/>
  <c r="AD114" i="9"/>
  <c r="Y151" i="8"/>
  <c r="Y107" i="8"/>
  <c r="Y319" i="8"/>
  <c r="P1147" i="8"/>
  <c r="R511" i="8"/>
  <c r="Y111" i="8" l="1"/>
  <c r="AD116" i="9"/>
  <c r="G118" i="9"/>
  <c r="AK117" i="9"/>
  <c r="AD115" i="9"/>
  <c r="R512" i="8"/>
  <c r="R513" i="8" s="1"/>
  <c r="R514" i="8" s="1"/>
  <c r="R515" i="8" s="1"/>
  <c r="R516" i="8" s="1"/>
  <c r="R517" i="8" s="1"/>
  <c r="R518" i="8" s="1"/>
  <c r="R519" i="8" s="1"/>
  <c r="R520" i="8" s="1"/>
  <c r="R521" i="8" s="1"/>
  <c r="R522" i="8" s="1"/>
  <c r="R523" i="8" s="1"/>
  <c r="R524" i="8" s="1"/>
  <c r="R525" i="8" s="1"/>
  <c r="R526" i="8" s="1"/>
  <c r="R527" i="8" s="1"/>
  <c r="R528" i="8" s="1"/>
  <c r="R529" i="8" s="1"/>
  <c r="R530" i="8" s="1"/>
  <c r="R531" i="8" s="1"/>
  <c r="R532" i="8" s="1"/>
  <c r="R533" i="8" s="1"/>
  <c r="R534" i="8" s="1"/>
  <c r="R535" i="8" s="1"/>
  <c r="R536" i="8" s="1"/>
  <c r="R537" i="8" s="1"/>
  <c r="R538" i="8" s="1"/>
  <c r="R539" i="8" s="1"/>
  <c r="R540" i="8" s="1"/>
  <c r="R541" i="8" s="1"/>
  <c r="R542" i="8" s="1"/>
  <c r="R543" i="8" s="1"/>
  <c r="R544" i="8" s="1"/>
  <c r="R545" i="8" s="1"/>
  <c r="R546" i="8" s="1"/>
  <c r="R547" i="8" s="1"/>
  <c r="R548" i="8" s="1"/>
  <c r="R549" i="8" s="1"/>
  <c r="R550" i="8" s="1"/>
  <c r="R551" i="8" s="1"/>
  <c r="R552" i="8" s="1"/>
  <c r="R553" i="8" s="1"/>
  <c r="R554" i="8" s="1"/>
  <c r="R555" i="8" s="1"/>
  <c r="R556" i="8" s="1"/>
  <c r="R557" i="8" s="1"/>
  <c r="R558" i="8" s="1"/>
  <c r="R559" i="8" s="1"/>
  <c r="R560" i="8" s="1"/>
  <c r="R561" i="8" s="1"/>
  <c r="R562" i="8" s="1"/>
  <c r="R563" i="8" s="1"/>
  <c r="R564" i="8" s="1"/>
  <c r="R565" i="8" s="1"/>
  <c r="R566" i="8" s="1"/>
  <c r="R567" i="8" s="1"/>
  <c r="R568" i="8" s="1"/>
  <c r="R569" i="8" s="1"/>
  <c r="R570" i="8" s="1"/>
  <c r="R571" i="8" s="1"/>
  <c r="R572" i="8" s="1"/>
  <c r="R573" i="8" s="1"/>
  <c r="R574" i="8" s="1"/>
  <c r="R575" i="8" s="1"/>
  <c r="R576" i="8" s="1"/>
  <c r="R577" i="8" s="1"/>
  <c r="R578" i="8" s="1"/>
  <c r="R579" i="8" s="1"/>
  <c r="R580" i="8" s="1"/>
  <c r="R581" i="8" s="1"/>
  <c r="R582" i="8" s="1"/>
  <c r="R583" i="8" s="1"/>
  <c r="R584" i="8" s="1"/>
  <c r="R585" i="8" s="1"/>
  <c r="R586" i="8" s="1"/>
  <c r="R587" i="8" s="1"/>
  <c r="R588" i="8" s="1"/>
  <c r="R589" i="8" s="1"/>
  <c r="R590" i="8" s="1"/>
  <c r="R591" i="8" s="1"/>
  <c r="R592" i="8" s="1"/>
  <c r="R593" i="8" s="1"/>
  <c r="R594" i="8" s="1"/>
  <c r="R595" i="8" s="1"/>
  <c r="R596" i="8" s="1"/>
  <c r="R597" i="8" s="1"/>
  <c r="R598" i="8" s="1"/>
  <c r="R599" i="8" s="1"/>
  <c r="R600" i="8" s="1"/>
  <c r="R601" i="8" s="1"/>
  <c r="R602" i="8" s="1"/>
  <c r="R603" i="8" s="1"/>
  <c r="R604" i="8" s="1"/>
  <c r="R605" i="8" s="1"/>
  <c r="R606" i="8" s="1"/>
  <c r="R607" i="8" s="1"/>
  <c r="R608" i="8" s="1"/>
  <c r="R609" i="8" s="1"/>
  <c r="R610" i="8" s="1"/>
  <c r="R611" i="8" s="1"/>
  <c r="R612" i="8" s="1"/>
  <c r="R613" i="8" s="1"/>
  <c r="R614" i="8" s="1"/>
  <c r="R615" i="8" s="1"/>
  <c r="R616" i="8" s="1"/>
  <c r="R617" i="8" s="1"/>
  <c r="R618" i="8" s="1"/>
  <c r="R619" i="8" s="1"/>
  <c r="R620" i="8" s="1"/>
  <c r="R621" i="8" s="1"/>
  <c r="R622" i="8" s="1"/>
  <c r="R623" i="8" s="1"/>
  <c r="R624" i="8" s="1"/>
  <c r="R625" i="8" s="1"/>
  <c r="R626" i="8" s="1"/>
  <c r="R627" i="8" s="1"/>
  <c r="R628" i="8" s="1"/>
  <c r="R629" i="8" s="1"/>
  <c r="R630" i="8" s="1"/>
  <c r="R631" i="8" s="1"/>
  <c r="R632" i="8" s="1"/>
  <c r="R633" i="8" s="1"/>
  <c r="R634" i="8" s="1"/>
  <c r="R635" i="8" s="1"/>
  <c r="R636" i="8" s="1"/>
  <c r="R637" i="8" s="1"/>
  <c r="R638" i="8" s="1"/>
  <c r="R639" i="8" s="1"/>
  <c r="R640" i="8" s="1"/>
  <c r="R641" i="8" s="1"/>
  <c r="R642" i="8" s="1"/>
  <c r="R643" i="8" s="1"/>
  <c r="R644" i="8" s="1"/>
  <c r="R645" i="8" s="1"/>
  <c r="R646" i="8" s="1"/>
  <c r="R647" i="8" s="1"/>
  <c r="R648" i="8" s="1"/>
  <c r="R649" i="8" s="1"/>
  <c r="R650" i="8" s="1"/>
  <c r="R651" i="8" s="1"/>
  <c r="R652" i="8" s="1"/>
  <c r="R653" i="8" s="1"/>
  <c r="R654" i="8" s="1"/>
  <c r="R655" i="8" s="1"/>
  <c r="R656" i="8" s="1"/>
  <c r="R657" i="8" s="1"/>
  <c r="R658" i="8" s="1"/>
  <c r="R659" i="8" s="1"/>
  <c r="R660" i="8" s="1"/>
  <c r="R661" i="8" s="1"/>
  <c r="R662" i="8" s="1"/>
  <c r="R663" i="8" s="1"/>
  <c r="R664" i="8" s="1"/>
  <c r="R665" i="8" s="1"/>
  <c r="R666" i="8" s="1"/>
  <c r="R667" i="8" s="1"/>
  <c r="R668" i="8" s="1"/>
  <c r="R669" i="8" s="1"/>
  <c r="R670" i="8" s="1"/>
  <c r="R671" i="8" s="1"/>
  <c r="R672" i="8" s="1"/>
  <c r="R673" i="8" s="1"/>
  <c r="R674" i="8" s="1"/>
  <c r="R675" i="8" s="1"/>
  <c r="R676" i="8" s="1"/>
  <c r="R677" i="8" s="1"/>
  <c r="R678" i="8" s="1"/>
  <c r="R679" i="8" s="1"/>
  <c r="R680" i="8" s="1"/>
  <c r="R681" i="8" s="1"/>
  <c r="R682" i="8" s="1"/>
  <c r="R683" i="8" s="1"/>
  <c r="R684" i="8" s="1"/>
  <c r="R685" i="8" s="1"/>
  <c r="R686" i="8" s="1"/>
  <c r="R687" i="8" s="1"/>
  <c r="R688" i="8" s="1"/>
  <c r="R689" i="8" s="1"/>
  <c r="R690" i="8" s="1"/>
  <c r="R691" i="8" s="1"/>
  <c r="R692" i="8" s="1"/>
  <c r="R693" i="8" s="1"/>
  <c r="R694" i="8" s="1"/>
  <c r="R695" i="8" s="1"/>
  <c r="R696" i="8" s="1"/>
  <c r="R697" i="8" s="1"/>
  <c r="R698" i="8" s="1"/>
  <c r="R699" i="8" s="1"/>
  <c r="R700" i="8" s="1"/>
  <c r="R701" i="8" s="1"/>
  <c r="R702" i="8" s="1"/>
  <c r="R703" i="8" s="1"/>
  <c r="R704" i="8" s="1"/>
  <c r="R705" i="8" s="1"/>
  <c r="R706" i="8" s="1"/>
  <c r="R707" i="8" s="1"/>
  <c r="R708" i="8" s="1"/>
  <c r="R709" i="8" s="1"/>
  <c r="R710" i="8" s="1"/>
  <c r="R711" i="8" s="1"/>
  <c r="R712" i="8" s="1"/>
  <c r="R713" i="8" s="1"/>
  <c r="R714" i="8" s="1"/>
  <c r="R715" i="8" s="1"/>
  <c r="R716" i="8" s="1"/>
  <c r="R717" i="8" s="1"/>
  <c r="R718" i="8" s="1"/>
  <c r="R719" i="8" s="1"/>
  <c r="R720" i="8" s="1"/>
  <c r="R721" i="8" s="1"/>
  <c r="R722" i="8" s="1"/>
  <c r="R723" i="8" s="1"/>
  <c r="R724" i="8" s="1"/>
  <c r="R725" i="8" s="1"/>
  <c r="R726" i="8" s="1"/>
  <c r="R727" i="8" s="1"/>
  <c r="R728" i="8" s="1"/>
  <c r="R729" i="8" s="1"/>
  <c r="R730" i="8" s="1"/>
  <c r="R731" i="8" s="1"/>
  <c r="R732" i="8" s="1"/>
  <c r="R733" i="8" s="1"/>
  <c r="R734" i="8" s="1"/>
  <c r="R735" i="8" s="1"/>
  <c r="R736" i="8" s="1"/>
  <c r="R737" i="8" s="1"/>
  <c r="R738" i="8" s="1"/>
  <c r="R739" i="8" s="1"/>
  <c r="R740" i="8" s="1"/>
  <c r="R741" i="8" s="1"/>
  <c r="R742" i="8" s="1"/>
  <c r="R743" i="8" s="1"/>
  <c r="R744" i="8" s="1"/>
  <c r="R745" i="8" s="1"/>
  <c r="R746" i="8" s="1"/>
  <c r="R747" i="8" s="1"/>
  <c r="R748" i="8" s="1"/>
  <c r="R749" i="8" s="1"/>
  <c r="R750" i="8" s="1"/>
  <c r="R751" i="8" s="1"/>
  <c r="R752" i="8" s="1"/>
  <c r="R753" i="8" s="1"/>
  <c r="R754" i="8" s="1"/>
  <c r="R755" i="8" s="1"/>
  <c r="R756" i="8" s="1"/>
  <c r="R757" i="8" s="1"/>
  <c r="R758" i="8" s="1"/>
  <c r="R759" i="8" s="1"/>
  <c r="R760" i="8" s="1"/>
  <c r="R761" i="8" s="1"/>
  <c r="R762" i="8" s="1"/>
  <c r="R763" i="8" s="1"/>
  <c r="R764" i="8" s="1"/>
  <c r="R765" i="8" s="1"/>
  <c r="R766" i="8" s="1"/>
  <c r="R767" i="8" s="1"/>
  <c r="R768" i="8" s="1"/>
  <c r="R769" i="8" s="1"/>
  <c r="R770" i="8" s="1"/>
  <c r="R771" i="8" s="1"/>
  <c r="R772" i="8" s="1"/>
  <c r="R773" i="8" s="1"/>
  <c r="R774" i="8" s="1"/>
  <c r="R775" i="8" s="1"/>
  <c r="R776" i="8" s="1"/>
  <c r="R777" i="8" s="1"/>
  <c r="R778" i="8" s="1"/>
  <c r="R779" i="8" s="1"/>
  <c r="R780" i="8" s="1"/>
  <c r="R781" i="8" s="1"/>
  <c r="R782" i="8" s="1"/>
  <c r="R783" i="8" s="1"/>
  <c r="R784" i="8" s="1"/>
  <c r="R785" i="8" s="1"/>
  <c r="R786" i="8" s="1"/>
  <c r="R787" i="8" s="1"/>
  <c r="R788" i="8" s="1"/>
  <c r="R789" i="8" s="1"/>
  <c r="R790" i="8" s="1"/>
  <c r="R791" i="8" s="1"/>
  <c r="R792" i="8" s="1"/>
  <c r="R793" i="8" s="1"/>
  <c r="R794" i="8" s="1"/>
  <c r="R795" i="8" s="1"/>
  <c r="R796" i="8" s="1"/>
  <c r="R797" i="8" s="1"/>
  <c r="R798" i="8" s="1"/>
  <c r="R799" i="8" s="1"/>
  <c r="R800" i="8" s="1"/>
  <c r="R801" i="8" s="1"/>
  <c r="R802" i="8" s="1"/>
  <c r="R803" i="8" s="1"/>
  <c r="R804" i="8" s="1"/>
  <c r="R805" i="8" s="1"/>
  <c r="R806" i="8" s="1"/>
  <c r="R807" i="8" s="1"/>
  <c r="R808" i="8" s="1"/>
  <c r="R809" i="8" s="1"/>
  <c r="R810" i="8" s="1"/>
  <c r="R811" i="8" s="1"/>
  <c r="R812" i="8" s="1"/>
  <c r="R813" i="8" s="1"/>
  <c r="R814" i="8" s="1"/>
  <c r="R815" i="8" s="1"/>
  <c r="R816" i="8" s="1"/>
  <c r="R817" i="8" s="1"/>
  <c r="R818" i="8" s="1"/>
  <c r="R819" i="8" s="1"/>
  <c r="R820" i="8" s="1"/>
  <c r="R821" i="8" s="1"/>
  <c r="R822" i="8" s="1"/>
  <c r="R823" i="8" s="1"/>
  <c r="R824" i="8" s="1"/>
  <c r="R825" i="8" s="1"/>
  <c r="R826" i="8" s="1"/>
  <c r="R827" i="8" s="1"/>
  <c r="R828" i="8" s="1"/>
  <c r="R829" i="8" s="1"/>
  <c r="R830" i="8" s="1"/>
  <c r="R831" i="8" s="1"/>
  <c r="R832" i="8" s="1"/>
  <c r="R833" i="8" s="1"/>
  <c r="R834" i="8" s="1"/>
  <c r="R835" i="8" s="1"/>
  <c r="R836" i="8" s="1"/>
  <c r="R837" i="8" s="1"/>
  <c r="R838" i="8" s="1"/>
  <c r="R839" i="8" s="1"/>
  <c r="R840" i="8" s="1"/>
  <c r="R841" i="8" s="1"/>
  <c r="R842" i="8" s="1"/>
  <c r="R843" i="8" s="1"/>
  <c r="R844" i="8" s="1"/>
  <c r="R845" i="8" s="1"/>
  <c r="R846" i="8" s="1"/>
  <c r="R847" i="8" s="1"/>
  <c r="R848" i="8" s="1"/>
  <c r="R849" i="8" s="1"/>
  <c r="R850" i="8" s="1"/>
  <c r="R851" i="8" s="1"/>
  <c r="R852" i="8" s="1"/>
  <c r="R853" i="8" s="1"/>
  <c r="R854" i="8" s="1"/>
  <c r="R855" i="8" s="1"/>
  <c r="R856" i="8" s="1"/>
  <c r="R857" i="8" s="1"/>
  <c r="R858" i="8" s="1"/>
  <c r="R859" i="8" s="1"/>
  <c r="R860" i="8" s="1"/>
  <c r="R861" i="8" s="1"/>
  <c r="R862" i="8" s="1"/>
  <c r="R863" i="8" s="1"/>
  <c r="R864" i="8" s="1"/>
  <c r="R865" i="8" s="1"/>
  <c r="R866" i="8" s="1"/>
  <c r="R867" i="8" s="1"/>
  <c r="R868" i="8" s="1"/>
  <c r="R869" i="8" s="1"/>
  <c r="R870" i="8" s="1"/>
  <c r="R871" i="8" s="1"/>
  <c r="R872" i="8" s="1"/>
  <c r="R873" i="8" s="1"/>
  <c r="R874" i="8" s="1"/>
  <c r="R875" i="8" s="1"/>
  <c r="R876" i="8" s="1"/>
  <c r="R877" i="8" s="1"/>
  <c r="R878" i="8" s="1"/>
  <c r="R879" i="8" s="1"/>
  <c r="R880" i="8" s="1"/>
  <c r="R881" i="8" s="1"/>
  <c r="R882" i="8" s="1"/>
  <c r="R883" i="8" s="1"/>
  <c r="R884" i="8" s="1"/>
  <c r="R885" i="8" s="1"/>
  <c r="R886" i="8" s="1"/>
  <c r="R887" i="8" s="1"/>
  <c r="R888" i="8" s="1"/>
  <c r="R889" i="8" s="1"/>
  <c r="R890" i="8" s="1"/>
  <c r="R891" i="8" s="1"/>
  <c r="R892" i="8" s="1"/>
  <c r="R893" i="8" s="1"/>
  <c r="R894" i="8" s="1"/>
  <c r="R895" i="8" s="1"/>
  <c r="R896" i="8" s="1"/>
  <c r="R897" i="8" s="1"/>
  <c r="R898" i="8" s="1"/>
  <c r="R899" i="8" s="1"/>
  <c r="R900" i="8" s="1"/>
  <c r="R901" i="8" s="1"/>
  <c r="R902" i="8" s="1"/>
  <c r="R903" i="8" s="1"/>
  <c r="R904" i="8" s="1"/>
  <c r="R905" i="8" s="1"/>
  <c r="R906" i="8" s="1"/>
  <c r="R907" i="8" s="1"/>
  <c r="R908" i="8" s="1"/>
  <c r="R909" i="8" s="1"/>
  <c r="R910" i="8" s="1"/>
  <c r="R911" i="8" s="1"/>
  <c r="R912" i="8" s="1"/>
  <c r="R913" i="8" s="1"/>
  <c r="R914" i="8" s="1"/>
  <c r="R915" i="8" s="1"/>
  <c r="R916" i="8" s="1"/>
  <c r="R917" i="8" s="1"/>
  <c r="R918" i="8" s="1"/>
  <c r="R919" i="8" s="1"/>
  <c r="R920" i="8" s="1"/>
  <c r="R921" i="8" s="1"/>
  <c r="R922" i="8" s="1"/>
  <c r="R923" i="8" s="1"/>
  <c r="R924" i="8" s="1"/>
  <c r="R925" i="8" s="1"/>
  <c r="R926" i="8" s="1"/>
  <c r="R927" i="8" s="1"/>
  <c r="R928" i="8" s="1"/>
  <c r="R929" i="8" s="1"/>
  <c r="R930" i="8" s="1"/>
  <c r="R931" i="8" s="1"/>
  <c r="R932" i="8" s="1"/>
  <c r="R933" i="8" s="1"/>
  <c r="R934" i="8" s="1"/>
  <c r="R935" i="8" s="1"/>
  <c r="R936" i="8" s="1"/>
  <c r="R937" i="8" s="1"/>
  <c r="R938" i="8" s="1"/>
  <c r="R939" i="8" s="1"/>
  <c r="R940" i="8" s="1"/>
  <c r="R941" i="8" s="1"/>
  <c r="R942" i="8" s="1"/>
  <c r="R943" i="8" s="1"/>
  <c r="R944" i="8" s="1"/>
  <c r="R945" i="8" s="1"/>
  <c r="R946" i="8" s="1"/>
  <c r="R947" i="8" s="1"/>
  <c r="R948" i="8" s="1"/>
  <c r="R949" i="8" s="1"/>
  <c r="R950" i="8" s="1"/>
  <c r="R951" i="8" s="1"/>
  <c r="R952" i="8" s="1"/>
  <c r="R953" i="8" s="1"/>
  <c r="R954" i="8" s="1"/>
  <c r="R955" i="8" s="1"/>
  <c r="R956" i="8" s="1"/>
  <c r="R957" i="8" s="1"/>
  <c r="R958" i="8" s="1"/>
  <c r="R959" i="8" s="1"/>
  <c r="R960" i="8" s="1"/>
  <c r="R961" i="8" s="1"/>
  <c r="R962" i="8" s="1"/>
  <c r="R963" i="8" s="1"/>
  <c r="R964" i="8" s="1"/>
  <c r="R965" i="8" s="1"/>
  <c r="R966" i="8" s="1"/>
  <c r="R967" i="8" s="1"/>
  <c r="R968" i="8" s="1"/>
  <c r="R969" i="8" s="1"/>
  <c r="R970" i="8" s="1"/>
  <c r="R971" i="8" s="1"/>
  <c r="R972" i="8" s="1"/>
  <c r="R973" i="8" s="1"/>
  <c r="R974" i="8" s="1"/>
  <c r="R975" i="8" s="1"/>
  <c r="R976" i="8" s="1"/>
  <c r="R977" i="8" s="1"/>
  <c r="R978" i="8" s="1"/>
  <c r="R979" i="8" s="1"/>
  <c r="R980" i="8" s="1"/>
  <c r="R981" i="8" s="1"/>
  <c r="R982" i="8" s="1"/>
  <c r="R983" i="8" s="1"/>
  <c r="R984" i="8" s="1"/>
  <c r="R985" i="8" s="1"/>
  <c r="R986" i="8" s="1"/>
  <c r="R987" i="8" s="1"/>
  <c r="R988" i="8" s="1"/>
  <c r="R989" i="8" s="1"/>
  <c r="R990" i="8" s="1"/>
  <c r="R991" i="8" s="1"/>
  <c r="R992" i="8" s="1"/>
  <c r="R993" i="8" s="1"/>
  <c r="R994" i="8" s="1"/>
  <c r="R995" i="8" s="1"/>
  <c r="R996" i="8" s="1"/>
  <c r="R997" i="8" s="1"/>
  <c r="R998" i="8" s="1"/>
  <c r="R999" i="8" s="1"/>
  <c r="R1000" i="8" s="1"/>
  <c r="R1001" i="8" s="1"/>
  <c r="R1002" i="8" s="1"/>
  <c r="R1003" i="8" s="1"/>
  <c r="R1004" i="8" s="1"/>
  <c r="R1005" i="8" s="1"/>
  <c r="R1006" i="8" s="1"/>
  <c r="R1007" i="8" s="1"/>
  <c r="R1008" i="8" s="1"/>
  <c r="R1009" i="8" s="1"/>
  <c r="R1010" i="8" s="1"/>
  <c r="R1011" i="8" s="1"/>
  <c r="R1012" i="8" s="1"/>
  <c r="R1013" i="8" s="1"/>
  <c r="R1014" i="8" s="1"/>
  <c r="R1015" i="8" s="1"/>
  <c r="R1016" i="8" s="1"/>
  <c r="R1017" i="8" s="1"/>
  <c r="R1018" i="8" s="1"/>
  <c r="R1019" i="8" s="1"/>
  <c r="R1020" i="8" s="1"/>
  <c r="R1021" i="8" s="1"/>
  <c r="R1022" i="8" s="1"/>
  <c r="R1023" i="8" s="1"/>
  <c r="R1024" i="8" s="1"/>
  <c r="R1025" i="8" s="1"/>
  <c r="R1026" i="8" s="1"/>
  <c r="R1027" i="8" s="1"/>
  <c r="R1028" i="8" s="1"/>
  <c r="R1029" i="8" s="1"/>
  <c r="R1030" i="8" s="1"/>
  <c r="R1031" i="8" s="1"/>
  <c r="R1032" i="8" s="1"/>
  <c r="R1033" i="8" s="1"/>
  <c r="R1034" i="8" s="1"/>
  <c r="R1035" i="8" s="1"/>
  <c r="R1036" i="8" s="1"/>
  <c r="R1037" i="8" s="1"/>
  <c r="R1038" i="8" s="1"/>
  <c r="R1039" i="8" s="1"/>
  <c r="R1040" i="8" s="1"/>
  <c r="R1041" i="8" s="1"/>
  <c r="R1042" i="8" s="1"/>
  <c r="R1043" i="8" s="1"/>
  <c r="R1044" i="8" s="1"/>
  <c r="R1045" i="8" s="1"/>
  <c r="R1046" i="8" s="1"/>
  <c r="R1047" i="8" s="1"/>
  <c r="R1048" i="8" s="1"/>
  <c r="R1049" i="8" s="1"/>
  <c r="R1050" i="8" s="1"/>
  <c r="R1051" i="8" s="1"/>
  <c r="R1052" i="8" s="1"/>
  <c r="R1053" i="8" s="1"/>
  <c r="R1054" i="8" s="1"/>
  <c r="R1055" i="8" s="1"/>
  <c r="R1056" i="8" s="1"/>
  <c r="R1057" i="8" s="1"/>
  <c r="R1058" i="8" s="1"/>
  <c r="R1059" i="8" s="1"/>
  <c r="R1060" i="8" s="1"/>
  <c r="R1061" i="8" s="1"/>
  <c r="R1062" i="8" s="1"/>
  <c r="R1063" i="8" s="1"/>
  <c r="R1064" i="8" s="1"/>
  <c r="R1065" i="8" s="1"/>
  <c r="R1066" i="8" s="1"/>
  <c r="R1067" i="8" s="1"/>
  <c r="R1068" i="8" s="1"/>
  <c r="R1069" i="8" s="1"/>
  <c r="R1070" i="8" s="1"/>
  <c r="R1071" i="8" s="1"/>
  <c r="R1072" i="8" s="1"/>
  <c r="R1073" i="8" s="1"/>
  <c r="R1074" i="8" s="1"/>
  <c r="R1075" i="8" s="1"/>
  <c r="R1076" i="8" s="1"/>
  <c r="R1077" i="8" s="1"/>
  <c r="R1078" i="8" s="1"/>
  <c r="R1079" i="8" s="1"/>
  <c r="R1080" i="8" s="1"/>
  <c r="R1081" i="8" s="1"/>
  <c r="R1082" i="8" s="1"/>
  <c r="R1083" i="8" s="1"/>
  <c r="R1084" i="8" s="1"/>
  <c r="R1085" i="8" s="1"/>
  <c r="R1086" i="8" s="1"/>
  <c r="R1087" i="8" s="1"/>
  <c r="R1088" i="8" s="1"/>
  <c r="R1089" i="8" s="1"/>
  <c r="R1090" i="8" s="1"/>
  <c r="R1091" i="8" s="1"/>
  <c r="R1092" i="8" s="1"/>
  <c r="R1093" i="8" s="1"/>
  <c r="R1094" i="8" s="1"/>
  <c r="R1095" i="8" s="1"/>
  <c r="R1096" i="8" s="1"/>
  <c r="R1097" i="8" s="1"/>
  <c r="R1098" i="8" s="1"/>
  <c r="R1099" i="8" s="1"/>
  <c r="R1100" i="8" s="1"/>
  <c r="R1101" i="8" s="1"/>
  <c r="R1102" i="8" s="1"/>
  <c r="R1103" i="8" s="1"/>
  <c r="R1104" i="8" s="1"/>
  <c r="R1105" i="8" s="1"/>
  <c r="R1106" i="8" s="1"/>
  <c r="R1107" i="8" s="1"/>
  <c r="R1108" i="8" s="1"/>
  <c r="R1109" i="8" s="1"/>
  <c r="R1110" i="8" s="1"/>
  <c r="R1111" i="8" s="1"/>
  <c r="R1112" i="8" s="1"/>
  <c r="R1113" i="8" s="1"/>
  <c r="R1114" i="8" s="1"/>
  <c r="R1115" i="8" s="1"/>
  <c r="R1116" i="8" s="1"/>
  <c r="R1117" i="8" s="1"/>
  <c r="R1118" i="8" s="1"/>
  <c r="R1119" i="8" s="1"/>
  <c r="R1120" i="8" s="1"/>
  <c r="R1121" i="8" s="1"/>
  <c r="R1122" i="8" s="1"/>
  <c r="R1123" i="8" s="1"/>
  <c r="R1124" i="8" s="1"/>
  <c r="R1125" i="8" s="1"/>
  <c r="R1126" i="8" s="1"/>
  <c r="R1127" i="8" s="1"/>
  <c r="R1128" i="8" s="1"/>
  <c r="R1129" i="8" s="1"/>
  <c r="R1130" i="8" s="1"/>
  <c r="R1131" i="8" s="1"/>
  <c r="R1132" i="8" s="1"/>
  <c r="R1133" i="8" s="1"/>
  <c r="R1134" i="8" s="1"/>
  <c r="R1135" i="8" s="1"/>
  <c r="R1136" i="8" s="1"/>
  <c r="R1137" i="8" s="1"/>
  <c r="R1138" i="8" s="1"/>
  <c r="R1139" i="8" s="1"/>
  <c r="R1140" i="8" s="1"/>
  <c r="R1141" i="8" s="1"/>
  <c r="R1142" i="8" s="1"/>
  <c r="R1143" i="8" s="1"/>
  <c r="P1148" i="8"/>
  <c r="X22" i="8"/>
  <c r="X186" i="8"/>
  <c r="X335" i="8"/>
  <c r="X254" i="8"/>
  <c r="X152" i="8"/>
  <c r="X332" i="8"/>
  <c r="X294" i="8"/>
  <c r="X148" i="8"/>
  <c r="Z148" i="8" s="1"/>
  <c r="X97" i="8"/>
  <c r="X162" i="8"/>
  <c r="X250" i="8"/>
  <c r="X62" i="8"/>
  <c r="X291" i="8"/>
  <c r="X200" i="8"/>
  <c r="X197" i="8"/>
  <c r="X314" i="8"/>
  <c r="Z314" i="8" s="1"/>
  <c r="X71" i="8"/>
  <c r="F12" i="9" l="1"/>
  <c r="AK118" i="9"/>
  <c r="AK119" i="9" s="1"/>
  <c r="AK120" i="9" s="1"/>
  <c r="AK121" i="9" s="1"/>
  <c r="AK122" i="9" s="1"/>
  <c r="AK123" i="9" s="1"/>
  <c r="R1147" i="8"/>
  <c r="R1148" i="8"/>
  <c r="X211" i="8"/>
  <c r="X271" i="8"/>
  <c r="X178" i="8"/>
  <c r="X106" i="8"/>
  <c r="Z106" i="8" s="1"/>
  <c r="X303" i="8"/>
  <c r="Z303" i="8" s="1"/>
  <c r="X15" i="8"/>
  <c r="X228" i="8"/>
  <c r="Z228" i="8" s="1"/>
  <c r="X283" i="8"/>
  <c r="X85" i="8"/>
  <c r="X274" i="8"/>
  <c r="X54" i="8"/>
  <c r="X133" i="8"/>
  <c r="X280" i="8"/>
  <c r="X104" i="8"/>
  <c r="X144" i="8"/>
  <c r="X112" i="8"/>
  <c r="X181" i="8"/>
  <c r="X264" i="8"/>
  <c r="X58" i="8"/>
  <c r="X124" i="8"/>
  <c r="X136" i="8"/>
  <c r="X324" i="8"/>
  <c r="Z324" i="8" s="1"/>
  <c r="X33" i="8"/>
  <c r="X220" i="8"/>
  <c r="X150" i="8"/>
  <c r="Z150" i="8" s="1"/>
  <c r="X170" i="8"/>
  <c r="X278" i="8"/>
  <c r="X223" i="8"/>
  <c r="X21" i="8"/>
  <c r="X113" i="8"/>
  <c r="X188" i="8"/>
  <c r="X129" i="8"/>
  <c r="X174" i="8"/>
  <c r="X72" i="8"/>
  <c r="X321" i="8"/>
  <c r="X242" i="8"/>
  <c r="X55" i="8"/>
  <c r="X219" i="8"/>
  <c r="X270" i="8"/>
  <c r="X229" i="8"/>
  <c r="X77" i="8"/>
  <c r="X312" i="8"/>
  <c r="X333" i="8"/>
  <c r="X125" i="8"/>
  <c r="X107" i="8"/>
  <c r="Z107" i="8" s="1"/>
  <c r="X76" i="8"/>
  <c r="X244" i="8"/>
  <c r="X202" i="8"/>
  <c r="X176" i="8"/>
  <c r="X179" i="8"/>
  <c r="X127" i="8"/>
  <c r="X10" i="8"/>
  <c r="Z10" i="8" s="1"/>
  <c r="X269" i="8"/>
  <c r="X44" i="8"/>
  <c r="X183" i="8"/>
  <c r="X95" i="8"/>
  <c r="X154" i="8"/>
  <c r="X57" i="8"/>
  <c r="X80" i="8"/>
  <c r="X331" i="8"/>
  <c r="X88" i="8"/>
  <c r="X218" i="8"/>
  <c r="X184" i="8"/>
  <c r="X207" i="8"/>
  <c r="X305" i="8"/>
  <c r="X38" i="8"/>
  <c r="X159" i="8"/>
  <c r="X212" i="8"/>
  <c r="X89" i="8"/>
  <c r="X165" i="8"/>
  <c r="X28" i="8"/>
  <c r="X279" i="8"/>
  <c r="X146" i="8"/>
  <c r="X140" i="8"/>
  <c r="X111" i="8"/>
  <c r="Z111" i="8" s="1"/>
  <c r="X225" i="8"/>
  <c r="X249" i="8"/>
  <c r="X234" i="8"/>
  <c r="X53" i="8"/>
  <c r="X277" i="8"/>
  <c r="X292" i="8"/>
  <c r="X143" i="8"/>
  <c r="Z143" i="8" s="1"/>
  <c r="X167" i="8"/>
  <c r="X120" i="8"/>
  <c r="X325" i="8"/>
  <c r="Z325" i="8" s="1"/>
  <c r="X103" i="8"/>
  <c r="X241" i="8"/>
  <c r="X32" i="8"/>
  <c r="X310" i="8"/>
  <c r="X217" i="8"/>
  <c r="X214" i="8"/>
  <c r="X108" i="8"/>
  <c r="Z108" i="8" s="1"/>
  <c r="X117" i="8"/>
  <c r="X175" i="8"/>
  <c r="X24" i="8"/>
  <c r="X187" i="8"/>
  <c r="X27" i="8"/>
  <c r="X322" i="8"/>
  <c r="X139" i="8"/>
  <c r="X189" i="8"/>
  <c r="X11" i="8"/>
  <c r="X304" i="8"/>
  <c r="X276" i="8"/>
  <c r="X308" i="8"/>
  <c r="X37" i="8"/>
  <c r="Z37" i="8" s="1"/>
  <c r="X273" i="8"/>
  <c r="X284" i="8"/>
  <c r="X137" i="8"/>
  <c r="X248" i="8"/>
  <c r="X237" i="8"/>
  <c r="X142" i="8"/>
  <c r="X46" i="8"/>
  <c r="X29" i="8"/>
  <c r="X135" i="8"/>
  <c r="X209" i="8"/>
  <c r="X67" i="8"/>
  <c r="X42" i="8"/>
  <c r="X61" i="8"/>
  <c r="X297" i="8"/>
  <c r="X147" i="8"/>
  <c r="X156" i="8"/>
  <c r="X83" i="8"/>
  <c r="X169" i="8"/>
  <c r="Z169" i="8" s="1"/>
  <c r="X47" i="8"/>
  <c r="X43" i="8"/>
  <c r="X157" i="8"/>
  <c r="X330" i="8"/>
  <c r="X216" i="8"/>
  <c r="X258" i="8"/>
  <c r="X224" i="8"/>
  <c r="X235" i="8"/>
  <c r="X205" i="8"/>
  <c r="X74" i="8"/>
  <c r="X293" i="8"/>
  <c r="X319" i="8"/>
  <c r="Z319" i="8" s="1"/>
  <c r="X81" i="8"/>
  <c r="X171" i="8"/>
  <c r="X39" i="8"/>
  <c r="X238" i="8"/>
  <c r="X232" i="8"/>
  <c r="X138" i="8"/>
  <c r="X56" i="8"/>
  <c r="X299" i="8"/>
  <c r="X64" i="8"/>
  <c r="X126" i="8"/>
  <c r="X231" i="8"/>
  <c r="X35" i="8"/>
  <c r="X96" i="8"/>
  <c r="X26" i="8"/>
  <c r="X240" i="8"/>
  <c r="X252" i="8"/>
  <c r="X208" i="8"/>
  <c r="X5" i="8"/>
  <c r="X23" i="8"/>
  <c r="X110" i="8"/>
  <c r="X302" i="8"/>
  <c r="X282" i="8"/>
  <c r="X195" i="8"/>
  <c r="X265" i="8"/>
  <c r="Z265" i="8" s="1"/>
  <c r="X70" i="8"/>
  <c r="X180" i="8"/>
  <c r="X45" i="8"/>
  <c r="X36" i="8"/>
  <c r="X221" i="8"/>
  <c r="X20" i="8"/>
  <c r="X227" i="8"/>
  <c r="X65" i="8"/>
  <c r="X193" i="8"/>
  <c r="X87" i="8"/>
  <c r="X59" i="8"/>
  <c r="Z59" i="8" s="1"/>
  <c r="X245" i="8"/>
  <c r="X3" i="8"/>
  <c r="X102" i="8"/>
  <c r="X256" i="8"/>
  <c r="X316" i="8"/>
  <c r="X334" i="8"/>
  <c r="X17" i="8"/>
  <c r="X86" i="8"/>
  <c r="X13" i="8"/>
  <c r="X161" i="8"/>
  <c r="Z161" i="8" s="1"/>
  <c r="X323" i="8"/>
  <c r="Z323" i="8" s="1"/>
  <c r="X31" i="8"/>
  <c r="X182" i="8"/>
  <c r="X60" i="8"/>
  <c r="X7" i="8"/>
  <c r="X16" i="8"/>
  <c r="X203" i="8"/>
  <c r="X109" i="8"/>
  <c r="Z109" i="8" s="1"/>
  <c r="X266" i="8"/>
  <c r="Z266" i="8" s="1"/>
  <c r="X326" i="8"/>
  <c r="Z326" i="8" s="1"/>
  <c r="X40" i="8"/>
  <c r="X285" i="8"/>
  <c r="X192" i="8"/>
  <c r="X121" i="8"/>
  <c r="X114" i="8"/>
  <c r="X164" i="8"/>
  <c r="X79" i="8"/>
  <c r="X50" i="8"/>
  <c r="X198" i="8"/>
  <c r="X105" i="8"/>
  <c r="X73" i="8"/>
  <c r="X329" i="8"/>
  <c r="X243" i="8"/>
  <c r="X90" i="8"/>
  <c r="X253" i="8"/>
  <c r="Z253" i="8" s="1"/>
  <c r="X123" i="8"/>
  <c r="X8" i="8"/>
  <c r="X99" i="8"/>
  <c r="X134" i="8"/>
  <c r="X261" i="8"/>
  <c r="X49" i="8"/>
  <c r="X317" i="8"/>
  <c r="X239" i="8"/>
  <c r="X63" i="8"/>
  <c r="X131" i="8"/>
  <c r="X163" i="8"/>
  <c r="X48" i="8"/>
  <c r="X101" i="8"/>
  <c r="X263" i="8"/>
  <c r="X318" i="8"/>
  <c r="X51" i="8"/>
  <c r="Z51" i="8" s="1"/>
  <c r="X118" i="8"/>
  <c r="X185" i="8"/>
  <c r="X66" i="8"/>
  <c r="X194" i="8"/>
  <c r="X215" i="8"/>
  <c r="X260" i="8"/>
  <c r="X320" i="8"/>
  <c r="X311" i="8"/>
  <c r="X337" i="8"/>
  <c r="X246" i="8"/>
  <c r="X34" i="8"/>
  <c r="X336" i="8"/>
  <c r="X222" i="8"/>
  <c r="X149" i="8"/>
  <c r="Z149" i="8" s="1"/>
  <c r="X69" i="8"/>
  <c r="X201" i="8"/>
  <c r="X236" i="8"/>
  <c r="X226" i="8"/>
  <c r="X177" i="8"/>
  <c r="X247" i="8"/>
  <c r="X190" i="8"/>
  <c r="X206" i="8"/>
  <c r="X196" i="8"/>
  <c r="X128" i="8"/>
  <c r="X91" i="8"/>
  <c r="X94" i="8"/>
  <c r="Z94" i="8" s="1"/>
  <c r="X12" i="8"/>
  <c r="X172" i="8"/>
  <c r="X204" i="8"/>
  <c r="X295" i="8"/>
  <c r="X84" i="8"/>
  <c r="X328" i="8"/>
  <c r="Z328" i="8" s="1"/>
  <c r="X122" i="8"/>
  <c r="X153" i="8"/>
  <c r="Z153" i="8" s="1"/>
  <c r="X289" i="8"/>
  <c r="X14" i="8"/>
  <c r="X82" i="8"/>
  <c r="X100" i="8"/>
  <c r="X141" i="8"/>
  <c r="Z141" i="8" s="1"/>
  <c r="X230" i="8"/>
  <c r="X6" i="8"/>
  <c r="X168" i="8"/>
  <c r="X306" i="8"/>
  <c r="X52" i="8"/>
  <c r="X92" i="8"/>
  <c r="X93" i="8"/>
  <c r="X300" i="8"/>
  <c r="X262" i="8"/>
  <c r="X298" i="8"/>
  <c r="X68" i="8"/>
  <c r="X301" i="8"/>
  <c r="X288" i="8"/>
  <c r="Z288" i="8" s="1"/>
  <c r="X233" i="8"/>
  <c r="X30" i="8"/>
  <c r="X4" i="8"/>
  <c r="X290" i="8"/>
  <c r="X259" i="8"/>
  <c r="X281" i="8"/>
  <c r="X267" i="8"/>
  <c r="X313" i="8"/>
  <c r="Z313" i="8" s="1"/>
  <c r="X275" i="8"/>
  <c r="X315" i="8"/>
  <c r="Z315" i="8" s="1"/>
  <c r="X155" i="8"/>
  <c r="X98" i="8"/>
  <c r="X191" i="8"/>
  <c r="X160" i="8"/>
  <c r="X166" i="8"/>
  <c r="X130" i="8"/>
  <c r="X309" i="8"/>
  <c r="X151" i="8"/>
  <c r="Z151" i="8" s="1"/>
  <c r="X158" i="8"/>
  <c r="X119" i="8"/>
  <c r="X115" i="8"/>
  <c r="X255" i="8"/>
  <c r="X116" i="8"/>
  <c r="X132" i="8"/>
  <c r="X145" i="8"/>
  <c r="Z145" i="8" s="1"/>
  <c r="X268" i="8"/>
  <c r="X286" i="8"/>
  <c r="X173" i="8"/>
  <c r="X251" i="8"/>
  <c r="X296" i="8"/>
  <c r="X199" i="8"/>
  <c r="X9" i="8"/>
  <c r="X210" i="8"/>
  <c r="X41" i="8"/>
  <c r="X257" i="8"/>
  <c r="X307" i="8"/>
  <c r="X18" i="8"/>
  <c r="X327" i="8"/>
  <c r="X213" i="8"/>
  <c r="X287" i="8"/>
  <c r="X25" i="8"/>
  <c r="X272" i="8"/>
  <c r="X19" i="8"/>
  <c r="X75" i="8"/>
  <c r="X78" i="8"/>
  <c r="R1145" i="8"/>
  <c r="R1146" i="8"/>
  <c r="R1144" i="8"/>
  <c r="G123" i="9" l="1"/>
  <c r="AK124" i="9"/>
  <c r="AK125" i="9" s="1"/>
  <c r="AK126" i="9" s="1"/>
  <c r="AK127" i="9" s="1"/>
  <c r="R1149" i="8"/>
  <c r="G127" i="9" l="1"/>
  <c r="AK128" i="9"/>
  <c r="G124" i="9"/>
  <c r="Y110" i="8"/>
  <c r="Z110" i="8" s="1"/>
  <c r="R1150" i="8"/>
  <c r="R1151" i="8" s="1"/>
  <c r="R1152" i="8" s="1"/>
  <c r="R1153" i="8" s="1"/>
  <c r="R1154" i="8" s="1"/>
  <c r="R1155" i="8" s="1"/>
  <c r="R1156" i="8" s="1"/>
  <c r="R1157" i="8" s="1"/>
  <c r="R1158" i="8" s="1"/>
  <c r="R1159" i="8" s="1"/>
  <c r="R1160" i="8" s="1"/>
  <c r="R1161" i="8" s="1"/>
  <c r="R1162" i="8" s="1"/>
  <c r="R1163" i="8" s="1"/>
  <c r="R1164" i="8" s="1"/>
  <c r="R1165" i="8" s="1"/>
  <c r="R1166" i="8" s="1"/>
  <c r="R1167" i="8"/>
  <c r="G128" i="9" l="1"/>
  <c r="AK129" i="9"/>
  <c r="R1168" i="8"/>
  <c r="R1169" i="8" s="1"/>
  <c r="R1170" i="8" s="1"/>
  <c r="R1171" i="8" s="1"/>
  <c r="R1172" i="8" s="1"/>
  <c r="R1173" i="8" s="1"/>
  <c r="R1174" i="8" s="1"/>
  <c r="R1175" i="8" s="1"/>
  <c r="R1176" i="8" s="1"/>
  <c r="R1177" i="8" s="1"/>
  <c r="R1178" i="8" s="1"/>
  <c r="R1179" i="8" s="1"/>
  <c r="R1180" i="8" s="1"/>
  <c r="R1181" i="8" s="1"/>
  <c r="R1182" i="8" s="1"/>
  <c r="R1183" i="8" s="1"/>
  <c r="R1184" i="8" s="1"/>
  <c r="R1185" i="8" s="1"/>
  <c r="R1186" i="8" s="1"/>
  <c r="R1187" i="8" s="1"/>
  <c r="R1188" i="8" s="1"/>
  <c r="R1189" i="8" s="1"/>
  <c r="R1190" i="8" s="1"/>
  <c r="R1191" i="8" s="1"/>
  <c r="R1192" i="8" s="1"/>
  <c r="R1193" i="8" s="1"/>
  <c r="R1194" i="8" s="1"/>
  <c r="R1195" i="8" s="1"/>
  <c r="R1196" i="8" s="1"/>
  <c r="R1197" i="8" s="1"/>
  <c r="R1198" i="8" s="1"/>
  <c r="R1199" i="8" s="1"/>
  <c r="R1200" i="8" s="1"/>
  <c r="R1201" i="8" s="1"/>
  <c r="R1202" i="8" s="1"/>
  <c r="R1203" i="8" s="1"/>
  <c r="R1204" i="8" s="1"/>
  <c r="R1205" i="8" s="1"/>
  <c r="R1206" i="8" s="1"/>
  <c r="R1207" i="8" s="1"/>
  <c r="R1208" i="8" s="1"/>
  <c r="R1209" i="8" s="1"/>
  <c r="R1210" i="8" s="1"/>
  <c r="R1211" i="8" s="1"/>
  <c r="R1212" i="8" s="1"/>
  <c r="R1213" i="8" s="1"/>
  <c r="R1214" i="8" s="1"/>
  <c r="R1215" i="8" s="1"/>
  <c r="R1216" i="8" s="1"/>
  <c r="R1217" i="8" s="1"/>
  <c r="R1218" i="8" s="1"/>
  <c r="R1219" i="8" s="1"/>
  <c r="R1220" i="8" s="1"/>
  <c r="R1221" i="8" s="1"/>
  <c r="R1222" i="8" s="1"/>
  <c r="R1223" i="8" s="1"/>
  <c r="R1224" i="8" s="1"/>
  <c r="R1225" i="8" s="1"/>
  <c r="R1226" i="8" s="1"/>
  <c r="R1227" i="8" s="1"/>
  <c r="R1228" i="8" s="1"/>
  <c r="R1229" i="8" s="1"/>
  <c r="R1230" i="8" s="1"/>
  <c r="R1231" i="8" s="1"/>
  <c r="R1232" i="8" s="1"/>
  <c r="R1233" i="8" s="1"/>
  <c r="R1234" i="8" s="1"/>
  <c r="R1235" i="8" s="1"/>
  <c r="R1236" i="8" s="1"/>
  <c r="R1237" i="8" s="1"/>
  <c r="R1238" i="8" s="1"/>
  <c r="R1239" i="8" s="1"/>
  <c r="R1240" i="8" s="1"/>
  <c r="R1241" i="8" s="1"/>
  <c r="R1242" i="8" s="1"/>
  <c r="R1243" i="8" s="1"/>
  <c r="R1244" i="8" s="1"/>
  <c r="R1245" i="8" s="1"/>
  <c r="R1246" i="8" s="1"/>
  <c r="R1247" i="8" s="1"/>
  <c r="R1248" i="8" s="1"/>
  <c r="R1249" i="8" s="1"/>
  <c r="R1250" i="8" s="1"/>
  <c r="R1251" i="8" s="1"/>
  <c r="R1252" i="8" s="1"/>
  <c r="R1253" i="8" s="1"/>
  <c r="R1254" i="8" s="1"/>
  <c r="R1255" i="8" s="1"/>
  <c r="R1256" i="8" s="1"/>
  <c r="R1257" i="8" s="1"/>
  <c r="R1258" i="8" s="1"/>
  <c r="R1259" i="8" s="1"/>
  <c r="R1260" i="8" s="1"/>
  <c r="R1261" i="8" s="1"/>
  <c r="R1262" i="8" s="1"/>
  <c r="R1263" i="8" s="1"/>
  <c r="R1264" i="8" s="1"/>
  <c r="R1265" i="8" s="1"/>
  <c r="R1266" i="8" s="1"/>
  <c r="R1267" i="8" s="1"/>
  <c r="R1268" i="8" s="1"/>
  <c r="R1269" i="8" s="1"/>
  <c r="R1270" i="8" s="1"/>
  <c r="R1271" i="8" s="1"/>
  <c r="R1272" i="8" s="1"/>
  <c r="R1273" i="8" s="1"/>
  <c r="R1274" i="8" s="1"/>
  <c r="R1275" i="8" s="1"/>
  <c r="R1276" i="8" s="1"/>
  <c r="R1277" i="8" s="1"/>
  <c r="R1278" i="8" s="1"/>
  <c r="R1279" i="8" s="1"/>
  <c r="R1280" i="8" s="1"/>
  <c r="R1281" i="8" s="1"/>
  <c r="R1282" i="8" s="1"/>
  <c r="R1283" i="8" s="1"/>
  <c r="R1284" i="8" s="1"/>
  <c r="R1285" i="8" s="1"/>
  <c r="R1286" i="8" s="1"/>
  <c r="R1287" i="8" s="1"/>
  <c r="R1288" i="8" s="1"/>
  <c r="R1289" i="8" s="1"/>
  <c r="R1290" i="8" s="1"/>
  <c r="R1291" i="8" s="1"/>
  <c r="R1292" i="8" s="1"/>
  <c r="R1293" i="8" s="1"/>
  <c r="R1294" i="8" s="1"/>
  <c r="R1295" i="8" s="1"/>
  <c r="R1296" i="8" s="1"/>
  <c r="R1297" i="8" s="1"/>
  <c r="R1298" i="8" s="1"/>
  <c r="R1299" i="8" s="1"/>
  <c r="R1300" i="8" s="1"/>
  <c r="R1301" i="8" s="1"/>
  <c r="R1302" i="8" s="1"/>
  <c r="R1303" i="8" s="1"/>
  <c r="R1304" i="8" s="1"/>
  <c r="R1305" i="8" s="1"/>
  <c r="R1306" i="8" s="1"/>
  <c r="R1307" i="8" s="1"/>
  <c r="R1308" i="8" s="1"/>
  <c r="R1309" i="8" s="1"/>
  <c r="R1310" i="8" s="1"/>
  <c r="R1311" i="8" s="1"/>
  <c r="R1312" i="8" s="1"/>
  <c r="R1313" i="8" s="1"/>
  <c r="R1314" i="8" s="1"/>
  <c r="R1315" i="8" s="1"/>
  <c r="R1316" i="8" s="1"/>
  <c r="R1317" i="8" s="1"/>
  <c r="R1318" i="8" s="1"/>
  <c r="R1319" i="8" s="1"/>
  <c r="R1320" i="8" s="1"/>
  <c r="R1321" i="8" s="1"/>
  <c r="R1322" i="8" s="1"/>
  <c r="R1323" i="8" s="1"/>
  <c r="R1324" i="8" s="1"/>
  <c r="R1325" i="8" s="1"/>
  <c r="R1326" i="8" s="1"/>
  <c r="R1327" i="8" s="1"/>
  <c r="R1328" i="8" s="1"/>
  <c r="R1329" i="8" s="1"/>
  <c r="R1330" i="8" s="1"/>
  <c r="R1331" i="8" s="1"/>
  <c r="R1332" i="8" s="1"/>
  <c r="R1333" i="8" s="1"/>
  <c r="R1334" i="8" s="1"/>
  <c r="R1335" i="8" s="1"/>
  <c r="R1336" i="8" s="1"/>
  <c r="R1337" i="8" s="1"/>
  <c r="R1338" i="8" s="1"/>
  <c r="R1339" i="8" s="1"/>
  <c r="R1340" i="8" s="1"/>
  <c r="R1341" i="8" s="1"/>
  <c r="R1342" i="8" s="1"/>
  <c r="R1343" i="8" s="1"/>
  <c r="R1344" i="8" s="1"/>
  <c r="R1345" i="8" s="1"/>
  <c r="R1346" i="8" s="1"/>
  <c r="R1347" i="8" s="1"/>
  <c r="R1348" i="8" s="1"/>
  <c r="R1349" i="8" s="1"/>
  <c r="R1350" i="8" s="1"/>
  <c r="R1351" i="8" s="1"/>
  <c r="R1352" i="8" s="1"/>
  <c r="R1353" i="8" s="1"/>
  <c r="R1354" i="8" s="1"/>
  <c r="R1355" i="8" s="1"/>
  <c r="R1356" i="8" s="1"/>
  <c r="R1357" i="8" s="1"/>
  <c r="R1358" i="8" s="1"/>
  <c r="R1359" i="8" s="1"/>
  <c r="R1360" i="8" s="1"/>
  <c r="R1361" i="8" s="1"/>
  <c r="R1362" i="8" s="1"/>
  <c r="R1363" i="8" s="1"/>
  <c r="R1364" i="8" s="1"/>
  <c r="R1365" i="8" s="1"/>
  <c r="R1366" i="8" s="1"/>
  <c r="R1367" i="8" s="1"/>
  <c r="R1368" i="8" s="1"/>
  <c r="R1369" i="8" s="1"/>
  <c r="R1370" i="8" s="1"/>
  <c r="R1371" i="8" s="1"/>
  <c r="R1372" i="8" s="1"/>
  <c r="R1373" i="8" s="1"/>
  <c r="R1374" i="8" s="1"/>
  <c r="R1375" i="8" s="1"/>
  <c r="R1376" i="8" s="1"/>
  <c r="R1377" i="8" s="1"/>
  <c r="R1378" i="8" s="1"/>
  <c r="R1379" i="8" s="1"/>
  <c r="R1380" i="8" s="1"/>
  <c r="R1381" i="8" s="1"/>
  <c r="R1382" i="8" s="1"/>
  <c r="R1383" i="8" s="1"/>
  <c r="R1384" i="8" s="1"/>
  <c r="R1385" i="8" s="1"/>
  <c r="R1386" i="8" s="1"/>
  <c r="R1387" i="8" s="1"/>
  <c r="R1388" i="8" s="1"/>
  <c r="R1389" i="8" s="1"/>
  <c r="R1390" i="8" s="1"/>
  <c r="R1391" i="8" s="1"/>
  <c r="R1392" i="8" s="1"/>
  <c r="R1393" i="8" s="1"/>
  <c r="R1394" i="8" s="1"/>
  <c r="R1395" i="8" s="1"/>
  <c r="R1396" i="8" s="1"/>
  <c r="R1397" i="8" s="1"/>
  <c r="R1398" i="8" s="1"/>
  <c r="R1399" i="8" s="1"/>
  <c r="R1400" i="8" s="1"/>
  <c r="R1401" i="8" s="1"/>
  <c r="R1402" i="8" s="1"/>
  <c r="R1403" i="8" s="1"/>
  <c r="R1404" i="8" s="1"/>
  <c r="R1405" i="8" s="1"/>
  <c r="R1406" i="8" s="1"/>
  <c r="R1407" i="8" s="1"/>
  <c r="R1408" i="8" s="1"/>
  <c r="R1409" i="8" s="1"/>
  <c r="R1410" i="8" s="1"/>
  <c r="R1411" i="8" s="1"/>
  <c r="R1412" i="8" s="1"/>
  <c r="R1413" i="8" s="1"/>
  <c r="R1414" i="8" s="1"/>
  <c r="R1415" i="8" s="1"/>
  <c r="R1416" i="8" s="1"/>
  <c r="R1417" i="8" s="1"/>
  <c r="R1418" i="8" s="1"/>
  <c r="R1419" i="8" s="1"/>
  <c r="R1420" i="8" s="1"/>
  <c r="R1421" i="8" s="1"/>
  <c r="R1422" i="8" s="1"/>
  <c r="R1423" i="8" s="1"/>
  <c r="R1424" i="8" s="1"/>
  <c r="R1425" i="8" s="1"/>
  <c r="R1426" i="8" s="1"/>
  <c r="R1427" i="8" s="1"/>
  <c r="R1428" i="8" s="1"/>
  <c r="R1429" i="8" s="1"/>
  <c r="R1430" i="8" s="1"/>
  <c r="R1431" i="8" s="1"/>
  <c r="R1432" i="8" s="1"/>
  <c r="R1433" i="8" s="1"/>
  <c r="R1434" i="8" s="1"/>
  <c r="R1435" i="8" s="1"/>
  <c r="R1436" i="8" s="1"/>
  <c r="R1437" i="8" s="1"/>
  <c r="R1438" i="8" s="1"/>
  <c r="R1439" i="8" s="1"/>
  <c r="R1440" i="8" s="1"/>
  <c r="R1441" i="8" s="1"/>
  <c r="R1442" i="8" s="1"/>
  <c r="R1443" i="8" s="1"/>
  <c r="R1444" i="8" s="1"/>
  <c r="R1445" i="8" s="1"/>
  <c r="R1446" i="8" s="1"/>
  <c r="R1447" i="8" s="1"/>
  <c r="R1448" i="8" s="1"/>
  <c r="R1449" i="8" s="1"/>
  <c r="R1450" i="8" s="1"/>
  <c r="R1451" i="8" s="1"/>
  <c r="R1452" i="8" s="1"/>
  <c r="R1453" i="8" s="1"/>
  <c r="R1454" i="8" s="1"/>
  <c r="R1455" i="8" s="1"/>
  <c r="R1456" i="8" s="1"/>
  <c r="R1457" i="8" s="1"/>
  <c r="R1458" i="8" s="1"/>
  <c r="R1459" i="8" s="1"/>
  <c r="R1460" i="8" s="1"/>
  <c r="R1461" i="8" s="1"/>
  <c r="R1462" i="8" s="1"/>
  <c r="R1463" i="8" s="1"/>
  <c r="R1464" i="8" s="1"/>
  <c r="R1465" i="8" s="1"/>
  <c r="R1466" i="8" s="1"/>
  <c r="R1467" i="8" s="1"/>
  <c r="R1468" i="8" s="1"/>
  <c r="R1469" i="8" s="1"/>
  <c r="R1470" i="8" s="1"/>
  <c r="R1471" i="8" s="1"/>
  <c r="R1472" i="8" s="1"/>
  <c r="R1473" i="8" s="1"/>
  <c r="R1474" i="8" s="1"/>
  <c r="R1475" i="8" s="1"/>
  <c r="R1476" i="8" s="1"/>
  <c r="R1477" i="8" s="1"/>
  <c r="R1478" i="8" s="1"/>
  <c r="R1479" i="8" s="1"/>
  <c r="R1480" i="8" s="1"/>
  <c r="R1481" i="8" s="1"/>
  <c r="R1482" i="8" s="1"/>
  <c r="R1483" i="8" s="1"/>
  <c r="R1484" i="8" s="1"/>
  <c r="R1485" i="8" s="1"/>
  <c r="R1486" i="8" s="1"/>
  <c r="R1487" i="8" s="1"/>
  <c r="R1488" i="8" s="1"/>
  <c r="R1489" i="8" s="1"/>
  <c r="R1490" i="8" s="1"/>
  <c r="R1491" i="8" s="1"/>
  <c r="R1492" i="8" s="1"/>
  <c r="R1493" i="8" s="1"/>
  <c r="R1494" i="8" s="1"/>
  <c r="R1495" i="8" s="1"/>
  <c r="R1496" i="8" s="1"/>
  <c r="R1497" i="8" s="1"/>
  <c r="R1498" i="8" s="1"/>
  <c r="R1499" i="8" s="1"/>
  <c r="R1500" i="8" s="1"/>
  <c r="R1501" i="8" s="1"/>
  <c r="R1502" i="8" s="1"/>
  <c r="R1503" i="8" s="1"/>
  <c r="R1504" i="8" s="1"/>
  <c r="R1505" i="8" s="1"/>
  <c r="R1506" i="8" s="1"/>
  <c r="R1507" i="8" s="1"/>
  <c r="R1508" i="8" s="1"/>
  <c r="R1509" i="8" s="1"/>
  <c r="R1510" i="8" s="1"/>
  <c r="R1511" i="8" s="1"/>
  <c r="R1512" i="8" s="1"/>
  <c r="R1513" i="8" s="1"/>
  <c r="R1514" i="8" s="1"/>
  <c r="R1515" i="8" s="1"/>
  <c r="R1516" i="8" s="1"/>
  <c r="R1517" i="8" s="1"/>
  <c r="R1518" i="8" s="1"/>
  <c r="R1519" i="8" s="1"/>
  <c r="R1520" i="8" s="1"/>
  <c r="R1521" i="8" s="1"/>
  <c r="R1522" i="8" s="1"/>
  <c r="R1523" i="8" s="1"/>
  <c r="R1524" i="8" s="1"/>
  <c r="R1525" i="8" s="1"/>
  <c r="R1526" i="8" s="1"/>
  <c r="R1527" i="8" s="1"/>
  <c r="R1528" i="8" s="1"/>
  <c r="R1529" i="8" s="1"/>
  <c r="R1530" i="8" s="1"/>
  <c r="R1531" i="8" s="1"/>
  <c r="R1532" i="8" s="1"/>
  <c r="R1533" i="8" s="1"/>
  <c r="R1534" i="8" s="1"/>
  <c r="R1535" i="8" s="1"/>
  <c r="R1536" i="8" s="1"/>
  <c r="R1537" i="8" s="1"/>
  <c r="R1538" i="8" s="1"/>
  <c r="R1539" i="8" s="1"/>
  <c r="R1540" i="8" s="1"/>
  <c r="R1541" i="8" s="1"/>
  <c r="R1542" i="8" s="1"/>
  <c r="R1543" i="8" s="1"/>
  <c r="R1544" i="8" s="1"/>
  <c r="R1545" i="8" s="1"/>
  <c r="R1546" i="8" s="1"/>
  <c r="R1547" i="8" s="1"/>
  <c r="R1548" i="8" s="1"/>
  <c r="R1549" i="8" s="1"/>
  <c r="R1550" i="8" s="1"/>
  <c r="R1551" i="8" s="1"/>
  <c r="R1552" i="8" s="1"/>
  <c r="R1553" i="8" s="1"/>
  <c r="R1554" i="8" s="1"/>
  <c r="R1555" i="8" s="1"/>
  <c r="R1556" i="8" s="1"/>
  <c r="R1557" i="8" s="1"/>
  <c r="R1558" i="8" s="1"/>
  <c r="R1559" i="8" s="1"/>
  <c r="R1560" i="8" s="1"/>
  <c r="R1561" i="8" s="1"/>
  <c r="R1562" i="8" s="1"/>
  <c r="R1563" i="8" s="1"/>
  <c r="R1564" i="8" s="1"/>
  <c r="R1565" i="8" s="1"/>
  <c r="R1566" i="8" s="1"/>
  <c r="R1567" i="8" s="1"/>
  <c r="R1568" i="8" s="1"/>
  <c r="R1569" i="8" s="1"/>
  <c r="R1570" i="8" s="1"/>
  <c r="R1571" i="8" s="1"/>
  <c r="R1572" i="8" s="1"/>
  <c r="R1573" i="8" s="1"/>
  <c r="R1574" i="8" s="1"/>
  <c r="R1575" i="8" s="1"/>
  <c r="R1576" i="8" s="1"/>
  <c r="R1577" i="8" s="1"/>
  <c r="R1578" i="8" s="1"/>
  <c r="R1579" i="8" s="1"/>
  <c r="R1580" i="8" s="1"/>
  <c r="R1581" i="8" s="1"/>
  <c r="R1582" i="8" s="1"/>
  <c r="R1583" i="8" s="1"/>
  <c r="R1584" i="8" s="1"/>
  <c r="R1585" i="8" s="1"/>
  <c r="R1586" i="8" s="1"/>
  <c r="R1587" i="8" s="1"/>
  <c r="R1588" i="8" s="1"/>
  <c r="R1589" i="8" s="1"/>
  <c r="R1590" i="8" s="1"/>
  <c r="R1591" i="8" s="1"/>
  <c r="R1592" i="8" s="1"/>
  <c r="R1593" i="8" s="1"/>
  <c r="R1594" i="8" s="1"/>
  <c r="R1595" i="8" s="1"/>
  <c r="R1596" i="8" s="1"/>
  <c r="R1597" i="8" s="1"/>
  <c r="R1598" i="8" s="1"/>
  <c r="R1599" i="8" s="1"/>
  <c r="R1600" i="8" s="1"/>
  <c r="R1601" i="8" s="1"/>
  <c r="R1602" i="8" s="1"/>
  <c r="R1603" i="8" s="1"/>
  <c r="R1604" i="8" s="1"/>
  <c r="R1605" i="8" s="1"/>
  <c r="R1606" i="8" s="1"/>
  <c r="R1607" i="8" s="1"/>
  <c r="R1608" i="8" s="1"/>
  <c r="R1609" i="8" s="1"/>
  <c r="R1610" i="8" s="1"/>
  <c r="R1611" i="8" s="1"/>
  <c r="R1612" i="8" s="1"/>
  <c r="R1613" i="8" s="1"/>
  <c r="R1614" i="8" s="1"/>
  <c r="R1615" i="8" s="1"/>
  <c r="R1616" i="8" s="1"/>
  <c r="R1617" i="8" s="1"/>
  <c r="R1618" i="8" s="1"/>
  <c r="R1619" i="8" s="1"/>
  <c r="R1620" i="8" s="1"/>
  <c r="R1621" i="8" s="1"/>
  <c r="R1622" i="8" s="1"/>
  <c r="R1623" i="8" s="1"/>
  <c r="R1624" i="8" s="1"/>
  <c r="R1625" i="8" s="1"/>
  <c r="R1626" i="8" s="1"/>
  <c r="R1627" i="8" s="1"/>
  <c r="R1628" i="8" s="1"/>
  <c r="R1629" i="8" s="1"/>
  <c r="R1630" i="8" s="1"/>
  <c r="R1631" i="8" s="1"/>
  <c r="R1632" i="8" s="1"/>
  <c r="R1633" i="8" s="1"/>
  <c r="R1634" i="8" s="1"/>
  <c r="R1635" i="8" s="1"/>
  <c r="R1636" i="8" s="1"/>
  <c r="R1637" i="8" s="1"/>
  <c r="R1638" i="8" s="1"/>
  <c r="R1639" i="8" s="1"/>
  <c r="R1640" i="8" s="1"/>
  <c r="R1641" i="8" s="1"/>
  <c r="R1642" i="8" s="1"/>
  <c r="R1643" i="8" s="1"/>
  <c r="R1644" i="8" s="1"/>
  <c r="R1645" i="8" s="1"/>
  <c r="R1646" i="8" s="1"/>
  <c r="R1647" i="8" s="1"/>
  <c r="R1648" i="8" s="1"/>
  <c r="R1649" i="8" s="1"/>
  <c r="R1650" i="8" s="1"/>
  <c r="R1651" i="8" s="1"/>
  <c r="R1652" i="8" s="1"/>
  <c r="R1653" i="8" s="1"/>
  <c r="R1654" i="8" s="1"/>
  <c r="R1655" i="8" s="1"/>
  <c r="R1656" i="8" s="1"/>
  <c r="R1657" i="8" s="1"/>
  <c r="R1658" i="8" s="1"/>
  <c r="R1659" i="8" s="1"/>
  <c r="R1660" i="8" s="1"/>
  <c r="R1661" i="8" s="1"/>
  <c r="R1662" i="8" s="1"/>
  <c r="R1663" i="8" s="1"/>
  <c r="R1664" i="8" s="1"/>
  <c r="R1665" i="8" s="1"/>
  <c r="R1666" i="8" s="1"/>
  <c r="R1667" i="8" s="1"/>
  <c r="R1668" i="8" s="1"/>
  <c r="R1669" i="8" s="1"/>
  <c r="R1670" i="8" s="1"/>
  <c r="R1671" i="8" s="1"/>
  <c r="R1672" i="8" s="1"/>
  <c r="R1673" i="8" s="1"/>
  <c r="R1674" i="8" s="1"/>
  <c r="R1675" i="8" s="1"/>
  <c r="R1676" i="8" s="1"/>
  <c r="R1677" i="8" s="1"/>
  <c r="R1678" i="8" s="1"/>
  <c r="R1679" i="8" s="1"/>
  <c r="R1680" i="8" s="1"/>
  <c r="R1681" i="8" s="1"/>
  <c r="R1682" i="8" s="1"/>
  <c r="R1683" i="8" s="1"/>
  <c r="R1684" i="8" s="1"/>
  <c r="R1685" i="8" s="1"/>
  <c r="R1686" i="8" s="1"/>
  <c r="R1687" i="8" s="1"/>
  <c r="R1688" i="8" s="1"/>
  <c r="R1689" i="8" s="1"/>
  <c r="R1690" i="8" s="1"/>
  <c r="R1691" i="8" s="1"/>
  <c r="R1692" i="8" s="1"/>
  <c r="R1693" i="8" s="1"/>
  <c r="R1694" i="8" s="1"/>
  <c r="R1695" i="8" s="1"/>
  <c r="R1696" i="8" s="1"/>
  <c r="R1697" i="8" s="1"/>
  <c r="R1698" i="8" s="1"/>
  <c r="R1699" i="8" s="1"/>
  <c r="R1700" i="8" s="1"/>
  <c r="R1701" i="8" s="1"/>
  <c r="R1702" i="8" s="1"/>
  <c r="R1703" i="8" s="1"/>
  <c r="R1704" i="8" s="1"/>
  <c r="R1705" i="8" s="1"/>
  <c r="R1706" i="8" s="1"/>
  <c r="R1707" i="8" s="1"/>
  <c r="R1708" i="8" s="1"/>
  <c r="R1709" i="8" s="1"/>
  <c r="R1710" i="8" s="1"/>
  <c r="R1711" i="8" s="1"/>
  <c r="R1712" i="8" s="1"/>
  <c r="R1713" i="8" s="1"/>
  <c r="R1714" i="8" s="1"/>
  <c r="R1715" i="8" s="1"/>
  <c r="R1716" i="8" s="1"/>
  <c r="R1717" i="8" s="1"/>
  <c r="R1718" i="8" s="1"/>
  <c r="R1719" i="8" s="1"/>
  <c r="R1720" i="8" s="1"/>
  <c r="R1721" i="8" s="1"/>
  <c r="R1722" i="8" s="1"/>
  <c r="R1723" i="8" s="1"/>
  <c r="R1724" i="8" s="1"/>
  <c r="R1725" i="8" s="1"/>
  <c r="R1726" i="8" s="1"/>
  <c r="R1727" i="8" s="1"/>
  <c r="R1728" i="8" s="1"/>
  <c r="R1729" i="8" s="1"/>
  <c r="R1730" i="8" s="1"/>
  <c r="R1731" i="8" s="1"/>
  <c r="R1732" i="8" s="1"/>
  <c r="R1733" i="8" s="1"/>
  <c r="R1734" i="8" s="1"/>
  <c r="R1735" i="8" s="1"/>
  <c r="R1736" i="8" s="1"/>
  <c r="R1737" i="8" s="1"/>
  <c r="R1738" i="8" s="1"/>
  <c r="R1739" i="8" s="1"/>
  <c r="R1740" i="8" s="1"/>
  <c r="R1741" i="8" s="1"/>
  <c r="R1742" i="8" s="1"/>
  <c r="R1743" i="8" s="1"/>
  <c r="R1744" i="8" s="1"/>
  <c r="R1745" i="8" s="1"/>
  <c r="R1746" i="8" s="1"/>
  <c r="R1747" i="8" s="1"/>
  <c r="R1748" i="8" s="1"/>
  <c r="R1749" i="8" s="1"/>
  <c r="R1750" i="8" s="1"/>
  <c r="R1751" i="8" s="1"/>
  <c r="R1752" i="8" s="1"/>
  <c r="R1753" i="8" s="1"/>
  <c r="R1754" i="8" s="1"/>
  <c r="R1755" i="8" s="1"/>
  <c r="R1756" i="8" s="1"/>
  <c r="R1757" i="8" s="1"/>
  <c r="R1758" i="8" s="1"/>
  <c r="R1759" i="8" s="1"/>
  <c r="R1760" i="8" s="1"/>
  <c r="R1761" i="8" s="1"/>
  <c r="R1762" i="8" s="1"/>
  <c r="R1763" i="8" s="1"/>
  <c r="R1764" i="8" s="1"/>
  <c r="R1765" i="8" s="1"/>
  <c r="R1766" i="8" s="1"/>
  <c r="R1767" i="8" s="1"/>
  <c r="R1768" i="8" s="1"/>
  <c r="R1769" i="8" s="1"/>
  <c r="R1770" i="8" s="1"/>
  <c r="R1771" i="8" s="1"/>
  <c r="R1772" i="8" s="1"/>
  <c r="R1773" i="8" s="1"/>
  <c r="R1774" i="8" s="1"/>
  <c r="R1775" i="8" s="1"/>
  <c r="R1776" i="8" s="1"/>
  <c r="R1777" i="8" s="1"/>
  <c r="R1778" i="8" s="1"/>
  <c r="R1779" i="8" s="1"/>
  <c r="R1780" i="8" s="1"/>
  <c r="R1781" i="8" s="1"/>
  <c r="R1782" i="8" s="1"/>
  <c r="R1783" i="8" s="1"/>
  <c r="R1784" i="8" s="1"/>
  <c r="R1785" i="8" s="1"/>
  <c r="R1786" i="8" s="1"/>
  <c r="R1787" i="8" s="1"/>
  <c r="R1788" i="8" s="1"/>
  <c r="R1789" i="8" s="1"/>
  <c r="R1790" i="8" s="1"/>
  <c r="R1791" i="8" s="1"/>
  <c r="R1792" i="8" s="1"/>
  <c r="R1793" i="8" s="1"/>
  <c r="R1794" i="8" s="1"/>
  <c r="R1795" i="8" s="1"/>
  <c r="R1796" i="8" s="1"/>
  <c r="R1797" i="8" s="1"/>
  <c r="R1798" i="8" s="1"/>
  <c r="R1799" i="8" s="1"/>
  <c r="R1800" i="8" s="1"/>
  <c r="R1801" i="8" s="1"/>
  <c r="R1802" i="8" s="1"/>
  <c r="R1803" i="8" s="1"/>
  <c r="R1804" i="8" s="1"/>
  <c r="R1805" i="8" s="1"/>
  <c r="R1806" i="8" s="1"/>
  <c r="R1807" i="8" s="1"/>
  <c r="R1808" i="8" s="1"/>
  <c r="R1809" i="8" s="1"/>
  <c r="R1810" i="8" s="1"/>
  <c r="R1811" i="8" s="1"/>
  <c r="R1812" i="8" s="1"/>
  <c r="R1813" i="8" s="1"/>
  <c r="R1814" i="8" s="1"/>
  <c r="R1815" i="8" s="1"/>
  <c r="R1816" i="8" s="1"/>
  <c r="R1817" i="8" s="1"/>
  <c r="R1818" i="8" s="1"/>
  <c r="R1819" i="8" s="1"/>
  <c r="R1820" i="8" s="1"/>
  <c r="R1821" i="8" s="1"/>
  <c r="R1822" i="8" s="1"/>
  <c r="R1823" i="8" s="1"/>
  <c r="R1824" i="8" s="1"/>
  <c r="R1825" i="8" s="1"/>
  <c r="R1826" i="8" s="1"/>
  <c r="R1827" i="8" s="1"/>
  <c r="R1828" i="8" s="1"/>
  <c r="R1829" i="8" s="1"/>
  <c r="R1830" i="8" s="1"/>
  <c r="R1831" i="8" s="1"/>
  <c r="R1832" i="8" s="1"/>
  <c r="R1833" i="8" s="1"/>
  <c r="R1834" i="8" s="1"/>
  <c r="R1835" i="8" s="1"/>
  <c r="R1836" i="8" s="1"/>
  <c r="R1837" i="8" s="1"/>
  <c r="R1838" i="8" s="1"/>
  <c r="R1839" i="8" s="1"/>
  <c r="R1840" i="8" s="1"/>
  <c r="R1841" i="8" s="1"/>
  <c r="R1842" i="8" s="1"/>
  <c r="R1843" i="8" s="1"/>
  <c r="R1844" i="8" s="1"/>
  <c r="R1845" i="8" s="1"/>
  <c r="R1846" i="8" s="1"/>
  <c r="R1847" i="8" s="1"/>
  <c r="R1848" i="8" s="1"/>
  <c r="R1849" i="8" s="1"/>
  <c r="R1850" i="8" s="1"/>
  <c r="R1851" i="8" s="1"/>
  <c r="R1852" i="8" s="1"/>
  <c r="R1853" i="8" s="1"/>
  <c r="R1854" i="8" s="1"/>
  <c r="R1855" i="8" s="1"/>
  <c r="R1856" i="8" s="1"/>
  <c r="R1857" i="8" s="1"/>
  <c r="R1858" i="8" s="1"/>
  <c r="R1859" i="8" s="1"/>
  <c r="R1860" i="8" s="1"/>
  <c r="R1861" i="8" s="1"/>
  <c r="R1862" i="8" s="1"/>
  <c r="R1863" i="8" s="1"/>
  <c r="R1864" i="8" s="1"/>
  <c r="R1865" i="8" s="1"/>
  <c r="R1866" i="8" s="1"/>
  <c r="R1867" i="8" s="1"/>
  <c r="R1868" i="8" s="1"/>
  <c r="R1869" i="8" s="1"/>
  <c r="R1870" i="8" s="1"/>
  <c r="R1871" i="8" s="1"/>
  <c r="R1872" i="8" s="1"/>
  <c r="R1873" i="8" s="1"/>
  <c r="R1874" i="8" s="1"/>
  <c r="R1875" i="8" s="1"/>
  <c r="R1876" i="8" s="1"/>
  <c r="R1877" i="8" s="1"/>
  <c r="R1878" i="8" s="1"/>
  <c r="R1879" i="8" s="1"/>
  <c r="R1880" i="8" s="1"/>
  <c r="R1881" i="8" s="1"/>
  <c r="R1882" i="8" s="1"/>
  <c r="R1883" i="8" s="1"/>
  <c r="R1884" i="8" s="1"/>
  <c r="R1885" i="8" s="1"/>
  <c r="R1886" i="8" s="1"/>
  <c r="R1887" i="8" s="1"/>
  <c r="R1888" i="8" s="1"/>
  <c r="R1889" i="8" s="1"/>
  <c r="R1890" i="8" s="1"/>
  <c r="R1891" i="8" s="1"/>
  <c r="R1892" i="8" s="1"/>
  <c r="R1893" i="8" s="1"/>
  <c r="R1894" i="8" s="1"/>
  <c r="R1895" i="8" s="1"/>
  <c r="R1896" i="8" s="1"/>
  <c r="R1897" i="8" s="1"/>
  <c r="R1898" i="8" s="1"/>
  <c r="R1899" i="8" s="1"/>
  <c r="R1900" i="8" s="1"/>
  <c r="R1901" i="8" s="1"/>
  <c r="R1902" i="8" s="1"/>
  <c r="R1903" i="8" s="1"/>
  <c r="R1904" i="8" s="1"/>
  <c r="R1905" i="8" s="1"/>
  <c r="R1906" i="8" s="1"/>
  <c r="R1907" i="8" s="1"/>
  <c r="R1908" i="8" s="1"/>
  <c r="R1909" i="8" s="1"/>
  <c r="R1910" i="8" s="1"/>
  <c r="R1911" i="8" s="1"/>
  <c r="R1912" i="8" s="1"/>
  <c r="R1913" i="8" s="1"/>
  <c r="R1914" i="8" s="1"/>
  <c r="R1915" i="8" s="1"/>
  <c r="R1916" i="8" s="1"/>
  <c r="R1917" i="8" s="1"/>
  <c r="R1918" i="8" s="1"/>
  <c r="R1919" i="8" s="1"/>
  <c r="R1920" i="8" s="1"/>
  <c r="R1921" i="8" s="1"/>
  <c r="R1922" i="8" s="1"/>
  <c r="R1923" i="8" s="1"/>
  <c r="R1924" i="8" s="1"/>
  <c r="R1925" i="8" s="1"/>
  <c r="R1926" i="8" s="1"/>
  <c r="R1927" i="8" s="1"/>
  <c r="R1928" i="8" s="1"/>
  <c r="R1929" i="8" s="1"/>
  <c r="R1930" i="8" s="1"/>
  <c r="R1931" i="8" s="1"/>
  <c r="R1932" i="8" s="1"/>
  <c r="R1933" i="8" s="1"/>
  <c r="R1934" i="8" s="1"/>
  <c r="R1935" i="8" s="1"/>
  <c r="R1936" i="8" s="1"/>
  <c r="R1937" i="8" s="1"/>
  <c r="R1938" i="8" s="1"/>
  <c r="R1939" i="8" s="1"/>
  <c r="R1940" i="8" s="1"/>
  <c r="R1941" i="8" s="1"/>
  <c r="R1942" i="8" s="1"/>
  <c r="R1943" i="8" s="1"/>
  <c r="R1944" i="8" s="1"/>
  <c r="R1945" i="8" s="1"/>
  <c r="R1946" i="8" s="1"/>
  <c r="R1947" i="8" s="1"/>
  <c r="R1948" i="8" s="1"/>
  <c r="R1949" i="8" s="1"/>
  <c r="R1950" i="8" s="1"/>
  <c r="R1951" i="8" s="1"/>
  <c r="R1952" i="8" s="1"/>
  <c r="R1953" i="8" s="1"/>
  <c r="R1954" i="8" s="1"/>
  <c r="R1955" i="8" s="1"/>
  <c r="R1956" i="8" s="1"/>
  <c r="R1957" i="8" s="1"/>
  <c r="R1958" i="8" s="1"/>
  <c r="R1959" i="8" s="1"/>
  <c r="R1960" i="8" s="1"/>
  <c r="R1961" i="8" s="1"/>
  <c r="R1962" i="8" s="1"/>
  <c r="R1963" i="8" s="1"/>
  <c r="R1964" i="8" s="1"/>
  <c r="R1965" i="8" s="1"/>
  <c r="R1966" i="8" s="1"/>
  <c r="R1967" i="8" s="1"/>
  <c r="R1968" i="8" s="1"/>
  <c r="R1969" i="8" s="1"/>
  <c r="R1970" i="8" s="1"/>
  <c r="R1971" i="8" s="1"/>
  <c r="R1972" i="8" s="1"/>
  <c r="R1973" i="8" s="1"/>
  <c r="R1974" i="8" s="1"/>
  <c r="R1975" i="8" s="1"/>
  <c r="R1976" i="8" s="1"/>
  <c r="R1977" i="8" s="1"/>
  <c r="R1978" i="8" s="1"/>
  <c r="R1979" i="8" s="1"/>
  <c r="R1980" i="8" s="1"/>
  <c r="R1981" i="8" s="1"/>
  <c r="R1982" i="8" s="1"/>
  <c r="R1983" i="8" s="1"/>
  <c r="R1984" i="8" s="1"/>
  <c r="R1985" i="8" s="1"/>
  <c r="R1986" i="8" s="1"/>
  <c r="R1987" i="8" s="1"/>
  <c r="R1988" i="8" s="1"/>
  <c r="R1989" i="8" s="1"/>
  <c r="R1990" i="8" s="1"/>
  <c r="R1991" i="8" s="1"/>
  <c r="R1992" i="8" s="1"/>
  <c r="R1993" i="8" s="1"/>
  <c r="R1994" i="8" s="1"/>
  <c r="R1995" i="8" s="1"/>
  <c r="R1996" i="8" s="1"/>
  <c r="R1997" i="8" s="1"/>
  <c r="R1998" i="8" s="1"/>
  <c r="R1999" i="8" s="1"/>
  <c r="R2000" i="8" s="1"/>
  <c r="R2001" i="8" s="1"/>
  <c r="R2002" i="8" s="1"/>
  <c r="R2003" i="8" s="1"/>
  <c r="R2004" i="8" s="1"/>
  <c r="R2005" i="8" s="1"/>
  <c r="R2006" i="8" s="1"/>
  <c r="R2007" i="8" s="1"/>
  <c r="R2008" i="8" s="1"/>
  <c r="R2009" i="8" s="1"/>
  <c r="R2010" i="8" s="1"/>
  <c r="R2011" i="8" s="1"/>
  <c r="R2012" i="8" s="1"/>
  <c r="R2013" i="8" s="1"/>
  <c r="R2014" i="8" s="1"/>
  <c r="R2015" i="8" s="1"/>
  <c r="R2016" i="8" s="1"/>
  <c r="R2017" i="8" s="1"/>
  <c r="R2018" i="8" s="1"/>
  <c r="R2019" i="8" s="1"/>
  <c r="R2020" i="8" s="1"/>
  <c r="R2021" i="8" s="1"/>
  <c r="R2022" i="8" s="1"/>
  <c r="R2023" i="8" s="1"/>
  <c r="R2024" i="8" s="1"/>
  <c r="R2025" i="8" s="1"/>
  <c r="R2026" i="8" s="1"/>
  <c r="R2027" i="8" s="1"/>
  <c r="R2028" i="8" s="1"/>
  <c r="R2029" i="8" s="1"/>
  <c r="R2030" i="8" s="1"/>
  <c r="R2031" i="8" s="1"/>
  <c r="R2032" i="8" s="1"/>
  <c r="R2033" i="8" s="1"/>
  <c r="R2034" i="8" s="1"/>
  <c r="R2035" i="8" s="1"/>
  <c r="R2036" i="8" s="1"/>
  <c r="R2037" i="8" s="1"/>
  <c r="R2038" i="8" s="1"/>
  <c r="R2039" i="8" s="1"/>
  <c r="R2040" i="8" s="1"/>
  <c r="R2041" i="8" s="1"/>
  <c r="R2042" i="8" s="1"/>
  <c r="R2043" i="8" s="1"/>
  <c r="R2044" i="8" s="1"/>
  <c r="R2045" i="8" s="1"/>
  <c r="R2046" i="8" s="1"/>
  <c r="R2047" i="8" s="1"/>
  <c r="R2048" i="8" s="1"/>
  <c r="R2049" i="8" s="1"/>
  <c r="R2050" i="8" s="1"/>
  <c r="R2051" i="8" s="1"/>
  <c r="R2052" i="8" s="1"/>
  <c r="R2053" i="8" s="1"/>
  <c r="R2054" i="8" s="1"/>
  <c r="R2055" i="8" s="1"/>
  <c r="R2056" i="8" s="1"/>
  <c r="R2057" i="8" s="1"/>
  <c r="R2058" i="8" s="1"/>
  <c r="R2059" i="8" s="1"/>
  <c r="R2060" i="8" s="1"/>
  <c r="R2061" i="8" s="1"/>
  <c r="R2062" i="8" s="1"/>
  <c r="R2063" i="8" s="1"/>
  <c r="R2064" i="8" s="1"/>
  <c r="R2065" i="8" s="1"/>
  <c r="R2066" i="8" s="1"/>
  <c r="R2067" i="8" s="1"/>
  <c r="R2068" i="8" s="1"/>
  <c r="R2069" i="8" s="1"/>
  <c r="R2070" i="8" s="1"/>
  <c r="R2071" i="8" s="1"/>
  <c r="R2072" i="8" s="1"/>
  <c r="R2073" i="8" s="1"/>
  <c r="R2074" i="8" s="1"/>
  <c r="R2075" i="8" s="1"/>
  <c r="R2076" i="8" s="1"/>
  <c r="R2077" i="8" s="1"/>
  <c r="R2078" i="8" s="1"/>
  <c r="R2079" i="8" s="1"/>
  <c r="R2080" i="8" s="1"/>
  <c r="R2081" i="8" s="1"/>
  <c r="R2082" i="8" s="1"/>
  <c r="R2083" i="8" s="1"/>
  <c r="R2084" i="8" s="1"/>
  <c r="R2085" i="8" s="1"/>
  <c r="R2086" i="8" s="1"/>
  <c r="R2087" i="8" s="1"/>
  <c r="R2088" i="8" s="1"/>
  <c r="R2089" i="8" s="1"/>
  <c r="R2090" i="8" s="1"/>
  <c r="R2091" i="8" s="1"/>
  <c r="R2092" i="8" s="1"/>
  <c r="R2093" i="8" s="1"/>
  <c r="R2094" i="8" s="1"/>
  <c r="R2095" i="8" s="1"/>
  <c r="R2096" i="8" s="1"/>
  <c r="R2097" i="8" s="1"/>
  <c r="R2098" i="8" s="1"/>
  <c r="R2099" i="8" s="1"/>
  <c r="R2100" i="8" s="1"/>
  <c r="R2101" i="8" s="1"/>
  <c r="R2102" i="8" s="1"/>
  <c r="R2103" i="8" s="1"/>
  <c r="R2104" i="8" s="1"/>
  <c r="R2105" i="8" s="1"/>
  <c r="R2106" i="8" s="1"/>
  <c r="R2107" i="8" s="1"/>
  <c r="R2108" i="8" s="1"/>
  <c r="R2109" i="8" s="1"/>
  <c r="R2110" i="8" s="1"/>
  <c r="R2111" i="8" s="1"/>
  <c r="R2112" i="8" s="1"/>
  <c r="R2113" i="8" s="1"/>
  <c r="R2114" i="8" s="1"/>
  <c r="R2115" i="8" s="1"/>
  <c r="R2116" i="8" s="1"/>
  <c r="R2117" i="8" s="1"/>
  <c r="R2118" i="8" s="1"/>
  <c r="R2119" i="8" s="1"/>
  <c r="R2120" i="8" s="1"/>
  <c r="R2121" i="8" s="1"/>
  <c r="R2122" i="8" s="1"/>
  <c r="R2123" i="8" s="1"/>
  <c r="R2124" i="8" s="1"/>
  <c r="R2125" i="8" s="1"/>
  <c r="R2126" i="8" s="1"/>
  <c r="R2127" i="8" s="1"/>
  <c r="R2128" i="8" s="1"/>
  <c r="R2129" i="8" s="1"/>
  <c r="R2130" i="8" s="1"/>
  <c r="R2131" i="8" s="1"/>
  <c r="R2132" i="8" s="1"/>
  <c r="R2133" i="8" s="1"/>
  <c r="R2134" i="8" s="1"/>
  <c r="R2135" i="8" s="1"/>
  <c r="R2136" i="8" s="1"/>
  <c r="R2137" i="8" s="1"/>
  <c r="R2138" i="8" s="1"/>
  <c r="R2139" i="8" s="1"/>
  <c r="R2140" i="8" s="1"/>
  <c r="R2141" i="8" s="1"/>
  <c r="R2142" i="8" s="1"/>
  <c r="R2143" i="8" s="1"/>
  <c r="R2144" i="8" s="1"/>
  <c r="R2145" i="8" s="1"/>
  <c r="R2146" i="8" s="1"/>
  <c r="R2147" i="8" s="1"/>
  <c r="R2148" i="8" s="1"/>
  <c r="R2149" i="8" s="1"/>
  <c r="R2150" i="8" s="1"/>
  <c r="R2151" i="8" s="1"/>
  <c r="R2152" i="8" s="1"/>
  <c r="R2153" i="8" s="1"/>
  <c r="R2154" i="8" s="1"/>
  <c r="R2155" i="8" s="1"/>
  <c r="R2156" i="8" s="1"/>
  <c r="R2157" i="8" s="1"/>
  <c r="R2158" i="8" s="1"/>
  <c r="R2159" i="8" s="1"/>
  <c r="R2160" i="8" s="1"/>
  <c r="R2161" i="8" s="1"/>
  <c r="R2162" i="8" s="1"/>
  <c r="R2163" i="8" s="1"/>
  <c r="R2164" i="8" s="1"/>
  <c r="R2165" i="8" s="1"/>
  <c r="R2166" i="8" s="1"/>
  <c r="R2167" i="8" s="1"/>
  <c r="R2168" i="8" s="1"/>
  <c r="R2169" i="8" s="1"/>
  <c r="R2170" i="8" s="1"/>
  <c r="R2171" i="8" s="1"/>
  <c r="R2172" i="8" s="1"/>
  <c r="R2173" i="8" s="1"/>
  <c r="R2174" i="8" s="1"/>
  <c r="R2175" i="8" s="1"/>
  <c r="R2176" i="8" s="1"/>
  <c r="R2177" i="8" s="1"/>
  <c r="R2178" i="8" s="1"/>
  <c r="R2179" i="8" s="1"/>
  <c r="R2180" i="8" s="1"/>
  <c r="R2181" i="8" s="1"/>
  <c r="R2182" i="8" s="1"/>
  <c r="R2183" i="8" s="1"/>
  <c r="R2184" i="8" s="1"/>
  <c r="R2185" i="8" s="1"/>
  <c r="R2186" i="8" s="1"/>
  <c r="R2187" i="8" s="1"/>
  <c r="R2188" i="8" s="1"/>
  <c r="R2189" i="8" s="1"/>
  <c r="R2190" i="8" s="1"/>
  <c r="R2191" i="8" s="1"/>
  <c r="R2192" i="8" s="1"/>
  <c r="R2193" i="8" s="1"/>
  <c r="R2194" i="8" s="1"/>
  <c r="R2195" i="8" s="1"/>
  <c r="R2196" i="8" s="1"/>
  <c r="R2197" i="8" s="1"/>
  <c r="R2198" i="8" s="1"/>
  <c r="R2199" i="8" s="1"/>
  <c r="R2200" i="8" s="1"/>
  <c r="R2201" i="8" s="1"/>
  <c r="R2202" i="8" s="1"/>
  <c r="R2203" i="8" s="1"/>
  <c r="R2204" i="8" s="1"/>
  <c r="R2205" i="8" s="1"/>
  <c r="R2206" i="8" s="1"/>
  <c r="R2207" i="8" s="1"/>
  <c r="R2208" i="8" s="1"/>
  <c r="R2209" i="8" s="1"/>
  <c r="R2210" i="8" s="1"/>
  <c r="R2211" i="8" s="1"/>
  <c r="R2212" i="8" s="1"/>
  <c r="R2213" i="8" s="1"/>
  <c r="R2214" i="8" s="1"/>
  <c r="R2215" i="8" s="1"/>
  <c r="R2216" i="8" s="1"/>
  <c r="R2217" i="8" s="1"/>
  <c r="R2218" i="8" s="1"/>
  <c r="R2219" i="8" s="1"/>
  <c r="R2220" i="8" s="1"/>
  <c r="R2221" i="8" s="1"/>
  <c r="R2222" i="8" s="1"/>
  <c r="R2223" i="8" s="1"/>
  <c r="R2224" i="8" s="1"/>
  <c r="R2225" i="8" s="1"/>
  <c r="R2226" i="8" s="1"/>
  <c r="R2227" i="8" s="1"/>
  <c r="R2228" i="8" s="1"/>
  <c r="R2229" i="8" s="1"/>
  <c r="R2230" i="8" s="1"/>
  <c r="R2231" i="8" s="1"/>
  <c r="R2232" i="8" s="1"/>
  <c r="R2233" i="8" s="1"/>
  <c r="R2234" i="8" s="1"/>
  <c r="R2235" i="8" s="1"/>
  <c r="R2236" i="8" s="1"/>
  <c r="R2237" i="8" s="1"/>
  <c r="R2238" i="8" s="1"/>
  <c r="R2239" i="8" s="1"/>
  <c r="R2240" i="8" s="1"/>
  <c r="R2241" i="8" s="1"/>
  <c r="R2242" i="8" s="1"/>
  <c r="R2243" i="8" s="1"/>
  <c r="R2244" i="8" s="1"/>
  <c r="R2245" i="8" s="1"/>
  <c r="R2246" i="8" s="1"/>
  <c r="R2247" i="8" s="1"/>
  <c r="R2248" i="8" s="1"/>
  <c r="R2249" i="8" s="1"/>
  <c r="R2250" i="8" s="1"/>
  <c r="R2251" i="8" s="1"/>
  <c r="R2252" i="8" s="1"/>
  <c r="R2253" i="8" s="1"/>
  <c r="R2254" i="8" s="1"/>
  <c r="R2255" i="8" s="1"/>
  <c r="R2256" i="8" s="1"/>
  <c r="R2257" i="8" s="1"/>
  <c r="R2258" i="8" s="1"/>
  <c r="R2259" i="8" s="1"/>
  <c r="R2260" i="8" s="1"/>
  <c r="R2261" i="8" s="1"/>
  <c r="R2262" i="8" s="1"/>
  <c r="R2263" i="8" s="1"/>
  <c r="R2264" i="8" s="1"/>
  <c r="R2265" i="8" s="1"/>
  <c r="R2266" i="8" s="1"/>
  <c r="R2267" i="8" s="1"/>
  <c r="R2268" i="8" s="1"/>
  <c r="R2269" i="8" s="1"/>
  <c r="R2270" i="8" s="1"/>
  <c r="R2271" i="8" s="1"/>
  <c r="R2272" i="8" s="1"/>
  <c r="R2273" i="8" s="1"/>
  <c r="R2274" i="8" s="1"/>
  <c r="R2275" i="8" s="1"/>
  <c r="R2276" i="8" s="1"/>
  <c r="R2277" i="8" s="1"/>
  <c r="R2278" i="8" s="1"/>
  <c r="R2279" i="8" s="1"/>
  <c r="R2280" i="8" s="1"/>
  <c r="R2281" i="8" s="1"/>
  <c r="R2282" i="8" s="1"/>
  <c r="R2283" i="8" s="1"/>
  <c r="R2284" i="8" s="1"/>
  <c r="R2285" i="8" s="1"/>
  <c r="R2286" i="8" s="1"/>
  <c r="R2287" i="8" s="1"/>
  <c r="R2288" i="8" s="1"/>
  <c r="R2289" i="8" s="1"/>
  <c r="R2290" i="8" s="1"/>
  <c r="R2291" i="8" s="1"/>
  <c r="R2292" i="8" s="1"/>
  <c r="R2293" i="8" s="1"/>
  <c r="R2294" i="8" s="1"/>
  <c r="R2295" i="8" s="1"/>
  <c r="R2296" i="8" s="1"/>
  <c r="R2297" i="8" s="1"/>
  <c r="R2298" i="8" s="1"/>
  <c r="R2299" i="8" s="1"/>
  <c r="R2300" i="8" s="1"/>
  <c r="R2301" i="8" s="1"/>
  <c r="R2302" i="8" s="1"/>
  <c r="R2303" i="8" s="1"/>
  <c r="R2304" i="8" s="1"/>
  <c r="R2305" i="8" s="1"/>
  <c r="R2306" i="8" s="1"/>
  <c r="R2307" i="8" s="1"/>
  <c r="R2308" i="8" s="1"/>
  <c r="R2309" i="8" s="1"/>
  <c r="R2310" i="8" s="1"/>
  <c r="R2311" i="8" s="1"/>
  <c r="R2312" i="8" s="1"/>
  <c r="R2313" i="8" s="1"/>
  <c r="R2314" i="8" s="1"/>
  <c r="R2315" i="8" s="1"/>
  <c r="R2316" i="8" s="1"/>
  <c r="R2317" i="8" s="1"/>
  <c r="R2318" i="8" s="1"/>
  <c r="R2319" i="8" s="1"/>
  <c r="R2320" i="8" s="1"/>
  <c r="R2321" i="8" s="1"/>
  <c r="R2322" i="8" s="1"/>
  <c r="R2323" i="8" s="1"/>
  <c r="R2324" i="8" s="1"/>
  <c r="R2325" i="8" s="1"/>
  <c r="R2326" i="8" s="1"/>
  <c r="R2327" i="8" s="1"/>
  <c r="R2328" i="8" s="1"/>
  <c r="R2329" i="8" s="1"/>
  <c r="R2330" i="8" s="1"/>
  <c r="R2331" i="8" s="1"/>
  <c r="R2332" i="8" s="1"/>
  <c r="R2333" i="8" s="1"/>
  <c r="R2334" i="8" s="1"/>
  <c r="R2335" i="8" s="1"/>
  <c r="R2336" i="8" s="1"/>
  <c r="R2337" i="8" s="1"/>
  <c r="R2338" i="8" s="1"/>
  <c r="R2339" i="8" s="1"/>
  <c r="R2340" i="8" s="1"/>
  <c r="R2341" i="8" s="1"/>
  <c r="R2342" i="8" s="1"/>
  <c r="R2343" i="8" s="1"/>
  <c r="R2344" i="8" s="1"/>
  <c r="R2345" i="8" s="1"/>
  <c r="R2346" i="8" s="1"/>
  <c r="R2347" i="8" s="1"/>
  <c r="R2348" i="8" s="1"/>
  <c r="R2349" i="8" s="1"/>
  <c r="R2350" i="8" s="1"/>
  <c r="R2351" i="8" s="1"/>
  <c r="R2352" i="8" s="1"/>
  <c r="R2353" i="8" s="1"/>
  <c r="R2354" i="8" s="1"/>
  <c r="R2355" i="8" s="1"/>
  <c r="R2356" i="8" s="1"/>
  <c r="R2357" i="8" s="1"/>
  <c r="R2358" i="8" s="1"/>
  <c r="R2359" i="8" s="1"/>
  <c r="R2360" i="8" s="1"/>
  <c r="R2361" i="8" s="1"/>
  <c r="R2362" i="8" s="1"/>
  <c r="R2363" i="8" s="1"/>
  <c r="R2364" i="8" s="1"/>
  <c r="R2365" i="8" s="1"/>
  <c r="R2366" i="8" s="1"/>
  <c r="R2367" i="8" s="1"/>
  <c r="R2368" i="8" s="1"/>
  <c r="R2369" i="8" s="1"/>
  <c r="R2370" i="8" s="1"/>
  <c r="R2371" i="8" s="1"/>
  <c r="R2372" i="8" s="1"/>
  <c r="R2373" i="8" s="1"/>
  <c r="R2374" i="8" s="1"/>
  <c r="R2375" i="8" s="1"/>
  <c r="R2376" i="8" s="1"/>
  <c r="R2377" i="8" s="1"/>
  <c r="R2378" i="8" s="1"/>
  <c r="R2379" i="8" s="1"/>
  <c r="R2380" i="8" s="1"/>
  <c r="R2381" i="8" s="1"/>
  <c r="R2382" i="8" s="1"/>
  <c r="R2383" i="8" s="1"/>
  <c r="R2384" i="8" s="1"/>
  <c r="R2385" i="8" s="1"/>
  <c r="R2386" i="8" s="1"/>
  <c r="R2387" i="8" s="1"/>
  <c r="R2388" i="8" s="1"/>
  <c r="R2389" i="8" s="1"/>
  <c r="R2390" i="8" s="1"/>
  <c r="R2391" i="8" s="1"/>
  <c r="R2392" i="8" s="1"/>
  <c r="R2393" i="8" s="1"/>
  <c r="R2394" i="8" s="1"/>
  <c r="R2395" i="8" s="1"/>
  <c r="R2396" i="8" s="1"/>
  <c r="R2397" i="8" s="1"/>
  <c r="R2398" i="8" s="1"/>
  <c r="R2399" i="8" s="1"/>
  <c r="R2400" i="8" s="1"/>
  <c r="R2401" i="8" s="1"/>
  <c r="R2402" i="8" s="1"/>
  <c r="R2403" i="8" s="1"/>
  <c r="R2404" i="8" s="1"/>
  <c r="R2405" i="8" s="1"/>
  <c r="R2406" i="8" s="1"/>
  <c r="R2407" i="8" s="1"/>
  <c r="R2408" i="8" s="1"/>
  <c r="R2409" i="8" s="1"/>
  <c r="R2410" i="8" s="1"/>
  <c r="R2411" i="8" s="1"/>
  <c r="R2412" i="8" s="1"/>
  <c r="R2413" i="8" s="1"/>
  <c r="R2414" i="8" s="1"/>
  <c r="R2415" i="8" s="1"/>
  <c r="R2416" i="8" s="1"/>
  <c r="R2417" i="8" s="1"/>
  <c r="R2418" i="8" s="1"/>
  <c r="R2419" i="8" s="1"/>
  <c r="R2420" i="8" s="1"/>
  <c r="R2421" i="8" s="1"/>
  <c r="R2422" i="8" s="1"/>
  <c r="R2423" i="8" s="1"/>
  <c r="R2424" i="8" s="1"/>
  <c r="R2425" i="8" s="1"/>
  <c r="R2426" i="8" s="1"/>
  <c r="R2427" i="8" s="1"/>
  <c r="R2428" i="8" s="1"/>
  <c r="R2429" i="8" s="1"/>
  <c r="R2430" i="8" s="1"/>
  <c r="R2431" i="8" s="1"/>
  <c r="R2432" i="8" s="1"/>
  <c r="R2433" i="8" s="1"/>
  <c r="R2434" i="8" s="1"/>
  <c r="R2435" i="8" s="1"/>
  <c r="R2436" i="8" s="1"/>
  <c r="R2437" i="8" s="1"/>
  <c r="R2438" i="8" s="1"/>
  <c r="R2439" i="8" s="1"/>
  <c r="R2440" i="8" s="1"/>
  <c r="R2441" i="8" s="1"/>
  <c r="R2442" i="8" s="1"/>
  <c r="R2443" i="8" s="1"/>
  <c r="R2444" i="8" s="1"/>
  <c r="R2445" i="8" s="1"/>
  <c r="G129" i="9" l="1"/>
  <c r="AK130" i="9"/>
  <c r="G130" i="9" l="1"/>
  <c r="AK131" i="9"/>
  <c r="AK132" i="9" s="1"/>
  <c r="AK133" i="9" s="1"/>
  <c r="AK134" i="9" s="1"/>
  <c r="G134" i="9" l="1"/>
  <c r="AK135" i="9"/>
  <c r="G131" i="9"/>
  <c r="G135" i="9" l="1"/>
  <c r="AK136" i="9"/>
  <c r="AK137" i="9" s="1"/>
  <c r="AK138" i="9" s="1"/>
  <c r="AK139" i="9" s="1"/>
  <c r="AK140" i="9" s="1"/>
  <c r="AK141" i="9" s="1"/>
  <c r="AK142" i="9" s="1"/>
  <c r="AK143" i="9" s="1"/>
  <c r="AK144" i="9" s="1"/>
  <c r="AK145" i="9" s="1"/>
  <c r="F13" i="9"/>
  <c r="G136" i="9" l="1"/>
  <c r="G145" i="9"/>
  <c r="AK146" i="9"/>
  <c r="G141" i="9" l="1"/>
  <c r="G146" i="9"/>
  <c r="AK147" i="9"/>
  <c r="AK148" i="9" s="1"/>
  <c r="AK149" i="9" s="1"/>
  <c r="AK150" i="9" s="1"/>
  <c r="G147" i="9" l="1"/>
  <c r="G150" i="9"/>
  <c r="AK151" i="9"/>
  <c r="G151" i="9" l="1"/>
  <c r="AK152" i="9"/>
  <c r="G152" i="9" l="1"/>
  <c r="AK153" i="9"/>
  <c r="AK154" i="9" s="1"/>
  <c r="AK155" i="9" s="1"/>
  <c r="AK156" i="9" s="1"/>
  <c r="G156" i="9" l="1"/>
  <c r="AK157" i="9"/>
  <c r="AK158" i="9" s="1"/>
  <c r="AK159" i="9" s="1"/>
  <c r="AK160" i="9" s="1"/>
  <c r="G153" i="9"/>
  <c r="G157" i="9" l="1"/>
  <c r="G160" i="9"/>
  <c r="AK161" i="9"/>
  <c r="G161" i="9" l="1"/>
  <c r="AK162" i="9"/>
  <c r="G162" i="9" l="1"/>
  <c r="AK163" i="9"/>
  <c r="G163" i="9" l="1"/>
  <c r="AK164" i="9"/>
  <c r="AK165" i="9" s="1"/>
  <c r="AK166" i="9" s="1"/>
  <c r="AK167" i="9" s="1"/>
  <c r="G167" i="9" l="1"/>
  <c r="AK168" i="9"/>
  <c r="G164" i="9"/>
  <c r="G168" i="9" l="1"/>
  <c r="AK169" i="9"/>
  <c r="G169" i="9" l="1"/>
  <c r="AK170" i="9"/>
  <c r="G170" i="9" l="1"/>
  <c r="AK171" i="9"/>
  <c r="G171" i="9" l="1"/>
  <c r="AK172" i="9"/>
  <c r="AK173" i="9" s="1"/>
  <c r="AK174" i="9" s="1"/>
  <c r="AK175" i="9" s="1"/>
  <c r="AK176" i="9" s="1"/>
  <c r="AK177" i="9" s="1"/>
  <c r="AK178" i="9" s="1"/>
  <c r="AK179" i="9" s="1"/>
  <c r="AK180" i="9" s="1"/>
  <c r="G180" i="9" l="1"/>
  <c r="AK181" i="9"/>
  <c r="G172" i="9"/>
  <c r="G174" i="9" l="1"/>
  <c r="G181" i="9"/>
  <c r="AK182" i="9"/>
  <c r="F14" i="9" l="1"/>
  <c r="F15" i="9" s="1"/>
  <c r="F80" i="9"/>
  <c r="G176" i="9"/>
  <c r="G182" i="9"/>
  <c r="AK183" i="9"/>
  <c r="G1150" i="9" l="1"/>
  <c r="G183" i="9"/>
  <c r="AK184" i="9"/>
  <c r="G184" i="9" l="1"/>
  <c r="AK185" i="9"/>
  <c r="AK186" i="9" s="1"/>
  <c r="AK187" i="9" s="1"/>
  <c r="AK188" i="9" s="1"/>
  <c r="G188" i="9" l="1"/>
  <c r="AK189" i="9"/>
  <c r="G185" i="9"/>
  <c r="G189" i="9" l="1"/>
  <c r="AK190" i="9"/>
  <c r="AK191" i="9" s="1"/>
  <c r="AK192" i="9" s="1"/>
  <c r="AK193" i="9" s="1"/>
  <c r="G193" i="9" l="1"/>
  <c r="AK194" i="9"/>
  <c r="AK195" i="9" s="1"/>
  <c r="AK196" i="9" s="1"/>
  <c r="G190" i="9"/>
  <c r="G194" i="9" l="1"/>
  <c r="Y229" i="8"/>
  <c r="Z229" i="8" s="1"/>
  <c r="G196" i="9"/>
  <c r="AK197" i="9"/>
  <c r="AK198" i="9" s="1"/>
  <c r="AK199" i="9" s="1"/>
  <c r="AK200" i="9" s="1"/>
  <c r="G197" i="9" l="1"/>
  <c r="Y249" i="8"/>
  <c r="Z249" i="8" s="1"/>
  <c r="G200" i="9"/>
  <c r="AK201" i="9"/>
  <c r="AK202" i="9" s="1"/>
  <c r="AK203" i="9" s="1"/>
  <c r="AK204" i="9" s="1"/>
  <c r="G204" i="9" l="1"/>
  <c r="AK205" i="9"/>
  <c r="G201" i="9"/>
  <c r="Y230" i="8"/>
  <c r="Z230" i="8" s="1"/>
  <c r="G205" i="9" l="1"/>
  <c r="AK206" i="9"/>
  <c r="G206" i="9" l="1"/>
  <c r="AK207" i="9"/>
  <c r="G207" i="9" l="1"/>
  <c r="AK208" i="9"/>
  <c r="G208" i="9" l="1"/>
  <c r="AK209" i="9"/>
  <c r="G209" i="9" l="1"/>
  <c r="AK210" i="9"/>
  <c r="AK211" i="9" s="1"/>
  <c r="AK212" i="9" s="1"/>
  <c r="AK213" i="9" s="1"/>
  <c r="AK214" i="9" s="1"/>
  <c r="AK215" i="9" s="1"/>
  <c r="AK216" i="9" s="1"/>
  <c r="G210" i="9" l="1"/>
  <c r="G216" i="9"/>
  <c r="AK217" i="9"/>
  <c r="AK218" i="9" s="1"/>
  <c r="AK219" i="9" s="1"/>
  <c r="AK220" i="9" s="1"/>
  <c r="G217" i="9" l="1"/>
  <c r="Y231" i="8"/>
  <c r="Z231" i="8" s="1"/>
  <c r="G212" i="9"/>
  <c r="G220" i="9"/>
  <c r="AK221" i="9"/>
  <c r="G221" i="9" l="1"/>
  <c r="AK222" i="9"/>
  <c r="G222" i="9" l="1"/>
  <c r="AK223" i="9"/>
  <c r="AK224" i="9" s="1"/>
  <c r="AK225" i="9" s="1"/>
  <c r="AK226" i="9" s="1"/>
  <c r="AK227" i="9" s="1"/>
  <c r="AK228" i="9" s="1"/>
  <c r="AK229" i="9" s="1"/>
  <c r="AK230" i="9" s="1"/>
  <c r="AK231" i="9" s="1"/>
  <c r="G231" i="9" l="1"/>
  <c r="AK232" i="9"/>
  <c r="G223" i="9"/>
  <c r="G226" i="9" l="1"/>
  <c r="G232" i="9"/>
  <c r="G233" i="9" s="1"/>
  <c r="AK233" i="9"/>
  <c r="AK234" i="9" s="1"/>
  <c r="AK235" i="9" s="1"/>
  <c r="AK236" i="9" s="1"/>
  <c r="Y118" i="8" l="1"/>
  <c r="Z118" i="8" s="1"/>
  <c r="G236" i="9"/>
  <c r="AK237" i="9"/>
  <c r="G228" i="9"/>
  <c r="F26" i="9" l="1"/>
  <c r="G1157" i="9"/>
  <c r="G237" i="9"/>
  <c r="AK238" i="9"/>
  <c r="F79" i="9" l="1"/>
  <c r="G238" i="9"/>
  <c r="AK239" i="9"/>
  <c r="G239" i="9" l="1"/>
  <c r="AK240" i="9"/>
  <c r="G240" i="9" l="1"/>
  <c r="AK241" i="9"/>
  <c r="AK242" i="9" s="1"/>
  <c r="AK243" i="9" s="1"/>
  <c r="G243" i="9" l="1"/>
  <c r="AK244" i="9"/>
  <c r="G244" i="9" l="1"/>
  <c r="AK245" i="9"/>
  <c r="G245" i="9" l="1"/>
  <c r="AK246" i="9"/>
  <c r="G246" i="9" l="1"/>
  <c r="AK247" i="9"/>
  <c r="AK248" i="9" s="1"/>
  <c r="AK249" i="9" s="1"/>
  <c r="AK250" i="9" s="1"/>
  <c r="G247" i="9" l="1"/>
  <c r="G250" i="9"/>
  <c r="AK251" i="9"/>
  <c r="G251" i="9" l="1"/>
  <c r="AK252" i="9"/>
  <c r="AK253" i="9" s="1"/>
  <c r="AK254" i="9" s="1"/>
  <c r="AK255" i="9" s="1"/>
  <c r="G255" i="9" l="1"/>
  <c r="AK256" i="9"/>
  <c r="AK257" i="9" s="1"/>
  <c r="AK258" i="9" s="1"/>
  <c r="G252" i="9"/>
  <c r="G258" i="9" l="1"/>
  <c r="AK259" i="9"/>
  <c r="AK260" i="9" s="1"/>
  <c r="AK261" i="9" s="1"/>
  <c r="AK262" i="9" s="1"/>
  <c r="Y121" i="8"/>
  <c r="Z121" i="8" s="1"/>
  <c r="G259" i="9" l="1"/>
  <c r="G262" i="9"/>
  <c r="AK263" i="9"/>
  <c r="Y309" i="8"/>
  <c r="Z309" i="8" s="1"/>
  <c r="G263" i="9" l="1"/>
  <c r="G264" i="9" s="1"/>
  <c r="AK264" i="9"/>
  <c r="AK265" i="9" s="1"/>
  <c r="AK266" i="9" s="1"/>
  <c r="AK267" i="9" s="1"/>
  <c r="Y122" i="8" l="1"/>
  <c r="Z122" i="8" s="1"/>
  <c r="G267" i="9"/>
  <c r="AK268" i="9"/>
  <c r="G268" i="9" l="1"/>
  <c r="AK269" i="9"/>
  <c r="G269" i="9" l="1"/>
  <c r="G270" i="9" s="1"/>
  <c r="AK270" i="9"/>
  <c r="AK271" i="9" s="1"/>
  <c r="AK272" i="9" s="1"/>
  <c r="AK273" i="9" s="1"/>
  <c r="G273" i="9" l="1"/>
  <c r="AK274" i="9"/>
  <c r="Y123" i="8"/>
  <c r="Z123" i="8" s="1"/>
  <c r="G274" i="9" l="1"/>
  <c r="G275" i="9" s="1"/>
  <c r="AK275" i="9"/>
  <c r="AK276" i="9" s="1"/>
  <c r="AK277" i="9" s="1"/>
  <c r="AK278" i="9" s="1"/>
  <c r="Y124" i="8" l="1"/>
  <c r="Z124" i="8" s="1"/>
  <c r="G278" i="9"/>
  <c r="AK279" i="9"/>
  <c r="G279" i="9" l="1"/>
  <c r="AK280" i="9"/>
  <c r="G280" i="9" l="1"/>
  <c r="Y125" i="8" s="1"/>
  <c r="Z125" i="8" s="1"/>
  <c r="AK281" i="9"/>
  <c r="AK282" i="9" s="1"/>
  <c r="AK283" i="9" s="1"/>
  <c r="AK284" i="9" s="1"/>
  <c r="G284" i="9" l="1"/>
  <c r="AK285" i="9"/>
  <c r="G281" i="9"/>
  <c r="G285" i="9" l="1"/>
  <c r="G286" i="9" s="1"/>
  <c r="AK286" i="9"/>
  <c r="AK287" i="9" s="1"/>
  <c r="AK288" i="9" s="1"/>
  <c r="AK289" i="9" s="1"/>
  <c r="Y126" i="8" l="1"/>
  <c r="Z126" i="8" s="1"/>
  <c r="G289" i="9"/>
  <c r="AK290" i="9"/>
  <c r="G290" i="9" l="1"/>
  <c r="AK291" i="9"/>
  <c r="AK292" i="9" s="1"/>
  <c r="AK293" i="9" s="1"/>
  <c r="AK294" i="9" s="1"/>
  <c r="G294" i="9" l="1"/>
  <c r="AK295" i="9"/>
  <c r="Y127" i="8"/>
  <c r="Z127" i="8" s="1"/>
  <c r="G291" i="9"/>
  <c r="G295" i="9" l="1"/>
  <c r="G296" i="9" s="1"/>
  <c r="AK296" i="9"/>
  <c r="AK297" i="9" s="1"/>
  <c r="AK298" i="9" s="1"/>
  <c r="AK299" i="9" s="1"/>
  <c r="Y128" i="8" l="1"/>
  <c r="Z128" i="8" s="1"/>
  <c r="G299" i="9"/>
  <c r="AK300" i="9"/>
  <c r="G300" i="9" l="1"/>
  <c r="G301" i="9" s="1"/>
  <c r="AK301" i="9"/>
  <c r="AK302" i="9" s="1"/>
  <c r="AK303" i="9" s="1"/>
  <c r="AK304" i="9" s="1"/>
  <c r="AK305" i="9" s="1"/>
  <c r="AK306" i="9" s="1"/>
  <c r="Y129" i="8" l="1"/>
  <c r="Z129" i="8" s="1"/>
  <c r="G303" i="9"/>
  <c r="G306" i="9"/>
  <c r="AK307" i="9"/>
  <c r="AK308" i="9" s="1"/>
  <c r="AK309" i="9" s="1"/>
  <c r="AK310" i="9" s="1"/>
  <c r="G310" i="9" l="1"/>
  <c r="AK311" i="9"/>
  <c r="AK312" i="9" s="1"/>
  <c r="AK313" i="9" s="1"/>
  <c r="AK314" i="9" s="1"/>
  <c r="AK315" i="9" s="1"/>
  <c r="G307" i="9"/>
  <c r="Y130" i="8"/>
  <c r="Z130" i="8" s="1"/>
  <c r="G311" i="9" l="1"/>
  <c r="Y131" i="8"/>
  <c r="Z131" i="8" s="1"/>
  <c r="G315" i="9"/>
  <c r="AK316" i="9"/>
  <c r="AK317" i="9" s="1"/>
  <c r="AK318" i="9" s="1"/>
  <c r="AK319" i="9" s="1"/>
  <c r="G316" i="9" l="1"/>
  <c r="Y132" i="8"/>
  <c r="Z132" i="8" s="1"/>
  <c r="G319" i="9"/>
  <c r="AK320" i="9"/>
  <c r="AK321" i="9" s="1"/>
  <c r="AK322" i="9" s="1"/>
  <c r="AK323" i="9" s="1"/>
  <c r="G323" i="9" l="1"/>
  <c r="AK324" i="9"/>
  <c r="AK325" i="9" s="1"/>
  <c r="AK326" i="9" s="1"/>
  <c r="AK327" i="9" s="1"/>
  <c r="G320" i="9"/>
  <c r="G324" i="9" l="1"/>
  <c r="Y134" i="8"/>
  <c r="Z134" i="8" s="1"/>
  <c r="G327" i="9"/>
  <c r="AK328" i="9"/>
  <c r="AK329" i="9" s="1"/>
  <c r="AK330" i="9" s="1"/>
  <c r="AK331" i="9" s="1"/>
  <c r="G331" i="9" l="1"/>
  <c r="AK332" i="9"/>
  <c r="AK333" i="9" s="1"/>
  <c r="AK334" i="9" s="1"/>
  <c r="AK335" i="9" s="1"/>
  <c r="G328" i="9"/>
  <c r="Y135" i="8"/>
  <c r="Z135" i="8" s="1"/>
  <c r="G332" i="9" l="1"/>
  <c r="Y136" i="8"/>
  <c r="Z136" i="8" s="1"/>
  <c r="G335" i="9"/>
  <c r="AK336" i="9"/>
  <c r="AK337" i="9" s="1"/>
  <c r="AK338" i="9" s="1"/>
  <c r="AK339" i="9" s="1"/>
  <c r="G339" i="9" l="1"/>
  <c r="AK340" i="9"/>
  <c r="AK341" i="9" s="1"/>
  <c r="AK342" i="9" s="1"/>
  <c r="AK343" i="9" s="1"/>
  <c r="G336" i="9"/>
  <c r="Y137" i="8"/>
  <c r="Z137" i="8" s="1"/>
  <c r="G343" i="9" l="1"/>
  <c r="AK344" i="9"/>
  <c r="AK345" i="9" s="1"/>
  <c r="AK346" i="9" s="1"/>
  <c r="AK347" i="9" s="1"/>
  <c r="G340" i="9"/>
  <c r="Y138" i="8"/>
  <c r="Z138" i="8" s="1"/>
  <c r="G344" i="9" l="1"/>
  <c r="Y139" i="8"/>
  <c r="Z139" i="8" s="1"/>
  <c r="G347" i="9"/>
  <c r="AK348" i="9"/>
  <c r="AK349" i="9" s="1"/>
  <c r="AK350" i="9" s="1"/>
  <c r="AK351" i="9" s="1"/>
  <c r="AK352" i="9" s="1"/>
  <c r="AK353" i="9" s="1"/>
  <c r="AK356" i="9" s="1"/>
  <c r="AK357" i="9" s="1"/>
  <c r="AK358" i="9" s="1"/>
  <c r="AK359" i="9" s="1"/>
  <c r="G348" i="9" l="1"/>
  <c r="Y140" i="8"/>
  <c r="Z140" i="8" s="1"/>
  <c r="G359" i="9"/>
  <c r="AK360" i="9"/>
  <c r="G360" i="9" l="1"/>
  <c r="Y142" i="8" s="1"/>
  <c r="Z142" i="8" s="1"/>
  <c r="AK361" i="9"/>
  <c r="AK362" i="9" s="1"/>
  <c r="AK363" i="9" s="1"/>
  <c r="AK366" i="9" s="1"/>
  <c r="AK367" i="9" s="1"/>
  <c r="AK368" i="9" s="1"/>
  <c r="AK369" i="9" s="1"/>
  <c r="G350" i="9"/>
  <c r="G369" i="9" l="1"/>
  <c r="AK370" i="9"/>
  <c r="AK371" i="9" s="1"/>
  <c r="AK372" i="9" s="1"/>
  <c r="AK375" i="9" s="1"/>
  <c r="AK376" i="9" s="1"/>
  <c r="AK377" i="9" s="1"/>
  <c r="AK378" i="9" s="1"/>
  <c r="G361" i="9"/>
  <c r="G378" i="9" l="1"/>
  <c r="AK379" i="9"/>
  <c r="G370" i="9"/>
  <c r="Y144" i="8"/>
  <c r="Z144" i="8" s="1"/>
  <c r="G379" i="9" l="1"/>
  <c r="G380" i="9" s="1"/>
  <c r="AK380" i="9"/>
  <c r="AK381" i="9" s="1"/>
  <c r="AK382" i="9" s="1"/>
  <c r="AK383" i="9" s="1"/>
  <c r="G383" i="9" l="1"/>
  <c r="AK384" i="9"/>
  <c r="AK385" i="9" s="1"/>
  <c r="AK386" i="9" s="1"/>
  <c r="AK389" i="9" s="1"/>
  <c r="AK390" i="9" s="1"/>
  <c r="AK391" i="9" s="1"/>
  <c r="AK394" i="9" s="1"/>
  <c r="AK395" i="9" s="1"/>
  <c r="AK396" i="9" s="1"/>
  <c r="AK399" i="9" s="1"/>
  <c r="AK400" i="9" s="1"/>
  <c r="AK401" i="9" s="1"/>
  <c r="AK404" i="9" s="1"/>
  <c r="AK405" i="9" s="1"/>
  <c r="AK406" i="9" s="1"/>
  <c r="AK407" i="9" s="1"/>
  <c r="AK408" i="9" s="1"/>
  <c r="AK409" i="9" s="1"/>
  <c r="AK410" i="9" s="1"/>
  <c r="Y146" i="8"/>
  <c r="Z146" i="8" s="1"/>
  <c r="G410" i="9" l="1"/>
  <c r="AK411" i="9"/>
  <c r="AK412" i="9" s="1"/>
  <c r="AK413" i="9" s="1"/>
  <c r="AK414" i="9" s="1"/>
  <c r="G384" i="9"/>
  <c r="Y147" i="8"/>
  <c r="Z147" i="8" s="1"/>
  <c r="G406" i="9" l="1"/>
  <c r="G414" i="9"/>
  <c r="AK415" i="9"/>
  <c r="G411" i="9"/>
  <c r="Y152" i="8"/>
  <c r="Z152" i="8" s="1"/>
  <c r="G415" i="9" l="1"/>
  <c r="G416" i="9" s="1"/>
  <c r="AK416" i="9"/>
  <c r="AK417" i="9" s="1"/>
  <c r="AK418" i="9" s="1"/>
  <c r="AK419" i="9" s="1"/>
  <c r="Y310" i="8" l="1"/>
  <c r="Z310" i="8" s="1"/>
  <c r="G419" i="9"/>
  <c r="AK420" i="9"/>
  <c r="G420" i="9" l="1"/>
  <c r="AK421" i="9"/>
  <c r="AK422" i="9" s="1"/>
  <c r="AK423" i="9" s="1"/>
  <c r="AK424" i="9" s="1"/>
  <c r="G424" i="9" l="1"/>
  <c r="AK425" i="9"/>
  <c r="G421" i="9"/>
  <c r="Y154" i="8"/>
  <c r="Z154" i="8" s="1"/>
  <c r="G425" i="9" l="1"/>
  <c r="AK426" i="9"/>
  <c r="G426" i="9" s="1"/>
  <c r="AK427" i="9"/>
  <c r="AK428" i="9" s="1"/>
  <c r="AK429" i="9" s="1"/>
  <c r="AK430" i="9" s="1"/>
  <c r="AK431" i="9" s="1"/>
  <c r="G431" i="9" l="1"/>
  <c r="AK432" i="9"/>
  <c r="G427" i="9"/>
  <c r="Y155" i="8"/>
  <c r="Z155" i="8" s="1"/>
  <c r="G432" i="9" l="1"/>
  <c r="AK433" i="9"/>
  <c r="AK434" i="9" s="1"/>
  <c r="AK435" i="9" s="1"/>
  <c r="AK436" i="9" s="1"/>
  <c r="G436" i="9" l="1"/>
  <c r="AK437" i="9"/>
  <c r="AK438" i="9" s="1"/>
  <c r="AK439" i="9" s="1"/>
  <c r="AK440" i="9" s="1"/>
  <c r="Y156" i="8"/>
  <c r="Z156" i="8" s="1"/>
  <c r="G433" i="9"/>
  <c r="G440" i="9" l="1"/>
  <c r="AK441" i="9"/>
  <c r="G437" i="9"/>
  <c r="Y157" i="8"/>
  <c r="Z157" i="8" s="1"/>
  <c r="G441" i="9" l="1"/>
  <c r="AK442" i="9"/>
  <c r="AK443" i="9" s="1"/>
  <c r="AK444" i="9" s="1"/>
  <c r="AK445" i="9" s="1"/>
  <c r="AK446" i="9" s="1"/>
  <c r="G446" i="9" l="1"/>
  <c r="AK447" i="9"/>
  <c r="Y158" i="8"/>
  <c r="Z158" i="8" s="1"/>
  <c r="G442" i="9"/>
  <c r="G447" i="9" l="1"/>
  <c r="Y159" i="8" s="1"/>
  <c r="Z159" i="8" s="1"/>
  <c r="AK449" i="9"/>
  <c r="AK450" i="9" s="1"/>
  <c r="AK451" i="9" s="1"/>
  <c r="AK452" i="9" s="1"/>
  <c r="G452" i="9" l="1"/>
  <c r="AK453" i="9"/>
  <c r="G449" i="9"/>
  <c r="G453" i="9" l="1"/>
  <c r="AK454" i="9"/>
  <c r="G454" i="9" l="1"/>
  <c r="AK455" i="9"/>
  <c r="AK456" i="9" s="1"/>
  <c r="AK457" i="9" s="1"/>
  <c r="AK458" i="9" s="1"/>
  <c r="AK459" i="9" s="1"/>
  <c r="AK460" i="9" s="1"/>
  <c r="G460" i="9" l="1"/>
  <c r="AK461" i="9"/>
  <c r="G455" i="9"/>
  <c r="G457" i="9" l="1"/>
  <c r="G461" i="9"/>
  <c r="AK462" i="9"/>
  <c r="G462" i="9" l="1"/>
  <c r="AK463" i="9"/>
  <c r="G463" i="9" l="1"/>
  <c r="AK464" i="9"/>
  <c r="G464" i="9" l="1"/>
  <c r="AK465" i="9"/>
  <c r="AK466" i="9" s="1"/>
  <c r="AK467" i="9" s="1"/>
  <c r="AK468" i="9" s="1"/>
  <c r="G468" i="9" l="1"/>
  <c r="AK469" i="9"/>
  <c r="AK470" i="9" s="1"/>
  <c r="AK471" i="9" s="1"/>
  <c r="AK472" i="9" s="1"/>
  <c r="G465" i="9"/>
  <c r="G472" i="9" l="1"/>
  <c r="AK473" i="9"/>
  <c r="G469" i="9"/>
  <c r="Y162" i="8"/>
  <c r="Z162" i="8" s="1"/>
  <c r="G473" i="9" l="1"/>
  <c r="AK474" i="9"/>
  <c r="G474" i="9" l="1"/>
  <c r="AK475" i="9"/>
  <c r="G475" i="9" l="1"/>
  <c r="AK476" i="9"/>
  <c r="G476" i="9" l="1"/>
  <c r="AK477" i="9"/>
  <c r="G477" i="9" l="1"/>
  <c r="AK478" i="9"/>
  <c r="AK479" i="9" s="1"/>
  <c r="AK480" i="9" s="1"/>
  <c r="AK481" i="9" s="1"/>
  <c r="G478" i="9" l="1"/>
  <c r="G481" i="9"/>
  <c r="AK482" i="9"/>
  <c r="G482" i="9" l="1"/>
  <c r="AK483" i="9"/>
  <c r="G483" i="9" l="1"/>
  <c r="AK484" i="9"/>
  <c r="G484" i="9" l="1"/>
  <c r="AK485" i="9"/>
  <c r="G485" i="9" l="1"/>
  <c r="AK486" i="9"/>
  <c r="G486" i="9" l="1"/>
  <c r="AK487" i="9"/>
  <c r="AK488" i="9" s="1"/>
  <c r="AK489" i="9" s="1"/>
  <c r="AK490" i="9" s="1"/>
  <c r="G487" i="9" l="1"/>
  <c r="G490" i="9"/>
  <c r="AK491" i="9"/>
  <c r="G491" i="9" l="1"/>
  <c r="AK492" i="9"/>
  <c r="G492" i="9" l="1"/>
  <c r="AK493" i="9"/>
  <c r="G493" i="9" l="1"/>
  <c r="AK494" i="9"/>
  <c r="G494" i="9" l="1"/>
  <c r="G495" i="9" s="1"/>
  <c r="G497" i="9" s="1"/>
  <c r="AK495" i="9"/>
  <c r="AK496" i="9" s="1"/>
  <c r="AK497" i="9" s="1"/>
  <c r="AK498" i="9" s="1"/>
  <c r="AK499" i="9" s="1"/>
  <c r="AK500" i="9" s="1"/>
  <c r="AK501" i="9" s="1"/>
  <c r="AK502" i="9" s="1"/>
  <c r="G499" i="9" l="1"/>
  <c r="G502" i="9"/>
  <c r="AK503" i="9"/>
  <c r="G503" i="9" l="1"/>
  <c r="AK504" i="9"/>
  <c r="AK505" i="9" s="1"/>
  <c r="AK506" i="9" s="1"/>
  <c r="AK507" i="9" s="1"/>
  <c r="G504" i="9" l="1"/>
  <c r="G507" i="9"/>
  <c r="AK508" i="9"/>
  <c r="AK509" i="9" s="1"/>
  <c r="AK510" i="9" s="1"/>
  <c r="AK511" i="9" s="1"/>
  <c r="G511" i="9" l="1"/>
  <c r="AK512" i="9"/>
  <c r="AK513" i="9" s="1"/>
  <c r="AK514" i="9" s="1"/>
  <c r="AK515" i="9" s="1"/>
  <c r="G508" i="9"/>
  <c r="Y165" i="8"/>
  <c r="Z165" i="8" s="1"/>
  <c r="G512" i="9" l="1"/>
  <c r="Y166" i="8"/>
  <c r="Z166" i="8" s="1"/>
  <c r="G515" i="9"/>
  <c r="AK516" i="9"/>
  <c r="AK517" i="9" s="1"/>
  <c r="AK518" i="9" s="1"/>
  <c r="AK519" i="9" s="1"/>
  <c r="G516" i="9" l="1"/>
  <c r="Y167" i="8"/>
  <c r="Z167" i="8" s="1"/>
  <c r="G519" i="9"/>
  <c r="AK520" i="9"/>
  <c r="AK521" i="9" s="1"/>
  <c r="AK522" i="9" s="1"/>
  <c r="AK523" i="9" s="1"/>
  <c r="G523" i="9" l="1"/>
  <c r="AK524" i="9"/>
  <c r="G520" i="9"/>
  <c r="Y168" i="8"/>
  <c r="Z168" i="8" s="1"/>
  <c r="G524" i="9" l="1"/>
  <c r="G525" i="9" s="1"/>
  <c r="AK525" i="9"/>
  <c r="AK526" i="9" s="1"/>
  <c r="AK527" i="9" s="1"/>
  <c r="AK528" i="9" s="1"/>
  <c r="G2230" i="9" l="1"/>
  <c r="G2234" i="9" s="1"/>
  <c r="G528" i="9"/>
  <c r="AK529" i="9"/>
  <c r="AK530" i="9" s="1"/>
  <c r="AK531" i="9" s="1"/>
  <c r="AK532" i="9" s="1"/>
  <c r="G529" i="9" l="1"/>
  <c r="Y170" i="8"/>
  <c r="Z170" i="8" s="1"/>
  <c r="G532" i="9"/>
  <c r="AK533" i="9"/>
  <c r="AK534" i="9" s="1"/>
  <c r="AK535" i="9" s="1"/>
  <c r="AK536" i="9" s="1"/>
  <c r="G533" i="9" l="1"/>
  <c r="Y171" i="8"/>
  <c r="Z171" i="8" s="1"/>
  <c r="G536" i="9"/>
  <c r="AK537" i="9"/>
  <c r="AK538" i="9" s="1"/>
  <c r="AK539" i="9" s="1"/>
  <c r="AK540" i="9" s="1"/>
  <c r="G537" i="9" l="1"/>
  <c r="Y172" i="8"/>
  <c r="Z172" i="8" s="1"/>
  <c r="G540" i="9"/>
  <c r="AK541" i="9"/>
  <c r="AK542" i="9" s="1"/>
  <c r="AK543" i="9" s="1"/>
  <c r="AK544" i="9" s="1"/>
  <c r="G544" i="9" l="1"/>
  <c r="AK545" i="9"/>
  <c r="AK546" i="9" s="1"/>
  <c r="AK547" i="9" s="1"/>
  <c r="AK548" i="9" s="1"/>
  <c r="G541" i="9"/>
  <c r="Y173" i="8"/>
  <c r="Z173" i="8" s="1"/>
  <c r="G548" i="9" l="1"/>
  <c r="AK549" i="9"/>
  <c r="AK550" i="9" s="1"/>
  <c r="AK551" i="9" s="1"/>
  <c r="AK552" i="9" s="1"/>
  <c r="G545" i="9"/>
  <c r="Y174" i="8"/>
  <c r="Z174" i="8" s="1"/>
  <c r="G552" i="9" l="1"/>
  <c r="AK553" i="9"/>
  <c r="AK554" i="9" s="1"/>
  <c r="AK555" i="9" s="1"/>
  <c r="AK556" i="9" s="1"/>
  <c r="G549" i="9"/>
  <c r="Y175" i="8"/>
  <c r="Z175" i="8" s="1"/>
  <c r="G556" i="9" l="1"/>
  <c r="AK557" i="9"/>
  <c r="AK558" i="9" s="1"/>
  <c r="AK559" i="9" s="1"/>
  <c r="AK560" i="9" s="1"/>
  <c r="AK561" i="9" s="1"/>
  <c r="AK562" i="9" s="1"/>
  <c r="G553" i="9"/>
  <c r="Y176" i="8"/>
  <c r="Z176" i="8" s="1"/>
  <c r="G557" i="9" l="1"/>
  <c r="G559" i="9" s="1"/>
  <c r="Y177" i="8"/>
  <c r="Z177" i="8" s="1"/>
  <c r="G562" i="9"/>
  <c r="AK563" i="9"/>
  <c r="G563" i="9" l="1"/>
  <c r="AK564" i="9"/>
  <c r="AK565" i="9" s="1"/>
  <c r="AK566" i="9" s="1"/>
  <c r="AK567" i="9" s="1"/>
  <c r="G567" i="9" l="1"/>
  <c r="AK568" i="9"/>
  <c r="G564" i="9"/>
  <c r="G568" i="9" l="1"/>
  <c r="AK569" i="9"/>
  <c r="AK570" i="9" s="1"/>
  <c r="AK571" i="9" s="1"/>
  <c r="AK572" i="9" s="1"/>
  <c r="G572" i="9" l="1"/>
  <c r="AK573" i="9"/>
  <c r="G569" i="9"/>
  <c r="G573" i="9" l="1"/>
  <c r="AK574" i="9"/>
  <c r="AK575" i="9" s="1"/>
  <c r="AK576" i="9" s="1"/>
  <c r="AK577" i="9" s="1"/>
  <c r="G577" i="9" l="1"/>
  <c r="AK578" i="9"/>
  <c r="G574" i="9"/>
  <c r="G578" i="9" l="1"/>
  <c r="AK579" i="9"/>
  <c r="AK580" i="9" s="1"/>
  <c r="AK581" i="9" s="1"/>
  <c r="AK582" i="9" s="1"/>
  <c r="G582" i="9" l="1"/>
  <c r="AK583" i="9"/>
  <c r="G579" i="9"/>
  <c r="G583" i="9" l="1"/>
  <c r="AK584" i="9"/>
  <c r="AK585" i="9" s="1"/>
  <c r="AK586" i="9" s="1"/>
  <c r="AK587" i="9" s="1"/>
  <c r="G587" i="9" l="1"/>
  <c r="AK588" i="9"/>
  <c r="G584" i="9"/>
  <c r="G588" i="9" l="1"/>
  <c r="AK589" i="9"/>
  <c r="AK590" i="9" s="1"/>
  <c r="AK591" i="9" s="1"/>
  <c r="AK592" i="9" s="1"/>
  <c r="G589" i="9" l="1"/>
  <c r="G592" i="9"/>
  <c r="AK593" i="9"/>
  <c r="G593" i="9" l="1"/>
  <c r="AK594" i="9"/>
  <c r="AK595" i="9" s="1"/>
  <c r="AK596" i="9" s="1"/>
  <c r="AK597" i="9" s="1"/>
  <c r="G597" i="9" l="1"/>
  <c r="AK598" i="9"/>
  <c r="G594" i="9"/>
  <c r="G598" i="9" l="1"/>
  <c r="AK599" i="9"/>
  <c r="AK600" i="9" s="1"/>
  <c r="AK601" i="9" s="1"/>
  <c r="AK602" i="9" s="1"/>
  <c r="G602" i="9" l="1"/>
  <c r="AK603" i="9"/>
  <c r="G599" i="9"/>
  <c r="G603" i="9" l="1"/>
  <c r="AK604" i="9"/>
  <c r="AK605" i="9" s="1"/>
  <c r="AK606" i="9" s="1"/>
  <c r="AK607" i="9" s="1"/>
  <c r="G607" i="9" l="1"/>
  <c r="AK608" i="9"/>
  <c r="G604" i="9"/>
  <c r="G608" i="9" l="1"/>
  <c r="AK609" i="9"/>
  <c r="AK610" i="9" s="1"/>
  <c r="AK611" i="9" s="1"/>
  <c r="AK612" i="9" s="1"/>
  <c r="G612" i="9" l="1"/>
  <c r="AK613" i="9"/>
  <c r="G609" i="9"/>
  <c r="G613" i="9" l="1"/>
  <c r="G614" i="9" s="1"/>
  <c r="AK614" i="9"/>
  <c r="AK615" i="9" s="1"/>
  <c r="AK616" i="9" s="1"/>
  <c r="AK617" i="9" s="1"/>
  <c r="G617" i="9" l="1"/>
  <c r="AK618" i="9"/>
  <c r="G618" i="9" l="1"/>
  <c r="G619" i="9" s="1"/>
  <c r="AK619" i="9"/>
  <c r="AK620" i="9" s="1"/>
  <c r="AK621" i="9" s="1"/>
  <c r="AK622" i="9" s="1"/>
  <c r="G622" i="9" l="1"/>
  <c r="AK623" i="9"/>
  <c r="G623" i="9" l="1"/>
  <c r="AK624" i="9"/>
  <c r="AK625" i="9" s="1"/>
  <c r="AK626" i="9" s="1"/>
  <c r="AK627" i="9" s="1"/>
  <c r="G624" i="9" l="1"/>
  <c r="G627" i="9"/>
  <c r="AK628" i="9"/>
  <c r="G628" i="9" l="1"/>
  <c r="G629" i="9" s="1"/>
  <c r="AK629" i="9"/>
  <c r="AK630" i="9" s="1"/>
  <c r="AK631" i="9" s="1"/>
  <c r="AK632" i="9" s="1"/>
  <c r="G632" i="9" l="1"/>
  <c r="AK633" i="9"/>
  <c r="G633" i="9" l="1"/>
  <c r="AK634" i="9"/>
  <c r="AK635" i="9" s="1"/>
  <c r="AK636" i="9" s="1"/>
  <c r="AK637" i="9" s="1"/>
  <c r="G634" i="9" l="1"/>
  <c r="Y192" i="8"/>
  <c r="Z192" i="8" s="1"/>
  <c r="G637" i="9"/>
  <c r="AK638" i="9"/>
  <c r="G638" i="9" l="1"/>
  <c r="AK639" i="9"/>
  <c r="AK640" i="9" s="1"/>
  <c r="AK641" i="9" s="1"/>
  <c r="AK642" i="9" s="1"/>
  <c r="G642" i="9" l="1"/>
  <c r="AK643" i="9"/>
  <c r="G639" i="9"/>
  <c r="G643" i="9" l="1"/>
  <c r="AK644" i="9"/>
  <c r="AK645" i="9" s="1"/>
  <c r="AK646" i="9" s="1"/>
  <c r="AK647" i="9" s="1"/>
  <c r="G647" i="9" l="1"/>
  <c r="AK648" i="9"/>
  <c r="G644" i="9"/>
  <c r="G648" i="9" l="1"/>
  <c r="AK649" i="9"/>
  <c r="AK650" i="9" s="1"/>
  <c r="AK651" i="9" s="1"/>
  <c r="AK652" i="9" s="1"/>
  <c r="G652" i="9" l="1"/>
  <c r="AK653" i="9"/>
  <c r="G649" i="9"/>
  <c r="G653" i="9" l="1"/>
  <c r="AK654" i="9"/>
  <c r="AK655" i="9" s="1"/>
  <c r="AK656" i="9" s="1"/>
  <c r="AK657" i="9" s="1"/>
  <c r="AK658" i="9" s="1"/>
  <c r="AK659" i="9" s="1"/>
  <c r="G654" i="9" l="1"/>
  <c r="G659" i="9"/>
  <c r="AK660" i="9"/>
  <c r="G656" i="9" l="1"/>
  <c r="G660" i="9"/>
  <c r="AK661" i="9"/>
  <c r="AK662" i="9" s="1"/>
  <c r="AK663" i="9" s="1"/>
  <c r="AK664" i="9" s="1"/>
  <c r="G661" i="9" l="1"/>
  <c r="G664" i="9"/>
  <c r="AK665" i="9"/>
  <c r="G665" i="9" l="1"/>
  <c r="G666" i="9" s="1"/>
  <c r="AK666" i="9"/>
  <c r="AK667" i="9" s="1"/>
  <c r="AK668" i="9" s="1"/>
  <c r="AK669" i="9" s="1"/>
  <c r="G669" i="9" l="1"/>
  <c r="AK670" i="9"/>
  <c r="G670" i="9" l="1"/>
  <c r="AK671" i="9"/>
  <c r="AK672" i="9" s="1"/>
  <c r="AK673" i="9" s="1"/>
  <c r="AK674" i="9" s="1"/>
  <c r="G674" i="9" l="1"/>
  <c r="AK675" i="9"/>
  <c r="G671" i="9"/>
  <c r="G675" i="9" l="1"/>
  <c r="AK676" i="9"/>
  <c r="G676" i="9" l="1"/>
  <c r="AK677" i="9"/>
  <c r="AK678" i="9" s="1"/>
  <c r="AK679" i="9" s="1"/>
  <c r="AK680" i="9" s="1"/>
  <c r="G680" i="9" l="1"/>
  <c r="AK681" i="9"/>
  <c r="G677" i="9"/>
  <c r="G681" i="9" l="1"/>
  <c r="AK682" i="9"/>
  <c r="AK683" i="9" s="1"/>
  <c r="AK684" i="9" s="1"/>
  <c r="AK685" i="9" s="1"/>
  <c r="AK686" i="9" s="1"/>
  <c r="AK687" i="9" s="1"/>
  <c r="G682" i="9" l="1"/>
  <c r="G687" i="9"/>
  <c r="AK688" i="9"/>
  <c r="G688" i="9" l="1"/>
  <c r="AK689" i="9"/>
  <c r="AK690" i="9" s="1"/>
  <c r="AK691" i="9" s="1"/>
  <c r="AK692" i="9" s="1"/>
  <c r="G684" i="9"/>
  <c r="G689" i="9" l="1"/>
  <c r="G692" i="9"/>
  <c r="AK693" i="9"/>
  <c r="G693" i="9" l="1"/>
  <c r="G694" i="9" s="1"/>
  <c r="AK694" i="9"/>
  <c r="AK695" i="9" s="1"/>
  <c r="AK696" i="9" s="1"/>
  <c r="AK697" i="9" s="1"/>
  <c r="G697" i="9" l="1"/>
  <c r="AK698" i="9"/>
  <c r="G698" i="9" l="1"/>
  <c r="AK699" i="9"/>
  <c r="AK700" i="9" s="1"/>
  <c r="AK701" i="9" s="1"/>
  <c r="AK702" i="9" s="1"/>
  <c r="G702" i="9" l="1"/>
  <c r="AK703" i="9"/>
  <c r="G699" i="9"/>
  <c r="G703" i="9" l="1"/>
  <c r="AK704" i="9"/>
  <c r="AK705" i="9" s="1"/>
  <c r="AK706" i="9" s="1"/>
  <c r="AK707" i="9" s="1"/>
  <c r="AK708" i="9" s="1"/>
  <c r="AK709" i="9" s="1"/>
  <c r="G709" i="9" l="1"/>
  <c r="AK710" i="9"/>
  <c r="G704" i="9"/>
  <c r="G706" i="9" l="1"/>
  <c r="G710" i="9"/>
  <c r="G711" i="9" s="1"/>
  <c r="AK711" i="9"/>
  <c r="AK712" i="9" s="1"/>
  <c r="AK713" i="9" s="1"/>
  <c r="AK714" i="9" s="1"/>
  <c r="G714" i="9" l="1"/>
  <c r="AK715" i="9"/>
  <c r="G715" i="9" l="1"/>
  <c r="AK716" i="9"/>
  <c r="AK717" i="9" s="1"/>
  <c r="AK718" i="9" s="1"/>
  <c r="AK719" i="9" s="1"/>
  <c r="G716" i="9" l="1"/>
  <c r="G719" i="9"/>
  <c r="AK720" i="9"/>
  <c r="G720" i="9" l="1"/>
  <c r="G721" i="9" s="1"/>
  <c r="AK721" i="9"/>
  <c r="AK722" i="9" s="1"/>
  <c r="AK723" i="9" s="1"/>
  <c r="AK724" i="9" s="1"/>
  <c r="G724" i="9" l="1"/>
  <c r="AK725" i="9"/>
  <c r="G725" i="9" l="1"/>
  <c r="AK726" i="9"/>
  <c r="AK727" i="9" s="1"/>
  <c r="AK728" i="9" s="1"/>
  <c r="AK729" i="9" s="1"/>
  <c r="AK730" i="9" s="1"/>
  <c r="AK731" i="9" s="1"/>
  <c r="AK732" i="9" s="1"/>
  <c r="G732" i="9" l="1"/>
  <c r="AK733" i="9"/>
  <c r="G726" i="9"/>
  <c r="G728" i="9" l="1"/>
  <c r="G733" i="9"/>
  <c r="AK734" i="9"/>
  <c r="G734" i="9" l="1"/>
  <c r="G735" i="9" s="1"/>
  <c r="AK735" i="9"/>
  <c r="AK736" i="9" s="1"/>
  <c r="AK737" i="9" s="1"/>
  <c r="AK738" i="9" s="1"/>
  <c r="G738" i="9" l="1"/>
  <c r="AK739" i="9"/>
  <c r="G739" i="9" l="1"/>
  <c r="AK740" i="9"/>
  <c r="G740" i="9" l="1"/>
  <c r="AK741" i="9"/>
  <c r="AK742" i="9" s="1"/>
  <c r="AK743" i="9" s="1"/>
  <c r="G743" i="9" l="1"/>
  <c r="AK744" i="9"/>
  <c r="AK745" i="9" s="1"/>
  <c r="AK746" i="9" s="1"/>
  <c r="AK747" i="9" s="1"/>
  <c r="G741" i="9"/>
  <c r="G747" i="9" l="1"/>
  <c r="AK748" i="9"/>
  <c r="G744" i="9"/>
  <c r="Y212" i="8"/>
  <c r="Z212" i="8" s="1"/>
  <c r="G748" i="9" l="1"/>
  <c r="AK749" i="9"/>
  <c r="G749" i="9" l="1"/>
  <c r="AK750" i="9"/>
  <c r="AK751" i="9" s="1"/>
  <c r="AK752" i="9" s="1"/>
  <c r="AK753" i="9" s="1"/>
  <c r="G753" i="9" l="1"/>
  <c r="AK754" i="9"/>
  <c r="G750" i="9"/>
  <c r="G754" i="9" l="1"/>
  <c r="AK755" i="9"/>
  <c r="G755" i="9" l="1"/>
  <c r="AK756" i="9"/>
  <c r="AK757" i="9" s="1"/>
  <c r="AK758" i="9" s="1"/>
  <c r="AK759" i="9" s="1"/>
  <c r="G759" i="9" l="1"/>
  <c r="AK760" i="9"/>
  <c r="AK761" i="9" s="1"/>
  <c r="AK762" i="9" s="1"/>
  <c r="AK763" i="9" s="1"/>
  <c r="G756" i="9"/>
  <c r="G763" i="9" l="1"/>
  <c r="AK764" i="9"/>
  <c r="G760" i="9"/>
  <c r="Y215" i="8"/>
  <c r="Z215" i="8" s="1"/>
  <c r="G764" i="9" l="1"/>
  <c r="AK765" i="9"/>
  <c r="G765" i="9" l="1"/>
  <c r="AK766" i="9"/>
  <c r="AK767" i="9" s="1"/>
  <c r="AK768" i="9" s="1"/>
  <c r="AK769" i="9" s="1"/>
  <c r="G769" i="9" l="1"/>
  <c r="AK770" i="9"/>
  <c r="G766" i="9"/>
  <c r="G770" i="9" l="1"/>
  <c r="AK771" i="9"/>
  <c r="AK772" i="9" s="1"/>
  <c r="AK773" i="9" s="1"/>
  <c r="AK774" i="9" s="1"/>
  <c r="G771" i="9" l="1"/>
  <c r="G774" i="9"/>
  <c r="AK775" i="9"/>
  <c r="G775" i="9" l="1"/>
  <c r="AK776" i="9"/>
  <c r="G776" i="9" l="1"/>
  <c r="AK777" i="9"/>
  <c r="G777" i="9" l="1"/>
  <c r="G778" i="9" s="1"/>
  <c r="AK778" i="9"/>
  <c r="AK779" i="9" s="1"/>
  <c r="AK780" i="9" s="1"/>
  <c r="G780" i="9" l="1"/>
  <c r="AD780" i="9" s="1"/>
  <c r="AK781" i="9"/>
  <c r="AK782" i="9" s="1"/>
  <c r="AK783" i="9" s="1"/>
  <c r="G783" i="9" l="1"/>
  <c r="AK784" i="9"/>
  <c r="G784" i="9" l="1"/>
  <c r="AK785" i="9"/>
  <c r="AK786" i="9" s="1"/>
  <c r="AK787" i="9" s="1"/>
  <c r="AK788" i="9" s="1"/>
  <c r="G788" i="9" l="1"/>
  <c r="AK789" i="9"/>
  <c r="G785" i="9"/>
  <c r="G789" i="9" l="1"/>
  <c r="AK790" i="9"/>
  <c r="G790" i="9" l="1"/>
  <c r="AK791" i="9"/>
  <c r="AK792" i="9" s="1"/>
  <c r="AK793" i="9" s="1"/>
  <c r="AK794" i="9" s="1"/>
  <c r="G791" i="9" l="1"/>
  <c r="G794" i="9"/>
  <c r="AK795" i="9"/>
  <c r="G795" i="9" l="1"/>
  <c r="G796" i="9" s="1"/>
  <c r="AK796" i="9"/>
  <c r="AK797" i="9" s="1"/>
  <c r="AK798" i="9" s="1"/>
  <c r="AK799" i="9" s="1"/>
  <c r="G799" i="9" l="1"/>
  <c r="AK800" i="9"/>
  <c r="G800" i="9" l="1"/>
  <c r="AK801" i="9"/>
  <c r="G801" i="9" l="1"/>
  <c r="AK802" i="9"/>
  <c r="AK803" i="9" s="1"/>
  <c r="AK804" i="9" s="1"/>
  <c r="AK805" i="9" s="1"/>
  <c r="AK806" i="9" s="1"/>
  <c r="AK807" i="9" s="1"/>
  <c r="AK808" i="9" s="1"/>
  <c r="AK809" i="9" s="1"/>
  <c r="AK810" i="9" s="1"/>
  <c r="G810" i="9" l="1"/>
  <c r="AK811" i="9"/>
  <c r="G802" i="9"/>
  <c r="G811" i="9" l="1"/>
  <c r="AK812" i="9"/>
  <c r="G804" i="9"/>
  <c r="G812" i="9" l="1"/>
  <c r="AK813" i="9"/>
  <c r="G807" i="9"/>
  <c r="F18" i="9" l="1"/>
  <c r="G1152" i="9"/>
  <c r="G813" i="9"/>
  <c r="AK814" i="9"/>
  <c r="AK815" i="9" s="1"/>
  <c r="AK816" i="9" s="1"/>
  <c r="AK817" i="9" s="1"/>
  <c r="G817" i="9" l="1"/>
  <c r="AK818" i="9"/>
  <c r="AK819" i="9" s="1"/>
  <c r="AK820" i="9" s="1"/>
  <c r="AK821" i="9" s="1"/>
  <c r="G814" i="9"/>
  <c r="F68" i="9"/>
  <c r="G818" i="9" l="1"/>
  <c r="Y296" i="8"/>
  <c r="Z296" i="8" s="1"/>
  <c r="G821" i="9"/>
  <c r="AK822" i="9"/>
  <c r="G822" i="9" l="1"/>
  <c r="AK823" i="9"/>
  <c r="G823" i="9" l="1"/>
  <c r="AK824" i="9"/>
  <c r="G824" i="9" l="1"/>
  <c r="AK825" i="9"/>
  <c r="AK826" i="9" s="1"/>
  <c r="AK827" i="9" s="1"/>
  <c r="AK828" i="9" s="1"/>
  <c r="G828" i="9" l="1"/>
  <c r="AK829" i="9"/>
  <c r="G825" i="9"/>
  <c r="G829" i="9" l="1"/>
  <c r="AK830" i="9"/>
  <c r="G830" i="9" l="1"/>
  <c r="AK831" i="9"/>
  <c r="G831" i="9" l="1"/>
  <c r="AK832" i="9"/>
  <c r="AK833" i="9" s="1"/>
  <c r="AK834" i="9" s="1"/>
  <c r="AK835" i="9" s="1"/>
  <c r="G835" i="9" l="1"/>
  <c r="AK836" i="9"/>
  <c r="G832" i="9"/>
  <c r="G836" i="9" l="1"/>
  <c r="AK837" i="9"/>
  <c r="G837" i="9" l="1"/>
  <c r="AK838" i="9"/>
  <c r="AK839" i="9" s="1"/>
  <c r="AK840" i="9" s="1"/>
  <c r="AK841" i="9" s="1"/>
  <c r="G838" i="9" l="1"/>
  <c r="G841" i="9"/>
  <c r="AK842" i="9"/>
  <c r="G842" i="9" l="1"/>
  <c r="AK843" i="9"/>
  <c r="G843" i="9" l="1"/>
  <c r="AK844" i="9"/>
  <c r="G844" i="9" l="1"/>
  <c r="AK845" i="9"/>
  <c r="G845" i="9" l="1"/>
  <c r="AK846" i="9"/>
  <c r="Y72" i="8"/>
  <c r="Z72" i="8" s="1"/>
  <c r="G846" i="9" l="1"/>
  <c r="AK847" i="9"/>
  <c r="G847" i="9" l="1"/>
  <c r="AK848" i="9"/>
  <c r="G848" i="9" l="1"/>
  <c r="AK849" i="9"/>
  <c r="G849" i="9" l="1"/>
  <c r="AK850" i="9"/>
  <c r="G850" i="9" l="1"/>
  <c r="AK851" i="9"/>
  <c r="G851" i="9" l="1"/>
  <c r="AK852" i="9"/>
  <c r="G852" i="9" l="1"/>
  <c r="AK853" i="9"/>
  <c r="G853" i="9" l="1"/>
  <c r="AK854" i="9"/>
  <c r="G854" i="9" l="1"/>
  <c r="AK855" i="9"/>
  <c r="AK856" i="9" s="1"/>
  <c r="AK857" i="9" s="1"/>
  <c r="AK858" i="9" s="1"/>
  <c r="G855" i="9" l="1"/>
  <c r="G858" i="9"/>
  <c r="AK859" i="9"/>
  <c r="G859" i="9" l="1"/>
  <c r="AK860" i="9"/>
  <c r="G860" i="9" l="1"/>
  <c r="AK861" i="9"/>
  <c r="G861" i="9" l="1"/>
  <c r="AK862" i="9"/>
  <c r="G862" i="9" l="1"/>
  <c r="AK863" i="9"/>
  <c r="G863" i="9" l="1"/>
  <c r="AK864" i="9"/>
  <c r="G864" i="9" l="1"/>
  <c r="AK865" i="9"/>
  <c r="G865" i="9" l="1"/>
  <c r="AK866" i="9"/>
  <c r="G866" i="9" l="1"/>
  <c r="AK867" i="9"/>
  <c r="AK868" i="9" s="1"/>
  <c r="AK869" i="9" s="1"/>
  <c r="AK870" i="9" s="1"/>
  <c r="G867" i="9" l="1"/>
  <c r="G870" i="9"/>
  <c r="AK871" i="9"/>
  <c r="AK872" i="9" s="1"/>
  <c r="AK873" i="9" s="1"/>
  <c r="AK874" i="9" s="1"/>
  <c r="G871" i="9" l="1"/>
  <c r="Y293" i="8"/>
  <c r="Z293" i="8" s="1"/>
  <c r="G874" i="9"/>
  <c r="AK875" i="9"/>
  <c r="AK876" i="9" s="1"/>
  <c r="AK877" i="9" s="1"/>
  <c r="AK878" i="9" s="1"/>
  <c r="G875" i="9" l="1"/>
  <c r="Y295" i="8"/>
  <c r="Z295" i="8" s="1"/>
  <c r="G878" i="9"/>
  <c r="AK879" i="9"/>
  <c r="G879" i="9" l="1"/>
  <c r="G880" i="9" s="1"/>
  <c r="AK880" i="9"/>
  <c r="AK881" i="9" s="1"/>
  <c r="AK882" i="9" s="1"/>
  <c r="AK883" i="9" s="1"/>
  <c r="AK884" i="9" s="1"/>
  <c r="AK885" i="9" s="1"/>
  <c r="G882" i="9" l="1"/>
  <c r="G885" i="9"/>
  <c r="AK886" i="9"/>
  <c r="G886" i="9" l="1"/>
  <c r="AK887" i="9"/>
  <c r="F19" i="9"/>
  <c r="G1153" i="9"/>
  <c r="G887" i="9" l="1"/>
  <c r="AK888" i="9"/>
  <c r="F70" i="9"/>
  <c r="G888" i="9" l="1"/>
  <c r="AK889" i="9"/>
  <c r="G889" i="9" l="1"/>
  <c r="AK890" i="9"/>
  <c r="G890" i="9" l="1"/>
  <c r="AK891" i="9"/>
  <c r="AK892" i="9" s="1"/>
  <c r="AK893" i="9" s="1"/>
  <c r="AK894" i="9" s="1"/>
  <c r="G894" i="9" l="1"/>
  <c r="AK895" i="9"/>
  <c r="AK896" i="9" s="1"/>
  <c r="AK897" i="9" s="1"/>
  <c r="AK898" i="9" s="1"/>
  <c r="G891" i="9"/>
  <c r="G898" i="9" l="1"/>
  <c r="AK899" i="9"/>
  <c r="G895" i="9"/>
  <c r="Y305" i="8"/>
  <c r="Z305" i="8" s="1"/>
  <c r="G899" i="9" l="1"/>
  <c r="AK900" i="9"/>
  <c r="G900" i="9" l="1"/>
  <c r="AK901" i="9"/>
  <c r="G901" i="9" l="1"/>
  <c r="AK902" i="9"/>
  <c r="G902" i="9" l="1"/>
  <c r="AK903" i="9"/>
  <c r="G903" i="9" l="1"/>
  <c r="AK904" i="9"/>
  <c r="G904" i="9" l="1"/>
  <c r="AK905" i="9"/>
  <c r="G905" i="9" l="1"/>
  <c r="AK906" i="9"/>
  <c r="G906" i="9" l="1"/>
  <c r="AK907" i="9"/>
  <c r="G907" i="9" l="1"/>
  <c r="AK908" i="9"/>
  <c r="G908" i="9" l="1"/>
  <c r="AK909" i="9"/>
  <c r="AK910" i="9" s="1"/>
  <c r="AK911" i="9" s="1"/>
  <c r="AK912" i="9" s="1"/>
  <c r="G912" i="9" l="1"/>
  <c r="AK913" i="9"/>
  <c r="AK914" i="9" s="1"/>
  <c r="AK915" i="9" s="1"/>
  <c r="AK916" i="9" s="1"/>
  <c r="G909" i="9"/>
  <c r="G916" i="9" l="1"/>
  <c r="AK917" i="9"/>
  <c r="G913" i="9"/>
  <c r="Y304" i="8"/>
  <c r="Z304" i="8" s="1"/>
  <c r="G917" i="9" l="1"/>
  <c r="AK918" i="9"/>
  <c r="AK919" i="9" s="1"/>
  <c r="AK920" i="9" s="1"/>
  <c r="AK921" i="9" s="1"/>
  <c r="AK922" i="9" s="1"/>
  <c r="AK923" i="9" s="1"/>
  <c r="AK924" i="9" s="1"/>
  <c r="G924" i="9" l="1"/>
  <c r="AK925" i="9"/>
  <c r="AK926" i="9" s="1"/>
  <c r="AK927" i="9" s="1"/>
  <c r="AK928" i="9" s="1"/>
  <c r="AK929" i="9" s="1"/>
  <c r="G918" i="9"/>
  <c r="G920" i="9" l="1"/>
  <c r="G929" i="9"/>
  <c r="AK930" i="9"/>
  <c r="G926" i="9"/>
  <c r="Y95" i="8"/>
  <c r="Z95" i="8" s="1"/>
  <c r="G930" i="9" l="1"/>
  <c r="AK931" i="9"/>
  <c r="G931" i="9" l="1"/>
  <c r="AK932" i="9"/>
  <c r="G932" i="9" l="1"/>
  <c r="AK933" i="9"/>
  <c r="G933" i="9" l="1"/>
  <c r="AK934" i="9"/>
  <c r="AK935" i="9" s="1"/>
  <c r="AK936" i="9" s="1"/>
  <c r="AK937" i="9" s="1"/>
  <c r="G934" i="9" l="1"/>
  <c r="G937" i="9"/>
  <c r="AK938" i="9"/>
  <c r="G938" i="9" l="1"/>
  <c r="AK939" i="9"/>
  <c r="G939" i="9" l="1"/>
  <c r="AK940" i="9"/>
  <c r="G940" i="9" l="1"/>
  <c r="AK941" i="9"/>
  <c r="G941" i="9" l="1"/>
  <c r="AK942" i="9"/>
  <c r="G942" i="9" l="1"/>
  <c r="AK943" i="9"/>
  <c r="AK944" i="9" s="1"/>
  <c r="AK945" i="9" s="1"/>
  <c r="AK946" i="9" s="1"/>
  <c r="AK947" i="9" s="1"/>
  <c r="AK948" i="9" s="1"/>
  <c r="G948" i="9" l="1"/>
  <c r="AK949" i="9"/>
  <c r="G943" i="9"/>
  <c r="G945" i="9" l="1"/>
  <c r="G949" i="9"/>
  <c r="AK950" i="9"/>
  <c r="G950" i="9" l="1"/>
  <c r="AK951" i="9"/>
  <c r="F20" i="9"/>
  <c r="G1154" i="9"/>
  <c r="G951" i="9" l="1"/>
  <c r="AK952" i="9"/>
  <c r="F71" i="9"/>
  <c r="G952" i="9" l="1"/>
  <c r="AK953" i="9"/>
  <c r="G953" i="9" l="1"/>
  <c r="AK954" i="9"/>
  <c r="G954" i="9" l="1"/>
  <c r="AK955" i="9"/>
  <c r="G955" i="9" l="1"/>
  <c r="AK956" i="9"/>
  <c r="AK957" i="9" s="1"/>
  <c r="AK958" i="9" s="1"/>
  <c r="AK959" i="9" s="1"/>
  <c r="G959" i="9" l="1"/>
  <c r="AK960" i="9"/>
  <c r="AK961" i="9" s="1"/>
  <c r="AK962" i="9" s="1"/>
  <c r="AK963" i="9" s="1"/>
  <c r="AK964" i="9" s="1"/>
  <c r="G956" i="9"/>
  <c r="G961" i="9" l="1"/>
  <c r="Y245" i="8"/>
  <c r="Z245" i="8" s="1"/>
  <c r="F21" i="9"/>
  <c r="G1155" i="9"/>
  <c r="G964" i="9"/>
  <c r="AK965" i="9"/>
  <c r="AK966" i="9" s="1"/>
  <c r="AK967" i="9" s="1"/>
  <c r="AK968" i="9" s="1"/>
  <c r="AK969" i="9" s="1"/>
  <c r="AK970" i="9" s="1"/>
  <c r="AK971" i="9" s="1"/>
  <c r="AK972" i="9" s="1"/>
  <c r="F72" i="9" l="1"/>
  <c r="G972" i="9"/>
  <c r="AK973" i="9"/>
  <c r="AK974" i="9" s="1"/>
  <c r="AK975" i="9" s="1"/>
  <c r="AK976" i="9" s="1"/>
  <c r="G966" i="9"/>
  <c r="G968" i="9" s="1"/>
  <c r="Y246" i="8"/>
  <c r="Z246" i="8" s="1"/>
  <c r="G976" i="9" l="1"/>
  <c r="AK977" i="9"/>
  <c r="AK978" i="9" s="1"/>
  <c r="AK979" i="9" s="1"/>
  <c r="AK980" i="9" s="1"/>
  <c r="F25" i="9"/>
  <c r="G977" i="9" l="1"/>
  <c r="Y102" i="8"/>
  <c r="Z102" i="8" s="1"/>
  <c r="G980" i="9"/>
  <c r="AK981" i="9"/>
  <c r="AK982" i="9" s="1"/>
  <c r="AK983" i="9" s="1"/>
  <c r="AK984" i="9" s="1"/>
  <c r="F78" i="9"/>
  <c r="G981" i="9" l="1"/>
  <c r="Y103" i="8"/>
  <c r="Z103" i="8" s="1"/>
  <c r="G984" i="9"/>
  <c r="AK985" i="9"/>
  <c r="G985" i="9" l="1"/>
  <c r="AK986" i="9"/>
  <c r="G986" i="9" l="1"/>
  <c r="G987" i="9" s="1"/>
  <c r="AK987" i="9"/>
  <c r="AK988" i="9" s="1"/>
  <c r="AK989" i="9" s="1"/>
  <c r="AK990" i="9" s="1"/>
  <c r="G990" i="9" l="1"/>
  <c r="AK991" i="9"/>
  <c r="AK992" i="9" s="1"/>
  <c r="AK993" i="9" s="1"/>
  <c r="AK994" i="9" s="1"/>
  <c r="AK995" i="9" s="1"/>
  <c r="AK996" i="9" s="1"/>
  <c r="AK997" i="9" s="1"/>
  <c r="AK998" i="9" s="1"/>
  <c r="AK999" i="9" s="1"/>
  <c r="G991" i="9" l="1"/>
  <c r="Y105" i="8"/>
  <c r="Z105" i="8" s="1"/>
  <c r="G999" i="9"/>
  <c r="AK1000" i="9"/>
  <c r="AK1001" i="9" s="1"/>
  <c r="AK1002" i="9" s="1"/>
  <c r="AK1003" i="9" s="1"/>
  <c r="G1003" i="9" l="1"/>
  <c r="AK1004" i="9"/>
  <c r="G1000" i="9"/>
  <c r="G1156" i="9" s="1"/>
  <c r="Y99" i="8"/>
  <c r="Z99" i="8" s="1"/>
  <c r="G993" i="9"/>
  <c r="G1004" i="9" l="1"/>
  <c r="AK1005" i="9"/>
  <c r="G1158" i="9"/>
  <c r="G1005" i="9" l="1"/>
  <c r="AK1006" i="9"/>
  <c r="G1006" i="9" l="1"/>
  <c r="AK1007" i="9"/>
  <c r="G1007" i="9" l="1"/>
  <c r="AK1008" i="9"/>
  <c r="G1008" i="9" l="1"/>
  <c r="AK1009" i="9"/>
  <c r="G1009" i="9" l="1"/>
  <c r="AK1010" i="9"/>
  <c r="G1010" i="9" l="1"/>
  <c r="AK1011" i="9"/>
  <c r="G1011" i="9" l="1"/>
  <c r="AK1012" i="9"/>
  <c r="G1012" i="9" l="1"/>
  <c r="AK1013" i="9"/>
  <c r="G1013" i="9" l="1"/>
  <c r="AK1014" i="9"/>
  <c r="G1014" i="9" l="1"/>
  <c r="AK1015" i="9"/>
  <c r="G1015" i="9" l="1"/>
  <c r="AK1016" i="9"/>
  <c r="G1016" i="9" l="1"/>
  <c r="AK1017" i="9"/>
  <c r="G1017" i="9" l="1"/>
  <c r="AK1018" i="9"/>
  <c r="G1018" i="9" l="1"/>
  <c r="AK1019" i="9"/>
  <c r="AK1020" i="9" s="1"/>
  <c r="AK1021" i="9" s="1"/>
  <c r="AK1022" i="9" s="1"/>
  <c r="G1022" i="9" l="1"/>
  <c r="AK1023" i="9"/>
  <c r="G1019" i="9"/>
  <c r="G1023" i="9" l="1"/>
  <c r="AK1024" i="9"/>
  <c r="G1024" i="9" l="1"/>
  <c r="AK1025" i="9"/>
  <c r="G1025" i="9" l="1"/>
  <c r="AK1026" i="9"/>
  <c r="G1026" i="9" l="1"/>
  <c r="AK1027" i="9"/>
  <c r="G1027" i="9" l="1"/>
  <c r="AK1028" i="9"/>
  <c r="G1028" i="9" l="1"/>
  <c r="AK1029" i="9"/>
  <c r="G1029" i="9" l="1"/>
  <c r="AK1030" i="9"/>
  <c r="G1030" i="9" l="1"/>
  <c r="AK1031" i="9"/>
  <c r="G1031" i="9" l="1"/>
  <c r="AK1032" i="9"/>
  <c r="G1032" i="9" l="1"/>
  <c r="AK1033" i="9"/>
  <c r="G1033" i="9" l="1"/>
  <c r="AK1034" i="9"/>
  <c r="AK1035" i="9" s="1"/>
  <c r="AK1036" i="9" s="1"/>
  <c r="AK1037" i="9" s="1"/>
  <c r="G1037" i="9" l="1"/>
  <c r="AK1038" i="9"/>
  <c r="G1034" i="9"/>
  <c r="G1038" i="9" l="1"/>
  <c r="AK1039" i="9"/>
  <c r="G1039" i="9" l="1"/>
  <c r="AK1040" i="9"/>
  <c r="G1040" i="9" l="1"/>
  <c r="AK1041" i="9"/>
  <c r="G1041" i="9" l="1"/>
  <c r="AK1042" i="9"/>
  <c r="G1042" i="9" l="1"/>
  <c r="AK1043" i="9"/>
  <c r="G1043" i="9" l="1"/>
  <c r="AK1044" i="9"/>
  <c r="G1044" i="9" l="1"/>
  <c r="AK1045" i="9"/>
  <c r="G1045" i="9" l="1"/>
  <c r="AK1046" i="9"/>
  <c r="G1046" i="9" l="1"/>
  <c r="AK1047" i="9"/>
  <c r="G1047" i="9" l="1"/>
  <c r="AK1048" i="9"/>
  <c r="G1048" i="9" l="1"/>
  <c r="AK1049" i="9"/>
  <c r="G1049" i="9" l="1"/>
  <c r="AK1050" i="9"/>
  <c r="G1050" i="9" l="1"/>
  <c r="AK1051" i="9"/>
  <c r="G1051" i="9" l="1"/>
  <c r="AK1052" i="9"/>
  <c r="G1052" i="9" l="1"/>
  <c r="AK1053" i="9"/>
  <c r="AK1054" i="9" s="1"/>
  <c r="AK1055" i="9" s="1"/>
  <c r="AK1056" i="9" s="1"/>
  <c r="G1056" i="9" l="1"/>
  <c r="AK1057" i="9"/>
  <c r="G1053" i="9"/>
  <c r="G1057" i="9" l="1"/>
  <c r="AK1058" i="9"/>
  <c r="G1058" i="9" l="1"/>
  <c r="AK1059" i="9"/>
  <c r="G1059" i="9" l="1"/>
  <c r="AK1060" i="9"/>
  <c r="G1060" i="9" l="1"/>
  <c r="AK1061" i="9"/>
  <c r="G1061" i="9" l="1"/>
  <c r="AK1062" i="9"/>
  <c r="G1062" i="9" l="1"/>
  <c r="AK1063" i="9"/>
  <c r="G1063" i="9" l="1"/>
  <c r="AK1064" i="9"/>
  <c r="G1064" i="9" l="1"/>
  <c r="AK1065" i="9"/>
  <c r="G1065" i="9" l="1"/>
  <c r="AK1066" i="9"/>
  <c r="G1066" i="9" l="1"/>
  <c r="AK1067" i="9"/>
  <c r="G1067" i="9" l="1"/>
  <c r="AK1068" i="9"/>
  <c r="AK1069" i="9" s="1"/>
  <c r="AK1070" i="9" s="1"/>
  <c r="AK1071" i="9" s="1"/>
  <c r="AK1072" i="9" s="1"/>
  <c r="AK1073" i="9" s="1"/>
  <c r="G1073" i="9" l="1"/>
  <c r="AK1074" i="9"/>
  <c r="G1068" i="9"/>
  <c r="G1074" i="9" l="1"/>
  <c r="AK1075" i="9"/>
  <c r="G1070" i="9"/>
  <c r="F24" i="9" l="1"/>
  <c r="G1075" i="9"/>
  <c r="AK1076" i="9"/>
  <c r="F77" i="9" l="1"/>
  <c r="G1076" i="9"/>
  <c r="AK1077" i="9"/>
  <c r="G1077" i="9" l="1"/>
  <c r="AK1078" i="9"/>
  <c r="G1078" i="9" l="1"/>
  <c r="AK1079" i="9"/>
  <c r="AK1080" i="9" s="1"/>
  <c r="AK1081" i="9" s="1"/>
  <c r="AK1082" i="9" s="1"/>
  <c r="G1082" i="9" l="1"/>
  <c r="AK1083" i="9"/>
  <c r="G1083" i="9" l="1"/>
  <c r="AK1084" i="9"/>
  <c r="G1084" i="9" l="1"/>
  <c r="AK1085" i="9"/>
  <c r="G1085" i="9" l="1"/>
  <c r="AK1086" i="9"/>
  <c r="G1086" i="9" l="1"/>
  <c r="AK1087" i="9"/>
  <c r="G1087" i="9" l="1"/>
  <c r="AK1088" i="9"/>
  <c r="AK1089" i="9" s="1"/>
  <c r="AK1090" i="9" s="1"/>
  <c r="AK1091" i="9" s="1"/>
  <c r="G1088" i="9" l="1"/>
  <c r="G1091" i="9"/>
  <c r="AK1092" i="9"/>
  <c r="G1092" i="9" l="1"/>
  <c r="AK1093" i="9"/>
  <c r="G1093" i="9" l="1"/>
  <c r="AK1094" i="9"/>
  <c r="G1094" i="9" l="1"/>
  <c r="AK1095" i="9"/>
  <c r="G1095" i="9" l="1"/>
  <c r="AK1096" i="9"/>
  <c r="G1096" i="9" l="1"/>
  <c r="AK1097" i="9"/>
  <c r="G1097" i="9" l="1"/>
  <c r="AK1098" i="9"/>
  <c r="G1098" i="9" l="1"/>
  <c r="AK1099" i="9"/>
  <c r="G1099" i="9" l="1"/>
  <c r="AK1100" i="9"/>
  <c r="G1100" i="9" l="1"/>
  <c r="AK1101" i="9"/>
  <c r="G1101" i="9" l="1"/>
  <c r="AK1102" i="9"/>
  <c r="G1102" i="9" l="1"/>
  <c r="AK1103" i="9"/>
  <c r="G1103" i="9" l="1"/>
  <c r="AK1104" i="9"/>
  <c r="G1104" i="9" l="1"/>
  <c r="AK1105" i="9"/>
  <c r="AK1106" i="9" s="1"/>
  <c r="AK1107" i="9" s="1"/>
  <c r="AK1108" i="9" s="1"/>
  <c r="AK1109" i="9" s="1"/>
  <c r="AK1110" i="9" s="1"/>
  <c r="G1110" i="9" l="1"/>
  <c r="AK1111" i="9"/>
  <c r="G1105" i="9"/>
  <c r="G1107" i="9" s="1"/>
  <c r="G1111" i="9" l="1"/>
  <c r="AK1112" i="9"/>
  <c r="G1112" i="9" l="1"/>
  <c r="AK1113" i="9"/>
  <c r="AK1114" i="9" s="1"/>
  <c r="AK1115" i="9" s="1"/>
  <c r="G1115" i="9" l="1"/>
  <c r="AK1116" i="9"/>
  <c r="G1113" i="9"/>
  <c r="G1116" i="9" l="1"/>
  <c r="AK1117" i="9"/>
  <c r="G1117" i="9" l="1"/>
  <c r="AK1118" i="9"/>
  <c r="G1118" i="9" l="1"/>
  <c r="AK1119" i="9"/>
  <c r="G1119" i="9" l="1"/>
  <c r="AK1120" i="9"/>
  <c r="G1120" i="9" l="1"/>
  <c r="AK1121" i="9"/>
  <c r="AK1122" i="9" s="1"/>
  <c r="AK1123" i="9" s="1"/>
  <c r="AK1124" i="9" s="1"/>
  <c r="G1124" i="9" l="1"/>
  <c r="AK1125" i="9"/>
  <c r="G1121" i="9"/>
  <c r="G1125" i="9" l="1"/>
  <c r="AK1126" i="9"/>
  <c r="G1126" i="9" l="1"/>
  <c r="AK1127" i="9"/>
  <c r="G1127" i="9" l="1"/>
  <c r="AK1128" i="9"/>
  <c r="G1128" i="9" l="1"/>
  <c r="AK1129" i="9"/>
  <c r="G1129" i="9" l="1"/>
  <c r="AK1130" i="9"/>
  <c r="G1130" i="9" l="1"/>
  <c r="AK1131" i="9"/>
  <c r="G1131" i="9" l="1"/>
  <c r="AK1132" i="9"/>
  <c r="G1132" i="9" l="1"/>
  <c r="AK1133" i="9"/>
  <c r="G1133" i="9" l="1"/>
  <c r="AK1134" i="9"/>
  <c r="G1134" i="9" l="1"/>
  <c r="AK1135" i="9"/>
  <c r="G1135" i="9" l="1"/>
  <c r="AK1136" i="9"/>
  <c r="AK1137" i="9" s="1"/>
  <c r="AK1138" i="9" s="1"/>
  <c r="AK1139" i="9" s="1"/>
  <c r="AK1140" i="9" s="1"/>
  <c r="AK1141" i="9" s="1"/>
  <c r="AK1142" i="9" s="1"/>
  <c r="AK1143" i="9" s="1"/>
  <c r="AK1144" i="9" s="1"/>
  <c r="G1144" i="9" l="1"/>
  <c r="AK1145" i="9"/>
  <c r="G1136" i="9"/>
  <c r="G1138" i="9" s="1"/>
  <c r="G1145" i="9" l="1"/>
  <c r="AK1146" i="9"/>
  <c r="G1140" i="9"/>
  <c r="G1162" i="9" l="1"/>
  <c r="G1146" i="9"/>
  <c r="AK1147" i="9"/>
  <c r="AK1148" i="9" s="1"/>
  <c r="AK1149" i="9" s="1"/>
  <c r="AK1150" i="9" s="1"/>
  <c r="AK1151" i="9" s="1"/>
  <c r="AK1152" i="9" s="1"/>
  <c r="AK1153" i="9" s="1"/>
  <c r="AK1154" i="9" s="1"/>
  <c r="AK1155" i="9" s="1"/>
  <c r="AK1156" i="9" s="1"/>
  <c r="AK1157" i="9" s="1"/>
  <c r="AK1158" i="9" s="1"/>
  <c r="AK1159" i="9" s="1"/>
  <c r="AK1160" i="9" s="1"/>
  <c r="AK1161" i="9" s="1"/>
  <c r="AK1162" i="9" s="1"/>
  <c r="AK1163" i="9" s="1"/>
  <c r="AK1164" i="9" s="1"/>
  <c r="AK1165" i="9" s="1"/>
  <c r="AK1166" i="9" s="1"/>
  <c r="AK1167" i="9" s="1"/>
  <c r="AK1168" i="9" s="1"/>
  <c r="AK1169" i="9" s="1"/>
  <c r="AK1170" i="9" s="1"/>
  <c r="AK1171" i="9" s="1"/>
  <c r="AK1172" i="9" s="1"/>
  <c r="AK1173" i="9" s="1"/>
  <c r="AK1174" i="9" s="1"/>
  <c r="AK1175" i="9" s="1"/>
  <c r="G1175" i="9" l="1"/>
  <c r="AK1176" i="9"/>
  <c r="G1176" i="9" l="1"/>
  <c r="AK1177" i="9"/>
  <c r="G1177" i="9" l="1"/>
  <c r="AK1178" i="9"/>
  <c r="G1178" i="9" l="1"/>
  <c r="G1179" i="9" s="1"/>
  <c r="AK1179" i="9"/>
  <c r="AK1180" i="9" s="1"/>
  <c r="AK1181" i="9" s="1"/>
  <c r="AK1182" i="9" s="1"/>
  <c r="AK1183" i="9" s="1"/>
  <c r="AK1184" i="9" s="1"/>
  <c r="AK1185" i="9" s="1"/>
  <c r="AK1186" i="9" s="1"/>
  <c r="AK1187" i="9" s="1"/>
  <c r="AK1188" i="9" s="1"/>
  <c r="AK1189" i="9" s="1"/>
  <c r="AK1190" i="9" s="1"/>
  <c r="G1190" i="9" l="1"/>
  <c r="AK1191" i="9"/>
  <c r="G1191" i="9" l="1"/>
  <c r="AK1192" i="9"/>
  <c r="G1192" i="9" l="1"/>
  <c r="AK1193" i="9"/>
  <c r="G1193" i="9" l="1"/>
  <c r="AK1194" i="9"/>
  <c r="G1194" i="9" l="1"/>
  <c r="G1195" i="9" s="1"/>
  <c r="AK1195" i="9"/>
  <c r="AK1196" i="9" s="1"/>
  <c r="AK1197" i="9" s="1"/>
  <c r="AK1198" i="9" s="1"/>
  <c r="G1198" i="9" l="1"/>
  <c r="AK1199" i="9"/>
  <c r="G1199" i="9" l="1"/>
  <c r="AK1200" i="9"/>
  <c r="G1200" i="9" l="1"/>
  <c r="AK1201" i="9"/>
  <c r="G1201" i="9" l="1"/>
  <c r="AK1202" i="9"/>
  <c r="AK1203" i="9" s="1"/>
  <c r="AK1204" i="9" s="1"/>
  <c r="AK1205" i="9" s="1"/>
  <c r="G1202" i="9" l="1"/>
  <c r="G1205" i="9"/>
  <c r="AK1206" i="9"/>
  <c r="G1206" i="9" l="1"/>
  <c r="AK1207" i="9"/>
  <c r="G1207" i="9" l="1"/>
  <c r="AK1208" i="9"/>
  <c r="G1208" i="9" l="1"/>
  <c r="G1209" i="9" s="1"/>
  <c r="AK1209" i="9"/>
  <c r="AK1210" i="9" s="1"/>
  <c r="AK1211" i="9" s="1"/>
  <c r="AK1212" i="9" s="1"/>
  <c r="G1212" i="9" l="1"/>
  <c r="AK1213" i="9"/>
  <c r="G1213" i="9" l="1"/>
  <c r="AK1214" i="9"/>
  <c r="G1214" i="9" l="1"/>
  <c r="AK1215" i="9"/>
  <c r="G1215" i="9" l="1"/>
  <c r="AK1216" i="9"/>
  <c r="AK1217" i="9" s="1"/>
  <c r="AK1218" i="9" s="1"/>
  <c r="AK1219" i="9" s="1"/>
  <c r="G1219" i="9" l="1"/>
  <c r="AK1220" i="9"/>
  <c r="G1216" i="9"/>
  <c r="G1220" i="9" l="1"/>
  <c r="AK1221" i="9"/>
  <c r="G1221" i="9" l="1"/>
  <c r="AK1222" i="9"/>
  <c r="G1222" i="9" l="1"/>
  <c r="AK1223" i="9"/>
  <c r="AK1224" i="9" s="1"/>
  <c r="AK1225" i="9" s="1"/>
  <c r="AK1226" i="9" s="1"/>
  <c r="G1226" i="9" l="1"/>
  <c r="AK1227" i="9"/>
  <c r="G1223" i="9"/>
  <c r="G1227" i="9" l="1"/>
  <c r="AK1228" i="9"/>
  <c r="G1228" i="9" l="1"/>
  <c r="AK1229" i="9"/>
  <c r="G1229" i="9" l="1"/>
  <c r="AK1230" i="9"/>
  <c r="AK1231" i="9" s="1"/>
  <c r="AK1232" i="9" s="1"/>
  <c r="AK1233" i="9" s="1"/>
  <c r="AK1234" i="9" s="1"/>
  <c r="G1230" i="9" l="1"/>
  <c r="G1234" i="9"/>
  <c r="AK1235" i="9"/>
  <c r="AK1236" i="9" s="1"/>
  <c r="AK1237" i="9" s="1"/>
  <c r="AK1238" i="9" s="1"/>
  <c r="AK1239" i="9" s="1"/>
  <c r="AK1240" i="9" s="1"/>
  <c r="AK1241" i="9" s="1"/>
  <c r="G1235" i="9" l="1"/>
  <c r="G1238" i="9" s="1"/>
  <c r="G1241" i="9"/>
  <c r="AK1242" i="9"/>
  <c r="AK1243" i="9" s="1"/>
  <c r="AK1244" i="9" s="1"/>
  <c r="AK1245" i="9" s="1"/>
  <c r="G1242" i="9" l="1"/>
  <c r="G1245" i="9"/>
  <c r="AK1246" i="9"/>
  <c r="AK1247" i="9" s="1"/>
  <c r="AK1248" i="9" s="1"/>
  <c r="AK1249" i="9" s="1"/>
  <c r="G1246" i="9" l="1"/>
  <c r="G1249" i="9"/>
  <c r="AK1250" i="9"/>
  <c r="AK1251" i="9" s="1"/>
  <c r="AK1252" i="9" s="1"/>
  <c r="AK1253" i="9" s="1"/>
  <c r="G1250" i="9" l="1"/>
  <c r="G1253" i="9"/>
  <c r="AK1254" i="9"/>
  <c r="AK1255" i="9" s="1"/>
  <c r="AK1256" i="9" s="1"/>
  <c r="AK1257" i="9" s="1"/>
  <c r="G1254" i="9" l="1"/>
  <c r="G1257" i="9"/>
  <c r="AK1258" i="9"/>
  <c r="AK1259" i="9" s="1"/>
  <c r="AK1260" i="9" s="1"/>
  <c r="AK1261" i="9" s="1"/>
  <c r="G1261" i="9" l="1"/>
  <c r="AK1262" i="9"/>
  <c r="AK1263" i="9" s="1"/>
  <c r="AK1264" i="9" s="1"/>
  <c r="AK1265" i="9" s="1"/>
  <c r="AK1266" i="9" s="1"/>
  <c r="G1258" i="9"/>
  <c r="G1262" i="9" l="1"/>
  <c r="G1266" i="9"/>
  <c r="AK1267" i="9"/>
  <c r="AK1268" i="9" s="1"/>
  <c r="AK1269" i="9" s="1"/>
  <c r="AK1270" i="9" s="1"/>
  <c r="AK1271" i="9" s="1"/>
  <c r="AK1272" i="9" s="1"/>
  <c r="AK1273" i="9" s="1"/>
  <c r="G1267" i="9" l="1"/>
  <c r="G1270" i="9" s="1"/>
  <c r="G1273" i="9"/>
  <c r="AK1274" i="9"/>
  <c r="G1274" i="9" l="1"/>
  <c r="AK1275" i="9"/>
  <c r="G1275" i="9" l="1"/>
  <c r="AK1276" i="9"/>
  <c r="G1276" i="9" l="1"/>
  <c r="G1277" i="9" s="1"/>
  <c r="AK1277" i="9"/>
  <c r="AK1278" i="9" s="1"/>
  <c r="AK1279" i="9" s="1"/>
  <c r="AK1280" i="9" s="1"/>
  <c r="G1280" i="9" l="1"/>
  <c r="AK1281" i="9"/>
  <c r="G1281" i="9" l="1"/>
  <c r="AK1282" i="9"/>
  <c r="G1282" i="9" l="1"/>
  <c r="AK1283" i="9"/>
  <c r="G1283" i="9" l="1"/>
  <c r="AK1284" i="9"/>
  <c r="AK1285" i="9" s="1"/>
  <c r="AK1286" i="9" s="1"/>
  <c r="AK1287" i="9" s="1"/>
  <c r="G1287" i="9" l="1"/>
  <c r="AK1288" i="9"/>
  <c r="G1284" i="9"/>
  <c r="G1288" i="9" l="1"/>
  <c r="AK1289" i="9"/>
  <c r="G1289" i="9" l="1"/>
  <c r="AK1290" i="9"/>
  <c r="G1290" i="9" l="1"/>
  <c r="AK1291" i="9"/>
  <c r="AK1292" i="9" s="1"/>
  <c r="AK1293" i="9" s="1"/>
  <c r="AK1294" i="9" s="1"/>
  <c r="G1294" i="9" l="1"/>
  <c r="AK1295" i="9"/>
  <c r="G1291" i="9"/>
  <c r="G1295" i="9" l="1"/>
  <c r="AK1296" i="9"/>
  <c r="G1296" i="9" l="1"/>
  <c r="AK1297" i="9"/>
  <c r="G1297" i="9" l="1"/>
  <c r="AK1298" i="9"/>
  <c r="AK1299" i="9" s="1"/>
  <c r="AK1300" i="9" s="1"/>
  <c r="AK1301" i="9" s="1"/>
  <c r="G1298" i="9" l="1"/>
  <c r="G1301" i="9"/>
  <c r="AK1302" i="9"/>
  <c r="G1302" i="9" l="1"/>
  <c r="AK1303" i="9"/>
  <c r="G1303" i="9" l="1"/>
  <c r="AK1304" i="9"/>
  <c r="G1304" i="9" l="1"/>
  <c r="G1305" i="9" s="1"/>
  <c r="AK1305" i="9"/>
  <c r="AK1306" i="9" s="1"/>
  <c r="AK1307" i="9" s="1"/>
  <c r="AK1308" i="9" s="1"/>
  <c r="G1308" i="9" l="1"/>
  <c r="AK1309" i="9"/>
  <c r="G1309" i="9" l="1"/>
  <c r="AK1310" i="9"/>
  <c r="G1310" i="9" l="1"/>
  <c r="AK1311" i="9"/>
  <c r="G1311" i="9" l="1"/>
  <c r="G1312" i="9" s="1"/>
  <c r="AK1312" i="9"/>
  <c r="AK1313" i="9" s="1"/>
  <c r="AK1314" i="9" s="1"/>
  <c r="AK1315" i="9" s="1"/>
  <c r="G1315" i="9" l="1"/>
  <c r="AK1316" i="9"/>
  <c r="G1316" i="9" l="1"/>
  <c r="AK1317" i="9"/>
  <c r="G1317" i="9" l="1"/>
  <c r="AK1318" i="9"/>
  <c r="G1318" i="9" l="1"/>
  <c r="AK1319" i="9"/>
  <c r="AK1320" i="9" s="1"/>
  <c r="AK1321" i="9" s="1"/>
  <c r="AK1322" i="9" s="1"/>
  <c r="AK1323" i="9" s="1"/>
  <c r="G1319" i="9" l="1"/>
  <c r="G1323" i="9"/>
  <c r="AK1324" i="9"/>
  <c r="G1324" i="9" l="1"/>
  <c r="G1325" i="9" s="1"/>
  <c r="AK1325" i="9"/>
  <c r="AK1326" i="9" s="1"/>
  <c r="AK1327" i="9" s="1"/>
  <c r="AK1328" i="9" s="1"/>
  <c r="AK1329" i="9" s="1"/>
  <c r="AK1330" i="9" s="1"/>
  <c r="AK1331" i="9" s="1"/>
  <c r="G1328" i="9" l="1"/>
  <c r="G1331" i="9"/>
  <c r="AK1332" i="9"/>
  <c r="G1332" i="9" l="1"/>
  <c r="AK1333" i="9"/>
  <c r="G1333" i="9" l="1"/>
  <c r="AK1334" i="9"/>
  <c r="AK1335" i="9" s="1"/>
  <c r="AK1336" i="9" s="1"/>
  <c r="AK1337" i="9" s="1"/>
  <c r="G1337" i="9" l="1"/>
  <c r="AK1338" i="9"/>
  <c r="G1334" i="9"/>
  <c r="G1338" i="9" l="1"/>
  <c r="AK1339" i="9"/>
  <c r="G1339" i="9" l="1"/>
  <c r="AK1340" i="9"/>
  <c r="G1340" i="9" l="1"/>
  <c r="G1341" i="9" s="1"/>
  <c r="AK1341" i="9"/>
  <c r="AK1342" i="9" s="1"/>
  <c r="AK1343" i="9" s="1"/>
  <c r="AK1344" i="9" s="1"/>
  <c r="G1344" i="9" l="1"/>
  <c r="AK1345" i="9"/>
  <c r="G1345" i="9" l="1"/>
  <c r="AK1346" i="9"/>
  <c r="G1346" i="9" l="1"/>
  <c r="G1347" i="9" s="1"/>
  <c r="AK1347" i="9"/>
  <c r="AK1348" i="9" s="1"/>
  <c r="AK1349" i="9" s="1"/>
  <c r="AK1350" i="9" s="1"/>
  <c r="G1350" i="9" l="1"/>
  <c r="AK1351" i="9"/>
  <c r="G1351" i="9" l="1"/>
  <c r="AK1352" i="9"/>
  <c r="G1352" i="9" l="1"/>
  <c r="AK1353" i="9"/>
  <c r="G1353" i="9" l="1"/>
  <c r="AK1354" i="9"/>
  <c r="AK1355" i="9" s="1"/>
  <c r="AK1356" i="9" s="1"/>
  <c r="AK1357" i="9" s="1"/>
  <c r="G1357" i="9" l="1"/>
  <c r="AK1358" i="9"/>
  <c r="G1354" i="9"/>
  <c r="G1358" i="9" l="1"/>
  <c r="AK1359" i="9"/>
  <c r="G1359" i="9" l="1"/>
  <c r="AK1360" i="9"/>
  <c r="G1360" i="9" l="1"/>
  <c r="AK1361" i="9"/>
  <c r="AK1362" i="9" s="1"/>
  <c r="AK1363" i="9" s="1"/>
  <c r="AK1364" i="9" s="1"/>
  <c r="G1361" i="9" l="1"/>
  <c r="G1364" i="9"/>
  <c r="AK1365" i="9"/>
  <c r="G1365" i="9" l="1"/>
  <c r="AK1366" i="9"/>
  <c r="G1366" i="9" l="1"/>
  <c r="AK1367" i="9"/>
  <c r="G1367" i="9" l="1"/>
  <c r="G1368" i="9" s="1"/>
  <c r="AK1368" i="9"/>
  <c r="AK1369" i="9" s="1"/>
  <c r="AK1370" i="9" s="1"/>
  <c r="AK1371" i="9" s="1"/>
  <c r="G1371" i="9" l="1"/>
  <c r="AK1372" i="9"/>
  <c r="G1372" i="9" l="1"/>
  <c r="AK1373" i="9"/>
  <c r="G1373" i="9" l="1"/>
  <c r="AK1374" i="9"/>
  <c r="AK1375" i="9" s="1"/>
  <c r="AK1376" i="9" s="1"/>
  <c r="AK1377" i="9" s="1"/>
  <c r="G1377" i="9" l="1"/>
  <c r="AK1378" i="9"/>
  <c r="G1374" i="9"/>
  <c r="G1378" i="9" l="1"/>
  <c r="AK1379" i="9"/>
  <c r="AK1380" i="9" s="1"/>
  <c r="AK1381" i="9" s="1"/>
  <c r="AK1382" i="9" s="1"/>
  <c r="AK1383" i="9" s="1"/>
  <c r="AK1384" i="9" s="1"/>
  <c r="AK1385" i="9" s="1"/>
  <c r="G1385" i="9" l="1"/>
  <c r="AK1386" i="9"/>
  <c r="AK1387" i="9" s="1"/>
  <c r="AK1388" i="9" s="1"/>
  <c r="AK1389" i="9" s="1"/>
  <c r="AK1390" i="9" s="1"/>
  <c r="AK1391" i="9" s="1"/>
  <c r="G1379" i="9"/>
  <c r="G1381" i="9" l="1"/>
  <c r="G1386" i="9"/>
  <c r="G1391" i="9"/>
  <c r="AK1392" i="9"/>
  <c r="G1388" i="9" l="1"/>
  <c r="G1392" i="9"/>
  <c r="AK1393" i="9"/>
  <c r="G1393" i="9" l="1"/>
  <c r="AK1394" i="9"/>
  <c r="AK1395" i="9" s="1"/>
  <c r="AK1396" i="9" s="1"/>
  <c r="AK1397" i="9" s="1"/>
  <c r="G1394" i="9" l="1"/>
  <c r="G1397" i="9"/>
  <c r="AK1398" i="9"/>
  <c r="G1398" i="9" l="1"/>
  <c r="AK1399" i="9"/>
  <c r="G1399" i="9" l="1"/>
  <c r="AK1400" i="9"/>
  <c r="G1400" i="9" l="1"/>
  <c r="G1401" i="9" s="1"/>
  <c r="AK1401" i="9"/>
  <c r="AK1402" i="9" s="1"/>
  <c r="AK1403" i="9" s="1"/>
  <c r="AK1404" i="9" s="1"/>
  <c r="G1404" i="9" l="1"/>
  <c r="AK1405" i="9"/>
  <c r="G1405" i="9" l="1"/>
  <c r="AK1406" i="9"/>
  <c r="G1406" i="9" l="1"/>
  <c r="AK1407" i="9"/>
  <c r="AK1408" i="9" s="1"/>
  <c r="AK1409" i="9" s="1"/>
  <c r="AK1410" i="9" s="1"/>
  <c r="G1410" i="9" l="1"/>
  <c r="AK1411" i="9"/>
  <c r="G1407" i="9"/>
  <c r="G1411" i="9" l="1"/>
  <c r="AK1412" i="9"/>
  <c r="G1412" i="9" l="1"/>
  <c r="G1413" i="9" s="1"/>
  <c r="AK1413" i="9"/>
  <c r="AK1414" i="9" s="1"/>
  <c r="AK1415" i="9" s="1"/>
  <c r="AK1416" i="9" s="1"/>
  <c r="G1416" i="9" l="1"/>
  <c r="AK1417" i="9"/>
  <c r="G1417" i="9" l="1"/>
  <c r="AK1418" i="9"/>
  <c r="G1418" i="9" l="1"/>
  <c r="AK1419" i="9"/>
  <c r="AK1420" i="9" s="1"/>
  <c r="AK1421" i="9" s="1"/>
  <c r="AK1422" i="9" s="1"/>
  <c r="G1422" i="9" l="1"/>
  <c r="AK1423" i="9"/>
  <c r="G1419" i="9"/>
  <c r="G1423" i="9" l="1"/>
  <c r="AK1424" i="9"/>
  <c r="G1424" i="9" l="1"/>
  <c r="AK1425" i="9"/>
  <c r="AK1426" i="9" s="1"/>
  <c r="AK1427" i="9" s="1"/>
  <c r="AK1428" i="9" s="1"/>
  <c r="G1428" i="9" l="1"/>
  <c r="AK1429" i="9"/>
  <c r="G1425" i="9"/>
  <c r="G1429" i="9" l="1"/>
  <c r="AK1430" i="9"/>
  <c r="G1430" i="9" l="1"/>
  <c r="AK1431" i="9"/>
  <c r="AK1432" i="9" s="1"/>
  <c r="AK1433" i="9" s="1"/>
  <c r="AK1434" i="9" s="1"/>
  <c r="G1434" i="9" l="1"/>
  <c r="AK1435" i="9"/>
  <c r="G1431" i="9"/>
  <c r="G1435" i="9" l="1"/>
  <c r="AK1436" i="9"/>
  <c r="G1436" i="9" l="1"/>
  <c r="AK1437" i="9"/>
  <c r="AK1438" i="9" s="1"/>
  <c r="AK1439" i="9" s="1"/>
  <c r="AK1440" i="9" s="1"/>
  <c r="G1437" i="9" l="1"/>
  <c r="G1440" i="9"/>
  <c r="AK1441" i="9"/>
  <c r="G1441" i="9" l="1"/>
  <c r="AK1442" i="9"/>
  <c r="G1442" i="9" l="1"/>
  <c r="AK1443" i="9"/>
  <c r="AK1444" i="9" s="1"/>
  <c r="AK1445" i="9" s="1"/>
  <c r="AK1446" i="9" s="1"/>
  <c r="G1446" i="9" l="1"/>
  <c r="AK1447" i="9"/>
  <c r="AK1448" i="9" s="1"/>
  <c r="AK1449" i="9" s="1"/>
  <c r="AK1450" i="9" s="1"/>
  <c r="G1443" i="9"/>
  <c r="G1450" i="9" l="1"/>
  <c r="AK1451" i="9"/>
  <c r="AK1452" i="9" s="1"/>
  <c r="AK1453" i="9" s="1"/>
  <c r="AK1454" i="9" s="1"/>
  <c r="AK1455" i="9" s="1"/>
  <c r="AK1456" i="9" s="1"/>
  <c r="G1447" i="9"/>
  <c r="G1451" i="9" l="1"/>
  <c r="G1456" i="9"/>
  <c r="AK1457" i="9"/>
  <c r="AK1458" i="9" s="1"/>
  <c r="AK1459" i="9" s="1"/>
  <c r="AK1460" i="9" s="1"/>
  <c r="G1457" i="9" l="1"/>
  <c r="G1453" i="9"/>
  <c r="G1460" i="9"/>
  <c r="AK1461" i="9"/>
  <c r="AK1462" i="9" s="1"/>
  <c r="AK1463" i="9" s="1"/>
  <c r="AK1464" i="9" s="1"/>
  <c r="G1464" i="9" l="1"/>
  <c r="AK1465" i="9"/>
  <c r="AK1466" i="9" s="1"/>
  <c r="AK1467" i="9" s="1"/>
  <c r="AK1468" i="9" s="1"/>
  <c r="G1461" i="9"/>
  <c r="G1468" i="9" l="1"/>
  <c r="AK1469" i="9"/>
  <c r="AK1470" i="9" s="1"/>
  <c r="AK1471" i="9" s="1"/>
  <c r="AK1472" i="9" s="1"/>
  <c r="G1465" i="9"/>
  <c r="G1472" i="9" l="1"/>
  <c r="AK1473" i="9"/>
  <c r="AK1474" i="9" s="1"/>
  <c r="AK1475" i="9" s="1"/>
  <c r="AK1476" i="9" s="1"/>
  <c r="G1469" i="9"/>
  <c r="G1476" i="9" l="1"/>
  <c r="AK1477" i="9"/>
  <c r="AK1478" i="9" s="1"/>
  <c r="AK1479" i="9" s="1"/>
  <c r="AK1480" i="9" s="1"/>
  <c r="G1473" i="9"/>
  <c r="G1480" i="9" l="1"/>
  <c r="AK1481" i="9"/>
  <c r="AK1482" i="9" s="1"/>
  <c r="AK1483" i="9" s="1"/>
  <c r="AK1484" i="9" s="1"/>
  <c r="G1477" i="9"/>
  <c r="G1484" i="9" l="1"/>
  <c r="AK1485" i="9"/>
  <c r="AK1486" i="9" s="1"/>
  <c r="AK1487" i="9" s="1"/>
  <c r="AK1488" i="9" s="1"/>
  <c r="G1481" i="9"/>
  <c r="G1488" i="9" l="1"/>
  <c r="AK1489" i="9"/>
  <c r="AK1490" i="9" s="1"/>
  <c r="AK1491" i="9" s="1"/>
  <c r="AK1492" i="9" s="1"/>
  <c r="G1485" i="9"/>
  <c r="G1492" i="9" l="1"/>
  <c r="AK1493" i="9"/>
  <c r="AK1494" i="9" s="1"/>
  <c r="AK1495" i="9" s="1"/>
  <c r="AK1496" i="9" s="1"/>
  <c r="G1489" i="9"/>
  <c r="G1493" i="9" l="1"/>
  <c r="G1496" i="9"/>
  <c r="AK1497" i="9"/>
  <c r="AK1498" i="9" s="1"/>
  <c r="AK1499" i="9" s="1"/>
  <c r="AK1500" i="9" s="1"/>
  <c r="G1500" i="9" l="1"/>
  <c r="AK1501" i="9"/>
  <c r="AK1502" i="9" s="1"/>
  <c r="AK1503" i="9" s="1"/>
  <c r="AK1504" i="9" s="1"/>
  <c r="G1497" i="9"/>
  <c r="G1504" i="9" l="1"/>
  <c r="AK1505" i="9"/>
  <c r="AK1506" i="9" s="1"/>
  <c r="AK1507" i="9" s="1"/>
  <c r="AK1508" i="9" s="1"/>
  <c r="G1501" i="9"/>
  <c r="G1508" i="9" l="1"/>
  <c r="AK1509" i="9"/>
  <c r="AK1510" i="9" s="1"/>
  <c r="AK1511" i="9" s="1"/>
  <c r="AK1512" i="9" s="1"/>
  <c r="G1505" i="9"/>
  <c r="G1509" i="9" l="1"/>
  <c r="G1512" i="9"/>
  <c r="AK1513" i="9"/>
  <c r="AK1514" i="9" s="1"/>
  <c r="AK1515" i="9" s="1"/>
  <c r="AK1516" i="9" s="1"/>
  <c r="AK1517" i="9" s="1"/>
  <c r="AK1518" i="9" s="1"/>
  <c r="AK1519" i="9" s="1"/>
  <c r="G1519" i="9" l="1"/>
  <c r="AK1520" i="9"/>
  <c r="G1513" i="9"/>
  <c r="G1520" i="9" l="1"/>
  <c r="AK1521" i="9"/>
  <c r="G1516" i="9"/>
  <c r="G1521" i="9" l="1"/>
  <c r="AK1522" i="9"/>
  <c r="G1522" i="9" l="1"/>
  <c r="AK1523" i="9"/>
  <c r="G1523" i="9" l="1"/>
  <c r="AK1524" i="9"/>
  <c r="AK1525" i="9" s="1"/>
  <c r="AK1526" i="9" s="1"/>
  <c r="AK1527" i="9" s="1"/>
  <c r="G1524" i="9" l="1"/>
  <c r="G1527" i="9"/>
  <c r="AK1528" i="9"/>
  <c r="G1528" i="9" l="1"/>
  <c r="AK1529" i="9"/>
  <c r="G1529" i="9" l="1"/>
  <c r="AK1530" i="9"/>
  <c r="G1530" i="9" l="1"/>
  <c r="AK1531" i="9"/>
  <c r="G1531" i="9" l="1"/>
  <c r="AK1532" i="9"/>
  <c r="G1532" i="9" l="1"/>
  <c r="AK1533" i="9"/>
  <c r="G1533" i="9" l="1"/>
  <c r="AK1534" i="9"/>
  <c r="AK1535" i="9" s="1"/>
  <c r="AK1536" i="9" s="1"/>
  <c r="AK1537" i="9" s="1"/>
  <c r="G1537" i="9" l="1"/>
  <c r="AK1538" i="9"/>
  <c r="G1534" i="9"/>
  <c r="G1538" i="9" l="1"/>
  <c r="AK1539" i="9"/>
  <c r="G1539" i="9" l="1"/>
  <c r="AK1540" i="9"/>
  <c r="G1540" i="9" l="1"/>
  <c r="AK1541" i="9"/>
  <c r="G1541" i="9" l="1"/>
  <c r="AK1542" i="9"/>
  <c r="G1542" i="9" l="1"/>
  <c r="AK1543" i="9"/>
  <c r="G1543" i="9" l="1"/>
  <c r="AK1544" i="9"/>
  <c r="G1544" i="9" l="1"/>
  <c r="AK1545" i="9"/>
  <c r="G1545" i="9" l="1"/>
  <c r="AK1546" i="9"/>
  <c r="AK1547" i="9" s="1"/>
  <c r="AK1548" i="9" s="1"/>
  <c r="AK1549" i="9" s="1"/>
  <c r="G1549" i="9" l="1"/>
  <c r="AK1550" i="9"/>
  <c r="G1546" i="9"/>
  <c r="G1550" i="9" l="1"/>
  <c r="AK1551" i="9"/>
  <c r="G1551" i="9" l="1"/>
  <c r="AK1552" i="9"/>
  <c r="G1552" i="9" l="1"/>
  <c r="AK1553" i="9"/>
  <c r="G1553" i="9" l="1"/>
  <c r="AK1554" i="9"/>
  <c r="G1554" i="9" l="1"/>
  <c r="AK1555" i="9"/>
  <c r="G1555" i="9" l="1"/>
  <c r="AK1556" i="9"/>
  <c r="G1556" i="9" l="1"/>
  <c r="AK1557" i="9"/>
  <c r="G1557" i="9" l="1"/>
  <c r="AK1558" i="9"/>
  <c r="AK1559" i="9" s="1"/>
  <c r="AK1560" i="9" s="1"/>
  <c r="AK1561" i="9" s="1"/>
  <c r="G1561" i="9" l="1"/>
  <c r="AK1562" i="9"/>
  <c r="G1558" i="9"/>
  <c r="G1562" i="9" l="1"/>
  <c r="AK1563" i="9"/>
  <c r="G1563" i="9" l="1"/>
  <c r="AK1564" i="9"/>
  <c r="G1564" i="9" l="1"/>
  <c r="AK1565" i="9"/>
  <c r="G1565" i="9" l="1"/>
  <c r="AK1566" i="9"/>
  <c r="G1566" i="9" l="1"/>
  <c r="AK1567" i="9"/>
  <c r="AK1568" i="9" s="1"/>
  <c r="AK1569" i="9" s="1"/>
  <c r="AK1570" i="9" s="1"/>
  <c r="G1567" i="9" l="1"/>
  <c r="G1570" i="9"/>
  <c r="AK1571" i="9"/>
  <c r="G1571" i="9" l="1"/>
  <c r="AK1572" i="9"/>
  <c r="G1572" i="9" l="1"/>
  <c r="AK1573" i="9"/>
  <c r="G1573" i="9" l="1"/>
  <c r="AK1574" i="9"/>
  <c r="G1574" i="9" l="1"/>
  <c r="AK1575" i="9"/>
  <c r="G1575" i="9" l="1"/>
  <c r="AK1576" i="9"/>
  <c r="G1576" i="9" l="1"/>
  <c r="AK1577" i="9"/>
  <c r="G1577" i="9" l="1"/>
  <c r="AK1578" i="9"/>
  <c r="AK1579" i="9" s="1"/>
  <c r="AK1580" i="9" s="1"/>
  <c r="AK1581" i="9" s="1"/>
  <c r="G1581" i="9" l="1"/>
  <c r="AK1582" i="9"/>
  <c r="G1578" i="9"/>
  <c r="G1582" i="9" l="1"/>
  <c r="AK1583" i="9"/>
  <c r="G1583" i="9" l="1"/>
  <c r="AK1584" i="9"/>
  <c r="G1584" i="9" l="1"/>
  <c r="AK1585" i="9"/>
  <c r="G1585" i="9" l="1"/>
  <c r="AK1586" i="9"/>
  <c r="G1586" i="9" l="1"/>
  <c r="AK1587" i="9"/>
  <c r="G1587" i="9" l="1"/>
  <c r="AK1588" i="9"/>
  <c r="G1588" i="9" l="1"/>
  <c r="AK1589" i="9"/>
  <c r="AK1590" i="9" s="1"/>
  <c r="AK1591" i="9" s="1"/>
  <c r="AK1592" i="9" s="1"/>
  <c r="G1592" i="9" l="1"/>
  <c r="AK1593" i="9"/>
  <c r="G1589" i="9"/>
  <c r="G1593" i="9" l="1"/>
  <c r="AK1594" i="9"/>
  <c r="G1594" i="9" l="1"/>
  <c r="AK1595" i="9"/>
  <c r="G1595" i="9" l="1"/>
  <c r="AK1596" i="9"/>
  <c r="G1596" i="9" l="1"/>
  <c r="AK1597" i="9"/>
  <c r="G1597" i="9" l="1"/>
  <c r="AK1598" i="9"/>
  <c r="G1598" i="9" l="1"/>
  <c r="AK1599" i="9"/>
  <c r="G1599" i="9" l="1"/>
  <c r="AK1600" i="9"/>
  <c r="AK1601" i="9" s="1"/>
  <c r="AK1602" i="9" s="1"/>
  <c r="AK1603" i="9" s="1"/>
  <c r="G1603" i="9" l="1"/>
  <c r="AK1604" i="9"/>
  <c r="G1600" i="9"/>
  <c r="G1604" i="9" l="1"/>
  <c r="AK1605" i="9"/>
  <c r="G1605" i="9" l="1"/>
  <c r="AK1606" i="9"/>
  <c r="G1606" i="9" l="1"/>
  <c r="AK1607" i="9"/>
  <c r="G1607" i="9" l="1"/>
  <c r="AK1608" i="9"/>
  <c r="G1608" i="9" l="1"/>
  <c r="AK1609" i="9"/>
  <c r="G1609" i="9" l="1"/>
  <c r="AK1610" i="9"/>
  <c r="G1610" i="9" l="1"/>
  <c r="AK1611" i="9"/>
  <c r="G1611" i="9" l="1"/>
  <c r="AK1612" i="9"/>
  <c r="AK1613" i="9" s="1"/>
  <c r="AK1614" i="9" s="1"/>
  <c r="AK1615" i="9" s="1"/>
  <c r="G1612" i="9" l="1"/>
  <c r="G1615" i="9"/>
  <c r="AK1616" i="9"/>
  <c r="G1616" i="9" l="1"/>
  <c r="AK1617" i="9"/>
  <c r="G1617" i="9" l="1"/>
  <c r="AK1618" i="9"/>
  <c r="G1618" i="9" l="1"/>
  <c r="AK1619" i="9"/>
  <c r="G1619" i="9" l="1"/>
  <c r="AK1620" i="9"/>
  <c r="G1620" i="9" l="1"/>
  <c r="AK1621" i="9"/>
  <c r="G1621" i="9" l="1"/>
  <c r="AK1622" i="9"/>
  <c r="G1622" i="9" l="1"/>
  <c r="AK1623" i="9"/>
  <c r="AK1624" i="9" s="1"/>
  <c r="AK1625" i="9" s="1"/>
  <c r="AK1626" i="9" s="1"/>
  <c r="G1623" i="9" l="1"/>
  <c r="G1626" i="9"/>
  <c r="AK1627" i="9"/>
  <c r="G1627" i="9" l="1"/>
  <c r="AK1628" i="9"/>
  <c r="AK1629" i="9" s="1"/>
  <c r="AK1630" i="9" s="1"/>
  <c r="AK1631" i="9" s="1"/>
  <c r="AK1632" i="9" s="1"/>
  <c r="G1629" i="9" l="1"/>
  <c r="G1632" i="9"/>
  <c r="AK1633" i="9"/>
  <c r="AK1634" i="9" s="1"/>
  <c r="AK1635" i="9" s="1"/>
  <c r="G1633" i="9" l="1"/>
  <c r="G1635" i="9"/>
  <c r="AK1636" i="9"/>
  <c r="AK1637" i="9" s="1"/>
  <c r="AK1638" i="9" s="1"/>
  <c r="AK1639" i="9" s="1"/>
  <c r="AK1640" i="9" s="1"/>
  <c r="G1640" i="9" l="1"/>
  <c r="AK1641" i="9"/>
  <c r="G1636" i="9"/>
  <c r="G1641" i="9" l="1"/>
  <c r="AK1642" i="9"/>
  <c r="G1642" i="9" l="1"/>
  <c r="AK1643" i="9"/>
  <c r="AK1644" i="9" s="1"/>
  <c r="AK1645" i="9" s="1"/>
  <c r="AK1646" i="9" s="1"/>
  <c r="AK1647" i="9" s="1"/>
  <c r="AK1648" i="9" s="1"/>
  <c r="AK1649" i="9" s="1"/>
  <c r="G1649" i="9" l="1"/>
  <c r="AK1650" i="9"/>
  <c r="AK1651" i="9" s="1"/>
  <c r="AK1652" i="9" s="1"/>
  <c r="G1643" i="9"/>
  <c r="G1652" i="9" l="1"/>
  <c r="AK1653" i="9"/>
  <c r="AK1654" i="9" s="1"/>
  <c r="AK1655" i="9" s="1"/>
  <c r="AK1656" i="9" s="1"/>
  <c r="G1645" i="9"/>
  <c r="G1650" i="9"/>
  <c r="G1656" i="9" l="1"/>
  <c r="AK1657" i="9"/>
  <c r="G1653" i="9"/>
  <c r="G1657" i="9" l="1"/>
  <c r="AK1658" i="9"/>
  <c r="G1658" i="9" l="1"/>
  <c r="AK1659" i="9"/>
  <c r="G1659" i="9" l="1"/>
  <c r="AK1660" i="9"/>
  <c r="G1660" i="9" l="1"/>
  <c r="AK1661" i="9"/>
  <c r="G1661" i="9" l="1"/>
  <c r="AK1662" i="9"/>
  <c r="AK1663" i="9" s="1"/>
  <c r="AK1664" i="9" s="1"/>
  <c r="AK1665" i="9" s="1"/>
  <c r="G1665" i="9" l="1"/>
  <c r="AK1666" i="9"/>
  <c r="G1662" i="9"/>
  <c r="G1666" i="9" l="1"/>
  <c r="AK1667" i="9"/>
  <c r="G1667" i="9" l="1"/>
  <c r="AK1668" i="9"/>
  <c r="G1668" i="9" l="1"/>
  <c r="AK1669" i="9"/>
  <c r="G1669" i="9" l="1"/>
  <c r="G1670" i="9" s="1"/>
  <c r="AK1670" i="9"/>
  <c r="AK1671" i="9" s="1"/>
  <c r="AK1672" i="9" s="1"/>
  <c r="AK1673" i="9" s="1"/>
  <c r="AK1674" i="9" s="1"/>
  <c r="AK1675" i="9" s="1"/>
  <c r="G1672" i="9" l="1"/>
  <c r="G1675" i="9"/>
  <c r="AK1676" i="9"/>
  <c r="G1676" i="9" l="1"/>
  <c r="AK1677" i="9"/>
  <c r="G1677" i="9" l="1"/>
  <c r="G1678" i="9" s="1"/>
  <c r="AK1678" i="9"/>
  <c r="AK1679" i="9" s="1"/>
  <c r="AK1680" i="9" s="1"/>
  <c r="G1680" i="9" l="1"/>
  <c r="AK1681" i="9"/>
  <c r="G1681" i="9" l="1"/>
  <c r="AK1682" i="9"/>
  <c r="G1682" i="9" l="1"/>
  <c r="AK1683" i="9"/>
  <c r="G1683" i="9" l="1"/>
  <c r="AK1684" i="9"/>
  <c r="G1684" i="9" l="1"/>
  <c r="AK1685" i="9"/>
  <c r="G1685" i="9" l="1"/>
  <c r="AK1686" i="9"/>
  <c r="AK1687" i="9" s="1"/>
  <c r="AK1688" i="9" s="1"/>
  <c r="AK1689" i="9" s="1"/>
  <c r="G1689" i="9" l="1"/>
  <c r="AK1690" i="9"/>
  <c r="G1686" i="9"/>
  <c r="G1690" i="9" l="1"/>
  <c r="AK1691" i="9"/>
  <c r="G1691" i="9" l="1"/>
  <c r="AK1692" i="9"/>
  <c r="G1692" i="9" l="1"/>
  <c r="AK1693" i="9"/>
  <c r="G1693" i="9" l="1"/>
  <c r="AK1694" i="9"/>
  <c r="G1694" i="9" l="1"/>
  <c r="AK1695" i="9"/>
  <c r="G1695" i="9" l="1"/>
  <c r="AK1696" i="9"/>
  <c r="AK1697" i="9" s="1"/>
  <c r="AK1698" i="9" s="1"/>
  <c r="G1698" i="9" l="1"/>
  <c r="AK1699" i="9"/>
  <c r="AK1700" i="9" s="1"/>
  <c r="AK1701" i="9" s="1"/>
  <c r="AK1702" i="9" s="1"/>
  <c r="G1696" i="9"/>
  <c r="G1702" i="9" l="1"/>
  <c r="AK1703" i="9"/>
  <c r="AD1698" i="9"/>
  <c r="G1699" i="9"/>
  <c r="AD1699" i="9" s="1"/>
  <c r="G1703" i="9" l="1"/>
  <c r="AK1704" i="9"/>
  <c r="G1704" i="9" l="1"/>
  <c r="AK1705" i="9"/>
  <c r="G1705" i="9" l="1"/>
  <c r="AK1706" i="9"/>
  <c r="AK1707" i="9" s="1"/>
  <c r="AK1708" i="9" s="1"/>
  <c r="AK1709" i="9" s="1"/>
  <c r="AK1710" i="9" s="1"/>
  <c r="AK1711" i="9" s="1"/>
  <c r="AK1712" i="9" s="1"/>
  <c r="AK1713" i="9" s="1"/>
  <c r="AK1714" i="9" s="1"/>
  <c r="G1714" i="9" l="1"/>
  <c r="AK1715" i="9"/>
  <c r="G1706" i="9"/>
  <c r="G1708" i="9" l="1"/>
  <c r="G1715" i="9"/>
  <c r="AK1716" i="9"/>
  <c r="G1711" i="9" l="1"/>
  <c r="G1716" i="9"/>
  <c r="AK1717" i="9"/>
  <c r="G1717" i="9" l="1"/>
  <c r="AK1718" i="9"/>
  <c r="F33" i="9"/>
  <c r="G1718" i="9" l="1"/>
  <c r="AK1719" i="9"/>
  <c r="G1719" i="9" l="1"/>
  <c r="AK1720" i="9"/>
  <c r="AK1721" i="9" s="1"/>
  <c r="AK1722" i="9" s="1"/>
  <c r="AK1723" i="9" s="1"/>
  <c r="G1723" i="9" l="1"/>
  <c r="AK1724" i="9"/>
  <c r="G1720" i="9"/>
  <c r="F34" i="9" l="1"/>
  <c r="G1724" i="9"/>
  <c r="AK1725" i="9"/>
  <c r="G1725" i="9" l="1"/>
  <c r="AK1726" i="9"/>
  <c r="AK1727" i="9" s="1"/>
  <c r="AK1728" i="9" s="1"/>
  <c r="AK1729" i="9" s="1"/>
  <c r="G1729" i="9" l="1"/>
  <c r="AK1730" i="9"/>
  <c r="G1726" i="9"/>
  <c r="G1730" i="9" l="1"/>
  <c r="AK1731" i="9"/>
  <c r="G1731" i="9" l="1"/>
  <c r="AK1732" i="9"/>
  <c r="AK1733" i="9" s="1"/>
  <c r="AK1734" i="9" s="1"/>
  <c r="G1734" i="9" l="1"/>
  <c r="AK1735" i="9"/>
  <c r="AK1736" i="9" s="1"/>
  <c r="AK1737" i="9" s="1"/>
  <c r="AK1738" i="9" s="1"/>
  <c r="G1732" i="9"/>
  <c r="F36" i="9" l="1"/>
  <c r="G1738" i="9"/>
  <c r="AK1739" i="9"/>
  <c r="F37" i="9"/>
  <c r="G1735" i="9"/>
  <c r="G1739" i="9" l="1"/>
  <c r="G1740" i="9" s="1"/>
  <c r="AK1740" i="9"/>
  <c r="AK1741" i="9" s="1"/>
  <c r="AK1742" i="9" s="1"/>
  <c r="AK1743" i="9" s="1"/>
  <c r="G1743" i="9" l="1"/>
  <c r="AK1744" i="9"/>
  <c r="G1744" i="9" l="1"/>
  <c r="AK1745" i="9"/>
  <c r="G1745" i="9" l="1"/>
  <c r="AK1746" i="9"/>
  <c r="G1746" i="9" l="1"/>
  <c r="AK1747" i="9"/>
  <c r="AK1748" i="9" s="1"/>
  <c r="AK1749" i="9" s="1"/>
  <c r="AK1750" i="9" s="1"/>
  <c r="G1747" i="9" l="1"/>
  <c r="G1750" i="9"/>
  <c r="AK1751" i="9"/>
  <c r="G1751" i="9" l="1"/>
  <c r="AK1752" i="9"/>
  <c r="G1752" i="9" l="1"/>
  <c r="AK1753" i="9"/>
  <c r="G1753" i="9" l="1"/>
  <c r="AK1754" i="9"/>
  <c r="G1754" i="9" l="1"/>
  <c r="AK1755" i="9"/>
  <c r="AK1756" i="9" s="1"/>
  <c r="AK1757" i="9" s="1"/>
  <c r="AK1758" i="9" s="1"/>
  <c r="AK1759" i="9" s="1"/>
  <c r="AK1760" i="9" s="1"/>
  <c r="G1760" i="9" l="1"/>
  <c r="AK1761" i="9"/>
  <c r="G1755" i="9"/>
  <c r="G1761" i="9" l="1"/>
  <c r="AK1762" i="9"/>
  <c r="G1757" i="9"/>
  <c r="F42" i="9" l="1"/>
  <c r="G1762" i="9"/>
  <c r="AK1763" i="9"/>
  <c r="AK1764" i="9" s="1"/>
  <c r="AK1765" i="9" s="1"/>
  <c r="AK1766" i="9" s="1"/>
  <c r="G1766" i="9" l="1"/>
  <c r="AK1767" i="9"/>
  <c r="AK1768" i="9" s="1"/>
  <c r="AK1769" i="9" s="1"/>
  <c r="AK1770" i="9" s="1"/>
  <c r="G1763" i="9"/>
  <c r="G1770" i="9" l="1"/>
  <c r="AK1771" i="9"/>
  <c r="AK1772" i="9" s="1"/>
  <c r="AK1773" i="9" s="1"/>
  <c r="AK1774" i="9" s="1"/>
  <c r="G1767" i="9"/>
  <c r="G1771" i="9" l="1"/>
  <c r="G1774" i="9"/>
  <c r="AK1775" i="9"/>
  <c r="AK1776" i="9" s="1"/>
  <c r="AK1777" i="9" s="1"/>
  <c r="AK1778" i="9" s="1"/>
  <c r="G1778" i="9" l="1"/>
  <c r="AK1779" i="9"/>
  <c r="AK1780" i="9" s="1"/>
  <c r="AK1781" i="9" s="1"/>
  <c r="AK1782" i="9" s="1"/>
  <c r="AK1783" i="9" s="1"/>
  <c r="AK1784" i="9" s="1"/>
  <c r="G1775" i="9"/>
  <c r="G1784" i="9" l="1"/>
  <c r="AK1785" i="9"/>
  <c r="G1779" i="9"/>
  <c r="G1781" i="9" s="1"/>
  <c r="Y238" i="8"/>
  <c r="Z238" i="8" s="1"/>
  <c r="G1785" i="9" l="1"/>
  <c r="AK1786" i="9"/>
  <c r="F39" i="9"/>
  <c r="G1786" i="9" l="1"/>
  <c r="AK1787" i="9"/>
  <c r="G1787" i="9" l="1"/>
  <c r="AK1788" i="9"/>
  <c r="G1788" i="9" l="1"/>
  <c r="AK1789" i="9"/>
  <c r="G1789" i="9" l="1"/>
  <c r="AK1790" i="9"/>
  <c r="G1790" i="9" l="1"/>
  <c r="AK1791" i="9"/>
  <c r="G1791" i="9" l="1"/>
  <c r="AK1792" i="9"/>
  <c r="G1792" i="9" l="1"/>
  <c r="AK1793" i="9"/>
  <c r="G1793" i="9" l="1"/>
  <c r="AK1794" i="9"/>
  <c r="G1794" i="9" l="1"/>
  <c r="AK1795" i="9"/>
  <c r="G1795" i="9" l="1"/>
  <c r="AK1796" i="9"/>
  <c r="G1796" i="9" l="1"/>
  <c r="AK1797" i="9"/>
  <c r="AK1798" i="9" s="1"/>
  <c r="AK1799" i="9" s="1"/>
  <c r="AK1800" i="9" s="1"/>
  <c r="G1800" i="9" l="1"/>
  <c r="AK1801" i="9"/>
  <c r="AK1802" i="9" s="1"/>
  <c r="AK1803" i="9" s="1"/>
  <c r="AK1804" i="9" s="1"/>
  <c r="AK1805" i="9" s="1"/>
  <c r="G1797" i="9"/>
  <c r="G1805" i="9" l="1"/>
  <c r="AK1806" i="9"/>
  <c r="AK1807" i="9" s="1"/>
  <c r="AK1808" i="9" s="1"/>
  <c r="AK1809" i="9" s="1"/>
  <c r="AK1810" i="9" s="1"/>
  <c r="AK1811" i="9" s="1"/>
  <c r="AK1812" i="9" s="1"/>
  <c r="G1802" i="9"/>
  <c r="G1812" i="9" l="1"/>
  <c r="AK1813" i="9"/>
  <c r="G1807" i="9"/>
  <c r="Y237" i="8"/>
  <c r="Z237" i="8" s="1"/>
  <c r="G1809" i="9" l="1"/>
  <c r="G1813" i="9"/>
  <c r="AK1814" i="9"/>
  <c r="G1814" i="9" l="1"/>
  <c r="AK1815" i="9"/>
  <c r="F40" i="9"/>
  <c r="G1815" i="9" l="1"/>
  <c r="AK1816" i="9"/>
  <c r="G1816" i="9" l="1"/>
  <c r="AK1817" i="9"/>
  <c r="AK1818" i="9" s="1"/>
  <c r="AK1819" i="9" s="1"/>
  <c r="AK1820" i="9" s="1"/>
  <c r="G1817" i="9" l="1"/>
  <c r="G1820" i="9"/>
  <c r="AK1821" i="9"/>
  <c r="F38" i="9" l="1"/>
  <c r="G1821" i="9"/>
  <c r="AK1822" i="9"/>
  <c r="G1822" i="9" l="1"/>
  <c r="AK1823" i="9"/>
  <c r="G1823" i="9" l="1"/>
  <c r="AK1824" i="9"/>
  <c r="G1824" i="9" l="1"/>
  <c r="AK1825" i="9"/>
  <c r="G1825" i="9" l="1"/>
  <c r="AK1826" i="9"/>
  <c r="G1826" i="9" l="1"/>
  <c r="AK1827" i="9"/>
  <c r="AK1828" i="9" s="1"/>
  <c r="AK1829" i="9" s="1"/>
  <c r="AK1830" i="9" s="1"/>
  <c r="G1827" i="9" l="1"/>
  <c r="G1830" i="9"/>
  <c r="AK1831" i="9"/>
  <c r="G1831" i="9" l="1"/>
  <c r="AK1832" i="9"/>
  <c r="G1832" i="9" l="1"/>
  <c r="AK1833" i="9"/>
  <c r="G1833" i="9" l="1"/>
  <c r="AK1834" i="9"/>
  <c r="G1834" i="9" l="1"/>
  <c r="AK1835" i="9"/>
  <c r="G1835" i="9" l="1"/>
  <c r="AK1836" i="9"/>
  <c r="G1836" i="9" l="1"/>
  <c r="AK1837" i="9"/>
  <c r="G1837" i="9" l="1"/>
  <c r="AK1838" i="9"/>
  <c r="AK1839" i="9" s="1"/>
  <c r="AK1840" i="9" s="1"/>
  <c r="AK1841" i="9" s="1"/>
  <c r="AK1842" i="9" s="1"/>
  <c r="AK1843" i="9" s="1"/>
  <c r="G1838" i="9" l="1"/>
  <c r="G1843" i="9"/>
  <c r="AK1844" i="9"/>
  <c r="G1844" i="9" l="1"/>
  <c r="AK1845" i="9"/>
  <c r="AK1846" i="9" s="1"/>
  <c r="AK1847" i="9" s="1"/>
  <c r="AK1848" i="9" s="1"/>
  <c r="F35" i="9"/>
  <c r="G1848" i="9" l="1"/>
  <c r="AK1849" i="9"/>
  <c r="G1849" i="9" l="1"/>
  <c r="AK1850" i="9"/>
  <c r="G1850" i="9" l="1"/>
  <c r="AK1851" i="9"/>
  <c r="G1851" i="9" l="1"/>
  <c r="AK1852" i="9"/>
  <c r="G1852" i="9" l="1"/>
  <c r="AK1853" i="9"/>
  <c r="G1853" i="9" l="1"/>
  <c r="AK1854" i="9"/>
  <c r="G1854" i="9" l="1"/>
  <c r="AK1855" i="9"/>
  <c r="G1855" i="9" l="1"/>
  <c r="AK1856" i="9"/>
  <c r="G1856" i="9" l="1"/>
  <c r="AK1857" i="9"/>
  <c r="AK1858" i="9" s="1"/>
  <c r="AK1859" i="9" s="1"/>
  <c r="AK1860" i="9" s="1"/>
  <c r="AK1861" i="9" s="1"/>
  <c r="AK1862" i="9" s="1"/>
  <c r="AK1863" i="9" s="1"/>
  <c r="G1857" i="9" l="1"/>
  <c r="G1863" i="9"/>
  <c r="AK1864" i="9"/>
  <c r="AK1865" i="9" s="1"/>
  <c r="AK1866" i="9" s="1"/>
  <c r="AK1867" i="9" s="1"/>
  <c r="AK1868" i="9" s="1"/>
  <c r="G1865" i="9" l="1"/>
  <c r="G1868" i="9"/>
  <c r="AK1869" i="9"/>
  <c r="G1869" i="9" l="1"/>
  <c r="AK1870" i="9"/>
  <c r="G1870" i="9" l="1"/>
  <c r="G1871" i="9" s="1"/>
  <c r="AK1871" i="9"/>
  <c r="AK1872" i="9" s="1"/>
  <c r="AK1873" i="9" s="1"/>
  <c r="AK1874" i="9" s="1"/>
  <c r="G1874" i="9" l="1"/>
  <c r="AK1875" i="9"/>
  <c r="G1875" i="9" l="1"/>
  <c r="G1876" i="9" s="1"/>
  <c r="AK1876" i="9"/>
  <c r="AK1877" i="9" s="1"/>
  <c r="AK1878" i="9" s="1"/>
  <c r="AK1879" i="9" s="1"/>
  <c r="G1879" i="9" l="1"/>
  <c r="AK1880" i="9"/>
  <c r="AK1881" i="9" s="1"/>
  <c r="AK1882" i="9" s="1"/>
  <c r="AK1883" i="9" s="1"/>
  <c r="AK1884" i="9" s="1"/>
  <c r="AK1885" i="9" s="1"/>
  <c r="AK1886" i="9" s="1"/>
  <c r="AK1887" i="9" s="1"/>
  <c r="AK1888" i="9" s="1"/>
  <c r="AK1889" i="9" s="1"/>
  <c r="G1889" i="9" l="1"/>
  <c r="AK1890" i="9"/>
  <c r="AK1891" i="9" s="1"/>
  <c r="AK1892" i="9" s="1"/>
  <c r="AK1893" i="9" s="1"/>
  <c r="G1881" i="9"/>
  <c r="F53" i="9" l="1"/>
  <c r="G1890" i="9"/>
  <c r="G1893" i="9"/>
  <c r="AK1894" i="9"/>
  <c r="AK1895" i="9" s="1"/>
  <c r="AK1896" i="9" s="1"/>
  <c r="AK1897" i="9" s="1"/>
  <c r="G1883" i="9"/>
  <c r="G1897" i="9" l="1"/>
  <c r="AK1898" i="9"/>
  <c r="AK1899" i="9" s="1"/>
  <c r="AK1900" i="9" s="1"/>
  <c r="AK1901" i="9" s="1"/>
  <c r="G1894" i="9"/>
  <c r="F43" i="9"/>
  <c r="G1901" i="9" l="1"/>
  <c r="AK1902" i="9"/>
  <c r="G1898" i="9"/>
  <c r="G1902" i="9" l="1"/>
  <c r="AK1903" i="9"/>
  <c r="AK1904" i="9" s="1"/>
  <c r="AK1905" i="9" s="1"/>
  <c r="AK1906" i="9" s="1"/>
  <c r="AK1907" i="9" s="1"/>
  <c r="G1907" i="9" l="1"/>
  <c r="AK1908" i="9"/>
  <c r="AK1909" i="9" s="1"/>
  <c r="AK1910" i="9" s="1"/>
  <c r="AK1911" i="9" s="1"/>
  <c r="G1903" i="9"/>
  <c r="G1908" i="9" l="1"/>
  <c r="Y239" i="8"/>
  <c r="Z239" i="8" s="1"/>
  <c r="G1911" i="9"/>
  <c r="AK1912" i="9"/>
  <c r="AK1913" i="9" s="1"/>
  <c r="AK1914" i="9" s="1"/>
  <c r="AK1915" i="9" s="1"/>
  <c r="G1912" i="9" l="1"/>
  <c r="G1915" i="9"/>
  <c r="AK1916" i="9"/>
  <c r="G1916" i="9" l="1"/>
  <c r="G1917" i="9" s="1"/>
  <c r="AK1917" i="9"/>
  <c r="AK1918" i="9" s="1"/>
  <c r="AK1919" i="9" s="1"/>
  <c r="G1919" i="9" l="1"/>
  <c r="AK1920" i="9"/>
  <c r="G1920" i="9" l="1"/>
  <c r="AK1921" i="9"/>
  <c r="AK1922" i="9" s="1"/>
  <c r="AK1923" i="9" s="1"/>
  <c r="AK1924" i="9" s="1"/>
  <c r="G1924" i="9" l="1"/>
  <c r="AK1925" i="9"/>
  <c r="G1921" i="9"/>
  <c r="G1925" i="9" l="1"/>
  <c r="AK1926" i="9"/>
  <c r="G1926" i="9" l="1"/>
  <c r="AK1927" i="9"/>
  <c r="G1927" i="9" l="1"/>
  <c r="AK1928" i="9"/>
  <c r="G1928" i="9" l="1"/>
  <c r="G1929" i="9" s="1"/>
  <c r="AK1929" i="9"/>
  <c r="AK1930" i="9" s="1"/>
  <c r="AK1931" i="9" s="1"/>
  <c r="AK1932" i="9" s="1"/>
  <c r="F52" i="9" l="1"/>
  <c r="G1932" i="9"/>
  <c r="AK1933" i="9"/>
  <c r="AK1934" i="9" s="1"/>
  <c r="AK1935" i="9" s="1"/>
  <c r="AK1936" i="9" s="1"/>
  <c r="G1936" i="9" l="1"/>
  <c r="AK1937" i="9"/>
  <c r="G1933" i="9"/>
  <c r="G1937" i="9" l="1"/>
  <c r="AK1938" i="9"/>
  <c r="G1938" i="9" l="1"/>
  <c r="AK1939" i="9"/>
  <c r="G1939" i="9" l="1"/>
  <c r="AK1940" i="9"/>
  <c r="AK1941" i="9" s="1"/>
  <c r="AK1942" i="9" s="1"/>
  <c r="AK1943" i="9" s="1"/>
  <c r="G1943" i="9" l="1"/>
  <c r="AK1944" i="9"/>
  <c r="G1940" i="9"/>
  <c r="F54" i="9" l="1"/>
  <c r="G1944" i="9"/>
  <c r="AK1945" i="9"/>
  <c r="G1945" i="9" l="1"/>
  <c r="AK1946" i="9"/>
  <c r="G1946" i="9" l="1"/>
  <c r="AK1947" i="9"/>
  <c r="G1947" i="9" l="1"/>
  <c r="AK1948" i="9"/>
  <c r="G1948" i="9" l="1"/>
  <c r="AK1949" i="9"/>
  <c r="G1949" i="9" l="1"/>
  <c r="AK1950" i="9"/>
  <c r="G1950" i="9" l="1"/>
  <c r="AK1951" i="9"/>
  <c r="G1951" i="9" l="1"/>
  <c r="AK1952" i="9"/>
  <c r="G1952" i="9" l="1"/>
  <c r="AK1953" i="9"/>
  <c r="G1953" i="9" l="1"/>
  <c r="AK1954" i="9"/>
  <c r="G1954" i="9" l="1"/>
  <c r="AK1955" i="9"/>
  <c r="G1955" i="9" l="1"/>
  <c r="AK1956" i="9"/>
  <c r="G1956" i="9" l="1"/>
  <c r="AK1957" i="9"/>
  <c r="AK1958" i="9" s="1"/>
  <c r="AK1959" i="9" s="1"/>
  <c r="AK1960" i="9" s="1"/>
  <c r="G1960" i="9" l="1"/>
  <c r="AK1961" i="9"/>
  <c r="G1957" i="9"/>
  <c r="G1961" i="9" l="1"/>
  <c r="AK1962" i="9"/>
  <c r="G1962" i="9" l="1"/>
  <c r="AK1963" i="9"/>
  <c r="AK1964" i="9" s="1"/>
  <c r="AK1965" i="9" s="1"/>
  <c r="AK1966" i="9" s="1"/>
  <c r="G1966" i="9" l="1"/>
  <c r="AK1967" i="9"/>
  <c r="G1963" i="9"/>
  <c r="G1967" i="9" l="1"/>
  <c r="AK1968" i="9"/>
  <c r="G1968" i="9" l="1"/>
  <c r="AK1969" i="9"/>
  <c r="G1969" i="9" l="1"/>
  <c r="AK1970" i="9"/>
  <c r="G1970" i="9" l="1"/>
  <c r="AK1971" i="9"/>
  <c r="G1971" i="9" l="1"/>
  <c r="AK1972" i="9"/>
  <c r="G1972" i="9" l="1"/>
  <c r="AK1973" i="9"/>
  <c r="G1973" i="9" l="1"/>
  <c r="AK1974" i="9"/>
  <c r="G1974" i="9" l="1"/>
  <c r="AK1975" i="9"/>
  <c r="G1975" i="9" l="1"/>
  <c r="AK1976" i="9"/>
  <c r="G1976" i="9" l="1"/>
  <c r="AK1977" i="9"/>
  <c r="G1977" i="9" l="1"/>
  <c r="AK1978" i="9"/>
  <c r="G1978" i="9" l="1"/>
  <c r="AK1979" i="9"/>
  <c r="G1979" i="9" l="1"/>
  <c r="AK1980" i="9"/>
  <c r="G1980" i="9" l="1"/>
  <c r="AK1981" i="9"/>
  <c r="AK1982" i="9" s="1"/>
  <c r="AK1983" i="9" s="1"/>
  <c r="AK1984" i="9" s="1"/>
  <c r="G1984" i="9" l="1"/>
  <c r="AK1985" i="9"/>
  <c r="G1981" i="9"/>
  <c r="G1985" i="9" l="1"/>
  <c r="AK1986" i="9"/>
  <c r="G1986" i="9" l="1"/>
  <c r="AK1987" i="9"/>
  <c r="G1987" i="9" l="1"/>
  <c r="AK1988" i="9"/>
  <c r="G1988" i="9" l="1"/>
  <c r="AK1989" i="9"/>
  <c r="G1989" i="9" l="1"/>
  <c r="AK1990" i="9"/>
  <c r="G1990" i="9" l="1"/>
  <c r="AK1991" i="9"/>
  <c r="G1991" i="9" l="1"/>
  <c r="AK1992" i="9"/>
  <c r="G1992" i="9" l="1"/>
  <c r="AK1993" i="9"/>
  <c r="G1993" i="9" l="1"/>
  <c r="AK1994" i="9"/>
  <c r="AK1995" i="9" s="1"/>
  <c r="AK1996" i="9" s="1"/>
  <c r="AK1997" i="9" s="1"/>
  <c r="AK1998" i="9" s="1"/>
  <c r="AK1999" i="9" s="1"/>
  <c r="G1994" i="9" l="1"/>
  <c r="G1999" i="9"/>
  <c r="AK2000" i="9"/>
  <c r="G2000" i="9" l="1"/>
  <c r="AK2001" i="9"/>
  <c r="G1996" i="9"/>
  <c r="F50" i="9" l="1"/>
  <c r="G2001" i="9"/>
  <c r="AK2002" i="9"/>
  <c r="G2002" i="9" l="1"/>
  <c r="AK2003" i="9"/>
  <c r="G2003" i="9" l="1"/>
  <c r="AK2004" i="9"/>
  <c r="G2004" i="9" l="1"/>
  <c r="AK2005" i="9"/>
  <c r="G2005" i="9" l="1"/>
  <c r="AK2006" i="9"/>
  <c r="G2006" i="9" l="1"/>
  <c r="AK2007" i="9"/>
  <c r="AK2008" i="9" s="1"/>
  <c r="AK2009" i="9" s="1"/>
  <c r="AK2010" i="9" s="1"/>
  <c r="AK2011" i="9" s="1"/>
  <c r="AK2012" i="9" s="1"/>
  <c r="AK2013" i="9" s="1"/>
  <c r="G2013" i="9" l="1"/>
  <c r="AK2014" i="9"/>
  <c r="G2007" i="9"/>
  <c r="F51" i="9" l="1"/>
  <c r="G2009" i="9"/>
  <c r="G2014" i="9"/>
  <c r="AK2015" i="9"/>
  <c r="G2015" i="9" l="1"/>
  <c r="AK2016" i="9"/>
  <c r="G2016" i="9" l="1"/>
  <c r="AK2017" i="9"/>
  <c r="G2017" i="9" l="1"/>
  <c r="AK2018" i="9"/>
  <c r="G2018" i="9" l="1"/>
  <c r="AK2019" i="9"/>
  <c r="AK2020" i="9" s="1"/>
  <c r="AK2021" i="9" s="1"/>
  <c r="AK2022" i="9" s="1"/>
  <c r="G2022" i="9" l="1"/>
  <c r="AK2023" i="9"/>
  <c r="G2019" i="9"/>
  <c r="G2023" i="9" l="1"/>
  <c r="AK2024" i="9"/>
  <c r="G2024" i="9" l="1"/>
  <c r="G2025" i="9" s="1"/>
  <c r="AK2025" i="9"/>
  <c r="AK2026" i="9" s="1"/>
  <c r="AK2027" i="9" s="1"/>
  <c r="AK2028" i="9" s="1"/>
  <c r="AK2029" i="9" s="1"/>
  <c r="G2029" i="9" l="1"/>
  <c r="AK2030" i="9"/>
  <c r="G2030" i="9" l="1"/>
  <c r="AK2031" i="9"/>
  <c r="G2031" i="9" l="1"/>
  <c r="AK2032" i="9"/>
  <c r="G2032" i="9" l="1"/>
  <c r="AK2033" i="9"/>
  <c r="AK2034" i="9" s="1"/>
  <c r="AK2035" i="9" s="1"/>
  <c r="AK2036" i="9" s="1"/>
  <c r="G2036" i="9" l="1"/>
  <c r="AK2037" i="9"/>
  <c r="G2033" i="9"/>
  <c r="G2037" i="9" l="1"/>
  <c r="AK2038" i="9"/>
  <c r="G2038" i="9" l="1"/>
  <c r="AK2039" i="9"/>
  <c r="G2039" i="9" l="1"/>
  <c r="AK2040" i="9"/>
  <c r="G2040" i="9" l="1"/>
  <c r="AK2041" i="9"/>
  <c r="AK2042" i="9" s="1"/>
  <c r="AK2043" i="9" s="1"/>
  <c r="AK2044" i="9" s="1"/>
  <c r="G2041" i="9" l="1"/>
  <c r="G2044" i="9"/>
  <c r="AK2045" i="9"/>
  <c r="G2045" i="9" l="1"/>
  <c r="AK2046" i="9"/>
  <c r="AK2047" i="9" s="1"/>
  <c r="AK2048" i="9" s="1"/>
  <c r="AK2049" i="9" s="1"/>
  <c r="AK2050" i="9" s="1"/>
  <c r="AK2051" i="9" s="1"/>
  <c r="Y273" i="8"/>
  <c r="Z273" i="8" s="1"/>
  <c r="G2051" i="9" l="1"/>
  <c r="AK2052" i="9"/>
  <c r="G2046" i="9"/>
  <c r="G2048" i="9" l="1"/>
  <c r="G2052" i="9"/>
  <c r="AK2053" i="9"/>
  <c r="G2053" i="9" l="1"/>
  <c r="AK2054" i="9"/>
  <c r="AK2055" i="9" s="1"/>
  <c r="AK2056" i="9" s="1"/>
  <c r="AK2057" i="9" s="1"/>
  <c r="G2057" i="9" l="1"/>
  <c r="AK2058" i="9"/>
  <c r="AK2059" i="9" s="1"/>
  <c r="AK2060" i="9" s="1"/>
  <c r="AK2061" i="9" s="1"/>
  <c r="G2054" i="9"/>
  <c r="G2061" i="9" l="1"/>
  <c r="AK2062" i="9"/>
  <c r="AK2063" i="9" s="1"/>
  <c r="AK2064" i="9" s="1"/>
  <c r="AK2065" i="9" s="1"/>
  <c r="G2058" i="9"/>
  <c r="G2065" i="9" l="1"/>
  <c r="AK2066" i="9"/>
  <c r="AK2067" i="9" s="1"/>
  <c r="AK2068" i="9" s="1"/>
  <c r="AK2069" i="9" s="1"/>
  <c r="G2062" i="9"/>
  <c r="G2069" i="9" l="1"/>
  <c r="AK2070" i="9"/>
  <c r="AK2071" i="9" s="1"/>
  <c r="AK2072" i="9" s="1"/>
  <c r="AK2073" i="9" s="1"/>
  <c r="G2066" i="9"/>
  <c r="Y252" i="8"/>
  <c r="Z252" i="8" s="1"/>
  <c r="G2070" i="9" l="1"/>
  <c r="G2073" i="9"/>
  <c r="AK2074" i="9"/>
  <c r="AK2075" i="9" s="1"/>
  <c r="AK2076" i="9" s="1"/>
  <c r="AK2077" i="9" s="1"/>
  <c r="G2077" i="9" l="1"/>
  <c r="AK2078" i="9"/>
  <c r="AK2079" i="9" s="1"/>
  <c r="AK2080" i="9" s="1"/>
  <c r="AK2081" i="9" s="1"/>
  <c r="G2074" i="9"/>
  <c r="G2078" i="9" l="1"/>
  <c r="G2081" i="9"/>
  <c r="AK2082" i="9"/>
  <c r="AK2083" i="9" s="1"/>
  <c r="AK2084" i="9" s="1"/>
  <c r="AK2085" i="9" s="1"/>
  <c r="G2085" i="9" l="1"/>
  <c r="AK2086" i="9"/>
  <c r="AK2087" i="9" s="1"/>
  <c r="AK2088" i="9" s="1"/>
  <c r="AK2089" i="9" s="1"/>
  <c r="G2082" i="9"/>
  <c r="G2086" i="9" l="1"/>
  <c r="Y258" i="8"/>
  <c r="Z258" i="8" s="1"/>
  <c r="G2089" i="9"/>
  <c r="AK2090" i="9"/>
  <c r="AK2091" i="9" s="1"/>
  <c r="AK2092" i="9" s="1"/>
  <c r="AK2093" i="9" s="1"/>
  <c r="G2090" i="9" l="1"/>
  <c r="G2093" i="9"/>
  <c r="AK2094" i="9"/>
  <c r="AK2095" i="9" s="1"/>
  <c r="AK2096" i="9" s="1"/>
  <c r="AK2097" i="9" s="1"/>
  <c r="G2097" i="9" l="1"/>
  <c r="AK2098" i="9"/>
  <c r="AK2099" i="9" s="1"/>
  <c r="AK2100" i="9" s="1"/>
  <c r="AK2101" i="9" s="1"/>
  <c r="G2094" i="9"/>
  <c r="G2101" i="9" l="1"/>
  <c r="AK2102" i="9"/>
  <c r="AK2103" i="9" s="1"/>
  <c r="AK2104" i="9" s="1"/>
  <c r="AK2105" i="9" s="1"/>
  <c r="G2098" i="9"/>
  <c r="G2102" i="9" l="1"/>
  <c r="G2105" i="9"/>
  <c r="AK2106" i="9"/>
  <c r="AK2107" i="9" s="1"/>
  <c r="AK2108" i="9" s="1"/>
  <c r="AK2109" i="9" s="1"/>
  <c r="G2106" i="9" l="1"/>
  <c r="G2109" i="9"/>
  <c r="AK2110" i="9"/>
  <c r="AK2111" i="9" s="1"/>
  <c r="AK2112" i="9" s="1"/>
  <c r="AK2113" i="9" s="1"/>
  <c r="G2110" i="9" l="1"/>
  <c r="G2113" i="9"/>
  <c r="AK2114" i="9"/>
  <c r="AK2115" i="9" s="1"/>
  <c r="AK2116" i="9" s="1"/>
  <c r="AK2117" i="9" s="1"/>
  <c r="G2114" i="9" l="1"/>
  <c r="G2117" i="9"/>
  <c r="AK2118" i="9"/>
  <c r="AK2119" i="9" s="1"/>
  <c r="AK2120" i="9" s="1"/>
  <c r="AK2121" i="9" s="1"/>
  <c r="AK2122" i="9" s="1"/>
  <c r="AK2123" i="9" s="1"/>
  <c r="AK2124" i="9" s="1"/>
  <c r="G2124" i="9" l="1"/>
  <c r="AK2125" i="9"/>
  <c r="G2118" i="9"/>
  <c r="G2121" i="9" s="1"/>
  <c r="Y271" i="8"/>
  <c r="Z271" i="8" s="1"/>
  <c r="G2125" i="9" l="1"/>
  <c r="AK2126" i="9"/>
  <c r="G2126" i="9" l="1"/>
  <c r="AK2127" i="9"/>
  <c r="G2127" i="9" l="1"/>
  <c r="AK2128" i="9"/>
  <c r="G2128" i="9" l="1"/>
  <c r="AK2129" i="9"/>
  <c r="G2129" i="9" l="1"/>
  <c r="AK2130" i="9"/>
  <c r="G2130" i="9" l="1"/>
  <c r="AK2131" i="9"/>
  <c r="G2131" i="9" l="1"/>
  <c r="AK2132" i="9"/>
  <c r="G2132" i="9" l="1"/>
  <c r="AK2133" i="9"/>
  <c r="AK2134" i="9" s="1"/>
  <c r="AK2135" i="9" s="1"/>
  <c r="AK2136" i="9" s="1"/>
  <c r="AK2137" i="9" s="1"/>
  <c r="G2133" i="9" l="1"/>
  <c r="G2137" i="9"/>
  <c r="AK2138" i="9"/>
  <c r="G2138" i="9" l="1"/>
  <c r="AK2139" i="9"/>
  <c r="G2139" i="9" l="1"/>
  <c r="AK2140" i="9"/>
  <c r="AK2141" i="9" s="1"/>
  <c r="AK2142" i="9" s="1"/>
  <c r="AK2143" i="9" s="1"/>
  <c r="G2143" i="9" l="1"/>
  <c r="AK2144" i="9"/>
  <c r="AK2145" i="9" s="1"/>
  <c r="AK2146" i="9" s="1"/>
  <c r="AK2147" i="9" s="1"/>
  <c r="G2140" i="9"/>
  <c r="G2162" i="9" s="1"/>
  <c r="G2165" i="9" l="1"/>
  <c r="G2147" i="9"/>
  <c r="AK2148" i="9"/>
  <c r="AK2149" i="9" s="1"/>
  <c r="AK2150" i="9" s="1"/>
  <c r="G2144" i="9"/>
  <c r="G2150" i="9" l="1"/>
  <c r="AK2151" i="9"/>
  <c r="AK2152" i="9" s="1"/>
  <c r="AK2153" i="9" s="1"/>
  <c r="AK2154" i="9" s="1"/>
  <c r="F48" i="9"/>
  <c r="G2154" i="9" l="1"/>
  <c r="AK2155" i="9"/>
  <c r="G2151" i="9"/>
  <c r="G2155" i="9" l="1"/>
  <c r="AK2156" i="9"/>
  <c r="AK2157" i="9" s="1"/>
  <c r="AK2158" i="9" s="1"/>
  <c r="G2158" i="9" l="1"/>
  <c r="AK2159" i="9"/>
  <c r="AK2160" i="9" s="1"/>
  <c r="AK2161" i="9" s="1"/>
  <c r="AK2162" i="9" s="1"/>
  <c r="AK2163" i="9" s="1"/>
  <c r="AK2164" i="9" s="1"/>
  <c r="AK2165" i="9" s="1"/>
  <c r="AK2166" i="9" s="1"/>
  <c r="AK2167" i="9" s="1"/>
  <c r="AK2168" i="9" s="1"/>
  <c r="AK2169" i="9" s="1"/>
  <c r="G2159" i="9" l="1"/>
  <c r="G2169" i="9"/>
  <c r="AK2170" i="9"/>
  <c r="G2170" i="9" l="1"/>
  <c r="AK2171" i="9"/>
  <c r="AK2172" i="9" s="1"/>
  <c r="AK2173" i="9" s="1"/>
  <c r="AK2174" i="9" s="1"/>
  <c r="AK2175" i="9" s="1"/>
  <c r="G2175" i="9" l="1"/>
  <c r="AK2176" i="9"/>
  <c r="G2171" i="9"/>
  <c r="G2176" i="9" l="1"/>
  <c r="AK2177" i="9"/>
  <c r="G2177" i="9" l="1"/>
  <c r="AK2178" i="9"/>
  <c r="G2178" i="9" l="1"/>
  <c r="AK2179" i="9"/>
  <c r="G2179" i="9" l="1"/>
  <c r="AK2180" i="9"/>
  <c r="AK2181" i="9" s="1"/>
  <c r="AK2182" i="9" s="1"/>
  <c r="AK2183" i="9" s="1"/>
  <c r="AK2184" i="9" s="1"/>
  <c r="G2180" i="9" l="1"/>
  <c r="G2184" i="9"/>
  <c r="AK2185" i="9"/>
  <c r="G2185" i="9" l="1"/>
  <c r="AK2186" i="9"/>
  <c r="G2186" i="9" l="1"/>
  <c r="AK2187" i="9"/>
  <c r="G2187" i="9" l="1"/>
  <c r="AK2188" i="9"/>
  <c r="AK2189" i="9" s="1"/>
  <c r="AK2190" i="9" s="1"/>
  <c r="AK2191" i="9" s="1"/>
  <c r="AK2192" i="9" s="1"/>
  <c r="G2192" i="9" l="1"/>
  <c r="AK2193" i="9"/>
  <c r="G2188" i="9"/>
  <c r="G2193" i="9" l="1"/>
  <c r="AK2194" i="9"/>
  <c r="G2194" i="9" l="1"/>
  <c r="AK2195" i="9"/>
  <c r="G2195" i="9" l="1"/>
  <c r="AK2196" i="9"/>
  <c r="G2196" i="9" l="1"/>
  <c r="AK2197" i="9"/>
  <c r="G2197" i="9" l="1"/>
  <c r="AK2198" i="9"/>
  <c r="G2198" i="9" l="1"/>
  <c r="AK2199" i="9"/>
  <c r="G2199" i="9" l="1"/>
  <c r="AK2200" i="9"/>
  <c r="G2200" i="9" l="1"/>
  <c r="AK2201" i="9"/>
  <c r="G2201" i="9" l="1"/>
  <c r="AK2202" i="9"/>
  <c r="G2202" i="9" l="1"/>
  <c r="AK2203" i="9"/>
  <c r="AK2204" i="9" s="1"/>
  <c r="AK2205" i="9" s="1"/>
  <c r="G2205" i="9" l="1"/>
  <c r="AK2206" i="9"/>
  <c r="AK2207" i="9" s="1"/>
  <c r="AK2208" i="9" s="1"/>
  <c r="AK2209" i="9" s="1"/>
  <c r="G2203" i="9"/>
  <c r="G2209" i="9" l="1"/>
  <c r="AK2210" i="9"/>
  <c r="G2206" i="9"/>
  <c r="G2210" i="9" l="1"/>
  <c r="AK2211" i="9"/>
  <c r="G2211" i="9" l="1"/>
  <c r="AK2212" i="9"/>
  <c r="AK2213" i="9" s="1"/>
  <c r="AK2214" i="9" s="1"/>
  <c r="AK2215" i="9" s="1"/>
  <c r="AK2216" i="9" s="1"/>
  <c r="G2212" i="9" l="1"/>
  <c r="G2214" i="9" l="1"/>
  <c r="G2216" i="9" s="1"/>
  <c r="F49" i="9" l="1"/>
  <c r="Y112" i="8"/>
  <c r="Z112" i="8" s="1"/>
  <c r="Y115" i="8"/>
  <c r="Z115" i="8" s="1"/>
  <c r="Y113" i="8"/>
  <c r="Z113" i="8" s="1"/>
  <c r="Y120" i="8"/>
  <c r="Z120" i="8" s="1"/>
  <c r="Y248" i="8"/>
  <c r="Z248" i="8" s="1"/>
  <c r="Y133" i="8"/>
  <c r="Z133" i="8" s="1"/>
  <c r="Y160" i="8"/>
  <c r="Z160" i="8" s="1"/>
  <c r="Y41" i="8"/>
  <c r="Z41" i="8" s="1"/>
  <c r="Y8" i="8"/>
  <c r="Z8" i="8" s="1"/>
  <c r="Y226" i="8"/>
  <c r="Z226" i="8" s="1"/>
  <c r="Y267" i="8"/>
  <c r="Z267" i="8" s="1"/>
  <c r="Y67" i="8"/>
  <c r="Z67" i="8" s="1"/>
  <c r="Y232" i="8"/>
  <c r="Z232" i="8" s="1"/>
  <c r="Y256" i="8"/>
  <c r="Z256" i="8" s="1"/>
  <c r="Y225" i="8"/>
  <c r="Z225" i="8" s="1"/>
  <c r="Y9" i="8"/>
  <c r="Z9" i="8" s="1"/>
  <c r="Y12" i="8"/>
  <c r="Z12" i="8" s="1"/>
  <c r="Y261" i="8"/>
  <c r="Z261" i="8" s="1"/>
  <c r="Y63" i="8"/>
  <c r="Z63" i="8" s="1"/>
  <c r="Y31" i="8"/>
  <c r="Z31" i="8" s="1"/>
  <c r="Y85" i="8"/>
  <c r="Z85" i="8" s="1"/>
  <c r="Y16" i="8"/>
  <c r="Z16" i="8" s="1"/>
  <c r="Y83" i="8"/>
  <c r="Z83" i="8" s="1"/>
  <c r="Y38" i="8"/>
  <c r="Z38" i="8" s="1"/>
  <c r="Y22" i="8"/>
  <c r="Z22" i="8" s="1"/>
  <c r="Y53" i="8"/>
  <c r="Z53" i="8" s="1"/>
  <c r="Y90" i="8"/>
  <c r="Z90" i="8" s="1"/>
  <c r="Y332" i="8"/>
  <c r="Z332" i="8" s="1"/>
  <c r="Y280" i="8"/>
  <c r="Z280" i="8" s="1"/>
  <c r="Y289" i="8"/>
  <c r="Z289" i="8" s="1"/>
  <c r="Y87" i="8"/>
  <c r="Z87" i="8" s="1"/>
  <c r="Y336" i="8"/>
  <c r="Z336" i="8" s="1"/>
  <c r="Y61" i="8"/>
  <c r="Z61" i="8" s="1"/>
  <c r="Y93" i="8"/>
  <c r="Z93" i="8" s="1"/>
  <c r="Y333" i="8"/>
  <c r="Z333" i="8" s="1"/>
  <c r="Y36" i="8"/>
  <c r="Z36" i="8" s="1"/>
  <c r="Y56" i="8"/>
  <c r="Z56" i="8" s="1"/>
  <c r="Y17" i="8"/>
  <c r="Z17" i="8" s="1"/>
  <c r="Y236" i="8"/>
  <c r="Z236" i="8" s="1"/>
  <c r="Y321" i="8"/>
  <c r="Z321" i="8" s="1"/>
  <c r="Y7" i="8"/>
  <c r="Z7" i="8" s="1"/>
  <c r="Y240" i="8"/>
  <c r="Z240" i="8" s="1"/>
  <c r="Y263" i="8"/>
  <c r="Z263" i="8" s="1"/>
  <c r="Y330" i="8"/>
  <c r="Z330" i="8" s="1"/>
  <c r="Y13" i="8"/>
  <c r="Z13" i="8" s="1"/>
  <c r="Y84" i="8"/>
  <c r="Z84" i="8" s="1"/>
  <c r="Y48" i="8"/>
  <c r="Z48" i="8" s="1"/>
  <c r="Y277" i="8"/>
  <c r="Z277" i="8" s="1"/>
  <c r="Y254" i="8"/>
  <c r="Z254" i="8" s="1"/>
  <c r="Y68" i="8"/>
  <c r="Z68" i="8" s="1"/>
  <c r="Y28" i="8"/>
  <c r="Z28" i="8" s="1"/>
  <c r="Y30" i="8"/>
  <c r="Z30" i="8" s="1"/>
  <c r="Y262" i="8"/>
  <c r="Z262" i="8" s="1"/>
  <c r="Y259" i="8"/>
  <c r="Z259" i="8" s="1"/>
  <c r="Y50" i="8"/>
  <c r="Z50" i="8" s="1"/>
  <c r="Y329" i="8"/>
  <c r="Z329" i="8" s="1"/>
  <c r="Y52" i="8"/>
  <c r="Z52" i="8" s="1"/>
  <c r="Y55" i="8"/>
  <c r="Z55" i="8" s="1"/>
  <c r="Y39" i="8"/>
  <c r="Z39" i="8" s="1"/>
  <c r="Y45" i="8"/>
  <c r="Z45" i="8" s="1"/>
  <c r="Y320" i="8"/>
  <c r="Z320" i="8" s="1"/>
  <c r="Y264" i="8"/>
  <c r="Z264" i="8" s="1"/>
  <c r="Y268" i="8"/>
  <c r="Z268" i="8" s="1"/>
  <c r="Y270" i="8"/>
  <c r="Z270" i="8" s="1"/>
  <c r="Y255" i="8"/>
  <c r="Z255" i="8" s="1"/>
  <c r="Y54" i="8"/>
  <c r="Z54" i="8" s="1"/>
  <c r="Y281" i="8"/>
  <c r="Z281" i="8" s="1"/>
  <c r="Y227" i="8"/>
  <c r="Z227" i="8" s="1"/>
  <c r="Y26" i="8"/>
  <c r="Z26" i="8" s="1"/>
  <c r="Y20" i="8"/>
  <c r="Z20" i="8" s="1"/>
  <c r="Y283" i="8"/>
  <c r="Z283" i="8" s="1"/>
  <c r="Y66" i="8"/>
  <c r="Z66" i="8" s="1"/>
  <c r="Y275" i="8"/>
  <c r="Z275" i="8" s="1"/>
  <c r="Y269" i="8"/>
  <c r="Z269" i="8" s="1"/>
  <c r="Y27" i="8"/>
  <c r="Z27" i="8" s="1"/>
  <c r="Y62" i="8"/>
  <c r="Z62" i="8" s="1"/>
  <c r="Y15" i="8"/>
  <c r="Z15" i="8" s="1"/>
  <c r="Y64" i="8"/>
  <c r="Z64" i="8" s="1"/>
  <c r="Y65" i="8"/>
  <c r="Z65" i="8" s="1"/>
  <c r="Y337" i="8"/>
  <c r="Z337" i="8" s="1"/>
  <c r="Y25" i="8"/>
  <c r="Z25" i="8" s="1"/>
  <c r="Y34" i="8"/>
  <c r="Z34" i="8" s="1"/>
  <c r="Y251" i="8"/>
  <c r="Z251" i="8" s="1"/>
  <c r="Y14" i="8"/>
  <c r="Z14" i="8" s="1"/>
  <c r="Y282" i="8"/>
  <c r="Z282" i="8" s="1"/>
  <c r="Y47" i="8"/>
  <c r="Z47" i="8" s="1"/>
  <c r="Y335" i="8"/>
  <c r="Z335" i="8" s="1"/>
  <c r="Y250" i="8"/>
  <c r="Z250" i="8" s="1"/>
  <c r="Y88" i="8"/>
  <c r="Z88" i="8" s="1"/>
  <c r="Y257" i="8"/>
  <c r="Z257" i="8" s="1"/>
  <c r="Y287" i="8"/>
  <c r="Z287" i="8" s="1"/>
  <c r="Y21" i="8"/>
  <c r="Z21" i="8" s="1"/>
  <c r="Y92" i="8"/>
  <c r="Z92" i="8" s="1"/>
  <c r="Y43" i="8"/>
  <c r="Z43" i="8" s="1"/>
  <c r="Y234" i="8"/>
  <c r="Z234" i="8" s="1"/>
  <c r="Y242" i="8"/>
  <c r="Z242" i="8" s="1"/>
  <c r="Y32" i="8"/>
  <c r="Z32" i="8" s="1"/>
  <c r="Y4" i="8"/>
  <c r="Z4" i="8" s="1"/>
  <c r="Y318" i="8"/>
  <c r="Z318" i="8" s="1"/>
  <c r="Y11" i="8"/>
  <c r="Z11" i="8" s="1"/>
  <c r="Y272" i="8"/>
  <c r="Z272" i="8" s="1"/>
  <c r="Y57" i="8"/>
  <c r="Z57" i="8" s="1"/>
  <c r="Y44" i="8"/>
  <c r="Z44" i="8" s="1"/>
  <c r="Y327" i="8"/>
  <c r="Z327" i="8" s="1"/>
  <c r="Y285" i="8"/>
  <c r="Z285" i="8" s="1"/>
  <c r="Y260" i="8"/>
  <c r="Z260" i="8" s="1"/>
  <c r="Y40" i="8"/>
  <c r="Z40" i="8" s="1"/>
  <c r="Y235" i="8"/>
  <c r="Z235" i="8" s="1"/>
  <c r="Y290" i="8"/>
  <c r="Z290" i="8" s="1"/>
  <c r="Y24" i="8"/>
  <c r="Z24" i="8" s="1"/>
  <c r="Y46" i="8"/>
  <c r="Z46" i="8" s="1"/>
  <c r="Y6" i="8"/>
  <c r="Z6" i="8" s="1"/>
  <c r="Y224" i="8"/>
  <c r="Z224" i="8" s="1"/>
  <c r="Y284" i="8"/>
  <c r="Z284" i="8" s="1"/>
  <c r="Y49" i="8"/>
  <c r="Z49" i="8" s="1"/>
  <c r="Y3" i="8"/>
  <c r="Z3" i="8" s="1"/>
  <c r="Y223" i="8"/>
  <c r="Z223" i="8" s="1"/>
  <c r="Y241" i="8"/>
  <c r="Z241" i="8" s="1"/>
  <c r="Y278" i="8"/>
  <c r="Z278" i="8" s="1"/>
  <c r="Y317" i="8"/>
  <c r="Z317" i="8" s="1"/>
  <c r="Y42" i="8"/>
  <c r="Z42" i="8" s="1"/>
  <c r="Y274" i="8"/>
  <c r="Z274" i="8" s="1"/>
  <c r="Y86" i="8"/>
  <c r="Z86" i="8" s="1"/>
  <c r="Y306" i="8"/>
  <c r="Z306" i="8" s="1"/>
  <c r="Y331" i="8"/>
  <c r="Z331" i="8" s="1"/>
  <c r="Y29" i="8"/>
  <c r="Z29" i="8" s="1"/>
  <c r="Y307" i="8"/>
  <c r="Z307" i="8" s="1"/>
  <c r="Y114" i="8"/>
  <c r="Z114" i="8" s="1"/>
  <c r="Y116" i="8"/>
  <c r="Z116" i="8" s="1"/>
  <c r="Y117" i="8"/>
  <c r="Z117" i="8" s="1"/>
  <c r="Y247" i="8"/>
  <c r="Z247" i="8" s="1"/>
  <c r="Y100" i="8"/>
  <c r="Z100" i="8" s="1"/>
  <c r="Y119" i="8"/>
  <c r="Z119" i="8" s="1"/>
  <c r="Y308" i="8"/>
  <c r="Z308" i="8" s="1"/>
  <c r="Y311" i="8"/>
  <c r="Z311" i="8" s="1"/>
  <c r="Y163" i="8"/>
  <c r="Z163" i="8" s="1"/>
  <c r="Y164" i="8"/>
  <c r="Z164" i="8" s="1"/>
  <c r="Y312" i="8"/>
  <c r="Z312" i="8" s="1"/>
  <c r="Y178" i="8"/>
  <c r="Z178" i="8" s="1"/>
  <c r="Y179" i="8"/>
  <c r="Z179" i="8" s="1"/>
  <c r="Y180" i="8"/>
  <c r="Z180" i="8" s="1"/>
  <c r="Y181" i="8"/>
  <c r="Z181" i="8" s="1"/>
  <c r="Y182" i="8"/>
  <c r="Z182" i="8" s="1"/>
  <c r="Y183" i="8"/>
  <c r="Z183" i="8" s="1"/>
  <c r="Y184" i="8"/>
  <c r="Z184" i="8" s="1"/>
  <c r="Y185" i="8"/>
  <c r="Z185" i="8" s="1"/>
  <c r="Y186" i="8"/>
  <c r="Z186" i="8" s="1"/>
  <c r="Y187" i="8"/>
  <c r="Z187" i="8" s="1"/>
  <c r="Y188" i="8"/>
  <c r="Z188" i="8" s="1"/>
  <c r="Y189" i="8"/>
  <c r="Z189" i="8" s="1"/>
  <c r="Y190" i="8"/>
  <c r="Z190" i="8" s="1"/>
  <c r="Y191" i="8"/>
  <c r="Z191" i="8" s="1"/>
  <c r="Y193" i="8"/>
  <c r="Z193" i="8" s="1"/>
  <c r="Y194" i="8"/>
  <c r="Z194" i="8" s="1"/>
  <c r="Y195" i="8"/>
  <c r="Z195" i="8" s="1"/>
  <c r="Y196" i="8"/>
  <c r="Z196" i="8" s="1"/>
  <c r="Y197" i="8"/>
  <c r="Z197" i="8" s="1"/>
  <c r="Y198" i="8"/>
  <c r="Z198" i="8" s="1"/>
  <c r="Y199" i="8"/>
  <c r="Z199" i="8" s="1"/>
  <c r="Y200" i="8"/>
  <c r="Z200" i="8" s="1"/>
  <c r="Y201" i="8"/>
  <c r="Z201" i="8" s="1"/>
  <c r="Y202" i="8"/>
  <c r="Z202" i="8" s="1"/>
  <c r="Y203" i="8"/>
  <c r="Z203" i="8" s="1"/>
  <c r="Y204" i="8"/>
  <c r="Z204" i="8" s="1"/>
  <c r="Y205" i="8"/>
  <c r="Z205" i="8" s="1"/>
  <c r="Y206" i="8"/>
  <c r="Z206" i="8" s="1"/>
  <c r="Y207" i="8"/>
  <c r="Z207" i="8" s="1"/>
  <c r="Y208" i="8"/>
  <c r="Z208" i="8" s="1"/>
  <c r="Y209" i="8"/>
  <c r="Z209" i="8" s="1"/>
  <c r="Y210" i="8"/>
  <c r="Z210" i="8" s="1"/>
  <c r="Y211" i="8"/>
  <c r="Z211" i="8" s="1"/>
  <c r="Y213" i="8"/>
  <c r="Z213" i="8" s="1"/>
  <c r="Y214" i="8"/>
  <c r="Z214" i="8" s="1"/>
  <c r="Y216" i="8"/>
  <c r="Z216" i="8" s="1"/>
  <c r="Y217" i="8"/>
  <c r="Z217" i="8" s="1"/>
  <c r="Y218" i="8"/>
  <c r="Z218" i="8" s="1"/>
  <c r="Y219" i="8"/>
  <c r="Z219" i="8" s="1"/>
  <c r="Y220" i="8"/>
  <c r="Z220" i="8" s="1"/>
  <c r="Y221" i="8"/>
  <c r="Z221" i="8" s="1"/>
  <c r="Y222" i="8"/>
  <c r="Z222" i="8" s="1"/>
  <c r="Y298" i="8"/>
  <c r="Z298" i="8" s="1"/>
  <c r="Y294" i="8"/>
  <c r="Z294" i="8" s="1"/>
  <c r="Y297" i="8"/>
  <c r="Z297" i="8" s="1"/>
  <c r="Y299" i="8"/>
  <c r="Z299" i="8" s="1"/>
  <c r="Y69" i="8"/>
  <c r="Z69" i="8" s="1"/>
  <c r="Y70" i="8"/>
  <c r="Z70" i="8" s="1"/>
  <c r="Y71" i="8"/>
  <c r="Z71" i="8" s="1"/>
  <c r="Y73" i="8"/>
  <c r="Z73" i="8" s="1"/>
  <c r="Y74" i="8"/>
  <c r="Z74" i="8" s="1"/>
  <c r="Y75" i="8"/>
  <c r="Z75" i="8" s="1"/>
  <c r="Y76" i="8"/>
  <c r="Z76" i="8" s="1"/>
  <c r="Y77" i="8"/>
  <c r="Z77" i="8" s="1"/>
  <c r="Y78" i="8"/>
  <c r="Z78" i="8" s="1"/>
  <c r="Y79" i="8"/>
  <c r="Z79" i="8" s="1"/>
  <c r="Y80" i="8"/>
  <c r="Z80" i="8" s="1"/>
  <c r="Y81" i="8"/>
  <c r="Z81" i="8" s="1"/>
  <c r="Y82" i="8"/>
  <c r="Z82" i="8" s="1"/>
  <c r="Y292" i="8"/>
  <c r="Z292" i="8" s="1"/>
  <c r="Y291" i="8"/>
  <c r="Z291" i="8" s="1"/>
  <c r="Y300" i="8"/>
  <c r="Z300" i="8" s="1"/>
  <c r="Y302" i="8"/>
  <c r="Z302" i="8" s="1"/>
  <c r="Y301" i="8"/>
  <c r="Z301" i="8" s="1"/>
  <c r="Y96" i="8"/>
  <c r="Z96" i="8" s="1"/>
  <c r="Y97" i="8"/>
  <c r="Z97" i="8" s="1"/>
  <c r="Y98" i="8"/>
  <c r="Z98" i="8" s="1"/>
  <c r="Y104" i="8"/>
  <c r="Z104" i="8" s="1"/>
  <c r="Y244" i="8"/>
  <c r="Z244" i="8" s="1"/>
  <c r="Y334" i="8"/>
  <c r="Z334" i="8" s="1"/>
  <c r="Y33" i="8"/>
  <c r="Z33" i="8" s="1"/>
  <c r="Y35" i="8"/>
  <c r="Z35" i="8" s="1"/>
  <c r="Y58" i="8"/>
  <c r="Z58" i="8" s="1"/>
  <c r="Y60" i="8"/>
  <c r="Z60" i="8" s="1"/>
  <c r="Y89" i="8"/>
  <c r="Z89" i="8" s="1"/>
  <c r="Y91" i="8"/>
  <c r="Z91" i="8" s="1"/>
  <c r="Y322" i="8"/>
  <c r="Z322" i="8" s="1"/>
  <c r="Y5" i="8"/>
  <c r="Z5" i="8" s="1"/>
  <c r="Y286" i="8"/>
  <c r="Z286" i="8" s="1"/>
  <c r="Y19" i="8"/>
  <c r="Z19" i="8" s="1"/>
  <c r="Y233" i="8"/>
  <c r="Z233" i="8" s="1"/>
  <c r="Y23" i="8"/>
  <c r="Z23" i="8" s="1"/>
  <c r="Y18" i="8"/>
  <c r="Z18" i="8" s="1"/>
  <c r="Y279" i="8"/>
  <c r="Z279" i="8" s="1"/>
  <c r="Y276" i="8"/>
  <c r="Z276" i="8" s="1"/>
  <c r="F55" i="9" l="1"/>
  <c r="F3" i="1" l="1"/>
  <c r="F4" i="1"/>
  <c r="F5" i="1"/>
  <c r="F6" i="1"/>
  <c r="F7" i="1"/>
  <c r="F8" i="1"/>
  <c r="F9" i="1"/>
  <c r="F10" i="1"/>
  <c r="F11" i="1"/>
  <c r="F12" i="1"/>
  <c r="F13" i="1"/>
  <c r="E5" i="1"/>
  <c r="E6" i="1"/>
  <c r="E7" i="1"/>
  <c r="E8" i="1"/>
  <c r="E9" i="1"/>
  <c r="E10" i="1"/>
  <c r="E11" i="1"/>
  <c r="E12" i="1"/>
  <c r="E13" i="1"/>
  <c r="E4" i="1"/>
  <c r="E3" i="1"/>
  <c r="E22" i="1" l="1"/>
  <c r="F22" i="1"/>
  <c r="E24" i="1"/>
  <c r="F24" i="1"/>
  <c r="E23" i="1"/>
  <c r="E28" i="1" s="1"/>
  <c r="F23" i="1"/>
  <c r="F28" i="1" s="1"/>
  <c r="Y7" i="1"/>
  <c r="Y6" i="1"/>
  <c r="E15" i="1"/>
  <c r="V14" i="1" s="1"/>
  <c r="E17" i="1"/>
  <c r="E18" i="1"/>
  <c r="F18" i="1"/>
  <c r="E19" i="1"/>
  <c r="F19" i="1"/>
  <c r="F17" i="1"/>
  <c r="T2" i="1"/>
  <c r="T9" i="1"/>
  <c r="F15" i="1"/>
  <c r="W4" i="1" s="1"/>
  <c r="T8" i="1"/>
  <c r="T7" i="1"/>
  <c r="Y2" i="1"/>
  <c r="T6" i="1"/>
  <c r="Y3" i="1"/>
  <c r="T5" i="1"/>
  <c r="T12" i="1"/>
  <c r="T4" i="1"/>
  <c r="T11" i="1"/>
  <c r="T3" i="1"/>
  <c r="T10" i="1"/>
  <c r="E27" i="1" l="1"/>
  <c r="A31" i="1" s="1"/>
  <c r="E29" i="1"/>
  <c r="E31" i="1"/>
  <c r="E20" i="1"/>
  <c r="F25" i="1"/>
  <c r="F20" i="1"/>
  <c r="E25" i="1"/>
  <c r="T17" i="1"/>
  <c r="F31" i="1"/>
  <c r="T19" i="1"/>
  <c r="F33" i="1"/>
  <c r="E33" i="1"/>
  <c r="T18" i="1"/>
  <c r="F32" i="1"/>
  <c r="E32" i="1"/>
  <c r="F27" i="1"/>
  <c r="F29" i="1"/>
  <c r="V9" i="1"/>
  <c r="V5" i="1"/>
  <c r="V3" i="1"/>
  <c r="V12" i="1"/>
  <c r="V8" i="1"/>
  <c r="V2" i="1"/>
  <c r="V11" i="1"/>
  <c r="V6" i="1"/>
  <c r="V7" i="1"/>
  <c r="V10" i="1"/>
  <c r="V4" i="1"/>
  <c r="W3" i="1"/>
  <c r="W11" i="1"/>
  <c r="W5" i="1"/>
  <c r="W14" i="1"/>
  <c r="T14" i="1"/>
  <c r="W6" i="1"/>
  <c r="W7" i="1"/>
  <c r="W2" i="1"/>
  <c r="Y14" i="1"/>
  <c r="Z14" i="1" s="1"/>
  <c r="W10" i="1"/>
  <c r="W9" i="1"/>
  <c r="W12" i="1"/>
  <c r="W8" i="1"/>
  <c r="V18" i="1" l="1"/>
  <c r="V19" i="1"/>
  <c r="W18" i="1"/>
  <c r="V17" i="1"/>
  <c r="W17" i="1"/>
  <c r="W19" i="1"/>
  <c r="I156" i="9" l="1"/>
  <c r="I243" i="9"/>
  <c r="AF243" i="9" s="1"/>
  <c r="I216" i="9"/>
  <c r="L315" i="9"/>
  <c r="L316" i="9" s="1"/>
  <c r="K315" i="9"/>
  <c r="K316" i="9" s="1"/>
  <c r="L373" i="9"/>
  <c r="I397" i="9"/>
  <c r="K398" i="9"/>
  <c r="J315" i="9"/>
  <c r="H387" i="9"/>
  <c r="H373" i="9"/>
  <c r="H354" i="9"/>
  <c r="K403" i="9"/>
  <c r="L200" i="9"/>
  <c r="L201" i="9" s="1"/>
  <c r="H397" i="9"/>
  <c r="J319" i="9"/>
  <c r="L255" i="9"/>
  <c r="I448" i="9"/>
  <c r="AF448" i="9" s="1"/>
  <c r="K127" i="9"/>
  <c r="K128" i="9"/>
  <c r="H130" i="9"/>
  <c r="L135" i="9"/>
  <c r="J145" i="9"/>
  <c r="J150" i="9"/>
  <c r="I151" i="9"/>
  <c r="I160" i="9"/>
  <c r="J162" i="9"/>
  <c r="I163" i="9"/>
  <c r="I168" i="9"/>
  <c r="J169" i="9"/>
  <c r="I171" i="9"/>
  <c r="H181" i="9"/>
  <c r="K182" i="9"/>
  <c r="L184" i="9"/>
  <c r="H188" i="9"/>
  <c r="L204" i="9"/>
  <c r="L206" i="9"/>
  <c r="K207" i="9"/>
  <c r="L209" i="9"/>
  <c r="J220" i="9"/>
  <c r="J222" i="9"/>
  <c r="K232" i="9"/>
  <c r="I236" i="9"/>
  <c r="L238" i="9"/>
  <c r="L239" i="9"/>
  <c r="I244" i="9"/>
  <c r="AF244" i="9" s="1"/>
  <c r="K246" i="9"/>
  <c r="I250" i="9"/>
  <c r="K262" i="9"/>
  <c r="H263" i="9"/>
  <c r="L268" i="9"/>
  <c r="J273" i="9"/>
  <c r="H274" i="9"/>
  <c r="I279" i="9"/>
  <c r="H284" i="9"/>
  <c r="I285" i="9"/>
  <c r="AF285" i="9" s="1"/>
  <c r="J290" i="9"/>
  <c r="AG290" i="9" s="1"/>
  <c r="K294" i="9"/>
  <c r="I299" i="9"/>
  <c r="J156" i="9"/>
  <c r="J255" i="9"/>
  <c r="J216" i="9"/>
  <c r="H243" i="9"/>
  <c r="I310" i="9"/>
  <c r="H374" i="9"/>
  <c r="L393" i="9"/>
  <c r="J403" i="9"/>
  <c r="AG403" i="9" s="1"/>
  <c r="I196" i="9"/>
  <c r="K354" i="9"/>
  <c r="H402" i="9"/>
  <c r="H310" i="9"/>
  <c r="H365" i="9"/>
  <c r="K448" i="9"/>
  <c r="J365" i="9"/>
  <c r="AG365" i="9" s="1"/>
  <c r="K365" i="9"/>
  <c r="J306" i="9"/>
  <c r="L365" i="9"/>
  <c r="H127" i="9"/>
  <c r="H129" i="9"/>
  <c r="L130" i="9"/>
  <c r="H135" i="9"/>
  <c r="L145" i="9"/>
  <c r="I150" i="9"/>
  <c r="L152" i="9"/>
  <c r="J160" i="9"/>
  <c r="L162" i="9"/>
  <c r="K163" i="9"/>
  <c r="J168" i="9"/>
  <c r="J170" i="9"/>
  <c r="H171" i="9"/>
  <c r="K181" i="9"/>
  <c r="I182" i="9"/>
  <c r="J184" i="9"/>
  <c r="L189" i="9"/>
  <c r="H204" i="9"/>
  <c r="K206" i="9"/>
  <c r="L207" i="9"/>
  <c r="K209" i="9"/>
  <c r="H221" i="9"/>
  <c r="K222" i="9"/>
  <c r="L232" i="9"/>
  <c r="J236" i="9"/>
  <c r="K238" i="9"/>
  <c r="H240" i="9"/>
  <c r="K244" i="9"/>
  <c r="I246" i="9"/>
  <c r="AF246" i="9" s="1"/>
  <c r="K250" i="9"/>
  <c r="H262" i="9"/>
  <c r="J267" i="9"/>
  <c r="J268" i="9"/>
  <c r="AG268" i="9" s="1"/>
  <c r="I273" i="9"/>
  <c r="K274" i="9"/>
  <c r="K279" i="9"/>
  <c r="J284" i="9"/>
  <c r="H285" i="9"/>
  <c r="L290" i="9"/>
  <c r="J295" i="9"/>
  <c r="AG295" i="9" s="1"/>
  <c r="K299" i="9"/>
  <c r="K193" i="9"/>
  <c r="K194" i="9" s="1"/>
  <c r="I193" i="9"/>
  <c r="L306" i="9"/>
  <c r="L307" i="9" s="1"/>
  <c r="H306" i="9"/>
  <c r="J310" i="9"/>
  <c r="I374" i="9"/>
  <c r="AF374" i="9" s="1"/>
  <c r="J397" i="9"/>
  <c r="I355" i="9"/>
  <c r="AF355" i="9" s="1"/>
  <c r="L123" i="9"/>
  <c r="L310" i="9"/>
  <c r="L311" i="9" s="1"/>
  <c r="K355" i="9"/>
  <c r="K196" i="9"/>
  <c r="K197" i="9" s="1"/>
  <c r="K388" i="9"/>
  <c r="I392" i="9"/>
  <c r="K319" i="9"/>
  <c r="K320" i="9" s="1"/>
  <c r="L402" i="9"/>
  <c r="I123" i="9"/>
  <c r="L392" i="9"/>
  <c r="L394" i="9" s="1"/>
  <c r="L127" i="9"/>
  <c r="J129" i="9"/>
  <c r="I130" i="9"/>
  <c r="I135" i="9"/>
  <c r="K146" i="9"/>
  <c r="H150" i="9"/>
  <c r="I152" i="9"/>
  <c r="K160" i="9"/>
  <c r="K164" i="9" s="1"/>
  <c r="H162" i="9"/>
  <c r="I167" i="9"/>
  <c r="K168" i="9"/>
  <c r="L170" i="9"/>
  <c r="L171" i="9"/>
  <c r="L181" i="9"/>
  <c r="L183" i="9"/>
  <c r="I184" i="9"/>
  <c r="H189" i="9"/>
  <c r="I204" i="9"/>
  <c r="H206" i="9"/>
  <c r="H208" i="9"/>
  <c r="H209" i="9"/>
  <c r="J221" i="9"/>
  <c r="AG221" i="9" s="1"/>
  <c r="I222" i="9"/>
  <c r="I232" i="9"/>
  <c r="I237" i="9"/>
  <c r="AF237" i="9" s="1"/>
  <c r="H238" i="9"/>
  <c r="L240" i="9"/>
  <c r="L244" i="9"/>
  <c r="J246" i="9"/>
  <c r="AG246" i="9" s="1"/>
  <c r="H251" i="9"/>
  <c r="L262" i="9"/>
  <c r="H267" i="9"/>
  <c r="H268" i="9"/>
  <c r="K273" i="9"/>
  <c r="K278" i="9"/>
  <c r="J279" i="9"/>
  <c r="K284" i="9"/>
  <c r="I289" i="9"/>
  <c r="H290" i="9"/>
  <c r="I295" i="9"/>
  <c r="AF295" i="9" s="1"/>
  <c r="J299" i="9"/>
  <c r="I268" i="9"/>
  <c r="AF268" i="9" s="1"/>
  <c r="J285" i="9"/>
  <c r="AG285" i="9" s="1"/>
  <c r="K139" i="9"/>
  <c r="J193" i="9"/>
  <c r="I255" i="9"/>
  <c r="J243" i="9"/>
  <c r="AG243" i="9" s="1"/>
  <c r="H315" i="9"/>
  <c r="J374" i="9"/>
  <c r="AG374" i="9" s="1"/>
  <c r="L387" i="9"/>
  <c r="L389" i="9" s="1"/>
  <c r="J364" i="9"/>
  <c r="J258" i="9"/>
  <c r="AG258" i="9" s="1"/>
  <c r="H196" i="9"/>
  <c r="I373" i="9"/>
  <c r="J200" i="9"/>
  <c r="H319" i="9"/>
  <c r="I365" i="9"/>
  <c r="AF365" i="9" s="1"/>
  <c r="K258" i="9"/>
  <c r="L403" i="9"/>
  <c r="I402" i="9"/>
  <c r="J123" i="9"/>
  <c r="J127" i="9"/>
  <c r="I129" i="9"/>
  <c r="L134" i="9"/>
  <c r="L136" i="9" s="1"/>
  <c r="J135" i="9"/>
  <c r="L146" i="9"/>
  <c r="K150" i="9"/>
  <c r="J152" i="9"/>
  <c r="H161" i="9"/>
  <c r="I162" i="9"/>
  <c r="L167" i="9"/>
  <c r="L168" i="9"/>
  <c r="I170" i="9"/>
  <c r="J180" i="9"/>
  <c r="I181" i="9"/>
  <c r="K183" i="9"/>
  <c r="H184" i="9"/>
  <c r="J189" i="9"/>
  <c r="L205" i="9"/>
  <c r="I206" i="9"/>
  <c r="J208" i="9"/>
  <c r="J209" i="9"/>
  <c r="K221" i="9"/>
  <c r="I231" i="9"/>
  <c r="H232" i="9"/>
  <c r="K237" i="9"/>
  <c r="I238" i="9"/>
  <c r="AF238" i="9" s="1"/>
  <c r="K240" i="9"/>
  <c r="L245" i="9"/>
  <c r="L246" i="9"/>
  <c r="L251" i="9"/>
  <c r="I262" i="9"/>
  <c r="L267" i="9"/>
  <c r="J269" i="9"/>
  <c r="AG269" i="9" s="1"/>
  <c r="L273" i="9"/>
  <c r="H278" i="9"/>
  <c r="L280" i="9"/>
  <c r="I284" i="9"/>
  <c r="K289" i="9"/>
  <c r="K291" i="9" s="1"/>
  <c r="K290" i="9"/>
  <c r="K295" i="9"/>
  <c r="L300" i="9"/>
  <c r="K263" i="9"/>
  <c r="I280" i="9"/>
  <c r="AF280" i="9" s="1"/>
  <c r="K156" i="9"/>
  <c r="K157" i="9" s="1"/>
  <c r="K243" i="9"/>
  <c r="H279" i="9"/>
  <c r="L258" i="9"/>
  <c r="I315" i="9"/>
  <c r="I387" i="9"/>
  <c r="H393" i="9"/>
  <c r="L397" i="9"/>
  <c r="I354" i="9"/>
  <c r="J196" i="9"/>
  <c r="I393" i="9"/>
  <c r="AF393" i="9" s="1"/>
  <c r="L139" i="9"/>
  <c r="L196" i="9"/>
  <c r="L197" i="9" s="1"/>
  <c r="I319" i="9"/>
  <c r="H123" i="9"/>
  <c r="I403" i="9"/>
  <c r="AF403" i="9" s="1"/>
  <c r="L388" i="9"/>
  <c r="J398" i="9"/>
  <c r="AG398" i="9" s="1"/>
  <c r="I128" i="9"/>
  <c r="K129" i="9"/>
  <c r="K134" i="9"/>
  <c r="K136" i="9" s="1"/>
  <c r="K135" i="9"/>
  <c r="H146" i="9"/>
  <c r="K151" i="9"/>
  <c r="K152" i="9"/>
  <c r="L161" i="9"/>
  <c r="K162" i="9"/>
  <c r="H167" i="9"/>
  <c r="I169" i="9"/>
  <c r="K170" i="9"/>
  <c r="H180" i="9"/>
  <c r="J181" i="9"/>
  <c r="H183" i="9"/>
  <c r="J188" i="9"/>
  <c r="K189" i="9"/>
  <c r="H205" i="9"/>
  <c r="J206" i="9"/>
  <c r="K208" i="9"/>
  <c r="K220" i="9"/>
  <c r="I221" i="9"/>
  <c r="K231" i="9"/>
  <c r="K233" i="9" s="1"/>
  <c r="J232" i="9"/>
  <c r="AG232" i="9" s="1"/>
  <c r="L237" i="9"/>
  <c r="I239" i="9"/>
  <c r="AF239" i="9" s="1"/>
  <c r="I240" i="9"/>
  <c r="AF240" i="9" s="1"/>
  <c r="H245" i="9"/>
  <c r="H246" i="9"/>
  <c r="I251" i="9"/>
  <c r="AF251" i="9" s="1"/>
  <c r="L263" i="9"/>
  <c r="I267" i="9"/>
  <c r="L269" i="9"/>
  <c r="H273" i="9"/>
  <c r="L278" i="9"/>
  <c r="J280" i="9"/>
  <c r="AG280" i="9" s="1"/>
  <c r="L284" i="9"/>
  <c r="J289" i="9"/>
  <c r="I294" i="9"/>
  <c r="H295" i="9"/>
  <c r="J300" i="9"/>
  <c r="AG300" i="9" s="1"/>
  <c r="J251" i="9"/>
  <c r="AG251" i="9" s="1"/>
  <c r="J274" i="9"/>
  <c r="AG274" i="9" s="1"/>
  <c r="L299" i="9"/>
  <c r="L301" i="9" s="1"/>
  <c r="L156" i="9"/>
  <c r="L157" i="9" s="1"/>
  <c r="H193" i="9"/>
  <c r="L193" i="9"/>
  <c r="L194" i="9" s="1"/>
  <c r="K255" i="9"/>
  <c r="K259" i="9" s="1"/>
  <c r="I306" i="9"/>
  <c r="I364" i="9"/>
  <c r="K387" i="9"/>
  <c r="K389" i="9" s="1"/>
  <c r="L448" i="9"/>
  <c r="I388" i="9"/>
  <c r="AF388" i="9" s="1"/>
  <c r="H388" i="9"/>
  <c r="I200" i="9"/>
  <c r="J387" i="9"/>
  <c r="I258" i="9"/>
  <c r="AF258" i="9" s="1"/>
  <c r="K200" i="9"/>
  <c r="K201" i="9" s="1"/>
  <c r="H448" i="9"/>
  <c r="H403" i="9"/>
  <c r="J354" i="9"/>
  <c r="L398" i="9"/>
  <c r="H355" i="9"/>
  <c r="H128" i="9"/>
  <c r="L129" i="9"/>
  <c r="J134" i="9"/>
  <c r="K145" i="9"/>
  <c r="K147" i="9" s="1"/>
  <c r="I146" i="9"/>
  <c r="H151" i="9"/>
  <c r="H152" i="9"/>
  <c r="K161" i="9"/>
  <c r="H163" i="9"/>
  <c r="J167" i="9"/>
  <c r="K169" i="9"/>
  <c r="H170" i="9"/>
  <c r="K180" i="9"/>
  <c r="J182" i="9"/>
  <c r="I183" i="9"/>
  <c r="L188" i="9"/>
  <c r="L190" i="9" s="1"/>
  <c r="I189" i="9"/>
  <c r="I205" i="9"/>
  <c r="H207" i="9"/>
  <c r="L208" i="9"/>
  <c r="H220" i="9"/>
  <c r="L221" i="9"/>
  <c r="H231" i="9"/>
  <c r="K236" i="9"/>
  <c r="J237" i="9"/>
  <c r="AG237" i="9" s="1"/>
  <c r="H239" i="9"/>
  <c r="J240" i="9"/>
  <c r="AG240" i="9" s="1"/>
  <c r="J245" i="9"/>
  <c r="AG245" i="9" s="1"/>
  <c r="L250" i="9"/>
  <c r="K251" i="9"/>
  <c r="I263" i="9"/>
  <c r="AF263" i="9" s="1"/>
  <c r="K267" i="9"/>
  <c r="I269" i="9"/>
  <c r="AF269" i="9" s="1"/>
  <c r="L274" i="9"/>
  <c r="J278" i="9"/>
  <c r="H280" i="9"/>
  <c r="K285" i="9"/>
  <c r="H289" i="9"/>
  <c r="J294" i="9"/>
  <c r="L295" i="9"/>
  <c r="K300" i="9"/>
  <c r="J250" i="9"/>
  <c r="I278" i="9"/>
  <c r="H300" i="9"/>
  <c r="J139" i="9"/>
  <c r="K216" i="9"/>
  <c r="K217" i="9" s="1"/>
  <c r="H216" i="9"/>
  <c r="K310" i="9"/>
  <c r="K311" i="9" s="1"/>
  <c r="L243" i="9"/>
  <c r="J373" i="9"/>
  <c r="H364" i="9"/>
  <c r="J448" i="9"/>
  <c r="AG448" i="9" s="1"/>
  <c r="K397" i="9"/>
  <c r="J355" i="9"/>
  <c r="AG355" i="9" s="1"/>
  <c r="K123" i="9"/>
  <c r="K393" i="9"/>
  <c r="J392" i="9"/>
  <c r="H139" i="9"/>
  <c r="J402" i="9"/>
  <c r="H392" i="9"/>
  <c r="L364" i="9"/>
  <c r="L366" i="9" s="1"/>
  <c r="H255" i="9"/>
  <c r="L354" i="9"/>
  <c r="L356" i="9" s="1"/>
  <c r="J128" i="9"/>
  <c r="K130" i="9"/>
  <c r="H134" i="9"/>
  <c r="H145" i="9"/>
  <c r="J146" i="9"/>
  <c r="L151" i="9"/>
  <c r="L160" i="9"/>
  <c r="J161" i="9"/>
  <c r="J163" i="9"/>
  <c r="K167" i="9"/>
  <c r="K172" i="9" s="1"/>
  <c r="L169" i="9"/>
  <c r="K171" i="9"/>
  <c r="I180" i="9"/>
  <c r="H182" i="9"/>
  <c r="J183" i="9"/>
  <c r="I188" i="9"/>
  <c r="J204" i="9"/>
  <c r="J205" i="9"/>
  <c r="J207" i="9"/>
  <c r="I208" i="9"/>
  <c r="I220" i="9"/>
  <c r="H222" i="9"/>
  <c r="L231" i="9"/>
  <c r="L233" i="9" s="1"/>
  <c r="L236" i="9"/>
  <c r="L247" i="9" s="1"/>
  <c r="H237" i="9"/>
  <c r="K239" i="9"/>
  <c r="H244" i="9"/>
  <c r="I245" i="9"/>
  <c r="AF245" i="9" s="1"/>
  <c r="K269" i="9"/>
  <c r="L289" i="9"/>
  <c r="L291" i="9" s="1"/>
  <c r="H156" i="9"/>
  <c r="L216" i="9"/>
  <c r="L217" i="9" s="1"/>
  <c r="H200" i="9"/>
  <c r="H258" i="9"/>
  <c r="K306" i="9"/>
  <c r="K307" i="9" s="1"/>
  <c r="K373" i="9"/>
  <c r="J393" i="9"/>
  <c r="AG393" i="9" s="1"/>
  <c r="I398" i="9"/>
  <c r="AF398" i="9" s="1"/>
  <c r="K364" i="9"/>
  <c r="K366" i="9" s="1"/>
  <c r="J388" i="9"/>
  <c r="AG388" i="9" s="1"/>
  <c r="I139" i="9"/>
  <c r="L319" i="9"/>
  <c r="L320" i="9" s="1"/>
  <c r="L355" i="9"/>
  <c r="K374" i="9"/>
  <c r="K392" i="9"/>
  <c r="K394" i="9" s="1"/>
  <c r="H398" i="9"/>
  <c r="L374" i="9"/>
  <c r="K402" i="9"/>
  <c r="K404" i="9" s="1"/>
  <c r="I127" i="9"/>
  <c r="L128" i="9"/>
  <c r="J130" i="9"/>
  <c r="I134" i="9"/>
  <c r="I145" i="9"/>
  <c r="L150" i="9"/>
  <c r="L153" i="9" s="1"/>
  <c r="J151" i="9"/>
  <c r="H160" i="9"/>
  <c r="I161" i="9"/>
  <c r="L163" i="9"/>
  <c r="H168" i="9"/>
  <c r="H169" i="9"/>
  <c r="J171" i="9"/>
  <c r="L180" i="9"/>
  <c r="L185" i="9" s="1"/>
  <c r="L182" i="9"/>
  <c r="K184" i="9"/>
  <c r="K188" i="9"/>
  <c r="K190" i="9" s="1"/>
  <c r="K204" i="9"/>
  <c r="K205" i="9"/>
  <c r="I207" i="9"/>
  <c r="I209" i="9"/>
  <c r="L220" i="9"/>
  <c r="L223" i="9" s="1"/>
  <c r="L222" i="9"/>
  <c r="J231" i="9"/>
  <c r="H236" i="9"/>
  <c r="J238" i="9"/>
  <c r="AG238" i="9" s="1"/>
  <c r="J239" i="9"/>
  <c r="AG239" i="9" s="1"/>
  <c r="J244" i="9"/>
  <c r="AG244" i="9" s="1"/>
  <c r="K245" i="9"/>
  <c r="H250" i="9"/>
  <c r="J262" i="9"/>
  <c r="J263" i="9"/>
  <c r="AG263" i="9" s="1"/>
  <c r="K268" i="9"/>
  <c r="H269" i="9"/>
  <c r="I274" i="9"/>
  <c r="AF274" i="9" s="1"/>
  <c r="L279" i="9"/>
  <c r="K280" i="9"/>
  <c r="L285" i="9"/>
  <c r="I290" i="9"/>
  <c r="AF290" i="9" s="1"/>
  <c r="H294" i="9"/>
  <c r="H299" i="9"/>
  <c r="I300" i="9"/>
  <c r="AF300" i="9" s="1"/>
  <c r="L294" i="9"/>
  <c r="L296" i="9" s="1"/>
  <c r="J323" i="9"/>
  <c r="L323" i="9"/>
  <c r="L324" i="9" s="1"/>
  <c r="I323" i="9"/>
  <c r="H323" i="9"/>
  <c r="K323" i="9"/>
  <c r="K324" i="9" s="1"/>
  <c r="K327" i="9"/>
  <c r="K328" i="9" s="1"/>
  <c r="H327" i="9"/>
  <c r="I327" i="9"/>
  <c r="L327" i="9"/>
  <c r="L328" i="9" s="1"/>
  <c r="J327" i="9"/>
  <c r="I331" i="9"/>
  <c r="K331" i="9"/>
  <c r="K332" i="9" s="1"/>
  <c r="H331" i="9"/>
  <c r="L331" i="9"/>
  <c r="L332" i="9" s="1"/>
  <c r="J331" i="9"/>
  <c r="J335" i="9"/>
  <c r="I335" i="9"/>
  <c r="K335" i="9"/>
  <c r="K336" i="9" s="1"/>
  <c r="H335" i="9"/>
  <c r="L335" i="9"/>
  <c r="L336" i="9" s="1"/>
  <c r="L339" i="9"/>
  <c r="L340" i="9" s="1"/>
  <c r="K339" i="9"/>
  <c r="K340" i="9" s="1"/>
  <c r="J339" i="9"/>
  <c r="H339" i="9"/>
  <c r="I339" i="9"/>
  <c r="L343" i="9"/>
  <c r="L344" i="9" s="1"/>
  <c r="J343" i="9"/>
  <c r="K343" i="9"/>
  <c r="K344" i="9" s="1"/>
  <c r="H343" i="9"/>
  <c r="I343" i="9"/>
  <c r="L347" i="9"/>
  <c r="L348" i="9" s="1"/>
  <c r="K347" i="9"/>
  <c r="K348" i="9" s="1"/>
  <c r="I347" i="9"/>
  <c r="H347" i="9"/>
  <c r="J347" i="9"/>
  <c r="I359" i="9"/>
  <c r="J359" i="9"/>
  <c r="L359" i="9"/>
  <c r="H359" i="9"/>
  <c r="K359" i="9"/>
  <c r="K360" i="9"/>
  <c r="J360" i="9"/>
  <c r="AG360" i="9" s="1"/>
  <c r="L360" i="9"/>
  <c r="H360" i="9"/>
  <c r="I360" i="9"/>
  <c r="AF360" i="9" s="1"/>
  <c r="L369" i="9"/>
  <c r="L370" i="9" s="1"/>
  <c r="H369" i="9"/>
  <c r="J369" i="9"/>
  <c r="K369" i="9"/>
  <c r="K370" i="9" s="1"/>
  <c r="I369" i="9"/>
  <c r="I378" i="9"/>
  <c r="H378" i="9"/>
  <c r="J378" i="9"/>
  <c r="K378" i="9"/>
  <c r="K380" i="9" s="1"/>
  <c r="L378" i="9"/>
  <c r="H379" i="9"/>
  <c r="K379" i="9"/>
  <c r="I379" i="9"/>
  <c r="AF379" i="9" s="1"/>
  <c r="J379" i="9"/>
  <c r="AG379" i="9" s="1"/>
  <c r="L379" i="9"/>
  <c r="K383" i="9"/>
  <c r="K384" i="9" s="1"/>
  <c r="I383" i="9"/>
  <c r="L383" i="9"/>
  <c r="L384" i="9" s="1"/>
  <c r="H383" i="9"/>
  <c r="J383" i="9"/>
  <c r="J410" i="9"/>
  <c r="L410" i="9"/>
  <c r="L411" i="9" s="1"/>
  <c r="K410" i="9"/>
  <c r="K411" i="9" s="1"/>
  <c r="H410" i="9"/>
  <c r="I410" i="9"/>
  <c r="L414" i="9"/>
  <c r="I414" i="9"/>
  <c r="H414" i="9"/>
  <c r="J414" i="9"/>
  <c r="K414" i="9"/>
  <c r="I415" i="9"/>
  <c r="AF415" i="9" s="1"/>
  <c r="H415" i="9"/>
  <c r="J415" i="9"/>
  <c r="AG415" i="9" s="1"/>
  <c r="L415" i="9"/>
  <c r="L416" i="9" s="1"/>
  <c r="K415" i="9"/>
  <c r="K416" i="9" s="1"/>
  <c r="I419" i="9"/>
  <c r="L419" i="9"/>
  <c r="H419" i="9"/>
  <c r="K419" i="9"/>
  <c r="J419" i="9"/>
  <c r="H420" i="9"/>
  <c r="L420" i="9"/>
  <c r="K420" i="9"/>
  <c r="K421" i="9" s="1"/>
  <c r="I420" i="9"/>
  <c r="AF420" i="9" s="1"/>
  <c r="J420" i="9"/>
  <c r="AG420" i="9" s="1"/>
  <c r="I424" i="9"/>
  <c r="J424" i="9"/>
  <c r="L424" i="9"/>
  <c r="H424" i="9"/>
  <c r="K424" i="9"/>
  <c r="K426" i="9"/>
  <c r="J425" i="9"/>
  <c r="AG425" i="9" s="1"/>
  <c r="L426" i="9"/>
  <c r="I426" i="9"/>
  <c r="AF426" i="9" s="1"/>
  <c r="H426" i="9"/>
  <c r="J426" i="9"/>
  <c r="AG426" i="9" s="1"/>
  <c r="K425" i="9"/>
  <c r="I425" i="9"/>
  <c r="AF425" i="9" s="1"/>
  <c r="H425" i="9"/>
  <c r="L425" i="9"/>
  <c r="K431" i="9"/>
  <c r="K433" i="9" s="1"/>
  <c r="L431" i="9"/>
  <c r="J431" i="9"/>
  <c r="H431" i="9"/>
  <c r="I431" i="9"/>
  <c r="L432" i="9"/>
  <c r="I432" i="9"/>
  <c r="AF432" i="9" s="1"/>
  <c r="J432" i="9"/>
  <c r="AG432" i="9" s="1"/>
  <c r="H432" i="9"/>
  <c r="K432" i="9"/>
  <c r="H436" i="9"/>
  <c r="J436" i="9"/>
  <c r="I436" i="9"/>
  <c r="K436" i="9"/>
  <c r="K437" i="9" s="1"/>
  <c r="L436" i="9"/>
  <c r="L437" i="9" s="1"/>
  <c r="H440" i="9"/>
  <c r="J440" i="9"/>
  <c r="K440" i="9"/>
  <c r="L440" i="9"/>
  <c r="I440" i="9"/>
  <c r="J441" i="9"/>
  <c r="AG441" i="9" s="1"/>
  <c r="L441" i="9"/>
  <c r="H441" i="9"/>
  <c r="K441" i="9"/>
  <c r="I441" i="9"/>
  <c r="AF441" i="9" s="1"/>
  <c r="H446" i="9"/>
  <c r="J446" i="9"/>
  <c r="I446" i="9"/>
  <c r="K446" i="9"/>
  <c r="L446" i="9"/>
  <c r="J447" i="9"/>
  <c r="AG447" i="9" s="1"/>
  <c r="K447" i="9"/>
  <c r="I447" i="9"/>
  <c r="AF447" i="9" s="1"/>
  <c r="L447" i="9"/>
  <c r="H447" i="9"/>
  <c r="J452" i="9"/>
  <c r="K452" i="9"/>
  <c r="H452" i="9"/>
  <c r="L452" i="9"/>
  <c r="I452" i="9"/>
  <c r="I453" i="9"/>
  <c r="AF453" i="9" s="1"/>
  <c r="L453" i="9"/>
  <c r="H453" i="9"/>
  <c r="J453" i="9"/>
  <c r="AG453" i="9" s="1"/>
  <c r="K453" i="9"/>
  <c r="L454" i="9"/>
  <c r="J454" i="9"/>
  <c r="AG454" i="9" s="1"/>
  <c r="H454" i="9"/>
  <c r="K454" i="9"/>
  <c r="I454" i="9"/>
  <c r="AF454" i="9" s="1"/>
  <c r="I460" i="9"/>
  <c r="L460" i="9"/>
  <c r="K460" i="9"/>
  <c r="H460" i="9"/>
  <c r="J460" i="9"/>
  <c r="I461" i="9"/>
  <c r="AF461" i="9" s="1"/>
  <c r="L461" i="9"/>
  <c r="J461" i="9"/>
  <c r="AG461" i="9" s="1"/>
  <c r="H461" i="9"/>
  <c r="K461" i="9"/>
  <c r="K462" i="9"/>
  <c r="L462" i="9"/>
  <c r="I462" i="9"/>
  <c r="AF462" i="9" s="1"/>
  <c r="J462" i="9"/>
  <c r="AG462" i="9" s="1"/>
  <c r="H462" i="9"/>
  <c r="L463" i="9"/>
  <c r="I463" i="9"/>
  <c r="AF463" i="9" s="1"/>
  <c r="J463" i="9"/>
  <c r="AG463" i="9" s="1"/>
  <c r="H463" i="9"/>
  <c r="K463" i="9"/>
  <c r="H464" i="9"/>
  <c r="I464" i="9"/>
  <c r="AF464" i="9" s="1"/>
  <c r="K464" i="9"/>
  <c r="J464" i="9"/>
  <c r="AG464" i="9" s="1"/>
  <c r="L464" i="9"/>
  <c r="J468" i="9"/>
  <c r="H468" i="9"/>
  <c r="K468" i="9"/>
  <c r="K469" i="9" s="1"/>
  <c r="L468" i="9"/>
  <c r="L469" i="9" s="1"/>
  <c r="I468" i="9"/>
  <c r="J472" i="9"/>
  <c r="H472" i="9"/>
  <c r="L472" i="9"/>
  <c r="I472" i="9"/>
  <c r="K472" i="9"/>
  <c r="I473" i="9"/>
  <c r="AF473" i="9" s="1"/>
  <c r="K473" i="9"/>
  <c r="L473" i="9"/>
  <c r="J473" i="9"/>
  <c r="AG473" i="9" s="1"/>
  <c r="H473" i="9"/>
  <c r="J474" i="9"/>
  <c r="AG474" i="9" s="1"/>
  <c r="H474" i="9"/>
  <c r="K474" i="9"/>
  <c r="L474" i="9"/>
  <c r="I474" i="9"/>
  <c r="AF474" i="9" s="1"/>
  <c r="L475" i="9"/>
  <c r="I475" i="9"/>
  <c r="AF475" i="9" s="1"/>
  <c r="H475" i="9"/>
  <c r="J475" i="9"/>
  <c r="AG475" i="9" s="1"/>
  <c r="K475" i="9"/>
  <c r="L476" i="9"/>
  <c r="K476" i="9"/>
  <c r="J476" i="9"/>
  <c r="AG476" i="9" s="1"/>
  <c r="I476" i="9"/>
  <c r="AF476" i="9" s="1"/>
  <c r="H476" i="9"/>
  <c r="H477" i="9"/>
  <c r="I477" i="9"/>
  <c r="AF477" i="9" s="1"/>
  <c r="J477" i="9"/>
  <c r="AG477" i="9" s="1"/>
  <c r="L477" i="9"/>
  <c r="K477" i="9"/>
  <c r="L481" i="9"/>
  <c r="I481" i="9"/>
  <c r="K481" i="9"/>
  <c r="H481" i="9"/>
  <c r="J481" i="9"/>
  <c r="L482" i="9"/>
  <c r="H482" i="9"/>
  <c r="J482" i="9"/>
  <c r="AG482" i="9" s="1"/>
  <c r="I482" i="9"/>
  <c r="AF482" i="9" s="1"/>
  <c r="K482" i="9"/>
  <c r="I483" i="9"/>
  <c r="AF483" i="9" s="1"/>
  <c r="H483" i="9"/>
  <c r="K483" i="9"/>
  <c r="J483" i="9"/>
  <c r="AG483" i="9" s="1"/>
  <c r="L483" i="9"/>
  <c r="H484" i="9"/>
  <c r="I484" i="9"/>
  <c r="AF484" i="9" s="1"/>
  <c r="J484" i="9"/>
  <c r="AG484" i="9" s="1"/>
  <c r="L484" i="9"/>
  <c r="K484" i="9"/>
  <c r="I485" i="9"/>
  <c r="AF485" i="9" s="1"/>
  <c r="L485" i="9"/>
  <c r="J485" i="9"/>
  <c r="AG485" i="9" s="1"/>
  <c r="K485" i="9"/>
  <c r="H485" i="9"/>
  <c r="I486" i="9"/>
  <c r="AF486" i="9" s="1"/>
  <c r="L486" i="9"/>
  <c r="J486" i="9"/>
  <c r="AG486" i="9" s="1"/>
  <c r="H486" i="9"/>
  <c r="K486" i="9"/>
  <c r="K487" i="9" s="1"/>
  <c r="J490" i="9"/>
  <c r="I490" i="9"/>
  <c r="H490" i="9"/>
  <c r="K490" i="9"/>
  <c r="L490" i="9"/>
  <c r="J491" i="9"/>
  <c r="AG491" i="9" s="1"/>
  <c r="L491" i="9"/>
  <c r="K491" i="9"/>
  <c r="H491" i="9"/>
  <c r="I491" i="9"/>
  <c r="AF491" i="9" s="1"/>
  <c r="H492" i="9"/>
  <c r="I492" i="9"/>
  <c r="AF492" i="9" s="1"/>
  <c r="K492" i="9"/>
  <c r="J492" i="9"/>
  <c r="AG492" i="9" s="1"/>
  <c r="L492" i="9"/>
  <c r="K493" i="9"/>
  <c r="H493" i="9"/>
  <c r="I493" i="9"/>
  <c r="AF493" i="9" s="1"/>
  <c r="J493" i="9"/>
  <c r="AG493" i="9" s="1"/>
  <c r="L493" i="9"/>
  <c r="K494" i="9"/>
  <c r="J494" i="9"/>
  <c r="AG494" i="9" s="1"/>
  <c r="I494" i="9"/>
  <c r="AF494" i="9" s="1"/>
  <c r="L494" i="9"/>
  <c r="L495" i="9" s="1"/>
  <c r="H494" i="9"/>
  <c r="K502" i="9"/>
  <c r="J502" i="9"/>
  <c r="H502" i="9"/>
  <c r="L502" i="9"/>
  <c r="I502" i="9"/>
  <c r="I503" i="9"/>
  <c r="L503" i="9"/>
  <c r="L504" i="9" s="1"/>
  <c r="H503" i="9"/>
  <c r="K503" i="9"/>
  <c r="K504" i="9" s="1"/>
  <c r="J503" i="9"/>
  <c r="AG503" i="9" s="1"/>
  <c r="L507" i="9"/>
  <c r="L508" i="9" s="1"/>
  <c r="H507" i="9"/>
  <c r="J507" i="9"/>
  <c r="I507" i="9"/>
  <c r="K507" i="9"/>
  <c r="K508" i="9" s="1"/>
  <c r="H511" i="9"/>
  <c r="J511" i="9"/>
  <c r="K511" i="9"/>
  <c r="K512" i="9" s="1"/>
  <c r="I511" i="9"/>
  <c r="L511" i="9"/>
  <c r="L512" i="9" s="1"/>
  <c r="K515" i="9"/>
  <c r="K516" i="9" s="1"/>
  <c r="L515" i="9"/>
  <c r="L516" i="9" s="1"/>
  <c r="I515" i="9"/>
  <c r="J515" i="9"/>
  <c r="H515" i="9"/>
  <c r="J519" i="9"/>
  <c r="L519" i="9"/>
  <c r="L520" i="9" s="1"/>
  <c r="I519" i="9"/>
  <c r="K519" i="9"/>
  <c r="K520" i="9" s="1"/>
  <c r="H519" i="9"/>
  <c r="J523" i="9"/>
  <c r="K523" i="9"/>
  <c r="I523" i="9"/>
  <c r="H523" i="9"/>
  <c r="L523" i="9"/>
  <c r="J524" i="9"/>
  <c r="AG524" i="9" s="1"/>
  <c r="L524" i="9"/>
  <c r="K524" i="9"/>
  <c r="H524" i="9"/>
  <c r="I524" i="9"/>
  <c r="I528" i="9"/>
  <c r="H528" i="9"/>
  <c r="K528" i="9"/>
  <c r="K529" i="9" s="1"/>
  <c r="L528" i="9"/>
  <c r="L529" i="9" s="1"/>
  <c r="J528" i="9"/>
  <c r="I532" i="9"/>
  <c r="K532" i="9"/>
  <c r="K533" i="9" s="1"/>
  <c r="J532" i="9"/>
  <c r="H532" i="9"/>
  <c r="L532" i="9"/>
  <c r="L533" i="9" s="1"/>
  <c r="L536" i="9"/>
  <c r="L537" i="9" s="1"/>
  <c r="K536" i="9"/>
  <c r="K537" i="9" s="1"/>
  <c r="H536" i="9"/>
  <c r="J536" i="9"/>
  <c r="I536" i="9"/>
  <c r="J540" i="9"/>
  <c r="L540" i="9"/>
  <c r="L541" i="9" s="1"/>
  <c r="I540" i="9"/>
  <c r="H540" i="9"/>
  <c r="K540" i="9"/>
  <c r="K541" i="9" s="1"/>
  <c r="I544" i="9"/>
  <c r="J544" i="9"/>
  <c r="L544" i="9"/>
  <c r="L545" i="9" s="1"/>
  <c r="H544" i="9"/>
  <c r="K544" i="9"/>
  <c r="K545" i="9" s="1"/>
  <c r="K548" i="9"/>
  <c r="K549" i="9" s="1"/>
  <c r="I548" i="9"/>
  <c r="L548" i="9"/>
  <c r="L549" i="9" s="1"/>
  <c r="H548" i="9"/>
  <c r="J548" i="9"/>
  <c r="I552" i="9"/>
  <c r="J552" i="9"/>
  <c r="L552" i="9"/>
  <c r="L553" i="9" s="1"/>
  <c r="H552" i="9"/>
  <c r="K552" i="9"/>
  <c r="K553" i="9" s="1"/>
  <c r="L556" i="9"/>
  <c r="L557" i="9" s="1"/>
  <c r="I556" i="9"/>
  <c r="H556" i="9"/>
  <c r="J556" i="9"/>
  <c r="K556" i="9"/>
  <c r="K557" i="9" s="1"/>
  <c r="L562" i="9"/>
  <c r="I562" i="9"/>
  <c r="H562" i="9"/>
  <c r="K562" i="9"/>
  <c r="J562" i="9"/>
  <c r="J563" i="9"/>
  <c r="H563" i="9"/>
  <c r="K563" i="9"/>
  <c r="L563" i="9"/>
  <c r="L564" i="9" s="1"/>
  <c r="I563" i="9"/>
  <c r="AF563" i="9" s="1"/>
  <c r="I567" i="9"/>
  <c r="K567" i="9"/>
  <c r="H567" i="9"/>
  <c r="L567" i="9"/>
  <c r="J567" i="9"/>
  <c r="H568" i="9"/>
  <c r="I568" i="9"/>
  <c r="AF568" i="9" s="1"/>
  <c r="K568" i="9"/>
  <c r="K569" i="9" s="1"/>
  <c r="J568" i="9"/>
  <c r="L568" i="9"/>
  <c r="L572" i="9"/>
  <c r="J572" i="9"/>
  <c r="I572" i="9"/>
  <c r="H572" i="9"/>
  <c r="K572" i="9"/>
  <c r="K573" i="9"/>
  <c r="K574" i="9" s="1"/>
  <c r="L573" i="9"/>
  <c r="I573" i="9"/>
  <c r="AF573" i="9" s="1"/>
  <c r="J573" i="9"/>
  <c r="H573" i="9"/>
  <c r="K577" i="9"/>
  <c r="L577" i="9"/>
  <c r="H577" i="9"/>
  <c r="J577" i="9"/>
  <c r="I577" i="9"/>
  <c r="I578" i="9"/>
  <c r="AF578" i="9" s="1"/>
  <c r="L578" i="9"/>
  <c r="K578" i="9"/>
  <c r="J578" i="9"/>
  <c r="H578" i="9"/>
  <c r="H582" i="9"/>
  <c r="K582" i="9"/>
  <c r="J582" i="9"/>
  <c r="L582" i="9"/>
  <c r="I582" i="9"/>
  <c r="I583" i="9"/>
  <c r="AF583" i="9" s="1"/>
  <c r="J583" i="9"/>
  <c r="H583" i="9"/>
  <c r="L583" i="9"/>
  <c r="L584" i="9" s="1"/>
  <c r="K583" i="9"/>
  <c r="K584" i="9" s="1"/>
  <c r="J587" i="9"/>
  <c r="L587" i="9"/>
  <c r="I587" i="9"/>
  <c r="K587" i="9"/>
  <c r="H587" i="9"/>
  <c r="J588" i="9"/>
  <c r="H588" i="9"/>
  <c r="K588" i="9"/>
  <c r="K589" i="9" s="1"/>
  <c r="L588" i="9"/>
  <c r="I588" i="9"/>
  <c r="AF588" i="9" s="1"/>
  <c r="J592" i="9"/>
  <c r="H592" i="9"/>
  <c r="I592" i="9"/>
  <c r="L592" i="9"/>
  <c r="K592" i="9"/>
  <c r="K593" i="9"/>
  <c r="K594" i="9" s="1"/>
  <c r="J593" i="9"/>
  <c r="L593" i="9"/>
  <c r="L594" i="9" s="1"/>
  <c r="H593" i="9"/>
  <c r="I593" i="9"/>
  <c r="AF593" i="9" s="1"/>
  <c r="L597" i="9"/>
  <c r="I597" i="9"/>
  <c r="J597" i="9"/>
  <c r="K597" i="9"/>
  <c r="H597" i="9"/>
  <c r="L598" i="9"/>
  <c r="J598" i="9"/>
  <c r="I598" i="9"/>
  <c r="AF598" i="9" s="1"/>
  <c r="K598" i="9"/>
  <c r="H598" i="9"/>
  <c r="J602" i="9"/>
  <c r="I602" i="9"/>
  <c r="H602" i="9"/>
  <c r="K602" i="9"/>
  <c r="L602" i="9"/>
  <c r="L604" i="9" s="1"/>
  <c r="L603" i="9"/>
  <c r="I603" i="9"/>
  <c r="AF603" i="9" s="1"/>
  <c r="H603" i="9"/>
  <c r="K603" i="9"/>
  <c r="K604" i="9" s="1"/>
  <c r="J603" i="9"/>
  <c r="L607" i="9"/>
  <c r="J607" i="9"/>
  <c r="I607" i="9"/>
  <c r="H607" i="9"/>
  <c r="K607" i="9"/>
  <c r="K608" i="9"/>
  <c r="L608" i="9"/>
  <c r="I608" i="9"/>
  <c r="AF608" i="9" s="1"/>
  <c r="H608" i="9"/>
  <c r="J608" i="9"/>
  <c r="L612" i="9"/>
  <c r="H612" i="9"/>
  <c r="K612" i="9"/>
  <c r="I612" i="9"/>
  <c r="J612" i="9"/>
  <c r="H613" i="9"/>
  <c r="L613" i="9"/>
  <c r="J613" i="9"/>
  <c r="K613" i="9"/>
  <c r="I613" i="9"/>
  <c r="AF613" i="9" s="1"/>
  <c r="J617" i="9"/>
  <c r="H617" i="9"/>
  <c r="K617" i="9"/>
  <c r="I617" i="9"/>
  <c r="L617" i="9"/>
  <c r="K618" i="9"/>
  <c r="J618" i="9"/>
  <c r="L618" i="9"/>
  <c r="I618" i="9"/>
  <c r="AF618" i="9" s="1"/>
  <c r="H618" i="9"/>
  <c r="H622" i="9"/>
  <c r="I622" i="9"/>
  <c r="L622" i="9"/>
  <c r="K622" i="9"/>
  <c r="J622" i="9"/>
  <c r="J623" i="9"/>
  <c r="K623" i="9"/>
  <c r="L623" i="9"/>
  <c r="I623" i="9"/>
  <c r="AF623" i="9" s="1"/>
  <c r="H623" i="9"/>
  <c r="I627" i="9"/>
  <c r="H627" i="9"/>
  <c r="J627" i="9"/>
  <c r="L627" i="9"/>
  <c r="K627" i="9"/>
  <c r="J628" i="9"/>
  <c r="H628" i="9"/>
  <c r="L628" i="9"/>
  <c r="L629" i="9" s="1"/>
  <c r="K628" i="9"/>
  <c r="I628" i="9"/>
  <c r="AF628" i="9" s="1"/>
  <c r="J632" i="9"/>
  <c r="K632" i="9"/>
  <c r="L632" i="9"/>
  <c r="H632" i="9"/>
  <c r="I632" i="9"/>
  <c r="H633" i="9"/>
  <c r="I633" i="9"/>
  <c r="AF633" i="9" s="1"/>
  <c r="J633" i="9"/>
  <c r="K633" i="9"/>
  <c r="K634" i="9" s="1"/>
  <c r="L633" i="9"/>
  <c r="L637" i="9"/>
  <c r="K637" i="9"/>
  <c r="I637" i="9"/>
  <c r="H637" i="9"/>
  <c r="J637" i="9"/>
  <c r="J638" i="9"/>
  <c r="L638" i="9"/>
  <c r="H638" i="9"/>
  <c r="I638" i="9"/>
  <c r="AF638" i="9" s="1"/>
  <c r="K638" i="9"/>
  <c r="K642" i="9"/>
  <c r="I642" i="9"/>
  <c r="J642" i="9"/>
  <c r="L642" i="9"/>
  <c r="H642" i="9"/>
  <c r="L643" i="9"/>
  <c r="J643" i="9"/>
  <c r="I643" i="9"/>
  <c r="AF643" i="9" s="1"/>
  <c r="H643" i="9"/>
  <c r="K643" i="9"/>
  <c r="K644" i="9" s="1"/>
  <c r="L647" i="9"/>
  <c r="H647" i="9"/>
  <c r="J647" i="9"/>
  <c r="I647" i="9"/>
  <c r="K647" i="9"/>
  <c r="K648" i="9"/>
  <c r="L648" i="9"/>
  <c r="H648" i="9"/>
  <c r="J648" i="9"/>
  <c r="I648" i="9"/>
  <c r="AF648" i="9" s="1"/>
  <c r="J652" i="9"/>
  <c r="H652" i="9"/>
  <c r="I652" i="9"/>
  <c r="K652" i="9"/>
  <c r="L652" i="9"/>
  <c r="I653" i="9"/>
  <c r="AF653" i="9" s="1"/>
  <c r="K653" i="9"/>
  <c r="L653" i="9"/>
  <c r="J653" i="9"/>
  <c r="H653" i="9"/>
  <c r="L659" i="9"/>
  <c r="H659" i="9"/>
  <c r="K659" i="9"/>
  <c r="I659" i="9"/>
  <c r="J659" i="9"/>
  <c r="L660" i="9"/>
  <c r="J660" i="9"/>
  <c r="H660" i="9"/>
  <c r="I660" i="9"/>
  <c r="AF660" i="9" s="1"/>
  <c r="K660" i="9"/>
  <c r="K664" i="9"/>
  <c r="H664" i="9"/>
  <c r="L664" i="9"/>
  <c r="J664" i="9"/>
  <c r="I664" i="9"/>
  <c r="I665" i="9"/>
  <c r="AF665" i="9" s="1"/>
  <c r="J665" i="9"/>
  <c r="K665" i="9"/>
  <c r="L665" i="9"/>
  <c r="H665" i="9"/>
  <c r="I669" i="9"/>
  <c r="J669" i="9"/>
  <c r="K669" i="9"/>
  <c r="L669" i="9"/>
  <c r="H669" i="9"/>
  <c r="K670" i="9"/>
  <c r="H670" i="9"/>
  <c r="I670" i="9"/>
  <c r="AF670" i="9" s="1"/>
  <c r="L670" i="9"/>
  <c r="J670" i="9"/>
  <c r="J674" i="9"/>
  <c r="K674" i="9"/>
  <c r="H674" i="9"/>
  <c r="I674" i="9"/>
  <c r="L674" i="9"/>
  <c r="L675" i="9"/>
  <c r="H675" i="9"/>
  <c r="I675" i="9"/>
  <c r="AF675" i="9" s="1"/>
  <c r="J675" i="9"/>
  <c r="K675" i="9"/>
  <c r="H676" i="9"/>
  <c r="J676" i="9"/>
  <c r="K676" i="9"/>
  <c r="L676" i="9"/>
  <c r="L677" i="9" s="1"/>
  <c r="I676" i="9"/>
  <c r="AF676" i="9" s="1"/>
  <c r="J680" i="9"/>
  <c r="L680" i="9"/>
  <c r="I680" i="9"/>
  <c r="H680" i="9"/>
  <c r="K680" i="9"/>
  <c r="J681" i="9"/>
  <c r="K681" i="9"/>
  <c r="K682" i="9" s="1"/>
  <c r="L681" i="9"/>
  <c r="I681" i="9"/>
  <c r="AF681" i="9" s="1"/>
  <c r="H681" i="9"/>
  <c r="L687" i="9"/>
  <c r="K687" i="9"/>
  <c r="H687" i="9"/>
  <c r="I687" i="9"/>
  <c r="J687" i="9"/>
  <c r="I688" i="9"/>
  <c r="AF688" i="9" s="1"/>
  <c r="J688" i="9"/>
  <c r="K688" i="9"/>
  <c r="L688" i="9"/>
  <c r="L689" i="9" s="1"/>
  <c r="H688" i="9"/>
  <c r="J692" i="9"/>
  <c r="I692" i="9"/>
  <c r="L692" i="9"/>
  <c r="K692" i="9"/>
  <c r="H692" i="9"/>
  <c r="K693" i="9"/>
  <c r="L693" i="9"/>
  <c r="J693" i="9"/>
  <c r="H693" i="9"/>
  <c r="I693" i="9"/>
  <c r="AF693" i="9" s="1"/>
  <c r="J697" i="9"/>
  <c r="K697" i="9"/>
  <c r="L697" i="9"/>
  <c r="H697" i="9"/>
  <c r="I697" i="9"/>
  <c r="L698" i="9"/>
  <c r="L699" i="9" s="1"/>
  <c r="H698" i="9"/>
  <c r="I698" i="9"/>
  <c r="AF698" i="9" s="1"/>
  <c r="J698" i="9"/>
  <c r="K698" i="9"/>
  <c r="K699" i="9" s="1"/>
  <c r="H702" i="9"/>
  <c r="J702" i="9"/>
  <c r="I702" i="9"/>
  <c r="L702" i="9"/>
  <c r="L704" i="9" s="1"/>
  <c r="K702" i="9"/>
  <c r="J703" i="9"/>
  <c r="H703" i="9"/>
  <c r="L703" i="9"/>
  <c r="K703" i="9"/>
  <c r="K704" i="9" s="1"/>
  <c r="I703" i="9"/>
  <c r="AF703" i="9" s="1"/>
  <c r="K709" i="9"/>
  <c r="H709" i="9"/>
  <c r="L709" i="9"/>
  <c r="J709" i="9"/>
  <c r="I709" i="9"/>
  <c r="L710" i="9"/>
  <c r="H710" i="9"/>
  <c r="I710" i="9"/>
  <c r="AF710" i="9" s="1"/>
  <c r="J710" i="9"/>
  <c r="K710" i="9"/>
  <c r="K711" i="9" s="1"/>
  <c r="J714" i="9"/>
  <c r="K714" i="9"/>
  <c r="H714" i="9"/>
  <c r="I714" i="9"/>
  <c r="L714" i="9"/>
  <c r="H715" i="9"/>
  <c r="K715" i="9"/>
  <c r="L715" i="9"/>
  <c r="L716" i="9" s="1"/>
  <c r="I715" i="9"/>
  <c r="AF715" i="9" s="1"/>
  <c r="J715" i="9"/>
  <c r="H719" i="9"/>
  <c r="K719" i="9"/>
  <c r="L719" i="9"/>
  <c r="I719" i="9"/>
  <c r="J719" i="9"/>
  <c r="J720" i="9"/>
  <c r="L720" i="9"/>
  <c r="H720" i="9"/>
  <c r="I720" i="9"/>
  <c r="AF720" i="9" s="1"/>
  <c r="K720" i="9"/>
  <c r="K721" i="9" s="1"/>
  <c r="I724" i="9"/>
  <c r="H724" i="9"/>
  <c r="J724" i="9"/>
  <c r="L724" i="9"/>
  <c r="K724" i="9"/>
  <c r="K725" i="9"/>
  <c r="K726" i="9" s="1"/>
  <c r="L725" i="9"/>
  <c r="H725" i="9"/>
  <c r="I725" i="9"/>
  <c r="AF725" i="9" s="1"/>
  <c r="J725" i="9"/>
  <c r="H732" i="9"/>
  <c r="I732" i="9"/>
  <c r="K732" i="9"/>
  <c r="J732" i="9"/>
  <c r="L732" i="9"/>
  <c r="L733" i="9"/>
  <c r="H733" i="9"/>
  <c r="J733" i="9"/>
  <c r="K733" i="9"/>
  <c r="I733" i="9"/>
  <c r="L734" i="9"/>
  <c r="K734" i="9"/>
  <c r="K735" i="9" s="1"/>
  <c r="H734" i="9"/>
  <c r="I734" i="9"/>
  <c r="J734" i="9"/>
  <c r="L738" i="9"/>
  <c r="I738" i="9"/>
  <c r="K738" i="9"/>
  <c r="H738" i="9"/>
  <c r="J738" i="9"/>
  <c r="K739" i="9"/>
  <c r="I739" i="9"/>
  <c r="J739" i="9"/>
  <c r="H739" i="9"/>
  <c r="L739" i="9"/>
  <c r="K740" i="9"/>
  <c r="K741" i="9" s="1"/>
  <c r="L740" i="9"/>
  <c r="J740" i="9"/>
  <c r="H740" i="9"/>
  <c r="I740" i="9"/>
  <c r="K743" i="9"/>
  <c r="K744" i="9" s="1"/>
  <c r="L743" i="9"/>
  <c r="L744" i="9" s="1"/>
  <c r="H743" i="9"/>
  <c r="I743" i="9"/>
  <c r="J743" i="9"/>
  <c r="K747" i="9"/>
  <c r="I747" i="9"/>
  <c r="H747" i="9"/>
  <c r="J747" i="9"/>
  <c r="L747" i="9"/>
  <c r="K748" i="9"/>
  <c r="L748" i="9"/>
  <c r="J748" i="9"/>
  <c r="H748" i="9"/>
  <c r="I748" i="9"/>
  <c r="J749" i="9"/>
  <c r="L749" i="9"/>
  <c r="K749" i="9"/>
  <c r="H749" i="9"/>
  <c r="I749" i="9"/>
  <c r="K753" i="9"/>
  <c r="L753" i="9"/>
  <c r="H753" i="9"/>
  <c r="I753" i="9"/>
  <c r="J753" i="9"/>
  <c r="H754" i="9"/>
  <c r="K754" i="9"/>
  <c r="L754" i="9"/>
  <c r="I754" i="9"/>
  <c r="J754" i="9"/>
  <c r="L755" i="9"/>
  <c r="J755" i="9"/>
  <c r="H755" i="9"/>
  <c r="I755" i="9"/>
  <c r="K755" i="9"/>
  <c r="L759" i="9"/>
  <c r="L760" i="9" s="1"/>
  <c r="I759" i="9"/>
  <c r="J759" i="9"/>
  <c r="K759" i="9"/>
  <c r="K760" i="9" s="1"/>
  <c r="H759" i="9"/>
  <c r="H763" i="9"/>
  <c r="I763" i="9"/>
  <c r="K763" i="9"/>
  <c r="L763" i="9"/>
  <c r="J763" i="9"/>
  <c r="I764" i="9"/>
  <c r="J764" i="9"/>
  <c r="K764" i="9"/>
  <c r="L764" i="9"/>
  <c r="H764" i="9"/>
  <c r="H765" i="9"/>
  <c r="J765" i="9"/>
  <c r="L765" i="9"/>
  <c r="I765" i="9"/>
  <c r="K765" i="9"/>
  <c r="K766" i="9" s="1"/>
  <c r="L769" i="9"/>
  <c r="H769" i="9"/>
  <c r="K769" i="9"/>
  <c r="I769" i="9"/>
  <c r="J769" i="9"/>
  <c r="K770" i="9"/>
  <c r="L770" i="9"/>
  <c r="H770" i="9"/>
  <c r="I770" i="9"/>
  <c r="J770" i="9"/>
  <c r="K774" i="9"/>
  <c r="H774" i="9"/>
  <c r="I774" i="9"/>
  <c r="J774" i="9"/>
  <c r="L774" i="9"/>
  <c r="I775" i="9"/>
  <c r="H775" i="9"/>
  <c r="K775" i="9"/>
  <c r="L775" i="9"/>
  <c r="J775" i="9"/>
  <c r="K776" i="9"/>
  <c r="H776" i="9"/>
  <c r="I776" i="9"/>
  <c r="L776" i="9"/>
  <c r="J776" i="9"/>
  <c r="J777" i="9"/>
  <c r="L777" i="9"/>
  <c r="K777" i="9"/>
  <c r="I777" i="9"/>
  <c r="H777" i="9"/>
  <c r="L783" i="9"/>
  <c r="J783" i="9"/>
  <c r="H783" i="9"/>
  <c r="I783" i="9"/>
  <c r="K783" i="9"/>
  <c r="K784" i="9"/>
  <c r="L784" i="9"/>
  <c r="L785" i="9" s="1"/>
  <c r="H784" i="9"/>
  <c r="I784" i="9"/>
  <c r="J784" i="9"/>
  <c r="J788" i="9"/>
  <c r="L788" i="9"/>
  <c r="K788" i="9"/>
  <c r="H788" i="9"/>
  <c r="I788" i="9"/>
  <c r="J789" i="9"/>
  <c r="K789" i="9"/>
  <c r="L789" i="9"/>
  <c r="I789" i="9"/>
  <c r="H789" i="9"/>
  <c r="I790" i="9"/>
  <c r="J790" i="9"/>
  <c r="K790" i="9"/>
  <c r="K791" i="9" s="1"/>
  <c r="L790" i="9"/>
  <c r="H790" i="9"/>
  <c r="K794" i="9"/>
  <c r="I794" i="9"/>
  <c r="L794" i="9"/>
  <c r="H794" i="9"/>
  <c r="J794" i="9"/>
  <c r="K795" i="9"/>
  <c r="H795" i="9"/>
  <c r="L795" i="9"/>
  <c r="J795" i="9"/>
  <c r="I795" i="9"/>
  <c r="L799" i="9"/>
  <c r="J799" i="9"/>
  <c r="K799" i="9"/>
  <c r="H799" i="9"/>
  <c r="I799" i="9"/>
  <c r="H800" i="9"/>
  <c r="L800" i="9"/>
  <c r="J800" i="9"/>
  <c r="I800" i="9"/>
  <c r="K800" i="9"/>
  <c r="K801" i="9"/>
  <c r="L801" i="9"/>
  <c r="L802" i="9" s="1"/>
  <c r="H801" i="9"/>
  <c r="I801" i="9"/>
  <c r="J801" i="9"/>
  <c r="J810" i="9"/>
  <c r="I810" i="9"/>
  <c r="K810" i="9"/>
  <c r="H810" i="9"/>
  <c r="L810" i="9"/>
  <c r="J811" i="9"/>
  <c r="AG811" i="9" s="1"/>
  <c r="K811" i="9"/>
  <c r="H811" i="9"/>
  <c r="L811" i="9"/>
  <c r="I811" i="9"/>
  <c r="AF811" i="9" s="1"/>
  <c r="K812" i="9"/>
  <c r="J812" i="9"/>
  <c r="AG812" i="9" s="1"/>
  <c r="H812" i="9"/>
  <c r="I812" i="9"/>
  <c r="AF812" i="9" s="1"/>
  <c r="L812" i="9"/>
  <c r="J813" i="9"/>
  <c r="AG813" i="9" s="1"/>
  <c r="L813" i="9"/>
  <c r="I813" i="9"/>
  <c r="AF813" i="9" s="1"/>
  <c r="K813" i="9"/>
  <c r="H813" i="9"/>
  <c r="L817" i="9"/>
  <c r="L818" i="9" s="1"/>
  <c r="J817" i="9"/>
  <c r="H817" i="9"/>
  <c r="I817" i="9"/>
  <c r="K817" i="9"/>
  <c r="K818" i="9" s="1"/>
  <c r="J821" i="9"/>
  <c r="K821" i="9"/>
  <c r="H821" i="9"/>
  <c r="I821" i="9"/>
  <c r="L821" i="9"/>
  <c r="I822" i="9"/>
  <c r="AF822" i="9" s="1"/>
  <c r="J822" i="9"/>
  <c r="AG822" i="9" s="1"/>
  <c r="H822" i="9"/>
  <c r="L822" i="9"/>
  <c r="K822" i="9"/>
  <c r="I823" i="9"/>
  <c r="AF823" i="9" s="1"/>
  <c r="J823" i="9"/>
  <c r="AG823" i="9" s="1"/>
  <c r="H823" i="9"/>
  <c r="K823" i="9"/>
  <c r="L823" i="9"/>
  <c r="I824" i="9"/>
  <c r="AF824" i="9" s="1"/>
  <c r="J824" i="9"/>
  <c r="AG824" i="9" s="1"/>
  <c r="K824" i="9"/>
  <c r="L824" i="9"/>
  <c r="H824" i="9"/>
  <c r="I828" i="9"/>
  <c r="H828" i="9"/>
  <c r="J828" i="9"/>
  <c r="K828" i="9"/>
  <c r="L828" i="9"/>
  <c r="K829" i="9"/>
  <c r="J829" i="9"/>
  <c r="AG829" i="9" s="1"/>
  <c r="H829" i="9"/>
  <c r="L829" i="9"/>
  <c r="I829" i="9"/>
  <c r="AF829" i="9" s="1"/>
  <c r="J830" i="9"/>
  <c r="AG830" i="9" s="1"/>
  <c r="I830" i="9"/>
  <c r="AF830" i="9" s="1"/>
  <c r="H830" i="9"/>
  <c r="K830" i="9"/>
  <c r="L830" i="9"/>
  <c r="I831" i="9"/>
  <c r="AF831" i="9" s="1"/>
  <c r="L831" i="9"/>
  <c r="J831" i="9"/>
  <c r="AG831" i="9" s="1"/>
  <c r="K831" i="9"/>
  <c r="H831" i="9"/>
  <c r="J835" i="9"/>
  <c r="L835" i="9"/>
  <c r="H835" i="9"/>
  <c r="K835" i="9"/>
  <c r="I835" i="9"/>
  <c r="I836" i="9"/>
  <c r="J836" i="9"/>
  <c r="AG836" i="9" s="1"/>
  <c r="K836" i="9"/>
  <c r="H836" i="9"/>
  <c r="L836" i="9"/>
  <c r="J837" i="9"/>
  <c r="AG837" i="9" s="1"/>
  <c r="H837" i="9"/>
  <c r="I837" i="9"/>
  <c r="K837" i="9"/>
  <c r="L837" i="9"/>
  <c r="L838" i="9" s="1"/>
  <c r="K841" i="9"/>
  <c r="L841" i="9"/>
  <c r="J841" i="9"/>
  <c r="H841" i="9"/>
  <c r="I841" i="9"/>
  <c r="J842" i="9"/>
  <c r="I842" i="9"/>
  <c r="AF842" i="9" s="1"/>
  <c r="H842" i="9"/>
  <c r="L842" i="9"/>
  <c r="K842" i="9"/>
  <c r="K843" i="9"/>
  <c r="L843" i="9"/>
  <c r="J843" i="9"/>
  <c r="I843" i="9"/>
  <c r="AF843" i="9" s="1"/>
  <c r="H843" i="9"/>
  <c r="I844" i="9"/>
  <c r="AF844" i="9" s="1"/>
  <c r="J844" i="9"/>
  <c r="K844" i="9"/>
  <c r="L844" i="9"/>
  <c r="H844" i="9"/>
  <c r="J845" i="9"/>
  <c r="L845" i="9"/>
  <c r="H845" i="9"/>
  <c r="K845" i="9"/>
  <c r="I845" i="9"/>
  <c r="AF845" i="9" s="1"/>
  <c r="H846" i="9"/>
  <c r="I846" i="9"/>
  <c r="AF846" i="9" s="1"/>
  <c r="J846" i="9"/>
  <c r="K846" i="9"/>
  <c r="L846" i="9"/>
  <c r="K847" i="9"/>
  <c r="I847" i="9"/>
  <c r="AF847" i="9" s="1"/>
  <c r="J847" i="9"/>
  <c r="H847" i="9"/>
  <c r="L847" i="9"/>
  <c r="I848" i="9"/>
  <c r="AF848" i="9" s="1"/>
  <c r="J848" i="9"/>
  <c r="L848" i="9"/>
  <c r="K848" i="9"/>
  <c r="H848" i="9"/>
  <c r="L849" i="9"/>
  <c r="J849" i="9"/>
  <c r="I849" i="9"/>
  <c r="AF849" i="9" s="1"/>
  <c r="K849" i="9"/>
  <c r="H849" i="9"/>
  <c r="K850" i="9"/>
  <c r="J850" i="9"/>
  <c r="I850" i="9"/>
  <c r="AF850" i="9" s="1"/>
  <c r="L850" i="9"/>
  <c r="H850" i="9"/>
  <c r="J851" i="9"/>
  <c r="H851" i="9"/>
  <c r="L851" i="9"/>
  <c r="K851" i="9"/>
  <c r="I851" i="9"/>
  <c r="AF851" i="9" s="1"/>
  <c r="K852" i="9"/>
  <c r="I852" i="9"/>
  <c r="AF852" i="9" s="1"/>
  <c r="J852" i="9"/>
  <c r="H852" i="9"/>
  <c r="L852" i="9"/>
  <c r="K853" i="9"/>
  <c r="J853" i="9"/>
  <c r="H853" i="9"/>
  <c r="L853" i="9"/>
  <c r="I853" i="9"/>
  <c r="AF853" i="9" s="1"/>
  <c r="H854" i="9"/>
  <c r="I854" i="9"/>
  <c r="AF854" i="9" s="1"/>
  <c r="J854" i="9"/>
  <c r="K854" i="9"/>
  <c r="K855" i="9" s="1"/>
  <c r="L854" i="9"/>
  <c r="I858" i="9"/>
  <c r="H858" i="9"/>
  <c r="L858" i="9"/>
  <c r="J858" i="9"/>
  <c r="K858" i="9"/>
  <c r="I859" i="9"/>
  <c r="L859" i="9"/>
  <c r="H859" i="9"/>
  <c r="K859" i="9"/>
  <c r="J859" i="9"/>
  <c r="I860" i="9"/>
  <c r="H860" i="9"/>
  <c r="L860" i="9"/>
  <c r="K860" i="9"/>
  <c r="J860" i="9"/>
  <c r="H861" i="9"/>
  <c r="L861" i="9"/>
  <c r="J861" i="9"/>
  <c r="I861" i="9"/>
  <c r="K861" i="9"/>
  <c r="I862" i="9"/>
  <c r="H862" i="9"/>
  <c r="J862" i="9"/>
  <c r="K862" i="9"/>
  <c r="L862" i="9"/>
  <c r="J863" i="9"/>
  <c r="K863" i="9"/>
  <c r="H863" i="9"/>
  <c r="I863" i="9"/>
  <c r="L863" i="9"/>
  <c r="H864" i="9"/>
  <c r="I864" i="9"/>
  <c r="J864" i="9"/>
  <c r="K864" i="9"/>
  <c r="L864" i="9"/>
  <c r="L865" i="9"/>
  <c r="J865" i="9"/>
  <c r="K865" i="9"/>
  <c r="H865" i="9"/>
  <c r="I865" i="9"/>
  <c r="L866" i="9"/>
  <c r="H866" i="9"/>
  <c r="I866" i="9"/>
  <c r="K866" i="9"/>
  <c r="J866" i="9"/>
  <c r="L870" i="9"/>
  <c r="L871" i="9" s="1"/>
  <c r="H870" i="9"/>
  <c r="I870" i="9"/>
  <c r="J870" i="9"/>
  <c r="K870" i="9"/>
  <c r="K871" i="9" s="1"/>
  <c r="K874" i="9"/>
  <c r="K875" i="9" s="1"/>
  <c r="J874" i="9"/>
  <c r="H874" i="9"/>
  <c r="L874" i="9"/>
  <c r="L875" i="9" s="1"/>
  <c r="I874" i="9"/>
  <c r="I878" i="9"/>
  <c r="H878" i="9"/>
  <c r="K878" i="9"/>
  <c r="J878" i="9"/>
  <c r="L878" i="9"/>
  <c r="J879" i="9"/>
  <c r="AG879" i="9" s="1"/>
  <c r="K879" i="9"/>
  <c r="I879" i="9"/>
  <c r="AF879" i="9" s="1"/>
  <c r="H879" i="9"/>
  <c r="L879" i="9"/>
  <c r="K885" i="9"/>
  <c r="H885" i="9"/>
  <c r="L885" i="9"/>
  <c r="J885" i="9"/>
  <c r="I885" i="9"/>
  <c r="L886" i="9"/>
  <c r="K886" i="9"/>
  <c r="J886" i="9"/>
  <c r="I886" i="9"/>
  <c r="H886" i="9"/>
  <c r="J887" i="9"/>
  <c r="H887" i="9"/>
  <c r="I887" i="9"/>
  <c r="K887" i="9"/>
  <c r="L887" i="9"/>
  <c r="I888" i="9"/>
  <c r="H888" i="9"/>
  <c r="L888" i="9"/>
  <c r="J888" i="9"/>
  <c r="K888" i="9"/>
  <c r="H889" i="9"/>
  <c r="I889" i="9"/>
  <c r="J889" i="9"/>
  <c r="K889" i="9"/>
  <c r="L889" i="9"/>
  <c r="I890" i="9"/>
  <c r="J890" i="9"/>
  <c r="L890" i="9"/>
  <c r="H890" i="9"/>
  <c r="K890" i="9"/>
  <c r="I894" i="9"/>
  <c r="L894" i="9"/>
  <c r="L895" i="9" s="1"/>
  <c r="J894" i="9"/>
  <c r="H894" i="9"/>
  <c r="K894" i="9"/>
  <c r="K895" i="9" s="1"/>
  <c r="K898" i="9"/>
  <c r="H898" i="9"/>
  <c r="J898" i="9"/>
  <c r="L898" i="9"/>
  <c r="I898" i="9"/>
  <c r="L899" i="9"/>
  <c r="H899" i="9"/>
  <c r="I899" i="9"/>
  <c r="J899" i="9"/>
  <c r="K899" i="9"/>
  <c r="J900" i="9"/>
  <c r="K900" i="9"/>
  <c r="L900" i="9"/>
  <c r="H900" i="9"/>
  <c r="I900" i="9"/>
  <c r="K901" i="9"/>
  <c r="I901" i="9"/>
  <c r="L901" i="9"/>
  <c r="H901" i="9"/>
  <c r="J901" i="9"/>
  <c r="L902" i="9"/>
  <c r="J902" i="9"/>
  <c r="K902" i="9"/>
  <c r="I902" i="9"/>
  <c r="H902" i="9"/>
  <c r="L903" i="9"/>
  <c r="K903" i="9"/>
  <c r="J903" i="9"/>
  <c r="H903" i="9"/>
  <c r="I903" i="9"/>
  <c r="J904" i="9"/>
  <c r="K904" i="9"/>
  <c r="I904" i="9"/>
  <c r="L904" i="9"/>
  <c r="H904" i="9"/>
  <c r="H905" i="9"/>
  <c r="J905" i="9"/>
  <c r="K905" i="9"/>
  <c r="I905" i="9"/>
  <c r="L905" i="9"/>
  <c r="J906" i="9"/>
  <c r="H906" i="9"/>
  <c r="L906" i="9"/>
  <c r="K906" i="9"/>
  <c r="I906" i="9"/>
  <c r="L907" i="9"/>
  <c r="H907" i="9"/>
  <c r="I907" i="9"/>
  <c r="K907" i="9"/>
  <c r="J907" i="9"/>
  <c r="H908" i="9"/>
  <c r="I908" i="9"/>
  <c r="K908" i="9"/>
  <c r="L908" i="9"/>
  <c r="J908" i="9"/>
  <c r="J912" i="9"/>
  <c r="I912" i="9"/>
  <c r="L912" i="9"/>
  <c r="L913" i="9" s="1"/>
  <c r="H912" i="9"/>
  <c r="K912" i="9"/>
  <c r="K913" i="9" s="1"/>
  <c r="H916" i="9"/>
  <c r="L916" i="9"/>
  <c r="J916" i="9"/>
  <c r="I916" i="9"/>
  <c r="K916" i="9"/>
  <c r="I917" i="9"/>
  <c r="J917" i="9"/>
  <c r="K917" i="9"/>
  <c r="H917" i="9"/>
  <c r="L917" i="9"/>
  <c r="L918" i="9" s="1"/>
  <c r="L924" i="9"/>
  <c r="L926" i="9" s="1"/>
  <c r="K924" i="9"/>
  <c r="K926" i="9" s="1"/>
  <c r="I924" i="9"/>
  <c r="H924" i="9"/>
  <c r="J924" i="9"/>
  <c r="L929" i="9"/>
  <c r="I929" i="9"/>
  <c r="J929" i="9"/>
  <c r="H929" i="9"/>
  <c r="K929" i="9"/>
  <c r="L930" i="9"/>
  <c r="I930" i="9"/>
  <c r="K930" i="9"/>
  <c r="H930" i="9"/>
  <c r="J930" i="9"/>
  <c r="AG930" i="9" s="1"/>
  <c r="L931" i="9"/>
  <c r="J931" i="9"/>
  <c r="AG931" i="9" s="1"/>
  <c r="K931" i="9"/>
  <c r="H931" i="9"/>
  <c r="I931" i="9"/>
  <c r="L932" i="9"/>
  <c r="H932" i="9"/>
  <c r="J932" i="9"/>
  <c r="AG932" i="9" s="1"/>
  <c r="K932" i="9"/>
  <c r="I932" i="9"/>
  <c r="I933" i="9"/>
  <c r="J933" i="9"/>
  <c r="AG933" i="9" s="1"/>
  <c r="K933" i="9"/>
  <c r="L933" i="9"/>
  <c r="L934" i="9" s="1"/>
  <c r="H933" i="9"/>
  <c r="I937" i="9"/>
  <c r="K937" i="9"/>
  <c r="J937" i="9"/>
  <c r="H937" i="9"/>
  <c r="L937" i="9"/>
  <c r="I938" i="9"/>
  <c r="L938" i="9"/>
  <c r="H938" i="9"/>
  <c r="J938" i="9"/>
  <c r="K938" i="9"/>
  <c r="J939" i="9"/>
  <c r="K939" i="9"/>
  <c r="H939" i="9"/>
  <c r="I939" i="9"/>
  <c r="L939" i="9"/>
  <c r="K940" i="9"/>
  <c r="I940" i="9"/>
  <c r="L940" i="9"/>
  <c r="J940" i="9"/>
  <c r="H940" i="9"/>
  <c r="J941" i="9"/>
  <c r="K941" i="9"/>
  <c r="L941" i="9"/>
  <c r="H941" i="9"/>
  <c r="I941" i="9"/>
  <c r="K942" i="9"/>
  <c r="J942" i="9"/>
  <c r="L942" i="9"/>
  <c r="I942" i="9"/>
  <c r="H942" i="9"/>
  <c r="K948" i="9"/>
  <c r="L948" i="9"/>
  <c r="H948" i="9"/>
  <c r="I948" i="9"/>
  <c r="J948" i="9"/>
  <c r="J949" i="9"/>
  <c r="L949" i="9"/>
  <c r="K949" i="9"/>
  <c r="H949" i="9"/>
  <c r="I949" i="9"/>
  <c r="L950" i="9"/>
  <c r="J950" i="9"/>
  <c r="H950" i="9"/>
  <c r="K950" i="9"/>
  <c r="I950" i="9"/>
  <c r="H951" i="9"/>
  <c r="I951" i="9"/>
  <c r="K951" i="9"/>
  <c r="J951" i="9"/>
  <c r="L951" i="9"/>
  <c r="K952" i="9"/>
  <c r="I952" i="9"/>
  <c r="L952" i="9"/>
  <c r="H952" i="9"/>
  <c r="J952" i="9"/>
  <c r="K953" i="9"/>
  <c r="J953" i="9"/>
  <c r="I953" i="9"/>
  <c r="H953" i="9"/>
  <c r="L953" i="9"/>
  <c r="L954" i="9"/>
  <c r="J954" i="9"/>
  <c r="I954" i="9"/>
  <c r="H954" i="9"/>
  <c r="K954" i="9"/>
  <c r="I955" i="9"/>
  <c r="J955" i="9"/>
  <c r="H955" i="9"/>
  <c r="K955" i="9"/>
  <c r="L955" i="9"/>
  <c r="H959" i="9"/>
  <c r="L959" i="9"/>
  <c r="L961" i="9" s="1"/>
  <c r="K959" i="9"/>
  <c r="K961" i="9" s="1"/>
  <c r="J959" i="9"/>
  <c r="I959" i="9"/>
  <c r="H964" i="9"/>
  <c r="I964" i="9"/>
  <c r="K964" i="9"/>
  <c r="K966" i="9" s="1"/>
  <c r="L964" i="9"/>
  <c r="L966" i="9" s="1"/>
  <c r="L968" i="9" s="1"/>
  <c r="L25" i="9" s="1"/>
  <c r="L78" i="9" s="1"/>
  <c r="J964" i="9"/>
  <c r="I972" i="9"/>
  <c r="J972" i="9"/>
  <c r="L972" i="9"/>
  <c r="H972" i="9"/>
  <c r="K972" i="9"/>
  <c r="J976" i="9"/>
  <c r="H976" i="9"/>
  <c r="I976" i="9"/>
  <c r="K976" i="9"/>
  <c r="K977" i="9" s="1"/>
  <c r="L976" i="9"/>
  <c r="L977" i="9" s="1"/>
  <c r="H980" i="9"/>
  <c r="L980" i="9"/>
  <c r="L981" i="9" s="1"/>
  <c r="J980" i="9"/>
  <c r="K980" i="9"/>
  <c r="K981" i="9" s="1"/>
  <c r="I980" i="9"/>
  <c r="L984" i="9"/>
  <c r="I984" i="9"/>
  <c r="H984" i="9"/>
  <c r="K984" i="9"/>
  <c r="J984" i="9"/>
  <c r="L985" i="9"/>
  <c r="I985" i="9"/>
  <c r="K985" i="9"/>
  <c r="J985" i="9"/>
  <c r="H985" i="9"/>
  <c r="I986" i="9"/>
  <c r="J986" i="9"/>
  <c r="H986" i="9"/>
  <c r="K986" i="9"/>
  <c r="L986" i="9"/>
  <c r="J990" i="9"/>
  <c r="H990" i="9"/>
  <c r="K990" i="9"/>
  <c r="K991" i="9" s="1"/>
  <c r="I990" i="9"/>
  <c r="L990" i="9"/>
  <c r="L991" i="9" s="1"/>
  <c r="H999" i="9"/>
  <c r="I999" i="9"/>
  <c r="L999" i="9"/>
  <c r="L1000" i="9" s="1"/>
  <c r="L1156" i="9" s="1"/>
  <c r="J999" i="9"/>
  <c r="K999" i="9"/>
  <c r="K1000" i="9" s="1"/>
  <c r="K1156" i="9" s="1"/>
  <c r="K1003" i="9"/>
  <c r="H1003" i="9"/>
  <c r="J1003" i="9"/>
  <c r="I1003" i="9"/>
  <c r="L1003" i="9"/>
  <c r="L1004" i="9"/>
  <c r="H1004" i="9"/>
  <c r="I1004" i="9"/>
  <c r="J1004" i="9"/>
  <c r="K1004" i="9"/>
  <c r="K1005" i="9"/>
  <c r="H1005" i="9"/>
  <c r="J1005" i="9"/>
  <c r="I1005" i="9"/>
  <c r="L1005" i="9"/>
  <c r="L1006" i="9"/>
  <c r="H1006" i="9"/>
  <c r="I1006" i="9"/>
  <c r="J1006" i="9"/>
  <c r="K1006" i="9"/>
  <c r="H1007" i="9"/>
  <c r="L1007" i="9"/>
  <c r="I1007" i="9"/>
  <c r="K1007" i="9"/>
  <c r="J1007" i="9"/>
  <c r="K1008" i="9"/>
  <c r="J1008" i="9"/>
  <c r="H1008" i="9"/>
  <c r="I1008" i="9"/>
  <c r="L1008" i="9"/>
  <c r="K1009" i="9"/>
  <c r="J1009" i="9"/>
  <c r="H1009" i="9"/>
  <c r="I1009" i="9"/>
  <c r="L1009" i="9"/>
  <c r="I1010" i="9"/>
  <c r="K1010" i="9"/>
  <c r="H1010" i="9"/>
  <c r="J1010" i="9"/>
  <c r="L1010" i="9"/>
  <c r="J1011" i="9"/>
  <c r="H1011" i="9"/>
  <c r="I1011" i="9"/>
  <c r="K1011" i="9"/>
  <c r="L1011" i="9"/>
  <c r="K1012" i="9"/>
  <c r="H1012" i="9"/>
  <c r="L1012" i="9"/>
  <c r="I1012" i="9"/>
  <c r="J1012" i="9"/>
  <c r="H1013" i="9"/>
  <c r="K1013" i="9"/>
  <c r="I1013" i="9"/>
  <c r="L1013" i="9"/>
  <c r="J1013" i="9"/>
  <c r="K1015" i="9"/>
  <c r="H1015" i="9"/>
  <c r="I1015" i="9"/>
  <c r="L1015" i="9"/>
  <c r="J1015" i="9"/>
  <c r="K1016" i="9"/>
  <c r="H1016" i="9"/>
  <c r="I1016" i="9"/>
  <c r="J1016" i="9"/>
  <c r="L1016" i="9"/>
  <c r="K1017" i="9"/>
  <c r="L1017" i="9"/>
  <c r="J1017" i="9"/>
  <c r="H1017" i="9"/>
  <c r="I1017" i="9"/>
  <c r="K1018" i="9"/>
  <c r="L1018" i="9"/>
  <c r="I1018" i="9"/>
  <c r="AF1018" i="9" s="1"/>
  <c r="H1018" i="9"/>
  <c r="J1018" i="9"/>
  <c r="L1022" i="9"/>
  <c r="K1022" i="9"/>
  <c r="H1022" i="9"/>
  <c r="I1022" i="9"/>
  <c r="J1022" i="9"/>
  <c r="H1023" i="9"/>
  <c r="L1023" i="9"/>
  <c r="I1023" i="9"/>
  <c r="J1023" i="9"/>
  <c r="K1023" i="9"/>
  <c r="H1024" i="9"/>
  <c r="K1024" i="9"/>
  <c r="I1024" i="9"/>
  <c r="J1024" i="9"/>
  <c r="L1024" i="9"/>
  <c r="H1025" i="9"/>
  <c r="J1025" i="9"/>
  <c r="K1025" i="9"/>
  <c r="L1025" i="9"/>
  <c r="I1025" i="9"/>
  <c r="L1026" i="9"/>
  <c r="H1026" i="9"/>
  <c r="I1026" i="9"/>
  <c r="K1026" i="9"/>
  <c r="J1026" i="9"/>
  <c r="H1027" i="9"/>
  <c r="I1027" i="9"/>
  <c r="L1027" i="9"/>
  <c r="J1027" i="9"/>
  <c r="K1027" i="9"/>
  <c r="J1028" i="9"/>
  <c r="K1028" i="9"/>
  <c r="H1028" i="9"/>
  <c r="L1028" i="9"/>
  <c r="I1028" i="9"/>
  <c r="H1029" i="9"/>
  <c r="J1029" i="9"/>
  <c r="I1029" i="9"/>
  <c r="L1029" i="9"/>
  <c r="K1029" i="9"/>
  <c r="K1030" i="9"/>
  <c r="I1030" i="9"/>
  <c r="L1030" i="9"/>
  <c r="J1030" i="9"/>
  <c r="H1030" i="9"/>
  <c r="H1031" i="9"/>
  <c r="L1031" i="9"/>
  <c r="I1031" i="9"/>
  <c r="J1031" i="9"/>
  <c r="K1031" i="9"/>
  <c r="K1032" i="9"/>
  <c r="H1032" i="9"/>
  <c r="I1032" i="9"/>
  <c r="L1032" i="9"/>
  <c r="J1032" i="9"/>
  <c r="L1033" i="9"/>
  <c r="I1033" i="9"/>
  <c r="AF1033" i="9" s="1"/>
  <c r="J1033" i="9"/>
  <c r="H1033" i="9"/>
  <c r="K1033" i="9"/>
  <c r="K1034" i="9" s="1"/>
  <c r="I1037" i="9"/>
  <c r="K1037" i="9"/>
  <c r="J1037" i="9"/>
  <c r="H1037" i="9"/>
  <c r="L1037" i="9"/>
  <c r="J1038" i="9"/>
  <c r="K1038" i="9"/>
  <c r="H1038" i="9"/>
  <c r="I1038" i="9"/>
  <c r="L1038" i="9"/>
  <c r="H1039" i="9"/>
  <c r="L1039" i="9"/>
  <c r="I1039" i="9"/>
  <c r="J1039" i="9"/>
  <c r="K1039" i="9"/>
  <c r="I1040" i="9"/>
  <c r="K1040" i="9"/>
  <c r="J1040" i="9"/>
  <c r="L1040" i="9"/>
  <c r="H1040" i="9"/>
  <c r="J1041" i="9"/>
  <c r="I1041" i="9"/>
  <c r="H1041" i="9"/>
  <c r="L1041" i="9"/>
  <c r="K1041" i="9"/>
  <c r="L1042" i="9"/>
  <c r="J1042" i="9"/>
  <c r="I1042" i="9"/>
  <c r="K1042" i="9"/>
  <c r="H1042" i="9"/>
  <c r="J1043" i="9"/>
  <c r="H1043" i="9"/>
  <c r="K1043" i="9"/>
  <c r="L1043" i="9"/>
  <c r="I1043" i="9"/>
  <c r="H1044" i="9"/>
  <c r="I1044" i="9"/>
  <c r="J1044" i="9"/>
  <c r="L1044" i="9"/>
  <c r="K1044" i="9"/>
  <c r="L1045" i="9"/>
  <c r="I1045" i="9"/>
  <c r="K1045" i="9"/>
  <c r="H1045" i="9"/>
  <c r="J1045" i="9"/>
  <c r="J1046" i="9"/>
  <c r="H1046" i="9"/>
  <c r="L1046" i="9"/>
  <c r="I1046" i="9"/>
  <c r="K1046" i="9"/>
  <c r="K1047" i="9"/>
  <c r="I1047" i="9"/>
  <c r="J1047" i="9"/>
  <c r="H1047" i="9"/>
  <c r="L1047" i="9"/>
  <c r="L1048" i="9"/>
  <c r="H1048" i="9"/>
  <c r="I1048" i="9"/>
  <c r="K1048" i="9"/>
  <c r="J1048" i="9"/>
  <c r="I1050" i="9"/>
  <c r="L1050" i="9"/>
  <c r="H1050" i="9"/>
  <c r="J1050" i="9"/>
  <c r="K1050" i="9"/>
  <c r="K1051" i="9"/>
  <c r="I1051" i="9"/>
  <c r="L1051" i="9"/>
  <c r="H1051" i="9"/>
  <c r="J1051" i="9"/>
  <c r="L1052" i="9"/>
  <c r="I1052" i="9"/>
  <c r="H1052" i="9"/>
  <c r="K1052" i="9"/>
  <c r="J1052" i="9"/>
  <c r="I1056" i="9"/>
  <c r="K1056" i="9"/>
  <c r="H1056" i="9"/>
  <c r="L1056" i="9"/>
  <c r="J1056" i="9"/>
  <c r="I1057" i="9"/>
  <c r="H1057" i="9"/>
  <c r="L1057" i="9"/>
  <c r="K1057" i="9"/>
  <c r="J1057" i="9"/>
  <c r="K1058" i="9"/>
  <c r="I1058" i="9"/>
  <c r="L1058" i="9"/>
  <c r="H1058" i="9"/>
  <c r="J1058" i="9"/>
  <c r="J1059" i="9"/>
  <c r="L1059" i="9"/>
  <c r="I1059" i="9"/>
  <c r="K1059" i="9"/>
  <c r="H1059" i="9"/>
  <c r="I1060" i="9"/>
  <c r="J1060" i="9"/>
  <c r="L1060" i="9"/>
  <c r="K1060" i="9"/>
  <c r="H1060" i="9"/>
  <c r="L1061" i="9"/>
  <c r="I1061" i="9"/>
  <c r="K1061" i="9"/>
  <c r="H1061" i="9"/>
  <c r="J1061" i="9"/>
  <c r="H1062" i="9"/>
  <c r="I1062" i="9"/>
  <c r="J1062" i="9"/>
  <c r="L1062" i="9"/>
  <c r="K1062" i="9"/>
  <c r="I1063" i="9"/>
  <c r="H1063" i="9"/>
  <c r="K1063" i="9"/>
  <c r="L1063" i="9"/>
  <c r="J1063" i="9"/>
  <c r="I1064" i="9"/>
  <c r="K1064" i="9"/>
  <c r="H1064" i="9"/>
  <c r="L1064" i="9"/>
  <c r="J1064" i="9"/>
  <c r="K1065" i="9"/>
  <c r="H1065" i="9"/>
  <c r="I1065" i="9"/>
  <c r="J1065" i="9"/>
  <c r="L1065" i="9"/>
  <c r="H1066" i="9"/>
  <c r="J1066" i="9"/>
  <c r="K1066" i="9"/>
  <c r="L1066" i="9"/>
  <c r="I1066" i="9"/>
  <c r="H1067" i="9"/>
  <c r="L1067" i="9"/>
  <c r="J1067" i="9"/>
  <c r="K1067" i="9"/>
  <c r="I1067" i="9"/>
  <c r="I1073" i="9"/>
  <c r="H1073" i="9"/>
  <c r="K1073" i="9"/>
  <c r="L1073" i="9"/>
  <c r="J1073" i="9"/>
  <c r="J1074" i="9"/>
  <c r="K1074" i="9"/>
  <c r="H1074" i="9"/>
  <c r="L1074" i="9"/>
  <c r="I1074" i="9"/>
  <c r="K1075" i="9"/>
  <c r="J1075" i="9"/>
  <c r="I1075" i="9"/>
  <c r="H1075" i="9"/>
  <c r="L1075" i="9"/>
  <c r="H1076" i="9"/>
  <c r="I1076" i="9"/>
  <c r="K1076" i="9"/>
  <c r="J1076" i="9"/>
  <c r="L1076" i="9"/>
  <c r="I1077" i="9"/>
  <c r="H1077" i="9"/>
  <c r="L1077" i="9"/>
  <c r="J1077" i="9"/>
  <c r="K1077" i="9"/>
  <c r="H1078" i="9"/>
  <c r="L1078" i="9"/>
  <c r="K1078" i="9"/>
  <c r="J1078" i="9"/>
  <c r="I1078" i="9"/>
  <c r="K1082" i="9"/>
  <c r="L1082" i="9"/>
  <c r="H1082" i="9"/>
  <c r="J1082" i="9"/>
  <c r="I1082" i="9"/>
  <c r="H1083" i="9"/>
  <c r="I1083" i="9"/>
  <c r="L1083" i="9"/>
  <c r="J1083" i="9"/>
  <c r="K1083" i="9"/>
  <c r="H1084" i="9"/>
  <c r="I1084" i="9"/>
  <c r="J1084" i="9"/>
  <c r="K1084" i="9"/>
  <c r="L1084" i="9"/>
  <c r="K1085" i="9"/>
  <c r="L1085" i="9"/>
  <c r="J1085" i="9"/>
  <c r="I1085" i="9"/>
  <c r="H1085" i="9"/>
  <c r="K1086" i="9"/>
  <c r="H1086" i="9"/>
  <c r="I1086" i="9"/>
  <c r="J1086" i="9"/>
  <c r="L1086" i="9"/>
  <c r="J1087" i="9"/>
  <c r="K1087" i="9"/>
  <c r="K1088" i="9" s="1"/>
  <c r="L1087" i="9"/>
  <c r="H1087" i="9"/>
  <c r="I1087" i="9"/>
  <c r="H1091" i="9"/>
  <c r="I1091" i="9"/>
  <c r="J1091" i="9"/>
  <c r="K1091" i="9"/>
  <c r="L1091" i="9"/>
  <c r="K1092" i="9"/>
  <c r="H1092" i="9"/>
  <c r="L1092" i="9"/>
  <c r="I1092" i="9"/>
  <c r="J1092" i="9"/>
  <c r="H1093" i="9"/>
  <c r="I1093" i="9"/>
  <c r="L1093" i="9"/>
  <c r="J1093" i="9"/>
  <c r="K1093" i="9"/>
  <c r="H1094" i="9"/>
  <c r="J1094" i="9"/>
  <c r="I1094" i="9"/>
  <c r="K1094" i="9"/>
  <c r="L1094" i="9"/>
  <c r="K1095" i="9"/>
  <c r="H1095" i="9"/>
  <c r="J1095" i="9"/>
  <c r="L1095" i="9"/>
  <c r="I1095" i="9"/>
  <c r="I1096" i="9"/>
  <c r="J1096" i="9"/>
  <c r="L1096" i="9"/>
  <c r="H1096" i="9"/>
  <c r="K1096" i="9"/>
  <c r="J1097" i="9"/>
  <c r="K1097" i="9"/>
  <c r="H1097" i="9"/>
  <c r="I1097" i="9"/>
  <c r="L1097" i="9"/>
  <c r="K1098" i="9"/>
  <c r="H1098" i="9"/>
  <c r="J1098" i="9"/>
  <c r="L1098" i="9"/>
  <c r="I1098" i="9"/>
  <c r="L1099" i="9"/>
  <c r="I1099" i="9"/>
  <c r="J1099" i="9"/>
  <c r="K1099" i="9"/>
  <c r="H1099" i="9"/>
  <c r="J1100" i="9"/>
  <c r="H1100" i="9"/>
  <c r="I1100" i="9"/>
  <c r="L1100" i="9"/>
  <c r="K1100" i="9"/>
  <c r="I1101" i="9"/>
  <c r="H1101" i="9"/>
  <c r="J1101" i="9"/>
  <c r="K1101" i="9"/>
  <c r="L1101" i="9"/>
  <c r="J1102" i="9"/>
  <c r="I1102" i="9"/>
  <c r="H1102" i="9"/>
  <c r="L1102" i="9"/>
  <c r="K1102" i="9"/>
  <c r="H1103" i="9"/>
  <c r="L1103" i="9"/>
  <c r="I1103" i="9"/>
  <c r="J1103" i="9"/>
  <c r="K1103" i="9"/>
  <c r="J1104" i="9"/>
  <c r="I1104" i="9"/>
  <c r="H1104" i="9"/>
  <c r="K1104" i="9"/>
  <c r="K1105" i="9" s="1"/>
  <c r="K1107" i="9" s="1"/>
  <c r="L1104" i="9"/>
  <c r="K1110" i="9"/>
  <c r="I1110" i="9"/>
  <c r="L1110" i="9"/>
  <c r="J1110" i="9"/>
  <c r="H1110" i="9"/>
  <c r="I1111" i="9"/>
  <c r="K1111" i="9"/>
  <c r="L1111" i="9"/>
  <c r="H1111" i="9"/>
  <c r="J1111" i="9"/>
  <c r="I1112" i="9"/>
  <c r="L1112" i="9"/>
  <c r="K1112" i="9"/>
  <c r="J1112" i="9"/>
  <c r="H1112" i="9"/>
  <c r="K1115" i="9"/>
  <c r="H1115" i="9"/>
  <c r="J1115" i="9"/>
  <c r="L1115" i="9"/>
  <c r="I1115" i="9"/>
  <c r="I1116" i="9"/>
  <c r="K1116" i="9"/>
  <c r="J1116" i="9"/>
  <c r="L1116" i="9"/>
  <c r="H1116" i="9"/>
  <c r="H1117" i="9"/>
  <c r="I1117" i="9"/>
  <c r="L1117" i="9"/>
  <c r="J1117" i="9"/>
  <c r="K1117" i="9"/>
  <c r="L1119" i="9"/>
  <c r="I1119" i="9"/>
  <c r="H1119" i="9"/>
  <c r="J1119" i="9"/>
  <c r="K1119" i="9"/>
  <c r="H1120" i="9"/>
  <c r="I1120" i="9"/>
  <c r="L1120" i="9"/>
  <c r="K1120" i="9"/>
  <c r="J1120" i="9"/>
  <c r="H1124" i="9"/>
  <c r="K1124" i="9"/>
  <c r="L1124" i="9"/>
  <c r="I1124" i="9"/>
  <c r="J1124" i="9"/>
  <c r="K1125" i="9"/>
  <c r="J1125" i="9"/>
  <c r="H1125" i="9"/>
  <c r="L1125" i="9"/>
  <c r="I1125" i="9"/>
  <c r="H1126" i="9"/>
  <c r="I1126" i="9"/>
  <c r="K1126" i="9"/>
  <c r="J1126" i="9"/>
  <c r="L1126" i="9"/>
  <c r="I1127" i="9"/>
  <c r="J1127" i="9"/>
  <c r="H1127" i="9"/>
  <c r="L1127" i="9"/>
  <c r="K1127" i="9"/>
  <c r="L1128" i="9"/>
  <c r="I1128" i="9"/>
  <c r="H1128" i="9"/>
  <c r="J1128" i="9"/>
  <c r="K1128" i="9"/>
  <c r="K1129" i="9"/>
  <c r="H1129" i="9"/>
  <c r="I1129" i="9"/>
  <c r="J1129" i="9"/>
  <c r="L1129" i="9"/>
  <c r="H1130" i="9"/>
  <c r="J1130" i="9"/>
  <c r="I1130" i="9"/>
  <c r="K1130" i="9"/>
  <c r="L1130" i="9"/>
  <c r="I1131" i="9"/>
  <c r="H1131" i="9"/>
  <c r="J1131" i="9"/>
  <c r="K1131" i="9"/>
  <c r="L1131" i="9"/>
  <c r="H1132" i="9"/>
  <c r="K1132" i="9"/>
  <c r="L1132" i="9"/>
  <c r="I1132" i="9"/>
  <c r="J1132" i="9"/>
  <c r="H1133" i="9"/>
  <c r="K1133" i="9"/>
  <c r="I1133" i="9"/>
  <c r="L1133" i="9"/>
  <c r="J1133" i="9"/>
  <c r="K1134" i="9"/>
  <c r="L1134" i="9"/>
  <c r="H1134" i="9"/>
  <c r="J1134" i="9"/>
  <c r="I1134" i="9"/>
  <c r="J1135" i="9"/>
  <c r="H1135" i="9"/>
  <c r="K1135" i="9"/>
  <c r="I1135" i="9"/>
  <c r="L1135" i="9"/>
  <c r="I1145" i="9"/>
  <c r="J1145" i="9"/>
  <c r="K1145" i="9"/>
  <c r="H1145" i="9"/>
  <c r="L1145" i="9"/>
  <c r="H1175" i="9"/>
  <c r="K1175" i="9"/>
  <c r="I1175" i="9"/>
  <c r="J1175" i="9"/>
  <c r="L1175" i="9"/>
  <c r="I1176" i="9"/>
  <c r="L1176" i="9"/>
  <c r="K1176" i="9"/>
  <c r="J1176" i="9"/>
  <c r="AG1176" i="9" s="1"/>
  <c r="H1176" i="9"/>
  <c r="J1177" i="9"/>
  <c r="AG1177" i="9" s="1"/>
  <c r="I1177" i="9"/>
  <c r="L1177" i="9"/>
  <c r="H1177" i="9"/>
  <c r="K1177" i="9"/>
  <c r="K1178" i="9"/>
  <c r="L1178" i="9"/>
  <c r="L1179" i="9" s="1"/>
  <c r="H1178" i="9"/>
  <c r="I1178" i="9"/>
  <c r="J1178" i="9"/>
  <c r="AG1178" i="9" s="1"/>
  <c r="L1190" i="9"/>
  <c r="H1190" i="9"/>
  <c r="J1190" i="9"/>
  <c r="K1190" i="9"/>
  <c r="I1190" i="9"/>
  <c r="H1191" i="9"/>
  <c r="I1191" i="9"/>
  <c r="AF1191" i="9" s="1"/>
  <c r="K1191" i="9"/>
  <c r="L1191" i="9"/>
  <c r="J1191" i="9"/>
  <c r="AG1191" i="9" s="1"/>
  <c r="H1192" i="9"/>
  <c r="I1192" i="9"/>
  <c r="AF1192" i="9" s="1"/>
  <c r="L1192" i="9"/>
  <c r="J1192" i="9"/>
  <c r="AG1192" i="9" s="1"/>
  <c r="K1192" i="9"/>
  <c r="I1193" i="9"/>
  <c r="AF1193" i="9" s="1"/>
  <c r="H1193" i="9"/>
  <c r="L1193" i="9"/>
  <c r="J1193" i="9"/>
  <c r="AG1193" i="9" s="1"/>
  <c r="K1193" i="9"/>
  <c r="J1194" i="9"/>
  <c r="AG1194" i="9" s="1"/>
  <c r="K1194" i="9"/>
  <c r="L1194" i="9"/>
  <c r="H1194" i="9"/>
  <c r="I1194" i="9"/>
  <c r="AF1194" i="9" s="1"/>
  <c r="I1198" i="9"/>
  <c r="J1198" i="9"/>
  <c r="H1198" i="9"/>
  <c r="L1198" i="9"/>
  <c r="K1198" i="9"/>
  <c r="K1199" i="9"/>
  <c r="H1199" i="9"/>
  <c r="L1199" i="9"/>
  <c r="I1199" i="9"/>
  <c r="AF1199" i="9" s="1"/>
  <c r="J1199" i="9"/>
  <c r="AG1199" i="9" s="1"/>
  <c r="K1200" i="9"/>
  <c r="J1200" i="9"/>
  <c r="AG1200" i="9" s="1"/>
  <c r="I1200" i="9"/>
  <c r="AF1200" i="9" s="1"/>
  <c r="H1200" i="9"/>
  <c r="L1200" i="9"/>
  <c r="H1201" i="9"/>
  <c r="I1201" i="9"/>
  <c r="AF1201" i="9" s="1"/>
  <c r="K1201" i="9"/>
  <c r="L1201" i="9"/>
  <c r="J1201" i="9"/>
  <c r="AG1201" i="9" s="1"/>
  <c r="L1205" i="9"/>
  <c r="J1205" i="9"/>
  <c r="K1205" i="9"/>
  <c r="H1205" i="9"/>
  <c r="I1205" i="9"/>
  <c r="H1206" i="9"/>
  <c r="L1206" i="9"/>
  <c r="I1206" i="9"/>
  <c r="AF1206" i="9" s="1"/>
  <c r="J1206" i="9"/>
  <c r="AG1206" i="9" s="1"/>
  <c r="K1206" i="9"/>
  <c r="L1207" i="9"/>
  <c r="H1207" i="9"/>
  <c r="I1207" i="9"/>
  <c r="AF1207" i="9" s="1"/>
  <c r="J1207" i="9"/>
  <c r="AG1207" i="9" s="1"/>
  <c r="K1207" i="9"/>
  <c r="H1208" i="9"/>
  <c r="K1208" i="9"/>
  <c r="L1208" i="9"/>
  <c r="J1208" i="9"/>
  <c r="AG1208" i="9" s="1"/>
  <c r="I1208" i="9"/>
  <c r="AF1208" i="9" s="1"/>
  <c r="H1212" i="9"/>
  <c r="K1212" i="9"/>
  <c r="J1212" i="9"/>
  <c r="L1212" i="9"/>
  <c r="I1212" i="9"/>
  <c r="L1213" i="9"/>
  <c r="J1213" i="9"/>
  <c r="AG1213" i="9" s="1"/>
  <c r="I1213" i="9"/>
  <c r="AF1213" i="9" s="1"/>
  <c r="H1213" i="9"/>
  <c r="K1213" i="9"/>
  <c r="L1214" i="9"/>
  <c r="K1214" i="9"/>
  <c r="H1214" i="9"/>
  <c r="I1214" i="9"/>
  <c r="AF1214" i="9" s="1"/>
  <c r="J1214" i="9"/>
  <c r="AG1214" i="9" s="1"/>
  <c r="L1215" i="9"/>
  <c r="I1215" i="9"/>
  <c r="AF1215" i="9" s="1"/>
  <c r="J1215" i="9"/>
  <c r="AG1215" i="9" s="1"/>
  <c r="H1215" i="9"/>
  <c r="K1215" i="9"/>
  <c r="K1216" i="9" s="1"/>
  <c r="L1219" i="9"/>
  <c r="H1219" i="9"/>
  <c r="I1219" i="9"/>
  <c r="J1219" i="9"/>
  <c r="K1219" i="9"/>
  <c r="L1220" i="9"/>
  <c r="H1220" i="9"/>
  <c r="K1220" i="9"/>
  <c r="J1220" i="9"/>
  <c r="AG1220" i="9" s="1"/>
  <c r="I1220" i="9"/>
  <c r="AF1220" i="9" s="1"/>
  <c r="L1221" i="9"/>
  <c r="K1221" i="9"/>
  <c r="H1221" i="9"/>
  <c r="I1221" i="9"/>
  <c r="AF1221" i="9" s="1"/>
  <c r="J1221" i="9"/>
  <c r="AG1221" i="9" s="1"/>
  <c r="J1222" i="9"/>
  <c r="AG1222" i="9" s="1"/>
  <c r="L1222" i="9"/>
  <c r="L1223" i="9" s="1"/>
  <c r="K1222" i="9"/>
  <c r="H1222" i="9"/>
  <c r="I1222" i="9"/>
  <c r="AF1222" i="9" s="1"/>
  <c r="H1226" i="9"/>
  <c r="L1226" i="9"/>
  <c r="I1226" i="9"/>
  <c r="K1226" i="9"/>
  <c r="J1226" i="9"/>
  <c r="L1227" i="9"/>
  <c r="K1227" i="9"/>
  <c r="J1227" i="9"/>
  <c r="AG1227" i="9" s="1"/>
  <c r="I1227" i="9"/>
  <c r="AF1227" i="9" s="1"/>
  <c r="H1227" i="9"/>
  <c r="L1228" i="9"/>
  <c r="H1228" i="9"/>
  <c r="I1228" i="9"/>
  <c r="AF1228" i="9" s="1"/>
  <c r="J1228" i="9"/>
  <c r="AG1228" i="9" s="1"/>
  <c r="K1228" i="9"/>
  <c r="H1229" i="9"/>
  <c r="J1229" i="9"/>
  <c r="AG1229" i="9" s="1"/>
  <c r="I1229" i="9"/>
  <c r="AF1229" i="9" s="1"/>
  <c r="K1229" i="9"/>
  <c r="L1229" i="9"/>
  <c r="I1234" i="9"/>
  <c r="J1234" i="9"/>
  <c r="L1234" i="9"/>
  <c r="L1235" i="9" s="1"/>
  <c r="K1234" i="9"/>
  <c r="K1235" i="9" s="1"/>
  <c r="H1234" i="9"/>
  <c r="I1241" i="9"/>
  <c r="K1241" i="9"/>
  <c r="K1242" i="9" s="1"/>
  <c r="H1241" i="9"/>
  <c r="L1241" i="9"/>
  <c r="L1242" i="9" s="1"/>
  <c r="J1241" i="9"/>
  <c r="K1245" i="9"/>
  <c r="K1246" i="9" s="1"/>
  <c r="H1245" i="9"/>
  <c r="L1245" i="9"/>
  <c r="L1246" i="9" s="1"/>
  <c r="J1245" i="9"/>
  <c r="I1245" i="9"/>
  <c r="K1249" i="9"/>
  <c r="K1250" i="9" s="1"/>
  <c r="I1249" i="9"/>
  <c r="J1249" i="9"/>
  <c r="H1249" i="9"/>
  <c r="L1249" i="9"/>
  <c r="L1250" i="9" s="1"/>
  <c r="H1253" i="9"/>
  <c r="K1253" i="9"/>
  <c r="K1254" i="9" s="1"/>
  <c r="I1253" i="9"/>
  <c r="L1253" i="9"/>
  <c r="L1254" i="9" s="1"/>
  <c r="J1253" i="9"/>
  <c r="L1257" i="9"/>
  <c r="L1258" i="9" s="1"/>
  <c r="I1257" i="9"/>
  <c r="H1257" i="9"/>
  <c r="J1257" i="9"/>
  <c r="K1257" i="9"/>
  <c r="K1258" i="9" s="1"/>
  <c r="H1261" i="9"/>
  <c r="L1261" i="9"/>
  <c r="L1262" i="9" s="1"/>
  <c r="I1261" i="9"/>
  <c r="K1261" i="9"/>
  <c r="K1262" i="9" s="1"/>
  <c r="J1261" i="9"/>
  <c r="I1266" i="9"/>
  <c r="K1266" i="9"/>
  <c r="K1267" i="9" s="1"/>
  <c r="J1266" i="9"/>
  <c r="H1266" i="9"/>
  <c r="L1266" i="9"/>
  <c r="L1267" i="9" s="1"/>
  <c r="H1273" i="9"/>
  <c r="I1273" i="9"/>
  <c r="J1273" i="9"/>
  <c r="L1273" i="9"/>
  <c r="K1273" i="9"/>
  <c r="L1274" i="9"/>
  <c r="I1274" i="9"/>
  <c r="AF1274" i="9" s="1"/>
  <c r="J1274" i="9"/>
  <c r="AG1274" i="9" s="1"/>
  <c r="H1274" i="9"/>
  <c r="K1274" i="9"/>
  <c r="K1275" i="9"/>
  <c r="H1275" i="9"/>
  <c r="L1275" i="9"/>
  <c r="I1275" i="9"/>
  <c r="AF1275" i="9" s="1"/>
  <c r="J1275" i="9"/>
  <c r="AG1275" i="9" s="1"/>
  <c r="H1276" i="9"/>
  <c r="I1276" i="9"/>
  <c r="AF1276" i="9" s="1"/>
  <c r="J1276" i="9"/>
  <c r="AG1276" i="9" s="1"/>
  <c r="K1276" i="9"/>
  <c r="L1276" i="9"/>
  <c r="J1280" i="9"/>
  <c r="H1280" i="9"/>
  <c r="K1280" i="9"/>
  <c r="L1280" i="9"/>
  <c r="I1280" i="9"/>
  <c r="K1281" i="9"/>
  <c r="I1281" i="9"/>
  <c r="AF1281" i="9" s="1"/>
  <c r="J1281" i="9"/>
  <c r="AG1281" i="9" s="1"/>
  <c r="H1281" i="9"/>
  <c r="L1281" i="9"/>
  <c r="L1282" i="9"/>
  <c r="I1282" i="9"/>
  <c r="AF1282" i="9" s="1"/>
  <c r="J1282" i="9"/>
  <c r="AG1282" i="9" s="1"/>
  <c r="H1282" i="9"/>
  <c r="K1282" i="9"/>
  <c r="H1283" i="9"/>
  <c r="K1283" i="9"/>
  <c r="K1284" i="9" s="1"/>
  <c r="L1283" i="9"/>
  <c r="I1283" i="9"/>
  <c r="AF1283" i="9" s="1"/>
  <c r="J1283" i="9"/>
  <c r="AG1283" i="9" s="1"/>
  <c r="H1287" i="9"/>
  <c r="K1287" i="9"/>
  <c r="L1287" i="9"/>
  <c r="J1287" i="9"/>
  <c r="I1287" i="9"/>
  <c r="L1288" i="9"/>
  <c r="H1288" i="9"/>
  <c r="J1288" i="9"/>
  <c r="AG1288" i="9" s="1"/>
  <c r="K1288" i="9"/>
  <c r="I1288" i="9"/>
  <c r="AF1288" i="9" s="1"/>
  <c r="K1289" i="9"/>
  <c r="L1289" i="9"/>
  <c r="J1289" i="9"/>
  <c r="AG1289" i="9" s="1"/>
  <c r="I1289" i="9"/>
  <c r="AF1289" i="9" s="1"/>
  <c r="H1289" i="9"/>
  <c r="J1290" i="9"/>
  <c r="AG1290" i="9" s="1"/>
  <c r="L1290" i="9"/>
  <c r="I1290" i="9"/>
  <c r="AF1290" i="9" s="1"/>
  <c r="K1290" i="9"/>
  <c r="H1290" i="9"/>
  <c r="L1294" i="9"/>
  <c r="H1294" i="9"/>
  <c r="I1294" i="9"/>
  <c r="K1294" i="9"/>
  <c r="J1294" i="9"/>
  <c r="H1295" i="9"/>
  <c r="I1295" i="9"/>
  <c r="AF1295" i="9" s="1"/>
  <c r="J1295" i="9"/>
  <c r="AG1295" i="9" s="1"/>
  <c r="K1295" i="9"/>
  <c r="L1295" i="9"/>
  <c r="J1296" i="9"/>
  <c r="AG1296" i="9" s="1"/>
  <c r="L1296" i="9"/>
  <c r="K1296" i="9"/>
  <c r="H1296" i="9"/>
  <c r="I1296" i="9"/>
  <c r="AF1296" i="9" s="1"/>
  <c r="K1297" i="9"/>
  <c r="L1297" i="9"/>
  <c r="L1298" i="9" s="1"/>
  <c r="I1297" i="9"/>
  <c r="AF1297" i="9" s="1"/>
  <c r="H1297" i="9"/>
  <c r="J1297" i="9"/>
  <c r="AG1297" i="9" s="1"/>
  <c r="L1301" i="9"/>
  <c r="I1301" i="9"/>
  <c r="K1301" i="9"/>
  <c r="H1301" i="9"/>
  <c r="J1301" i="9"/>
  <c r="H1302" i="9"/>
  <c r="K1302" i="9"/>
  <c r="J1302" i="9"/>
  <c r="AG1302" i="9" s="1"/>
  <c r="L1302" i="9"/>
  <c r="I1302" i="9"/>
  <c r="AF1302" i="9" s="1"/>
  <c r="K1303" i="9"/>
  <c r="I1303" i="9"/>
  <c r="AF1303" i="9" s="1"/>
  <c r="L1303" i="9"/>
  <c r="J1303" i="9"/>
  <c r="AG1303" i="9" s="1"/>
  <c r="H1303" i="9"/>
  <c r="H1304" i="9"/>
  <c r="I1304" i="9"/>
  <c r="AF1304" i="9" s="1"/>
  <c r="J1304" i="9"/>
  <c r="AG1304" i="9" s="1"/>
  <c r="L1304" i="9"/>
  <c r="K1304" i="9"/>
  <c r="K1308" i="9"/>
  <c r="I1308" i="9"/>
  <c r="H1308" i="9"/>
  <c r="L1308" i="9"/>
  <c r="J1308" i="9"/>
  <c r="K1309" i="9"/>
  <c r="L1309" i="9"/>
  <c r="I1309" i="9"/>
  <c r="AF1309" i="9" s="1"/>
  <c r="J1309" i="9"/>
  <c r="AG1309" i="9" s="1"/>
  <c r="H1309" i="9"/>
  <c r="K1310" i="9"/>
  <c r="L1310" i="9"/>
  <c r="J1310" i="9"/>
  <c r="AG1310" i="9" s="1"/>
  <c r="H1310" i="9"/>
  <c r="I1310" i="9"/>
  <c r="AF1310" i="9" s="1"/>
  <c r="L1311" i="9"/>
  <c r="H1311" i="9"/>
  <c r="K1311" i="9"/>
  <c r="I1311" i="9"/>
  <c r="AF1311" i="9" s="1"/>
  <c r="J1311" i="9"/>
  <c r="AG1311" i="9" s="1"/>
  <c r="I1315" i="9"/>
  <c r="J1315" i="9"/>
  <c r="L1315" i="9"/>
  <c r="K1315" i="9"/>
  <c r="H1315" i="9"/>
  <c r="I1316" i="9"/>
  <c r="AF1316" i="9" s="1"/>
  <c r="H1316" i="9"/>
  <c r="J1316" i="9"/>
  <c r="AG1316" i="9" s="1"/>
  <c r="K1316" i="9"/>
  <c r="L1316" i="9"/>
  <c r="H1317" i="9"/>
  <c r="I1317" i="9"/>
  <c r="AF1317" i="9" s="1"/>
  <c r="K1317" i="9"/>
  <c r="L1317" i="9"/>
  <c r="J1317" i="9"/>
  <c r="AG1317" i="9" s="1"/>
  <c r="I1318" i="9"/>
  <c r="AF1318" i="9" s="1"/>
  <c r="J1318" i="9"/>
  <c r="AG1318" i="9" s="1"/>
  <c r="L1318" i="9"/>
  <c r="L1319" i="9" s="1"/>
  <c r="H1318" i="9"/>
  <c r="K1318" i="9"/>
  <c r="L1323" i="9"/>
  <c r="K1323" i="9"/>
  <c r="H1323" i="9"/>
  <c r="J1323" i="9"/>
  <c r="I1323" i="9"/>
  <c r="J1324" i="9"/>
  <c r="AG1324" i="9" s="1"/>
  <c r="L1324" i="9"/>
  <c r="H1324" i="9"/>
  <c r="I1324" i="9"/>
  <c r="AF1324" i="9" s="1"/>
  <c r="K1324" i="9"/>
  <c r="K1325" i="9" s="1"/>
  <c r="J1331" i="9"/>
  <c r="I1331" i="9"/>
  <c r="K1331" i="9"/>
  <c r="L1331" i="9"/>
  <c r="H1331" i="9"/>
  <c r="J1332" i="9"/>
  <c r="AG1332" i="9" s="1"/>
  <c r="H1332" i="9"/>
  <c r="I1332" i="9"/>
  <c r="AF1332" i="9" s="1"/>
  <c r="K1332" i="9"/>
  <c r="L1332" i="9"/>
  <c r="J1333" i="9"/>
  <c r="AG1333" i="9" s="1"/>
  <c r="L1333" i="9"/>
  <c r="L1334" i="9" s="1"/>
  <c r="I1333" i="9"/>
  <c r="AF1333" i="9" s="1"/>
  <c r="K1333" i="9"/>
  <c r="H1333" i="9"/>
  <c r="J1337" i="9"/>
  <c r="K1337" i="9"/>
  <c r="H1337" i="9"/>
  <c r="L1337" i="9"/>
  <c r="I1337" i="9"/>
  <c r="K1338" i="9"/>
  <c r="L1338" i="9"/>
  <c r="H1338" i="9"/>
  <c r="I1338" i="9"/>
  <c r="AF1338" i="9" s="1"/>
  <c r="J1338" i="9"/>
  <c r="AG1338" i="9" s="1"/>
  <c r="J1339" i="9"/>
  <c r="AG1339" i="9" s="1"/>
  <c r="I1339" i="9"/>
  <c r="AF1339" i="9" s="1"/>
  <c r="K1339" i="9"/>
  <c r="L1339" i="9"/>
  <c r="H1339" i="9"/>
  <c r="K1340" i="9"/>
  <c r="I1340" i="9"/>
  <c r="AF1340" i="9" s="1"/>
  <c r="J1340" i="9"/>
  <c r="AG1340" i="9" s="1"/>
  <c r="L1340" i="9"/>
  <c r="H1340" i="9"/>
  <c r="I1344" i="9"/>
  <c r="K1344" i="9"/>
  <c r="J1344" i="9"/>
  <c r="H1344" i="9"/>
  <c r="L1344" i="9"/>
  <c r="J1345" i="9"/>
  <c r="AG1345" i="9" s="1"/>
  <c r="I1345" i="9"/>
  <c r="AF1345" i="9" s="1"/>
  <c r="L1345" i="9"/>
  <c r="H1345" i="9"/>
  <c r="K1345" i="9"/>
  <c r="I1346" i="9"/>
  <c r="AF1346" i="9" s="1"/>
  <c r="J1346" i="9"/>
  <c r="AG1346" i="9" s="1"/>
  <c r="H1346" i="9"/>
  <c r="L1346" i="9"/>
  <c r="L1347" i="9" s="1"/>
  <c r="K1346" i="9"/>
  <c r="K1347" i="9" s="1"/>
  <c r="H1350" i="9"/>
  <c r="K1350" i="9"/>
  <c r="I1350" i="9"/>
  <c r="AF1350" i="9" s="1"/>
  <c r="J1350" i="9"/>
  <c r="AG1350" i="9" s="1"/>
  <c r="L1350" i="9"/>
  <c r="H1351" i="9"/>
  <c r="J1351" i="9"/>
  <c r="I1351" i="9"/>
  <c r="K1351" i="9"/>
  <c r="L1351" i="9"/>
  <c r="H1352" i="9"/>
  <c r="I1352" i="9"/>
  <c r="AF1352" i="9" s="1"/>
  <c r="K1352" i="9"/>
  <c r="L1352" i="9"/>
  <c r="J1352" i="9"/>
  <c r="AG1352" i="9" s="1"/>
  <c r="L1353" i="9"/>
  <c r="I1353" i="9"/>
  <c r="AF1353" i="9" s="1"/>
  <c r="H1353" i="9"/>
  <c r="J1353" i="9"/>
  <c r="AG1353" i="9" s="1"/>
  <c r="K1353" i="9"/>
  <c r="I1357" i="9"/>
  <c r="AF1357" i="9" s="1"/>
  <c r="J1357" i="9"/>
  <c r="AG1357" i="9" s="1"/>
  <c r="H1357" i="9"/>
  <c r="L1357" i="9"/>
  <c r="K1357" i="9"/>
  <c r="J1358" i="9"/>
  <c r="I1358" i="9"/>
  <c r="L1358" i="9"/>
  <c r="H1358" i="9"/>
  <c r="K1358" i="9"/>
  <c r="H1359" i="9"/>
  <c r="J1359" i="9"/>
  <c r="AG1359" i="9" s="1"/>
  <c r="K1359" i="9"/>
  <c r="I1359" i="9"/>
  <c r="AF1359" i="9" s="1"/>
  <c r="L1359" i="9"/>
  <c r="K1360" i="9"/>
  <c r="K1361" i="9" s="1"/>
  <c r="L1360" i="9"/>
  <c r="L1361" i="9" s="1"/>
  <c r="H1360" i="9"/>
  <c r="I1360" i="9"/>
  <c r="AF1360" i="9" s="1"/>
  <c r="J1360" i="9"/>
  <c r="AG1360" i="9" s="1"/>
  <c r="J1364" i="9"/>
  <c r="L1364" i="9"/>
  <c r="H1364" i="9"/>
  <c r="I1364" i="9"/>
  <c r="K1364" i="9"/>
  <c r="J1365" i="9"/>
  <c r="AG1365" i="9" s="1"/>
  <c r="L1365" i="9"/>
  <c r="K1365" i="9"/>
  <c r="I1365" i="9"/>
  <c r="AF1365" i="9" s="1"/>
  <c r="H1365" i="9"/>
  <c r="L1366" i="9"/>
  <c r="J1366" i="9"/>
  <c r="AG1366" i="9" s="1"/>
  <c r="H1366" i="9"/>
  <c r="K1366" i="9"/>
  <c r="I1366" i="9"/>
  <c r="AF1366" i="9" s="1"/>
  <c r="K1367" i="9"/>
  <c r="L1367" i="9"/>
  <c r="H1367" i="9"/>
  <c r="J1367" i="9"/>
  <c r="AG1367" i="9" s="1"/>
  <c r="I1367" i="9"/>
  <c r="AF1367" i="9" s="1"/>
  <c r="J1371" i="9"/>
  <c r="H1371" i="9"/>
  <c r="L1371" i="9"/>
  <c r="K1371" i="9"/>
  <c r="I1371" i="9"/>
  <c r="L1372" i="9"/>
  <c r="I1372" i="9"/>
  <c r="AF1372" i="9" s="1"/>
  <c r="K1372" i="9"/>
  <c r="J1372" i="9"/>
  <c r="AG1372" i="9" s="1"/>
  <c r="H1372" i="9"/>
  <c r="I1373" i="9"/>
  <c r="AF1373" i="9" s="1"/>
  <c r="J1373" i="9"/>
  <c r="AG1373" i="9" s="1"/>
  <c r="H1373" i="9"/>
  <c r="L1373" i="9"/>
  <c r="L1374" i="9" s="1"/>
  <c r="K1373" i="9"/>
  <c r="H1377" i="9"/>
  <c r="I1377" i="9"/>
  <c r="J1377" i="9"/>
  <c r="L1377" i="9"/>
  <c r="K1377" i="9"/>
  <c r="H1378" i="9"/>
  <c r="I1378" i="9"/>
  <c r="AF1378" i="9" s="1"/>
  <c r="J1378" i="9"/>
  <c r="AG1378" i="9" s="1"/>
  <c r="K1378" i="9"/>
  <c r="L1378" i="9"/>
  <c r="L1385" i="9"/>
  <c r="L1386" i="9" s="1"/>
  <c r="J1385" i="9"/>
  <c r="K1385" i="9"/>
  <c r="K1386" i="9" s="1"/>
  <c r="H1385" i="9"/>
  <c r="I1385" i="9"/>
  <c r="K1391" i="9"/>
  <c r="I1391" i="9"/>
  <c r="L1391" i="9"/>
  <c r="H1391" i="9"/>
  <c r="J1391" i="9"/>
  <c r="L1392" i="9"/>
  <c r="K1392" i="9"/>
  <c r="J1392" i="9"/>
  <c r="AG1392" i="9" s="1"/>
  <c r="I1392" i="9"/>
  <c r="H1392" i="9"/>
  <c r="I1393" i="9"/>
  <c r="J1393" i="9"/>
  <c r="AG1393" i="9" s="1"/>
  <c r="K1393" i="9"/>
  <c r="L1393" i="9"/>
  <c r="H1393" i="9"/>
  <c r="H1397" i="9"/>
  <c r="I1397" i="9"/>
  <c r="L1397" i="9"/>
  <c r="J1397" i="9"/>
  <c r="K1397" i="9"/>
  <c r="H1398" i="9"/>
  <c r="L1398" i="9"/>
  <c r="I1398" i="9"/>
  <c r="J1398" i="9"/>
  <c r="AG1398" i="9" s="1"/>
  <c r="K1398" i="9"/>
  <c r="I1399" i="9"/>
  <c r="H1399" i="9"/>
  <c r="K1399" i="9"/>
  <c r="J1399" i="9"/>
  <c r="AG1399" i="9" s="1"/>
  <c r="L1399" i="9"/>
  <c r="H1400" i="9"/>
  <c r="I1400" i="9"/>
  <c r="J1400" i="9"/>
  <c r="AG1400" i="9" s="1"/>
  <c r="K1400" i="9"/>
  <c r="K1401" i="9" s="1"/>
  <c r="L1400" i="9"/>
  <c r="L1401" i="9" s="1"/>
  <c r="J1404" i="9"/>
  <c r="H1404" i="9"/>
  <c r="L1404" i="9"/>
  <c r="I1404" i="9"/>
  <c r="K1404" i="9"/>
  <c r="J1405" i="9"/>
  <c r="AG1405" i="9" s="1"/>
  <c r="K1405" i="9"/>
  <c r="L1405" i="9"/>
  <c r="I1405" i="9"/>
  <c r="H1405" i="9"/>
  <c r="H1406" i="9"/>
  <c r="J1406" i="9"/>
  <c r="AG1406" i="9" s="1"/>
  <c r="K1406" i="9"/>
  <c r="K1407" i="9" s="1"/>
  <c r="I1406" i="9"/>
  <c r="L1406" i="9"/>
  <c r="H1410" i="9"/>
  <c r="K1410" i="9"/>
  <c r="I1410" i="9"/>
  <c r="J1410" i="9"/>
  <c r="L1410" i="9"/>
  <c r="I1411" i="9"/>
  <c r="K1411" i="9"/>
  <c r="L1411" i="9"/>
  <c r="J1411" i="9"/>
  <c r="AG1411" i="9" s="1"/>
  <c r="H1411" i="9"/>
  <c r="K1412" i="9"/>
  <c r="K1413" i="9" s="1"/>
  <c r="I1412" i="9"/>
  <c r="L1412" i="9"/>
  <c r="L1413" i="9" s="1"/>
  <c r="J1412" i="9"/>
  <c r="AG1412" i="9" s="1"/>
  <c r="H1412" i="9"/>
  <c r="K1416" i="9"/>
  <c r="L1416" i="9"/>
  <c r="I1416" i="9"/>
  <c r="H1416" i="9"/>
  <c r="J1416" i="9"/>
  <c r="I1417" i="9"/>
  <c r="J1417" i="9"/>
  <c r="AG1417" i="9" s="1"/>
  <c r="K1417" i="9"/>
  <c r="H1417" i="9"/>
  <c r="L1417" i="9"/>
  <c r="J1418" i="9"/>
  <c r="AG1418" i="9" s="1"/>
  <c r="L1418" i="9"/>
  <c r="K1418" i="9"/>
  <c r="K1419" i="9" s="1"/>
  <c r="I1418" i="9"/>
  <c r="H1418" i="9"/>
  <c r="H1422" i="9"/>
  <c r="J1422" i="9"/>
  <c r="I1422" i="9"/>
  <c r="L1422" i="9"/>
  <c r="K1422" i="9"/>
  <c r="H1423" i="9"/>
  <c r="K1423" i="9"/>
  <c r="I1423" i="9"/>
  <c r="J1423" i="9"/>
  <c r="AG1423" i="9" s="1"/>
  <c r="L1423" i="9"/>
  <c r="I1424" i="9"/>
  <c r="J1424" i="9"/>
  <c r="AG1424" i="9" s="1"/>
  <c r="L1424" i="9"/>
  <c r="L1425" i="9" s="1"/>
  <c r="K1424" i="9"/>
  <c r="K1425" i="9" s="1"/>
  <c r="H1424" i="9"/>
  <c r="H1428" i="9"/>
  <c r="K1428" i="9"/>
  <c r="I1428" i="9"/>
  <c r="J1428" i="9"/>
  <c r="L1428" i="9"/>
  <c r="I1429" i="9"/>
  <c r="J1429" i="9"/>
  <c r="AG1429" i="9" s="1"/>
  <c r="K1429" i="9"/>
  <c r="H1429" i="9"/>
  <c r="L1429" i="9"/>
  <c r="H1430" i="9"/>
  <c r="J1430" i="9"/>
  <c r="AG1430" i="9" s="1"/>
  <c r="L1430" i="9"/>
  <c r="L1431" i="9" s="1"/>
  <c r="K1430" i="9"/>
  <c r="I1430" i="9"/>
  <c r="I1434" i="9"/>
  <c r="L1434" i="9"/>
  <c r="H1434" i="9"/>
  <c r="J1434" i="9"/>
  <c r="K1434" i="9"/>
  <c r="H1435" i="9"/>
  <c r="J1435" i="9"/>
  <c r="AG1435" i="9" s="1"/>
  <c r="L1435" i="9"/>
  <c r="K1435" i="9"/>
  <c r="I1435" i="9"/>
  <c r="H1436" i="9"/>
  <c r="I1436" i="9"/>
  <c r="L1436" i="9"/>
  <c r="J1436" i="9"/>
  <c r="AG1436" i="9" s="1"/>
  <c r="K1436" i="9"/>
  <c r="J1440" i="9"/>
  <c r="I1440" i="9"/>
  <c r="K1440" i="9"/>
  <c r="H1440" i="9"/>
  <c r="L1440" i="9"/>
  <c r="I1441" i="9"/>
  <c r="J1441" i="9"/>
  <c r="AG1441" i="9" s="1"/>
  <c r="K1441" i="9"/>
  <c r="L1441" i="9"/>
  <c r="H1441" i="9"/>
  <c r="H1442" i="9"/>
  <c r="J1442" i="9"/>
  <c r="AG1442" i="9" s="1"/>
  <c r="L1442" i="9"/>
  <c r="I1442" i="9"/>
  <c r="K1442" i="9"/>
  <c r="I1446" i="9"/>
  <c r="H1446" i="9"/>
  <c r="K1446" i="9"/>
  <c r="K1447" i="9" s="1"/>
  <c r="L1446" i="9"/>
  <c r="L1447" i="9" s="1"/>
  <c r="J1446" i="9"/>
  <c r="K1450" i="9"/>
  <c r="K1451" i="9" s="1"/>
  <c r="J1450" i="9"/>
  <c r="L1450" i="9"/>
  <c r="L1451" i="9" s="1"/>
  <c r="H1450" i="9"/>
  <c r="I1450" i="9"/>
  <c r="H1456" i="9"/>
  <c r="K1456" i="9"/>
  <c r="K1457" i="9" s="1"/>
  <c r="L1456" i="9"/>
  <c r="L1457" i="9" s="1"/>
  <c r="I1456" i="9"/>
  <c r="J1456" i="9"/>
  <c r="J1460" i="9"/>
  <c r="I1460" i="9"/>
  <c r="L1460" i="9"/>
  <c r="L1461" i="9" s="1"/>
  <c r="H1460" i="9"/>
  <c r="K1460" i="9"/>
  <c r="K1461" i="9" s="1"/>
  <c r="H1464" i="9"/>
  <c r="L1464" i="9"/>
  <c r="L1465" i="9" s="1"/>
  <c r="I1464" i="9"/>
  <c r="K1464" i="9"/>
  <c r="K1465" i="9" s="1"/>
  <c r="J1464" i="9"/>
  <c r="I1468" i="9"/>
  <c r="K1468" i="9"/>
  <c r="K1469" i="9" s="1"/>
  <c r="H1468" i="9"/>
  <c r="L1468" i="9"/>
  <c r="L1469" i="9" s="1"/>
  <c r="J1468" i="9"/>
  <c r="J1472" i="9"/>
  <c r="H1472" i="9"/>
  <c r="I1472" i="9"/>
  <c r="L1472" i="9"/>
  <c r="L1473" i="9" s="1"/>
  <c r="K1472" i="9"/>
  <c r="K1473" i="9" s="1"/>
  <c r="L1476" i="9"/>
  <c r="L1477" i="9" s="1"/>
  <c r="H1476" i="9"/>
  <c r="K1476" i="9"/>
  <c r="K1477" i="9" s="1"/>
  <c r="J1476" i="9"/>
  <c r="I1476" i="9"/>
  <c r="H1480" i="9"/>
  <c r="K1480" i="9"/>
  <c r="K1481" i="9" s="1"/>
  <c r="L1480" i="9"/>
  <c r="L1481" i="9" s="1"/>
  <c r="I1480" i="9"/>
  <c r="J1480" i="9"/>
  <c r="J1484" i="9"/>
  <c r="H1484" i="9"/>
  <c r="K1484" i="9"/>
  <c r="K1485" i="9" s="1"/>
  <c r="I1484" i="9"/>
  <c r="L1484" i="9"/>
  <c r="L1485" i="9" s="1"/>
  <c r="L1488" i="9"/>
  <c r="L1489" i="9" s="1"/>
  <c r="K1488" i="9"/>
  <c r="K1489" i="9" s="1"/>
  <c r="H1488" i="9"/>
  <c r="I1488" i="9"/>
  <c r="J1488" i="9"/>
  <c r="L1492" i="9"/>
  <c r="L1493" i="9" s="1"/>
  <c r="H1492" i="9"/>
  <c r="J1492" i="9"/>
  <c r="I1492" i="9"/>
  <c r="K1492" i="9"/>
  <c r="K1493" i="9" s="1"/>
  <c r="L1496" i="9"/>
  <c r="L1497" i="9" s="1"/>
  <c r="J1496" i="9"/>
  <c r="I1496" i="9"/>
  <c r="K1496" i="9"/>
  <c r="K1497" i="9" s="1"/>
  <c r="H1496" i="9"/>
  <c r="I1500" i="9"/>
  <c r="L1500" i="9"/>
  <c r="L1501" i="9" s="1"/>
  <c r="H1500" i="9"/>
  <c r="J1500" i="9"/>
  <c r="K1500" i="9"/>
  <c r="K1501" i="9" s="1"/>
  <c r="J1504" i="9"/>
  <c r="K1504" i="9"/>
  <c r="K1505" i="9" s="1"/>
  <c r="L1504" i="9"/>
  <c r="L1505" i="9" s="1"/>
  <c r="H1504" i="9"/>
  <c r="I1504" i="9"/>
  <c r="H1508" i="9"/>
  <c r="J1508" i="9"/>
  <c r="K1508" i="9"/>
  <c r="K1509" i="9" s="1"/>
  <c r="L1508" i="9"/>
  <c r="L1509" i="9" s="1"/>
  <c r="I1508" i="9"/>
  <c r="J1512" i="9"/>
  <c r="L1512" i="9"/>
  <c r="L1513" i="9" s="1"/>
  <c r="K1512" i="9"/>
  <c r="K1513" i="9" s="1"/>
  <c r="H1512" i="9"/>
  <c r="I1512" i="9"/>
  <c r="H1519" i="9"/>
  <c r="J1519" i="9"/>
  <c r="K1519" i="9"/>
  <c r="L1519" i="9"/>
  <c r="I1519" i="9"/>
  <c r="I1520" i="9"/>
  <c r="J1520" i="9"/>
  <c r="K1520" i="9"/>
  <c r="L1520" i="9"/>
  <c r="H1520" i="9"/>
  <c r="I1521" i="9"/>
  <c r="J1521" i="9"/>
  <c r="L1521" i="9"/>
  <c r="K1521" i="9"/>
  <c r="H1521" i="9"/>
  <c r="L1522" i="9"/>
  <c r="H1522" i="9"/>
  <c r="J1522" i="9"/>
  <c r="I1522" i="9"/>
  <c r="K1522" i="9"/>
  <c r="J1523" i="9"/>
  <c r="K1523" i="9"/>
  <c r="H1523" i="9"/>
  <c r="L1523" i="9"/>
  <c r="I1523" i="9"/>
  <c r="J1527" i="9"/>
  <c r="I1527" i="9"/>
  <c r="L1527" i="9"/>
  <c r="K1527" i="9"/>
  <c r="H1527" i="9"/>
  <c r="I1528" i="9"/>
  <c r="H1528" i="9"/>
  <c r="J1528" i="9"/>
  <c r="L1528" i="9"/>
  <c r="K1528" i="9"/>
  <c r="H1529" i="9"/>
  <c r="I1529" i="9"/>
  <c r="J1529" i="9"/>
  <c r="K1529" i="9"/>
  <c r="L1529" i="9"/>
  <c r="J1530" i="9"/>
  <c r="H1530" i="9"/>
  <c r="I1530" i="9"/>
  <c r="K1530" i="9"/>
  <c r="L1530" i="9"/>
  <c r="K1531" i="9"/>
  <c r="L1531" i="9"/>
  <c r="I1531" i="9"/>
  <c r="H1531" i="9"/>
  <c r="J1531" i="9"/>
  <c r="I1532" i="9"/>
  <c r="J1532" i="9"/>
  <c r="K1532" i="9"/>
  <c r="L1532" i="9"/>
  <c r="H1532" i="9"/>
  <c r="K1533" i="9"/>
  <c r="H1533" i="9"/>
  <c r="L1533" i="9"/>
  <c r="J1533" i="9"/>
  <c r="I1533" i="9"/>
  <c r="J1537" i="9"/>
  <c r="L1537" i="9"/>
  <c r="K1537" i="9"/>
  <c r="I1537" i="9"/>
  <c r="H1537" i="9"/>
  <c r="H1538" i="9"/>
  <c r="I1538" i="9"/>
  <c r="L1538" i="9"/>
  <c r="K1538" i="9"/>
  <c r="J1538" i="9"/>
  <c r="L1539" i="9"/>
  <c r="I1539" i="9"/>
  <c r="K1539" i="9"/>
  <c r="J1539" i="9"/>
  <c r="H1539" i="9"/>
  <c r="H1540" i="9"/>
  <c r="L1540" i="9"/>
  <c r="I1540" i="9"/>
  <c r="J1540" i="9"/>
  <c r="K1540" i="9"/>
  <c r="L1541" i="9"/>
  <c r="J1541" i="9"/>
  <c r="H1541" i="9"/>
  <c r="K1541" i="9"/>
  <c r="I1541" i="9"/>
  <c r="K1542" i="9"/>
  <c r="I1542" i="9"/>
  <c r="L1542" i="9"/>
  <c r="J1542" i="9"/>
  <c r="H1542" i="9"/>
  <c r="J1543" i="9"/>
  <c r="K1543" i="9"/>
  <c r="L1543" i="9"/>
  <c r="I1543" i="9"/>
  <c r="H1543" i="9"/>
  <c r="J1544" i="9"/>
  <c r="K1544" i="9"/>
  <c r="L1544" i="9"/>
  <c r="H1544" i="9"/>
  <c r="I1544" i="9"/>
  <c r="H1545" i="9"/>
  <c r="K1545" i="9"/>
  <c r="I1545" i="9"/>
  <c r="J1545" i="9"/>
  <c r="L1545" i="9"/>
  <c r="K1549" i="9"/>
  <c r="J1549" i="9"/>
  <c r="H1549" i="9"/>
  <c r="L1549" i="9"/>
  <c r="I1549" i="9"/>
  <c r="J1550" i="9"/>
  <c r="L1550" i="9"/>
  <c r="K1550" i="9"/>
  <c r="I1550" i="9"/>
  <c r="H1550" i="9"/>
  <c r="H1551" i="9"/>
  <c r="I1551" i="9"/>
  <c r="J1551" i="9"/>
  <c r="K1551" i="9"/>
  <c r="L1551" i="9"/>
  <c r="H1552" i="9"/>
  <c r="K1552" i="9"/>
  <c r="J1552" i="9"/>
  <c r="L1552" i="9"/>
  <c r="I1552" i="9"/>
  <c r="I1553" i="9"/>
  <c r="L1553" i="9"/>
  <c r="J1553" i="9"/>
  <c r="K1553" i="9"/>
  <c r="H1553" i="9"/>
  <c r="J1554" i="9"/>
  <c r="H1554" i="9"/>
  <c r="L1554" i="9"/>
  <c r="K1554" i="9"/>
  <c r="I1554" i="9"/>
  <c r="J1555" i="9"/>
  <c r="H1555" i="9"/>
  <c r="L1555" i="9"/>
  <c r="I1555" i="9"/>
  <c r="K1555" i="9"/>
  <c r="H1556" i="9"/>
  <c r="I1556" i="9"/>
  <c r="J1556" i="9"/>
  <c r="K1556" i="9"/>
  <c r="L1556" i="9"/>
  <c r="I1557" i="9"/>
  <c r="L1557" i="9"/>
  <c r="J1557" i="9"/>
  <c r="H1557" i="9"/>
  <c r="K1557" i="9"/>
  <c r="I1561" i="9"/>
  <c r="J1561" i="9"/>
  <c r="L1561" i="9"/>
  <c r="H1561" i="9"/>
  <c r="K1561" i="9"/>
  <c r="J1562" i="9"/>
  <c r="I1562" i="9"/>
  <c r="L1562" i="9"/>
  <c r="K1562" i="9"/>
  <c r="H1562" i="9"/>
  <c r="K1563" i="9"/>
  <c r="L1563" i="9"/>
  <c r="I1563" i="9"/>
  <c r="H1563" i="9"/>
  <c r="J1563" i="9"/>
  <c r="L1564" i="9"/>
  <c r="H1564" i="9"/>
  <c r="J1564" i="9"/>
  <c r="I1564" i="9"/>
  <c r="K1564" i="9"/>
  <c r="I1565" i="9"/>
  <c r="K1565" i="9"/>
  <c r="L1565" i="9"/>
  <c r="H1565" i="9"/>
  <c r="J1565" i="9"/>
  <c r="L1566" i="9"/>
  <c r="H1566" i="9"/>
  <c r="I1566" i="9"/>
  <c r="J1566" i="9"/>
  <c r="K1566" i="9"/>
  <c r="L1570" i="9"/>
  <c r="K1570" i="9"/>
  <c r="H1570" i="9"/>
  <c r="I1570" i="9"/>
  <c r="J1570" i="9"/>
  <c r="H1571" i="9"/>
  <c r="J1571" i="9"/>
  <c r="L1571" i="9"/>
  <c r="I1571" i="9"/>
  <c r="K1571" i="9"/>
  <c r="L1572" i="9"/>
  <c r="H1572" i="9"/>
  <c r="I1572" i="9"/>
  <c r="J1572" i="9"/>
  <c r="K1572" i="9"/>
  <c r="J1573" i="9"/>
  <c r="K1573" i="9"/>
  <c r="I1573" i="9"/>
  <c r="H1573" i="9"/>
  <c r="L1573" i="9"/>
  <c r="H1574" i="9"/>
  <c r="I1574" i="9"/>
  <c r="J1574" i="9"/>
  <c r="K1574" i="9"/>
  <c r="L1574" i="9"/>
  <c r="H1575" i="9"/>
  <c r="I1575" i="9"/>
  <c r="J1575" i="9"/>
  <c r="K1575" i="9"/>
  <c r="L1575" i="9"/>
  <c r="L1576" i="9"/>
  <c r="K1576" i="9"/>
  <c r="J1576" i="9"/>
  <c r="I1576" i="9"/>
  <c r="H1576" i="9"/>
  <c r="L1577" i="9"/>
  <c r="H1577" i="9"/>
  <c r="I1577" i="9"/>
  <c r="J1577" i="9"/>
  <c r="K1577" i="9"/>
  <c r="J1581" i="9"/>
  <c r="K1581" i="9"/>
  <c r="H1581" i="9"/>
  <c r="I1581" i="9"/>
  <c r="L1581" i="9"/>
  <c r="L1582" i="9"/>
  <c r="H1582" i="9"/>
  <c r="J1582" i="9"/>
  <c r="K1582" i="9"/>
  <c r="I1582" i="9"/>
  <c r="L1583" i="9"/>
  <c r="K1583" i="9"/>
  <c r="I1583" i="9"/>
  <c r="H1583" i="9"/>
  <c r="J1583" i="9"/>
  <c r="K1584" i="9"/>
  <c r="L1584" i="9"/>
  <c r="H1584" i="9"/>
  <c r="I1584" i="9"/>
  <c r="J1584" i="9"/>
  <c r="I1585" i="9"/>
  <c r="K1585" i="9"/>
  <c r="H1585" i="9"/>
  <c r="L1585" i="9"/>
  <c r="J1585" i="9"/>
  <c r="L1586" i="9"/>
  <c r="K1586" i="9"/>
  <c r="I1586" i="9"/>
  <c r="H1586" i="9"/>
  <c r="J1586" i="9"/>
  <c r="L1587" i="9"/>
  <c r="K1587" i="9"/>
  <c r="H1587" i="9"/>
  <c r="J1587" i="9"/>
  <c r="I1587" i="9"/>
  <c r="L1588" i="9"/>
  <c r="H1588" i="9"/>
  <c r="K1588" i="9"/>
  <c r="K1589" i="9" s="1"/>
  <c r="I1588" i="9"/>
  <c r="J1588" i="9"/>
  <c r="H1592" i="9"/>
  <c r="I1592" i="9"/>
  <c r="L1592" i="9"/>
  <c r="J1592" i="9"/>
  <c r="K1592" i="9"/>
  <c r="I1593" i="9"/>
  <c r="K1593" i="9"/>
  <c r="L1593" i="9"/>
  <c r="H1593" i="9"/>
  <c r="J1593" i="9"/>
  <c r="H1594" i="9"/>
  <c r="L1594" i="9"/>
  <c r="J1594" i="9"/>
  <c r="I1594" i="9"/>
  <c r="K1594" i="9"/>
  <c r="J1595" i="9"/>
  <c r="I1595" i="9"/>
  <c r="L1595" i="9"/>
  <c r="H1595" i="9"/>
  <c r="K1595" i="9"/>
  <c r="H1596" i="9"/>
  <c r="I1596" i="9"/>
  <c r="J1596" i="9"/>
  <c r="K1596" i="9"/>
  <c r="L1596" i="9"/>
  <c r="K1597" i="9"/>
  <c r="H1597" i="9"/>
  <c r="J1597" i="9"/>
  <c r="I1597" i="9"/>
  <c r="L1597" i="9"/>
  <c r="L1598" i="9"/>
  <c r="J1598" i="9"/>
  <c r="K1598" i="9"/>
  <c r="I1598" i="9"/>
  <c r="H1598" i="9"/>
  <c r="J1599" i="9"/>
  <c r="K1599" i="9"/>
  <c r="L1599" i="9"/>
  <c r="H1599" i="9"/>
  <c r="I1599" i="9"/>
  <c r="H1603" i="9"/>
  <c r="K1603" i="9"/>
  <c r="L1603" i="9"/>
  <c r="I1603" i="9"/>
  <c r="J1603" i="9"/>
  <c r="J1604" i="9"/>
  <c r="K1604" i="9"/>
  <c r="L1604" i="9"/>
  <c r="H1604" i="9"/>
  <c r="I1604" i="9"/>
  <c r="H1605" i="9"/>
  <c r="J1605" i="9"/>
  <c r="L1605" i="9"/>
  <c r="K1605" i="9"/>
  <c r="I1605" i="9"/>
  <c r="H1606" i="9"/>
  <c r="L1606" i="9"/>
  <c r="I1606" i="9"/>
  <c r="J1606" i="9"/>
  <c r="K1606" i="9"/>
  <c r="I1607" i="9"/>
  <c r="H1607" i="9"/>
  <c r="L1607" i="9"/>
  <c r="J1607" i="9"/>
  <c r="K1607" i="9"/>
  <c r="H1608" i="9"/>
  <c r="K1608" i="9"/>
  <c r="I1608" i="9"/>
  <c r="L1608" i="9"/>
  <c r="J1608" i="9"/>
  <c r="J1609" i="9"/>
  <c r="K1609" i="9"/>
  <c r="L1609" i="9"/>
  <c r="H1609" i="9"/>
  <c r="I1609" i="9"/>
  <c r="H1610" i="9"/>
  <c r="I1610" i="9"/>
  <c r="K1610" i="9"/>
  <c r="J1610" i="9"/>
  <c r="L1610" i="9"/>
  <c r="I1611" i="9"/>
  <c r="H1611" i="9"/>
  <c r="J1611" i="9"/>
  <c r="K1611" i="9"/>
  <c r="L1611" i="9"/>
  <c r="I1615" i="9"/>
  <c r="H1615" i="9"/>
  <c r="J1615" i="9"/>
  <c r="K1615" i="9"/>
  <c r="L1615" i="9"/>
  <c r="H1616" i="9"/>
  <c r="K1616" i="9"/>
  <c r="L1616" i="9"/>
  <c r="I1616" i="9"/>
  <c r="J1616" i="9"/>
  <c r="L1617" i="9"/>
  <c r="I1617" i="9"/>
  <c r="J1617" i="9"/>
  <c r="H1617" i="9"/>
  <c r="K1617" i="9"/>
  <c r="I1618" i="9"/>
  <c r="L1618" i="9"/>
  <c r="K1618" i="9"/>
  <c r="H1618" i="9"/>
  <c r="J1618" i="9"/>
  <c r="J1619" i="9"/>
  <c r="L1619" i="9"/>
  <c r="H1619" i="9"/>
  <c r="I1619" i="9"/>
  <c r="K1619" i="9"/>
  <c r="H1620" i="9"/>
  <c r="J1620" i="9"/>
  <c r="I1620" i="9"/>
  <c r="K1620" i="9"/>
  <c r="L1620" i="9"/>
  <c r="L1621" i="9"/>
  <c r="H1621" i="9"/>
  <c r="J1621" i="9"/>
  <c r="K1621" i="9"/>
  <c r="I1621" i="9"/>
  <c r="H1622" i="9"/>
  <c r="K1622" i="9"/>
  <c r="L1622" i="9"/>
  <c r="I1622" i="9"/>
  <c r="J1622" i="9"/>
  <c r="K1626" i="9"/>
  <c r="I1626" i="9"/>
  <c r="H1626" i="9"/>
  <c r="L1626" i="9"/>
  <c r="J1626" i="9"/>
  <c r="H1627" i="9"/>
  <c r="L1627" i="9"/>
  <c r="J1627" i="9"/>
  <c r="K1627" i="9"/>
  <c r="K1629" i="9" s="1"/>
  <c r="I1627" i="9"/>
  <c r="J1632" i="9"/>
  <c r="I1632" i="9"/>
  <c r="H1632" i="9"/>
  <c r="K1632" i="9"/>
  <c r="K1633" i="9" s="1"/>
  <c r="L1632" i="9"/>
  <c r="L1633" i="9" s="1"/>
  <c r="K1635" i="9"/>
  <c r="K1636" i="9" s="1"/>
  <c r="L1635" i="9"/>
  <c r="L1636" i="9" s="1"/>
  <c r="J1635" i="9"/>
  <c r="H1635" i="9"/>
  <c r="I1635" i="9"/>
  <c r="I1640" i="9"/>
  <c r="L1640" i="9"/>
  <c r="J1640" i="9"/>
  <c r="K1640" i="9"/>
  <c r="H1640" i="9"/>
  <c r="L1641" i="9"/>
  <c r="K1641" i="9"/>
  <c r="I1641" i="9"/>
  <c r="H1641" i="9"/>
  <c r="J1641" i="9"/>
  <c r="I1642" i="9"/>
  <c r="H1642" i="9"/>
  <c r="L1642" i="9"/>
  <c r="K1642" i="9"/>
  <c r="J1642" i="9"/>
  <c r="H1649" i="9"/>
  <c r="L1649" i="9"/>
  <c r="L1650" i="9" s="1"/>
  <c r="K1649" i="9"/>
  <c r="K1650" i="9" s="1"/>
  <c r="J1649" i="9"/>
  <c r="I1649" i="9"/>
  <c r="I1652" i="9"/>
  <c r="K1652" i="9"/>
  <c r="K1653" i="9" s="1"/>
  <c r="J1652" i="9"/>
  <c r="H1652" i="9"/>
  <c r="L1652" i="9"/>
  <c r="L1653" i="9" s="1"/>
  <c r="L1656" i="9"/>
  <c r="H1656" i="9"/>
  <c r="K1656" i="9"/>
  <c r="J1656" i="9"/>
  <c r="I1656" i="9"/>
  <c r="J1657" i="9"/>
  <c r="K1657" i="9"/>
  <c r="L1657" i="9"/>
  <c r="H1657" i="9"/>
  <c r="I1657" i="9"/>
  <c r="I1658" i="9"/>
  <c r="H1658" i="9"/>
  <c r="J1658" i="9"/>
  <c r="L1658" i="9"/>
  <c r="K1658" i="9"/>
  <c r="J1659" i="9"/>
  <c r="H1659" i="9"/>
  <c r="K1659" i="9"/>
  <c r="L1659" i="9"/>
  <c r="I1659" i="9"/>
  <c r="L1660" i="9"/>
  <c r="H1660" i="9"/>
  <c r="I1660" i="9"/>
  <c r="J1660" i="9"/>
  <c r="K1660" i="9"/>
  <c r="L1661" i="9"/>
  <c r="I1661" i="9"/>
  <c r="J1661" i="9"/>
  <c r="H1661" i="9"/>
  <c r="K1661" i="9"/>
  <c r="I1665" i="9"/>
  <c r="H1665" i="9"/>
  <c r="J1665" i="9"/>
  <c r="K1665" i="9"/>
  <c r="L1665" i="9"/>
  <c r="L1666" i="9"/>
  <c r="I1666" i="9"/>
  <c r="H1666" i="9"/>
  <c r="J1666" i="9"/>
  <c r="K1666" i="9"/>
  <c r="J1667" i="9"/>
  <c r="H1667" i="9"/>
  <c r="I1667" i="9"/>
  <c r="K1667" i="9"/>
  <c r="L1667" i="9"/>
  <c r="L1668" i="9"/>
  <c r="J1668" i="9"/>
  <c r="K1668" i="9"/>
  <c r="H1668" i="9"/>
  <c r="I1668" i="9"/>
  <c r="J1669" i="9"/>
  <c r="L1669" i="9"/>
  <c r="L1670" i="9" s="1"/>
  <c r="I1669" i="9"/>
  <c r="K1669" i="9"/>
  <c r="H1669" i="9"/>
  <c r="K1675" i="9"/>
  <c r="L1675" i="9"/>
  <c r="J1675" i="9"/>
  <c r="I1675" i="9"/>
  <c r="H1675" i="9"/>
  <c r="L1676" i="9"/>
  <c r="I1676" i="9"/>
  <c r="J1676" i="9"/>
  <c r="K1676" i="9"/>
  <c r="H1676" i="9"/>
  <c r="K1677" i="9"/>
  <c r="L1677" i="9"/>
  <c r="H1677" i="9"/>
  <c r="I1677" i="9"/>
  <c r="J1677" i="9"/>
  <c r="K1680" i="9"/>
  <c r="L1680" i="9"/>
  <c r="H1680" i="9"/>
  <c r="I1680" i="9"/>
  <c r="J1680" i="9"/>
  <c r="H1681" i="9"/>
  <c r="J1681" i="9"/>
  <c r="I1681" i="9"/>
  <c r="K1681" i="9"/>
  <c r="L1681" i="9"/>
  <c r="I1682" i="9"/>
  <c r="K1682" i="9"/>
  <c r="H1682" i="9"/>
  <c r="J1682" i="9"/>
  <c r="L1682" i="9"/>
  <c r="J1683" i="9"/>
  <c r="L1683" i="9"/>
  <c r="I1683" i="9"/>
  <c r="H1683" i="9"/>
  <c r="K1683" i="9"/>
  <c r="L1684" i="9"/>
  <c r="I1684" i="9"/>
  <c r="K1684" i="9"/>
  <c r="H1684" i="9"/>
  <c r="J1684" i="9"/>
  <c r="J1685" i="9"/>
  <c r="H1685" i="9"/>
  <c r="K1685" i="9"/>
  <c r="L1685" i="9"/>
  <c r="I1685" i="9"/>
  <c r="J1689" i="9"/>
  <c r="K1689" i="9"/>
  <c r="L1689" i="9"/>
  <c r="H1689" i="9"/>
  <c r="I1689" i="9"/>
  <c r="H1690" i="9"/>
  <c r="J1690" i="9"/>
  <c r="I1690" i="9"/>
  <c r="K1690" i="9"/>
  <c r="L1690" i="9"/>
  <c r="J1691" i="9"/>
  <c r="I1691" i="9"/>
  <c r="H1691" i="9"/>
  <c r="L1691" i="9"/>
  <c r="K1691" i="9"/>
  <c r="H1692" i="9"/>
  <c r="K1692" i="9"/>
  <c r="L1692" i="9"/>
  <c r="I1692" i="9"/>
  <c r="J1692" i="9"/>
  <c r="L1693" i="9"/>
  <c r="I1693" i="9"/>
  <c r="H1693" i="9"/>
  <c r="K1693" i="9"/>
  <c r="J1693" i="9"/>
  <c r="K1694" i="9"/>
  <c r="J1694" i="9"/>
  <c r="I1694" i="9"/>
  <c r="H1694" i="9"/>
  <c r="L1694" i="9"/>
  <c r="I1695" i="9"/>
  <c r="J1695" i="9"/>
  <c r="K1695" i="9"/>
  <c r="H1695" i="9"/>
  <c r="L1695" i="9"/>
  <c r="L1702" i="9"/>
  <c r="J1702" i="9"/>
  <c r="K1702" i="9"/>
  <c r="H1702" i="9"/>
  <c r="I1702" i="9"/>
  <c r="K1703" i="9"/>
  <c r="J1703" i="9"/>
  <c r="H1703" i="9"/>
  <c r="I1703" i="9"/>
  <c r="L1703" i="9"/>
  <c r="H1704" i="9"/>
  <c r="K1704" i="9"/>
  <c r="L1704" i="9"/>
  <c r="J1704" i="9"/>
  <c r="I1704" i="9"/>
  <c r="K1705" i="9"/>
  <c r="K1706" i="9" s="1"/>
  <c r="L1705" i="9"/>
  <c r="H1705" i="9"/>
  <c r="J1705" i="9"/>
  <c r="I1705" i="9"/>
  <c r="I1714" i="9"/>
  <c r="J1714" i="9"/>
  <c r="K1714" i="9"/>
  <c r="H1714" i="9"/>
  <c r="L1714" i="9"/>
  <c r="H1715" i="9"/>
  <c r="I1715" i="9"/>
  <c r="J1715" i="9"/>
  <c r="L1715" i="9"/>
  <c r="K1715" i="9"/>
  <c r="J1716" i="9"/>
  <c r="K1716" i="9"/>
  <c r="L1716" i="9"/>
  <c r="I1716" i="9"/>
  <c r="H1716" i="9"/>
  <c r="J1717" i="9"/>
  <c r="K1717" i="9"/>
  <c r="L1717" i="9"/>
  <c r="H1717" i="9"/>
  <c r="I1717" i="9"/>
  <c r="J1718" i="9"/>
  <c r="K1718" i="9"/>
  <c r="L1718" i="9"/>
  <c r="H1718" i="9"/>
  <c r="I1718" i="9"/>
  <c r="H1719" i="9"/>
  <c r="K1719" i="9"/>
  <c r="L1719" i="9"/>
  <c r="J1719" i="9"/>
  <c r="I1719" i="9"/>
  <c r="J1723" i="9"/>
  <c r="K1723" i="9"/>
  <c r="H1723" i="9"/>
  <c r="I1723" i="9"/>
  <c r="L1723" i="9"/>
  <c r="K1724" i="9"/>
  <c r="H1724" i="9"/>
  <c r="I1724" i="9"/>
  <c r="J1724" i="9"/>
  <c r="L1724" i="9"/>
  <c r="K1725" i="9"/>
  <c r="K1726" i="9" s="1"/>
  <c r="H1725" i="9"/>
  <c r="I1725" i="9"/>
  <c r="L1725" i="9"/>
  <c r="L1726" i="9" s="1"/>
  <c r="J1725" i="9"/>
  <c r="I1729" i="9"/>
  <c r="L1729" i="9"/>
  <c r="H1729" i="9"/>
  <c r="K1729" i="9"/>
  <c r="J1729" i="9"/>
  <c r="J1730" i="9"/>
  <c r="K1730" i="9"/>
  <c r="L1730" i="9"/>
  <c r="I1730" i="9"/>
  <c r="H1730" i="9"/>
  <c r="H1731" i="9"/>
  <c r="K1731" i="9"/>
  <c r="K1732" i="9" s="1"/>
  <c r="K36" i="9" s="1"/>
  <c r="L1731" i="9"/>
  <c r="J1731" i="9"/>
  <c r="I1731" i="9"/>
  <c r="L1734" i="9"/>
  <c r="H1734" i="9"/>
  <c r="I1734" i="9"/>
  <c r="K1734" i="9"/>
  <c r="J1734" i="9"/>
  <c r="L1738" i="9"/>
  <c r="H1738" i="9"/>
  <c r="I1738" i="9"/>
  <c r="J1738" i="9"/>
  <c r="K1738" i="9"/>
  <c r="L1739" i="9"/>
  <c r="L1740" i="9" s="1"/>
  <c r="H1739" i="9"/>
  <c r="I1739" i="9"/>
  <c r="K1739" i="9"/>
  <c r="J1739" i="9"/>
  <c r="K1743" i="9"/>
  <c r="H1743" i="9"/>
  <c r="L1743" i="9"/>
  <c r="J1743" i="9"/>
  <c r="I1743" i="9"/>
  <c r="L1744" i="9"/>
  <c r="K1744" i="9"/>
  <c r="H1744" i="9"/>
  <c r="I1744" i="9"/>
  <c r="J1744" i="9"/>
  <c r="J1745" i="9"/>
  <c r="L1745" i="9"/>
  <c r="I1745" i="9"/>
  <c r="K1745" i="9"/>
  <c r="H1745" i="9"/>
  <c r="H1746" i="9"/>
  <c r="L1746" i="9"/>
  <c r="I1746" i="9"/>
  <c r="K1746" i="9"/>
  <c r="J1746" i="9"/>
  <c r="J1750" i="9"/>
  <c r="L1750" i="9"/>
  <c r="I1750" i="9"/>
  <c r="K1750" i="9"/>
  <c r="H1750" i="9"/>
  <c r="K1751" i="9"/>
  <c r="I1751" i="9"/>
  <c r="J1751" i="9"/>
  <c r="L1751" i="9"/>
  <c r="H1751" i="9"/>
  <c r="K1752" i="9"/>
  <c r="L1752" i="9"/>
  <c r="H1752" i="9"/>
  <c r="J1752" i="9"/>
  <c r="I1752" i="9"/>
  <c r="K1753" i="9"/>
  <c r="H1753" i="9"/>
  <c r="J1753" i="9"/>
  <c r="L1753" i="9"/>
  <c r="I1753" i="9"/>
  <c r="I1754" i="9"/>
  <c r="K1754" i="9"/>
  <c r="J1754" i="9"/>
  <c r="L1754" i="9"/>
  <c r="H1754" i="9"/>
  <c r="I1760" i="9"/>
  <c r="J1760" i="9"/>
  <c r="H1760" i="9"/>
  <c r="L1760" i="9"/>
  <c r="K1760" i="9"/>
  <c r="H1761" i="9"/>
  <c r="L1761" i="9"/>
  <c r="J1761" i="9"/>
  <c r="K1761" i="9"/>
  <c r="I1761" i="9"/>
  <c r="I1762" i="9"/>
  <c r="H1762" i="9"/>
  <c r="J1762" i="9"/>
  <c r="K1762" i="9"/>
  <c r="L1762" i="9"/>
  <c r="L1766" i="9"/>
  <c r="L1767" i="9" s="1"/>
  <c r="J1766" i="9"/>
  <c r="H1766" i="9"/>
  <c r="I1766" i="9"/>
  <c r="K1766" i="9"/>
  <c r="K1767" i="9" s="1"/>
  <c r="K1770" i="9"/>
  <c r="K1771" i="9" s="1"/>
  <c r="J1770" i="9"/>
  <c r="I1770" i="9"/>
  <c r="H1770" i="9"/>
  <c r="L1770" i="9"/>
  <c r="L1771" i="9" s="1"/>
  <c r="I1774" i="9"/>
  <c r="J1774" i="9"/>
  <c r="H1774" i="9"/>
  <c r="L1774" i="9"/>
  <c r="L1775" i="9" s="1"/>
  <c r="K1774" i="9"/>
  <c r="K1775" i="9" s="1"/>
  <c r="J1778" i="9"/>
  <c r="I1778" i="9"/>
  <c r="H1778" i="9"/>
  <c r="K1778" i="9"/>
  <c r="K1779" i="9" s="1"/>
  <c r="L1778" i="9"/>
  <c r="L1779" i="9" s="1"/>
  <c r="I1784" i="9"/>
  <c r="K1784" i="9"/>
  <c r="L1784" i="9"/>
  <c r="H1784" i="9"/>
  <c r="J1784" i="9"/>
  <c r="H1785" i="9"/>
  <c r="I1785" i="9"/>
  <c r="J1785" i="9"/>
  <c r="L1785" i="9"/>
  <c r="K1785" i="9"/>
  <c r="H1786" i="9"/>
  <c r="J1786" i="9"/>
  <c r="K1786" i="9"/>
  <c r="L1786" i="9"/>
  <c r="I1786" i="9"/>
  <c r="J1787" i="9"/>
  <c r="I1787" i="9"/>
  <c r="L1787" i="9"/>
  <c r="K1787" i="9"/>
  <c r="H1787" i="9"/>
  <c r="K1788" i="9"/>
  <c r="J1788" i="9"/>
  <c r="H1788" i="9"/>
  <c r="I1788" i="9"/>
  <c r="L1788" i="9"/>
  <c r="J1789" i="9"/>
  <c r="K1789" i="9"/>
  <c r="L1789" i="9"/>
  <c r="H1789" i="9"/>
  <c r="I1789" i="9"/>
  <c r="I1790" i="9"/>
  <c r="L1790" i="9"/>
  <c r="H1790" i="9"/>
  <c r="J1790" i="9"/>
  <c r="K1790" i="9"/>
  <c r="K1791" i="9"/>
  <c r="L1791" i="9"/>
  <c r="I1791" i="9"/>
  <c r="J1791" i="9"/>
  <c r="H1791" i="9"/>
  <c r="L1792" i="9"/>
  <c r="H1792" i="9"/>
  <c r="I1792" i="9"/>
  <c r="J1792" i="9"/>
  <c r="K1792" i="9"/>
  <c r="L1793" i="9"/>
  <c r="I1793" i="9"/>
  <c r="K1793" i="9"/>
  <c r="H1793" i="9"/>
  <c r="J1793" i="9"/>
  <c r="K1794" i="9"/>
  <c r="L1794" i="9"/>
  <c r="H1794" i="9"/>
  <c r="J1794" i="9"/>
  <c r="I1794" i="9"/>
  <c r="H1795" i="9"/>
  <c r="J1795" i="9"/>
  <c r="I1795" i="9"/>
  <c r="K1795" i="9"/>
  <c r="L1795" i="9"/>
  <c r="I1796" i="9"/>
  <c r="L1796" i="9"/>
  <c r="K1796" i="9"/>
  <c r="J1796" i="9"/>
  <c r="H1796" i="9"/>
  <c r="I1800" i="9"/>
  <c r="J1800" i="9"/>
  <c r="L1800" i="9"/>
  <c r="L1802" i="9" s="1"/>
  <c r="H1800" i="9"/>
  <c r="K1800" i="9"/>
  <c r="K1802" i="9" s="1"/>
  <c r="H1805" i="9"/>
  <c r="L1805" i="9"/>
  <c r="L1807" i="9" s="1"/>
  <c r="J1805" i="9"/>
  <c r="I1805" i="9"/>
  <c r="K1805" i="9"/>
  <c r="K1807" i="9" s="1"/>
  <c r="J1812" i="9"/>
  <c r="H1812" i="9"/>
  <c r="K1812" i="9"/>
  <c r="I1812" i="9"/>
  <c r="L1812" i="9"/>
  <c r="L1813" i="9"/>
  <c r="J1813" i="9"/>
  <c r="K1813" i="9"/>
  <c r="I1813" i="9"/>
  <c r="H1813" i="9"/>
  <c r="L1814" i="9"/>
  <c r="K1814" i="9"/>
  <c r="H1814" i="9"/>
  <c r="I1814" i="9"/>
  <c r="J1814" i="9"/>
  <c r="J1815" i="9"/>
  <c r="I1815" i="9"/>
  <c r="K1815" i="9"/>
  <c r="L1815" i="9"/>
  <c r="H1815" i="9"/>
  <c r="K1816" i="9"/>
  <c r="I1816" i="9"/>
  <c r="L1816" i="9"/>
  <c r="H1816" i="9"/>
  <c r="J1816" i="9"/>
  <c r="J1820" i="9"/>
  <c r="K1820" i="9"/>
  <c r="I1820" i="9"/>
  <c r="L1820" i="9"/>
  <c r="H1820" i="9"/>
  <c r="J1821" i="9"/>
  <c r="I1821" i="9"/>
  <c r="K1821" i="9"/>
  <c r="H1821" i="9"/>
  <c r="L1821" i="9"/>
  <c r="H1822" i="9"/>
  <c r="K1822" i="9"/>
  <c r="L1822" i="9"/>
  <c r="J1822" i="9"/>
  <c r="I1822" i="9"/>
  <c r="L1823" i="9"/>
  <c r="H1823" i="9"/>
  <c r="K1823" i="9"/>
  <c r="I1823" i="9"/>
  <c r="J1823" i="9"/>
  <c r="J1824" i="9"/>
  <c r="K1824" i="9"/>
  <c r="I1824" i="9"/>
  <c r="H1824" i="9"/>
  <c r="L1824" i="9"/>
  <c r="K1825" i="9"/>
  <c r="L1825" i="9"/>
  <c r="H1825" i="9"/>
  <c r="J1825" i="9"/>
  <c r="I1825" i="9"/>
  <c r="I1826" i="9"/>
  <c r="L1826" i="9"/>
  <c r="H1826" i="9"/>
  <c r="K1826" i="9"/>
  <c r="K1827" i="9" s="1"/>
  <c r="J1826" i="9"/>
  <c r="K1830" i="9"/>
  <c r="H1830" i="9"/>
  <c r="I1830" i="9"/>
  <c r="J1830" i="9"/>
  <c r="L1830" i="9"/>
  <c r="H1831" i="9"/>
  <c r="I1831" i="9"/>
  <c r="L1831" i="9"/>
  <c r="J1831" i="9"/>
  <c r="K1831" i="9"/>
  <c r="H1832" i="9"/>
  <c r="J1832" i="9"/>
  <c r="K1832" i="9"/>
  <c r="I1832" i="9"/>
  <c r="L1832" i="9"/>
  <c r="K1833" i="9"/>
  <c r="H1833" i="9"/>
  <c r="L1833" i="9"/>
  <c r="I1833" i="9"/>
  <c r="J1833" i="9"/>
  <c r="K1834" i="9"/>
  <c r="I1834" i="9"/>
  <c r="H1834" i="9"/>
  <c r="L1834" i="9"/>
  <c r="J1834" i="9"/>
  <c r="L1835" i="9"/>
  <c r="I1835" i="9"/>
  <c r="H1835" i="9"/>
  <c r="J1835" i="9"/>
  <c r="K1835" i="9"/>
  <c r="I1836" i="9"/>
  <c r="K1836" i="9"/>
  <c r="H1836" i="9"/>
  <c r="J1836" i="9"/>
  <c r="L1836" i="9"/>
  <c r="I1837" i="9"/>
  <c r="L1837" i="9"/>
  <c r="K1837" i="9"/>
  <c r="H1837" i="9"/>
  <c r="J1837" i="9"/>
  <c r="I1848" i="9"/>
  <c r="H1848" i="9"/>
  <c r="K1848" i="9"/>
  <c r="J1848" i="9"/>
  <c r="L1848" i="9"/>
  <c r="H1849" i="9"/>
  <c r="J1849" i="9"/>
  <c r="K1849" i="9"/>
  <c r="L1849" i="9"/>
  <c r="I1849" i="9"/>
  <c r="I1850" i="9"/>
  <c r="J1850" i="9"/>
  <c r="H1850" i="9"/>
  <c r="L1850" i="9"/>
  <c r="K1850" i="9"/>
  <c r="H1851" i="9"/>
  <c r="I1851" i="9"/>
  <c r="J1851" i="9"/>
  <c r="L1851" i="9"/>
  <c r="K1851" i="9"/>
  <c r="K1852" i="9"/>
  <c r="I1852" i="9"/>
  <c r="L1852" i="9"/>
  <c r="H1852" i="9"/>
  <c r="J1852" i="9"/>
  <c r="H1853" i="9"/>
  <c r="L1853" i="9"/>
  <c r="I1853" i="9"/>
  <c r="K1853" i="9"/>
  <c r="J1853" i="9"/>
  <c r="H1854" i="9"/>
  <c r="J1854" i="9"/>
  <c r="K1854" i="9"/>
  <c r="I1854" i="9"/>
  <c r="L1854" i="9"/>
  <c r="L1855" i="9"/>
  <c r="K1855" i="9"/>
  <c r="J1855" i="9"/>
  <c r="H1855" i="9"/>
  <c r="I1855" i="9"/>
  <c r="L1856" i="9"/>
  <c r="J1856" i="9"/>
  <c r="H1856" i="9"/>
  <c r="I1856" i="9"/>
  <c r="K1856" i="9"/>
  <c r="K1863" i="9"/>
  <c r="K1865" i="9" s="1"/>
  <c r="J1863" i="9"/>
  <c r="L1863" i="9"/>
  <c r="L1865" i="9" s="1"/>
  <c r="I1863" i="9"/>
  <c r="H1863" i="9"/>
  <c r="H1868" i="9"/>
  <c r="I1868" i="9"/>
  <c r="J1868" i="9"/>
  <c r="L1868" i="9"/>
  <c r="K1868" i="9"/>
  <c r="K1869" i="9"/>
  <c r="L1869" i="9"/>
  <c r="H1869" i="9"/>
  <c r="I1869" i="9"/>
  <c r="J1869" i="9"/>
  <c r="H1870" i="9"/>
  <c r="K1870" i="9"/>
  <c r="J1870" i="9"/>
  <c r="L1870" i="9"/>
  <c r="I1870" i="9"/>
  <c r="H1874" i="9"/>
  <c r="J1874" i="9"/>
  <c r="K1874" i="9"/>
  <c r="L1874" i="9"/>
  <c r="I1874" i="9"/>
  <c r="K1875" i="9"/>
  <c r="J1875" i="9"/>
  <c r="L1875" i="9"/>
  <c r="H1875" i="9"/>
  <c r="I1875" i="9"/>
  <c r="K1879" i="9"/>
  <c r="K1881" i="9" s="1"/>
  <c r="I1879" i="9"/>
  <c r="J1879" i="9"/>
  <c r="L1879" i="9"/>
  <c r="L1881" i="9" s="1"/>
  <c r="H1879" i="9"/>
  <c r="H1889" i="9"/>
  <c r="L1889" i="9"/>
  <c r="I1889" i="9"/>
  <c r="J1889" i="9"/>
  <c r="K1889" i="9"/>
  <c r="K1893" i="9"/>
  <c r="K1894" i="9" s="1"/>
  <c r="J1893" i="9"/>
  <c r="L1893" i="9"/>
  <c r="L1894" i="9" s="1"/>
  <c r="I1893" i="9"/>
  <c r="H1893" i="9"/>
  <c r="L1897" i="9"/>
  <c r="L1898" i="9" s="1"/>
  <c r="J1897" i="9"/>
  <c r="H1897" i="9"/>
  <c r="K1897" i="9"/>
  <c r="K1898" i="9" s="1"/>
  <c r="I1897" i="9"/>
  <c r="J1901" i="9"/>
  <c r="L1901" i="9"/>
  <c r="K1901" i="9"/>
  <c r="I1901" i="9"/>
  <c r="H1901" i="9"/>
  <c r="L1902" i="9"/>
  <c r="K1902" i="9"/>
  <c r="H1902" i="9"/>
  <c r="I1902" i="9"/>
  <c r="J1902" i="9"/>
  <c r="H1907" i="9"/>
  <c r="K1907" i="9"/>
  <c r="K1908" i="9" s="1"/>
  <c r="J1907" i="9"/>
  <c r="I1907" i="9"/>
  <c r="L1907" i="9"/>
  <c r="L1908" i="9" s="1"/>
  <c r="L1911" i="9"/>
  <c r="L1912" i="9" s="1"/>
  <c r="H1911" i="9"/>
  <c r="K1911" i="9"/>
  <c r="K1912" i="9" s="1"/>
  <c r="J1911" i="9"/>
  <c r="I1911" i="9"/>
  <c r="K1915" i="9"/>
  <c r="H1915" i="9"/>
  <c r="J1915" i="9"/>
  <c r="I1915" i="9"/>
  <c r="L1915" i="9"/>
  <c r="H1916" i="9"/>
  <c r="I1916" i="9"/>
  <c r="J1916" i="9"/>
  <c r="L1916" i="9"/>
  <c r="L1917" i="9" s="1"/>
  <c r="K1916" i="9"/>
  <c r="J1919" i="9"/>
  <c r="K1919" i="9"/>
  <c r="H1919" i="9"/>
  <c r="L1919" i="9"/>
  <c r="I1919" i="9"/>
  <c r="I1920" i="9"/>
  <c r="L1920" i="9"/>
  <c r="H1920" i="9"/>
  <c r="K1920" i="9"/>
  <c r="J1920" i="9"/>
  <c r="K1924" i="9"/>
  <c r="J1924" i="9"/>
  <c r="L1924" i="9"/>
  <c r="I1924" i="9"/>
  <c r="H1924" i="9"/>
  <c r="K1925" i="9"/>
  <c r="H1925" i="9"/>
  <c r="I1925" i="9"/>
  <c r="L1925" i="9"/>
  <c r="J1925" i="9"/>
  <c r="H1926" i="9"/>
  <c r="K1926" i="9"/>
  <c r="J1926" i="9"/>
  <c r="L1926" i="9"/>
  <c r="I1926" i="9"/>
  <c r="J1927" i="9"/>
  <c r="H1927" i="9"/>
  <c r="I1927" i="9"/>
  <c r="L1927" i="9"/>
  <c r="K1927" i="9"/>
  <c r="K1928" i="9"/>
  <c r="K1929" i="9" s="1"/>
  <c r="K52" i="9" s="1"/>
  <c r="L1928" i="9"/>
  <c r="H1928" i="9"/>
  <c r="I1928" i="9"/>
  <c r="J1928" i="9"/>
  <c r="J1932" i="9"/>
  <c r="L1932" i="9"/>
  <c r="L1933" i="9" s="1"/>
  <c r="K1932" i="9"/>
  <c r="K1933" i="9" s="1"/>
  <c r="H1932" i="9"/>
  <c r="I1932" i="9"/>
  <c r="K1936" i="9"/>
  <c r="H1936" i="9"/>
  <c r="J1936" i="9"/>
  <c r="L1936" i="9"/>
  <c r="I1936" i="9"/>
  <c r="J1937" i="9"/>
  <c r="H1937" i="9"/>
  <c r="I1937" i="9"/>
  <c r="L1937" i="9"/>
  <c r="K1937" i="9"/>
  <c r="H1938" i="9"/>
  <c r="K1938" i="9"/>
  <c r="J1938" i="9"/>
  <c r="L1938" i="9"/>
  <c r="I1938" i="9"/>
  <c r="H1939" i="9"/>
  <c r="I1939" i="9"/>
  <c r="L1939" i="9"/>
  <c r="K1939" i="9"/>
  <c r="J1939" i="9"/>
  <c r="L1943" i="9"/>
  <c r="K1943" i="9"/>
  <c r="H1943" i="9"/>
  <c r="I1943" i="9"/>
  <c r="J1943" i="9"/>
  <c r="J1944" i="9"/>
  <c r="H1944" i="9"/>
  <c r="I1944" i="9"/>
  <c r="L1944" i="9"/>
  <c r="K1944" i="9"/>
  <c r="I1945" i="9"/>
  <c r="K1945" i="9"/>
  <c r="L1945" i="9"/>
  <c r="J1945" i="9"/>
  <c r="H1945" i="9"/>
  <c r="I1946" i="9"/>
  <c r="H1946" i="9"/>
  <c r="L1946" i="9"/>
  <c r="J1946" i="9"/>
  <c r="K1946" i="9"/>
  <c r="I1948" i="9"/>
  <c r="K1948" i="9"/>
  <c r="H1948" i="9"/>
  <c r="L1948" i="9"/>
  <c r="J1948" i="9"/>
  <c r="J1949" i="9"/>
  <c r="I1949" i="9"/>
  <c r="K1949" i="9"/>
  <c r="L1949" i="9"/>
  <c r="H1949" i="9"/>
  <c r="J1950" i="9"/>
  <c r="L1950" i="9"/>
  <c r="I1950" i="9"/>
  <c r="H1950" i="9"/>
  <c r="K1950" i="9"/>
  <c r="K1951" i="9"/>
  <c r="H1951" i="9"/>
  <c r="L1951" i="9"/>
  <c r="I1951" i="9"/>
  <c r="J1951" i="9"/>
  <c r="I1952" i="9"/>
  <c r="K1952" i="9"/>
  <c r="J1952" i="9"/>
  <c r="H1952" i="9"/>
  <c r="L1952" i="9"/>
  <c r="I1953" i="9"/>
  <c r="L1953" i="9"/>
  <c r="K1953" i="9"/>
  <c r="H1953" i="9"/>
  <c r="J1953" i="9"/>
  <c r="I1954" i="9"/>
  <c r="L1954" i="9"/>
  <c r="K1954" i="9"/>
  <c r="H1954" i="9"/>
  <c r="J1954" i="9"/>
  <c r="K1955" i="9"/>
  <c r="L1955" i="9"/>
  <c r="H1955" i="9"/>
  <c r="I1955" i="9"/>
  <c r="J1955" i="9"/>
  <c r="K1956" i="9"/>
  <c r="H1956" i="9"/>
  <c r="J1956" i="9"/>
  <c r="I1956" i="9"/>
  <c r="L1956" i="9"/>
  <c r="K1960" i="9"/>
  <c r="I1960" i="9"/>
  <c r="J1960" i="9"/>
  <c r="L1960" i="9"/>
  <c r="H1960" i="9"/>
  <c r="H1961" i="9"/>
  <c r="K1961" i="9"/>
  <c r="I1961" i="9"/>
  <c r="J1961" i="9"/>
  <c r="L1961" i="9"/>
  <c r="I1962" i="9"/>
  <c r="K1962" i="9"/>
  <c r="H1962" i="9"/>
  <c r="J1962" i="9"/>
  <c r="L1962" i="9"/>
  <c r="L1966" i="9"/>
  <c r="K1966" i="9"/>
  <c r="J1966" i="9"/>
  <c r="H1966" i="9"/>
  <c r="I1966" i="9"/>
  <c r="H1967" i="9"/>
  <c r="J1967" i="9"/>
  <c r="I1967" i="9"/>
  <c r="L1967" i="9"/>
  <c r="K1967" i="9"/>
  <c r="H1968" i="9"/>
  <c r="J1968" i="9"/>
  <c r="K1968" i="9"/>
  <c r="I1968" i="9"/>
  <c r="L1968" i="9"/>
  <c r="J1969" i="9"/>
  <c r="L1969" i="9"/>
  <c r="K1969" i="9"/>
  <c r="I1969" i="9"/>
  <c r="H1969" i="9"/>
  <c r="I1970" i="9"/>
  <c r="L1970" i="9"/>
  <c r="J1970" i="9"/>
  <c r="H1970" i="9"/>
  <c r="K1970" i="9"/>
  <c r="L1971" i="9"/>
  <c r="K1971" i="9"/>
  <c r="I1971" i="9"/>
  <c r="H1971" i="9"/>
  <c r="J1971" i="9"/>
  <c r="K1972" i="9"/>
  <c r="J1972" i="9"/>
  <c r="I1972" i="9"/>
  <c r="H1972" i="9"/>
  <c r="L1972" i="9"/>
  <c r="H1973" i="9"/>
  <c r="I1973" i="9"/>
  <c r="K1973" i="9"/>
  <c r="J1973" i="9"/>
  <c r="L1973" i="9"/>
  <c r="K1974" i="9"/>
  <c r="H1974" i="9"/>
  <c r="J1974" i="9"/>
  <c r="L1974" i="9"/>
  <c r="I1974" i="9"/>
  <c r="H1975" i="9"/>
  <c r="J1975" i="9"/>
  <c r="L1975" i="9"/>
  <c r="I1975" i="9"/>
  <c r="K1975" i="9"/>
  <c r="J1976" i="9"/>
  <c r="I1976" i="9"/>
  <c r="K1976" i="9"/>
  <c r="H1976" i="9"/>
  <c r="L1976" i="9"/>
  <c r="I1977" i="9"/>
  <c r="J1977" i="9"/>
  <c r="H1977" i="9"/>
  <c r="L1977" i="9"/>
  <c r="K1977" i="9"/>
  <c r="K1978" i="9"/>
  <c r="I1978" i="9"/>
  <c r="J1978" i="9"/>
  <c r="L1978" i="9"/>
  <c r="H1978" i="9"/>
  <c r="L1979" i="9"/>
  <c r="I1979" i="9"/>
  <c r="J1979" i="9"/>
  <c r="H1979" i="9"/>
  <c r="K1979" i="9"/>
  <c r="I1980" i="9"/>
  <c r="J1980" i="9"/>
  <c r="L1980" i="9"/>
  <c r="K1980" i="9"/>
  <c r="H1980" i="9"/>
  <c r="L1984" i="9"/>
  <c r="K1984" i="9"/>
  <c r="I1984" i="9"/>
  <c r="J1984" i="9"/>
  <c r="H1984" i="9"/>
  <c r="H1985" i="9"/>
  <c r="I1985" i="9"/>
  <c r="K1985" i="9"/>
  <c r="L1985" i="9"/>
  <c r="J1985" i="9"/>
  <c r="J1986" i="9"/>
  <c r="L1986" i="9"/>
  <c r="I1986" i="9"/>
  <c r="K1986" i="9"/>
  <c r="H1986" i="9"/>
  <c r="H1987" i="9"/>
  <c r="J1987" i="9"/>
  <c r="L1987" i="9"/>
  <c r="K1987" i="9"/>
  <c r="I1987" i="9"/>
  <c r="H1988" i="9"/>
  <c r="I1988" i="9"/>
  <c r="K1988" i="9"/>
  <c r="L1988" i="9"/>
  <c r="J1988" i="9"/>
  <c r="H1989" i="9"/>
  <c r="K1989" i="9"/>
  <c r="I1989" i="9"/>
  <c r="J1989" i="9"/>
  <c r="L1989" i="9"/>
  <c r="I1990" i="9"/>
  <c r="K1990" i="9"/>
  <c r="J1990" i="9"/>
  <c r="L1990" i="9"/>
  <c r="H1990" i="9"/>
  <c r="J1991" i="9"/>
  <c r="H1991" i="9"/>
  <c r="I1991" i="9"/>
  <c r="L1991" i="9"/>
  <c r="K1991" i="9"/>
  <c r="J1992" i="9"/>
  <c r="H1992" i="9"/>
  <c r="K1992" i="9"/>
  <c r="L1992" i="9"/>
  <c r="I1992" i="9"/>
  <c r="K1993" i="9"/>
  <c r="H1993" i="9"/>
  <c r="J1993" i="9"/>
  <c r="L1993" i="9"/>
  <c r="I1993" i="9"/>
  <c r="L1999" i="9"/>
  <c r="H1999" i="9"/>
  <c r="K1999" i="9"/>
  <c r="I1999" i="9"/>
  <c r="J1999" i="9"/>
  <c r="J2000" i="9"/>
  <c r="L2000" i="9"/>
  <c r="I2000" i="9"/>
  <c r="H2000" i="9"/>
  <c r="K2000" i="9"/>
  <c r="J2001" i="9"/>
  <c r="I2001" i="9"/>
  <c r="K2001" i="9"/>
  <c r="H2001" i="9"/>
  <c r="L2001" i="9"/>
  <c r="K2002" i="9"/>
  <c r="H2002" i="9"/>
  <c r="L2002" i="9"/>
  <c r="J2002" i="9"/>
  <c r="I2002" i="9"/>
  <c r="I2003" i="9"/>
  <c r="K2003" i="9"/>
  <c r="J2003" i="9"/>
  <c r="H2003" i="9"/>
  <c r="L2003" i="9"/>
  <c r="H2004" i="9"/>
  <c r="L2004" i="9"/>
  <c r="J2004" i="9"/>
  <c r="K2004" i="9"/>
  <c r="I2004" i="9"/>
  <c r="H2005" i="9"/>
  <c r="L2005" i="9"/>
  <c r="K2005" i="9"/>
  <c r="J2005" i="9"/>
  <c r="I2005" i="9"/>
  <c r="I2006" i="9"/>
  <c r="K2006" i="9"/>
  <c r="J2006" i="9"/>
  <c r="H2006" i="9"/>
  <c r="L2006" i="9"/>
  <c r="J2013" i="9"/>
  <c r="K2013" i="9"/>
  <c r="I2013" i="9"/>
  <c r="L2013" i="9"/>
  <c r="H2013" i="9"/>
  <c r="H2014" i="9"/>
  <c r="I2014" i="9"/>
  <c r="AF2014" i="9" s="1"/>
  <c r="J2014" i="9"/>
  <c r="AG2014" i="9" s="1"/>
  <c r="K2014" i="9"/>
  <c r="L2014" i="9"/>
  <c r="I2015" i="9"/>
  <c r="AF2015" i="9" s="1"/>
  <c r="J2015" i="9"/>
  <c r="AG2015" i="9" s="1"/>
  <c r="K2015" i="9"/>
  <c r="H2015" i="9"/>
  <c r="L2015" i="9"/>
  <c r="J2016" i="9"/>
  <c r="AG2016" i="9" s="1"/>
  <c r="I2016" i="9"/>
  <c r="AF2016" i="9" s="1"/>
  <c r="H2016" i="9"/>
  <c r="K2016" i="9"/>
  <c r="L2016" i="9"/>
  <c r="K2017" i="9"/>
  <c r="I2017" i="9"/>
  <c r="AF2017" i="9" s="1"/>
  <c r="J2017" i="9"/>
  <c r="AG2017" i="9" s="1"/>
  <c r="L2017" i="9"/>
  <c r="H2017" i="9"/>
  <c r="H2018" i="9"/>
  <c r="K2018" i="9"/>
  <c r="J2018" i="9"/>
  <c r="AG2018" i="9" s="1"/>
  <c r="I2018" i="9"/>
  <c r="AF2018" i="9" s="1"/>
  <c r="L2018" i="9"/>
  <c r="I2022" i="9"/>
  <c r="J2022" i="9"/>
  <c r="H2022" i="9"/>
  <c r="K2022" i="9"/>
  <c r="L2022" i="9"/>
  <c r="K2023" i="9"/>
  <c r="L2023" i="9"/>
  <c r="I2023" i="9"/>
  <c r="AF2023" i="9" s="1"/>
  <c r="J2023" i="9"/>
  <c r="AG2023" i="9" s="1"/>
  <c r="H2023" i="9"/>
  <c r="K2024" i="9"/>
  <c r="K2025" i="9" s="1"/>
  <c r="L2024" i="9"/>
  <c r="H2024" i="9"/>
  <c r="J2024" i="9"/>
  <c r="AG2024" i="9" s="1"/>
  <c r="I2024" i="9"/>
  <c r="AF2024" i="9" s="1"/>
  <c r="L2029" i="9"/>
  <c r="H2029" i="9"/>
  <c r="I2029" i="9"/>
  <c r="J2029" i="9"/>
  <c r="K2029" i="9"/>
  <c r="L2030" i="9"/>
  <c r="I2030" i="9"/>
  <c r="AF2030" i="9" s="1"/>
  <c r="K2030" i="9"/>
  <c r="J2030" i="9"/>
  <c r="AG2030" i="9" s="1"/>
  <c r="H2030" i="9"/>
  <c r="I2031" i="9"/>
  <c r="AF2031" i="9" s="1"/>
  <c r="J2031" i="9"/>
  <c r="AG2031" i="9" s="1"/>
  <c r="K2031" i="9"/>
  <c r="L2031" i="9"/>
  <c r="H2031" i="9"/>
  <c r="H2032" i="9"/>
  <c r="K2032" i="9"/>
  <c r="K2033" i="9" s="1"/>
  <c r="J2032" i="9"/>
  <c r="AG2032" i="9" s="1"/>
  <c r="I2032" i="9"/>
  <c r="AF2032" i="9" s="1"/>
  <c r="L2032" i="9"/>
  <c r="H2036" i="9"/>
  <c r="I2036" i="9"/>
  <c r="J2036" i="9"/>
  <c r="K2036" i="9"/>
  <c r="L2036" i="9"/>
  <c r="H2037" i="9"/>
  <c r="L2037" i="9"/>
  <c r="I2037" i="9"/>
  <c r="AF2037" i="9" s="1"/>
  <c r="K2037" i="9"/>
  <c r="J2037" i="9"/>
  <c r="AG2037" i="9" s="1"/>
  <c r="I2038" i="9"/>
  <c r="AF2038" i="9" s="1"/>
  <c r="H2038" i="9"/>
  <c r="K2038" i="9"/>
  <c r="L2038" i="9"/>
  <c r="J2038" i="9"/>
  <c r="AG2038" i="9" s="1"/>
  <c r="H2039" i="9"/>
  <c r="I2039" i="9"/>
  <c r="AF2039" i="9" s="1"/>
  <c r="L2039" i="9"/>
  <c r="J2039" i="9"/>
  <c r="AG2039" i="9" s="1"/>
  <c r="K2039" i="9"/>
  <c r="I2040" i="9"/>
  <c r="AF2040" i="9" s="1"/>
  <c r="J2040" i="9"/>
  <c r="AG2040" i="9" s="1"/>
  <c r="L2040" i="9"/>
  <c r="K2040" i="9"/>
  <c r="K2041" i="9" s="1"/>
  <c r="H2040" i="9"/>
  <c r="J2044" i="9"/>
  <c r="K2044" i="9"/>
  <c r="L2044" i="9"/>
  <c r="I2044" i="9"/>
  <c r="H2044" i="9"/>
  <c r="J2045" i="9"/>
  <c r="AG2045" i="9" s="1"/>
  <c r="L2045" i="9"/>
  <c r="L2046" i="9" s="1"/>
  <c r="K2045" i="9"/>
  <c r="I2045" i="9"/>
  <c r="AF2045" i="9" s="1"/>
  <c r="H2045" i="9"/>
  <c r="I2051" i="9"/>
  <c r="J2051" i="9"/>
  <c r="H2051" i="9"/>
  <c r="K2051" i="9"/>
  <c r="L2051" i="9"/>
  <c r="J2052" i="9"/>
  <c r="AG2052" i="9" s="1"/>
  <c r="H2052" i="9"/>
  <c r="L2052" i="9"/>
  <c r="I2052" i="9"/>
  <c r="K2052" i="9"/>
  <c r="J2053" i="9"/>
  <c r="AG2053" i="9" s="1"/>
  <c r="K2053" i="9"/>
  <c r="L2053" i="9"/>
  <c r="L2054" i="9" s="1"/>
  <c r="I2053" i="9"/>
  <c r="H2053" i="9"/>
  <c r="L2057" i="9"/>
  <c r="L2058" i="9" s="1"/>
  <c r="H2057" i="9"/>
  <c r="I2057" i="9"/>
  <c r="K2057" i="9"/>
  <c r="K2058" i="9" s="1"/>
  <c r="J2057" i="9"/>
  <c r="K2061" i="9"/>
  <c r="K2062" i="9" s="1"/>
  <c r="H2061" i="9"/>
  <c r="L2061" i="9"/>
  <c r="L2062" i="9" s="1"/>
  <c r="J2061" i="9"/>
  <c r="I2061" i="9"/>
  <c r="J2065" i="9"/>
  <c r="L2065" i="9"/>
  <c r="L2066" i="9" s="1"/>
  <c r="K2065" i="9"/>
  <c r="K2066" i="9" s="1"/>
  <c r="I2065" i="9"/>
  <c r="H2065" i="9"/>
  <c r="I2069" i="9"/>
  <c r="H2069" i="9"/>
  <c r="K2069" i="9"/>
  <c r="K2070" i="9" s="1"/>
  <c r="L2069" i="9"/>
  <c r="L2070" i="9" s="1"/>
  <c r="J2069" i="9"/>
  <c r="K2073" i="9"/>
  <c r="K2074" i="9" s="1"/>
  <c r="L2073" i="9"/>
  <c r="L2074" i="9" s="1"/>
  <c r="H2073" i="9"/>
  <c r="I2073" i="9"/>
  <c r="J2073" i="9"/>
  <c r="K2077" i="9"/>
  <c r="K2078" i="9" s="1"/>
  <c r="H2077" i="9"/>
  <c r="J2077" i="9"/>
  <c r="I2077" i="9"/>
  <c r="L2077" i="9"/>
  <c r="L2078" i="9" s="1"/>
  <c r="I2081" i="9"/>
  <c r="L2081" i="9"/>
  <c r="L2082" i="9" s="1"/>
  <c r="H2081" i="9"/>
  <c r="J2081" i="9"/>
  <c r="K2081" i="9"/>
  <c r="K2082" i="9" s="1"/>
  <c r="K2085" i="9"/>
  <c r="K2086" i="9" s="1"/>
  <c r="J2085" i="9"/>
  <c r="L2085" i="9"/>
  <c r="L2086" i="9" s="1"/>
  <c r="H2085" i="9"/>
  <c r="I2085" i="9"/>
  <c r="I2089" i="9"/>
  <c r="H2089" i="9"/>
  <c r="K2089" i="9"/>
  <c r="K2090" i="9" s="1"/>
  <c r="J2089" i="9"/>
  <c r="L2089" i="9"/>
  <c r="L2090" i="9" s="1"/>
  <c r="H2093" i="9"/>
  <c r="L2093" i="9"/>
  <c r="L2094" i="9" s="1"/>
  <c r="K2093" i="9"/>
  <c r="K2094" i="9" s="1"/>
  <c r="I2093" i="9"/>
  <c r="J2093" i="9"/>
  <c r="K2097" i="9"/>
  <c r="K2098" i="9" s="1"/>
  <c r="H2097" i="9"/>
  <c r="J2097" i="9"/>
  <c r="I2097" i="9"/>
  <c r="L2097" i="9"/>
  <c r="L2098" i="9" s="1"/>
  <c r="H2101" i="9"/>
  <c r="K2101" i="9"/>
  <c r="K2102" i="9" s="1"/>
  <c r="L2101" i="9"/>
  <c r="L2102" i="9" s="1"/>
  <c r="J2101" i="9"/>
  <c r="I2101" i="9"/>
  <c r="I2105" i="9"/>
  <c r="H2105" i="9"/>
  <c r="L2105" i="9"/>
  <c r="L2106" i="9" s="1"/>
  <c r="J2105" i="9"/>
  <c r="K2105" i="9"/>
  <c r="K2106" i="9" s="1"/>
  <c r="H2109" i="9"/>
  <c r="J2109" i="9"/>
  <c r="K2109" i="9"/>
  <c r="K2110" i="9" s="1"/>
  <c r="I2109" i="9"/>
  <c r="L2109" i="9"/>
  <c r="L2110" i="9" s="1"/>
  <c r="L2113" i="9"/>
  <c r="L2114" i="9" s="1"/>
  <c r="K2113" i="9"/>
  <c r="K2114" i="9" s="1"/>
  <c r="J2113" i="9"/>
  <c r="H2113" i="9"/>
  <c r="I2113" i="9"/>
  <c r="J2117" i="9"/>
  <c r="L2117" i="9"/>
  <c r="L2118" i="9" s="1"/>
  <c r="I2117" i="9"/>
  <c r="H2117" i="9"/>
  <c r="K2117" i="9"/>
  <c r="K2118" i="9" s="1"/>
  <c r="I2124" i="9"/>
  <c r="H2124" i="9"/>
  <c r="J2124" i="9"/>
  <c r="K2124" i="9"/>
  <c r="L2124" i="9"/>
  <c r="I2125" i="9"/>
  <c r="L2125" i="9"/>
  <c r="J2125" i="9"/>
  <c r="H2125" i="9"/>
  <c r="K2125" i="9"/>
  <c r="I2126" i="9"/>
  <c r="H2126" i="9"/>
  <c r="K2126" i="9"/>
  <c r="L2126" i="9"/>
  <c r="J2126" i="9"/>
  <c r="J2127" i="9"/>
  <c r="K2127" i="9"/>
  <c r="I2127" i="9"/>
  <c r="L2127" i="9"/>
  <c r="H2127" i="9"/>
  <c r="K2128" i="9"/>
  <c r="H2128" i="9"/>
  <c r="L2128" i="9"/>
  <c r="J2128" i="9"/>
  <c r="I2128" i="9"/>
  <c r="I2129" i="9"/>
  <c r="L2129" i="9"/>
  <c r="J2129" i="9"/>
  <c r="H2129" i="9"/>
  <c r="K2129" i="9"/>
  <c r="J2130" i="9"/>
  <c r="L2130" i="9"/>
  <c r="H2130" i="9"/>
  <c r="K2130" i="9"/>
  <c r="I2130" i="9"/>
  <c r="L2131" i="9"/>
  <c r="I2131" i="9"/>
  <c r="H2131" i="9"/>
  <c r="J2131" i="9"/>
  <c r="K2131" i="9"/>
  <c r="H2132" i="9"/>
  <c r="I2132" i="9"/>
  <c r="L2132" i="9"/>
  <c r="J2132" i="9"/>
  <c r="K2132" i="9"/>
  <c r="K2137" i="9"/>
  <c r="L2137" i="9"/>
  <c r="J2137" i="9"/>
  <c r="I2137" i="9"/>
  <c r="H2137" i="9"/>
  <c r="I2138" i="9"/>
  <c r="L2138" i="9"/>
  <c r="H2138" i="9"/>
  <c r="J2138" i="9"/>
  <c r="AG2138" i="9" s="1"/>
  <c r="K2138" i="9"/>
  <c r="L2139" i="9"/>
  <c r="L2140" i="9" s="1"/>
  <c r="K2139" i="9"/>
  <c r="H2139" i="9"/>
  <c r="I2139" i="9"/>
  <c r="J2139" i="9"/>
  <c r="AG2139" i="9" s="1"/>
  <c r="K2143" i="9"/>
  <c r="K2144" i="9" s="1"/>
  <c r="I2143" i="9"/>
  <c r="J2143" i="9"/>
  <c r="H2143" i="9"/>
  <c r="L2143" i="9"/>
  <c r="L2144" i="9" s="1"/>
  <c r="J2147" i="9"/>
  <c r="I2147" i="9"/>
  <c r="H2147" i="9"/>
  <c r="L2147" i="9"/>
  <c r="K2147" i="9"/>
  <c r="H2150" i="9"/>
  <c r="I2150" i="9"/>
  <c r="J2150" i="9"/>
  <c r="K2150" i="9"/>
  <c r="K2151" i="9" s="1"/>
  <c r="L2150" i="9"/>
  <c r="L2151" i="9" s="1"/>
  <c r="L2154" i="9"/>
  <c r="I2154" i="9"/>
  <c r="J2154" i="9"/>
  <c r="K2154" i="9"/>
  <c r="H2154" i="9"/>
  <c r="K2155" i="9"/>
  <c r="L2155" i="9"/>
  <c r="H2155" i="9"/>
  <c r="I2155" i="9"/>
  <c r="J2155" i="9"/>
  <c r="L2158" i="9"/>
  <c r="L2159" i="9" s="1"/>
  <c r="H2158" i="9"/>
  <c r="K2158" i="9"/>
  <c r="K2159" i="9" s="1"/>
  <c r="I2158" i="9"/>
  <c r="J2158" i="9"/>
  <c r="J2169" i="9"/>
  <c r="H2169" i="9"/>
  <c r="I2169" i="9"/>
  <c r="K2169" i="9"/>
  <c r="L2169" i="9"/>
  <c r="L2170" i="9"/>
  <c r="L2171" i="9" s="1"/>
  <c r="H2170" i="9"/>
  <c r="I2170" i="9"/>
  <c r="J2170" i="9"/>
  <c r="K2170" i="9"/>
  <c r="K2175" i="9"/>
  <c r="L2175" i="9"/>
  <c r="H2175" i="9"/>
  <c r="J2175" i="9"/>
  <c r="I2175" i="9"/>
  <c r="I2176" i="9"/>
  <c r="J2176" i="9"/>
  <c r="H2176" i="9"/>
  <c r="L2176" i="9"/>
  <c r="K2176" i="9"/>
  <c r="H2177" i="9"/>
  <c r="I2177" i="9"/>
  <c r="J2177" i="9"/>
  <c r="K2177" i="9"/>
  <c r="L2177" i="9"/>
  <c r="I2178" i="9"/>
  <c r="L2178" i="9"/>
  <c r="J2178" i="9"/>
  <c r="K2178" i="9"/>
  <c r="H2178" i="9"/>
  <c r="H2179" i="9"/>
  <c r="K2179" i="9"/>
  <c r="J2179" i="9"/>
  <c r="L2179" i="9"/>
  <c r="I2179" i="9"/>
  <c r="I2184" i="9"/>
  <c r="H2184" i="9"/>
  <c r="J2184" i="9"/>
  <c r="K2184" i="9"/>
  <c r="L2184" i="9"/>
  <c r="H2185" i="9"/>
  <c r="K2185" i="9"/>
  <c r="J2185" i="9"/>
  <c r="L2185" i="9"/>
  <c r="I2185" i="9"/>
  <c r="I2186" i="9"/>
  <c r="J2186" i="9"/>
  <c r="L2186" i="9"/>
  <c r="K2186" i="9"/>
  <c r="H2186" i="9"/>
  <c r="H2187" i="9"/>
  <c r="I2187" i="9"/>
  <c r="J2187" i="9"/>
  <c r="K2187" i="9"/>
  <c r="L2187" i="9"/>
  <c r="K2192" i="9"/>
  <c r="I2192" i="9"/>
  <c r="L2192" i="9"/>
  <c r="J2192" i="9"/>
  <c r="H2192" i="9"/>
  <c r="H2193" i="9"/>
  <c r="I2193" i="9"/>
  <c r="K2193" i="9"/>
  <c r="J2193" i="9"/>
  <c r="L2193" i="9"/>
  <c r="J2194" i="9"/>
  <c r="H2194" i="9"/>
  <c r="K2194" i="9"/>
  <c r="I2194" i="9"/>
  <c r="L2194" i="9"/>
  <c r="I2195" i="9"/>
  <c r="J2195" i="9"/>
  <c r="K2195" i="9"/>
  <c r="L2195" i="9"/>
  <c r="H2195" i="9"/>
  <c r="I2196" i="9"/>
  <c r="K2196" i="9"/>
  <c r="J2196" i="9"/>
  <c r="L2196" i="9"/>
  <c r="H2196" i="9"/>
  <c r="I2197" i="9"/>
  <c r="L2197" i="9"/>
  <c r="J2197" i="9"/>
  <c r="H2197" i="9"/>
  <c r="K2197" i="9"/>
  <c r="H2198" i="9"/>
  <c r="I2198" i="9"/>
  <c r="K2198" i="9"/>
  <c r="J2198" i="9"/>
  <c r="L2198" i="9"/>
  <c r="I2199" i="9"/>
  <c r="L2199" i="9"/>
  <c r="K2199" i="9"/>
  <c r="J2199" i="9"/>
  <c r="H2199" i="9"/>
  <c r="L2200" i="9"/>
  <c r="H2200" i="9"/>
  <c r="I2200" i="9"/>
  <c r="K2200" i="9"/>
  <c r="J2200" i="9"/>
  <c r="H2201" i="9"/>
  <c r="I2201" i="9"/>
  <c r="J2201" i="9"/>
  <c r="K2201" i="9"/>
  <c r="L2201" i="9"/>
  <c r="J2202" i="9"/>
  <c r="H2202" i="9"/>
  <c r="K2202" i="9"/>
  <c r="I2202" i="9"/>
  <c r="L2202" i="9"/>
  <c r="J2205" i="9"/>
  <c r="AG2205" i="9" s="1"/>
  <c r="L2205" i="9"/>
  <c r="H2205" i="9"/>
  <c r="K2205" i="9"/>
  <c r="I2205" i="9"/>
  <c r="H2209" i="9"/>
  <c r="I2209" i="9"/>
  <c r="L2209" i="9"/>
  <c r="J2209" i="9"/>
  <c r="K2209" i="9"/>
  <c r="J2210" i="9"/>
  <c r="H2210" i="9"/>
  <c r="K2210" i="9"/>
  <c r="L2210" i="9"/>
  <c r="I2210" i="9"/>
  <c r="I2211" i="9"/>
  <c r="H2211" i="9"/>
  <c r="J2211" i="9"/>
  <c r="K2211" i="9"/>
  <c r="L2211" i="9"/>
  <c r="Z780" i="9"/>
  <c r="AC780" i="9"/>
  <c r="AB780" i="9"/>
  <c r="AA780" i="9"/>
  <c r="Y780" i="9"/>
  <c r="L2033" i="9" l="1"/>
  <c r="L1940" i="9"/>
  <c r="K1876" i="9"/>
  <c r="L1797" i="9"/>
  <c r="L1643" i="9"/>
  <c r="L1645" i="9" s="1"/>
  <c r="L1534" i="9"/>
  <c r="L1437" i="9"/>
  <c r="L1379" i="9"/>
  <c r="K1341" i="9"/>
  <c r="K1270" i="9"/>
  <c r="K891" i="9"/>
  <c r="K796" i="9"/>
  <c r="K599" i="9"/>
  <c r="L1921" i="9"/>
  <c r="K867" i="9"/>
  <c r="L654" i="9"/>
  <c r="L569" i="9"/>
  <c r="L2019" i="9"/>
  <c r="L1291" i="9"/>
  <c r="L671" i="9"/>
  <c r="K677" i="9"/>
  <c r="L442" i="9"/>
  <c r="L433" i="9"/>
  <c r="K918" i="9"/>
  <c r="L741" i="9"/>
  <c r="K671" i="9"/>
  <c r="L987" i="9"/>
  <c r="L619" i="9"/>
  <c r="K694" i="9"/>
  <c r="L579" i="9"/>
  <c r="L525" i="9"/>
  <c r="K2212" i="9"/>
  <c r="K2214" i="9" s="1"/>
  <c r="K2215" i="9" s="1"/>
  <c r="L1209" i="9"/>
  <c r="L1113" i="9"/>
  <c r="K619" i="9"/>
  <c r="K455" i="9"/>
  <c r="L1341" i="9"/>
  <c r="K832" i="9"/>
  <c r="L1876" i="9"/>
  <c r="K1578" i="9"/>
  <c r="K1431" i="9"/>
  <c r="K1394" i="9"/>
  <c r="K1230" i="9"/>
  <c r="L1202" i="9"/>
  <c r="K1179" i="9"/>
  <c r="L771" i="9"/>
  <c r="L666" i="9"/>
  <c r="L609" i="9"/>
  <c r="AG780" i="9"/>
  <c r="L1732" i="9"/>
  <c r="L624" i="9"/>
  <c r="R2192" i="9"/>
  <c r="AD2192" i="9"/>
  <c r="O2192" i="9"/>
  <c r="AE2192" i="9" s="1"/>
  <c r="Q2192" i="9"/>
  <c r="P2192" i="9"/>
  <c r="H2203" i="9"/>
  <c r="AE2105" i="9"/>
  <c r="H2106" i="9"/>
  <c r="AD2105" i="9"/>
  <c r="O1990" i="9"/>
  <c r="P1990" i="9"/>
  <c r="AD1990" i="9"/>
  <c r="Q1990" i="9"/>
  <c r="R1990" i="9"/>
  <c r="U1978" i="9"/>
  <c r="W1978" i="9"/>
  <c r="T1978" i="9"/>
  <c r="AF1978" i="9" s="1"/>
  <c r="V1978" i="9"/>
  <c r="H1963" i="9"/>
  <c r="O1962" i="9"/>
  <c r="AE1962" i="9" s="1"/>
  <c r="Q1962" i="9"/>
  <c r="R1962" i="9"/>
  <c r="AD1962" i="9"/>
  <c r="P1962" i="9"/>
  <c r="Q1949" i="9"/>
  <c r="R1949" i="9"/>
  <c r="AD1949" i="9"/>
  <c r="O1949" i="9"/>
  <c r="AE1949" i="9" s="1"/>
  <c r="P1949" i="9"/>
  <c r="I1929" i="9"/>
  <c r="U1928" i="9"/>
  <c r="W1928" i="9"/>
  <c r="V1928" i="9"/>
  <c r="AF1928" i="9" s="1"/>
  <c r="T1928" i="9"/>
  <c r="H1903" i="9"/>
  <c r="AD1902" i="9"/>
  <c r="R1902" i="9"/>
  <c r="O1902" i="9"/>
  <c r="P1902" i="9"/>
  <c r="Q1902" i="9"/>
  <c r="J1865" i="9"/>
  <c r="H1838" i="9"/>
  <c r="Q1837" i="9"/>
  <c r="AD1837" i="9"/>
  <c r="R1837" i="9"/>
  <c r="P1837" i="9"/>
  <c r="O1837" i="9"/>
  <c r="V1760" i="9"/>
  <c r="W1760" i="9"/>
  <c r="T1760" i="9"/>
  <c r="U1760" i="9"/>
  <c r="J1735" i="9"/>
  <c r="J37" i="9"/>
  <c r="I1686" i="9"/>
  <c r="U1685" i="9"/>
  <c r="W1685" i="9"/>
  <c r="V1685" i="9"/>
  <c r="T1685" i="9"/>
  <c r="T1596" i="9"/>
  <c r="W1596" i="9"/>
  <c r="V1596" i="9"/>
  <c r="U1596" i="9"/>
  <c r="U1574" i="9"/>
  <c r="V1574" i="9"/>
  <c r="W1574" i="9"/>
  <c r="T1574" i="9"/>
  <c r="V1550" i="9"/>
  <c r="W1550" i="9"/>
  <c r="T1550" i="9"/>
  <c r="U1550" i="9"/>
  <c r="AG1450" i="9"/>
  <c r="J1451" i="9"/>
  <c r="AG1451" i="9" s="1"/>
  <c r="W1424" i="9"/>
  <c r="U1424" i="9"/>
  <c r="T1424" i="9"/>
  <c r="V1424" i="9"/>
  <c r="AF1377" i="9"/>
  <c r="I1379" i="9"/>
  <c r="AF1379" i="9" s="1"/>
  <c r="AD1358" i="9"/>
  <c r="R1358" i="9"/>
  <c r="O1358" i="9"/>
  <c r="Q1358" i="9"/>
  <c r="P1358" i="9"/>
  <c r="H1361" i="9"/>
  <c r="Q1338" i="9"/>
  <c r="R1338" i="9"/>
  <c r="AD1338" i="9"/>
  <c r="P1338" i="9"/>
  <c r="O1338" i="9"/>
  <c r="R1315" i="9"/>
  <c r="AD1315" i="9"/>
  <c r="O1315" i="9"/>
  <c r="Q1315" i="9"/>
  <c r="P1315" i="9"/>
  <c r="H1319" i="9"/>
  <c r="Q1234" i="9"/>
  <c r="Q1235" i="9" s="1"/>
  <c r="R1234" i="9"/>
  <c r="R1235" i="9" s="1"/>
  <c r="H1235" i="9"/>
  <c r="O1234" i="9"/>
  <c r="O1235" i="9" s="1"/>
  <c r="P1234" i="9"/>
  <c r="P1235" i="9" s="1"/>
  <c r="AD1234" i="9"/>
  <c r="O1213" i="9"/>
  <c r="P1213" i="9"/>
  <c r="Q1213" i="9"/>
  <c r="R1213" i="9"/>
  <c r="AD1213" i="9"/>
  <c r="P1098" i="9"/>
  <c r="Q1098" i="9"/>
  <c r="R1098" i="9"/>
  <c r="O1098" i="9"/>
  <c r="AD1098" i="9"/>
  <c r="O1084" i="9"/>
  <c r="AE1084" i="9" s="1"/>
  <c r="R1084" i="9"/>
  <c r="AD1084" i="9"/>
  <c r="P1084" i="9"/>
  <c r="Q1084" i="9"/>
  <c r="Q1061" i="9"/>
  <c r="R1061" i="9"/>
  <c r="O1061" i="9"/>
  <c r="P1061" i="9"/>
  <c r="AD1061" i="9"/>
  <c r="V1040" i="9"/>
  <c r="T1040" i="9"/>
  <c r="W1040" i="9"/>
  <c r="U1040" i="9"/>
  <c r="O1004" i="9"/>
  <c r="P1004" i="9"/>
  <c r="R1004" i="9"/>
  <c r="Q1004" i="9"/>
  <c r="AD1004" i="9"/>
  <c r="AD976" i="9"/>
  <c r="H977" i="9"/>
  <c r="O976" i="9"/>
  <c r="O977" i="9" s="1"/>
  <c r="P976" i="9"/>
  <c r="P977" i="9" s="1"/>
  <c r="Q976" i="9"/>
  <c r="Q977" i="9" s="1"/>
  <c r="R976" i="9"/>
  <c r="R977" i="9" s="1"/>
  <c r="Q949" i="9"/>
  <c r="O949" i="9"/>
  <c r="AD949" i="9"/>
  <c r="P949" i="9"/>
  <c r="R949" i="9"/>
  <c r="AD904" i="9"/>
  <c r="O904" i="9"/>
  <c r="Q904" i="9"/>
  <c r="R904" i="9"/>
  <c r="P904" i="9"/>
  <c r="T889" i="9"/>
  <c r="W889" i="9"/>
  <c r="U889" i="9"/>
  <c r="V889" i="9"/>
  <c r="AD865" i="9"/>
  <c r="O865" i="9"/>
  <c r="P865" i="9"/>
  <c r="Q865" i="9"/>
  <c r="R865" i="9"/>
  <c r="AA843" i="9"/>
  <c r="AB843" i="9"/>
  <c r="Z843" i="9"/>
  <c r="AC843" i="9"/>
  <c r="Y843" i="9"/>
  <c r="H825" i="9"/>
  <c r="AD824" i="9"/>
  <c r="P824" i="9"/>
  <c r="Q824" i="9"/>
  <c r="R824" i="9"/>
  <c r="O824" i="9"/>
  <c r="W749" i="9"/>
  <c r="T749" i="9"/>
  <c r="U749" i="9"/>
  <c r="V749" i="9"/>
  <c r="AC693" i="9"/>
  <c r="Y693" i="9"/>
  <c r="Z693" i="9"/>
  <c r="AA693" i="9"/>
  <c r="AB693" i="9"/>
  <c r="AD669" i="9"/>
  <c r="AE669" i="9"/>
  <c r="H671" i="9"/>
  <c r="J644" i="9"/>
  <c r="Z643" i="9"/>
  <c r="AB643" i="9"/>
  <c r="AC643" i="9"/>
  <c r="Y643" i="9"/>
  <c r="AA643" i="9"/>
  <c r="AB583" i="9"/>
  <c r="AC583" i="9"/>
  <c r="Z583" i="9"/>
  <c r="Y583" i="9"/>
  <c r="AG583" i="9" s="1"/>
  <c r="AA583" i="9"/>
  <c r="U536" i="9"/>
  <c r="U537" i="9" s="1"/>
  <c r="V536" i="9"/>
  <c r="V537" i="9" s="1"/>
  <c r="T536" i="9"/>
  <c r="T537" i="9" s="1"/>
  <c r="I537" i="9"/>
  <c r="W536" i="9"/>
  <c r="W537" i="9" s="1"/>
  <c r="O431" i="9"/>
  <c r="AD431" i="9"/>
  <c r="P431" i="9"/>
  <c r="R431" i="9"/>
  <c r="Q431" i="9"/>
  <c r="R410" i="9"/>
  <c r="R411" i="9" s="1"/>
  <c r="AD410" i="9"/>
  <c r="H411" i="9"/>
  <c r="O410" i="9"/>
  <c r="O411" i="9" s="1"/>
  <c r="Q410" i="9"/>
  <c r="Q411" i="9" s="1"/>
  <c r="P410" i="9"/>
  <c r="P411" i="9" s="1"/>
  <c r="O294" i="9"/>
  <c r="P294" i="9"/>
  <c r="H296" i="9"/>
  <c r="R294" i="9"/>
  <c r="AD294" i="9"/>
  <c r="Q294" i="9"/>
  <c r="J233" i="9"/>
  <c r="AG231" i="9"/>
  <c r="O160" i="9"/>
  <c r="AD160" i="9"/>
  <c r="P160" i="9"/>
  <c r="R160" i="9"/>
  <c r="H164" i="9"/>
  <c r="Q160" i="9"/>
  <c r="I190" i="9"/>
  <c r="W188" i="9"/>
  <c r="U188" i="9"/>
  <c r="T188" i="9"/>
  <c r="V188" i="9"/>
  <c r="K124" i="9"/>
  <c r="J296" i="9"/>
  <c r="AG296" i="9" s="1"/>
  <c r="AG294" i="9"/>
  <c r="AD2131" i="9"/>
  <c r="R2131" i="9"/>
  <c r="P2131" i="9"/>
  <c r="Q2131" i="9"/>
  <c r="O2131" i="9"/>
  <c r="AG2029" i="9"/>
  <c r="J2033" i="9"/>
  <c r="AG2033" i="9" s="1"/>
  <c r="AG2013" i="9"/>
  <c r="J2019" i="9"/>
  <c r="AG2019" i="9" s="1"/>
  <c r="P1975" i="9"/>
  <c r="R1975" i="9"/>
  <c r="AD1975" i="9"/>
  <c r="O1975" i="9"/>
  <c r="Q1975" i="9"/>
  <c r="O1960" i="9"/>
  <c r="Q1960" i="9"/>
  <c r="P1960" i="9"/>
  <c r="AD1960" i="9"/>
  <c r="R1960" i="9"/>
  <c r="U1836" i="9"/>
  <c r="W1836" i="9"/>
  <c r="T1836" i="9"/>
  <c r="V1836" i="9"/>
  <c r="T1789" i="9"/>
  <c r="U1789" i="9"/>
  <c r="V1789" i="9"/>
  <c r="W1789" i="9"/>
  <c r="T1718" i="9"/>
  <c r="U1718" i="9"/>
  <c r="V1718" i="9"/>
  <c r="W1718" i="9"/>
  <c r="AD1692" i="9"/>
  <c r="Q1692" i="9"/>
  <c r="R1692" i="9"/>
  <c r="O1692" i="9"/>
  <c r="P1692" i="9"/>
  <c r="Q1677" i="9"/>
  <c r="R1677" i="9"/>
  <c r="O1677" i="9"/>
  <c r="P1677" i="9"/>
  <c r="AD1677" i="9"/>
  <c r="AD1538" i="9"/>
  <c r="Q1538" i="9"/>
  <c r="R1538" i="9"/>
  <c r="P1538" i="9"/>
  <c r="O1538" i="9"/>
  <c r="AA1472" i="9"/>
  <c r="AA1473" i="9" s="1"/>
  <c r="AB1472" i="9"/>
  <c r="AB1473" i="9" s="1"/>
  <c r="J1473" i="9"/>
  <c r="AC1472" i="9"/>
  <c r="AC1473" i="9" s="1"/>
  <c r="Z1472" i="9"/>
  <c r="Z1473" i="9" s="1"/>
  <c r="Y1472" i="9"/>
  <c r="Y1473" i="9" s="1"/>
  <c r="AD1344" i="9"/>
  <c r="Q1344" i="9"/>
  <c r="R1344" i="9"/>
  <c r="P1344" i="9"/>
  <c r="O1344" i="9"/>
  <c r="H1347" i="9"/>
  <c r="AG1301" i="9"/>
  <c r="J1305" i="9"/>
  <c r="AG1305" i="9" s="1"/>
  <c r="AD1281" i="9"/>
  <c r="P1281" i="9"/>
  <c r="Q1281" i="9"/>
  <c r="R1281" i="9"/>
  <c r="O1281" i="9"/>
  <c r="P1099" i="9"/>
  <c r="R1099" i="9"/>
  <c r="AD1099" i="9"/>
  <c r="Q1099" i="9"/>
  <c r="O1099" i="9"/>
  <c r="T1085" i="9"/>
  <c r="U1085" i="9"/>
  <c r="V1085" i="9"/>
  <c r="W1085" i="9"/>
  <c r="V1073" i="9"/>
  <c r="W1073" i="9"/>
  <c r="T1073" i="9"/>
  <c r="U1073" i="9"/>
  <c r="U1052" i="9"/>
  <c r="V1052" i="9"/>
  <c r="W1052" i="9"/>
  <c r="AF1052" i="9" s="1"/>
  <c r="T1052" i="9"/>
  <c r="O1038" i="9"/>
  <c r="R1038" i="9"/>
  <c r="Q1038" i="9"/>
  <c r="AD1038" i="9"/>
  <c r="P1038" i="9"/>
  <c r="W980" i="9"/>
  <c r="W981" i="9" s="1"/>
  <c r="I981" i="9"/>
  <c r="T980" i="9"/>
  <c r="T981" i="9" s="1"/>
  <c r="U980" i="9"/>
  <c r="U981" i="9" s="1"/>
  <c r="V980" i="9"/>
  <c r="V981" i="9" s="1"/>
  <c r="Q912" i="9"/>
  <c r="Q913" i="9" s="1"/>
  <c r="AD912" i="9"/>
  <c r="P912" i="9"/>
  <c r="P913" i="9" s="1"/>
  <c r="H913" i="9"/>
  <c r="O912" i="9"/>
  <c r="O913" i="9" s="1"/>
  <c r="R912" i="9"/>
  <c r="R913" i="9" s="1"/>
  <c r="U788" i="9"/>
  <c r="V788" i="9"/>
  <c r="W788" i="9"/>
  <c r="T788" i="9"/>
  <c r="I791" i="9"/>
  <c r="Z769" i="9"/>
  <c r="AB769" i="9"/>
  <c r="AC769" i="9"/>
  <c r="Y769" i="9"/>
  <c r="AA769" i="9"/>
  <c r="V733" i="9"/>
  <c r="W733" i="9"/>
  <c r="U733" i="9"/>
  <c r="T733" i="9"/>
  <c r="AD674" i="9"/>
  <c r="AE674" i="9"/>
  <c r="H677" i="9"/>
  <c r="J557" i="9"/>
  <c r="AG557" i="9" s="1"/>
  <c r="AG556" i="9"/>
  <c r="AE524" i="9"/>
  <c r="AD524" i="9"/>
  <c r="AD474" i="9"/>
  <c r="O474" i="9"/>
  <c r="P474" i="9"/>
  <c r="R474" i="9"/>
  <c r="Q474" i="9"/>
  <c r="AG452" i="9"/>
  <c r="J455" i="9"/>
  <c r="AG455" i="9" s="1"/>
  <c r="AG419" i="9"/>
  <c r="J421" i="9"/>
  <c r="AG421" i="9" s="1"/>
  <c r="V2143" i="9"/>
  <c r="U2143" i="9"/>
  <c r="U2144" i="9" s="1"/>
  <c r="W2143" i="9"/>
  <c r="I2144" i="9"/>
  <c r="T2143" i="9"/>
  <c r="T2144" i="9" s="1"/>
  <c r="V2125" i="9"/>
  <c r="T2125" i="9"/>
  <c r="W2125" i="9"/>
  <c r="U2125" i="9"/>
  <c r="AD2022" i="9"/>
  <c r="R2022" i="9"/>
  <c r="Q2022" i="9"/>
  <c r="O2022" i="9"/>
  <c r="P2022" i="9"/>
  <c r="H2025" i="9"/>
  <c r="P1976" i="9"/>
  <c r="Q1976" i="9"/>
  <c r="O1976" i="9"/>
  <c r="R1976" i="9"/>
  <c r="AD1976" i="9"/>
  <c r="Q1967" i="9"/>
  <c r="R1967" i="9"/>
  <c r="P1967" i="9"/>
  <c r="AD1967" i="9"/>
  <c r="O1967" i="9"/>
  <c r="AE1967" i="9" s="1"/>
  <c r="Q1778" i="9"/>
  <c r="Q1779" i="9" s="1"/>
  <c r="R1778" i="9"/>
  <c r="R1779" i="9" s="1"/>
  <c r="P1778" i="9"/>
  <c r="P1779" i="9" s="1"/>
  <c r="O1778" i="9"/>
  <c r="O1779" i="9" s="1"/>
  <c r="H1779" i="9"/>
  <c r="AD1778" i="9"/>
  <c r="AD1751" i="9"/>
  <c r="R1751" i="9"/>
  <c r="O1751" i="9"/>
  <c r="P1751" i="9"/>
  <c r="Q1751" i="9"/>
  <c r="T1702" i="9"/>
  <c r="U1702" i="9"/>
  <c r="V1702" i="9"/>
  <c r="W1702" i="9"/>
  <c r="I1706" i="9"/>
  <c r="O1658" i="9"/>
  <c r="Q1658" i="9"/>
  <c r="P1658" i="9"/>
  <c r="R1658" i="9"/>
  <c r="AD1658" i="9"/>
  <c r="P1640" i="9"/>
  <c r="AD1640" i="9"/>
  <c r="O1640" i="9"/>
  <c r="Q1640" i="9"/>
  <c r="R1640" i="9"/>
  <c r="AE1640" i="9"/>
  <c r="AD1607" i="9"/>
  <c r="O1607" i="9"/>
  <c r="P1607" i="9"/>
  <c r="R1607" i="9"/>
  <c r="Q1607" i="9"/>
  <c r="AE1607" i="9" s="1"/>
  <c r="AF1496" i="9"/>
  <c r="I1497" i="9"/>
  <c r="AF1497" i="9" s="1"/>
  <c r="J1457" i="9"/>
  <c r="AC1456" i="9"/>
  <c r="AC1457" i="9" s="1"/>
  <c r="AA1456" i="9"/>
  <c r="AA1457" i="9" s="1"/>
  <c r="AB1456" i="9"/>
  <c r="AB1457" i="9" s="1"/>
  <c r="AG1428" i="9"/>
  <c r="J1431" i="9"/>
  <c r="AG1431" i="9" s="1"/>
  <c r="P1332" i="9"/>
  <c r="O1332" i="9"/>
  <c r="Q1332" i="9"/>
  <c r="R1332" i="9"/>
  <c r="AD1332" i="9"/>
  <c r="AF1287" i="9"/>
  <c r="I1291" i="9"/>
  <c r="AF1291" i="9" s="1"/>
  <c r="J1258" i="9"/>
  <c r="AG1258" i="9" s="1"/>
  <c r="AG1257" i="9"/>
  <c r="R1221" i="9"/>
  <c r="O1221" i="9"/>
  <c r="AD1221" i="9"/>
  <c r="P1221" i="9"/>
  <c r="Q1221" i="9"/>
  <c r="AB1101" i="9"/>
  <c r="J1068" i="9"/>
  <c r="R1043" i="9"/>
  <c r="AD1043" i="9"/>
  <c r="O1043" i="9"/>
  <c r="P1043" i="9"/>
  <c r="Q1043" i="9"/>
  <c r="T1025" i="9"/>
  <c r="U1025" i="9"/>
  <c r="V1025" i="9"/>
  <c r="W1025" i="9"/>
  <c r="J991" i="9"/>
  <c r="V954" i="9"/>
  <c r="W954" i="9"/>
  <c r="U954" i="9"/>
  <c r="T954" i="9"/>
  <c r="R901" i="9"/>
  <c r="O901" i="9"/>
  <c r="AE901" i="9" s="1"/>
  <c r="Q901" i="9"/>
  <c r="P901" i="9"/>
  <c r="AD901" i="9"/>
  <c r="AD864" i="9"/>
  <c r="P864" i="9"/>
  <c r="Q864" i="9"/>
  <c r="R864" i="9"/>
  <c r="O864" i="9"/>
  <c r="AD849" i="9"/>
  <c r="Q849" i="9"/>
  <c r="O849" i="9"/>
  <c r="P849" i="9"/>
  <c r="R849" i="9"/>
  <c r="I778" i="9"/>
  <c r="V777" i="9"/>
  <c r="W777" i="9"/>
  <c r="U777" i="9"/>
  <c r="T777" i="9"/>
  <c r="J666" i="9"/>
  <c r="AA665" i="9"/>
  <c r="AB665" i="9"/>
  <c r="AC665" i="9"/>
  <c r="Y665" i="9"/>
  <c r="AG665" i="9" s="1"/>
  <c r="Z665" i="9"/>
  <c r="J579" i="9"/>
  <c r="AA578" i="9"/>
  <c r="AB578" i="9"/>
  <c r="Y578" i="9"/>
  <c r="Z578" i="9"/>
  <c r="AC578" i="9"/>
  <c r="AE563" i="9"/>
  <c r="AD563" i="9"/>
  <c r="J469" i="9"/>
  <c r="AG469" i="9" s="1"/>
  <c r="AG468" i="9"/>
  <c r="J437" i="9"/>
  <c r="AG437" i="9" s="1"/>
  <c r="AG436" i="9"/>
  <c r="R343" i="9"/>
  <c r="R344" i="9" s="1"/>
  <c r="P343" i="9"/>
  <c r="P344" i="9" s="1"/>
  <c r="AD343" i="9"/>
  <c r="O343" i="9"/>
  <c r="O344" i="9" s="1"/>
  <c r="Q343" i="9"/>
  <c r="Q344" i="9" s="1"/>
  <c r="H344" i="9"/>
  <c r="H332" i="9"/>
  <c r="O331" i="9"/>
  <c r="O332" i="9" s="1"/>
  <c r="P331" i="9"/>
  <c r="P332" i="9" s="1"/>
  <c r="Q331" i="9"/>
  <c r="Q332" i="9" s="1"/>
  <c r="R331" i="9"/>
  <c r="R332" i="9" s="1"/>
  <c r="AD331" i="9"/>
  <c r="W2196" i="9"/>
  <c r="T2196" i="9"/>
  <c r="U2196" i="9"/>
  <c r="V2196" i="9"/>
  <c r="AD1956" i="9"/>
  <c r="O1956" i="9"/>
  <c r="Q1956" i="9"/>
  <c r="R1956" i="9"/>
  <c r="P1956" i="9"/>
  <c r="AB1945" i="9"/>
  <c r="V1831" i="9"/>
  <c r="W1831" i="9"/>
  <c r="U1831" i="9"/>
  <c r="T1831" i="9"/>
  <c r="AD1723" i="9"/>
  <c r="O1723" i="9"/>
  <c r="P1723" i="9"/>
  <c r="Q1723" i="9"/>
  <c r="R1723" i="9"/>
  <c r="H1726" i="9"/>
  <c r="J1696" i="9"/>
  <c r="J1662" i="9"/>
  <c r="T1594" i="9"/>
  <c r="U1594" i="9"/>
  <c r="V1594" i="9"/>
  <c r="W1594" i="9"/>
  <c r="AD1553" i="9"/>
  <c r="P1553" i="9"/>
  <c r="Q1553" i="9"/>
  <c r="R1553" i="9"/>
  <c r="O1553" i="9"/>
  <c r="AE1553" i="9" s="1"/>
  <c r="R1542" i="9"/>
  <c r="O1542" i="9"/>
  <c r="AD1542" i="9"/>
  <c r="P1542" i="9"/>
  <c r="Q1542" i="9"/>
  <c r="Y1531" i="9"/>
  <c r="Z1531" i="9"/>
  <c r="AA1531" i="9"/>
  <c r="AC1531" i="9"/>
  <c r="AB1531" i="9"/>
  <c r="R1520" i="9"/>
  <c r="O1520" i="9"/>
  <c r="P1520" i="9"/>
  <c r="Q1520" i="9"/>
  <c r="AD1520" i="9"/>
  <c r="AE1484" i="9"/>
  <c r="H1485" i="9"/>
  <c r="AD1484" i="9"/>
  <c r="V1442" i="9"/>
  <c r="W1442" i="9"/>
  <c r="T1442" i="9"/>
  <c r="U1442" i="9"/>
  <c r="W1422" i="9"/>
  <c r="T1422" i="9"/>
  <c r="U1422" i="9"/>
  <c r="V1422" i="9"/>
  <c r="I1425" i="9"/>
  <c r="AE1399" i="9"/>
  <c r="AD1399" i="9"/>
  <c r="AG1371" i="9"/>
  <c r="J1374" i="9"/>
  <c r="AG1374" i="9" s="1"/>
  <c r="H1254" i="9"/>
  <c r="O1253" i="9"/>
  <c r="O1254" i="9" s="1"/>
  <c r="P1253" i="9"/>
  <c r="P1254" i="9" s="1"/>
  <c r="AD1253" i="9"/>
  <c r="Q1253" i="9"/>
  <c r="Q1254" i="9" s="1"/>
  <c r="R1253" i="9"/>
  <c r="R1254" i="9" s="1"/>
  <c r="AF1205" i="9"/>
  <c r="I1209" i="9"/>
  <c r="AF1209" i="9" s="1"/>
  <c r="M1177" i="9"/>
  <c r="Q1177" i="9" s="1"/>
  <c r="AD1177" i="9"/>
  <c r="AD1128" i="9"/>
  <c r="R1128" i="9"/>
  <c r="O1128" i="9"/>
  <c r="P1128" i="9"/>
  <c r="Q1128" i="9"/>
  <c r="AD1096" i="9"/>
  <c r="P1096" i="9"/>
  <c r="R1096" i="9"/>
  <c r="O1096" i="9"/>
  <c r="Q1096" i="9"/>
  <c r="AD1082" i="9"/>
  <c r="R1082" i="9"/>
  <c r="O1082" i="9"/>
  <c r="Q1082" i="9"/>
  <c r="P1082" i="9"/>
  <c r="H1088" i="9"/>
  <c r="W1022" i="9"/>
  <c r="T1022" i="9"/>
  <c r="V1022" i="9"/>
  <c r="U1022" i="9"/>
  <c r="I1034" i="9"/>
  <c r="R1012" i="9"/>
  <c r="O1012" i="9"/>
  <c r="AD1012" i="9"/>
  <c r="P1012" i="9"/>
  <c r="Q1012" i="9"/>
  <c r="J1000" i="9"/>
  <c r="J1156" i="9" s="1"/>
  <c r="AD908" i="9"/>
  <c r="R908" i="9"/>
  <c r="O908" i="9"/>
  <c r="Q908" i="9"/>
  <c r="P908" i="9"/>
  <c r="J909" i="9"/>
  <c r="AF874" i="9"/>
  <c r="I875" i="9"/>
  <c r="AF875" i="9" s="1"/>
  <c r="AE837" i="9"/>
  <c r="AD837" i="9"/>
  <c r="AF821" i="9"/>
  <c r="I825" i="9"/>
  <c r="AF825" i="9" s="1"/>
  <c r="AE688" i="9"/>
  <c r="AD688" i="9"/>
  <c r="AC567" i="9"/>
  <c r="AB567" i="9"/>
  <c r="Z567" i="9"/>
  <c r="Y567" i="9"/>
  <c r="AA567" i="9"/>
  <c r="AF472" i="9"/>
  <c r="I478" i="9"/>
  <c r="AF446" i="9"/>
  <c r="I449" i="9"/>
  <c r="AF449" i="9" s="1"/>
  <c r="AD2209" i="9"/>
  <c r="O2209" i="9"/>
  <c r="P2209" i="9"/>
  <c r="R2209" i="9"/>
  <c r="Q2209" i="9"/>
  <c r="H2212" i="9"/>
  <c r="H2214" i="9" s="1"/>
  <c r="H2215" i="9" s="1"/>
  <c r="U2187" i="9"/>
  <c r="V2187" i="9"/>
  <c r="T2187" i="9"/>
  <c r="W2187" i="9"/>
  <c r="O2128" i="9"/>
  <c r="AE2128" i="9" s="1"/>
  <c r="AD2128" i="9"/>
  <c r="P2128" i="9"/>
  <c r="Q2128" i="9"/>
  <c r="R2128" i="9"/>
  <c r="AF2097" i="9"/>
  <c r="I2098" i="9"/>
  <c r="AF2098" i="9" s="1"/>
  <c r="I2066" i="9"/>
  <c r="AF2066" i="9" s="1"/>
  <c r="AF2065" i="9"/>
  <c r="Q2039" i="9"/>
  <c r="O2039" i="9"/>
  <c r="P2039" i="9"/>
  <c r="AD2039" i="9"/>
  <c r="R2039" i="9"/>
  <c r="AD2000" i="9"/>
  <c r="R2000" i="9"/>
  <c r="O2000" i="9"/>
  <c r="AE2000" i="9" s="1"/>
  <c r="Q2000" i="9"/>
  <c r="P2000" i="9"/>
  <c r="V1984" i="9"/>
  <c r="W1984" i="9"/>
  <c r="T1984" i="9"/>
  <c r="U1984" i="9"/>
  <c r="I1994" i="9"/>
  <c r="T1968" i="9"/>
  <c r="AF1968" i="9" s="1"/>
  <c r="U1968" i="9"/>
  <c r="V1968" i="9"/>
  <c r="W1968" i="9"/>
  <c r="P1936" i="9"/>
  <c r="Q1936" i="9"/>
  <c r="R1936" i="9"/>
  <c r="O1936" i="9"/>
  <c r="AD1936" i="9"/>
  <c r="I1898" i="9"/>
  <c r="U1897" i="9"/>
  <c r="U1898" i="9" s="1"/>
  <c r="V1897" i="9"/>
  <c r="V1898" i="9" s="1"/>
  <c r="T1897" i="9"/>
  <c r="T1898" i="9" s="1"/>
  <c r="W1897" i="9"/>
  <c r="W1898" i="9" s="1"/>
  <c r="O1855" i="9"/>
  <c r="P1855" i="9"/>
  <c r="AD1855" i="9"/>
  <c r="Q1855" i="9"/>
  <c r="R1855" i="9"/>
  <c r="Q1785" i="9"/>
  <c r="AD1785" i="9"/>
  <c r="R1785" i="9"/>
  <c r="O1785" i="9"/>
  <c r="P1785" i="9"/>
  <c r="W1714" i="9"/>
  <c r="T1714" i="9"/>
  <c r="U1714" i="9"/>
  <c r="V1714" i="9"/>
  <c r="U1690" i="9"/>
  <c r="W1690" i="9"/>
  <c r="V1690" i="9"/>
  <c r="T1690" i="9"/>
  <c r="T1615" i="9"/>
  <c r="U1615" i="9"/>
  <c r="V1615" i="9"/>
  <c r="W1615" i="9"/>
  <c r="I1623" i="9"/>
  <c r="AD1571" i="9"/>
  <c r="O1571" i="9"/>
  <c r="P1571" i="9"/>
  <c r="Q1571" i="9"/>
  <c r="R1571" i="9"/>
  <c r="V1557" i="9"/>
  <c r="W1557" i="9"/>
  <c r="T1557" i="9"/>
  <c r="U1557" i="9"/>
  <c r="AF1557" i="9"/>
  <c r="AD1530" i="9"/>
  <c r="P1530" i="9"/>
  <c r="R1530" i="9"/>
  <c r="O1530" i="9"/>
  <c r="Q1530" i="9"/>
  <c r="J1505" i="9"/>
  <c r="Y1504" i="9"/>
  <c r="Y1505" i="9" s="1"/>
  <c r="Z1504" i="9"/>
  <c r="Z1505" i="9" s="1"/>
  <c r="AA1504" i="9"/>
  <c r="AA1505" i="9" s="1"/>
  <c r="AC1504" i="9"/>
  <c r="AC1505" i="9" s="1"/>
  <c r="AB1504" i="9"/>
  <c r="AB1505" i="9" s="1"/>
  <c r="AF1464" i="9"/>
  <c r="I1465" i="9"/>
  <c r="AF1465" i="9" s="1"/>
  <c r="AD1410" i="9"/>
  <c r="AE1410" i="9"/>
  <c r="H1413" i="9"/>
  <c r="Q1333" i="9"/>
  <c r="O1333" i="9"/>
  <c r="AE1333" i="9" s="1"/>
  <c r="P1333" i="9"/>
  <c r="AD1333" i="9"/>
  <c r="R1333" i="9"/>
  <c r="AD1311" i="9"/>
  <c r="R1311" i="9"/>
  <c r="P1311" i="9"/>
  <c r="O1311" i="9"/>
  <c r="Q1311" i="9"/>
  <c r="AG1280" i="9"/>
  <c r="J1284" i="9"/>
  <c r="AG1284" i="9" s="1"/>
  <c r="AD1212" i="9"/>
  <c r="O1212" i="9"/>
  <c r="P1212" i="9"/>
  <c r="Q1212" i="9"/>
  <c r="R1212" i="9"/>
  <c r="AF1198" i="9"/>
  <c r="I1202" i="9"/>
  <c r="AF1202" i="9" s="1"/>
  <c r="U1134" i="9"/>
  <c r="W1134" i="9"/>
  <c r="T1134" i="9"/>
  <c r="V1134" i="9"/>
  <c r="AB1125" i="9"/>
  <c r="AC1125" i="9"/>
  <c r="Y1125" i="9"/>
  <c r="AG1125" i="9" s="1"/>
  <c r="AA1125" i="9"/>
  <c r="Z1125" i="9"/>
  <c r="AD1103" i="9"/>
  <c r="R1103" i="9"/>
  <c r="Q1103" i="9"/>
  <c r="O1103" i="9"/>
  <c r="P1103" i="9"/>
  <c r="Q1063" i="9"/>
  <c r="R1063" i="9"/>
  <c r="AD1063" i="9"/>
  <c r="O1063" i="9"/>
  <c r="P1063" i="9"/>
  <c r="R1032" i="9"/>
  <c r="O1032" i="9"/>
  <c r="AD1032" i="9"/>
  <c r="P1032" i="9"/>
  <c r="Q1032" i="9"/>
  <c r="T1007" i="9"/>
  <c r="U1007" i="9"/>
  <c r="V1007" i="9"/>
  <c r="W1007" i="9"/>
  <c r="H961" i="9"/>
  <c r="O959" i="9"/>
  <c r="O961" i="9" s="1"/>
  <c r="P959" i="9"/>
  <c r="P961" i="9" s="1"/>
  <c r="Q959" i="9"/>
  <c r="Q961" i="9" s="1"/>
  <c r="Q968" i="9" s="1"/>
  <c r="Q25" i="9" s="1"/>
  <c r="Q78" i="9" s="1"/>
  <c r="AD959" i="9"/>
  <c r="R959" i="9"/>
  <c r="R961" i="9" s="1"/>
  <c r="R968" i="9" s="1"/>
  <c r="R25" i="9" s="1"/>
  <c r="R78" i="9" s="1"/>
  <c r="J926" i="9"/>
  <c r="AC845" i="9"/>
  <c r="Z845" i="9"/>
  <c r="Y845" i="9"/>
  <c r="AA845" i="9"/>
  <c r="AB845" i="9"/>
  <c r="AD829" i="9"/>
  <c r="O829" i="9"/>
  <c r="P829" i="9"/>
  <c r="Q829" i="9"/>
  <c r="R829" i="9"/>
  <c r="AB765" i="9"/>
  <c r="AD680" i="9"/>
  <c r="AE680" i="9"/>
  <c r="H682" i="9"/>
  <c r="AF652" i="9"/>
  <c r="I654" i="9"/>
  <c r="AF654" i="9" s="1"/>
  <c r="AF592" i="9"/>
  <c r="I594" i="9"/>
  <c r="AF594" i="9" s="1"/>
  <c r="V552" i="9"/>
  <c r="V553" i="9" s="1"/>
  <c r="I553" i="9"/>
  <c r="T552" i="9"/>
  <c r="T553" i="9" s="1"/>
  <c r="U552" i="9"/>
  <c r="U553" i="9" s="1"/>
  <c r="W552" i="9"/>
  <c r="W553" i="9" s="1"/>
  <c r="I516" i="9"/>
  <c r="V515" i="9"/>
  <c r="V516" i="9" s="1"/>
  <c r="U515" i="9"/>
  <c r="U516" i="9" s="1"/>
  <c r="T515" i="9"/>
  <c r="T516" i="9" s="1"/>
  <c r="W515" i="9"/>
  <c r="W516" i="9" s="1"/>
  <c r="AF2117" i="9"/>
  <c r="I2118" i="9"/>
  <c r="AF2118" i="9" s="1"/>
  <c r="Q2017" i="9"/>
  <c r="R2017" i="9"/>
  <c r="O2017" i="9"/>
  <c r="P2017" i="9"/>
  <c r="AD2017" i="9"/>
  <c r="AD2002" i="9"/>
  <c r="Q2002" i="9"/>
  <c r="O2002" i="9"/>
  <c r="P2002" i="9"/>
  <c r="R2002" i="9"/>
  <c r="Q1954" i="9"/>
  <c r="AD1954" i="9"/>
  <c r="P1954" i="9"/>
  <c r="R1954" i="9"/>
  <c r="O1954" i="9"/>
  <c r="W1925" i="9"/>
  <c r="V1925" i="9"/>
  <c r="T1925" i="9"/>
  <c r="U1925" i="9"/>
  <c r="J1894" i="9"/>
  <c r="AD1854" i="9"/>
  <c r="O1854" i="9"/>
  <c r="P1854" i="9"/>
  <c r="Q1854" i="9"/>
  <c r="R1854" i="9"/>
  <c r="P1834" i="9"/>
  <c r="Q1834" i="9"/>
  <c r="R1834" i="9"/>
  <c r="AD1834" i="9"/>
  <c r="O1834" i="9"/>
  <c r="T1791" i="9"/>
  <c r="U1791" i="9"/>
  <c r="W1791" i="9"/>
  <c r="V1791" i="9"/>
  <c r="J1767" i="9"/>
  <c r="W1684" i="9"/>
  <c r="T1684" i="9"/>
  <c r="U1684" i="9"/>
  <c r="V1684" i="9"/>
  <c r="P1675" i="9"/>
  <c r="AD1675" i="9"/>
  <c r="Q1675" i="9"/>
  <c r="O1675" i="9"/>
  <c r="R1675" i="9"/>
  <c r="H1678" i="9"/>
  <c r="T1659" i="9"/>
  <c r="AF1659" i="9" s="1"/>
  <c r="U1659" i="9"/>
  <c r="V1659" i="9"/>
  <c r="W1659" i="9"/>
  <c r="L1600" i="9"/>
  <c r="V1593" i="9"/>
  <c r="T1593" i="9"/>
  <c r="U1593" i="9"/>
  <c r="W1593" i="9"/>
  <c r="T1577" i="9"/>
  <c r="U1577" i="9"/>
  <c r="V1577" i="9"/>
  <c r="W1577" i="9"/>
  <c r="I1567" i="9"/>
  <c r="T1566" i="9"/>
  <c r="U1566" i="9"/>
  <c r="V1566" i="9"/>
  <c r="W1566" i="9"/>
  <c r="J1534" i="9"/>
  <c r="J1489" i="9"/>
  <c r="AB1488" i="9"/>
  <c r="AB1489" i="9" s="1"/>
  <c r="Y1488" i="9"/>
  <c r="Y1489" i="9" s="1"/>
  <c r="Z1488" i="9"/>
  <c r="Z1489" i="9" s="1"/>
  <c r="AA1488" i="9"/>
  <c r="AA1489" i="9" s="1"/>
  <c r="AC1488" i="9"/>
  <c r="AC1489" i="9" s="1"/>
  <c r="U1441" i="9"/>
  <c r="V1441" i="9"/>
  <c r="W1441" i="9"/>
  <c r="AF1441" i="9" s="1"/>
  <c r="T1441" i="9"/>
  <c r="I1394" i="9"/>
  <c r="V1393" i="9"/>
  <c r="U1393" i="9"/>
  <c r="W1393" i="9"/>
  <c r="T1393" i="9"/>
  <c r="O1226" i="9"/>
  <c r="P1226" i="9"/>
  <c r="Q1226" i="9"/>
  <c r="R1226" i="9"/>
  <c r="AD1226" i="9"/>
  <c r="H1230" i="9"/>
  <c r="V1176" i="9"/>
  <c r="W1176" i="9"/>
  <c r="T1176" i="9"/>
  <c r="U1176" i="9"/>
  <c r="T1076" i="9"/>
  <c r="U1076" i="9"/>
  <c r="V1076" i="9"/>
  <c r="W1076" i="9"/>
  <c r="V1060" i="9"/>
  <c r="W1060" i="9"/>
  <c r="T1060" i="9"/>
  <c r="U1060" i="9"/>
  <c r="V1016" i="9"/>
  <c r="T1016" i="9"/>
  <c r="U1016" i="9"/>
  <c r="W1016" i="9"/>
  <c r="J918" i="9"/>
  <c r="AG918" i="9" s="1"/>
  <c r="AD870" i="9"/>
  <c r="P870" i="9"/>
  <c r="P871" i="9" s="1"/>
  <c r="Q870" i="9"/>
  <c r="Q871" i="9" s="1"/>
  <c r="R870" i="9"/>
  <c r="R871" i="9" s="1"/>
  <c r="H871" i="9"/>
  <c r="O870" i="9"/>
  <c r="O871" i="9" s="1"/>
  <c r="R812" i="9"/>
  <c r="AD812" i="9"/>
  <c r="O812" i="9"/>
  <c r="P812" i="9"/>
  <c r="Q812" i="9"/>
  <c r="P799" i="9"/>
  <c r="R799" i="9"/>
  <c r="AD799" i="9"/>
  <c r="O799" i="9"/>
  <c r="Q799" i="9"/>
  <c r="H802" i="9"/>
  <c r="V774" i="9"/>
  <c r="W774" i="9"/>
  <c r="U774" i="9"/>
  <c r="T774" i="9"/>
  <c r="T743" i="9"/>
  <c r="T744" i="9" s="1"/>
  <c r="U743" i="9"/>
  <c r="U744" i="9" s="1"/>
  <c r="W743" i="9"/>
  <c r="W744" i="9" s="1"/>
  <c r="I744" i="9"/>
  <c r="V743" i="9"/>
  <c r="V744" i="9" s="1"/>
  <c r="J721" i="9"/>
  <c r="Y720" i="9"/>
  <c r="Z720" i="9"/>
  <c r="AC720" i="9"/>
  <c r="AA720" i="9"/>
  <c r="AB720" i="9"/>
  <c r="AG523" i="9"/>
  <c r="J525" i="9"/>
  <c r="AG525" i="9" s="1"/>
  <c r="AF440" i="9"/>
  <c r="I442" i="9"/>
  <c r="AF442" i="9" s="1"/>
  <c r="H416" i="9"/>
  <c r="O415" i="9"/>
  <c r="Q415" i="9"/>
  <c r="AE415" i="9" s="1"/>
  <c r="AD415" i="9"/>
  <c r="R415" i="9"/>
  <c r="P415" i="9"/>
  <c r="AG359" i="9"/>
  <c r="J361" i="9"/>
  <c r="AG361" i="9" s="1"/>
  <c r="P2197" i="9"/>
  <c r="Q2197" i="9"/>
  <c r="AD2197" i="9"/>
  <c r="O2197" i="9"/>
  <c r="R2197" i="9"/>
  <c r="T2184" i="9"/>
  <c r="U2184" i="9"/>
  <c r="V2184" i="9"/>
  <c r="W2184" i="9"/>
  <c r="I2188" i="9"/>
  <c r="AE2093" i="9"/>
  <c r="H2094" i="9"/>
  <c r="AD2093" i="9"/>
  <c r="T1953" i="9"/>
  <c r="U1953" i="9"/>
  <c r="V1953" i="9"/>
  <c r="W1953" i="9"/>
  <c r="W1915" i="9"/>
  <c r="T1915" i="9"/>
  <c r="U1915" i="9"/>
  <c r="V1915" i="9"/>
  <c r="I1917" i="9"/>
  <c r="AC1753" i="9"/>
  <c r="Y1753" i="9"/>
  <c r="AA1753" i="9"/>
  <c r="Z1753" i="9"/>
  <c r="AB1753" i="9"/>
  <c r="W1739" i="9"/>
  <c r="T1739" i="9"/>
  <c r="V1739" i="9"/>
  <c r="U1739" i="9"/>
  <c r="P1681" i="9"/>
  <c r="Q1681" i="9"/>
  <c r="O1681" i="9"/>
  <c r="AD1681" i="9"/>
  <c r="R1681" i="9"/>
  <c r="V1652" i="9"/>
  <c r="V1653" i="9" s="1"/>
  <c r="W1652" i="9"/>
  <c r="W1653" i="9" s="1"/>
  <c r="I1653" i="9"/>
  <c r="T1652" i="9"/>
  <c r="T1653" i="9" s="1"/>
  <c r="U1652" i="9"/>
  <c r="U1653" i="9" s="1"/>
  <c r="W1616" i="9"/>
  <c r="V1616" i="9"/>
  <c r="T1616" i="9"/>
  <c r="U1616" i="9"/>
  <c r="P1583" i="9"/>
  <c r="AD1583" i="9"/>
  <c r="Q1583" i="9"/>
  <c r="R1583" i="9"/>
  <c r="O1583" i="9"/>
  <c r="O1561" i="9"/>
  <c r="AD1561" i="9"/>
  <c r="P1561" i="9"/>
  <c r="Q1561" i="9"/>
  <c r="R1561" i="9"/>
  <c r="H1567" i="9"/>
  <c r="J1477" i="9"/>
  <c r="AA1476" i="9"/>
  <c r="AA1477" i="9" s="1"/>
  <c r="Y1476" i="9"/>
  <c r="Y1477" i="9" s="1"/>
  <c r="AC1476" i="9"/>
  <c r="AC1477" i="9" s="1"/>
  <c r="Z1476" i="9"/>
  <c r="Z1477" i="9" s="1"/>
  <c r="AB1476" i="9"/>
  <c r="AB1477" i="9" s="1"/>
  <c r="AG1397" i="9"/>
  <c r="J1401" i="9"/>
  <c r="AG1401" i="9" s="1"/>
  <c r="O1366" i="9"/>
  <c r="P1366" i="9"/>
  <c r="AD1366" i="9"/>
  <c r="Q1366" i="9"/>
  <c r="R1366" i="9"/>
  <c r="Q1190" i="9"/>
  <c r="AD1190" i="9"/>
  <c r="R1190" i="9"/>
  <c r="O1190" i="9"/>
  <c r="P1190" i="9"/>
  <c r="P1130" i="9"/>
  <c r="O1130" i="9"/>
  <c r="AE1130" i="9" s="1"/>
  <c r="R1130" i="9"/>
  <c r="AD1130" i="9"/>
  <c r="Q1130" i="9"/>
  <c r="H1113" i="9"/>
  <c r="AD1112" i="9"/>
  <c r="O1112" i="9"/>
  <c r="P1112" i="9"/>
  <c r="Q1112" i="9"/>
  <c r="R1112" i="9"/>
  <c r="AB1064" i="9"/>
  <c r="O1029" i="9"/>
  <c r="AD1029" i="9"/>
  <c r="P1029" i="9"/>
  <c r="Q1029" i="9"/>
  <c r="R1029" i="9"/>
  <c r="T951" i="9"/>
  <c r="W951" i="9"/>
  <c r="U951" i="9"/>
  <c r="V951" i="9"/>
  <c r="AB862" i="9"/>
  <c r="Z862" i="9"/>
  <c r="AC862" i="9"/>
  <c r="AA862" i="9"/>
  <c r="Y862" i="9"/>
  <c r="AB848" i="9"/>
  <c r="AA848" i="9"/>
  <c r="Y848" i="9"/>
  <c r="AC848" i="9"/>
  <c r="Z848" i="9"/>
  <c r="AF841" i="9"/>
  <c r="I855" i="9"/>
  <c r="AF855" i="9" s="1"/>
  <c r="U732" i="9"/>
  <c r="W732" i="9"/>
  <c r="V732" i="9"/>
  <c r="T732" i="9"/>
  <c r="I735" i="9"/>
  <c r="AD709" i="9"/>
  <c r="AE709" i="9"/>
  <c r="H711" i="9"/>
  <c r="AE676" i="9"/>
  <c r="AD676" i="9"/>
  <c r="AC617" i="9"/>
  <c r="AB617" i="9"/>
  <c r="AA617" i="9"/>
  <c r="AD587" i="9"/>
  <c r="AE587" i="9"/>
  <c r="H589" i="9"/>
  <c r="AF572" i="9"/>
  <c r="I574" i="9"/>
  <c r="AF574" i="9" s="1"/>
  <c r="AG378" i="9"/>
  <c r="J380" i="9"/>
  <c r="AG380" i="9" s="1"/>
  <c r="AD216" i="9"/>
  <c r="P216" i="9"/>
  <c r="P217" i="9" s="1"/>
  <c r="Q216" i="9"/>
  <c r="Q217" i="9" s="1"/>
  <c r="H217" i="9"/>
  <c r="O216" i="9"/>
  <c r="O217" i="9" s="1"/>
  <c r="R216" i="9"/>
  <c r="R217" i="9" s="1"/>
  <c r="H270" i="9"/>
  <c r="R267" i="9"/>
  <c r="P267" i="9"/>
  <c r="O267" i="9"/>
  <c r="Q267" i="9"/>
  <c r="AD267" i="9"/>
  <c r="V193" i="9"/>
  <c r="V194" i="9" s="1"/>
  <c r="I194" i="9"/>
  <c r="T193" i="9"/>
  <c r="T194" i="9" s="1"/>
  <c r="U193" i="9"/>
  <c r="U194" i="9" s="1"/>
  <c r="W193" i="9"/>
  <c r="W194" i="9" s="1"/>
  <c r="W2205" i="9"/>
  <c r="V2205" i="9"/>
  <c r="T2205" i="9"/>
  <c r="U2205" i="9"/>
  <c r="Q2202" i="9"/>
  <c r="R2202" i="9"/>
  <c r="AD2202" i="9"/>
  <c r="O2202" i="9"/>
  <c r="P2202" i="9"/>
  <c r="V2199" i="9"/>
  <c r="U2199" i="9"/>
  <c r="W2199" i="9"/>
  <c r="T2199" i="9"/>
  <c r="AD2195" i="9"/>
  <c r="P2195" i="9"/>
  <c r="Q2195" i="9"/>
  <c r="R2195" i="9"/>
  <c r="O2195" i="9"/>
  <c r="R2194" i="9"/>
  <c r="AD2194" i="9"/>
  <c r="O2194" i="9"/>
  <c r="P2194" i="9"/>
  <c r="Q2194" i="9"/>
  <c r="J2203" i="9"/>
  <c r="H2188" i="9"/>
  <c r="O2187" i="9"/>
  <c r="R2187" i="9"/>
  <c r="AD2187" i="9"/>
  <c r="P2187" i="9"/>
  <c r="Q2187" i="9"/>
  <c r="W2179" i="9"/>
  <c r="T2179" i="9"/>
  <c r="U2179" i="9"/>
  <c r="V2179" i="9"/>
  <c r="V2169" i="9"/>
  <c r="W2169" i="9"/>
  <c r="T2169" i="9"/>
  <c r="U2169" i="9"/>
  <c r="I2171" i="9"/>
  <c r="V2154" i="9"/>
  <c r="W2154" i="9"/>
  <c r="U2154" i="9"/>
  <c r="T2154" i="9"/>
  <c r="O2138" i="9"/>
  <c r="AD2138" i="9"/>
  <c r="P2138" i="9"/>
  <c r="Q2138" i="9"/>
  <c r="R2138" i="9"/>
  <c r="K2133" i="9"/>
  <c r="T2131" i="9"/>
  <c r="W2131" i="9"/>
  <c r="U2131" i="9"/>
  <c r="V2131" i="9"/>
  <c r="Q2129" i="9"/>
  <c r="R2129" i="9"/>
  <c r="O2129" i="9"/>
  <c r="AD2129" i="9"/>
  <c r="P2129" i="9"/>
  <c r="AE2129" i="9" s="1"/>
  <c r="L2121" i="9"/>
  <c r="AF2109" i="9"/>
  <c r="I2110" i="9"/>
  <c r="AF2110" i="9" s="1"/>
  <c r="AF2105" i="9"/>
  <c r="I2106" i="9"/>
  <c r="AA2097" i="9"/>
  <c r="AA2098" i="9" s="1"/>
  <c r="Z2097" i="9"/>
  <c r="Z2098" i="9" s="1"/>
  <c r="Y2097" i="9"/>
  <c r="Y2098" i="9" s="1"/>
  <c r="J2098" i="9"/>
  <c r="AB2097" i="9"/>
  <c r="AB2098" i="9" s="1"/>
  <c r="AC2097" i="9"/>
  <c r="AC2098" i="9" s="1"/>
  <c r="AC2085" i="9"/>
  <c r="AC2086" i="9" s="1"/>
  <c r="AB2085" i="9"/>
  <c r="AB2086" i="9" s="1"/>
  <c r="AA2085" i="9"/>
  <c r="AA2086" i="9" s="1"/>
  <c r="Y2085" i="9"/>
  <c r="Y2086" i="9" s="1"/>
  <c r="J2086" i="9"/>
  <c r="Z2085" i="9"/>
  <c r="Z2086" i="9" s="1"/>
  <c r="I2078" i="9"/>
  <c r="AF2078" i="9" s="1"/>
  <c r="AF2077" i="9"/>
  <c r="AB2057" i="9"/>
  <c r="AB2058" i="9" s="1"/>
  <c r="AC2057" i="9"/>
  <c r="AC2058" i="9" s="1"/>
  <c r="J2058" i="9"/>
  <c r="AA2057" i="9"/>
  <c r="AA2058" i="9" s="1"/>
  <c r="K2054" i="9"/>
  <c r="L2041" i="9"/>
  <c r="AF2029" i="9"/>
  <c r="I2033" i="9"/>
  <c r="AF2033" i="9" s="1"/>
  <c r="AD2023" i="9"/>
  <c r="Q2023" i="9"/>
  <c r="R2023" i="9"/>
  <c r="O2023" i="9"/>
  <c r="P2023" i="9"/>
  <c r="AG2022" i="9"/>
  <c r="J2025" i="9"/>
  <c r="AG2025" i="9" s="1"/>
  <c r="L2007" i="9"/>
  <c r="O2003" i="9"/>
  <c r="P2003" i="9"/>
  <c r="AD2003" i="9"/>
  <c r="Q2003" i="9"/>
  <c r="R2003" i="9"/>
  <c r="U2000" i="9"/>
  <c r="W2000" i="9"/>
  <c r="V2000" i="9"/>
  <c r="T2000" i="9"/>
  <c r="V1993" i="9"/>
  <c r="T1993" i="9"/>
  <c r="U1993" i="9"/>
  <c r="W1993" i="9"/>
  <c r="AD1992" i="9"/>
  <c r="Q1992" i="9"/>
  <c r="R1992" i="9"/>
  <c r="O1992" i="9"/>
  <c r="P1992" i="9"/>
  <c r="AD1989" i="9"/>
  <c r="P1989" i="9"/>
  <c r="R1989" i="9"/>
  <c r="Q1989" i="9"/>
  <c r="O1989" i="9"/>
  <c r="P1979" i="9"/>
  <c r="O1979" i="9"/>
  <c r="Q1979" i="9"/>
  <c r="AD1979" i="9"/>
  <c r="R1979" i="9"/>
  <c r="V1974" i="9"/>
  <c r="AF1974" i="9" s="1"/>
  <c r="T1974" i="9"/>
  <c r="U1974" i="9"/>
  <c r="W1974" i="9"/>
  <c r="W1973" i="9"/>
  <c r="U1973" i="9"/>
  <c r="T1973" i="9"/>
  <c r="V1973" i="9"/>
  <c r="R1971" i="9"/>
  <c r="P1971" i="9"/>
  <c r="O1971" i="9"/>
  <c r="AD1971" i="9"/>
  <c r="Q1971" i="9"/>
  <c r="U1970" i="9"/>
  <c r="W1970" i="9"/>
  <c r="T1970" i="9"/>
  <c r="V1970" i="9"/>
  <c r="V1966" i="9"/>
  <c r="T1966" i="9"/>
  <c r="U1966" i="9"/>
  <c r="W1966" i="9"/>
  <c r="I1981" i="9"/>
  <c r="K1963" i="9"/>
  <c r="Q1951" i="9"/>
  <c r="O1951" i="9"/>
  <c r="P1951" i="9"/>
  <c r="R1951" i="9"/>
  <c r="AD1951" i="9"/>
  <c r="U1948" i="9"/>
  <c r="T1948" i="9"/>
  <c r="V1948" i="9"/>
  <c r="W1948" i="9"/>
  <c r="I1940" i="9"/>
  <c r="T1939" i="9"/>
  <c r="U1939" i="9"/>
  <c r="W1939" i="9"/>
  <c r="V1939" i="9"/>
  <c r="H1929" i="9"/>
  <c r="AD1928" i="9"/>
  <c r="Q1928" i="9"/>
  <c r="O1928" i="9"/>
  <c r="R1928" i="9"/>
  <c r="P1928" i="9"/>
  <c r="T1926" i="9"/>
  <c r="W1926" i="9"/>
  <c r="U1926" i="9"/>
  <c r="V1926" i="9"/>
  <c r="Q1925" i="9"/>
  <c r="O1925" i="9"/>
  <c r="P1925" i="9"/>
  <c r="R1925" i="9"/>
  <c r="AD1925" i="9"/>
  <c r="K1921" i="9"/>
  <c r="J1921" i="9"/>
  <c r="K1903" i="9"/>
  <c r="J1881" i="9"/>
  <c r="U1874" i="9"/>
  <c r="V1874" i="9"/>
  <c r="W1874" i="9"/>
  <c r="T1874" i="9"/>
  <c r="I1876" i="9"/>
  <c r="K1871" i="9"/>
  <c r="W1852" i="9"/>
  <c r="T1852" i="9"/>
  <c r="V1852" i="9"/>
  <c r="U1852" i="9"/>
  <c r="O1849" i="9"/>
  <c r="P1849" i="9"/>
  <c r="AD1849" i="9"/>
  <c r="Q1849" i="9"/>
  <c r="AE1849" i="9" s="1"/>
  <c r="R1849" i="9"/>
  <c r="K1838" i="9"/>
  <c r="K35" i="9" s="1"/>
  <c r="W1834" i="9"/>
  <c r="T1834" i="9"/>
  <c r="U1834" i="9"/>
  <c r="V1834" i="9"/>
  <c r="T1832" i="9"/>
  <c r="W1832" i="9"/>
  <c r="U1832" i="9"/>
  <c r="V1832" i="9"/>
  <c r="O1831" i="9"/>
  <c r="P1831" i="9"/>
  <c r="Q1831" i="9"/>
  <c r="R1831" i="9"/>
  <c r="AD1831" i="9"/>
  <c r="H1827" i="9"/>
  <c r="Q1826" i="9"/>
  <c r="R1826" i="9"/>
  <c r="P1826" i="9"/>
  <c r="O1826" i="9"/>
  <c r="AD1826" i="9"/>
  <c r="Q1823" i="9"/>
  <c r="AD1823" i="9"/>
  <c r="R1823" i="9"/>
  <c r="O1823" i="9"/>
  <c r="P1823" i="9"/>
  <c r="AE1823" i="9" s="1"/>
  <c r="AD1821" i="9"/>
  <c r="Q1821" i="9"/>
  <c r="R1821" i="9"/>
  <c r="O1821" i="9"/>
  <c r="P1821" i="9"/>
  <c r="J1827" i="9"/>
  <c r="AD1813" i="9"/>
  <c r="R1813" i="9"/>
  <c r="O1813" i="9"/>
  <c r="P1813" i="9"/>
  <c r="Q1813" i="9"/>
  <c r="AD1812" i="9"/>
  <c r="O1812" i="9"/>
  <c r="P1812" i="9"/>
  <c r="Q1812" i="9"/>
  <c r="R1812" i="9"/>
  <c r="H1817" i="9"/>
  <c r="P1800" i="9"/>
  <c r="P1802" i="9" s="1"/>
  <c r="Q1800" i="9"/>
  <c r="Q1802" i="9" s="1"/>
  <c r="R1800" i="9"/>
  <c r="R1802" i="9" s="1"/>
  <c r="O1800" i="9"/>
  <c r="O1802" i="9" s="1"/>
  <c r="H1802" i="9"/>
  <c r="AD1800" i="9"/>
  <c r="U1796" i="9"/>
  <c r="T1796" i="9"/>
  <c r="V1796" i="9"/>
  <c r="W1796" i="9"/>
  <c r="AD1794" i="9"/>
  <c r="R1794" i="9"/>
  <c r="O1794" i="9"/>
  <c r="P1794" i="9"/>
  <c r="Q1794" i="9"/>
  <c r="R1789" i="9"/>
  <c r="O1789" i="9"/>
  <c r="P1789" i="9"/>
  <c r="AD1789" i="9"/>
  <c r="Q1789" i="9"/>
  <c r="J1797" i="9"/>
  <c r="W1778" i="9"/>
  <c r="W1779" i="9" s="1"/>
  <c r="I1779" i="9"/>
  <c r="T1778" i="9"/>
  <c r="T1779" i="9" s="1"/>
  <c r="U1778" i="9"/>
  <c r="U1779" i="9" s="1"/>
  <c r="V1778" i="9"/>
  <c r="V1779" i="9" s="1"/>
  <c r="Q1770" i="9"/>
  <c r="Q1771" i="9" s="1"/>
  <c r="AD1770" i="9"/>
  <c r="R1770" i="9"/>
  <c r="R1771" i="9" s="1"/>
  <c r="H1771" i="9"/>
  <c r="O1770" i="9"/>
  <c r="O1771" i="9" s="1"/>
  <c r="P1770" i="9"/>
  <c r="P1771" i="9" s="1"/>
  <c r="O1754" i="9"/>
  <c r="AD1754" i="9"/>
  <c r="P1754" i="9"/>
  <c r="Q1754" i="9"/>
  <c r="R1754" i="9"/>
  <c r="O1753" i="9"/>
  <c r="AE1753" i="9" s="1"/>
  <c r="P1753" i="9"/>
  <c r="AD1753" i="9"/>
  <c r="Q1753" i="9"/>
  <c r="R1753" i="9"/>
  <c r="AC1750" i="9"/>
  <c r="AA1750" i="9"/>
  <c r="Y1750" i="9"/>
  <c r="Z1750" i="9"/>
  <c r="AB1750" i="9"/>
  <c r="J1755" i="9"/>
  <c r="T1745" i="9"/>
  <c r="U1745" i="9"/>
  <c r="V1745" i="9"/>
  <c r="W1745" i="9"/>
  <c r="U1743" i="9"/>
  <c r="V1743" i="9"/>
  <c r="W1743" i="9"/>
  <c r="T1743" i="9"/>
  <c r="P1739" i="9"/>
  <c r="O1739" i="9"/>
  <c r="AD1739" i="9"/>
  <c r="Q1739" i="9"/>
  <c r="AE1739" i="9" s="1"/>
  <c r="R1739" i="9"/>
  <c r="K37" i="9"/>
  <c r="K1735" i="9"/>
  <c r="O1731" i="9"/>
  <c r="P1731" i="9"/>
  <c r="Q1731" i="9"/>
  <c r="AD1731" i="9"/>
  <c r="R1731" i="9"/>
  <c r="AD1729" i="9"/>
  <c r="O1729" i="9"/>
  <c r="AE1729" i="9" s="1"/>
  <c r="R1729" i="9"/>
  <c r="P1729" i="9"/>
  <c r="Q1729" i="9"/>
  <c r="H1732" i="9"/>
  <c r="AD1718" i="9"/>
  <c r="O1718" i="9"/>
  <c r="P1718" i="9"/>
  <c r="Q1718" i="9"/>
  <c r="R1718" i="9"/>
  <c r="T1705" i="9"/>
  <c r="U1705" i="9"/>
  <c r="V1705" i="9"/>
  <c r="W1705" i="9"/>
  <c r="Q1702" i="9"/>
  <c r="R1702" i="9"/>
  <c r="O1702" i="9"/>
  <c r="AD1702" i="9"/>
  <c r="P1702" i="9"/>
  <c r="H1706" i="9"/>
  <c r="W1695" i="9"/>
  <c r="V1695" i="9"/>
  <c r="T1695" i="9"/>
  <c r="U1695" i="9"/>
  <c r="O1693" i="9"/>
  <c r="AE1693" i="9" s="1"/>
  <c r="Q1693" i="9"/>
  <c r="P1693" i="9"/>
  <c r="R1693" i="9"/>
  <c r="AD1693" i="9"/>
  <c r="L1686" i="9"/>
  <c r="AD1682" i="9"/>
  <c r="P1682" i="9"/>
  <c r="Q1682" i="9"/>
  <c r="R1682" i="9"/>
  <c r="O1682" i="9"/>
  <c r="L1678" i="9"/>
  <c r="T1675" i="9"/>
  <c r="U1675" i="9"/>
  <c r="V1675" i="9"/>
  <c r="W1675" i="9"/>
  <c r="I1678" i="9"/>
  <c r="J1670" i="9"/>
  <c r="W1667" i="9"/>
  <c r="T1667" i="9"/>
  <c r="U1667" i="9"/>
  <c r="V1667" i="9"/>
  <c r="W1661" i="9"/>
  <c r="T1661" i="9"/>
  <c r="U1661" i="9"/>
  <c r="V1661" i="9"/>
  <c r="T1658" i="9"/>
  <c r="AF1658" i="9" s="1"/>
  <c r="V1658" i="9"/>
  <c r="W1658" i="9"/>
  <c r="U1658" i="9"/>
  <c r="W1649" i="9"/>
  <c r="W1650" i="9" s="1"/>
  <c r="I1650" i="9"/>
  <c r="V1649" i="9"/>
  <c r="V1650" i="9" s="1"/>
  <c r="T1649" i="9"/>
  <c r="T1650" i="9" s="1"/>
  <c r="U1649" i="9"/>
  <c r="U1650" i="9" s="1"/>
  <c r="H1643" i="9"/>
  <c r="AD1642" i="9"/>
  <c r="O1642" i="9"/>
  <c r="P1642" i="9"/>
  <c r="Q1642" i="9"/>
  <c r="R1642" i="9"/>
  <c r="J1629" i="9"/>
  <c r="AC1627" i="9"/>
  <c r="AB1627" i="9"/>
  <c r="Y1627" i="9"/>
  <c r="Z1627" i="9"/>
  <c r="AA1627" i="9"/>
  <c r="R1621" i="9"/>
  <c r="P1621" i="9"/>
  <c r="AD1621" i="9"/>
  <c r="O1621" i="9"/>
  <c r="Q1621" i="9"/>
  <c r="U1619" i="9"/>
  <c r="T1619" i="9"/>
  <c r="V1619" i="9"/>
  <c r="W1619" i="9"/>
  <c r="T1618" i="9"/>
  <c r="U1618" i="9"/>
  <c r="V1618" i="9"/>
  <c r="W1618" i="9"/>
  <c r="L1612" i="9"/>
  <c r="U1610" i="9"/>
  <c r="W1610" i="9"/>
  <c r="V1610" i="9"/>
  <c r="T1610" i="9"/>
  <c r="W1607" i="9"/>
  <c r="T1607" i="9"/>
  <c r="U1607" i="9"/>
  <c r="V1607" i="9"/>
  <c r="J1612" i="9"/>
  <c r="K1600" i="9"/>
  <c r="T1597" i="9"/>
  <c r="V1597" i="9"/>
  <c r="W1597" i="9"/>
  <c r="U1597" i="9"/>
  <c r="O1596" i="9"/>
  <c r="P1596" i="9"/>
  <c r="AD1596" i="9"/>
  <c r="R1596" i="9"/>
  <c r="Q1596" i="9"/>
  <c r="O1588" i="9"/>
  <c r="Q1588" i="9"/>
  <c r="R1588" i="9"/>
  <c r="P1588" i="9"/>
  <c r="AD1588" i="9"/>
  <c r="AD1586" i="9"/>
  <c r="R1586" i="9"/>
  <c r="O1586" i="9"/>
  <c r="AE1586" i="9" s="1"/>
  <c r="P1586" i="9"/>
  <c r="Q1586" i="9"/>
  <c r="W1585" i="9"/>
  <c r="T1585" i="9"/>
  <c r="U1585" i="9"/>
  <c r="V1585" i="9"/>
  <c r="W1583" i="9"/>
  <c r="T1583" i="9"/>
  <c r="U1583" i="9"/>
  <c r="V1583" i="9"/>
  <c r="P1577" i="9"/>
  <c r="AD1577" i="9"/>
  <c r="Q1577" i="9"/>
  <c r="R1577" i="9"/>
  <c r="O1577" i="9"/>
  <c r="AD1574" i="9"/>
  <c r="O1574" i="9"/>
  <c r="P1574" i="9"/>
  <c r="Q1574" i="9"/>
  <c r="R1574" i="9"/>
  <c r="T1572" i="9"/>
  <c r="U1572" i="9"/>
  <c r="V1572" i="9"/>
  <c r="W1572" i="9"/>
  <c r="J1578" i="9"/>
  <c r="R1566" i="9"/>
  <c r="AD1566" i="9"/>
  <c r="Q1566" i="9"/>
  <c r="O1566" i="9"/>
  <c r="P1566" i="9"/>
  <c r="V1564" i="9"/>
  <c r="W1564" i="9"/>
  <c r="U1564" i="9"/>
  <c r="T1564" i="9"/>
  <c r="R1555" i="9"/>
  <c r="Q1555" i="9"/>
  <c r="AD1555" i="9"/>
  <c r="P1555" i="9"/>
  <c r="O1555" i="9"/>
  <c r="O1552" i="9"/>
  <c r="P1552" i="9"/>
  <c r="Q1552" i="9"/>
  <c r="R1552" i="9"/>
  <c r="AD1552" i="9"/>
  <c r="L1546" i="9"/>
  <c r="AD1537" i="9"/>
  <c r="O1537" i="9"/>
  <c r="P1537" i="9"/>
  <c r="R1537" i="9"/>
  <c r="Q1537" i="9"/>
  <c r="H1546" i="9"/>
  <c r="Q1533" i="9"/>
  <c r="O1533" i="9"/>
  <c r="AD1533" i="9"/>
  <c r="P1533" i="9"/>
  <c r="R1533" i="9"/>
  <c r="P1531" i="9"/>
  <c r="Q1531" i="9"/>
  <c r="AD1531" i="9"/>
  <c r="R1531" i="9"/>
  <c r="O1531" i="9"/>
  <c r="I1524" i="9"/>
  <c r="W1523" i="9"/>
  <c r="V1523" i="9"/>
  <c r="T1523" i="9"/>
  <c r="U1523" i="9"/>
  <c r="Q1522" i="9"/>
  <c r="R1522" i="9"/>
  <c r="AD1522" i="9"/>
  <c r="P1522" i="9"/>
  <c r="O1522" i="9"/>
  <c r="R1519" i="9"/>
  <c r="O1519" i="9"/>
  <c r="Q1519" i="9"/>
  <c r="P1519" i="9"/>
  <c r="AD1519" i="9"/>
  <c r="H1524" i="9"/>
  <c r="AA1496" i="9"/>
  <c r="AA1497" i="9" s="1"/>
  <c r="AB1496" i="9"/>
  <c r="AB1497" i="9" s="1"/>
  <c r="J1497" i="9"/>
  <c r="Y1496" i="9"/>
  <c r="Y1497" i="9" s="1"/>
  <c r="Z1496" i="9"/>
  <c r="Z1497" i="9" s="1"/>
  <c r="AC1496" i="9"/>
  <c r="AC1497" i="9" s="1"/>
  <c r="I1489" i="9"/>
  <c r="AF1489" i="9" s="1"/>
  <c r="AF1488" i="9"/>
  <c r="AA1484" i="9"/>
  <c r="AA1485" i="9" s="1"/>
  <c r="Z1484" i="9"/>
  <c r="Z1485" i="9" s="1"/>
  <c r="AC1484" i="9"/>
  <c r="AC1485" i="9" s="1"/>
  <c r="Y1484" i="9"/>
  <c r="Y1485" i="9" s="1"/>
  <c r="AB1484" i="9"/>
  <c r="AB1485" i="9" s="1"/>
  <c r="J1485" i="9"/>
  <c r="AC1468" i="9"/>
  <c r="AC1469" i="9" s="1"/>
  <c r="AA1468" i="9"/>
  <c r="AA1469" i="9" s="1"/>
  <c r="AB1468" i="9"/>
  <c r="AB1469" i="9" s="1"/>
  <c r="Z1468" i="9"/>
  <c r="Z1469" i="9" s="1"/>
  <c r="Y1468" i="9"/>
  <c r="Y1469" i="9" s="1"/>
  <c r="J1469" i="9"/>
  <c r="AF1456" i="9"/>
  <c r="I1457" i="9"/>
  <c r="L1443" i="9"/>
  <c r="I1437" i="9"/>
  <c r="V1436" i="9"/>
  <c r="W1436" i="9"/>
  <c r="T1436" i="9"/>
  <c r="U1436" i="9"/>
  <c r="AG1434" i="9"/>
  <c r="J1437" i="9"/>
  <c r="AG1437" i="9" s="1"/>
  <c r="AE1430" i="9"/>
  <c r="AD1430" i="9"/>
  <c r="T1428" i="9"/>
  <c r="U1428" i="9"/>
  <c r="V1428" i="9"/>
  <c r="W1428" i="9"/>
  <c r="I1431" i="9"/>
  <c r="AG1422" i="9"/>
  <c r="J1425" i="9"/>
  <c r="AG1425" i="9" s="1"/>
  <c r="AE1417" i="9"/>
  <c r="AD1417" i="9"/>
  <c r="L1407" i="9"/>
  <c r="T1399" i="9"/>
  <c r="AF1399" i="9" s="1"/>
  <c r="U1399" i="9"/>
  <c r="V1399" i="9"/>
  <c r="W1399" i="9"/>
  <c r="AE1392" i="9"/>
  <c r="AD1392" i="9"/>
  <c r="T1391" i="9"/>
  <c r="U1391" i="9"/>
  <c r="V1391" i="9"/>
  <c r="W1391" i="9"/>
  <c r="K1379" i="9"/>
  <c r="O1377" i="9"/>
  <c r="AD1377" i="9"/>
  <c r="P1377" i="9"/>
  <c r="Q1377" i="9"/>
  <c r="R1377" i="9"/>
  <c r="H1379" i="9"/>
  <c r="AF1364" i="9"/>
  <c r="I1368" i="9"/>
  <c r="AF1368" i="9" s="1"/>
  <c r="K1354" i="9"/>
  <c r="AG1344" i="9"/>
  <c r="J1347" i="9"/>
  <c r="AG1347" i="9" s="1"/>
  <c r="AD1339" i="9"/>
  <c r="Q1339" i="9"/>
  <c r="O1339" i="9"/>
  <c r="P1339" i="9"/>
  <c r="R1339" i="9"/>
  <c r="K1334" i="9"/>
  <c r="H1325" i="9"/>
  <c r="AD1324" i="9"/>
  <c r="P1324" i="9"/>
  <c r="O1324" i="9"/>
  <c r="Q1324" i="9"/>
  <c r="R1324" i="9"/>
  <c r="K1319" i="9"/>
  <c r="L1312" i="9"/>
  <c r="K1305" i="9"/>
  <c r="Q1301" i="9"/>
  <c r="AD1301" i="9"/>
  <c r="R1301" i="9"/>
  <c r="P1301" i="9"/>
  <c r="O1301" i="9"/>
  <c r="H1305" i="9"/>
  <c r="K1298" i="9"/>
  <c r="Q1290" i="9"/>
  <c r="P1290" i="9"/>
  <c r="AD1290" i="9"/>
  <c r="O1290" i="9"/>
  <c r="R1290" i="9"/>
  <c r="AG1287" i="9"/>
  <c r="J1291" i="9"/>
  <c r="AG1291" i="9" s="1"/>
  <c r="AD1283" i="9"/>
  <c r="P1283" i="9"/>
  <c r="O1283" i="9"/>
  <c r="R1283" i="9"/>
  <c r="Q1283" i="9"/>
  <c r="L1277" i="9"/>
  <c r="R1275" i="9"/>
  <c r="O1275" i="9"/>
  <c r="Q1275" i="9"/>
  <c r="P1275" i="9"/>
  <c r="AD1275" i="9"/>
  <c r="AF1266" i="9"/>
  <c r="I1267" i="9"/>
  <c r="AF1267" i="9" s="1"/>
  <c r="O1257" i="9"/>
  <c r="O1258" i="9" s="1"/>
  <c r="R1257" i="9"/>
  <c r="R1258" i="9" s="1"/>
  <c r="P1257" i="9"/>
  <c r="P1258" i="9" s="1"/>
  <c r="Q1257" i="9"/>
  <c r="Q1258" i="9" s="1"/>
  <c r="AD1257" i="9"/>
  <c r="H1258" i="9"/>
  <c r="O1245" i="9"/>
  <c r="O1246" i="9" s="1"/>
  <c r="P1245" i="9"/>
  <c r="P1246" i="9" s="1"/>
  <c r="H1246" i="9"/>
  <c r="AD1245" i="9"/>
  <c r="Q1245" i="9"/>
  <c r="R1245" i="9"/>
  <c r="R1246" i="9" s="1"/>
  <c r="AD1229" i="9"/>
  <c r="O1229" i="9"/>
  <c r="Q1229" i="9"/>
  <c r="P1229" i="9"/>
  <c r="R1229" i="9"/>
  <c r="AG1219" i="9"/>
  <c r="J1223" i="9"/>
  <c r="AG1223" i="9" s="1"/>
  <c r="L1216" i="9"/>
  <c r="Q1207" i="9"/>
  <c r="R1207" i="9"/>
  <c r="AD1207" i="9"/>
  <c r="O1207" i="9"/>
  <c r="AE1207" i="9" s="1"/>
  <c r="P1207" i="9"/>
  <c r="P1205" i="9"/>
  <c r="Q1205" i="9"/>
  <c r="R1205" i="9"/>
  <c r="O1205" i="9"/>
  <c r="AE1205" i="9" s="1"/>
  <c r="AD1205" i="9"/>
  <c r="H1209" i="9"/>
  <c r="H1202" i="9"/>
  <c r="Q1201" i="9"/>
  <c r="AD1201" i="9"/>
  <c r="R1201" i="9"/>
  <c r="O1201" i="9"/>
  <c r="P1201" i="9"/>
  <c r="O1193" i="9"/>
  <c r="P1193" i="9"/>
  <c r="Q1193" i="9"/>
  <c r="R1193" i="9"/>
  <c r="AD1193" i="9"/>
  <c r="AB1134" i="9"/>
  <c r="O1133" i="9"/>
  <c r="P1133" i="9"/>
  <c r="R1133" i="9"/>
  <c r="Q1133" i="9"/>
  <c r="AD1133" i="9"/>
  <c r="V1128" i="9"/>
  <c r="T1128" i="9"/>
  <c r="U1128" i="9"/>
  <c r="W1128" i="9"/>
  <c r="AB1126" i="9"/>
  <c r="W1111" i="9"/>
  <c r="U1111" i="9"/>
  <c r="T1111" i="9"/>
  <c r="V1111" i="9"/>
  <c r="AD1104" i="9"/>
  <c r="R1104" i="9"/>
  <c r="P1104" i="9"/>
  <c r="Q1104" i="9"/>
  <c r="AE1104" i="9" s="1"/>
  <c r="O1104" i="9"/>
  <c r="AD1101" i="9"/>
  <c r="O1101" i="9"/>
  <c r="R1101" i="9"/>
  <c r="Q1101" i="9"/>
  <c r="P1101" i="9"/>
  <c r="T1093" i="9"/>
  <c r="U1093" i="9"/>
  <c r="V1093" i="9"/>
  <c r="W1093" i="9"/>
  <c r="AB1085" i="9"/>
  <c r="O1076" i="9"/>
  <c r="R1076" i="9"/>
  <c r="AD1076" i="9"/>
  <c r="P1076" i="9"/>
  <c r="Q1076" i="9"/>
  <c r="AD1074" i="9"/>
  <c r="R1074" i="9"/>
  <c r="Q1074" i="9"/>
  <c r="O1074" i="9"/>
  <c r="P1074" i="9"/>
  <c r="U1067" i="9"/>
  <c r="V1067" i="9"/>
  <c r="W1067" i="9"/>
  <c r="T1067" i="9"/>
  <c r="W1063" i="9"/>
  <c r="T1063" i="9"/>
  <c r="U1063" i="9"/>
  <c r="V1063" i="9"/>
  <c r="AD1059" i="9"/>
  <c r="P1059" i="9"/>
  <c r="Q1059" i="9"/>
  <c r="O1059" i="9"/>
  <c r="R1059" i="9"/>
  <c r="W1058" i="9"/>
  <c r="U1058" i="9"/>
  <c r="T1058" i="9"/>
  <c r="V1058" i="9"/>
  <c r="R1050" i="9"/>
  <c r="AD1050" i="9"/>
  <c r="O1050" i="9"/>
  <c r="P1050" i="9"/>
  <c r="Q1050" i="9"/>
  <c r="O1046" i="9"/>
  <c r="AD1046" i="9"/>
  <c r="R1046" i="9"/>
  <c r="P1046" i="9"/>
  <c r="Q1046" i="9"/>
  <c r="AB1043" i="9"/>
  <c r="R1041" i="9"/>
  <c r="O1041" i="9"/>
  <c r="AD1041" i="9"/>
  <c r="P1041" i="9"/>
  <c r="Q1041" i="9"/>
  <c r="P1033" i="9"/>
  <c r="O1033" i="9"/>
  <c r="Q1033" i="9"/>
  <c r="AD1033" i="9"/>
  <c r="R1033" i="9"/>
  <c r="T1028" i="9"/>
  <c r="U1028" i="9"/>
  <c r="W1028" i="9"/>
  <c r="V1028" i="9"/>
  <c r="W1027" i="9"/>
  <c r="T1027" i="9"/>
  <c r="U1027" i="9"/>
  <c r="V1027" i="9"/>
  <c r="O1024" i="9"/>
  <c r="AD1024" i="9"/>
  <c r="P1024" i="9"/>
  <c r="Q1024" i="9"/>
  <c r="R1024" i="9"/>
  <c r="O1022" i="9"/>
  <c r="AE1022" i="9" s="1"/>
  <c r="P1022" i="9"/>
  <c r="AD1022" i="9"/>
  <c r="R1022" i="9"/>
  <c r="Q1022" i="9"/>
  <c r="H1034" i="9"/>
  <c r="T1017" i="9"/>
  <c r="U1017" i="9"/>
  <c r="V1017" i="9"/>
  <c r="W1017" i="9"/>
  <c r="AD1016" i="9"/>
  <c r="P1016" i="9"/>
  <c r="Q1016" i="9"/>
  <c r="R1016" i="9"/>
  <c r="O1016" i="9"/>
  <c r="R1010" i="9"/>
  <c r="AD1010" i="9"/>
  <c r="P1010" i="9"/>
  <c r="O1010" i="9"/>
  <c r="Q1010" i="9"/>
  <c r="U1005" i="9"/>
  <c r="W1005" i="9"/>
  <c r="V1005" i="9"/>
  <c r="T1005" i="9"/>
  <c r="T985" i="9"/>
  <c r="U985" i="9"/>
  <c r="V985" i="9"/>
  <c r="W985" i="9"/>
  <c r="J977" i="9"/>
  <c r="K968" i="9"/>
  <c r="K25" i="9" s="1"/>
  <c r="K78" i="9" s="1"/>
  <c r="L956" i="9"/>
  <c r="O952" i="9"/>
  <c r="P952" i="9"/>
  <c r="Q952" i="9"/>
  <c r="AD952" i="9"/>
  <c r="R952" i="9"/>
  <c r="Q951" i="9"/>
  <c r="R951" i="9"/>
  <c r="AD951" i="9"/>
  <c r="O951" i="9"/>
  <c r="P951" i="9"/>
  <c r="H943" i="9"/>
  <c r="O942" i="9"/>
  <c r="P942" i="9"/>
  <c r="R942" i="9"/>
  <c r="AD942" i="9"/>
  <c r="Q942" i="9"/>
  <c r="T939" i="9"/>
  <c r="V939" i="9"/>
  <c r="W939" i="9"/>
  <c r="U939" i="9"/>
  <c r="V938" i="9"/>
  <c r="T938" i="9"/>
  <c r="W938" i="9"/>
  <c r="U938" i="9"/>
  <c r="K934" i="9"/>
  <c r="W931" i="9"/>
  <c r="T931" i="9"/>
  <c r="U931" i="9"/>
  <c r="V931" i="9"/>
  <c r="W930" i="9"/>
  <c r="V930" i="9"/>
  <c r="T930" i="9"/>
  <c r="U930" i="9"/>
  <c r="AD924" i="9"/>
  <c r="O924" i="9"/>
  <c r="O926" i="9" s="1"/>
  <c r="P924" i="9"/>
  <c r="P926" i="9" s="1"/>
  <c r="Q924" i="9"/>
  <c r="Q926" i="9" s="1"/>
  <c r="H926" i="9"/>
  <c r="R924" i="9"/>
  <c r="V917" i="9"/>
  <c r="U917" i="9"/>
  <c r="W917" i="9"/>
  <c r="T917" i="9"/>
  <c r="AF917" i="9" s="1"/>
  <c r="O906" i="9"/>
  <c r="P906" i="9"/>
  <c r="Q906" i="9"/>
  <c r="R906" i="9"/>
  <c r="AD906" i="9"/>
  <c r="R898" i="9"/>
  <c r="AD898" i="9"/>
  <c r="Q898" i="9"/>
  <c r="O898" i="9"/>
  <c r="P898" i="9"/>
  <c r="H909" i="9"/>
  <c r="H891" i="9"/>
  <c r="O890" i="9"/>
  <c r="AD890" i="9"/>
  <c r="P890" i="9"/>
  <c r="Q890" i="9"/>
  <c r="R890" i="9"/>
  <c r="AD889" i="9"/>
  <c r="P889" i="9"/>
  <c r="Q889" i="9"/>
  <c r="R889" i="9"/>
  <c r="O889" i="9"/>
  <c r="V887" i="9"/>
  <c r="W887" i="9"/>
  <c r="T887" i="9"/>
  <c r="U887" i="9"/>
  <c r="V885" i="9"/>
  <c r="T885" i="9"/>
  <c r="W885" i="9"/>
  <c r="U885" i="9"/>
  <c r="AF885" i="9" s="1"/>
  <c r="K880" i="9"/>
  <c r="AD862" i="9"/>
  <c r="R862" i="9"/>
  <c r="O862" i="9"/>
  <c r="P862" i="9"/>
  <c r="Q862" i="9"/>
  <c r="T859" i="9"/>
  <c r="U859" i="9"/>
  <c r="V859" i="9"/>
  <c r="W859" i="9"/>
  <c r="Z854" i="9"/>
  <c r="AA854" i="9"/>
  <c r="AB854" i="9"/>
  <c r="Y854" i="9"/>
  <c r="AC854" i="9"/>
  <c r="AD851" i="9"/>
  <c r="P851" i="9"/>
  <c r="O851" i="9"/>
  <c r="Q851" i="9"/>
  <c r="R851" i="9"/>
  <c r="Z846" i="9"/>
  <c r="AA846" i="9"/>
  <c r="Y846" i="9"/>
  <c r="AC846" i="9"/>
  <c r="AB846" i="9"/>
  <c r="AD844" i="9"/>
  <c r="O844" i="9"/>
  <c r="P844" i="9"/>
  <c r="Q844" i="9"/>
  <c r="R844" i="9"/>
  <c r="O841" i="9"/>
  <c r="AD841" i="9"/>
  <c r="P841" i="9"/>
  <c r="Q841" i="9"/>
  <c r="R841" i="9"/>
  <c r="H855" i="9"/>
  <c r="AD835" i="9"/>
  <c r="AE835" i="9"/>
  <c r="H838" i="9"/>
  <c r="L825" i="9"/>
  <c r="O821" i="9"/>
  <c r="AD821" i="9"/>
  <c r="P821" i="9"/>
  <c r="Q821" i="9"/>
  <c r="R821" i="9"/>
  <c r="H814" i="9"/>
  <c r="P813" i="9"/>
  <c r="R813" i="9"/>
  <c r="O813" i="9"/>
  <c r="Q813" i="9"/>
  <c r="AD813" i="9"/>
  <c r="R810" i="9"/>
  <c r="AD810" i="9"/>
  <c r="P810" i="9"/>
  <c r="Q810" i="9"/>
  <c r="O810" i="9"/>
  <c r="K802" i="9"/>
  <c r="J796" i="9"/>
  <c r="AB790" i="9"/>
  <c r="O788" i="9"/>
  <c r="Q788" i="9"/>
  <c r="AD788" i="9"/>
  <c r="P788" i="9"/>
  <c r="R788" i="9"/>
  <c r="H791" i="9"/>
  <c r="K785" i="9"/>
  <c r="K778" i="9"/>
  <c r="Y775" i="9"/>
  <c r="Z775" i="9"/>
  <c r="AA775" i="9"/>
  <c r="AB775" i="9"/>
  <c r="AC775" i="9"/>
  <c r="AD774" i="9"/>
  <c r="P774" i="9"/>
  <c r="Q774" i="9"/>
  <c r="O774" i="9"/>
  <c r="R774" i="9"/>
  <c r="H778" i="9"/>
  <c r="T769" i="9"/>
  <c r="V769" i="9"/>
  <c r="W769" i="9"/>
  <c r="U769" i="9"/>
  <c r="AD765" i="9"/>
  <c r="O765" i="9"/>
  <c r="R765" i="9"/>
  <c r="P765" i="9"/>
  <c r="Q765" i="9"/>
  <c r="K756" i="9"/>
  <c r="H750" i="9"/>
  <c r="AD749" i="9"/>
  <c r="P749" i="9"/>
  <c r="Q749" i="9"/>
  <c r="O749" i="9"/>
  <c r="R749" i="9"/>
  <c r="R743" i="9"/>
  <c r="R744" i="9" s="1"/>
  <c r="H744" i="9"/>
  <c r="O743" i="9"/>
  <c r="O744" i="9" s="1"/>
  <c r="P743" i="9"/>
  <c r="P744" i="9" s="1"/>
  <c r="AD743" i="9"/>
  <c r="Q743" i="9"/>
  <c r="Q744" i="9" s="1"/>
  <c r="U738" i="9"/>
  <c r="V738" i="9"/>
  <c r="T738" i="9"/>
  <c r="W738" i="9"/>
  <c r="R732" i="9"/>
  <c r="P732" i="9"/>
  <c r="O732" i="9"/>
  <c r="Q732" i="9"/>
  <c r="AD732" i="9"/>
  <c r="H735" i="9"/>
  <c r="AC724" i="9"/>
  <c r="Z724" i="9"/>
  <c r="AA724" i="9"/>
  <c r="AB724" i="9"/>
  <c r="Y724" i="9"/>
  <c r="Y719" i="9"/>
  <c r="AA719" i="9"/>
  <c r="AB719" i="9"/>
  <c r="Z719" i="9"/>
  <c r="AC719" i="9"/>
  <c r="K716" i="9"/>
  <c r="AA710" i="9"/>
  <c r="AB710" i="9"/>
  <c r="AC710" i="9"/>
  <c r="Y710" i="9"/>
  <c r="Z710" i="9"/>
  <c r="AF702" i="9"/>
  <c r="I704" i="9"/>
  <c r="AF704" i="9" s="1"/>
  <c r="AF697" i="9"/>
  <c r="I699" i="9"/>
  <c r="AF699" i="9" s="1"/>
  <c r="L694" i="9"/>
  <c r="L706" i="9" s="1"/>
  <c r="AF680" i="9"/>
  <c r="I682" i="9"/>
  <c r="AF682" i="9" s="1"/>
  <c r="AE660" i="9"/>
  <c r="AD660" i="9"/>
  <c r="AE653" i="9"/>
  <c r="AD653" i="9"/>
  <c r="AD652" i="9"/>
  <c r="AE652" i="9"/>
  <c r="H654" i="9"/>
  <c r="AF647" i="9"/>
  <c r="I649" i="9"/>
  <c r="AF649" i="9" s="1"/>
  <c r="L644" i="9"/>
  <c r="AE638" i="9"/>
  <c r="AD638" i="9"/>
  <c r="L634" i="9"/>
  <c r="J624" i="9"/>
  <c r="AC623" i="9"/>
  <c r="AA623" i="9"/>
  <c r="AB623" i="9"/>
  <c r="Z623" i="9"/>
  <c r="Y623" i="9"/>
  <c r="AD612" i="9"/>
  <c r="AE612" i="9"/>
  <c r="H614" i="9"/>
  <c r="AD607" i="9"/>
  <c r="AE607" i="9"/>
  <c r="H609" i="9"/>
  <c r="AE592" i="9"/>
  <c r="AD592" i="9"/>
  <c r="H594" i="9"/>
  <c r="K579" i="9"/>
  <c r="AE573" i="9"/>
  <c r="AD573" i="9"/>
  <c r="AB572" i="9"/>
  <c r="Z572" i="9"/>
  <c r="Y572" i="9"/>
  <c r="AA572" i="9"/>
  <c r="AC572" i="9"/>
  <c r="AE556" i="9"/>
  <c r="AD556" i="9"/>
  <c r="H557" i="9"/>
  <c r="J549" i="9"/>
  <c r="AG549" i="9" s="1"/>
  <c r="AG548" i="9"/>
  <c r="AG544" i="9"/>
  <c r="J545" i="9"/>
  <c r="AG545" i="9" s="1"/>
  <c r="AG536" i="9"/>
  <c r="J537" i="9"/>
  <c r="AG537" i="9" s="1"/>
  <c r="I533" i="9"/>
  <c r="T532" i="9"/>
  <c r="T533" i="9" s="1"/>
  <c r="V532" i="9"/>
  <c r="V533" i="9" s="1"/>
  <c r="W532" i="9"/>
  <c r="W533" i="9" s="1"/>
  <c r="U532" i="9"/>
  <c r="U533" i="9" s="1"/>
  <c r="K525" i="9"/>
  <c r="AD519" i="9"/>
  <c r="H520" i="9"/>
  <c r="AE519" i="9"/>
  <c r="V507" i="9"/>
  <c r="V508" i="9" s="1"/>
  <c r="U507" i="9"/>
  <c r="U508" i="9" s="1"/>
  <c r="I508" i="9"/>
  <c r="T507" i="9"/>
  <c r="W507" i="9"/>
  <c r="W508" i="9" s="1"/>
  <c r="U503" i="9"/>
  <c r="W503" i="9"/>
  <c r="V503" i="9"/>
  <c r="T503" i="9"/>
  <c r="H487" i="9"/>
  <c r="O486" i="9"/>
  <c r="AE486" i="9" s="1"/>
  <c r="Q486" i="9"/>
  <c r="R486" i="9"/>
  <c r="AD486" i="9"/>
  <c r="P486" i="9"/>
  <c r="AG481" i="9"/>
  <c r="J487" i="9"/>
  <c r="AG487" i="9" s="1"/>
  <c r="L465" i="9"/>
  <c r="P461" i="9"/>
  <c r="R461" i="9"/>
  <c r="AD461" i="9"/>
  <c r="Q461" i="9"/>
  <c r="O461" i="9"/>
  <c r="AF460" i="9"/>
  <c r="I465" i="9"/>
  <c r="AF465" i="9" s="1"/>
  <c r="AD453" i="9"/>
  <c r="P453" i="9"/>
  <c r="O453" i="9"/>
  <c r="Q453" i="9"/>
  <c r="R453" i="9"/>
  <c r="H449" i="9"/>
  <c r="AD447" i="9"/>
  <c r="O447" i="9"/>
  <c r="Q447" i="9"/>
  <c r="R447" i="9"/>
  <c r="P447" i="9"/>
  <c r="AG446" i="9"/>
  <c r="J449" i="9"/>
  <c r="AG449" i="9" s="1"/>
  <c r="AD436" i="9"/>
  <c r="Q436" i="9"/>
  <c r="Q437" i="9" s="1"/>
  <c r="P436" i="9"/>
  <c r="P437" i="9" s="1"/>
  <c r="O436" i="9"/>
  <c r="O437" i="9" s="1"/>
  <c r="R436" i="9"/>
  <c r="R437" i="9" s="1"/>
  <c r="H437" i="9"/>
  <c r="AG431" i="9"/>
  <c r="J433" i="9"/>
  <c r="AG433" i="9" s="1"/>
  <c r="Q426" i="9"/>
  <c r="AD426" i="9"/>
  <c r="O426" i="9"/>
  <c r="P426" i="9"/>
  <c r="R426" i="9"/>
  <c r="AG424" i="9"/>
  <c r="J427" i="9"/>
  <c r="AG427" i="9" s="1"/>
  <c r="L380" i="9"/>
  <c r="Q378" i="9"/>
  <c r="R378" i="9"/>
  <c r="AD378" i="9"/>
  <c r="P378" i="9"/>
  <c r="H380" i="9"/>
  <c r="O378" i="9"/>
  <c r="Q360" i="9"/>
  <c r="AD360" i="9"/>
  <c r="O360" i="9"/>
  <c r="AE360" i="9" s="1"/>
  <c r="P360" i="9"/>
  <c r="R360" i="9"/>
  <c r="AF359" i="9"/>
  <c r="I361" i="9"/>
  <c r="AF361" i="9" s="1"/>
  <c r="Q323" i="9"/>
  <c r="Q324" i="9" s="1"/>
  <c r="O323" i="9"/>
  <c r="O324" i="9" s="1"/>
  <c r="P323" i="9"/>
  <c r="P324" i="9" s="1"/>
  <c r="AD323" i="9"/>
  <c r="R323" i="9"/>
  <c r="R324" i="9" s="1"/>
  <c r="H324" i="9"/>
  <c r="J264" i="9"/>
  <c r="AG264" i="9" s="1"/>
  <c r="AG262" i="9"/>
  <c r="H157" i="9"/>
  <c r="R156" i="9"/>
  <c r="R157" i="9" s="1"/>
  <c r="Q156" i="9"/>
  <c r="Q157" i="9" s="1"/>
  <c r="O156" i="9"/>
  <c r="O157" i="9" s="1"/>
  <c r="AD156" i="9"/>
  <c r="P156" i="9"/>
  <c r="P157" i="9" s="1"/>
  <c r="L164" i="9"/>
  <c r="P255" i="9"/>
  <c r="R255" i="9"/>
  <c r="O255" i="9"/>
  <c r="Q255" i="9"/>
  <c r="H259" i="9"/>
  <c r="AD255" i="9"/>
  <c r="R289" i="9"/>
  <c r="O289" i="9"/>
  <c r="O291" i="9" s="1"/>
  <c r="P289" i="9"/>
  <c r="H291" i="9"/>
  <c r="Q289" i="9"/>
  <c r="AD289" i="9"/>
  <c r="AD151" i="9"/>
  <c r="Q151" i="9"/>
  <c r="O151" i="9"/>
  <c r="R151" i="9"/>
  <c r="P151" i="9"/>
  <c r="J356" i="9"/>
  <c r="AG354" i="9"/>
  <c r="L286" i="9"/>
  <c r="O246" i="9"/>
  <c r="R246" i="9"/>
  <c r="P246" i="9"/>
  <c r="Q246" i="9"/>
  <c r="AD246" i="9"/>
  <c r="K223" i="9"/>
  <c r="K226" i="9" s="1"/>
  <c r="P180" i="9"/>
  <c r="Q180" i="9"/>
  <c r="H185" i="9"/>
  <c r="O180" i="9"/>
  <c r="R180" i="9"/>
  <c r="AD180" i="9"/>
  <c r="O146" i="9"/>
  <c r="Q146" i="9"/>
  <c r="R146" i="9"/>
  <c r="P146" i="9"/>
  <c r="AD146" i="9"/>
  <c r="AD123" i="9"/>
  <c r="R123" i="9"/>
  <c r="H124" i="9"/>
  <c r="O123" i="9"/>
  <c r="P123" i="9"/>
  <c r="Q123" i="9"/>
  <c r="O393" i="9"/>
  <c r="P393" i="9"/>
  <c r="Q393" i="9"/>
  <c r="R393" i="9"/>
  <c r="AD393" i="9"/>
  <c r="L275" i="9"/>
  <c r="L172" i="9"/>
  <c r="U129" i="9"/>
  <c r="T129" i="9"/>
  <c r="V129" i="9"/>
  <c r="W129" i="9"/>
  <c r="J201" i="9"/>
  <c r="Q290" i="9"/>
  <c r="R290" i="9"/>
  <c r="AD290" i="9"/>
  <c r="P290" i="9"/>
  <c r="O290" i="9"/>
  <c r="L264" i="9"/>
  <c r="W222" i="9"/>
  <c r="U222" i="9"/>
  <c r="T222" i="9"/>
  <c r="AF222" i="9" s="1"/>
  <c r="V222" i="9"/>
  <c r="T152" i="9"/>
  <c r="U152" i="9"/>
  <c r="V152" i="9"/>
  <c r="W152" i="9"/>
  <c r="T123" i="9"/>
  <c r="U123" i="9"/>
  <c r="W123" i="9"/>
  <c r="V123" i="9"/>
  <c r="I124" i="9"/>
  <c r="L124" i="9"/>
  <c r="AF273" i="9"/>
  <c r="I275" i="9"/>
  <c r="AF275" i="9" s="1"/>
  <c r="P204" i="9"/>
  <c r="R204" i="9"/>
  <c r="Q204" i="9"/>
  <c r="AD204" i="9"/>
  <c r="H210" i="9"/>
  <c r="O204" i="9"/>
  <c r="R129" i="9"/>
  <c r="O129" i="9"/>
  <c r="AD129" i="9"/>
  <c r="Q129" i="9"/>
  <c r="P129" i="9"/>
  <c r="P310" i="9"/>
  <c r="P311" i="9" s="1"/>
  <c r="H311" i="9"/>
  <c r="Q310" i="9"/>
  <c r="Q311" i="9" s="1"/>
  <c r="AD310" i="9"/>
  <c r="O310" i="9"/>
  <c r="O311" i="9" s="1"/>
  <c r="R310" i="9"/>
  <c r="R311" i="9" s="1"/>
  <c r="AD243" i="9"/>
  <c r="P243" i="9"/>
  <c r="O243" i="9"/>
  <c r="R243" i="9"/>
  <c r="Q243" i="9"/>
  <c r="Q284" i="9"/>
  <c r="AD284" i="9"/>
  <c r="O284" i="9"/>
  <c r="H286" i="9"/>
  <c r="P284" i="9"/>
  <c r="R284" i="9"/>
  <c r="U171" i="9"/>
  <c r="T171" i="9"/>
  <c r="AF171" i="9" s="1"/>
  <c r="V171" i="9"/>
  <c r="W171" i="9"/>
  <c r="Z145" i="9"/>
  <c r="Y145" i="9"/>
  <c r="J147" i="9"/>
  <c r="AC145" i="9"/>
  <c r="AB145" i="9"/>
  <c r="AA145" i="9"/>
  <c r="P397" i="9"/>
  <c r="O397" i="9"/>
  <c r="AD397" i="9"/>
  <c r="Q397" i="9"/>
  <c r="R397" i="9"/>
  <c r="H399" i="9"/>
  <c r="I399" i="9"/>
  <c r="AF399" i="9" s="1"/>
  <c r="AF397" i="9"/>
  <c r="AD388" i="9"/>
  <c r="P388" i="9"/>
  <c r="R388" i="9"/>
  <c r="O388" i="9"/>
  <c r="Q388" i="9"/>
  <c r="AD315" i="9"/>
  <c r="H316" i="9"/>
  <c r="P315" i="9"/>
  <c r="P316" i="9" s="1"/>
  <c r="O315" i="9"/>
  <c r="O316" i="9" s="1"/>
  <c r="R315" i="9"/>
  <c r="R316" i="9" s="1"/>
  <c r="Q315" i="9"/>
  <c r="Q316" i="9" s="1"/>
  <c r="W184" i="9"/>
  <c r="V184" i="9"/>
  <c r="U184" i="9"/>
  <c r="T184" i="9"/>
  <c r="P240" i="9"/>
  <c r="Q240" i="9"/>
  <c r="R240" i="9"/>
  <c r="O240" i="9"/>
  <c r="AD240" i="9"/>
  <c r="AA168" i="9"/>
  <c r="Z168" i="9"/>
  <c r="Y168" i="9"/>
  <c r="AB168" i="9"/>
  <c r="AC168" i="9"/>
  <c r="R365" i="9"/>
  <c r="O365" i="9"/>
  <c r="P365" i="9"/>
  <c r="AD365" i="9"/>
  <c r="Q365" i="9"/>
  <c r="AF310" i="9"/>
  <c r="I311" i="9"/>
  <c r="AF311" i="9" s="1"/>
  <c r="AG319" i="9"/>
  <c r="J320" i="9"/>
  <c r="AG320" i="9" s="1"/>
  <c r="L2212" i="9"/>
  <c r="L2214" i="9" s="1"/>
  <c r="L2215" i="9" s="1"/>
  <c r="P2210" i="9"/>
  <c r="Q2210" i="9"/>
  <c r="AD2210" i="9"/>
  <c r="R2210" i="9"/>
  <c r="O2210" i="9"/>
  <c r="AE2210" i="9" s="1"/>
  <c r="T2200" i="9"/>
  <c r="U2200" i="9"/>
  <c r="V2200" i="9"/>
  <c r="W2200" i="9"/>
  <c r="L2203" i="9"/>
  <c r="L2206" i="9" s="1"/>
  <c r="AD2186" i="9"/>
  <c r="P2186" i="9"/>
  <c r="Q2186" i="9"/>
  <c r="R2186" i="9"/>
  <c r="O2186" i="9"/>
  <c r="L2180" i="9"/>
  <c r="T2178" i="9"/>
  <c r="U2178" i="9"/>
  <c r="V2178" i="9"/>
  <c r="W2178" i="9"/>
  <c r="O2176" i="9"/>
  <c r="AE2176" i="9" s="1"/>
  <c r="P2176" i="9"/>
  <c r="AD2176" i="9"/>
  <c r="Q2176" i="9"/>
  <c r="R2176" i="9"/>
  <c r="K2171" i="9"/>
  <c r="AD2169" i="9"/>
  <c r="O2169" i="9"/>
  <c r="R2169" i="9"/>
  <c r="P2169" i="9"/>
  <c r="Q2169" i="9"/>
  <c r="H2171" i="9"/>
  <c r="AD2171" i="9" s="1"/>
  <c r="U2155" i="9"/>
  <c r="T2155" i="9"/>
  <c r="V2155" i="9"/>
  <c r="W2155" i="9"/>
  <c r="O2147" i="9"/>
  <c r="AD2147" i="9"/>
  <c r="P2147" i="9"/>
  <c r="Q2147" i="9"/>
  <c r="R2147" i="9"/>
  <c r="O2127" i="9"/>
  <c r="P2127" i="9"/>
  <c r="Q2127" i="9"/>
  <c r="R2127" i="9"/>
  <c r="AD2127" i="9"/>
  <c r="P2126" i="9"/>
  <c r="AD2126" i="9"/>
  <c r="O2126" i="9"/>
  <c r="R2126" i="9"/>
  <c r="Q2126" i="9"/>
  <c r="J2118" i="9"/>
  <c r="AF2101" i="9"/>
  <c r="I2102" i="9"/>
  <c r="AF2102" i="9" s="1"/>
  <c r="AE2097" i="9"/>
  <c r="H2098" i="9"/>
  <c r="AD2097" i="9"/>
  <c r="AB2089" i="9"/>
  <c r="J2090" i="9"/>
  <c r="AA2089" i="9"/>
  <c r="AA2090" i="9" s="1"/>
  <c r="AC2089" i="9"/>
  <c r="AC2090" i="9" s="1"/>
  <c r="Y2089" i="9"/>
  <c r="Y2090" i="9" s="1"/>
  <c r="Z2089" i="9"/>
  <c r="Z2090" i="9" s="1"/>
  <c r="AB2077" i="9"/>
  <c r="AB2078" i="9" s="1"/>
  <c r="Z2077" i="9"/>
  <c r="Z2078" i="9" s="1"/>
  <c r="AA2077" i="9"/>
  <c r="AA2078" i="9" s="1"/>
  <c r="J2078" i="9"/>
  <c r="Y2077" i="9"/>
  <c r="Y2078" i="9" s="1"/>
  <c r="AC2077" i="9"/>
  <c r="AC2078" i="9" s="1"/>
  <c r="J2070" i="9"/>
  <c r="AC2069" i="9"/>
  <c r="AC2070" i="9" s="1"/>
  <c r="AA2069" i="9"/>
  <c r="AA2070" i="9" s="1"/>
  <c r="AB2069" i="9"/>
  <c r="AB2070" i="9" s="1"/>
  <c r="Y2069" i="9"/>
  <c r="Y2070" i="9" s="1"/>
  <c r="Z2069" i="9"/>
  <c r="Z2070" i="9" s="1"/>
  <c r="AD2051" i="9"/>
  <c r="AE2051" i="9"/>
  <c r="H2054" i="9"/>
  <c r="AD2044" i="9"/>
  <c r="Q2044" i="9"/>
  <c r="P2044" i="9"/>
  <c r="R2044" i="9"/>
  <c r="O2044" i="9"/>
  <c r="P2037" i="9"/>
  <c r="Q2037" i="9"/>
  <c r="O2037" i="9"/>
  <c r="AD2037" i="9"/>
  <c r="R2037" i="9"/>
  <c r="AD2030" i="9"/>
  <c r="O2030" i="9"/>
  <c r="P2030" i="9"/>
  <c r="Q2030" i="9"/>
  <c r="R2030" i="9"/>
  <c r="AD2029" i="9"/>
  <c r="O2029" i="9"/>
  <c r="P2029" i="9"/>
  <c r="R2029" i="9"/>
  <c r="Q2029" i="9"/>
  <c r="H2033" i="9"/>
  <c r="AD2033" i="9" s="1"/>
  <c r="AF2022" i="9"/>
  <c r="I2025" i="9"/>
  <c r="AF2025" i="9" s="1"/>
  <c r="O2006" i="9"/>
  <c r="P2006" i="9"/>
  <c r="AD2006" i="9"/>
  <c r="Q2006" i="9"/>
  <c r="R2006" i="9"/>
  <c r="Q2005" i="9"/>
  <c r="AD2005" i="9"/>
  <c r="O2005" i="9"/>
  <c r="R2005" i="9"/>
  <c r="P2005" i="9"/>
  <c r="L1994" i="9"/>
  <c r="AB1987" i="9"/>
  <c r="U1976" i="9"/>
  <c r="V1976" i="9"/>
  <c r="W1976" i="9"/>
  <c r="T1976" i="9"/>
  <c r="AF1976" i="9" s="1"/>
  <c r="Q1973" i="9"/>
  <c r="O1973" i="9"/>
  <c r="P1973" i="9"/>
  <c r="AD1973" i="9"/>
  <c r="R1973" i="9"/>
  <c r="U1971" i="9"/>
  <c r="T1971" i="9"/>
  <c r="V1971" i="9"/>
  <c r="W1971" i="9"/>
  <c r="O1969" i="9"/>
  <c r="P1969" i="9"/>
  <c r="R1969" i="9"/>
  <c r="AD1969" i="9"/>
  <c r="Q1969" i="9"/>
  <c r="O1966" i="9"/>
  <c r="R1966" i="9"/>
  <c r="Q1966" i="9"/>
  <c r="AD1966" i="9"/>
  <c r="P1966" i="9"/>
  <c r="H1981" i="9"/>
  <c r="V1962" i="9"/>
  <c r="T1962" i="9"/>
  <c r="W1962" i="9"/>
  <c r="U1962" i="9"/>
  <c r="J1963" i="9"/>
  <c r="P1952" i="9"/>
  <c r="O1952" i="9"/>
  <c r="Q1952" i="9"/>
  <c r="R1952" i="9"/>
  <c r="AE1952" i="9" s="1"/>
  <c r="AD1952" i="9"/>
  <c r="U1943" i="9"/>
  <c r="T1943" i="9"/>
  <c r="W1943" i="9"/>
  <c r="V1943" i="9"/>
  <c r="H1940" i="9"/>
  <c r="P1939" i="9"/>
  <c r="AD1939" i="9"/>
  <c r="Q1939" i="9"/>
  <c r="R1939" i="9"/>
  <c r="O1939" i="9"/>
  <c r="U1937" i="9"/>
  <c r="T1937" i="9"/>
  <c r="V1937" i="9"/>
  <c r="W1937" i="9"/>
  <c r="V1932" i="9"/>
  <c r="V1933" i="9" s="1"/>
  <c r="U1932" i="9"/>
  <c r="U1933" i="9" s="1"/>
  <c r="W1932" i="9"/>
  <c r="W1933" i="9" s="1"/>
  <c r="I1933" i="9"/>
  <c r="T1932" i="9"/>
  <c r="T1933" i="9" s="1"/>
  <c r="L1929" i="9"/>
  <c r="L52" i="9" s="1"/>
  <c r="H1921" i="9"/>
  <c r="P1920" i="9"/>
  <c r="AD1920" i="9"/>
  <c r="Q1920" i="9"/>
  <c r="R1920" i="9"/>
  <c r="O1920" i="9"/>
  <c r="AE1920" i="9" s="1"/>
  <c r="K1917" i="9"/>
  <c r="R1915" i="9"/>
  <c r="AD1915" i="9"/>
  <c r="Q1915" i="9"/>
  <c r="O1915" i="9"/>
  <c r="P1915" i="9"/>
  <c r="H1917" i="9"/>
  <c r="W1907" i="9"/>
  <c r="W1908" i="9" s="1"/>
  <c r="V1907" i="9"/>
  <c r="V1908" i="9" s="1"/>
  <c r="I1908" i="9"/>
  <c r="T1907" i="9"/>
  <c r="T1908" i="9" s="1"/>
  <c r="U1907" i="9"/>
  <c r="U1908" i="9" s="1"/>
  <c r="L1903" i="9"/>
  <c r="L54" i="9" s="1"/>
  <c r="P1897" i="9"/>
  <c r="P1898" i="9" s="1"/>
  <c r="Q1897" i="9"/>
  <c r="Q1898" i="9" s="1"/>
  <c r="R1897" i="9"/>
  <c r="R1898" i="9" s="1"/>
  <c r="AD1897" i="9"/>
  <c r="O1897" i="9"/>
  <c r="O1898" i="9" s="1"/>
  <c r="H1898" i="9"/>
  <c r="K1890" i="9"/>
  <c r="K53" i="9"/>
  <c r="V1879" i="9"/>
  <c r="V1881" i="9" s="1"/>
  <c r="W1879" i="9"/>
  <c r="W1881" i="9" s="1"/>
  <c r="U1879" i="9"/>
  <c r="U1881" i="9" s="1"/>
  <c r="T1879" i="9"/>
  <c r="T1881" i="9" s="1"/>
  <c r="I1881" i="9"/>
  <c r="O1870" i="9"/>
  <c r="AD1870" i="9"/>
  <c r="R1870" i="9"/>
  <c r="P1870" i="9"/>
  <c r="Q1870" i="9"/>
  <c r="J1871" i="9"/>
  <c r="K1857" i="9"/>
  <c r="Q1850" i="9"/>
  <c r="R1850" i="9"/>
  <c r="AD1850" i="9"/>
  <c r="O1850" i="9"/>
  <c r="AE1850" i="9" s="1"/>
  <c r="P1850" i="9"/>
  <c r="L1838" i="9"/>
  <c r="L1827" i="9"/>
  <c r="P1824" i="9"/>
  <c r="Q1824" i="9"/>
  <c r="R1824" i="9"/>
  <c r="O1824" i="9"/>
  <c r="AD1824" i="9"/>
  <c r="J1817" i="9"/>
  <c r="W1815" i="9"/>
  <c r="V1815" i="9"/>
  <c r="T1815" i="9"/>
  <c r="U1815" i="9"/>
  <c r="U1813" i="9"/>
  <c r="V1813" i="9"/>
  <c r="W1813" i="9"/>
  <c r="T1813" i="9"/>
  <c r="R1787" i="9"/>
  <c r="Q1787" i="9"/>
  <c r="P1787" i="9"/>
  <c r="AD1787" i="9"/>
  <c r="O1787" i="9"/>
  <c r="AD1784" i="9"/>
  <c r="Q1784" i="9"/>
  <c r="O1784" i="9"/>
  <c r="P1784" i="9"/>
  <c r="R1784" i="9"/>
  <c r="H1797" i="9"/>
  <c r="J1779" i="9"/>
  <c r="I1771" i="9"/>
  <c r="AF1771" i="9" s="1"/>
  <c r="AF1770" i="9"/>
  <c r="L1763" i="9"/>
  <c r="L1755" i="9"/>
  <c r="AB1751" i="9"/>
  <c r="AC1751" i="9"/>
  <c r="Z1751" i="9"/>
  <c r="AA1751" i="9"/>
  <c r="Y1751" i="9"/>
  <c r="AC1746" i="9"/>
  <c r="Z1746" i="9"/>
  <c r="AA1746" i="9"/>
  <c r="Y1746" i="9"/>
  <c r="AB1746" i="9"/>
  <c r="Y1743" i="9"/>
  <c r="Z1743" i="9"/>
  <c r="AB1743" i="9"/>
  <c r="AA1743" i="9"/>
  <c r="AC1743" i="9"/>
  <c r="J1747" i="9"/>
  <c r="U1734" i="9"/>
  <c r="I1735" i="9"/>
  <c r="V1734" i="9"/>
  <c r="W1734" i="9"/>
  <c r="I37" i="9"/>
  <c r="T1734" i="9"/>
  <c r="P1730" i="9"/>
  <c r="Q1730" i="9"/>
  <c r="O1730" i="9"/>
  <c r="R1730" i="9"/>
  <c r="AD1730" i="9"/>
  <c r="J1726" i="9"/>
  <c r="O1716" i="9"/>
  <c r="P1716" i="9"/>
  <c r="Q1716" i="9"/>
  <c r="R1716" i="9"/>
  <c r="AD1716" i="9"/>
  <c r="W1715" i="9"/>
  <c r="U1715" i="9"/>
  <c r="V1715" i="9"/>
  <c r="T1715" i="9"/>
  <c r="AD1704" i="9"/>
  <c r="O1704" i="9"/>
  <c r="P1704" i="9"/>
  <c r="Q1704" i="9"/>
  <c r="R1704" i="9"/>
  <c r="U1693" i="9"/>
  <c r="T1693" i="9"/>
  <c r="V1693" i="9"/>
  <c r="W1693" i="9"/>
  <c r="O1690" i="9"/>
  <c r="AE1690" i="9" s="1"/>
  <c r="P1690" i="9"/>
  <c r="Q1690" i="9"/>
  <c r="R1690" i="9"/>
  <c r="AD1690" i="9"/>
  <c r="K1686" i="9"/>
  <c r="V1680" i="9"/>
  <c r="W1680" i="9"/>
  <c r="T1680" i="9"/>
  <c r="U1680" i="9"/>
  <c r="K1678" i="9"/>
  <c r="J1678" i="9"/>
  <c r="T1668" i="9"/>
  <c r="V1668" i="9"/>
  <c r="U1668" i="9"/>
  <c r="W1668" i="9"/>
  <c r="AD1667" i="9"/>
  <c r="R1667" i="9"/>
  <c r="O1667" i="9"/>
  <c r="P1667" i="9"/>
  <c r="Q1667" i="9"/>
  <c r="L1662" i="9"/>
  <c r="T1657" i="9"/>
  <c r="U1657" i="9"/>
  <c r="V1657" i="9"/>
  <c r="W1657" i="9"/>
  <c r="P1656" i="9"/>
  <c r="AD1656" i="9"/>
  <c r="O1656" i="9"/>
  <c r="Q1656" i="9"/>
  <c r="R1656" i="9"/>
  <c r="J1650" i="9"/>
  <c r="T1642" i="9"/>
  <c r="U1642" i="9"/>
  <c r="V1642" i="9"/>
  <c r="W1642" i="9"/>
  <c r="J1643" i="9"/>
  <c r="L1629" i="9"/>
  <c r="U1622" i="9"/>
  <c r="W1622" i="9"/>
  <c r="V1622" i="9"/>
  <c r="T1622" i="9"/>
  <c r="Q1619" i="9"/>
  <c r="R1619" i="9"/>
  <c r="AD1619" i="9"/>
  <c r="O1619" i="9"/>
  <c r="P1619" i="9"/>
  <c r="K1612" i="9"/>
  <c r="O1610" i="9"/>
  <c r="P1610" i="9"/>
  <c r="Q1610" i="9"/>
  <c r="R1610" i="9"/>
  <c r="AD1610" i="9"/>
  <c r="W1608" i="9"/>
  <c r="U1608" i="9"/>
  <c r="V1608" i="9"/>
  <c r="T1608" i="9"/>
  <c r="T1603" i="9"/>
  <c r="U1603" i="9"/>
  <c r="W1603" i="9"/>
  <c r="V1603" i="9"/>
  <c r="I1612" i="9"/>
  <c r="J1600" i="9"/>
  <c r="L1589" i="9"/>
  <c r="T1586" i="9"/>
  <c r="U1586" i="9"/>
  <c r="V1586" i="9"/>
  <c r="W1586" i="9"/>
  <c r="T1581" i="9"/>
  <c r="AF1581" i="9" s="1"/>
  <c r="U1581" i="9"/>
  <c r="V1581" i="9"/>
  <c r="W1581" i="9"/>
  <c r="I1589" i="9"/>
  <c r="L1578" i="9"/>
  <c r="O1572" i="9"/>
  <c r="P1572" i="9"/>
  <c r="AD1572" i="9"/>
  <c r="Q1572" i="9"/>
  <c r="R1572" i="9"/>
  <c r="U1570" i="9"/>
  <c r="W1570" i="9"/>
  <c r="V1570" i="9"/>
  <c r="T1570" i="9"/>
  <c r="I1578" i="9"/>
  <c r="L1567" i="9"/>
  <c r="AD1562" i="9"/>
  <c r="Q1562" i="9"/>
  <c r="R1562" i="9"/>
  <c r="O1562" i="9"/>
  <c r="AE1562" i="9" s="1"/>
  <c r="P1562" i="9"/>
  <c r="T1539" i="9"/>
  <c r="W1539" i="9"/>
  <c r="AF1539" i="9" s="1"/>
  <c r="U1539" i="9"/>
  <c r="V1539" i="9"/>
  <c r="U1537" i="9"/>
  <c r="V1537" i="9"/>
  <c r="T1537" i="9"/>
  <c r="AF1537" i="9" s="1"/>
  <c r="W1537" i="9"/>
  <c r="I1546" i="9"/>
  <c r="K1534" i="9"/>
  <c r="V1531" i="9"/>
  <c r="T1531" i="9"/>
  <c r="U1531" i="9"/>
  <c r="W1531" i="9"/>
  <c r="AD1528" i="9"/>
  <c r="R1528" i="9"/>
  <c r="O1528" i="9"/>
  <c r="P1528" i="9"/>
  <c r="Q1528" i="9"/>
  <c r="L1524" i="9"/>
  <c r="I1513" i="9"/>
  <c r="AF1513" i="9" s="1"/>
  <c r="AF1512" i="9"/>
  <c r="J1509" i="9"/>
  <c r="AA1508" i="9"/>
  <c r="AA1509" i="9" s="1"/>
  <c r="AB1508" i="9"/>
  <c r="AB1509" i="9" s="1"/>
  <c r="AC1508" i="9"/>
  <c r="AC1509" i="9" s="1"/>
  <c r="AA1500" i="9"/>
  <c r="AA1501" i="9" s="1"/>
  <c r="AC1500" i="9"/>
  <c r="AC1501" i="9" s="1"/>
  <c r="J1501" i="9"/>
  <c r="AB1500" i="9"/>
  <c r="AB1501" i="9" s="1"/>
  <c r="H1489" i="9"/>
  <c r="AD1488" i="9"/>
  <c r="AE1488" i="9"/>
  <c r="AB1480" i="9"/>
  <c r="AB1481" i="9" s="1"/>
  <c r="Y1480" i="9"/>
  <c r="Y1481" i="9" s="1"/>
  <c r="Z1480" i="9"/>
  <c r="Z1481" i="9" s="1"/>
  <c r="AA1480" i="9"/>
  <c r="AA1481" i="9" s="1"/>
  <c r="J1481" i="9"/>
  <c r="AC1480" i="9"/>
  <c r="AC1481" i="9" s="1"/>
  <c r="AE1476" i="9"/>
  <c r="H1477" i="9"/>
  <c r="AD1476" i="9"/>
  <c r="H1465" i="9"/>
  <c r="AD1464" i="9"/>
  <c r="AE1464" i="9"/>
  <c r="J1447" i="9"/>
  <c r="AG1447" i="9" s="1"/>
  <c r="AG1446" i="9"/>
  <c r="AD1440" i="9"/>
  <c r="AE1440" i="9"/>
  <c r="H1443" i="9"/>
  <c r="AE1436" i="9"/>
  <c r="AD1436" i="9"/>
  <c r="AE1434" i="9"/>
  <c r="AD1434" i="9"/>
  <c r="H1437" i="9"/>
  <c r="AD1422" i="9"/>
  <c r="AE1422" i="9"/>
  <c r="H1425" i="9"/>
  <c r="AE1412" i="9"/>
  <c r="AD1412" i="9"/>
  <c r="I1407" i="9"/>
  <c r="T1406" i="9"/>
  <c r="W1406" i="9"/>
  <c r="U1406" i="9"/>
  <c r="V1406" i="9"/>
  <c r="W1397" i="9"/>
  <c r="U1397" i="9"/>
  <c r="T1397" i="9"/>
  <c r="V1397" i="9"/>
  <c r="I1401" i="9"/>
  <c r="U1392" i="9"/>
  <c r="V1392" i="9"/>
  <c r="T1392" i="9"/>
  <c r="W1392" i="9"/>
  <c r="K1374" i="9"/>
  <c r="R1364" i="9"/>
  <c r="Q1364" i="9"/>
  <c r="AD1364" i="9"/>
  <c r="O1364" i="9"/>
  <c r="P1364" i="9"/>
  <c r="AF1358" i="9"/>
  <c r="I1361" i="9"/>
  <c r="AF1361" i="9" s="1"/>
  <c r="AD1352" i="9"/>
  <c r="O1352" i="9"/>
  <c r="P1352" i="9"/>
  <c r="Q1352" i="9"/>
  <c r="R1352" i="9"/>
  <c r="O1331" i="9"/>
  <c r="R1331" i="9"/>
  <c r="AD1331" i="9"/>
  <c r="P1331" i="9"/>
  <c r="AE1331" i="9" s="1"/>
  <c r="Q1331" i="9"/>
  <c r="H1334" i="9"/>
  <c r="L1325" i="9"/>
  <c r="Q1318" i="9"/>
  <c r="O1318" i="9"/>
  <c r="AD1318" i="9"/>
  <c r="P1318" i="9"/>
  <c r="AE1318" i="9" s="1"/>
  <c r="R1318" i="9"/>
  <c r="AD1317" i="9"/>
  <c r="P1317" i="9"/>
  <c r="O1317" i="9"/>
  <c r="Q1317" i="9"/>
  <c r="R1317" i="9"/>
  <c r="L1305" i="9"/>
  <c r="K1291" i="9"/>
  <c r="K1277" i="9"/>
  <c r="AG1273" i="9"/>
  <c r="J1277" i="9"/>
  <c r="J1262" i="9"/>
  <c r="AG1262" i="9" s="1"/>
  <c r="AG1261" i="9"/>
  <c r="I1258" i="9"/>
  <c r="AF1258" i="9" s="1"/>
  <c r="AF1257" i="9"/>
  <c r="Q1249" i="9"/>
  <c r="Q1250" i="9" s="1"/>
  <c r="AD1249" i="9"/>
  <c r="H1250" i="9"/>
  <c r="O1249" i="9"/>
  <c r="O1250" i="9" s="1"/>
  <c r="P1249" i="9"/>
  <c r="P1250" i="9" s="1"/>
  <c r="R1249" i="9"/>
  <c r="R1250" i="9" s="1"/>
  <c r="H1223" i="9"/>
  <c r="AD1222" i="9"/>
  <c r="O1222" i="9"/>
  <c r="P1222" i="9"/>
  <c r="Q1222" i="9"/>
  <c r="R1222" i="9"/>
  <c r="AF1219" i="9"/>
  <c r="I1223" i="9"/>
  <c r="AF1223" i="9" s="1"/>
  <c r="AD1199" i="9"/>
  <c r="P1199" i="9"/>
  <c r="Q1199" i="9"/>
  <c r="R1199" i="9"/>
  <c r="O1199" i="9"/>
  <c r="H1195" i="9"/>
  <c r="P1194" i="9"/>
  <c r="O1194" i="9"/>
  <c r="AD1194" i="9"/>
  <c r="R1194" i="9"/>
  <c r="Q1194" i="9"/>
  <c r="AE1194" i="9" s="1"/>
  <c r="U1177" i="9"/>
  <c r="V1177" i="9"/>
  <c r="W1177" i="9"/>
  <c r="T1177" i="9"/>
  <c r="AG1175" i="9"/>
  <c r="J1179" i="9"/>
  <c r="T1145" i="9"/>
  <c r="U1145" i="9"/>
  <c r="W1145" i="9"/>
  <c r="V1145" i="9"/>
  <c r="O1134" i="9"/>
  <c r="Q1134" i="9"/>
  <c r="R1134" i="9"/>
  <c r="AD1134" i="9"/>
  <c r="P1134" i="9"/>
  <c r="O1131" i="9"/>
  <c r="R1131" i="9"/>
  <c r="P1131" i="9"/>
  <c r="AD1131" i="9"/>
  <c r="Q1131" i="9"/>
  <c r="AC1129" i="9"/>
  <c r="Z1129" i="9"/>
  <c r="Y1129" i="9"/>
  <c r="AB1129" i="9"/>
  <c r="AA1129" i="9"/>
  <c r="J1136" i="9"/>
  <c r="V1120" i="9"/>
  <c r="W1120" i="9"/>
  <c r="U1120" i="9"/>
  <c r="T1120" i="9"/>
  <c r="AB1117" i="9"/>
  <c r="W1116" i="9"/>
  <c r="T1116" i="9"/>
  <c r="U1116" i="9"/>
  <c r="V1116" i="9"/>
  <c r="K1113" i="9"/>
  <c r="O1110" i="9"/>
  <c r="P1110" i="9"/>
  <c r="Q1110" i="9"/>
  <c r="R1110" i="9"/>
  <c r="AD1110" i="9"/>
  <c r="U1104" i="9"/>
  <c r="T1104" i="9"/>
  <c r="V1104" i="9"/>
  <c r="W1104" i="9"/>
  <c r="T1101" i="9"/>
  <c r="U1101" i="9"/>
  <c r="V1101" i="9"/>
  <c r="W1101" i="9"/>
  <c r="AD1093" i="9"/>
  <c r="O1093" i="9"/>
  <c r="P1093" i="9"/>
  <c r="Q1093" i="9"/>
  <c r="R1093" i="9"/>
  <c r="J1105" i="9"/>
  <c r="K1068" i="9"/>
  <c r="Q1066" i="9"/>
  <c r="R1066" i="9"/>
  <c r="AD1066" i="9"/>
  <c r="O1066" i="9"/>
  <c r="P1066" i="9"/>
  <c r="O1064" i="9"/>
  <c r="AD1064" i="9"/>
  <c r="P1064" i="9"/>
  <c r="Q1064" i="9"/>
  <c r="R1064" i="9"/>
  <c r="U1061" i="9"/>
  <c r="W1061" i="9"/>
  <c r="V1061" i="9"/>
  <c r="T1061" i="9"/>
  <c r="AD1056" i="9"/>
  <c r="R1056" i="9"/>
  <c r="Q1056" i="9"/>
  <c r="P1056" i="9"/>
  <c r="O1056" i="9"/>
  <c r="H1068" i="9"/>
  <c r="O1047" i="9"/>
  <c r="P1047" i="9"/>
  <c r="Q1047" i="9"/>
  <c r="R1047" i="9"/>
  <c r="AD1047" i="9"/>
  <c r="AD1042" i="9"/>
  <c r="O1042" i="9"/>
  <c r="P1042" i="9"/>
  <c r="Q1042" i="9"/>
  <c r="R1042" i="9"/>
  <c r="T1041" i="9"/>
  <c r="U1041" i="9"/>
  <c r="V1041" i="9"/>
  <c r="W1041" i="9"/>
  <c r="V1030" i="9"/>
  <c r="W1030" i="9"/>
  <c r="U1030" i="9"/>
  <c r="AF1030" i="9" s="1"/>
  <c r="T1030" i="9"/>
  <c r="O1027" i="9"/>
  <c r="R1027" i="9"/>
  <c r="P1027" i="9"/>
  <c r="AD1027" i="9"/>
  <c r="Q1027" i="9"/>
  <c r="O1017" i="9"/>
  <c r="Q1017" i="9"/>
  <c r="AD1017" i="9"/>
  <c r="R1017" i="9"/>
  <c r="P1017" i="9"/>
  <c r="U1013" i="9"/>
  <c r="T1013" i="9"/>
  <c r="V1013" i="9"/>
  <c r="W1013" i="9"/>
  <c r="V1008" i="9"/>
  <c r="T1008" i="9"/>
  <c r="U1008" i="9"/>
  <c r="W1008" i="9"/>
  <c r="O1007" i="9"/>
  <c r="P1007" i="9"/>
  <c r="Q1007" i="9"/>
  <c r="AD1007" i="9"/>
  <c r="R1007" i="9"/>
  <c r="I1000" i="9"/>
  <c r="I1156" i="9" s="1"/>
  <c r="T999" i="9"/>
  <c r="T1000" i="9" s="1"/>
  <c r="U999" i="9"/>
  <c r="U1000" i="9" s="1"/>
  <c r="V999" i="9"/>
  <c r="V1000" i="9" s="1"/>
  <c r="V1156" i="9" s="1"/>
  <c r="W999" i="9"/>
  <c r="W1000" i="9" s="1"/>
  <c r="W1156" i="9" s="1"/>
  <c r="K987" i="9"/>
  <c r="J981" i="9"/>
  <c r="V964" i="9"/>
  <c r="V966" i="9" s="1"/>
  <c r="W964" i="9"/>
  <c r="W966" i="9" s="1"/>
  <c r="T964" i="9"/>
  <c r="T966" i="9" s="1"/>
  <c r="I966" i="9"/>
  <c r="U964" i="9"/>
  <c r="U966" i="9" s="1"/>
  <c r="K956" i="9"/>
  <c r="U950" i="9"/>
  <c r="T950" i="9"/>
  <c r="V950" i="9"/>
  <c r="W950" i="9"/>
  <c r="I943" i="9"/>
  <c r="V942" i="9"/>
  <c r="T942" i="9"/>
  <c r="U942" i="9"/>
  <c r="W942" i="9"/>
  <c r="AD939" i="9"/>
  <c r="P939" i="9"/>
  <c r="R939" i="9"/>
  <c r="Q939" i="9"/>
  <c r="O939" i="9"/>
  <c r="O931" i="9"/>
  <c r="P931" i="9"/>
  <c r="AD931" i="9"/>
  <c r="R931" i="9"/>
  <c r="Q931" i="9"/>
  <c r="W924" i="9"/>
  <c r="W926" i="9" s="1"/>
  <c r="U924" i="9"/>
  <c r="U926" i="9" s="1"/>
  <c r="T924" i="9"/>
  <c r="I926" i="9"/>
  <c r="V924" i="9"/>
  <c r="V926" i="9" s="1"/>
  <c r="I913" i="9"/>
  <c r="U912" i="9"/>
  <c r="U913" i="9" s="1"/>
  <c r="W912" i="9"/>
  <c r="W913" i="9" s="1"/>
  <c r="T912" i="9"/>
  <c r="T913" i="9" s="1"/>
  <c r="V912" i="9"/>
  <c r="V913" i="9" s="1"/>
  <c r="V904" i="9"/>
  <c r="W904" i="9"/>
  <c r="T904" i="9"/>
  <c r="U904" i="9"/>
  <c r="O902" i="9"/>
  <c r="P902" i="9"/>
  <c r="Q902" i="9"/>
  <c r="AD902" i="9"/>
  <c r="R902" i="9"/>
  <c r="U901" i="9"/>
  <c r="V901" i="9"/>
  <c r="W901" i="9"/>
  <c r="T901" i="9"/>
  <c r="L891" i="9"/>
  <c r="O887" i="9"/>
  <c r="P887" i="9"/>
  <c r="Q887" i="9"/>
  <c r="R887" i="9"/>
  <c r="AD887" i="9"/>
  <c r="J891" i="9"/>
  <c r="P874" i="9"/>
  <c r="P875" i="9" s="1"/>
  <c r="Q874" i="9"/>
  <c r="Q875" i="9" s="1"/>
  <c r="AD874" i="9"/>
  <c r="O874" i="9"/>
  <c r="O875" i="9" s="1"/>
  <c r="R874" i="9"/>
  <c r="R875" i="9" s="1"/>
  <c r="H875" i="9"/>
  <c r="V863" i="9"/>
  <c r="W863" i="9"/>
  <c r="T863" i="9"/>
  <c r="U863" i="9"/>
  <c r="U862" i="9"/>
  <c r="V862" i="9"/>
  <c r="W862" i="9"/>
  <c r="T862" i="9"/>
  <c r="O852" i="9"/>
  <c r="P852" i="9"/>
  <c r="AD852" i="9"/>
  <c r="Q852" i="9"/>
  <c r="R852" i="9"/>
  <c r="AB851" i="9"/>
  <c r="AC851" i="9"/>
  <c r="Y851" i="9"/>
  <c r="AA851" i="9"/>
  <c r="Z851" i="9"/>
  <c r="AA841" i="9"/>
  <c r="AB841" i="9"/>
  <c r="AC841" i="9"/>
  <c r="J855" i="9"/>
  <c r="K825" i="9"/>
  <c r="K814" i="9"/>
  <c r="R794" i="9"/>
  <c r="O794" i="9"/>
  <c r="P794" i="9"/>
  <c r="Q794" i="9"/>
  <c r="AD794" i="9"/>
  <c r="T790" i="9"/>
  <c r="U790" i="9"/>
  <c r="W790" i="9"/>
  <c r="V790" i="9"/>
  <c r="L778" i="9"/>
  <c r="K771" i="9"/>
  <c r="AD764" i="9"/>
  <c r="O764" i="9"/>
  <c r="R764" i="9"/>
  <c r="P764" i="9"/>
  <c r="Q764" i="9"/>
  <c r="U763" i="9"/>
  <c r="T763" i="9"/>
  <c r="V763" i="9"/>
  <c r="W763" i="9"/>
  <c r="I766" i="9"/>
  <c r="U755" i="9"/>
  <c r="W755" i="9"/>
  <c r="T755" i="9"/>
  <c r="V755" i="9"/>
  <c r="Q754" i="9"/>
  <c r="R754" i="9"/>
  <c r="O754" i="9"/>
  <c r="P754" i="9"/>
  <c r="AD754" i="9"/>
  <c r="K750" i="9"/>
  <c r="Q739" i="9"/>
  <c r="R739" i="9"/>
  <c r="AD739" i="9"/>
  <c r="P739" i="9"/>
  <c r="O739" i="9"/>
  <c r="Z733" i="9"/>
  <c r="AA733" i="9"/>
  <c r="AC733" i="9"/>
  <c r="Y733" i="9"/>
  <c r="AB733" i="9"/>
  <c r="J726" i="9"/>
  <c r="Z725" i="9"/>
  <c r="Z726" i="9" s="1"/>
  <c r="AA725" i="9"/>
  <c r="AA726" i="9" s="1"/>
  <c r="AC725" i="9"/>
  <c r="AC726" i="9" s="1"/>
  <c r="Y725" i="9"/>
  <c r="AB725" i="9"/>
  <c r="AB726" i="9" s="1"/>
  <c r="AE724" i="9"/>
  <c r="AD724" i="9"/>
  <c r="H726" i="9"/>
  <c r="AF719" i="9"/>
  <c r="I721" i="9"/>
  <c r="AF721" i="9" s="1"/>
  <c r="AE715" i="9"/>
  <c r="AD715" i="9"/>
  <c r="AC702" i="9"/>
  <c r="Y702" i="9"/>
  <c r="AA702" i="9"/>
  <c r="Z702" i="9"/>
  <c r="AB702" i="9"/>
  <c r="AD697" i="9"/>
  <c r="AE697" i="9"/>
  <c r="H699" i="9"/>
  <c r="K689" i="9"/>
  <c r="AE681" i="9"/>
  <c r="AD681" i="9"/>
  <c r="Y675" i="9"/>
  <c r="Z675" i="9"/>
  <c r="AA675" i="9"/>
  <c r="AB675" i="9"/>
  <c r="AC675" i="9"/>
  <c r="Z674" i="9"/>
  <c r="AB674" i="9"/>
  <c r="AA674" i="9"/>
  <c r="AC674" i="9"/>
  <c r="Y674" i="9"/>
  <c r="J677" i="9"/>
  <c r="AF664" i="9"/>
  <c r="I666" i="9"/>
  <c r="AF666" i="9" s="1"/>
  <c r="Y660" i="9"/>
  <c r="AC660" i="9"/>
  <c r="Z660" i="9"/>
  <c r="AA660" i="9"/>
  <c r="AB660" i="9"/>
  <c r="J654" i="9"/>
  <c r="AC653" i="9"/>
  <c r="AA653" i="9"/>
  <c r="AB653" i="9"/>
  <c r="AB652" i="9"/>
  <c r="AA652" i="9"/>
  <c r="AC652" i="9"/>
  <c r="Y647" i="9"/>
  <c r="AA647" i="9"/>
  <c r="AC647" i="9"/>
  <c r="AB647" i="9"/>
  <c r="Z647" i="9"/>
  <c r="AD642" i="9"/>
  <c r="AE642" i="9"/>
  <c r="H644" i="9"/>
  <c r="L639" i="9"/>
  <c r="Z632" i="9"/>
  <c r="AB632" i="9"/>
  <c r="Y632" i="9"/>
  <c r="AC632" i="9"/>
  <c r="AA632" i="9"/>
  <c r="Y627" i="9"/>
  <c r="AC627" i="9"/>
  <c r="AB627" i="9"/>
  <c r="AA627" i="9"/>
  <c r="Z627" i="9"/>
  <c r="Z622" i="9"/>
  <c r="AA622" i="9"/>
  <c r="AB622" i="9"/>
  <c r="AB624" i="9" s="1"/>
  <c r="AC622" i="9"/>
  <c r="Y622" i="9"/>
  <c r="J619" i="9"/>
  <c r="AC618" i="9"/>
  <c r="AC619" i="9" s="1"/>
  <c r="AA618" i="9"/>
  <c r="AA619" i="9" s="1"/>
  <c r="AB618" i="9"/>
  <c r="AB619" i="9" s="1"/>
  <c r="K614" i="9"/>
  <c r="AF607" i="9"/>
  <c r="I609" i="9"/>
  <c r="AF609" i="9" s="1"/>
  <c r="J599" i="9"/>
  <c r="Z598" i="9"/>
  <c r="AC598" i="9"/>
  <c r="Y598" i="9"/>
  <c r="AB598" i="9"/>
  <c r="AA598" i="9"/>
  <c r="AE593" i="9"/>
  <c r="AD593" i="9"/>
  <c r="J594" i="9"/>
  <c r="Y592" i="9"/>
  <c r="AA592" i="9"/>
  <c r="Z592" i="9"/>
  <c r="AB592" i="9"/>
  <c r="AC592" i="9"/>
  <c r="AF587" i="9"/>
  <c r="I589" i="9"/>
  <c r="AF589" i="9" s="1"/>
  <c r="AF582" i="9"/>
  <c r="I584" i="9"/>
  <c r="AF584" i="9" s="1"/>
  <c r="J574" i="9"/>
  <c r="Z573" i="9"/>
  <c r="Z574" i="9" s="1"/>
  <c r="AA573" i="9"/>
  <c r="AA574" i="9" s="1"/>
  <c r="AC573" i="9"/>
  <c r="AC574" i="9" s="1"/>
  <c r="Y573" i="9"/>
  <c r="Y574" i="9" s="1"/>
  <c r="AB573" i="9"/>
  <c r="AB574" i="9" s="1"/>
  <c r="AD567" i="9"/>
  <c r="AE567" i="9"/>
  <c r="H569" i="9"/>
  <c r="J564" i="9"/>
  <c r="W556" i="9"/>
  <c r="W557" i="9" s="1"/>
  <c r="I557" i="9"/>
  <c r="T556" i="9"/>
  <c r="T557" i="9" s="1"/>
  <c r="U556" i="9"/>
  <c r="U557" i="9" s="1"/>
  <c r="V556" i="9"/>
  <c r="V557" i="9" s="1"/>
  <c r="AE548" i="9"/>
  <c r="H549" i="9"/>
  <c r="AD548" i="9"/>
  <c r="W544" i="9"/>
  <c r="W545" i="9" s="1"/>
  <c r="U544" i="9"/>
  <c r="U545" i="9" s="1"/>
  <c r="I545" i="9"/>
  <c r="T544" i="9"/>
  <c r="T545" i="9" s="1"/>
  <c r="V544" i="9"/>
  <c r="V545" i="9" s="1"/>
  <c r="AD536" i="9"/>
  <c r="H537" i="9"/>
  <c r="AE536" i="9"/>
  <c r="J529" i="9"/>
  <c r="AG529" i="9" s="1"/>
  <c r="AG528" i="9"/>
  <c r="AG507" i="9"/>
  <c r="J508" i="9"/>
  <c r="AG508" i="9" s="1"/>
  <c r="W502" i="9"/>
  <c r="V502" i="9"/>
  <c r="V504" i="9" s="1"/>
  <c r="U502" i="9"/>
  <c r="T502" i="9"/>
  <c r="I504" i="9"/>
  <c r="AD483" i="9"/>
  <c r="P483" i="9"/>
  <c r="R483" i="9"/>
  <c r="Q483" i="9"/>
  <c r="O483" i="9"/>
  <c r="P481" i="9"/>
  <c r="Q481" i="9"/>
  <c r="O481" i="9"/>
  <c r="R481" i="9"/>
  <c r="AD481" i="9"/>
  <c r="H478" i="9"/>
  <c r="O477" i="9"/>
  <c r="Q477" i="9"/>
  <c r="P477" i="9"/>
  <c r="AD477" i="9"/>
  <c r="R477" i="9"/>
  <c r="AD475" i="9"/>
  <c r="O475" i="9"/>
  <c r="R475" i="9"/>
  <c r="P475" i="9"/>
  <c r="Q475" i="9"/>
  <c r="AD473" i="9"/>
  <c r="P473" i="9"/>
  <c r="R473" i="9"/>
  <c r="O473" i="9"/>
  <c r="Q473" i="9"/>
  <c r="AD472" i="9"/>
  <c r="P472" i="9"/>
  <c r="O472" i="9"/>
  <c r="Q472" i="9"/>
  <c r="R472" i="9"/>
  <c r="L449" i="9"/>
  <c r="P446" i="9"/>
  <c r="AD446" i="9"/>
  <c r="R446" i="9"/>
  <c r="O446" i="9"/>
  <c r="Q446" i="9"/>
  <c r="AF424" i="9"/>
  <c r="I427" i="9"/>
  <c r="AF427" i="9" s="1"/>
  <c r="O419" i="9"/>
  <c r="P419" i="9"/>
  <c r="R419" i="9"/>
  <c r="AD419" i="9"/>
  <c r="Q419" i="9"/>
  <c r="AF378" i="9"/>
  <c r="I380" i="9"/>
  <c r="AF380" i="9" s="1"/>
  <c r="J348" i="9"/>
  <c r="AG348" i="9" s="1"/>
  <c r="AG347" i="9"/>
  <c r="J344" i="9"/>
  <c r="AG344" i="9" s="1"/>
  <c r="AG343" i="9"/>
  <c r="O335" i="9"/>
  <c r="O336" i="9" s="1"/>
  <c r="Q335" i="9"/>
  <c r="Q336" i="9" s="1"/>
  <c r="AD335" i="9"/>
  <c r="H336" i="9"/>
  <c r="P335" i="9"/>
  <c r="P336" i="9" s="1"/>
  <c r="R335" i="9"/>
  <c r="R336" i="9" s="1"/>
  <c r="I332" i="9"/>
  <c r="AF332" i="9" s="1"/>
  <c r="AF331" i="9"/>
  <c r="I324" i="9"/>
  <c r="AF324" i="9" s="1"/>
  <c r="AF323" i="9"/>
  <c r="P250" i="9"/>
  <c r="AD250" i="9"/>
  <c r="O250" i="9"/>
  <c r="O252" i="9" s="1"/>
  <c r="H252" i="9"/>
  <c r="R250" i="9"/>
  <c r="Q250" i="9"/>
  <c r="Q252" i="9" s="1"/>
  <c r="L226" i="9"/>
  <c r="Q398" i="9"/>
  <c r="O398" i="9"/>
  <c r="R398" i="9"/>
  <c r="AD398" i="9"/>
  <c r="P398" i="9"/>
  <c r="O222" i="9"/>
  <c r="AE222" i="9" s="1"/>
  <c r="P222" i="9"/>
  <c r="AD222" i="9"/>
  <c r="R222" i="9"/>
  <c r="Q222" i="9"/>
  <c r="R182" i="9"/>
  <c r="O182" i="9"/>
  <c r="P182" i="9"/>
  <c r="Q182" i="9"/>
  <c r="AD182" i="9"/>
  <c r="K399" i="9"/>
  <c r="L252" i="9"/>
  <c r="AD220" i="9"/>
  <c r="O220" i="9"/>
  <c r="P220" i="9"/>
  <c r="Q220" i="9"/>
  <c r="H223" i="9"/>
  <c r="R220" i="9"/>
  <c r="K185" i="9"/>
  <c r="U146" i="9"/>
  <c r="V146" i="9"/>
  <c r="W146" i="9"/>
  <c r="T146" i="9"/>
  <c r="Q403" i="9"/>
  <c r="R403" i="9"/>
  <c r="P403" i="9"/>
  <c r="AD403" i="9"/>
  <c r="O403" i="9"/>
  <c r="P245" i="9"/>
  <c r="AD245" i="9"/>
  <c r="R245" i="9"/>
  <c r="Q245" i="9"/>
  <c r="O245" i="9"/>
  <c r="AE245" i="9" s="1"/>
  <c r="I320" i="9"/>
  <c r="AF320" i="9" s="1"/>
  <c r="AF319" i="9"/>
  <c r="I389" i="9"/>
  <c r="AF389" i="9" s="1"/>
  <c r="AF387" i="9"/>
  <c r="W162" i="9"/>
  <c r="T162" i="9"/>
  <c r="U162" i="9"/>
  <c r="V162" i="9"/>
  <c r="J131" i="9"/>
  <c r="I375" i="9"/>
  <c r="AF375" i="9" s="1"/>
  <c r="AF373" i="9"/>
  <c r="I259" i="9"/>
  <c r="AF259" i="9" s="1"/>
  <c r="AF255" i="9"/>
  <c r="AF289" i="9"/>
  <c r="I291" i="9"/>
  <c r="AF291" i="9" s="1"/>
  <c r="AD251" i="9"/>
  <c r="R251" i="9"/>
  <c r="P251" i="9"/>
  <c r="Q251" i="9"/>
  <c r="O251" i="9"/>
  <c r="H153" i="9"/>
  <c r="Q150" i="9"/>
  <c r="R150" i="9"/>
  <c r="O150" i="9"/>
  <c r="AD150" i="9"/>
  <c r="P150" i="9"/>
  <c r="L404" i="9"/>
  <c r="K301" i="9"/>
  <c r="AG236" i="9"/>
  <c r="J247" i="9"/>
  <c r="AG247" i="9" s="1"/>
  <c r="AD127" i="9"/>
  <c r="R127" i="9"/>
  <c r="H131" i="9"/>
  <c r="O127" i="9"/>
  <c r="Q127" i="9"/>
  <c r="P127" i="9"/>
  <c r="O402" i="9"/>
  <c r="O404" i="9" s="1"/>
  <c r="Q402" i="9"/>
  <c r="Q404" i="9" s="1"/>
  <c r="P402" i="9"/>
  <c r="P404" i="9" s="1"/>
  <c r="H404" i="9"/>
  <c r="R402" i="9"/>
  <c r="AD402" i="9"/>
  <c r="Y216" i="9"/>
  <c r="J217" i="9"/>
  <c r="AB216" i="9"/>
  <c r="AB217" i="9" s="1"/>
  <c r="AA216" i="9"/>
  <c r="AA217" i="9" s="1"/>
  <c r="Z216" i="9"/>
  <c r="Z217" i="9" s="1"/>
  <c r="AC216" i="9"/>
  <c r="AC217" i="9" s="1"/>
  <c r="L375" i="9"/>
  <c r="O181" i="9"/>
  <c r="P181" i="9"/>
  <c r="Q181" i="9"/>
  <c r="AD181" i="9"/>
  <c r="R181" i="9"/>
  <c r="AD2185" i="9"/>
  <c r="R2185" i="9"/>
  <c r="O2185" i="9"/>
  <c r="P2185" i="9"/>
  <c r="Q2185" i="9"/>
  <c r="J2180" i="9"/>
  <c r="Y2176" i="9"/>
  <c r="Z2176" i="9"/>
  <c r="AC2176" i="9"/>
  <c r="AB2176" i="9"/>
  <c r="AA2176" i="9"/>
  <c r="J2171" i="9"/>
  <c r="AD2155" i="9"/>
  <c r="R2155" i="9"/>
  <c r="P2155" i="9"/>
  <c r="O2155" i="9"/>
  <c r="Q2155" i="9"/>
  <c r="W2147" i="9"/>
  <c r="T2147" i="9"/>
  <c r="U2147" i="9"/>
  <c r="V2147" i="9"/>
  <c r="I2140" i="9"/>
  <c r="W2139" i="9"/>
  <c r="V2139" i="9"/>
  <c r="T2139" i="9"/>
  <c r="U2139" i="9"/>
  <c r="T2138" i="9"/>
  <c r="AF2138" i="9" s="1"/>
  <c r="U2138" i="9"/>
  <c r="W2138" i="9"/>
  <c r="V2138" i="9"/>
  <c r="L2133" i="9"/>
  <c r="T2130" i="9"/>
  <c r="U2130" i="9"/>
  <c r="W2130" i="9"/>
  <c r="V2130" i="9"/>
  <c r="W2126" i="9"/>
  <c r="T2126" i="9"/>
  <c r="U2126" i="9"/>
  <c r="V2126" i="9"/>
  <c r="J2133" i="9"/>
  <c r="AF2113" i="9"/>
  <c r="I2114" i="9"/>
  <c r="AF2114" i="9" s="1"/>
  <c r="J2110" i="9"/>
  <c r="AC2101" i="9"/>
  <c r="AC2102" i="9" s="1"/>
  <c r="AB2101" i="9"/>
  <c r="AB2102" i="9" s="1"/>
  <c r="J2102" i="9"/>
  <c r="AA2101" i="9"/>
  <c r="AA2102" i="9" s="1"/>
  <c r="H2078" i="9"/>
  <c r="AD2077" i="9"/>
  <c r="AE2077" i="9"/>
  <c r="AB2065" i="9"/>
  <c r="AB2066" i="9" s="1"/>
  <c r="Y2065" i="9"/>
  <c r="Y2066" i="9" s="1"/>
  <c r="J2066" i="9"/>
  <c r="Z2065" i="9"/>
  <c r="AA2065" i="9"/>
  <c r="AA2066" i="9" s="1"/>
  <c r="AC2065" i="9"/>
  <c r="AC2066" i="9" s="1"/>
  <c r="AF2057" i="9"/>
  <c r="I2058" i="9"/>
  <c r="AF2058" i="9" s="1"/>
  <c r="AG2051" i="9"/>
  <c r="J2054" i="9"/>
  <c r="AG2054" i="9" s="1"/>
  <c r="AF2044" i="9"/>
  <c r="I2046" i="9"/>
  <c r="AF2046" i="9" s="1"/>
  <c r="Q2015" i="9"/>
  <c r="O2015" i="9"/>
  <c r="AD2015" i="9"/>
  <c r="P2015" i="9"/>
  <c r="R2015" i="9"/>
  <c r="AD2014" i="9"/>
  <c r="O2014" i="9"/>
  <c r="P2014" i="9"/>
  <c r="Q2014" i="9"/>
  <c r="R2014" i="9"/>
  <c r="U2004" i="9"/>
  <c r="T2004" i="9"/>
  <c r="V2004" i="9"/>
  <c r="W2004" i="9"/>
  <c r="AD2001" i="9"/>
  <c r="O2001" i="9"/>
  <c r="P2001" i="9"/>
  <c r="Q2001" i="9"/>
  <c r="R2001" i="9"/>
  <c r="AD1987" i="9"/>
  <c r="Q1987" i="9"/>
  <c r="P1987" i="9"/>
  <c r="R1987" i="9"/>
  <c r="O1987" i="9"/>
  <c r="R1980" i="9"/>
  <c r="P1980" i="9"/>
  <c r="O1980" i="9"/>
  <c r="AD1980" i="9"/>
  <c r="Q1980" i="9"/>
  <c r="U1979" i="9"/>
  <c r="W1979" i="9"/>
  <c r="V1979" i="9"/>
  <c r="T1979" i="9"/>
  <c r="T1969" i="9"/>
  <c r="U1969" i="9"/>
  <c r="V1969" i="9"/>
  <c r="W1969" i="9"/>
  <c r="AD1968" i="9"/>
  <c r="P1968" i="9"/>
  <c r="Q1968" i="9"/>
  <c r="O1968" i="9"/>
  <c r="R1968" i="9"/>
  <c r="J1981" i="9"/>
  <c r="U1960" i="9"/>
  <c r="V1960" i="9"/>
  <c r="T1960" i="9"/>
  <c r="W1960" i="9"/>
  <c r="I1963" i="9"/>
  <c r="W1955" i="9"/>
  <c r="T1955" i="9"/>
  <c r="V1955" i="9"/>
  <c r="U1955" i="9"/>
  <c r="V1954" i="9"/>
  <c r="U1954" i="9"/>
  <c r="T1954" i="9"/>
  <c r="W1954" i="9"/>
  <c r="V1949" i="9"/>
  <c r="T1949" i="9"/>
  <c r="U1949" i="9"/>
  <c r="W1949" i="9"/>
  <c r="U1945" i="9"/>
  <c r="V1945" i="9"/>
  <c r="W1945" i="9"/>
  <c r="T1945" i="9"/>
  <c r="O1943" i="9"/>
  <c r="Q1943" i="9"/>
  <c r="AD1943" i="9"/>
  <c r="R1943" i="9"/>
  <c r="P1943" i="9"/>
  <c r="V1938" i="9"/>
  <c r="W1938" i="9"/>
  <c r="U1938" i="9"/>
  <c r="T1938" i="9"/>
  <c r="R1937" i="9"/>
  <c r="AD1937" i="9"/>
  <c r="O1937" i="9"/>
  <c r="AE1937" i="9" s="1"/>
  <c r="P1937" i="9"/>
  <c r="Q1937" i="9"/>
  <c r="P1932" i="9"/>
  <c r="P1933" i="9" s="1"/>
  <c r="AD1932" i="9"/>
  <c r="Q1932" i="9"/>
  <c r="Q1933" i="9" s="1"/>
  <c r="R1932" i="9"/>
  <c r="R1933" i="9" s="1"/>
  <c r="H1933" i="9"/>
  <c r="O1932" i="9"/>
  <c r="O1933" i="9" s="1"/>
  <c r="AD1924" i="9"/>
  <c r="P1924" i="9"/>
  <c r="Q1924" i="9"/>
  <c r="R1924" i="9"/>
  <c r="O1924" i="9"/>
  <c r="J1908" i="9"/>
  <c r="O1901" i="9"/>
  <c r="P1901" i="9"/>
  <c r="Q1901" i="9"/>
  <c r="R1901" i="9"/>
  <c r="AD1901" i="9"/>
  <c r="J1898" i="9"/>
  <c r="AA1889" i="9"/>
  <c r="AB1889" i="9"/>
  <c r="Y1889" i="9"/>
  <c r="Z1889" i="9"/>
  <c r="J53" i="9"/>
  <c r="AC1889" i="9"/>
  <c r="J1890" i="9"/>
  <c r="K1883" i="9"/>
  <c r="W1868" i="9"/>
  <c r="V1868" i="9"/>
  <c r="T1868" i="9"/>
  <c r="U1868" i="9"/>
  <c r="I1871" i="9"/>
  <c r="W1856" i="9"/>
  <c r="T1856" i="9"/>
  <c r="U1856" i="9"/>
  <c r="V1856" i="9"/>
  <c r="T1853" i="9"/>
  <c r="U1853" i="9"/>
  <c r="V1853" i="9"/>
  <c r="W1853" i="9"/>
  <c r="T1837" i="9"/>
  <c r="U1837" i="9"/>
  <c r="V1837" i="9"/>
  <c r="W1837" i="9"/>
  <c r="AD1835" i="9"/>
  <c r="Q1835" i="9"/>
  <c r="P1835" i="9"/>
  <c r="R1835" i="9"/>
  <c r="O1835" i="9"/>
  <c r="T1826" i="9"/>
  <c r="U1826" i="9"/>
  <c r="V1826" i="9"/>
  <c r="AF1826" i="9" s="1"/>
  <c r="W1826" i="9"/>
  <c r="V1824" i="9"/>
  <c r="W1824" i="9"/>
  <c r="U1824" i="9"/>
  <c r="T1824" i="9"/>
  <c r="W1822" i="9"/>
  <c r="T1822" i="9"/>
  <c r="U1822" i="9"/>
  <c r="V1822" i="9"/>
  <c r="T1821" i="9"/>
  <c r="U1821" i="9"/>
  <c r="V1821" i="9"/>
  <c r="W1821" i="9"/>
  <c r="AD1816" i="9"/>
  <c r="P1816" i="9"/>
  <c r="Q1816" i="9"/>
  <c r="R1816" i="9"/>
  <c r="O1816" i="9"/>
  <c r="J1802" i="9"/>
  <c r="T1792" i="9"/>
  <c r="U1792" i="9"/>
  <c r="W1792" i="9"/>
  <c r="V1792" i="9"/>
  <c r="AD1786" i="9"/>
  <c r="P1786" i="9"/>
  <c r="Q1786" i="9"/>
  <c r="R1786" i="9"/>
  <c r="O1786" i="9"/>
  <c r="J1771" i="9"/>
  <c r="K1763" i="9"/>
  <c r="P1761" i="9"/>
  <c r="Q1761" i="9"/>
  <c r="R1761" i="9"/>
  <c r="O1761" i="9"/>
  <c r="AD1761" i="9"/>
  <c r="Y1754" i="9"/>
  <c r="AA1754" i="9"/>
  <c r="AB1754" i="9"/>
  <c r="AC1754" i="9"/>
  <c r="Z1754" i="9"/>
  <c r="W1752" i="9"/>
  <c r="T1752" i="9"/>
  <c r="U1752" i="9"/>
  <c r="V1752" i="9"/>
  <c r="V1751" i="9"/>
  <c r="W1751" i="9"/>
  <c r="T1751" i="9"/>
  <c r="U1751" i="9"/>
  <c r="K1747" i="9"/>
  <c r="Y1745" i="9"/>
  <c r="Z1745" i="9"/>
  <c r="AB1745" i="9"/>
  <c r="AC1745" i="9"/>
  <c r="AA1745" i="9"/>
  <c r="H1735" i="9"/>
  <c r="AD1734" i="9"/>
  <c r="R1734" i="9"/>
  <c r="H37" i="9"/>
  <c r="P1734" i="9"/>
  <c r="Q1734" i="9"/>
  <c r="O1734" i="9"/>
  <c r="T1730" i="9"/>
  <c r="U1730" i="9"/>
  <c r="V1730" i="9"/>
  <c r="W1730" i="9"/>
  <c r="U1729" i="9"/>
  <c r="V1729" i="9"/>
  <c r="W1729" i="9"/>
  <c r="T1729" i="9"/>
  <c r="U1724" i="9"/>
  <c r="W1724" i="9"/>
  <c r="T1724" i="9"/>
  <c r="V1724" i="9"/>
  <c r="I1720" i="9"/>
  <c r="U1719" i="9"/>
  <c r="T1719" i="9"/>
  <c r="W1719" i="9"/>
  <c r="V1719" i="9"/>
  <c r="U1716" i="9"/>
  <c r="V1716" i="9"/>
  <c r="W1716" i="9"/>
  <c r="T1716" i="9"/>
  <c r="Q1715" i="9"/>
  <c r="R1715" i="9"/>
  <c r="O1715" i="9"/>
  <c r="P1715" i="9"/>
  <c r="AD1715" i="9"/>
  <c r="P1705" i="9"/>
  <c r="R1705" i="9"/>
  <c r="O1705" i="9"/>
  <c r="AD1705" i="9"/>
  <c r="Q1705" i="9"/>
  <c r="J1706" i="9"/>
  <c r="O1694" i="9"/>
  <c r="P1694" i="9"/>
  <c r="Q1694" i="9"/>
  <c r="R1694" i="9"/>
  <c r="AD1694" i="9"/>
  <c r="AD1691" i="9"/>
  <c r="O1691" i="9"/>
  <c r="R1691" i="9"/>
  <c r="P1691" i="9"/>
  <c r="Q1691" i="9"/>
  <c r="U1689" i="9"/>
  <c r="V1689" i="9"/>
  <c r="W1689" i="9"/>
  <c r="T1689" i="9"/>
  <c r="I1696" i="9"/>
  <c r="O1685" i="9"/>
  <c r="P1685" i="9"/>
  <c r="Q1685" i="9"/>
  <c r="R1685" i="9"/>
  <c r="AD1685" i="9"/>
  <c r="AD1683" i="9"/>
  <c r="R1683" i="9"/>
  <c r="O1683" i="9"/>
  <c r="P1683" i="9"/>
  <c r="Q1683" i="9"/>
  <c r="T1682" i="9"/>
  <c r="V1682" i="9"/>
  <c r="W1682" i="9"/>
  <c r="U1682" i="9"/>
  <c r="AD1680" i="9"/>
  <c r="O1680" i="9"/>
  <c r="P1680" i="9"/>
  <c r="Q1680" i="9"/>
  <c r="R1680" i="9"/>
  <c r="H1686" i="9"/>
  <c r="R1676" i="9"/>
  <c r="AD1676" i="9"/>
  <c r="O1676" i="9"/>
  <c r="P1676" i="9"/>
  <c r="Q1676" i="9"/>
  <c r="AD1668" i="9"/>
  <c r="O1668" i="9"/>
  <c r="P1668" i="9"/>
  <c r="Q1668" i="9"/>
  <c r="R1668" i="9"/>
  <c r="AD1659" i="9"/>
  <c r="O1659" i="9"/>
  <c r="P1659" i="9"/>
  <c r="Q1659" i="9"/>
  <c r="R1659" i="9"/>
  <c r="P1657" i="9"/>
  <c r="Q1657" i="9"/>
  <c r="R1657" i="9"/>
  <c r="AD1657" i="9"/>
  <c r="O1657" i="9"/>
  <c r="O1627" i="9"/>
  <c r="Q1627" i="9"/>
  <c r="R1627" i="9"/>
  <c r="P1627" i="9"/>
  <c r="AD1627" i="9"/>
  <c r="L1623" i="9"/>
  <c r="R1617" i="9"/>
  <c r="AD1617" i="9"/>
  <c r="P1617" i="9"/>
  <c r="Q1617" i="9"/>
  <c r="O1617" i="9"/>
  <c r="P1616" i="9"/>
  <c r="Q1616" i="9"/>
  <c r="R1616" i="9"/>
  <c r="AD1616" i="9"/>
  <c r="O1616" i="9"/>
  <c r="V1609" i="9"/>
  <c r="U1609" i="9"/>
  <c r="W1609" i="9"/>
  <c r="T1609" i="9"/>
  <c r="Q1605" i="9"/>
  <c r="AD1605" i="9"/>
  <c r="R1605" i="9"/>
  <c r="O1605" i="9"/>
  <c r="P1605" i="9"/>
  <c r="AD1598" i="9"/>
  <c r="Q1598" i="9"/>
  <c r="O1598" i="9"/>
  <c r="P1598" i="9"/>
  <c r="R1598" i="9"/>
  <c r="P1597" i="9"/>
  <c r="Q1597" i="9"/>
  <c r="AD1597" i="9"/>
  <c r="R1597" i="9"/>
  <c r="O1597" i="9"/>
  <c r="Q1595" i="9"/>
  <c r="P1595" i="9"/>
  <c r="AD1595" i="9"/>
  <c r="R1595" i="9"/>
  <c r="O1595" i="9"/>
  <c r="O1594" i="9"/>
  <c r="P1594" i="9"/>
  <c r="AD1594" i="9"/>
  <c r="R1594" i="9"/>
  <c r="Q1594" i="9"/>
  <c r="U1587" i="9"/>
  <c r="T1587" i="9"/>
  <c r="W1587" i="9"/>
  <c r="V1587" i="9"/>
  <c r="W1584" i="9"/>
  <c r="T1584" i="9"/>
  <c r="U1584" i="9"/>
  <c r="V1584" i="9"/>
  <c r="O1581" i="9"/>
  <c r="AD1581" i="9"/>
  <c r="P1581" i="9"/>
  <c r="AE1581" i="9" s="1"/>
  <c r="R1581" i="9"/>
  <c r="Q1581" i="9"/>
  <c r="H1589" i="9"/>
  <c r="O1576" i="9"/>
  <c r="AD1576" i="9"/>
  <c r="R1576" i="9"/>
  <c r="P1576" i="9"/>
  <c r="Q1576" i="9"/>
  <c r="V1575" i="9"/>
  <c r="W1575" i="9"/>
  <c r="T1575" i="9"/>
  <c r="U1575" i="9"/>
  <c r="P1573" i="9"/>
  <c r="Q1573" i="9"/>
  <c r="O1573" i="9"/>
  <c r="AE1573" i="9" s="1"/>
  <c r="AD1573" i="9"/>
  <c r="R1573" i="9"/>
  <c r="AD1570" i="9"/>
  <c r="O1570" i="9"/>
  <c r="Q1570" i="9"/>
  <c r="P1570" i="9"/>
  <c r="R1570" i="9"/>
  <c r="H1578" i="9"/>
  <c r="Q1564" i="9"/>
  <c r="R1564" i="9"/>
  <c r="P1564" i="9"/>
  <c r="O1564" i="9"/>
  <c r="AD1564" i="9"/>
  <c r="U1561" i="9"/>
  <c r="V1561" i="9"/>
  <c r="W1561" i="9"/>
  <c r="T1561" i="9"/>
  <c r="T1554" i="9"/>
  <c r="U1554" i="9"/>
  <c r="V1554" i="9"/>
  <c r="W1554" i="9"/>
  <c r="U1545" i="9"/>
  <c r="V1545" i="9"/>
  <c r="W1545" i="9"/>
  <c r="T1545" i="9"/>
  <c r="R1543" i="9"/>
  <c r="P1543" i="9"/>
  <c r="AD1543" i="9"/>
  <c r="Q1543" i="9"/>
  <c r="O1543" i="9"/>
  <c r="T1542" i="9"/>
  <c r="V1542" i="9"/>
  <c r="U1542" i="9"/>
  <c r="W1542" i="9"/>
  <c r="AA1540" i="9"/>
  <c r="Y1540" i="9"/>
  <c r="Z1540" i="9"/>
  <c r="AB1540" i="9"/>
  <c r="AC1540" i="9"/>
  <c r="R1532" i="9"/>
  <c r="O1532" i="9"/>
  <c r="P1532" i="9"/>
  <c r="Q1532" i="9"/>
  <c r="AD1532" i="9"/>
  <c r="V1528" i="9"/>
  <c r="T1528" i="9"/>
  <c r="U1528" i="9"/>
  <c r="W1528" i="9"/>
  <c r="P1523" i="9"/>
  <c r="Q1523" i="9"/>
  <c r="R1523" i="9"/>
  <c r="AD1523" i="9"/>
  <c r="O1523" i="9"/>
  <c r="O1524" i="9" s="1"/>
  <c r="R1521" i="9"/>
  <c r="O1521" i="9"/>
  <c r="AD1521" i="9"/>
  <c r="P1521" i="9"/>
  <c r="Q1521" i="9"/>
  <c r="AB1520" i="9"/>
  <c r="AC1520" i="9"/>
  <c r="AA1520" i="9"/>
  <c r="AG1520" i="9" s="1"/>
  <c r="Y1520" i="9"/>
  <c r="Z1520" i="9"/>
  <c r="AD1512" i="9"/>
  <c r="AE1512" i="9"/>
  <c r="H1513" i="9"/>
  <c r="AD1508" i="9"/>
  <c r="AE1508" i="9"/>
  <c r="H1509" i="9"/>
  <c r="AD1500" i="9"/>
  <c r="AE1500" i="9"/>
  <c r="H1501" i="9"/>
  <c r="I1481" i="9"/>
  <c r="AF1481" i="9" s="1"/>
  <c r="AF1480" i="9"/>
  <c r="AD1468" i="9"/>
  <c r="AE1468" i="9"/>
  <c r="H1469" i="9"/>
  <c r="AE1442" i="9"/>
  <c r="AD1442" i="9"/>
  <c r="T1435" i="9"/>
  <c r="U1435" i="9"/>
  <c r="V1435" i="9"/>
  <c r="W1435" i="9"/>
  <c r="AE1429" i="9"/>
  <c r="AD1429" i="9"/>
  <c r="AD1428" i="9"/>
  <c r="AE1428" i="9"/>
  <c r="H1431" i="9"/>
  <c r="U1423" i="9"/>
  <c r="T1423" i="9"/>
  <c r="V1423" i="9"/>
  <c r="W1423" i="9"/>
  <c r="AE1418" i="9"/>
  <c r="AD1418" i="9"/>
  <c r="V1411" i="9"/>
  <c r="W1411" i="9"/>
  <c r="T1411" i="9"/>
  <c r="U1411" i="9"/>
  <c r="V1400" i="9"/>
  <c r="W1400" i="9"/>
  <c r="T1400" i="9"/>
  <c r="U1400" i="9"/>
  <c r="AD1397" i="9"/>
  <c r="AE1397" i="9"/>
  <c r="H1401" i="9"/>
  <c r="AF1385" i="9"/>
  <c r="I1386" i="9"/>
  <c r="AF1386" i="9" s="1"/>
  <c r="H1368" i="9"/>
  <c r="R1367" i="9"/>
  <c r="O1367" i="9"/>
  <c r="P1367" i="9"/>
  <c r="P1368" i="9" s="1"/>
  <c r="AD1367" i="9"/>
  <c r="Q1367" i="9"/>
  <c r="O1365" i="9"/>
  <c r="P1365" i="9"/>
  <c r="Q1365" i="9"/>
  <c r="R1365" i="9"/>
  <c r="AD1365" i="9"/>
  <c r="AG1358" i="9"/>
  <c r="J1361" i="9"/>
  <c r="AG1361" i="9" s="1"/>
  <c r="H1354" i="9"/>
  <c r="R1353" i="9"/>
  <c r="O1353" i="9"/>
  <c r="Q1353" i="9"/>
  <c r="AD1353" i="9"/>
  <c r="P1353" i="9"/>
  <c r="Q1345" i="9"/>
  <c r="O1345" i="9"/>
  <c r="P1345" i="9"/>
  <c r="R1345" i="9"/>
  <c r="AD1345" i="9"/>
  <c r="AF1344" i="9"/>
  <c r="I1347" i="9"/>
  <c r="AF1347" i="9" s="1"/>
  <c r="AF1337" i="9"/>
  <c r="I1341" i="9"/>
  <c r="AF1341" i="9" s="1"/>
  <c r="AG1315" i="9"/>
  <c r="J1319" i="9"/>
  <c r="AG1319" i="9" s="1"/>
  <c r="R1310" i="9"/>
  <c r="AD1310" i="9"/>
  <c r="O1310" i="9"/>
  <c r="P1310" i="9"/>
  <c r="Q1310" i="9"/>
  <c r="AF1301" i="9"/>
  <c r="I1305" i="9"/>
  <c r="AF1305" i="9" s="1"/>
  <c r="Q1296" i="9"/>
  <c r="P1296" i="9"/>
  <c r="R1296" i="9"/>
  <c r="AD1296" i="9"/>
  <c r="O1296" i="9"/>
  <c r="O1295" i="9"/>
  <c r="Q1295" i="9"/>
  <c r="R1295" i="9"/>
  <c r="AD1295" i="9"/>
  <c r="P1295" i="9"/>
  <c r="O1282" i="9"/>
  <c r="Q1282" i="9"/>
  <c r="R1282" i="9"/>
  <c r="P1282" i="9"/>
  <c r="AD1282" i="9"/>
  <c r="AF1273" i="9"/>
  <c r="I1277" i="9"/>
  <c r="J1250" i="9"/>
  <c r="AG1250" i="9" s="1"/>
  <c r="AG1249" i="9"/>
  <c r="AG1241" i="9"/>
  <c r="J1242" i="9"/>
  <c r="AG1234" i="9"/>
  <c r="J1235" i="9"/>
  <c r="AG1235" i="9" s="1"/>
  <c r="K1223" i="9"/>
  <c r="O1219" i="9"/>
  <c r="AD1219" i="9"/>
  <c r="P1219" i="9"/>
  <c r="Q1219" i="9"/>
  <c r="AE1219" i="9" s="1"/>
  <c r="R1219" i="9"/>
  <c r="AG1205" i="9"/>
  <c r="J1209" i="9"/>
  <c r="AG1209" i="9" s="1"/>
  <c r="Q1200" i="9"/>
  <c r="R1200" i="9"/>
  <c r="AD1200" i="9"/>
  <c r="O1200" i="9"/>
  <c r="AE1200" i="9" s="1"/>
  <c r="P1200" i="9"/>
  <c r="L1195" i="9"/>
  <c r="T1178" i="9"/>
  <c r="U1178" i="9"/>
  <c r="V1178" i="9"/>
  <c r="V1179" i="9" s="1"/>
  <c r="W1178" i="9"/>
  <c r="W1175" i="9"/>
  <c r="V1175" i="9"/>
  <c r="U1175" i="9"/>
  <c r="T1175" i="9"/>
  <c r="I1179" i="9"/>
  <c r="L1136" i="9"/>
  <c r="U1132" i="9"/>
  <c r="V1132" i="9"/>
  <c r="T1132" i="9"/>
  <c r="AF1132" i="9" s="1"/>
  <c r="W1132" i="9"/>
  <c r="T1131" i="9"/>
  <c r="W1131" i="9"/>
  <c r="U1131" i="9"/>
  <c r="V1131" i="9"/>
  <c r="T1129" i="9"/>
  <c r="V1129" i="9"/>
  <c r="U1129" i="9"/>
  <c r="W1129" i="9"/>
  <c r="U1126" i="9"/>
  <c r="V1126" i="9"/>
  <c r="T1126" i="9"/>
  <c r="W1126" i="9"/>
  <c r="V1124" i="9"/>
  <c r="T1124" i="9"/>
  <c r="U1124" i="9"/>
  <c r="W1124" i="9"/>
  <c r="I1136" i="9"/>
  <c r="AD1120" i="9"/>
  <c r="R1120" i="9"/>
  <c r="O1120" i="9"/>
  <c r="P1120" i="9"/>
  <c r="Q1120" i="9"/>
  <c r="V1115" i="9"/>
  <c r="W1115" i="9"/>
  <c r="U1115" i="9"/>
  <c r="T1115" i="9"/>
  <c r="J1113" i="9"/>
  <c r="AD1102" i="9"/>
  <c r="R1102" i="9"/>
  <c r="O1102" i="9"/>
  <c r="P1102" i="9"/>
  <c r="Q1102" i="9"/>
  <c r="T1099" i="9"/>
  <c r="W1099" i="9"/>
  <c r="U1099" i="9"/>
  <c r="V1099" i="9"/>
  <c r="U1097" i="9"/>
  <c r="T1097" i="9"/>
  <c r="V1097" i="9"/>
  <c r="W1097" i="9"/>
  <c r="T1096" i="9"/>
  <c r="U1096" i="9"/>
  <c r="V1096" i="9"/>
  <c r="W1096" i="9"/>
  <c r="U1094" i="9"/>
  <c r="V1094" i="9"/>
  <c r="W1094" i="9"/>
  <c r="T1094" i="9"/>
  <c r="T1091" i="9"/>
  <c r="W1091" i="9"/>
  <c r="U1091" i="9"/>
  <c r="V1091" i="9"/>
  <c r="I1105" i="9"/>
  <c r="U1078" i="9"/>
  <c r="V1078" i="9"/>
  <c r="W1078" i="9"/>
  <c r="T1078" i="9"/>
  <c r="R1077" i="9"/>
  <c r="O1077" i="9"/>
  <c r="P1077" i="9"/>
  <c r="Q1077" i="9"/>
  <c r="AD1077" i="9"/>
  <c r="R1075" i="9"/>
  <c r="O1075" i="9"/>
  <c r="P1075" i="9"/>
  <c r="Q1075" i="9"/>
  <c r="AD1075" i="9"/>
  <c r="V1059" i="9"/>
  <c r="T1059" i="9"/>
  <c r="U1059" i="9"/>
  <c r="W1059" i="9"/>
  <c r="P1051" i="9"/>
  <c r="AD1051" i="9"/>
  <c r="Q1051" i="9"/>
  <c r="R1051" i="9"/>
  <c r="O1051" i="9"/>
  <c r="T1050" i="9"/>
  <c r="W1050" i="9"/>
  <c r="V1050" i="9"/>
  <c r="U1050" i="9"/>
  <c r="U1044" i="9"/>
  <c r="T1044" i="9"/>
  <c r="V1044" i="9"/>
  <c r="W1044" i="9"/>
  <c r="T1039" i="9"/>
  <c r="U1039" i="9"/>
  <c r="V1039" i="9"/>
  <c r="W1039" i="9"/>
  <c r="Q1028" i="9"/>
  <c r="P1028" i="9"/>
  <c r="R1028" i="9"/>
  <c r="AD1028" i="9"/>
  <c r="O1028" i="9"/>
  <c r="T1010" i="9"/>
  <c r="V1010" i="9"/>
  <c r="W1010" i="9"/>
  <c r="U1010" i="9"/>
  <c r="O1008" i="9"/>
  <c r="P1008" i="9"/>
  <c r="AD1008" i="9"/>
  <c r="Q1008" i="9"/>
  <c r="R1008" i="9"/>
  <c r="P1005" i="9"/>
  <c r="R1005" i="9"/>
  <c r="O1005" i="9"/>
  <c r="AE1005" i="9" s="1"/>
  <c r="Q1005" i="9"/>
  <c r="AD1005" i="9"/>
  <c r="W1003" i="9"/>
  <c r="T1003" i="9"/>
  <c r="U1003" i="9"/>
  <c r="V1003" i="9"/>
  <c r="O999" i="9"/>
  <c r="O1000" i="9" s="1"/>
  <c r="P999" i="9"/>
  <c r="P1000" i="9" s="1"/>
  <c r="H1000" i="9"/>
  <c r="H1156" i="9" s="1"/>
  <c r="Q999" i="9"/>
  <c r="Q1000" i="9" s="1"/>
  <c r="Q1156" i="9" s="1"/>
  <c r="R999" i="9"/>
  <c r="R1000" i="9" s="1"/>
  <c r="R1156" i="9" s="1"/>
  <c r="AD986" i="9"/>
  <c r="Q986" i="9"/>
  <c r="R986" i="9"/>
  <c r="O986" i="9"/>
  <c r="P986" i="9"/>
  <c r="J987" i="9"/>
  <c r="AD972" i="9"/>
  <c r="O972" i="9"/>
  <c r="P972" i="9"/>
  <c r="Q972" i="9"/>
  <c r="R972" i="9"/>
  <c r="AD964" i="9"/>
  <c r="O964" i="9"/>
  <c r="O966" i="9" s="1"/>
  <c r="O968" i="9" s="1"/>
  <c r="O25" i="9" s="1"/>
  <c r="O78" i="9" s="1"/>
  <c r="P964" i="9"/>
  <c r="P966" i="9" s="1"/>
  <c r="P968" i="9" s="1"/>
  <c r="P25" i="9" s="1"/>
  <c r="P78" i="9" s="1"/>
  <c r="H966" i="9"/>
  <c r="O955" i="9"/>
  <c r="P955" i="9"/>
  <c r="Q955" i="9"/>
  <c r="R955" i="9"/>
  <c r="AD955" i="9"/>
  <c r="W952" i="9"/>
  <c r="T952" i="9"/>
  <c r="U952" i="9"/>
  <c r="V952" i="9"/>
  <c r="L943" i="9"/>
  <c r="AD940" i="9"/>
  <c r="O940" i="9"/>
  <c r="P940" i="9"/>
  <c r="Q940" i="9"/>
  <c r="R940" i="9"/>
  <c r="P937" i="9"/>
  <c r="Q937" i="9"/>
  <c r="O937" i="9"/>
  <c r="R937" i="9"/>
  <c r="AD937" i="9"/>
  <c r="I934" i="9"/>
  <c r="U933" i="9"/>
  <c r="W933" i="9"/>
  <c r="T933" i="9"/>
  <c r="V933" i="9"/>
  <c r="T916" i="9"/>
  <c r="V916" i="9"/>
  <c r="W916" i="9"/>
  <c r="U916" i="9"/>
  <c r="I918" i="9"/>
  <c r="J913" i="9"/>
  <c r="U907" i="9"/>
  <c r="W907" i="9"/>
  <c r="V907" i="9"/>
  <c r="T907" i="9"/>
  <c r="T902" i="9"/>
  <c r="U902" i="9"/>
  <c r="V902" i="9"/>
  <c r="W902" i="9"/>
  <c r="U899" i="9"/>
  <c r="V899" i="9"/>
  <c r="T899" i="9"/>
  <c r="W899" i="9"/>
  <c r="AG874" i="9"/>
  <c r="J875" i="9"/>
  <c r="AG875" i="9" s="1"/>
  <c r="AD863" i="9"/>
  <c r="O863" i="9"/>
  <c r="P863" i="9"/>
  <c r="Q863" i="9"/>
  <c r="R863" i="9"/>
  <c r="O860" i="9"/>
  <c r="P860" i="9"/>
  <c r="AD860" i="9"/>
  <c r="Q860" i="9"/>
  <c r="R860" i="9"/>
  <c r="J867" i="9"/>
  <c r="AD854" i="9"/>
  <c r="O854" i="9"/>
  <c r="Q854" i="9"/>
  <c r="R854" i="9"/>
  <c r="P854" i="9"/>
  <c r="Y852" i="9"/>
  <c r="AC852" i="9"/>
  <c r="AA852" i="9"/>
  <c r="Z852" i="9"/>
  <c r="AB852" i="9"/>
  <c r="P850" i="9"/>
  <c r="Q850" i="9"/>
  <c r="R850" i="9"/>
  <c r="AD850" i="9"/>
  <c r="O850" i="9"/>
  <c r="AA849" i="9"/>
  <c r="Z849" i="9"/>
  <c r="Y849" i="9"/>
  <c r="AC849" i="9"/>
  <c r="AB849" i="9"/>
  <c r="O847" i="9"/>
  <c r="P847" i="9"/>
  <c r="R847" i="9"/>
  <c r="AD847" i="9"/>
  <c r="Q847" i="9"/>
  <c r="Q846" i="9"/>
  <c r="AD846" i="9"/>
  <c r="P846" i="9"/>
  <c r="R846" i="9"/>
  <c r="O846" i="9"/>
  <c r="AE836" i="9"/>
  <c r="AD836" i="9"/>
  <c r="AG835" i="9"/>
  <c r="J838" i="9"/>
  <c r="AG838" i="9" s="1"/>
  <c r="AD830" i="9"/>
  <c r="O830" i="9"/>
  <c r="P830" i="9"/>
  <c r="Q830" i="9"/>
  <c r="R830" i="9"/>
  <c r="AG821" i="9"/>
  <c r="J825" i="9"/>
  <c r="AG825" i="9" s="1"/>
  <c r="AF810" i="9"/>
  <c r="I814" i="9"/>
  <c r="W800" i="9"/>
  <c r="T800" i="9"/>
  <c r="U800" i="9"/>
  <c r="V800" i="9"/>
  <c r="AD789" i="9"/>
  <c r="O789" i="9"/>
  <c r="P789" i="9"/>
  <c r="Q789" i="9"/>
  <c r="R789" i="9"/>
  <c r="W783" i="9"/>
  <c r="T783" i="9"/>
  <c r="AF783" i="9" s="1"/>
  <c r="V783" i="9"/>
  <c r="U783" i="9"/>
  <c r="I785" i="9"/>
  <c r="AB777" i="9"/>
  <c r="AA777" i="9"/>
  <c r="Y777" i="9"/>
  <c r="AC777" i="9"/>
  <c r="Z777" i="9"/>
  <c r="J771" i="9"/>
  <c r="Z770" i="9"/>
  <c r="Z771" i="9" s="1"/>
  <c r="AB770" i="9"/>
  <c r="AB771" i="9" s="1"/>
  <c r="Y770" i="9"/>
  <c r="Y771" i="9" s="1"/>
  <c r="AC770" i="9"/>
  <c r="AC771" i="9" s="1"/>
  <c r="AA770" i="9"/>
  <c r="AD769" i="9"/>
  <c r="Q769" i="9"/>
  <c r="R769" i="9"/>
  <c r="O769" i="9"/>
  <c r="P769" i="9"/>
  <c r="Q763" i="9"/>
  <c r="R763" i="9"/>
  <c r="O763" i="9"/>
  <c r="P763" i="9"/>
  <c r="AD763" i="9"/>
  <c r="H766" i="9"/>
  <c r="O755" i="9"/>
  <c r="P755" i="9"/>
  <c r="Q755" i="9"/>
  <c r="R755" i="9"/>
  <c r="AD755" i="9"/>
  <c r="J756" i="9"/>
  <c r="L750" i="9"/>
  <c r="J750" i="9"/>
  <c r="AB739" i="9"/>
  <c r="Y739" i="9"/>
  <c r="AC739" i="9"/>
  <c r="Z739" i="9"/>
  <c r="AA739" i="9"/>
  <c r="J735" i="9"/>
  <c r="AD733" i="9"/>
  <c r="Q733" i="9"/>
  <c r="R733" i="9"/>
  <c r="P733" i="9"/>
  <c r="O733" i="9"/>
  <c r="AF724" i="9"/>
  <c r="I726" i="9"/>
  <c r="AF726" i="9" s="1"/>
  <c r="AE710" i="9"/>
  <c r="AD710" i="9"/>
  <c r="K706" i="9"/>
  <c r="AD702" i="9"/>
  <c r="AE702" i="9"/>
  <c r="H704" i="9"/>
  <c r="AD692" i="9"/>
  <c r="AE692" i="9"/>
  <c r="H694" i="9"/>
  <c r="AC688" i="9"/>
  <c r="AA688" i="9"/>
  <c r="Y688" i="9"/>
  <c r="AB688" i="9"/>
  <c r="Z688" i="9"/>
  <c r="Z680" i="9"/>
  <c r="AA680" i="9"/>
  <c r="AB680" i="9"/>
  <c r="AC680" i="9"/>
  <c r="Y680" i="9"/>
  <c r="AA670" i="9"/>
  <c r="AC670" i="9"/>
  <c r="Y670" i="9"/>
  <c r="Z670" i="9"/>
  <c r="Z671" i="9" s="1"/>
  <c r="AB670" i="9"/>
  <c r="AB671" i="9" s="1"/>
  <c r="Z669" i="9"/>
  <c r="AA669" i="9"/>
  <c r="AG669" i="9" s="1"/>
  <c r="AB669" i="9"/>
  <c r="AC669" i="9"/>
  <c r="Y669" i="9"/>
  <c r="J671" i="9"/>
  <c r="Z664" i="9"/>
  <c r="AA664" i="9"/>
  <c r="AB664" i="9"/>
  <c r="AC664" i="9"/>
  <c r="Y664" i="9"/>
  <c r="Y666" i="9" s="1"/>
  <c r="L661" i="9"/>
  <c r="AE647" i="9"/>
  <c r="AD647" i="9"/>
  <c r="H649" i="9"/>
  <c r="Z638" i="9"/>
  <c r="AC638" i="9"/>
  <c r="AB638" i="9"/>
  <c r="AA638" i="9"/>
  <c r="Y638" i="9"/>
  <c r="J634" i="9"/>
  <c r="AB633" i="9"/>
  <c r="AB634" i="9" s="1"/>
  <c r="AA633" i="9"/>
  <c r="AA634" i="9" s="1"/>
  <c r="AC633" i="9"/>
  <c r="AC634" i="9" s="1"/>
  <c r="Y633" i="9"/>
  <c r="Y634" i="9" s="1"/>
  <c r="Z633" i="9"/>
  <c r="AE627" i="9"/>
  <c r="AD627" i="9"/>
  <c r="H629" i="9"/>
  <c r="K624" i="9"/>
  <c r="J609" i="9"/>
  <c r="AB608" i="9"/>
  <c r="AC608" i="9"/>
  <c r="AA608" i="9"/>
  <c r="AA609" i="9" s="1"/>
  <c r="AB607" i="9"/>
  <c r="AA607" i="9"/>
  <c r="AC607" i="9"/>
  <c r="L599" i="9"/>
  <c r="L559" i="9"/>
  <c r="U519" i="9"/>
  <c r="U520" i="9" s="1"/>
  <c r="V519" i="9"/>
  <c r="V520" i="9" s="1"/>
  <c r="I520" i="9"/>
  <c r="T519" i="9"/>
  <c r="T520" i="9" s="1"/>
  <c r="W519" i="9"/>
  <c r="W520" i="9" s="1"/>
  <c r="AD507" i="9"/>
  <c r="AE507" i="9"/>
  <c r="H508" i="9"/>
  <c r="K495" i="9"/>
  <c r="L487" i="9"/>
  <c r="Q476" i="9"/>
  <c r="R476" i="9"/>
  <c r="P476" i="9"/>
  <c r="AD476" i="9"/>
  <c r="O476" i="9"/>
  <c r="AG472" i="9"/>
  <c r="J478" i="9"/>
  <c r="AG478" i="9" s="1"/>
  <c r="K465" i="9"/>
  <c r="R462" i="9"/>
  <c r="P462" i="9"/>
  <c r="O462" i="9"/>
  <c r="AD462" i="9"/>
  <c r="Q462" i="9"/>
  <c r="AG440" i="9"/>
  <c r="J442" i="9"/>
  <c r="AG442" i="9" s="1"/>
  <c r="H433" i="9"/>
  <c r="AD432" i="9"/>
  <c r="R432" i="9"/>
  <c r="R433" i="9" s="1"/>
  <c r="O432" i="9"/>
  <c r="Q432" i="9"/>
  <c r="Q433" i="9" s="1"/>
  <c r="P432" i="9"/>
  <c r="P433" i="9" s="1"/>
  <c r="L421" i="9"/>
  <c r="AG414" i="9"/>
  <c r="J416" i="9"/>
  <c r="AG416" i="9" s="1"/>
  <c r="J411" i="9"/>
  <c r="AG410" i="9"/>
  <c r="AF369" i="9"/>
  <c r="I370" i="9"/>
  <c r="AF370" i="9" s="1"/>
  <c r="O347" i="9"/>
  <c r="O348" i="9" s="1"/>
  <c r="Q347" i="9"/>
  <c r="Q348" i="9" s="1"/>
  <c r="R347" i="9"/>
  <c r="R348" i="9" s="1"/>
  <c r="H348" i="9"/>
  <c r="P347" i="9"/>
  <c r="P348" i="9" s="1"/>
  <c r="AD347" i="9"/>
  <c r="AG327" i="9"/>
  <c r="J328" i="9"/>
  <c r="AG328" i="9" s="1"/>
  <c r="T209" i="9"/>
  <c r="U209" i="9"/>
  <c r="V209" i="9"/>
  <c r="W209" i="9"/>
  <c r="W145" i="9"/>
  <c r="T145" i="9"/>
  <c r="T147" i="9" s="1"/>
  <c r="U145" i="9"/>
  <c r="U147" i="9" s="1"/>
  <c r="I147" i="9"/>
  <c r="V145" i="9"/>
  <c r="T220" i="9"/>
  <c r="U220" i="9"/>
  <c r="V220" i="9"/>
  <c r="I223" i="9"/>
  <c r="W220" i="9"/>
  <c r="T180" i="9"/>
  <c r="V180" i="9"/>
  <c r="W180" i="9"/>
  <c r="I185" i="9"/>
  <c r="U180" i="9"/>
  <c r="AC146" i="9"/>
  <c r="AB146" i="9"/>
  <c r="Z146" i="9"/>
  <c r="Y146" i="9"/>
  <c r="AA146" i="9"/>
  <c r="H394" i="9"/>
  <c r="O392" i="9"/>
  <c r="O394" i="9" s="1"/>
  <c r="P392" i="9"/>
  <c r="P394" i="9" s="1"/>
  <c r="Q392" i="9"/>
  <c r="Q394" i="9" s="1"/>
  <c r="R392" i="9"/>
  <c r="R394" i="9" s="1"/>
  <c r="AD392" i="9"/>
  <c r="Q300" i="9"/>
  <c r="O300" i="9"/>
  <c r="P300" i="9"/>
  <c r="R300" i="9"/>
  <c r="AD300" i="9"/>
  <c r="P280" i="9"/>
  <c r="R280" i="9"/>
  <c r="AD280" i="9"/>
  <c r="Q280" i="9"/>
  <c r="O280" i="9"/>
  <c r="AD170" i="9"/>
  <c r="Q170" i="9"/>
  <c r="R170" i="9"/>
  <c r="O170" i="9"/>
  <c r="P170" i="9"/>
  <c r="P448" i="9"/>
  <c r="O448" i="9"/>
  <c r="Q448" i="9"/>
  <c r="R448" i="9"/>
  <c r="AD448" i="9"/>
  <c r="L281" i="9"/>
  <c r="U169" i="9"/>
  <c r="W169" i="9"/>
  <c r="V169" i="9"/>
  <c r="T169" i="9"/>
  <c r="I316" i="9"/>
  <c r="AF316" i="9" s="1"/>
  <c r="AF315" i="9"/>
  <c r="L270" i="9"/>
  <c r="AD232" i="9"/>
  <c r="Q232" i="9"/>
  <c r="R232" i="9"/>
  <c r="P232" i="9"/>
  <c r="O232" i="9"/>
  <c r="P184" i="9"/>
  <c r="Q184" i="9"/>
  <c r="R184" i="9"/>
  <c r="O184" i="9"/>
  <c r="AD184" i="9"/>
  <c r="P161" i="9"/>
  <c r="AD161" i="9"/>
  <c r="R161" i="9"/>
  <c r="Q161" i="9"/>
  <c r="O161" i="9"/>
  <c r="J124" i="9"/>
  <c r="Q196" i="9"/>
  <c r="Q197" i="9" s="1"/>
  <c r="H197" i="9"/>
  <c r="O196" i="9"/>
  <c r="O197" i="9" s="1"/>
  <c r="P196" i="9"/>
  <c r="P197" i="9" s="1"/>
  <c r="R196" i="9"/>
  <c r="R197" i="9" s="1"/>
  <c r="AD196" i="9"/>
  <c r="J194" i="9"/>
  <c r="K286" i="9"/>
  <c r="R209" i="9"/>
  <c r="O209" i="9"/>
  <c r="P209" i="9"/>
  <c r="Q209" i="9"/>
  <c r="AD209" i="9"/>
  <c r="AG397" i="9"/>
  <c r="J399" i="9"/>
  <c r="AG399" i="9" s="1"/>
  <c r="J270" i="9"/>
  <c r="AG270" i="9" s="1"/>
  <c r="AG267" i="9"/>
  <c r="J164" i="9"/>
  <c r="K356" i="9"/>
  <c r="AG255" i="9"/>
  <c r="J259" i="9"/>
  <c r="AG259" i="9" s="1"/>
  <c r="O274" i="9"/>
  <c r="Q274" i="9"/>
  <c r="R274" i="9"/>
  <c r="P274" i="9"/>
  <c r="AD274" i="9"/>
  <c r="W168" i="9"/>
  <c r="U168" i="9"/>
  <c r="T168" i="9"/>
  <c r="V168" i="9"/>
  <c r="O130" i="9"/>
  <c r="Q130" i="9"/>
  <c r="R130" i="9"/>
  <c r="P130" i="9"/>
  <c r="AD130" i="9"/>
  <c r="R231" i="9"/>
  <c r="H233" i="9"/>
  <c r="AD231" i="9"/>
  <c r="O231" i="9"/>
  <c r="O233" i="9" s="1"/>
  <c r="P231" i="9"/>
  <c r="Q231" i="9"/>
  <c r="Q233" i="9" s="1"/>
  <c r="AD278" i="9"/>
  <c r="O278" i="9"/>
  <c r="Q278" i="9"/>
  <c r="H281" i="9"/>
  <c r="P278" i="9"/>
  <c r="R278" i="9"/>
  <c r="J2212" i="9"/>
  <c r="J2214" i="9" s="1"/>
  <c r="J2215" i="9" s="1"/>
  <c r="P2196" i="9"/>
  <c r="Q2196" i="9"/>
  <c r="AD2196" i="9"/>
  <c r="O2196" i="9"/>
  <c r="R2196" i="9"/>
  <c r="K2203" i="9"/>
  <c r="K2206" i="9" s="1"/>
  <c r="K2180" i="9"/>
  <c r="U2176" i="9"/>
  <c r="W2176" i="9"/>
  <c r="T2176" i="9"/>
  <c r="V2176" i="9"/>
  <c r="U2170" i="9"/>
  <c r="V2170" i="9"/>
  <c r="V2171" i="9" s="1"/>
  <c r="T2170" i="9"/>
  <c r="T2171" i="9" s="1"/>
  <c r="W2170" i="9"/>
  <c r="W2171" i="9" s="1"/>
  <c r="AG2158" i="9"/>
  <c r="J2159" i="9"/>
  <c r="AG2159" i="9" s="1"/>
  <c r="AD2139" i="9"/>
  <c r="Q2139" i="9"/>
  <c r="P2139" i="9"/>
  <c r="R2139" i="9"/>
  <c r="O2139" i="9"/>
  <c r="Q2137" i="9"/>
  <c r="R2137" i="9"/>
  <c r="P2137" i="9"/>
  <c r="AD2137" i="9"/>
  <c r="O2137" i="9"/>
  <c r="H2140" i="9"/>
  <c r="I2133" i="9"/>
  <c r="W2132" i="9"/>
  <c r="V2132" i="9"/>
  <c r="T2132" i="9"/>
  <c r="U2132" i="9"/>
  <c r="T2129" i="9"/>
  <c r="U2129" i="9"/>
  <c r="V2129" i="9"/>
  <c r="W2129" i="9"/>
  <c r="T2127" i="9"/>
  <c r="U2127" i="9"/>
  <c r="V2127" i="9"/>
  <c r="W2127" i="9"/>
  <c r="Q2124" i="9"/>
  <c r="AD2124" i="9"/>
  <c r="R2124" i="9"/>
  <c r="O2124" i="9"/>
  <c r="P2124" i="9"/>
  <c r="H2133" i="9"/>
  <c r="AD2113" i="9"/>
  <c r="AE2113" i="9"/>
  <c r="H2114" i="9"/>
  <c r="AE2109" i="9"/>
  <c r="H2110" i="9"/>
  <c r="AD2109" i="9"/>
  <c r="Y2093" i="9"/>
  <c r="Y2094" i="9" s="1"/>
  <c r="AB2093" i="9"/>
  <c r="AB2094" i="9" s="1"/>
  <c r="AA2093" i="9"/>
  <c r="AA2094" i="9" s="1"/>
  <c r="Z2093" i="9"/>
  <c r="Z2094" i="9" s="1"/>
  <c r="AC2093" i="9"/>
  <c r="AC2094" i="9" s="1"/>
  <c r="J2094" i="9"/>
  <c r="AD2089" i="9"/>
  <c r="AE2089" i="9"/>
  <c r="H2090" i="9"/>
  <c r="AA2081" i="9"/>
  <c r="AA2082" i="9" s="1"/>
  <c r="AB2081" i="9"/>
  <c r="AB2082" i="9" s="1"/>
  <c r="Z2081" i="9"/>
  <c r="Z2082" i="9" s="1"/>
  <c r="AC2081" i="9"/>
  <c r="AC2082" i="9" s="1"/>
  <c r="J2082" i="9"/>
  <c r="Y2081" i="9"/>
  <c r="Y2082" i="9" s="1"/>
  <c r="AF2061" i="9"/>
  <c r="I2062" i="9"/>
  <c r="AF2062" i="9" s="1"/>
  <c r="AD2057" i="9"/>
  <c r="AE2057" i="9"/>
  <c r="H2058" i="9"/>
  <c r="T2052" i="9"/>
  <c r="U2052" i="9"/>
  <c r="V2052" i="9"/>
  <c r="W2052" i="9"/>
  <c r="V2051" i="9"/>
  <c r="T2051" i="9"/>
  <c r="W2051" i="9"/>
  <c r="U2051" i="9"/>
  <c r="I2054" i="9"/>
  <c r="AD2038" i="9"/>
  <c r="O2038" i="9"/>
  <c r="P2038" i="9"/>
  <c r="Q2038" i="9"/>
  <c r="R2038" i="9"/>
  <c r="AD2032" i="9"/>
  <c r="Q2032" i="9"/>
  <c r="R2032" i="9"/>
  <c r="O2032" i="9"/>
  <c r="P2032" i="9"/>
  <c r="AD2013" i="9"/>
  <c r="R2013" i="9"/>
  <c r="Q2013" i="9"/>
  <c r="P2013" i="9"/>
  <c r="O2013" i="9"/>
  <c r="H2019" i="9"/>
  <c r="K2007" i="9"/>
  <c r="U2003" i="9"/>
  <c r="T2003" i="9"/>
  <c r="V2003" i="9"/>
  <c r="W2003" i="9"/>
  <c r="J2007" i="9"/>
  <c r="R1993" i="9"/>
  <c r="P1993" i="9"/>
  <c r="O1993" i="9"/>
  <c r="AD1993" i="9"/>
  <c r="Q1993" i="9"/>
  <c r="U1990" i="9"/>
  <c r="V1990" i="9"/>
  <c r="T1990" i="9"/>
  <c r="W1990" i="9"/>
  <c r="AD1986" i="9"/>
  <c r="P1986" i="9"/>
  <c r="AE1986" i="9" s="1"/>
  <c r="Q1986" i="9"/>
  <c r="O1986" i="9"/>
  <c r="R1986" i="9"/>
  <c r="U1985" i="9"/>
  <c r="W1985" i="9"/>
  <c r="V1985" i="9"/>
  <c r="T1985" i="9"/>
  <c r="K1981" i="9"/>
  <c r="AD1977" i="9"/>
  <c r="Q1977" i="9"/>
  <c r="R1977" i="9"/>
  <c r="O1977" i="9"/>
  <c r="P1977" i="9"/>
  <c r="P1974" i="9"/>
  <c r="R1974" i="9"/>
  <c r="Q1974" i="9"/>
  <c r="O1974" i="9"/>
  <c r="AD1974" i="9"/>
  <c r="O1972" i="9"/>
  <c r="AD1972" i="9"/>
  <c r="R1972" i="9"/>
  <c r="P1972" i="9"/>
  <c r="Q1972" i="9"/>
  <c r="O1955" i="9"/>
  <c r="P1955" i="9"/>
  <c r="AD1955" i="9"/>
  <c r="R1955" i="9"/>
  <c r="Q1955" i="9"/>
  <c r="O1950" i="9"/>
  <c r="AE1950" i="9" s="1"/>
  <c r="Q1950" i="9"/>
  <c r="R1950" i="9"/>
  <c r="AD1950" i="9"/>
  <c r="P1950" i="9"/>
  <c r="V1924" i="9"/>
  <c r="U1924" i="9"/>
  <c r="T1924" i="9"/>
  <c r="W1924" i="9"/>
  <c r="I1921" i="9"/>
  <c r="T1920" i="9"/>
  <c r="V1920" i="9"/>
  <c r="W1920" i="9"/>
  <c r="U1920" i="9"/>
  <c r="J1917" i="9"/>
  <c r="W1911" i="9"/>
  <c r="I1912" i="9"/>
  <c r="T1911" i="9"/>
  <c r="T1912" i="9" s="1"/>
  <c r="U1911" i="9"/>
  <c r="U1912" i="9" s="1"/>
  <c r="V1911" i="9"/>
  <c r="V1912" i="9" s="1"/>
  <c r="U1901" i="9"/>
  <c r="V1901" i="9"/>
  <c r="T1901" i="9"/>
  <c r="AF1901" i="9" s="1"/>
  <c r="W1901" i="9"/>
  <c r="V1889" i="9"/>
  <c r="W1889" i="9"/>
  <c r="I1890" i="9"/>
  <c r="I53" i="9"/>
  <c r="U1889" i="9"/>
  <c r="T1889" i="9"/>
  <c r="V1875" i="9"/>
  <c r="V1876" i="9" s="1"/>
  <c r="W1875" i="9"/>
  <c r="W1876" i="9" s="1"/>
  <c r="T1875" i="9"/>
  <c r="T1876" i="9" s="1"/>
  <c r="U1875" i="9"/>
  <c r="U1876" i="9" s="1"/>
  <c r="T1869" i="9"/>
  <c r="U1869" i="9"/>
  <c r="W1869" i="9"/>
  <c r="V1869" i="9"/>
  <c r="R1868" i="9"/>
  <c r="P1868" i="9"/>
  <c r="Q1868" i="9"/>
  <c r="O1868" i="9"/>
  <c r="AD1868" i="9"/>
  <c r="H1871" i="9"/>
  <c r="H1857" i="9"/>
  <c r="AD1856" i="9"/>
  <c r="R1856" i="9"/>
  <c r="O1856" i="9"/>
  <c r="P1856" i="9"/>
  <c r="Q1856" i="9"/>
  <c r="T1850" i="9"/>
  <c r="U1850" i="9"/>
  <c r="V1850" i="9"/>
  <c r="W1850" i="9"/>
  <c r="T1835" i="9"/>
  <c r="U1835" i="9"/>
  <c r="V1835" i="9"/>
  <c r="W1835" i="9"/>
  <c r="T1833" i="9"/>
  <c r="U1833" i="9"/>
  <c r="V1833" i="9"/>
  <c r="W1833" i="9"/>
  <c r="AD1832" i="9"/>
  <c r="P1832" i="9"/>
  <c r="Q1832" i="9"/>
  <c r="O1832" i="9"/>
  <c r="R1832" i="9"/>
  <c r="T1830" i="9"/>
  <c r="U1830" i="9"/>
  <c r="V1830" i="9"/>
  <c r="W1830" i="9"/>
  <c r="I1838" i="9"/>
  <c r="T1825" i="9"/>
  <c r="U1825" i="9"/>
  <c r="W1825" i="9"/>
  <c r="V1825" i="9"/>
  <c r="L1817" i="9"/>
  <c r="L38" i="9" s="1"/>
  <c r="V1805" i="9"/>
  <c r="V1807" i="9" s="1"/>
  <c r="I1807" i="9"/>
  <c r="U1805" i="9"/>
  <c r="U1807" i="9" s="1"/>
  <c r="W1805" i="9"/>
  <c r="W1807" i="9" s="1"/>
  <c r="T1805" i="9"/>
  <c r="T1807" i="9" s="1"/>
  <c r="T1800" i="9"/>
  <c r="T1802" i="9" s="1"/>
  <c r="U1800" i="9"/>
  <c r="U1802" i="9" s="1"/>
  <c r="I1802" i="9"/>
  <c r="V1800" i="9"/>
  <c r="V1802" i="9" s="1"/>
  <c r="W1800" i="9"/>
  <c r="W1802" i="9" s="1"/>
  <c r="T1795" i="9"/>
  <c r="W1795" i="9"/>
  <c r="U1795" i="9"/>
  <c r="V1795" i="9"/>
  <c r="O1792" i="9"/>
  <c r="P1792" i="9"/>
  <c r="Q1792" i="9"/>
  <c r="AD1792" i="9"/>
  <c r="R1792" i="9"/>
  <c r="K1755" i="9"/>
  <c r="AB1752" i="9"/>
  <c r="Z1752" i="9"/>
  <c r="AC1752" i="9"/>
  <c r="AA1752" i="9"/>
  <c r="Y1752" i="9"/>
  <c r="I1747" i="9"/>
  <c r="V1746" i="9"/>
  <c r="W1746" i="9"/>
  <c r="T1746" i="9"/>
  <c r="U1746" i="9"/>
  <c r="AA1744" i="9"/>
  <c r="AB1744" i="9"/>
  <c r="AC1744" i="9"/>
  <c r="Y1744" i="9"/>
  <c r="Z1744" i="9"/>
  <c r="Q1743" i="9"/>
  <c r="R1743" i="9"/>
  <c r="AD1743" i="9"/>
  <c r="O1743" i="9"/>
  <c r="AE1743" i="9" s="1"/>
  <c r="P1743" i="9"/>
  <c r="AB1738" i="9"/>
  <c r="AC1738" i="9"/>
  <c r="Z1738" i="9"/>
  <c r="Y1738" i="9"/>
  <c r="AA1738" i="9"/>
  <c r="J1740" i="9"/>
  <c r="L37" i="9"/>
  <c r="L1735" i="9"/>
  <c r="R1724" i="9"/>
  <c r="O1724" i="9"/>
  <c r="Q1724" i="9"/>
  <c r="P1724" i="9"/>
  <c r="AD1724" i="9"/>
  <c r="J1720" i="9"/>
  <c r="L1706" i="9"/>
  <c r="V1703" i="9"/>
  <c r="W1703" i="9"/>
  <c r="T1703" i="9"/>
  <c r="U1703" i="9"/>
  <c r="U1694" i="9"/>
  <c r="V1694" i="9"/>
  <c r="W1694" i="9"/>
  <c r="T1694" i="9"/>
  <c r="T1691" i="9"/>
  <c r="U1691" i="9"/>
  <c r="V1691" i="9"/>
  <c r="W1691" i="9"/>
  <c r="AF1691" i="9"/>
  <c r="AD1689" i="9"/>
  <c r="O1689" i="9"/>
  <c r="P1689" i="9"/>
  <c r="Q1689" i="9"/>
  <c r="R1689" i="9"/>
  <c r="H1696" i="9"/>
  <c r="J1686" i="9"/>
  <c r="W1683" i="9"/>
  <c r="T1683" i="9"/>
  <c r="U1683" i="9"/>
  <c r="V1683" i="9"/>
  <c r="O1665" i="9"/>
  <c r="P1665" i="9"/>
  <c r="AD1665" i="9"/>
  <c r="Q1665" i="9"/>
  <c r="R1665" i="9"/>
  <c r="AE1665" i="9" s="1"/>
  <c r="H1670" i="9"/>
  <c r="Q1641" i="9"/>
  <c r="AD1641" i="9"/>
  <c r="R1641" i="9"/>
  <c r="O1641" i="9"/>
  <c r="P1641" i="9"/>
  <c r="W1640" i="9"/>
  <c r="T1640" i="9"/>
  <c r="AF1640" i="9" s="1"/>
  <c r="U1640" i="9"/>
  <c r="V1640" i="9"/>
  <c r="I1643" i="9"/>
  <c r="R1632" i="9"/>
  <c r="R1633" i="9" s="1"/>
  <c r="H1633" i="9"/>
  <c r="O1632" i="9"/>
  <c r="O1633" i="9" s="1"/>
  <c r="P1632" i="9"/>
  <c r="P1633" i="9" s="1"/>
  <c r="AD1632" i="9"/>
  <c r="Q1632" i="9"/>
  <c r="Q1633" i="9" s="1"/>
  <c r="AB1626" i="9"/>
  <c r="AC1626" i="9"/>
  <c r="Y1626" i="9"/>
  <c r="Z1626" i="9"/>
  <c r="AA1626" i="9"/>
  <c r="K1623" i="9"/>
  <c r="AD1611" i="9"/>
  <c r="R1611" i="9"/>
  <c r="P1611" i="9"/>
  <c r="Q1611" i="9"/>
  <c r="O1611" i="9"/>
  <c r="Q1609" i="9"/>
  <c r="O1609" i="9"/>
  <c r="R1609" i="9"/>
  <c r="AD1609" i="9"/>
  <c r="P1609" i="9"/>
  <c r="AD1608" i="9"/>
  <c r="R1608" i="9"/>
  <c r="O1608" i="9"/>
  <c r="Q1608" i="9"/>
  <c r="P1608" i="9"/>
  <c r="V1606" i="9"/>
  <c r="W1606" i="9"/>
  <c r="T1606" i="9"/>
  <c r="U1606" i="9"/>
  <c r="V1604" i="9"/>
  <c r="W1604" i="9"/>
  <c r="T1604" i="9"/>
  <c r="U1604" i="9"/>
  <c r="V1598" i="9"/>
  <c r="W1598" i="9"/>
  <c r="U1598" i="9"/>
  <c r="T1598" i="9"/>
  <c r="V1592" i="9"/>
  <c r="W1592" i="9"/>
  <c r="T1592" i="9"/>
  <c r="U1592" i="9"/>
  <c r="I1600" i="9"/>
  <c r="Q1584" i="9"/>
  <c r="R1584" i="9"/>
  <c r="O1584" i="9"/>
  <c r="P1584" i="9"/>
  <c r="AD1584" i="9"/>
  <c r="T1582" i="9"/>
  <c r="U1582" i="9"/>
  <c r="V1582" i="9"/>
  <c r="W1582" i="9"/>
  <c r="T1576" i="9"/>
  <c r="U1576" i="9"/>
  <c r="V1576" i="9"/>
  <c r="W1576" i="9"/>
  <c r="Q1575" i="9"/>
  <c r="R1575" i="9"/>
  <c r="AD1575" i="9"/>
  <c r="P1575" i="9"/>
  <c r="O1575" i="9"/>
  <c r="W1573" i="9"/>
  <c r="T1573" i="9"/>
  <c r="U1573" i="9"/>
  <c r="V1573" i="9"/>
  <c r="P1565" i="9"/>
  <c r="AD1565" i="9"/>
  <c r="Q1565" i="9"/>
  <c r="R1565" i="9"/>
  <c r="O1565" i="9"/>
  <c r="AE1565" i="9"/>
  <c r="K1558" i="9"/>
  <c r="V1556" i="9"/>
  <c r="W1556" i="9"/>
  <c r="T1556" i="9"/>
  <c r="U1556" i="9"/>
  <c r="W1553" i="9"/>
  <c r="U1553" i="9"/>
  <c r="T1553" i="9"/>
  <c r="AF1553" i="9" s="1"/>
  <c r="V1553" i="9"/>
  <c r="U1549" i="9"/>
  <c r="V1549" i="9"/>
  <c r="T1549" i="9"/>
  <c r="W1549" i="9"/>
  <c r="I1558" i="9"/>
  <c r="K1546" i="9"/>
  <c r="T1543" i="9"/>
  <c r="U1543" i="9"/>
  <c r="V1543" i="9"/>
  <c r="W1543" i="9"/>
  <c r="V1540" i="9"/>
  <c r="W1540" i="9"/>
  <c r="T1540" i="9"/>
  <c r="U1540" i="9"/>
  <c r="O1527" i="9"/>
  <c r="P1527" i="9"/>
  <c r="Q1527" i="9"/>
  <c r="AD1527" i="9"/>
  <c r="R1527" i="9"/>
  <c r="H1534" i="9"/>
  <c r="K1524" i="9"/>
  <c r="W1520" i="9"/>
  <c r="V1520" i="9"/>
  <c r="T1520" i="9"/>
  <c r="U1520" i="9"/>
  <c r="K1516" i="9"/>
  <c r="AF1504" i="9"/>
  <c r="I1505" i="9"/>
  <c r="AF1505" i="9" s="1"/>
  <c r="AF1492" i="9"/>
  <c r="I1493" i="9"/>
  <c r="AF1493" i="9" s="1"/>
  <c r="AE1460" i="9"/>
  <c r="AD1460" i="9"/>
  <c r="H1461" i="9"/>
  <c r="AE1456" i="9"/>
  <c r="H1457" i="9"/>
  <c r="AD1456" i="9"/>
  <c r="AE1441" i="9"/>
  <c r="AD1441" i="9"/>
  <c r="W1440" i="9"/>
  <c r="V1440" i="9"/>
  <c r="T1440" i="9"/>
  <c r="U1440" i="9"/>
  <c r="I1443" i="9"/>
  <c r="V1434" i="9"/>
  <c r="W1434" i="9"/>
  <c r="T1434" i="9"/>
  <c r="U1434" i="9"/>
  <c r="AE1424" i="9"/>
  <c r="AD1424" i="9"/>
  <c r="T1418" i="9"/>
  <c r="V1418" i="9"/>
  <c r="U1418" i="9"/>
  <c r="W1418" i="9"/>
  <c r="V1417" i="9"/>
  <c r="W1417" i="9"/>
  <c r="T1417" i="9"/>
  <c r="U1417" i="9"/>
  <c r="T1404" i="9"/>
  <c r="U1404" i="9"/>
  <c r="V1404" i="9"/>
  <c r="W1404" i="9"/>
  <c r="AE1400" i="9"/>
  <c r="AD1400" i="9"/>
  <c r="U1398" i="9"/>
  <c r="V1398" i="9"/>
  <c r="T1398" i="9"/>
  <c r="AF1398" i="9" s="1"/>
  <c r="W1398" i="9"/>
  <c r="AE1393" i="9"/>
  <c r="AD1393" i="9"/>
  <c r="AD1385" i="9"/>
  <c r="H1386" i="9"/>
  <c r="AE1385" i="9"/>
  <c r="O1378" i="9"/>
  <c r="P1378" i="9"/>
  <c r="P1379" i="9" s="1"/>
  <c r="Q1378" i="9"/>
  <c r="Q1379" i="9" s="1"/>
  <c r="R1378" i="9"/>
  <c r="R1379" i="9" s="1"/>
  <c r="AD1378" i="9"/>
  <c r="H1374" i="9"/>
  <c r="O1373" i="9"/>
  <c r="AD1373" i="9"/>
  <c r="P1373" i="9"/>
  <c r="Q1373" i="9"/>
  <c r="R1373" i="9"/>
  <c r="AF1371" i="9"/>
  <c r="I1374" i="9"/>
  <c r="AF1374" i="9" s="1"/>
  <c r="L1368" i="9"/>
  <c r="AG1364" i="9"/>
  <c r="J1368" i="9"/>
  <c r="AG1368" i="9" s="1"/>
  <c r="AD1350" i="9"/>
  <c r="O1350" i="9"/>
  <c r="P1350" i="9"/>
  <c r="Q1350" i="9"/>
  <c r="R1350" i="9"/>
  <c r="H1341" i="9"/>
  <c r="R1340" i="9"/>
  <c r="Q1340" i="9"/>
  <c r="O1340" i="9"/>
  <c r="P1340" i="9"/>
  <c r="AD1340" i="9"/>
  <c r="AF1323" i="9"/>
  <c r="I1325" i="9"/>
  <c r="AF1325" i="9" s="1"/>
  <c r="AF1315" i="9"/>
  <c r="I1319" i="9"/>
  <c r="AF1319" i="9" s="1"/>
  <c r="AG1308" i="9"/>
  <c r="J1312" i="9"/>
  <c r="AG1312" i="9" s="1"/>
  <c r="AG1294" i="9"/>
  <c r="J1298" i="9"/>
  <c r="AG1298" i="9" s="1"/>
  <c r="O1287" i="9"/>
  <c r="P1287" i="9"/>
  <c r="Q1287" i="9"/>
  <c r="AD1287" i="9"/>
  <c r="R1287" i="9"/>
  <c r="H1291" i="9"/>
  <c r="AF1280" i="9"/>
  <c r="I1284" i="9"/>
  <c r="AF1284" i="9" s="1"/>
  <c r="O1274" i="9"/>
  <c r="P1274" i="9"/>
  <c r="R1274" i="9"/>
  <c r="AD1274" i="9"/>
  <c r="Q1274" i="9"/>
  <c r="AD1273" i="9"/>
  <c r="R1273" i="9"/>
  <c r="O1273" i="9"/>
  <c r="P1273" i="9"/>
  <c r="Q1273" i="9"/>
  <c r="AF1261" i="9"/>
  <c r="I1262" i="9"/>
  <c r="AF1262" i="9" s="1"/>
  <c r="AG1253" i="9"/>
  <c r="J1254" i="9"/>
  <c r="AG1254" i="9" s="1"/>
  <c r="AF1249" i="9"/>
  <c r="I1250" i="9"/>
  <c r="AF1250" i="9" s="1"/>
  <c r="AF1234" i="9"/>
  <c r="I1235" i="9"/>
  <c r="AF1235" i="9" s="1"/>
  <c r="AG1226" i="9"/>
  <c r="J1230" i="9"/>
  <c r="AG1230" i="9" s="1"/>
  <c r="AD1214" i="9"/>
  <c r="O1214" i="9"/>
  <c r="P1214" i="9"/>
  <c r="Q1214" i="9"/>
  <c r="R1214" i="9"/>
  <c r="AF1212" i="9"/>
  <c r="I1216" i="9"/>
  <c r="AF1216" i="9" s="1"/>
  <c r="K1209" i="9"/>
  <c r="K1195" i="9"/>
  <c r="R1191" i="9"/>
  <c r="O1191" i="9"/>
  <c r="P1191" i="9"/>
  <c r="Q1191" i="9"/>
  <c r="AD1191" i="9"/>
  <c r="H1179" i="9"/>
  <c r="O1178" i="9"/>
  <c r="P1178" i="9"/>
  <c r="Q1178" i="9"/>
  <c r="R1178" i="9"/>
  <c r="AD1178" i="9"/>
  <c r="AD1176" i="9"/>
  <c r="P1176" i="9"/>
  <c r="Q1176" i="9"/>
  <c r="R1176" i="9"/>
  <c r="O1176" i="9"/>
  <c r="T1135" i="9"/>
  <c r="W1135" i="9"/>
  <c r="U1135" i="9"/>
  <c r="V1135" i="9"/>
  <c r="Q1129" i="9"/>
  <c r="AD1129" i="9"/>
  <c r="R1129" i="9"/>
  <c r="P1129" i="9"/>
  <c r="O1129" i="9"/>
  <c r="AD1126" i="9"/>
  <c r="O1126" i="9"/>
  <c r="P1126" i="9"/>
  <c r="Q1126" i="9"/>
  <c r="R1126" i="9"/>
  <c r="T1117" i="9"/>
  <c r="U1117" i="9"/>
  <c r="W1117" i="9"/>
  <c r="V1117" i="9"/>
  <c r="I1113" i="9"/>
  <c r="W1112" i="9"/>
  <c r="U1112" i="9"/>
  <c r="T1112" i="9"/>
  <c r="V1112" i="9"/>
  <c r="U1102" i="9"/>
  <c r="T1102" i="9"/>
  <c r="V1102" i="9"/>
  <c r="W1102" i="9"/>
  <c r="Q1097" i="9"/>
  <c r="AD1097" i="9"/>
  <c r="O1097" i="9"/>
  <c r="P1097" i="9"/>
  <c r="R1097" i="9"/>
  <c r="V1095" i="9"/>
  <c r="W1095" i="9"/>
  <c r="T1095" i="9"/>
  <c r="U1095" i="9"/>
  <c r="AB1094" i="9"/>
  <c r="T1092" i="9"/>
  <c r="U1092" i="9"/>
  <c r="V1092" i="9"/>
  <c r="W1092" i="9"/>
  <c r="AD1091" i="9"/>
  <c r="Q1091" i="9"/>
  <c r="R1091" i="9"/>
  <c r="O1091" i="9"/>
  <c r="P1091" i="9"/>
  <c r="H1105" i="9"/>
  <c r="H1107" i="9" s="1"/>
  <c r="T1086" i="9"/>
  <c r="U1086" i="9"/>
  <c r="V1086" i="9"/>
  <c r="W1086" i="9"/>
  <c r="T1083" i="9"/>
  <c r="U1083" i="9"/>
  <c r="V1083" i="9"/>
  <c r="W1083" i="9"/>
  <c r="V1077" i="9"/>
  <c r="T1077" i="9"/>
  <c r="U1077" i="9"/>
  <c r="W1077" i="9"/>
  <c r="T1075" i="9"/>
  <c r="U1075" i="9"/>
  <c r="V1075" i="9"/>
  <c r="W1075" i="9"/>
  <c r="L1068" i="9"/>
  <c r="W1064" i="9"/>
  <c r="T1064" i="9"/>
  <c r="U1064" i="9"/>
  <c r="V1064" i="9"/>
  <c r="Q1060" i="9"/>
  <c r="AD1060" i="9"/>
  <c r="P1060" i="9"/>
  <c r="O1060" i="9"/>
  <c r="R1060" i="9"/>
  <c r="U1056" i="9"/>
  <c r="W1056" i="9"/>
  <c r="T1056" i="9"/>
  <c r="V1056" i="9"/>
  <c r="I1068" i="9"/>
  <c r="V1047" i="9"/>
  <c r="W1047" i="9"/>
  <c r="T1047" i="9"/>
  <c r="U1047" i="9"/>
  <c r="Q1045" i="9"/>
  <c r="R1045" i="9"/>
  <c r="O1045" i="9"/>
  <c r="AD1045" i="9"/>
  <c r="P1045" i="9"/>
  <c r="AD1044" i="9"/>
  <c r="Q1044" i="9"/>
  <c r="O1044" i="9"/>
  <c r="P1044" i="9"/>
  <c r="R1044" i="9"/>
  <c r="U1042" i="9"/>
  <c r="V1042" i="9"/>
  <c r="T1042" i="9"/>
  <c r="AF1042" i="9" s="1"/>
  <c r="W1042" i="9"/>
  <c r="Q1040" i="9"/>
  <c r="P1040" i="9"/>
  <c r="R1040" i="9"/>
  <c r="AD1040" i="9"/>
  <c r="O1040" i="9"/>
  <c r="AD1037" i="9"/>
  <c r="O1037" i="9"/>
  <c r="P1037" i="9"/>
  <c r="Q1037" i="9"/>
  <c r="R1037" i="9"/>
  <c r="L1034" i="9"/>
  <c r="V1031" i="9"/>
  <c r="W1031" i="9"/>
  <c r="T1031" i="9"/>
  <c r="U1031" i="9"/>
  <c r="O1025" i="9"/>
  <c r="Q1025" i="9"/>
  <c r="AD1025" i="9"/>
  <c r="R1025" i="9"/>
  <c r="P1025" i="9"/>
  <c r="V1023" i="9"/>
  <c r="W1023" i="9"/>
  <c r="T1023" i="9"/>
  <c r="U1023" i="9"/>
  <c r="O1013" i="9"/>
  <c r="P1013" i="9"/>
  <c r="AE1013" i="9" s="1"/>
  <c r="Q1013" i="9"/>
  <c r="AD1013" i="9"/>
  <c r="R1013" i="9"/>
  <c r="U1011" i="9"/>
  <c r="V1011" i="9"/>
  <c r="W1011" i="9"/>
  <c r="T1011" i="9"/>
  <c r="AB1006" i="9"/>
  <c r="L993" i="9"/>
  <c r="AD980" i="9"/>
  <c r="H981" i="9"/>
  <c r="O980" i="9"/>
  <c r="O981" i="9" s="1"/>
  <c r="P980" i="9"/>
  <c r="P981" i="9" s="1"/>
  <c r="Q980" i="9"/>
  <c r="Q981" i="9" s="1"/>
  <c r="R980" i="9"/>
  <c r="R981" i="9" s="1"/>
  <c r="I961" i="9"/>
  <c r="U959" i="9"/>
  <c r="U961" i="9" s="1"/>
  <c r="V959" i="9"/>
  <c r="V961" i="9" s="1"/>
  <c r="W959" i="9"/>
  <c r="W961" i="9" s="1"/>
  <c r="T959" i="9"/>
  <c r="P953" i="9"/>
  <c r="R953" i="9"/>
  <c r="AD953" i="9"/>
  <c r="Q953" i="9"/>
  <c r="O953" i="9"/>
  <c r="P950" i="9"/>
  <c r="O950" i="9"/>
  <c r="Q950" i="9"/>
  <c r="R950" i="9"/>
  <c r="AD950" i="9"/>
  <c r="J956" i="9"/>
  <c r="J943" i="9"/>
  <c r="T932" i="9"/>
  <c r="U932" i="9"/>
  <c r="V932" i="9"/>
  <c r="W932" i="9"/>
  <c r="P929" i="9"/>
  <c r="O929" i="9"/>
  <c r="AD929" i="9"/>
  <c r="Q929" i="9"/>
  <c r="R929" i="9"/>
  <c r="AD907" i="9"/>
  <c r="O907" i="9"/>
  <c r="P907" i="9"/>
  <c r="R907" i="9"/>
  <c r="Q907" i="9"/>
  <c r="W905" i="9"/>
  <c r="T905" i="9"/>
  <c r="U905" i="9"/>
  <c r="V905" i="9"/>
  <c r="T900" i="9"/>
  <c r="V900" i="9"/>
  <c r="W900" i="9"/>
  <c r="U900" i="9"/>
  <c r="AD899" i="9"/>
  <c r="O899" i="9"/>
  <c r="P899" i="9"/>
  <c r="R899" i="9"/>
  <c r="Q899" i="9"/>
  <c r="AD894" i="9"/>
  <c r="P894" i="9"/>
  <c r="P895" i="9" s="1"/>
  <c r="Q894" i="9"/>
  <c r="Q895" i="9" s="1"/>
  <c r="O894" i="9"/>
  <c r="O895" i="9" s="1"/>
  <c r="H895" i="9"/>
  <c r="R894" i="9"/>
  <c r="R895" i="9" s="1"/>
  <c r="I891" i="9"/>
  <c r="U890" i="9"/>
  <c r="V890" i="9"/>
  <c r="W890" i="9"/>
  <c r="T890" i="9"/>
  <c r="Q886" i="9"/>
  <c r="AD886" i="9"/>
  <c r="R886" i="9"/>
  <c r="O886" i="9"/>
  <c r="P886" i="9"/>
  <c r="R885" i="9"/>
  <c r="O885" i="9"/>
  <c r="Q885" i="9"/>
  <c r="P885" i="9"/>
  <c r="AD885" i="9"/>
  <c r="AG878" i="9"/>
  <c r="J880" i="9"/>
  <c r="AG880" i="9" s="1"/>
  <c r="V866" i="9"/>
  <c r="W866" i="9"/>
  <c r="T866" i="9"/>
  <c r="U866" i="9"/>
  <c r="W861" i="9"/>
  <c r="T861" i="9"/>
  <c r="U861" i="9"/>
  <c r="V861" i="9"/>
  <c r="W860" i="9"/>
  <c r="T860" i="9"/>
  <c r="U860" i="9"/>
  <c r="V860" i="9"/>
  <c r="Z847" i="9"/>
  <c r="AA847" i="9"/>
  <c r="Y847" i="9"/>
  <c r="AC847" i="9"/>
  <c r="AB847" i="9"/>
  <c r="Z844" i="9"/>
  <c r="AC844" i="9"/>
  <c r="Y844" i="9"/>
  <c r="AB844" i="9"/>
  <c r="AA844" i="9"/>
  <c r="AD831" i="9"/>
  <c r="Q831" i="9"/>
  <c r="R831" i="9"/>
  <c r="O831" i="9"/>
  <c r="P831" i="9"/>
  <c r="Q822" i="9"/>
  <c r="R822" i="9"/>
  <c r="O822" i="9"/>
  <c r="P822" i="9"/>
  <c r="AD822" i="9"/>
  <c r="L814" i="9"/>
  <c r="AG810" i="9"/>
  <c r="J814" i="9"/>
  <c r="AB800" i="9"/>
  <c r="AA800" i="9"/>
  <c r="Y800" i="9"/>
  <c r="Z800" i="9"/>
  <c r="AC800" i="9"/>
  <c r="I796" i="9"/>
  <c r="W795" i="9"/>
  <c r="T795" i="9"/>
  <c r="V795" i="9"/>
  <c r="U795" i="9"/>
  <c r="U794" i="9"/>
  <c r="W794" i="9"/>
  <c r="T794" i="9"/>
  <c r="V794" i="9"/>
  <c r="T789" i="9"/>
  <c r="W789" i="9"/>
  <c r="U789" i="9"/>
  <c r="V789" i="9"/>
  <c r="J791" i="9"/>
  <c r="Q783" i="9"/>
  <c r="R783" i="9"/>
  <c r="O783" i="9"/>
  <c r="P783" i="9"/>
  <c r="AD783" i="9"/>
  <c r="Y776" i="9"/>
  <c r="Z776" i="9"/>
  <c r="AA776" i="9"/>
  <c r="AB776" i="9"/>
  <c r="AC776" i="9"/>
  <c r="AD775" i="9"/>
  <c r="O775" i="9"/>
  <c r="P775" i="9"/>
  <c r="Q775" i="9"/>
  <c r="R775" i="9"/>
  <c r="I771" i="9"/>
  <c r="W770" i="9"/>
  <c r="W771" i="9" s="1"/>
  <c r="T770" i="9"/>
  <c r="AF770" i="9" s="1"/>
  <c r="U770" i="9"/>
  <c r="V770" i="9"/>
  <c r="V771" i="9" s="1"/>
  <c r="AD759" i="9"/>
  <c r="Q759" i="9"/>
  <c r="Q760" i="9" s="1"/>
  <c r="O759" i="9"/>
  <c r="O760" i="9" s="1"/>
  <c r="P759" i="9"/>
  <c r="P760" i="9" s="1"/>
  <c r="R759" i="9"/>
  <c r="R760" i="9" s="1"/>
  <c r="H760" i="9"/>
  <c r="W753" i="9"/>
  <c r="V753" i="9"/>
  <c r="T753" i="9"/>
  <c r="U753" i="9"/>
  <c r="I756" i="9"/>
  <c r="AD747" i="9"/>
  <c r="O747" i="9"/>
  <c r="Q747" i="9"/>
  <c r="P747" i="9"/>
  <c r="R747" i="9"/>
  <c r="I741" i="9"/>
  <c r="W740" i="9"/>
  <c r="T740" i="9"/>
  <c r="V740" i="9"/>
  <c r="U740" i="9"/>
  <c r="T739" i="9"/>
  <c r="U739" i="9"/>
  <c r="V739" i="9"/>
  <c r="W739" i="9"/>
  <c r="W734" i="9"/>
  <c r="W735" i="9" s="1"/>
  <c r="U734" i="9"/>
  <c r="U735" i="9" s="1"/>
  <c r="T734" i="9"/>
  <c r="T735" i="9" s="1"/>
  <c r="V734" i="9"/>
  <c r="V735" i="9" s="1"/>
  <c r="AE725" i="9"/>
  <c r="AD725" i="9"/>
  <c r="AF714" i="9"/>
  <c r="I716" i="9"/>
  <c r="AF716" i="9" s="1"/>
  <c r="L711" i="9"/>
  <c r="L682" i="9"/>
  <c r="L684" i="9" s="1"/>
  <c r="AE675" i="9"/>
  <c r="AD675" i="9"/>
  <c r="AF669" i="9"/>
  <c r="I671" i="9"/>
  <c r="AF671" i="9" s="1"/>
  <c r="AC659" i="9"/>
  <c r="Y659" i="9"/>
  <c r="Z659" i="9"/>
  <c r="AA659" i="9"/>
  <c r="AB659" i="9"/>
  <c r="J661" i="9"/>
  <c r="K654" i="9"/>
  <c r="J649" i="9"/>
  <c r="AB648" i="9"/>
  <c r="AB649" i="9" s="1"/>
  <c r="AA648" i="9"/>
  <c r="AA649" i="9" s="1"/>
  <c r="AC648" i="9"/>
  <c r="AC649" i="9" s="1"/>
  <c r="Z648" i="9"/>
  <c r="Z649" i="9" s="1"/>
  <c r="Y648" i="9"/>
  <c r="Y649" i="9" s="1"/>
  <c r="L649" i="9"/>
  <c r="AB642" i="9"/>
  <c r="AC642" i="9"/>
  <c r="Z642" i="9"/>
  <c r="Y642" i="9"/>
  <c r="AA642" i="9"/>
  <c r="AA637" i="9"/>
  <c r="AC637" i="9"/>
  <c r="Y637" i="9"/>
  <c r="Z637" i="9"/>
  <c r="AB637" i="9"/>
  <c r="J639" i="9"/>
  <c r="K629" i="9"/>
  <c r="AF627" i="9"/>
  <c r="I629" i="9"/>
  <c r="AF629" i="9" s="1"/>
  <c r="L614" i="9"/>
  <c r="AE608" i="9"/>
  <c r="AD608" i="9"/>
  <c r="AD602" i="9"/>
  <c r="H604" i="9"/>
  <c r="AE602" i="9"/>
  <c r="AD597" i="9"/>
  <c r="AE597" i="9"/>
  <c r="H599" i="9"/>
  <c r="AA593" i="9"/>
  <c r="AA594" i="9" s="1"/>
  <c r="Y593" i="9"/>
  <c r="Y594" i="9" s="1"/>
  <c r="AB593" i="9"/>
  <c r="AB594" i="9" s="1"/>
  <c r="Z593" i="9"/>
  <c r="Z594" i="9" s="1"/>
  <c r="AC593" i="9"/>
  <c r="AC594" i="9" s="1"/>
  <c r="L589" i="9"/>
  <c r="Y587" i="9"/>
  <c r="Z587" i="9"/>
  <c r="AB587" i="9"/>
  <c r="AC587" i="9"/>
  <c r="AA587" i="9"/>
  <c r="AA582" i="9"/>
  <c r="AB582" i="9"/>
  <c r="Y582" i="9"/>
  <c r="Y584" i="9" s="1"/>
  <c r="AC582" i="9"/>
  <c r="Z582" i="9"/>
  <c r="J584" i="9"/>
  <c r="AF577" i="9"/>
  <c r="I579" i="9"/>
  <c r="AF579" i="9" s="1"/>
  <c r="L574" i="9"/>
  <c r="J569" i="9"/>
  <c r="AC568" i="9"/>
  <c r="AC569" i="9" s="1"/>
  <c r="Y568" i="9"/>
  <c r="Y569" i="9" s="1"/>
  <c r="AB568" i="9"/>
  <c r="AB569" i="9" s="1"/>
  <c r="AA568" i="9"/>
  <c r="Z568" i="9"/>
  <c r="Z569" i="9" s="1"/>
  <c r="AF567" i="9"/>
  <c r="I569" i="9"/>
  <c r="AF569" i="9" s="1"/>
  <c r="AE562" i="9"/>
  <c r="AD562" i="9"/>
  <c r="H564" i="9"/>
  <c r="W548" i="9"/>
  <c r="W549" i="9" s="1"/>
  <c r="T548" i="9"/>
  <c r="T549" i="9" s="1"/>
  <c r="I549" i="9"/>
  <c r="V548" i="9"/>
  <c r="V549" i="9" s="1"/>
  <c r="U548" i="9"/>
  <c r="U549" i="9" s="1"/>
  <c r="AD540" i="9"/>
  <c r="AE540" i="9"/>
  <c r="H541" i="9"/>
  <c r="V511" i="9"/>
  <c r="V512" i="9" s="1"/>
  <c r="W511" i="9"/>
  <c r="W512" i="9" s="1"/>
  <c r="I512" i="9"/>
  <c r="U511" i="9"/>
  <c r="U512" i="9" s="1"/>
  <c r="T511" i="9"/>
  <c r="T512" i="9" s="1"/>
  <c r="AE502" i="9"/>
  <c r="AD502" i="9"/>
  <c r="H504" i="9"/>
  <c r="AF481" i="9"/>
  <c r="I487" i="9"/>
  <c r="AF487" i="9" s="1"/>
  <c r="AF468" i="9"/>
  <c r="I469" i="9"/>
  <c r="AF469" i="9" s="1"/>
  <c r="AD454" i="9"/>
  <c r="Q454" i="9"/>
  <c r="R454" i="9"/>
  <c r="O454" i="9"/>
  <c r="P454" i="9"/>
  <c r="AF452" i="9"/>
  <c r="I455" i="9"/>
  <c r="AF455" i="9" s="1"/>
  <c r="K449" i="9"/>
  <c r="K442" i="9"/>
  <c r="O440" i="9"/>
  <c r="AD440" i="9"/>
  <c r="P440" i="9"/>
  <c r="Q440" i="9"/>
  <c r="R440" i="9"/>
  <c r="H442" i="9"/>
  <c r="L427" i="9"/>
  <c r="AF419" i="9"/>
  <c r="I421" i="9"/>
  <c r="AF421" i="9" s="1"/>
  <c r="O414" i="9"/>
  <c r="Q414" i="9"/>
  <c r="R414" i="9"/>
  <c r="P414" i="9"/>
  <c r="AD414" i="9"/>
  <c r="J384" i="9"/>
  <c r="AG384" i="9" s="1"/>
  <c r="AG383" i="9"/>
  <c r="K361" i="9"/>
  <c r="AF347" i="9"/>
  <c r="I348" i="9"/>
  <c r="AF348" i="9" s="1"/>
  <c r="I340" i="9"/>
  <c r="AF340" i="9" s="1"/>
  <c r="AF339" i="9"/>
  <c r="I336" i="9"/>
  <c r="AF336" i="9" s="1"/>
  <c r="AF335" i="9"/>
  <c r="AG323" i="9"/>
  <c r="J324" i="9"/>
  <c r="AG324" i="9" s="1"/>
  <c r="V207" i="9"/>
  <c r="W207" i="9"/>
  <c r="T207" i="9"/>
  <c r="U207" i="9"/>
  <c r="P169" i="9"/>
  <c r="R169" i="9"/>
  <c r="AD169" i="9"/>
  <c r="O169" i="9"/>
  <c r="Q169" i="9"/>
  <c r="T134" i="9"/>
  <c r="T136" i="9" s="1"/>
  <c r="U134" i="9"/>
  <c r="I136" i="9"/>
  <c r="V134" i="9"/>
  <c r="W134" i="9"/>
  <c r="K375" i="9"/>
  <c r="T208" i="9"/>
  <c r="U208" i="9"/>
  <c r="V208" i="9"/>
  <c r="W208" i="9"/>
  <c r="AD145" i="9"/>
  <c r="O145" i="9"/>
  <c r="O147" i="9" s="1"/>
  <c r="Q145" i="9"/>
  <c r="Q147" i="9" s="1"/>
  <c r="R145" i="9"/>
  <c r="R147" i="9" s="1"/>
  <c r="P145" i="9"/>
  <c r="P147" i="9" s="1"/>
  <c r="H147" i="9"/>
  <c r="AG402" i="9"/>
  <c r="J404" i="9"/>
  <c r="AG404" i="9" s="1"/>
  <c r="P364" i="9"/>
  <c r="P366" i="9" s="1"/>
  <c r="Q364" i="9"/>
  <c r="Q366" i="9" s="1"/>
  <c r="R364" i="9"/>
  <c r="R366" i="9" s="1"/>
  <c r="AD364" i="9"/>
  <c r="O364" i="9"/>
  <c r="O366" i="9" s="1"/>
  <c r="H366" i="9"/>
  <c r="AF278" i="9"/>
  <c r="I281" i="9"/>
  <c r="AF281" i="9" s="1"/>
  <c r="J281" i="9"/>
  <c r="AG281" i="9" s="1"/>
  <c r="AG278" i="9"/>
  <c r="O207" i="9"/>
  <c r="P207" i="9"/>
  <c r="R207" i="9"/>
  <c r="Q207" i="9"/>
  <c r="AD207" i="9"/>
  <c r="J136" i="9"/>
  <c r="I366" i="9"/>
  <c r="AF366" i="9" s="1"/>
  <c r="AF364" i="9"/>
  <c r="P273" i="9"/>
  <c r="P275" i="9" s="1"/>
  <c r="O273" i="9"/>
  <c r="O275" i="9" s="1"/>
  <c r="R273" i="9"/>
  <c r="R275" i="9" s="1"/>
  <c r="Q273" i="9"/>
  <c r="Q275" i="9" s="1"/>
  <c r="H275" i="9"/>
  <c r="AD273" i="9"/>
  <c r="Q205" i="9"/>
  <c r="AD205" i="9"/>
  <c r="R205" i="9"/>
  <c r="O205" i="9"/>
  <c r="P205" i="9"/>
  <c r="AD167" i="9"/>
  <c r="R167" i="9"/>
  <c r="Q167" i="9"/>
  <c r="O167" i="9"/>
  <c r="P167" i="9"/>
  <c r="H172" i="9"/>
  <c r="AF262" i="9"/>
  <c r="I264" i="9"/>
  <c r="AF264" i="9" s="1"/>
  <c r="T231" i="9"/>
  <c r="I233" i="9"/>
  <c r="V231" i="9"/>
  <c r="W231" i="9"/>
  <c r="U231" i="9"/>
  <c r="I404" i="9"/>
  <c r="AF404" i="9" s="1"/>
  <c r="AF402" i="9"/>
  <c r="P208" i="9"/>
  <c r="Q208" i="9"/>
  <c r="R208" i="9"/>
  <c r="AD208" i="9"/>
  <c r="O208" i="9"/>
  <c r="T135" i="9"/>
  <c r="U135" i="9"/>
  <c r="V135" i="9"/>
  <c r="W135" i="9"/>
  <c r="AF392" i="9"/>
  <c r="I394" i="9"/>
  <c r="AF394" i="9" s="1"/>
  <c r="AD262" i="9"/>
  <c r="O262" i="9"/>
  <c r="H264" i="9"/>
  <c r="Q262" i="9"/>
  <c r="R262" i="9"/>
  <c r="P262" i="9"/>
  <c r="W182" i="9"/>
  <c r="T182" i="9"/>
  <c r="V182" i="9"/>
  <c r="U182" i="9"/>
  <c r="AG306" i="9"/>
  <c r="J307" i="9"/>
  <c r="U196" i="9"/>
  <c r="U197" i="9" s="1"/>
  <c r="V196" i="9"/>
  <c r="V197" i="9" s="1"/>
  <c r="I197" i="9"/>
  <c r="T196" i="9"/>
  <c r="T197" i="9" s="1"/>
  <c r="W196" i="9"/>
  <c r="W197" i="9" s="1"/>
  <c r="J157" i="9"/>
  <c r="J275" i="9"/>
  <c r="AG275" i="9" s="1"/>
  <c r="AG273" i="9"/>
  <c r="L210" i="9"/>
  <c r="L212" i="9" s="1"/>
  <c r="L228" i="9" s="1"/>
  <c r="T163" i="9"/>
  <c r="W163" i="9"/>
  <c r="U163" i="9"/>
  <c r="V163" i="9"/>
  <c r="H356" i="9"/>
  <c r="O354" i="9"/>
  <c r="P354" i="9"/>
  <c r="Q354" i="9"/>
  <c r="R354" i="9"/>
  <c r="AD354" i="9"/>
  <c r="R152" i="9"/>
  <c r="P152" i="9"/>
  <c r="O152" i="9"/>
  <c r="AD152" i="9"/>
  <c r="Q152" i="9"/>
  <c r="T221" i="9"/>
  <c r="U221" i="9"/>
  <c r="W221" i="9"/>
  <c r="V221" i="9"/>
  <c r="V206" i="9"/>
  <c r="W206" i="9"/>
  <c r="T206" i="9"/>
  <c r="AF206" i="9" s="1"/>
  <c r="U206" i="9"/>
  <c r="AC150" i="9"/>
  <c r="AB150" i="9"/>
  <c r="Y150" i="9"/>
  <c r="Z150" i="9"/>
  <c r="J153" i="9"/>
  <c r="AA150" i="9"/>
  <c r="O2211" i="9"/>
  <c r="Q2211" i="9"/>
  <c r="Q2212" i="9" s="1"/>
  <c r="Q2214" i="9" s="1"/>
  <c r="Q2215" i="9" s="1"/>
  <c r="P2211" i="9"/>
  <c r="P2212" i="9" s="1"/>
  <c r="P2214" i="9" s="1"/>
  <c r="P2215" i="9" s="1"/>
  <c r="AD2211" i="9"/>
  <c r="R2211" i="9"/>
  <c r="R2212" i="9" s="1"/>
  <c r="R2214" i="9" s="1"/>
  <c r="R2215" i="9" s="1"/>
  <c r="AD2199" i="9"/>
  <c r="O2199" i="9"/>
  <c r="P2199" i="9"/>
  <c r="Q2199" i="9"/>
  <c r="R2199" i="9"/>
  <c r="W2198" i="9"/>
  <c r="V2198" i="9"/>
  <c r="U2198" i="9"/>
  <c r="T2198" i="9"/>
  <c r="T2195" i="9"/>
  <c r="U2195" i="9"/>
  <c r="V2195" i="9"/>
  <c r="W2195" i="9"/>
  <c r="L2188" i="9"/>
  <c r="Q2179" i="9"/>
  <c r="R2179" i="9"/>
  <c r="O2179" i="9"/>
  <c r="AD2179" i="9"/>
  <c r="P2179" i="9"/>
  <c r="W2175" i="9"/>
  <c r="T2175" i="9"/>
  <c r="V2175" i="9"/>
  <c r="U2175" i="9"/>
  <c r="I2180" i="9"/>
  <c r="AD2170" i="9"/>
  <c r="P2170" i="9"/>
  <c r="Q2170" i="9"/>
  <c r="Q2171" i="9" s="1"/>
  <c r="R2170" i="9"/>
  <c r="R2171" i="9" s="1"/>
  <c r="O2170" i="9"/>
  <c r="O2171" i="9" s="1"/>
  <c r="U2158" i="9"/>
  <c r="U2159" i="9" s="1"/>
  <c r="T2158" i="9"/>
  <c r="T2159" i="9" s="1"/>
  <c r="W2158" i="9"/>
  <c r="I2159" i="9"/>
  <c r="V2158" i="9"/>
  <c r="AG2150" i="9"/>
  <c r="J2151" i="9"/>
  <c r="AG2151" i="9" s="1"/>
  <c r="K2140" i="9"/>
  <c r="K2162" i="9" s="1"/>
  <c r="W2137" i="9"/>
  <c r="U2137" i="9"/>
  <c r="V2137" i="9"/>
  <c r="T2137" i="9"/>
  <c r="T2140" i="9" s="1"/>
  <c r="R2132" i="9"/>
  <c r="O2132" i="9"/>
  <c r="O2133" i="9" s="1"/>
  <c r="Q2132" i="9"/>
  <c r="AD2132" i="9"/>
  <c r="P2132" i="9"/>
  <c r="O2130" i="9"/>
  <c r="P2130" i="9"/>
  <c r="R2130" i="9"/>
  <c r="Q2130" i="9"/>
  <c r="AD2130" i="9"/>
  <c r="W2128" i="9"/>
  <c r="U2128" i="9"/>
  <c r="T2128" i="9"/>
  <c r="V2128" i="9"/>
  <c r="P2125" i="9"/>
  <c r="O2125" i="9"/>
  <c r="R2125" i="9"/>
  <c r="Q2125" i="9"/>
  <c r="AD2125" i="9"/>
  <c r="U2124" i="9"/>
  <c r="V2124" i="9"/>
  <c r="W2124" i="9"/>
  <c r="T2124" i="9"/>
  <c r="J2114" i="9"/>
  <c r="I2094" i="9"/>
  <c r="AF2094" i="9" s="1"/>
  <c r="AF2093" i="9"/>
  <c r="AF2089" i="9"/>
  <c r="I2090" i="9"/>
  <c r="AF2090" i="9" s="1"/>
  <c r="AD2081" i="9"/>
  <c r="AE2081" i="9"/>
  <c r="H2082" i="9"/>
  <c r="AC2073" i="9"/>
  <c r="AC2074" i="9" s="1"/>
  <c r="AB2073" i="9"/>
  <c r="AB2074" i="9" s="1"/>
  <c r="J2074" i="9"/>
  <c r="Y2073" i="9"/>
  <c r="Y2074" i="9" s="1"/>
  <c r="AA2073" i="9"/>
  <c r="AA2074" i="9" s="1"/>
  <c r="Z2073" i="9"/>
  <c r="Z2074" i="9" s="1"/>
  <c r="H2070" i="9"/>
  <c r="AD2069" i="9"/>
  <c r="AE2069" i="9"/>
  <c r="AA2061" i="9"/>
  <c r="AA2062" i="9" s="1"/>
  <c r="J2062" i="9"/>
  <c r="AC2061" i="9"/>
  <c r="AC2062" i="9" s="1"/>
  <c r="AB2061" i="9"/>
  <c r="AB2062" i="9" s="1"/>
  <c r="H2046" i="9"/>
  <c r="R2045" i="9"/>
  <c r="R2046" i="9" s="1"/>
  <c r="AD2045" i="9"/>
  <c r="O2045" i="9"/>
  <c r="O2046" i="9" s="1"/>
  <c r="P2045" i="9"/>
  <c r="P2046" i="9" s="1"/>
  <c r="Q2045" i="9"/>
  <c r="Q2046" i="9" s="1"/>
  <c r="AG2036" i="9"/>
  <c r="J2041" i="9"/>
  <c r="O2031" i="9"/>
  <c r="P2031" i="9"/>
  <c r="Q2031" i="9"/>
  <c r="R2031" i="9"/>
  <c r="AD2031" i="9"/>
  <c r="V2006" i="9"/>
  <c r="U2006" i="9"/>
  <c r="W2006" i="9"/>
  <c r="T2006" i="9"/>
  <c r="U2002" i="9"/>
  <c r="V2002" i="9"/>
  <c r="W2002" i="9"/>
  <c r="T2002" i="9"/>
  <c r="V2001" i="9"/>
  <c r="T2001" i="9"/>
  <c r="U2001" i="9"/>
  <c r="W2001" i="9"/>
  <c r="V1999" i="9"/>
  <c r="U1999" i="9"/>
  <c r="T1999" i="9"/>
  <c r="W1999" i="9"/>
  <c r="I2007" i="9"/>
  <c r="K1994" i="9"/>
  <c r="T1991" i="9"/>
  <c r="W1991" i="9"/>
  <c r="U1991" i="9"/>
  <c r="V1991" i="9"/>
  <c r="T1988" i="9"/>
  <c r="U1988" i="9"/>
  <c r="V1988" i="9"/>
  <c r="W1988" i="9"/>
  <c r="AD1985" i="9"/>
  <c r="R1985" i="9"/>
  <c r="P1985" i="9"/>
  <c r="O1985" i="9"/>
  <c r="Q1985" i="9"/>
  <c r="L1981" i="9"/>
  <c r="O1978" i="9"/>
  <c r="P1978" i="9"/>
  <c r="R1978" i="9"/>
  <c r="AD1978" i="9"/>
  <c r="Q1978" i="9"/>
  <c r="T1975" i="9"/>
  <c r="V1975" i="9"/>
  <c r="W1975" i="9"/>
  <c r="U1975" i="9"/>
  <c r="U1972" i="9"/>
  <c r="V1972" i="9"/>
  <c r="T1972" i="9"/>
  <c r="W1972" i="9"/>
  <c r="V1961" i="9"/>
  <c r="W1961" i="9"/>
  <c r="T1961" i="9"/>
  <c r="U1961" i="9"/>
  <c r="AD1953" i="9"/>
  <c r="R1953" i="9"/>
  <c r="O1953" i="9"/>
  <c r="Q1953" i="9"/>
  <c r="P1953" i="9"/>
  <c r="T1952" i="9"/>
  <c r="V1952" i="9"/>
  <c r="U1952" i="9"/>
  <c r="W1952" i="9"/>
  <c r="T1950" i="9"/>
  <c r="U1950" i="9"/>
  <c r="V1950" i="9"/>
  <c r="W1950" i="9"/>
  <c r="R1946" i="9"/>
  <c r="Q1946" i="9"/>
  <c r="AD1946" i="9"/>
  <c r="O1946" i="9"/>
  <c r="P1946" i="9"/>
  <c r="U1936" i="9"/>
  <c r="T1936" i="9"/>
  <c r="V1936" i="9"/>
  <c r="W1936" i="9"/>
  <c r="AD1926" i="9"/>
  <c r="O1926" i="9"/>
  <c r="P1926" i="9"/>
  <c r="R1926" i="9"/>
  <c r="Q1926" i="9"/>
  <c r="T1919" i="9"/>
  <c r="V1919" i="9"/>
  <c r="W1919" i="9"/>
  <c r="U1919" i="9"/>
  <c r="U1916" i="9"/>
  <c r="U1917" i="9" s="1"/>
  <c r="W1916" i="9"/>
  <c r="W1917" i="9" s="1"/>
  <c r="V1916" i="9"/>
  <c r="V1917" i="9" s="1"/>
  <c r="T1916" i="9"/>
  <c r="T1917" i="9" s="1"/>
  <c r="J1912" i="9"/>
  <c r="AD1907" i="9"/>
  <c r="H1908" i="9"/>
  <c r="R1907" i="9"/>
  <c r="R1908" i="9" s="1"/>
  <c r="O1907" i="9"/>
  <c r="O1908" i="9" s="1"/>
  <c r="P1907" i="9"/>
  <c r="P1908" i="9" s="1"/>
  <c r="Q1907" i="9"/>
  <c r="Q1908" i="9" s="1"/>
  <c r="P1893" i="9"/>
  <c r="P1894" i="9" s="1"/>
  <c r="Q1893" i="9"/>
  <c r="Q1894" i="9" s="1"/>
  <c r="AD1893" i="9"/>
  <c r="R1893" i="9"/>
  <c r="R1894" i="9" s="1"/>
  <c r="H1894" i="9"/>
  <c r="O1893" i="9"/>
  <c r="O1894" i="9" s="1"/>
  <c r="L1890" i="9"/>
  <c r="L53" i="9"/>
  <c r="O1875" i="9"/>
  <c r="P1875" i="9"/>
  <c r="P1876" i="9" s="1"/>
  <c r="AD1875" i="9"/>
  <c r="Q1875" i="9"/>
  <c r="R1875" i="9"/>
  <c r="P1874" i="9"/>
  <c r="AD1874" i="9"/>
  <c r="O1874" i="9"/>
  <c r="Q1874" i="9"/>
  <c r="R1874" i="9"/>
  <c r="H1876" i="9"/>
  <c r="R1869" i="9"/>
  <c r="P1869" i="9"/>
  <c r="Q1869" i="9"/>
  <c r="O1869" i="9"/>
  <c r="AE1869" i="9" s="1"/>
  <c r="AD1869" i="9"/>
  <c r="R1863" i="9"/>
  <c r="R1865" i="9" s="1"/>
  <c r="H1865" i="9"/>
  <c r="AD1863" i="9"/>
  <c r="P1863" i="9"/>
  <c r="P1865" i="9" s="1"/>
  <c r="Q1863" i="9"/>
  <c r="Q1865" i="9" s="1"/>
  <c r="O1863" i="9"/>
  <c r="O1865" i="9" s="1"/>
  <c r="AE1863" i="9"/>
  <c r="J1857" i="9"/>
  <c r="T1854" i="9"/>
  <c r="U1854" i="9"/>
  <c r="V1854" i="9"/>
  <c r="W1854" i="9"/>
  <c r="P1853" i="9"/>
  <c r="R1853" i="9"/>
  <c r="O1853" i="9"/>
  <c r="AE1853" i="9" s="1"/>
  <c r="Q1853" i="9"/>
  <c r="AD1853" i="9"/>
  <c r="U1849" i="9"/>
  <c r="V1849" i="9"/>
  <c r="W1849" i="9"/>
  <c r="T1849" i="9"/>
  <c r="Q1848" i="9"/>
  <c r="R1848" i="9"/>
  <c r="O1848" i="9"/>
  <c r="P1848" i="9"/>
  <c r="AD1848" i="9"/>
  <c r="P1830" i="9"/>
  <c r="Q1830" i="9"/>
  <c r="R1830" i="9"/>
  <c r="O1830" i="9"/>
  <c r="AD1830" i="9"/>
  <c r="Q1820" i="9"/>
  <c r="R1820" i="9"/>
  <c r="O1820" i="9"/>
  <c r="AD1820" i="9"/>
  <c r="P1820" i="9"/>
  <c r="I1817" i="9"/>
  <c r="T1816" i="9"/>
  <c r="V1816" i="9"/>
  <c r="W1816" i="9"/>
  <c r="U1816" i="9"/>
  <c r="U1814" i="9"/>
  <c r="V1814" i="9"/>
  <c r="W1814" i="9"/>
  <c r="T1814" i="9"/>
  <c r="J1807" i="9"/>
  <c r="AD1796" i="9"/>
  <c r="O1796" i="9"/>
  <c r="P1796" i="9"/>
  <c r="Q1796" i="9"/>
  <c r="R1796" i="9"/>
  <c r="AD1793" i="9"/>
  <c r="R1793" i="9"/>
  <c r="O1793" i="9"/>
  <c r="P1793" i="9"/>
  <c r="Q1793" i="9"/>
  <c r="O1790" i="9"/>
  <c r="P1790" i="9"/>
  <c r="R1790" i="9"/>
  <c r="AD1790" i="9"/>
  <c r="Q1790" i="9"/>
  <c r="T1787" i="9"/>
  <c r="U1787" i="9"/>
  <c r="AF1787" i="9" s="1"/>
  <c r="V1787" i="9"/>
  <c r="W1787" i="9"/>
  <c r="U1784" i="9"/>
  <c r="V1784" i="9"/>
  <c r="W1784" i="9"/>
  <c r="T1784" i="9"/>
  <c r="I1797" i="9"/>
  <c r="AD1774" i="9"/>
  <c r="H1775" i="9"/>
  <c r="O1774" i="9"/>
  <c r="O1775" i="9" s="1"/>
  <c r="R1774" i="9"/>
  <c r="R1775" i="9" s="1"/>
  <c r="P1774" i="9"/>
  <c r="P1775" i="9" s="1"/>
  <c r="Q1774" i="9"/>
  <c r="Q1775" i="9" s="1"/>
  <c r="AD1762" i="9"/>
  <c r="R1762" i="9"/>
  <c r="P1762" i="9"/>
  <c r="Q1762" i="9"/>
  <c r="O1762" i="9"/>
  <c r="W1754" i="9"/>
  <c r="T1754" i="9"/>
  <c r="AF1754" i="9" s="1"/>
  <c r="U1754" i="9"/>
  <c r="V1754" i="9"/>
  <c r="AD1752" i="9"/>
  <c r="O1752" i="9"/>
  <c r="P1752" i="9"/>
  <c r="R1752" i="9"/>
  <c r="Q1752" i="9"/>
  <c r="Q1750" i="9"/>
  <c r="O1750" i="9"/>
  <c r="P1750" i="9"/>
  <c r="R1750" i="9"/>
  <c r="AD1750" i="9"/>
  <c r="H1755" i="9"/>
  <c r="L1747" i="9"/>
  <c r="V1744" i="9"/>
  <c r="W1744" i="9"/>
  <c r="U1744" i="9"/>
  <c r="T1744" i="9"/>
  <c r="T1738" i="9"/>
  <c r="V1738" i="9"/>
  <c r="W1738" i="9"/>
  <c r="U1738" i="9"/>
  <c r="I1740" i="9"/>
  <c r="I1732" i="9"/>
  <c r="W1731" i="9"/>
  <c r="W1732" i="9" s="1"/>
  <c r="U1731" i="9"/>
  <c r="U1732" i="9" s="1"/>
  <c r="V1731" i="9"/>
  <c r="V1732" i="9" s="1"/>
  <c r="T1731" i="9"/>
  <c r="T1732" i="9" s="1"/>
  <c r="L1720" i="9"/>
  <c r="L34" i="9" s="1"/>
  <c r="U1717" i="9"/>
  <c r="V1717" i="9"/>
  <c r="W1717" i="9"/>
  <c r="T1717" i="9"/>
  <c r="R1714" i="9"/>
  <c r="AD1714" i="9"/>
  <c r="O1714" i="9"/>
  <c r="P1714" i="9"/>
  <c r="Q1714" i="9"/>
  <c r="H1720" i="9"/>
  <c r="P1703" i="9"/>
  <c r="Q1703" i="9"/>
  <c r="AD1703" i="9"/>
  <c r="R1703" i="9"/>
  <c r="O1703" i="9"/>
  <c r="L1696" i="9"/>
  <c r="V1692" i="9"/>
  <c r="W1692" i="9"/>
  <c r="T1692" i="9"/>
  <c r="U1692" i="9"/>
  <c r="P1669" i="9"/>
  <c r="R1669" i="9"/>
  <c r="Q1669" i="9"/>
  <c r="O1669" i="9"/>
  <c r="AD1669" i="9"/>
  <c r="T1665" i="9"/>
  <c r="U1665" i="9"/>
  <c r="V1665" i="9"/>
  <c r="W1665" i="9"/>
  <c r="T1660" i="9"/>
  <c r="AF1660" i="9" s="1"/>
  <c r="V1660" i="9"/>
  <c r="W1660" i="9"/>
  <c r="U1660" i="9"/>
  <c r="AD1652" i="9"/>
  <c r="H1653" i="9"/>
  <c r="O1652" i="9"/>
  <c r="O1653" i="9" s="1"/>
  <c r="P1652" i="9"/>
  <c r="P1653" i="9" s="1"/>
  <c r="Q1652" i="9"/>
  <c r="Q1653" i="9" s="1"/>
  <c r="R1652" i="9"/>
  <c r="R1653" i="9" s="1"/>
  <c r="H1650" i="9"/>
  <c r="O1649" i="9"/>
  <c r="O1650" i="9" s="1"/>
  <c r="R1649" i="9"/>
  <c r="R1650" i="9" s="1"/>
  <c r="AD1649" i="9"/>
  <c r="P1649" i="9"/>
  <c r="P1650" i="9" s="1"/>
  <c r="Q1649" i="9"/>
  <c r="Q1650" i="9" s="1"/>
  <c r="T1641" i="9"/>
  <c r="AF1641" i="9" s="1"/>
  <c r="U1641" i="9"/>
  <c r="W1641" i="9"/>
  <c r="V1641" i="9"/>
  <c r="U1635" i="9"/>
  <c r="U1636" i="9" s="1"/>
  <c r="V1635" i="9"/>
  <c r="V1636" i="9" s="1"/>
  <c r="I1636" i="9"/>
  <c r="T1635" i="9"/>
  <c r="T1636" i="9" s="1"/>
  <c r="W1635" i="9"/>
  <c r="W1636" i="9" s="1"/>
  <c r="W1632" i="9"/>
  <c r="W1633" i="9" s="1"/>
  <c r="T1632" i="9"/>
  <c r="T1633" i="9" s="1"/>
  <c r="I1633" i="9"/>
  <c r="U1632" i="9"/>
  <c r="U1633" i="9" s="1"/>
  <c r="V1632" i="9"/>
  <c r="V1633" i="9" s="1"/>
  <c r="R1622" i="9"/>
  <c r="AD1622" i="9"/>
  <c r="O1622" i="9"/>
  <c r="P1622" i="9"/>
  <c r="Q1622" i="9"/>
  <c r="T1620" i="9"/>
  <c r="W1620" i="9"/>
  <c r="U1620" i="9"/>
  <c r="V1620" i="9"/>
  <c r="Y1618" i="9"/>
  <c r="AB1618" i="9"/>
  <c r="AC1618" i="9"/>
  <c r="Z1618" i="9"/>
  <c r="AA1618" i="9"/>
  <c r="T1617" i="9"/>
  <c r="W1617" i="9"/>
  <c r="U1617" i="9"/>
  <c r="V1617" i="9"/>
  <c r="V1611" i="9"/>
  <c r="W1611" i="9"/>
  <c r="T1611" i="9"/>
  <c r="U1611" i="9"/>
  <c r="O1604" i="9"/>
  <c r="R1604" i="9"/>
  <c r="P1604" i="9"/>
  <c r="AD1604" i="9"/>
  <c r="Q1604" i="9"/>
  <c r="P1603" i="9"/>
  <c r="Q1603" i="9"/>
  <c r="R1603" i="9"/>
  <c r="O1603" i="9"/>
  <c r="AD1603" i="9"/>
  <c r="H1612" i="9"/>
  <c r="W1595" i="9"/>
  <c r="T1595" i="9"/>
  <c r="U1595" i="9"/>
  <c r="V1595" i="9"/>
  <c r="O1593" i="9"/>
  <c r="R1593" i="9"/>
  <c r="P1593" i="9"/>
  <c r="AD1593" i="9"/>
  <c r="Q1593" i="9"/>
  <c r="R1592" i="9"/>
  <c r="AD1592" i="9"/>
  <c r="Q1592" i="9"/>
  <c r="P1592" i="9"/>
  <c r="O1592" i="9"/>
  <c r="AD1587" i="9"/>
  <c r="O1587" i="9"/>
  <c r="P1587" i="9"/>
  <c r="AE1587" i="9" s="1"/>
  <c r="R1587" i="9"/>
  <c r="Q1587" i="9"/>
  <c r="J1589" i="9"/>
  <c r="W1571" i="9"/>
  <c r="T1571" i="9"/>
  <c r="U1571" i="9"/>
  <c r="V1571" i="9"/>
  <c r="T1562" i="9"/>
  <c r="AF1562" i="9" s="1"/>
  <c r="U1562" i="9"/>
  <c r="V1562" i="9"/>
  <c r="W1562" i="9"/>
  <c r="P1557" i="9"/>
  <c r="Q1557" i="9"/>
  <c r="R1557" i="9"/>
  <c r="AD1557" i="9"/>
  <c r="O1557" i="9"/>
  <c r="AD1556" i="9"/>
  <c r="Q1556" i="9"/>
  <c r="R1556" i="9"/>
  <c r="O1556" i="9"/>
  <c r="P1556" i="9"/>
  <c r="V1552" i="9"/>
  <c r="U1552" i="9"/>
  <c r="W1552" i="9"/>
  <c r="T1552" i="9"/>
  <c r="T1551" i="9"/>
  <c r="U1551" i="9"/>
  <c r="V1551" i="9"/>
  <c r="W1551" i="9"/>
  <c r="AD1545" i="9"/>
  <c r="Q1545" i="9"/>
  <c r="O1545" i="9"/>
  <c r="AE1545" i="9" s="1"/>
  <c r="P1545" i="9"/>
  <c r="R1545" i="9"/>
  <c r="U1541" i="9"/>
  <c r="W1541" i="9"/>
  <c r="V1541" i="9"/>
  <c r="T1541" i="9"/>
  <c r="J1546" i="9"/>
  <c r="V1529" i="9"/>
  <c r="T1529" i="9"/>
  <c r="U1529" i="9"/>
  <c r="AF1529" i="9" s="1"/>
  <c r="W1529" i="9"/>
  <c r="J1524" i="9"/>
  <c r="W1519" i="9"/>
  <c r="T1519" i="9"/>
  <c r="U1519" i="9"/>
  <c r="V1519" i="9"/>
  <c r="L1516" i="9"/>
  <c r="AD1504" i="9"/>
  <c r="AE1504" i="9"/>
  <c r="H1505" i="9"/>
  <c r="I1501" i="9"/>
  <c r="AF1501" i="9" s="1"/>
  <c r="AF1500" i="9"/>
  <c r="Z1492" i="9"/>
  <c r="Z1493" i="9" s="1"/>
  <c r="AB1492" i="9"/>
  <c r="AB1493" i="9" s="1"/>
  <c r="AC1492" i="9"/>
  <c r="AC1493" i="9" s="1"/>
  <c r="J1493" i="9"/>
  <c r="AA1492" i="9"/>
  <c r="AA1493" i="9" s="1"/>
  <c r="Y1492" i="9"/>
  <c r="Y1493" i="9" s="1"/>
  <c r="AF1468" i="9"/>
  <c r="I1469" i="9"/>
  <c r="AF1469" i="9" s="1"/>
  <c r="V1450" i="9"/>
  <c r="V1451" i="9" s="1"/>
  <c r="W1450" i="9"/>
  <c r="W1451" i="9" s="1"/>
  <c r="T1450" i="9"/>
  <c r="T1451" i="9" s="1"/>
  <c r="U1450" i="9"/>
  <c r="U1451" i="9" s="1"/>
  <c r="I1451" i="9"/>
  <c r="AD1446" i="9"/>
  <c r="AE1446" i="9"/>
  <c r="H1447" i="9"/>
  <c r="AG1440" i="9"/>
  <c r="J1443" i="9"/>
  <c r="AG1443" i="9" s="1"/>
  <c r="T1430" i="9"/>
  <c r="U1430" i="9"/>
  <c r="W1430" i="9"/>
  <c r="V1430" i="9"/>
  <c r="AE1423" i="9"/>
  <c r="AD1423" i="9"/>
  <c r="AG1416" i="9"/>
  <c r="J1419" i="9"/>
  <c r="AG1419" i="9" s="1"/>
  <c r="W1412" i="9"/>
  <c r="V1412" i="9"/>
  <c r="T1412" i="9"/>
  <c r="U1412" i="9"/>
  <c r="AG1410" i="9"/>
  <c r="J1413" i="9"/>
  <c r="AG1413" i="9" s="1"/>
  <c r="AD1406" i="9"/>
  <c r="AE1406" i="9"/>
  <c r="L1394" i="9"/>
  <c r="K1368" i="9"/>
  <c r="L1354" i="9"/>
  <c r="L1381" i="9" s="1"/>
  <c r="AF1351" i="9"/>
  <c r="I1354" i="9"/>
  <c r="AF1354" i="9" s="1"/>
  <c r="O1337" i="9"/>
  <c r="P1337" i="9"/>
  <c r="Q1337" i="9"/>
  <c r="R1337" i="9"/>
  <c r="AD1337" i="9"/>
  <c r="AF1331" i="9"/>
  <c r="I1334" i="9"/>
  <c r="AG1323" i="9"/>
  <c r="J1325" i="9"/>
  <c r="AG1325" i="9" s="1"/>
  <c r="O1304" i="9"/>
  <c r="AE1304" i="9" s="1"/>
  <c r="P1304" i="9"/>
  <c r="Q1304" i="9"/>
  <c r="R1304" i="9"/>
  <c r="AD1304" i="9"/>
  <c r="H1277" i="9"/>
  <c r="AD1276" i="9"/>
  <c r="P1276" i="9"/>
  <c r="P1277" i="9" s="1"/>
  <c r="Q1276" i="9"/>
  <c r="Q1277" i="9" s="1"/>
  <c r="O1276" i="9"/>
  <c r="O1277" i="9" s="1"/>
  <c r="R1276" i="9"/>
  <c r="R1277" i="9" s="1"/>
  <c r="L1270" i="9"/>
  <c r="P1241" i="9"/>
  <c r="P1242" i="9" s="1"/>
  <c r="Q1241" i="9"/>
  <c r="Q1242" i="9" s="1"/>
  <c r="R1241" i="9"/>
  <c r="R1242" i="9" s="1"/>
  <c r="AD1241" i="9"/>
  <c r="H1242" i="9"/>
  <c r="O1241" i="9"/>
  <c r="O1242" i="9" s="1"/>
  <c r="L1230" i="9"/>
  <c r="Q1228" i="9"/>
  <c r="R1228" i="9"/>
  <c r="O1228" i="9"/>
  <c r="P1228" i="9"/>
  <c r="AD1228" i="9"/>
  <c r="Q1208" i="9"/>
  <c r="R1208" i="9"/>
  <c r="O1208" i="9"/>
  <c r="P1208" i="9"/>
  <c r="AD1208" i="9"/>
  <c r="AF1190" i="9"/>
  <c r="I1195" i="9"/>
  <c r="Q1175" i="9"/>
  <c r="R1175" i="9"/>
  <c r="R1179" i="9" s="1"/>
  <c r="O1175" i="9"/>
  <c r="O1179" i="9" s="1"/>
  <c r="O1184" i="9" s="1"/>
  <c r="O22" i="9" s="1"/>
  <c r="O73" i="9" s="1"/>
  <c r="P1175" i="9"/>
  <c r="AD1175" i="9"/>
  <c r="K1136" i="9"/>
  <c r="AB1133" i="9"/>
  <c r="P1127" i="9"/>
  <c r="AD1127" i="9"/>
  <c r="O1127" i="9"/>
  <c r="AE1127" i="9" s="1"/>
  <c r="Q1127" i="9"/>
  <c r="R1127" i="9"/>
  <c r="W1125" i="9"/>
  <c r="U1125" i="9"/>
  <c r="V1125" i="9"/>
  <c r="T1125" i="9"/>
  <c r="AD1117" i="9"/>
  <c r="Q1117" i="9"/>
  <c r="AE1117" i="9" s="1"/>
  <c r="O1117" i="9"/>
  <c r="R1117" i="9"/>
  <c r="P1117" i="9"/>
  <c r="V1110" i="9"/>
  <c r="T1110" i="9"/>
  <c r="U1110" i="9"/>
  <c r="W1110" i="9"/>
  <c r="AA1102" i="9"/>
  <c r="AC1102" i="9"/>
  <c r="AB1102" i="9"/>
  <c r="Y1102" i="9"/>
  <c r="Z1102" i="9"/>
  <c r="U1100" i="9"/>
  <c r="W1100" i="9"/>
  <c r="T1100" i="9"/>
  <c r="V1100" i="9"/>
  <c r="T1098" i="9"/>
  <c r="U1098" i="9"/>
  <c r="V1098" i="9"/>
  <c r="W1098" i="9"/>
  <c r="Q1094" i="9"/>
  <c r="O1094" i="9"/>
  <c r="AD1094" i="9"/>
  <c r="P1094" i="9"/>
  <c r="R1094" i="9"/>
  <c r="I1088" i="9"/>
  <c r="T1087" i="9"/>
  <c r="AF1087" i="9" s="1"/>
  <c r="U1087" i="9"/>
  <c r="W1087" i="9"/>
  <c r="V1087" i="9"/>
  <c r="R1086" i="9"/>
  <c r="AD1086" i="9"/>
  <c r="O1086" i="9"/>
  <c r="Q1086" i="9"/>
  <c r="P1086" i="9"/>
  <c r="P1083" i="9"/>
  <c r="R1083" i="9"/>
  <c r="AD1083" i="9"/>
  <c r="O1083" i="9"/>
  <c r="Q1083" i="9"/>
  <c r="AD1067" i="9"/>
  <c r="Q1067" i="9"/>
  <c r="R1067" i="9"/>
  <c r="O1067" i="9"/>
  <c r="P1067" i="9"/>
  <c r="T1065" i="9"/>
  <c r="U1065" i="9"/>
  <c r="V1065" i="9"/>
  <c r="W1065" i="9"/>
  <c r="T1062" i="9"/>
  <c r="U1062" i="9"/>
  <c r="V1062" i="9"/>
  <c r="W1062" i="9"/>
  <c r="W1051" i="9"/>
  <c r="V1051" i="9"/>
  <c r="T1051" i="9"/>
  <c r="U1051" i="9"/>
  <c r="W1043" i="9"/>
  <c r="T1043" i="9"/>
  <c r="U1043" i="9"/>
  <c r="V1043" i="9"/>
  <c r="AD1039" i="9"/>
  <c r="R1039" i="9"/>
  <c r="O1039" i="9"/>
  <c r="AE1039" i="9" s="1"/>
  <c r="P1039" i="9"/>
  <c r="Q1039" i="9"/>
  <c r="W1026" i="9"/>
  <c r="U1026" i="9"/>
  <c r="T1026" i="9"/>
  <c r="V1026" i="9"/>
  <c r="O1018" i="9"/>
  <c r="Q1018" i="9"/>
  <c r="P1018" i="9"/>
  <c r="R1018" i="9"/>
  <c r="AD1018" i="9"/>
  <c r="U1015" i="9"/>
  <c r="T1015" i="9"/>
  <c r="V1015" i="9"/>
  <c r="W1015" i="9"/>
  <c r="O1011" i="9"/>
  <c r="P1011" i="9"/>
  <c r="AD1011" i="9"/>
  <c r="R1011" i="9"/>
  <c r="Q1011" i="9"/>
  <c r="T1009" i="9"/>
  <c r="U1009" i="9"/>
  <c r="V1009" i="9"/>
  <c r="W1009" i="9"/>
  <c r="T1006" i="9"/>
  <c r="U1006" i="9"/>
  <c r="V1006" i="9"/>
  <c r="W1006" i="9"/>
  <c r="AD1003" i="9"/>
  <c r="P1003" i="9"/>
  <c r="Q1003" i="9"/>
  <c r="R1003" i="9"/>
  <c r="O1003" i="9"/>
  <c r="W990" i="9"/>
  <c r="W991" i="9" s="1"/>
  <c r="U990" i="9"/>
  <c r="U991" i="9" s="1"/>
  <c r="V990" i="9"/>
  <c r="V991" i="9" s="1"/>
  <c r="I991" i="9"/>
  <c r="T990" i="9"/>
  <c r="T991" i="9" s="1"/>
  <c r="U986" i="9"/>
  <c r="V986" i="9"/>
  <c r="W986" i="9"/>
  <c r="T986" i="9"/>
  <c r="O984" i="9"/>
  <c r="P984" i="9"/>
  <c r="Q984" i="9"/>
  <c r="AD984" i="9"/>
  <c r="R984" i="9"/>
  <c r="H987" i="9"/>
  <c r="J961" i="9"/>
  <c r="T955" i="9"/>
  <c r="W955" i="9"/>
  <c r="U955" i="9"/>
  <c r="V955" i="9"/>
  <c r="T953" i="9"/>
  <c r="V953" i="9"/>
  <c r="U953" i="9"/>
  <c r="W953" i="9"/>
  <c r="W948" i="9"/>
  <c r="T948" i="9"/>
  <c r="AF948" i="9" s="1"/>
  <c r="U948" i="9"/>
  <c r="V948" i="9"/>
  <c r="I956" i="9"/>
  <c r="K943" i="9"/>
  <c r="AG929" i="9"/>
  <c r="J934" i="9"/>
  <c r="AG934" i="9" s="1"/>
  <c r="L909" i="9"/>
  <c r="L920" i="9" s="1"/>
  <c r="T903" i="9"/>
  <c r="U903" i="9"/>
  <c r="W903" i="9"/>
  <c r="V903" i="9"/>
  <c r="AC902" i="9"/>
  <c r="AA902" i="9"/>
  <c r="Z902" i="9"/>
  <c r="Y902" i="9"/>
  <c r="AB902" i="9"/>
  <c r="AD900" i="9"/>
  <c r="P900" i="9"/>
  <c r="R900" i="9"/>
  <c r="O900" i="9"/>
  <c r="Q900" i="9"/>
  <c r="J895" i="9"/>
  <c r="AD888" i="9"/>
  <c r="P888" i="9"/>
  <c r="Q888" i="9"/>
  <c r="R888" i="9"/>
  <c r="O888" i="9"/>
  <c r="T886" i="9"/>
  <c r="U886" i="9"/>
  <c r="V886" i="9"/>
  <c r="W886" i="9"/>
  <c r="AD866" i="9"/>
  <c r="O866" i="9"/>
  <c r="P866" i="9"/>
  <c r="Q866" i="9"/>
  <c r="R866" i="9"/>
  <c r="AD858" i="9"/>
  <c r="O858" i="9"/>
  <c r="P858" i="9"/>
  <c r="Q858" i="9"/>
  <c r="R858" i="9"/>
  <c r="H867" i="9"/>
  <c r="P848" i="9"/>
  <c r="Q848" i="9"/>
  <c r="R848" i="9"/>
  <c r="AE848" i="9" s="1"/>
  <c r="O848" i="9"/>
  <c r="AD848" i="9"/>
  <c r="O842" i="9"/>
  <c r="AD842" i="9"/>
  <c r="P842" i="9"/>
  <c r="Q842" i="9"/>
  <c r="R842" i="9"/>
  <c r="AG828" i="9"/>
  <c r="J832" i="9"/>
  <c r="AG832" i="9" s="1"/>
  <c r="I818" i="9"/>
  <c r="AF818" i="9" s="1"/>
  <c r="AF817" i="9"/>
  <c r="P811" i="9"/>
  <c r="AD811" i="9"/>
  <c r="R811" i="9"/>
  <c r="O811" i="9"/>
  <c r="Q811" i="9"/>
  <c r="J802" i="9"/>
  <c r="AB784" i="9"/>
  <c r="AB783" i="9"/>
  <c r="J785" i="9"/>
  <c r="W775" i="9"/>
  <c r="T775" i="9"/>
  <c r="V775" i="9"/>
  <c r="U775" i="9"/>
  <c r="H771" i="9"/>
  <c r="AD770" i="9"/>
  <c r="Q770" i="9"/>
  <c r="Q771" i="9" s="1"/>
  <c r="R770" i="9"/>
  <c r="R771" i="9" s="1"/>
  <c r="O770" i="9"/>
  <c r="O771" i="9" s="1"/>
  <c r="P770" i="9"/>
  <c r="P771" i="9" s="1"/>
  <c r="Y764" i="9"/>
  <c r="AA764" i="9"/>
  <c r="Z764" i="9"/>
  <c r="AB764" i="9"/>
  <c r="AC764" i="9"/>
  <c r="L756" i="9"/>
  <c r="R753" i="9"/>
  <c r="AD753" i="9"/>
  <c r="P753" i="9"/>
  <c r="Q753" i="9"/>
  <c r="O753" i="9"/>
  <c r="H756" i="9"/>
  <c r="V748" i="9"/>
  <c r="U748" i="9"/>
  <c r="W748" i="9"/>
  <c r="T748" i="9"/>
  <c r="T747" i="9"/>
  <c r="U747" i="9"/>
  <c r="V747" i="9"/>
  <c r="W747" i="9"/>
  <c r="I750" i="9"/>
  <c r="H741" i="9"/>
  <c r="P740" i="9"/>
  <c r="AD740" i="9"/>
  <c r="R740" i="9"/>
  <c r="Q740" i="9"/>
  <c r="O740" i="9"/>
  <c r="O734" i="9"/>
  <c r="O735" i="9" s="1"/>
  <c r="AD734" i="9"/>
  <c r="P734" i="9"/>
  <c r="P735" i="9" s="1"/>
  <c r="Q734" i="9"/>
  <c r="Q735" i="9" s="1"/>
  <c r="R734" i="9"/>
  <c r="R735" i="9" s="1"/>
  <c r="L726" i="9"/>
  <c r="AD719" i="9"/>
  <c r="AE719" i="9"/>
  <c r="H721" i="9"/>
  <c r="AE714" i="9"/>
  <c r="AD714" i="9"/>
  <c r="H716" i="9"/>
  <c r="AF709" i="9"/>
  <c r="I711" i="9"/>
  <c r="AE703" i="9"/>
  <c r="AD703" i="9"/>
  <c r="Y698" i="9"/>
  <c r="AA698" i="9"/>
  <c r="AB698" i="9"/>
  <c r="Z698" i="9"/>
  <c r="AC698" i="9"/>
  <c r="Z697" i="9"/>
  <c r="AA697" i="9"/>
  <c r="AB697" i="9"/>
  <c r="Y697" i="9"/>
  <c r="AC697" i="9"/>
  <c r="J699" i="9"/>
  <c r="AC687" i="9"/>
  <c r="Y687" i="9"/>
  <c r="AA687" i="9"/>
  <c r="Z687" i="9"/>
  <c r="AB687" i="9"/>
  <c r="J689" i="9"/>
  <c r="AE665" i="9"/>
  <c r="AD665" i="9"/>
  <c r="AD664" i="9"/>
  <c r="AE664" i="9"/>
  <c r="H666" i="9"/>
  <c r="AF659" i="9"/>
  <c r="I661" i="9"/>
  <c r="AE648" i="9"/>
  <c r="AD648" i="9"/>
  <c r="AF642" i="9"/>
  <c r="I644" i="9"/>
  <c r="AF644" i="9" s="1"/>
  <c r="AD637" i="9"/>
  <c r="AE637" i="9"/>
  <c r="H639" i="9"/>
  <c r="AE633" i="9"/>
  <c r="AD633" i="9"/>
  <c r="AE623" i="9"/>
  <c r="AD623" i="9"/>
  <c r="AF622" i="9"/>
  <c r="I624" i="9"/>
  <c r="AF624" i="9" s="1"/>
  <c r="AF617" i="9"/>
  <c r="I619" i="9"/>
  <c r="AF619" i="9" s="1"/>
  <c r="AE613" i="9"/>
  <c r="AD613" i="9"/>
  <c r="AB603" i="9"/>
  <c r="AA603" i="9"/>
  <c r="AC603" i="9"/>
  <c r="AF602" i="9"/>
  <c r="I604" i="9"/>
  <c r="AF604" i="9" s="1"/>
  <c r="AC577" i="9"/>
  <c r="AB577" i="9"/>
  <c r="AA577" i="9"/>
  <c r="Y577" i="9"/>
  <c r="Z577" i="9"/>
  <c r="AF562" i="9"/>
  <c r="I564" i="9"/>
  <c r="AD552" i="9"/>
  <c r="H553" i="9"/>
  <c r="AE552" i="9"/>
  <c r="W540" i="9"/>
  <c r="W541" i="9" s="1"/>
  <c r="U540" i="9"/>
  <c r="U541" i="9" s="1"/>
  <c r="T540" i="9"/>
  <c r="V540" i="9"/>
  <c r="V541" i="9" s="1"/>
  <c r="I541" i="9"/>
  <c r="AE528" i="9"/>
  <c r="H529" i="9"/>
  <c r="AD528" i="9"/>
  <c r="AD523" i="9"/>
  <c r="AE523" i="9"/>
  <c r="H525" i="9"/>
  <c r="AG519" i="9"/>
  <c r="J520" i="9"/>
  <c r="AG520" i="9" s="1"/>
  <c r="AG502" i="9"/>
  <c r="J504" i="9"/>
  <c r="AD492" i="9"/>
  <c r="O492" i="9"/>
  <c r="Q492" i="9"/>
  <c r="R492" i="9"/>
  <c r="P492" i="9"/>
  <c r="AD490" i="9"/>
  <c r="R490" i="9"/>
  <c r="O490" i="9"/>
  <c r="Q490" i="9"/>
  <c r="P490" i="9"/>
  <c r="H495" i="9"/>
  <c r="R485" i="9"/>
  <c r="O485" i="9"/>
  <c r="Q485" i="9"/>
  <c r="P485" i="9"/>
  <c r="AD485" i="9"/>
  <c r="H465" i="9"/>
  <c r="AD464" i="9"/>
  <c r="P464" i="9"/>
  <c r="Q464" i="9"/>
  <c r="O464" i="9"/>
  <c r="R464" i="9"/>
  <c r="AG460" i="9"/>
  <c r="J465" i="9"/>
  <c r="Q441" i="9"/>
  <c r="Q442" i="9" s="1"/>
  <c r="AD441" i="9"/>
  <c r="P441" i="9"/>
  <c r="O441" i="9"/>
  <c r="O442" i="9" s="1"/>
  <c r="R441" i="9"/>
  <c r="R442" i="9" s="1"/>
  <c r="AD425" i="9"/>
  <c r="R425" i="9"/>
  <c r="O425" i="9"/>
  <c r="Q425" i="9"/>
  <c r="P425" i="9"/>
  <c r="AF414" i="9"/>
  <c r="I416" i="9"/>
  <c r="AF416" i="9" s="1"/>
  <c r="O383" i="9"/>
  <c r="R383" i="9"/>
  <c r="R384" i="9" s="1"/>
  <c r="P383" i="9"/>
  <c r="P384" i="9" s="1"/>
  <c r="Q383" i="9"/>
  <c r="Q384" i="9" s="1"/>
  <c r="H384" i="9"/>
  <c r="AD383" i="9"/>
  <c r="Q379" i="9"/>
  <c r="Q380" i="9" s="1"/>
  <c r="AD379" i="9"/>
  <c r="R379" i="9"/>
  <c r="R380" i="9" s="1"/>
  <c r="P379" i="9"/>
  <c r="P380" i="9" s="1"/>
  <c r="O379" i="9"/>
  <c r="J370" i="9"/>
  <c r="AG370" i="9" s="1"/>
  <c r="AG369" i="9"/>
  <c r="K350" i="9"/>
  <c r="AD339" i="9"/>
  <c r="Q339" i="9"/>
  <c r="Q340" i="9" s="1"/>
  <c r="O339" i="9"/>
  <c r="O340" i="9" s="1"/>
  <c r="P339" i="9"/>
  <c r="P340" i="9" s="1"/>
  <c r="H340" i="9"/>
  <c r="R339" i="9"/>
  <c r="R340" i="9" s="1"/>
  <c r="J336" i="9"/>
  <c r="AG336" i="9" s="1"/>
  <c r="AG335" i="9"/>
  <c r="AF327" i="9"/>
  <c r="I328" i="9"/>
  <c r="AF328" i="9" s="1"/>
  <c r="Q168" i="9"/>
  <c r="P168" i="9"/>
  <c r="O168" i="9"/>
  <c r="AD168" i="9"/>
  <c r="R168" i="9"/>
  <c r="AE168" i="9" s="1"/>
  <c r="R244" i="9"/>
  <c r="O244" i="9"/>
  <c r="AE244" i="9" s="1"/>
  <c r="P244" i="9"/>
  <c r="AD244" i="9"/>
  <c r="Q244" i="9"/>
  <c r="O134" i="9"/>
  <c r="P134" i="9"/>
  <c r="Q134" i="9"/>
  <c r="H136" i="9"/>
  <c r="R134" i="9"/>
  <c r="AD134" i="9"/>
  <c r="O139" i="9"/>
  <c r="Q139" i="9"/>
  <c r="P139" i="9"/>
  <c r="R139" i="9"/>
  <c r="AD139" i="9"/>
  <c r="J375" i="9"/>
  <c r="AG375" i="9" s="1"/>
  <c r="AG373" i="9"/>
  <c r="J252" i="9"/>
  <c r="AG252" i="9" s="1"/>
  <c r="AG250" i="9"/>
  <c r="Q239" i="9"/>
  <c r="R239" i="9"/>
  <c r="P239" i="9"/>
  <c r="AD239" i="9"/>
  <c r="O239" i="9"/>
  <c r="U205" i="9"/>
  <c r="V205" i="9"/>
  <c r="W205" i="9"/>
  <c r="T205" i="9"/>
  <c r="J172" i="9"/>
  <c r="I307" i="9"/>
  <c r="AF306" i="9"/>
  <c r="W128" i="9"/>
  <c r="U128" i="9"/>
  <c r="T128" i="9"/>
  <c r="V128" i="9"/>
  <c r="P279" i="9"/>
  <c r="O279" i="9"/>
  <c r="Q279" i="9"/>
  <c r="R279" i="9"/>
  <c r="W181" i="9"/>
  <c r="U181" i="9"/>
  <c r="T181" i="9"/>
  <c r="V181" i="9"/>
  <c r="K153" i="9"/>
  <c r="K174" i="9" s="1"/>
  <c r="K14" i="9" s="1"/>
  <c r="AG364" i="9"/>
  <c r="J366" i="9"/>
  <c r="AG366" i="9" s="1"/>
  <c r="K281" i="9"/>
  <c r="R206" i="9"/>
  <c r="P206" i="9"/>
  <c r="O206" i="9"/>
  <c r="AD206" i="9"/>
  <c r="Q206" i="9"/>
  <c r="T130" i="9"/>
  <c r="U130" i="9"/>
  <c r="V130" i="9"/>
  <c r="W130" i="9"/>
  <c r="AG310" i="9"/>
  <c r="J311" i="9"/>
  <c r="AG311" i="9" s="1"/>
  <c r="P285" i="9"/>
  <c r="O285" i="9"/>
  <c r="Q285" i="9"/>
  <c r="R285" i="9"/>
  <c r="AD285" i="9"/>
  <c r="K252" i="9"/>
  <c r="P221" i="9"/>
  <c r="Q221" i="9"/>
  <c r="O221" i="9"/>
  <c r="R221" i="9"/>
  <c r="AD221" i="9"/>
  <c r="T150" i="9"/>
  <c r="AF150" i="9" s="1"/>
  <c r="W150" i="9"/>
  <c r="I153" i="9"/>
  <c r="V150" i="9"/>
  <c r="U150" i="9"/>
  <c r="AF299" i="9"/>
  <c r="I301" i="9"/>
  <c r="AF301" i="9" s="1"/>
  <c r="I247" i="9"/>
  <c r="AF247" i="9" s="1"/>
  <c r="AF236" i="9"/>
  <c r="H190" i="9"/>
  <c r="Q188" i="9"/>
  <c r="AD188" i="9"/>
  <c r="P188" i="9"/>
  <c r="R188" i="9"/>
  <c r="O188" i="9"/>
  <c r="K131" i="9"/>
  <c r="R373" i="9"/>
  <c r="Q373" i="9"/>
  <c r="H375" i="9"/>
  <c r="AD373" i="9"/>
  <c r="P373" i="9"/>
  <c r="O373" i="9"/>
  <c r="W216" i="9"/>
  <c r="W217" i="9" s="1"/>
  <c r="T216" i="9"/>
  <c r="T217" i="9" s="1"/>
  <c r="U216" i="9"/>
  <c r="U217" i="9" s="1"/>
  <c r="V216" i="9"/>
  <c r="V217" i="9" s="1"/>
  <c r="I217" i="9"/>
  <c r="U183" i="9"/>
  <c r="W183" i="9"/>
  <c r="T183" i="9"/>
  <c r="V183" i="9"/>
  <c r="AG289" i="9"/>
  <c r="J291" i="9"/>
  <c r="AG291" i="9" s="1"/>
  <c r="Q319" i="9"/>
  <c r="Q320" i="9" s="1"/>
  <c r="H320" i="9"/>
  <c r="P319" i="9"/>
  <c r="P320" i="9" s="1"/>
  <c r="AD319" i="9"/>
  <c r="R319" i="9"/>
  <c r="R320" i="9" s="1"/>
  <c r="O319" i="9"/>
  <c r="U232" i="9"/>
  <c r="V232" i="9"/>
  <c r="T232" i="9"/>
  <c r="W232" i="9"/>
  <c r="AG220" i="9"/>
  <c r="J223" i="9"/>
  <c r="AD2205" i="9"/>
  <c r="O2205" i="9"/>
  <c r="P2205" i="9"/>
  <c r="Q2205" i="9"/>
  <c r="R2205" i="9"/>
  <c r="V2197" i="9"/>
  <c r="W2197" i="9"/>
  <c r="T2197" i="9"/>
  <c r="U2197" i="9"/>
  <c r="T2192" i="9"/>
  <c r="U2192" i="9"/>
  <c r="V2192" i="9"/>
  <c r="W2192" i="9"/>
  <c r="I2203" i="9"/>
  <c r="I2212" i="9"/>
  <c r="I2214" i="9" s="1"/>
  <c r="I2215" i="9" s="1"/>
  <c r="W2211" i="9"/>
  <c r="U2211" i="9"/>
  <c r="T2211" i="9"/>
  <c r="V2211" i="9"/>
  <c r="AF2211" i="9"/>
  <c r="W2201" i="9"/>
  <c r="U2201" i="9"/>
  <c r="V2201" i="9"/>
  <c r="T2201" i="9"/>
  <c r="AC2199" i="9"/>
  <c r="AA2199" i="9"/>
  <c r="Y2199" i="9"/>
  <c r="Z2199" i="9"/>
  <c r="AB2199" i="9"/>
  <c r="R2198" i="9"/>
  <c r="O2198" i="9"/>
  <c r="AE2198" i="9" s="1"/>
  <c r="P2198" i="9"/>
  <c r="Q2198" i="9"/>
  <c r="AD2198" i="9"/>
  <c r="T2193" i="9"/>
  <c r="U2193" i="9"/>
  <c r="V2193" i="9"/>
  <c r="W2193" i="9"/>
  <c r="K2188" i="9"/>
  <c r="V2186" i="9"/>
  <c r="W2186" i="9"/>
  <c r="T2186" i="9"/>
  <c r="U2186" i="9"/>
  <c r="J2188" i="9"/>
  <c r="P2178" i="9"/>
  <c r="AD2178" i="9"/>
  <c r="Q2178" i="9"/>
  <c r="R2178" i="9"/>
  <c r="O2178" i="9"/>
  <c r="T2177" i="9"/>
  <c r="U2177" i="9"/>
  <c r="V2177" i="9"/>
  <c r="W2177" i="9"/>
  <c r="P2154" i="9"/>
  <c r="Q2154" i="9"/>
  <c r="AD2154" i="9"/>
  <c r="O2154" i="9"/>
  <c r="R2154" i="9"/>
  <c r="I2151" i="9"/>
  <c r="T2150" i="9"/>
  <c r="T2151" i="9" s="1"/>
  <c r="W2150" i="9"/>
  <c r="U2150" i="9"/>
  <c r="V2150" i="9"/>
  <c r="AD2143" i="9"/>
  <c r="O2143" i="9"/>
  <c r="O2144" i="9" s="1"/>
  <c r="P2143" i="9"/>
  <c r="P2144" i="9" s="1"/>
  <c r="R2143" i="9"/>
  <c r="R2144" i="9" s="1"/>
  <c r="H2144" i="9"/>
  <c r="Q2143" i="9"/>
  <c r="Q2144" i="9" s="1"/>
  <c r="L2162" i="9"/>
  <c r="AG2137" i="9"/>
  <c r="J2140" i="9"/>
  <c r="J2162" i="9" s="1"/>
  <c r="AA2128" i="9"/>
  <c r="AB2128" i="9"/>
  <c r="AC2128" i="9"/>
  <c r="Y2128" i="9"/>
  <c r="Z2128" i="9"/>
  <c r="K2121" i="9"/>
  <c r="Y2105" i="9"/>
  <c r="AB2105" i="9"/>
  <c r="AB2106" i="9" s="1"/>
  <c r="J2106" i="9"/>
  <c r="Z2105" i="9"/>
  <c r="Z2106" i="9" s="1"/>
  <c r="AA2105" i="9"/>
  <c r="AA2106" i="9" s="1"/>
  <c r="AC2105" i="9"/>
  <c r="AC2106" i="9" s="1"/>
  <c r="AD2101" i="9"/>
  <c r="AE2101" i="9"/>
  <c r="H2102" i="9"/>
  <c r="AF2085" i="9"/>
  <c r="I2086" i="9"/>
  <c r="AF2086" i="9" s="1"/>
  <c r="AF2073" i="9"/>
  <c r="I2074" i="9"/>
  <c r="AF2074" i="9" s="1"/>
  <c r="AF2069" i="9"/>
  <c r="I2070" i="9"/>
  <c r="AF2070" i="9" s="1"/>
  <c r="AE2053" i="9"/>
  <c r="AD2053" i="9"/>
  <c r="AE2052" i="9"/>
  <c r="AD2052" i="9"/>
  <c r="AG2044" i="9"/>
  <c r="J2046" i="9"/>
  <c r="AG2046" i="9" s="1"/>
  <c r="AF2036" i="9"/>
  <c r="I2041" i="9"/>
  <c r="O2024" i="9"/>
  <c r="O2025" i="9" s="1"/>
  <c r="P2024" i="9"/>
  <c r="P2025" i="9" s="1"/>
  <c r="Q2024" i="9"/>
  <c r="Q2025" i="9" s="1"/>
  <c r="R2024" i="9"/>
  <c r="R2025" i="9" s="1"/>
  <c r="AD2024" i="9"/>
  <c r="K2019" i="9"/>
  <c r="AF2013" i="9"/>
  <c r="I2019" i="9"/>
  <c r="AF2019" i="9" s="1"/>
  <c r="W2005" i="9"/>
  <c r="T2005" i="9"/>
  <c r="U2005" i="9"/>
  <c r="V2005" i="9"/>
  <c r="T1992" i="9"/>
  <c r="U1992" i="9"/>
  <c r="V1992" i="9"/>
  <c r="W1992" i="9"/>
  <c r="AD1991" i="9"/>
  <c r="O1991" i="9"/>
  <c r="Q1991" i="9"/>
  <c r="R1991" i="9"/>
  <c r="P1991" i="9"/>
  <c r="AD1988" i="9"/>
  <c r="Q1988" i="9"/>
  <c r="R1988" i="9"/>
  <c r="O1988" i="9"/>
  <c r="P1988" i="9"/>
  <c r="V1986" i="9"/>
  <c r="W1986" i="9"/>
  <c r="T1986" i="9"/>
  <c r="U1986" i="9"/>
  <c r="Q1984" i="9"/>
  <c r="AD1984" i="9"/>
  <c r="O1984" i="9"/>
  <c r="R1984" i="9"/>
  <c r="P1984" i="9"/>
  <c r="H1994" i="9"/>
  <c r="W1977" i="9"/>
  <c r="T1977" i="9"/>
  <c r="U1977" i="9"/>
  <c r="V1977" i="9"/>
  <c r="AD1970" i="9"/>
  <c r="O1970" i="9"/>
  <c r="R1970" i="9"/>
  <c r="Q1970" i="9"/>
  <c r="P1970" i="9"/>
  <c r="AB1969" i="9"/>
  <c r="T1967" i="9"/>
  <c r="AF1967" i="9" s="1"/>
  <c r="U1967" i="9"/>
  <c r="V1967" i="9"/>
  <c r="W1967" i="9"/>
  <c r="L1963" i="9"/>
  <c r="T1956" i="9"/>
  <c r="V1956" i="9"/>
  <c r="W1956" i="9"/>
  <c r="U1956" i="9"/>
  <c r="U1946" i="9"/>
  <c r="V1946" i="9"/>
  <c r="W1946" i="9"/>
  <c r="T1946" i="9"/>
  <c r="W1944" i="9"/>
  <c r="U1944" i="9"/>
  <c r="V1944" i="9"/>
  <c r="T1944" i="9"/>
  <c r="J1933" i="9"/>
  <c r="T1927" i="9"/>
  <c r="U1927" i="9"/>
  <c r="W1927" i="9"/>
  <c r="V1927" i="9"/>
  <c r="J1929" i="9"/>
  <c r="O1916" i="9"/>
  <c r="Q1916" i="9"/>
  <c r="Q1917" i="9" s="1"/>
  <c r="R1916" i="9"/>
  <c r="R1917" i="9" s="1"/>
  <c r="AD1916" i="9"/>
  <c r="P1916" i="9"/>
  <c r="P1917" i="9" s="1"/>
  <c r="U1893" i="9"/>
  <c r="U1894" i="9" s="1"/>
  <c r="I1894" i="9"/>
  <c r="T1893" i="9"/>
  <c r="T1894" i="9" s="1"/>
  <c r="V1893" i="9"/>
  <c r="V1894" i="9" s="1"/>
  <c r="W1893" i="9"/>
  <c r="W1894" i="9" s="1"/>
  <c r="H53" i="9"/>
  <c r="H1890" i="9"/>
  <c r="O1889" i="9"/>
  <c r="AD1889" i="9"/>
  <c r="P1889" i="9"/>
  <c r="Q1889" i="9"/>
  <c r="R1889" i="9"/>
  <c r="V1870" i="9"/>
  <c r="V1871" i="9" s="1"/>
  <c r="T1870" i="9"/>
  <c r="T1871" i="9" s="1"/>
  <c r="U1870" i="9"/>
  <c r="U1871" i="9" s="1"/>
  <c r="W1870" i="9"/>
  <c r="W1871" i="9" s="1"/>
  <c r="W1863" i="9"/>
  <c r="W1865" i="9" s="1"/>
  <c r="T1863" i="9"/>
  <c r="T1865" i="9" s="1"/>
  <c r="I1865" i="9"/>
  <c r="U1863" i="9"/>
  <c r="U1865" i="9" s="1"/>
  <c r="V1863" i="9"/>
  <c r="V1865" i="9" s="1"/>
  <c r="L1857" i="9"/>
  <c r="W1851" i="9"/>
  <c r="U1851" i="9"/>
  <c r="V1851" i="9"/>
  <c r="T1851" i="9"/>
  <c r="W1848" i="9"/>
  <c r="U1848" i="9"/>
  <c r="T1848" i="9"/>
  <c r="V1848" i="9"/>
  <c r="I1857" i="9"/>
  <c r="Q1836" i="9"/>
  <c r="R1836" i="9"/>
  <c r="P1836" i="9"/>
  <c r="AD1836" i="9"/>
  <c r="O1836" i="9"/>
  <c r="AE1836" i="9" s="1"/>
  <c r="Q1833" i="9"/>
  <c r="R1833" i="9"/>
  <c r="O1833" i="9"/>
  <c r="AD1833" i="9"/>
  <c r="P1833" i="9"/>
  <c r="O1825" i="9"/>
  <c r="AE1825" i="9" s="1"/>
  <c r="P1825" i="9"/>
  <c r="Q1825" i="9"/>
  <c r="R1825" i="9"/>
  <c r="AD1825" i="9"/>
  <c r="K1817" i="9"/>
  <c r="K38" i="9" s="1"/>
  <c r="P1814" i="9"/>
  <c r="Q1814" i="9"/>
  <c r="AD1814" i="9"/>
  <c r="R1814" i="9"/>
  <c r="O1814" i="9"/>
  <c r="L1809" i="9"/>
  <c r="L40" i="9" s="1"/>
  <c r="AD1795" i="9"/>
  <c r="R1795" i="9"/>
  <c r="O1795" i="9"/>
  <c r="P1795" i="9"/>
  <c r="Q1795" i="9"/>
  <c r="O1791" i="9"/>
  <c r="AD1791" i="9"/>
  <c r="P1791" i="9"/>
  <c r="Q1791" i="9"/>
  <c r="R1791" i="9"/>
  <c r="T1788" i="9"/>
  <c r="U1788" i="9"/>
  <c r="V1788" i="9"/>
  <c r="W1788" i="9"/>
  <c r="L1781" i="9"/>
  <c r="L39" i="9" s="1"/>
  <c r="J1775" i="9"/>
  <c r="T1766" i="9"/>
  <c r="T1767" i="9" s="1"/>
  <c r="U1766" i="9"/>
  <c r="U1767" i="9" s="1"/>
  <c r="V1766" i="9"/>
  <c r="V1767" i="9" s="1"/>
  <c r="W1766" i="9"/>
  <c r="W1767" i="9" s="1"/>
  <c r="I1767" i="9"/>
  <c r="I1763" i="9"/>
  <c r="T1762" i="9"/>
  <c r="U1762" i="9"/>
  <c r="V1762" i="9"/>
  <c r="W1762" i="9"/>
  <c r="AD1760" i="9"/>
  <c r="O1760" i="9"/>
  <c r="P1760" i="9"/>
  <c r="Q1760" i="9"/>
  <c r="R1760" i="9"/>
  <c r="H1763" i="9"/>
  <c r="T1753" i="9"/>
  <c r="U1753" i="9"/>
  <c r="V1753" i="9"/>
  <c r="W1753" i="9"/>
  <c r="H1747" i="9"/>
  <c r="AD1746" i="9"/>
  <c r="O1746" i="9"/>
  <c r="P1746" i="9"/>
  <c r="Q1746" i="9"/>
  <c r="R1746" i="9"/>
  <c r="AD1744" i="9"/>
  <c r="O1744" i="9"/>
  <c r="R1744" i="9"/>
  <c r="P1744" i="9"/>
  <c r="Q1744" i="9"/>
  <c r="Z1739" i="9"/>
  <c r="Z1740" i="9" s="1"/>
  <c r="AA1739" i="9"/>
  <c r="AA1740" i="9" s="1"/>
  <c r="Y1739" i="9"/>
  <c r="Y1740" i="9" s="1"/>
  <c r="AC1739" i="9"/>
  <c r="AC1740" i="9" s="1"/>
  <c r="AB1739" i="9"/>
  <c r="AB1740" i="9" s="1"/>
  <c r="Q1738" i="9"/>
  <c r="O1738" i="9"/>
  <c r="P1738" i="9"/>
  <c r="AD1738" i="9"/>
  <c r="R1738" i="9"/>
  <c r="H1740" i="9"/>
  <c r="J1732" i="9"/>
  <c r="I1726" i="9"/>
  <c r="U1725" i="9"/>
  <c r="V1725" i="9"/>
  <c r="W1725" i="9"/>
  <c r="T1725" i="9"/>
  <c r="K1720" i="9"/>
  <c r="K34" i="9" s="1"/>
  <c r="AD1717" i="9"/>
  <c r="P1717" i="9"/>
  <c r="O1717" i="9"/>
  <c r="Q1717" i="9"/>
  <c r="R1717" i="9"/>
  <c r="U1704" i="9"/>
  <c r="W1704" i="9"/>
  <c r="T1704" i="9"/>
  <c r="V1704" i="9"/>
  <c r="Q1695" i="9"/>
  <c r="Q1696" i="9" s="1"/>
  <c r="R1695" i="9"/>
  <c r="R1696" i="9" s="1"/>
  <c r="AD1695" i="9"/>
  <c r="O1695" i="9"/>
  <c r="O1696" i="9" s="1"/>
  <c r="P1695" i="9"/>
  <c r="P1696" i="9" s="1"/>
  <c r="Q1684" i="9"/>
  <c r="R1684" i="9"/>
  <c r="AD1684" i="9"/>
  <c r="O1684" i="9"/>
  <c r="P1684" i="9"/>
  <c r="T1681" i="9"/>
  <c r="U1681" i="9"/>
  <c r="V1681" i="9"/>
  <c r="W1681" i="9"/>
  <c r="W1676" i="9"/>
  <c r="T1676" i="9"/>
  <c r="U1676" i="9"/>
  <c r="V1676" i="9"/>
  <c r="K1670" i="9"/>
  <c r="O1666" i="9"/>
  <c r="P1666" i="9"/>
  <c r="Q1666" i="9"/>
  <c r="R1666" i="9"/>
  <c r="AD1666" i="9"/>
  <c r="K1662" i="9"/>
  <c r="Q1660" i="9"/>
  <c r="R1660" i="9"/>
  <c r="O1660" i="9"/>
  <c r="P1660" i="9"/>
  <c r="AD1660" i="9"/>
  <c r="J1653" i="9"/>
  <c r="AD1635" i="9"/>
  <c r="O1635" i="9"/>
  <c r="O1636" i="9" s="1"/>
  <c r="P1635" i="9"/>
  <c r="P1636" i="9" s="1"/>
  <c r="Q1635" i="9"/>
  <c r="Q1636" i="9" s="1"/>
  <c r="R1635" i="9"/>
  <c r="R1636" i="9" s="1"/>
  <c r="H1636" i="9"/>
  <c r="J1633" i="9"/>
  <c r="P1626" i="9"/>
  <c r="Q1626" i="9"/>
  <c r="R1626" i="9"/>
  <c r="AD1626" i="9"/>
  <c r="O1626" i="9"/>
  <c r="H1629" i="9"/>
  <c r="W1621" i="9"/>
  <c r="T1621" i="9"/>
  <c r="V1621" i="9"/>
  <c r="U1621" i="9"/>
  <c r="AD1618" i="9"/>
  <c r="P1618" i="9"/>
  <c r="R1618" i="9"/>
  <c r="Q1618" i="9"/>
  <c r="O1618" i="9"/>
  <c r="J1623" i="9"/>
  <c r="AD1606" i="9"/>
  <c r="P1606" i="9"/>
  <c r="Q1606" i="9"/>
  <c r="O1606" i="9"/>
  <c r="R1606" i="9"/>
  <c r="U1599" i="9"/>
  <c r="U1600" i="9" s="1"/>
  <c r="W1599" i="9"/>
  <c r="W1600" i="9" s="1"/>
  <c r="V1599" i="9"/>
  <c r="V1600" i="9" s="1"/>
  <c r="T1599" i="9"/>
  <c r="T1600" i="9" s="1"/>
  <c r="K1567" i="9"/>
  <c r="AD1563" i="9"/>
  <c r="O1563" i="9"/>
  <c r="P1563" i="9"/>
  <c r="Q1563" i="9"/>
  <c r="R1563" i="9"/>
  <c r="Q1554" i="9"/>
  <c r="R1554" i="9"/>
  <c r="AD1554" i="9"/>
  <c r="O1554" i="9"/>
  <c r="P1554" i="9"/>
  <c r="AD1551" i="9"/>
  <c r="O1551" i="9"/>
  <c r="P1551" i="9"/>
  <c r="Q1551" i="9"/>
  <c r="R1551" i="9"/>
  <c r="O1549" i="9"/>
  <c r="AD1549" i="9"/>
  <c r="P1549" i="9"/>
  <c r="Q1549" i="9"/>
  <c r="R1549" i="9"/>
  <c r="H1558" i="9"/>
  <c r="W1544" i="9"/>
  <c r="T1544" i="9"/>
  <c r="U1544" i="9"/>
  <c r="V1544" i="9"/>
  <c r="R1540" i="9"/>
  <c r="O1540" i="9"/>
  <c r="P1540" i="9"/>
  <c r="Q1540" i="9"/>
  <c r="AD1540" i="9"/>
  <c r="V1533" i="9"/>
  <c r="T1533" i="9"/>
  <c r="U1533" i="9"/>
  <c r="W1533" i="9"/>
  <c r="O1529" i="9"/>
  <c r="AD1529" i="9"/>
  <c r="R1529" i="9"/>
  <c r="Q1529" i="9"/>
  <c r="P1529" i="9"/>
  <c r="AC1512" i="9"/>
  <c r="AC1513" i="9" s="1"/>
  <c r="AA1512" i="9"/>
  <c r="AA1513" i="9" s="1"/>
  <c r="AB1512" i="9"/>
  <c r="AB1513" i="9" s="1"/>
  <c r="J1513" i="9"/>
  <c r="AE1496" i="9"/>
  <c r="H1497" i="9"/>
  <c r="AD1496" i="9"/>
  <c r="AE1492" i="9"/>
  <c r="H1493" i="9"/>
  <c r="AD1492" i="9"/>
  <c r="I1485" i="9"/>
  <c r="AF1485" i="9" s="1"/>
  <c r="AF1484" i="9"/>
  <c r="AE1480" i="9"/>
  <c r="H1481" i="9"/>
  <c r="AD1480" i="9"/>
  <c r="I1473" i="9"/>
  <c r="AF1473" i="9" s="1"/>
  <c r="AF1472" i="9"/>
  <c r="Z1464" i="9"/>
  <c r="Z1465" i="9" s="1"/>
  <c r="AB1464" i="9"/>
  <c r="AB1465" i="9" s="1"/>
  <c r="AC1464" i="9"/>
  <c r="AC1465" i="9" s="1"/>
  <c r="J1465" i="9"/>
  <c r="Y1464" i="9"/>
  <c r="Y1465" i="9" s="1"/>
  <c r="AA1464" i="9"/>
  <c r="AA1465" i="9" s="1"/>
  <c r="I1461" i="9"/>
  <c r="AF1461" i="9" s="1"/>
  <c r="AF1460" i="9"/>
  <c r="AD1450" i="9"/>
  <c r="H1451" i="9"/>
  <c r="AE1450" i="9"/>
  <c r="T1446" i="9"/>
  <c r="T1447" i="9" s="1"/>
  <c r="U1446" i="9"/>
  <c r="U1447" i="9" s="1"/>
  <c r="V1446" i="9"/>
  <c r="V1447" i="9" s="1"/>
  <c r="W1446" i="9"/>
  <c r="W1447" i="9" s="1"/>
  <c r="I1447" i="9"/>
  <c r="K1437" i="9"/>
  <c r="W1429" i="9"/>
  <c r="T1429" i="9"/>
  <c r="U1429" i="9"/>
  <c r="V1429" i="9"/>
  <c r="L1419" i="9"/>
  <c r="L1453" i="9" s="1"/>
  <c r="AE1416" i="9"/>
  <c r="AD1416" i="9"/>
  <c r="H1419" i="9"/>
  <c r="T1410" i="9"/>
  <c r="U1410" i="9"/>
  <c r="V1410" i="9"/>
  <c r="W1410" i="9"/>
  <c r="I1413" i="9"/>
  <c r="AE1405" i="9"/>
  <c r="AD1405" i="9"/>
  <c r="AE1404" i="9"/>
  <c r="AD1404" i="9"/>
  <c r="H1407" i="9"/>
  <c r="AE1398" i="9"/>
  <c r="AD1398" i="9"/>
  <c r="AG1391" i="9"/>
  <c r="J1394" i="9"/>
  <c r="AG1385" i="9"/>
  <c r="J1386" i="9"/>
  <c r="AG1386" i="9" s="1"/>
  <c r="AD1359" i="9"/>
  <c r="P1359" i="9"/>
  <c r="R1359" i="9"/>
  <c r="Q1359" i="9"/>
  <c r="O1359" i="9"/>
  <c r="AE1359" i="9" s="1"/>
  <c r="AD1357" i="9"/>
  <c r="P1357" i="9"/>
  <c r="R1357" i="9"/>
  <c r="O1357" i="9"/>
  <c r="Q1357" i="9"/>
  <c r="AG1351" i="9"/>
  <c r="J1354" i="9"/>
  <c r="AG1354" i="9" s="1"/>
  <c r="AG1331" i="9"/>
  <c r="J1334" i="9"/>
  <c r="AG1334" i="9" s="1"/>
  <c r="P1323" i="9"/>
  <c r="AD1323" i="9"/>
  <c r="Q1323" i="9"/>
  <c r="R1323" i="9"/>
  <c r="O1323" i="9"/>
  <c r="R1316" i="9"/>
  <c r="O1316" i="9"/>
  <c r="AE1316" i="9" s="1"/>
  <c r="P1316" i="9"/>
  <c r="AD1316" i="9"/>
  <c r="Q1316" i="9"/>
  <c r="O1308" i="9"/>
  <c r="P1308" i="9"/>
  <c r="R1308" i="9"/>
  <c r="AD1308" i="9"/>
  <c r="Q1308" i="9"/>
  <c r="H1312" i="9"/>
  <c r="AD1303" i="9"/>
  <c r="R1303" i="9"/>
  <c r="O1303" i="9"/>
  <c r="P1303" i="9"/>
  <c r="Q1303" i="9"/>
  <c r="P1297" i="9"/>
  <c r="R1297" i="9"/>
  <c r="AD1297" i="9"/>
  <c r="O1297" i="9"/>
  <c r="Q1297" i="9"/>
  <c r="AF1294" i="9"/>
  <c r="I1298" i="9"/>
  <c r="AF1298" i="9" s="1"/>
  <c r="Q1289" i="9"/>
  <c r="AD1289" i="9"/>
  <c r="P1289" i="9"/>
  <c r="R1289" i="9"/>
  <c r="O1289" i="9"/>
  <c r="O1288" i="9"/>
  <c r="P1288" i="9"/>
  <c r="Q1288" i="9"/>
  <c r="AD1288" i="9"/>
  <c r="R1288" i="9"/>
  <c r="AE1288" i="9"/>
  <c r="AD1266" i="9"/>
  <c r="P1266" i="9"/>
  <c r="P1267" i="9" s="1"/>
  <c r="H1267" i="9"/>
  <c r="O1266" i="9"/>
  <c r="O1267" i="9" s="1"/>
  <c r="Q1266" i="9"/>
  <c r="Q1267" i="9" s="1"/>
  <c r="R1266" i="9"/>
  <c r="R1267" i="9" s="1"/>
  <c r="R1261" i="9"/>
  <c r="R1262" i="9" s="1"/>
  <c r="AD1261" i="9"/>
  <c r="Q1261" i="9"/>
  <c r="Q1262" i="9" s="1"/>
  <c r="H1262" i="9"/>
  <c r="O1261" i="9"/>
  <c r="O1262" i="9" s="1"/>
  <c r="P1261" i="9"/>
  <c r="P1262" i="9" s="1"/>
  <c r="AF1253" i="9"/>
  <c r="I1254" i="9"/>
  <c r="AF1254" i="9" s="1"/>
  <c r="I1246" i="9"/>
  <c r="AF1246" i="9" s="1"/>
  <c r="AF1245" i="9"/>
  <c r="AF1226" i="9"/>
  <c r="I1230" i="9"/>
  <c r="AF1230" i="9" s="1"/>
  <c r="AD1220" i="9"/>
  <c r="O1220" i="9"/>
  <c r="P1220" i="9"/>
  <c r="Q1220" i="9"/>
  <c r="R1220" i="9"/>
  <c r="H1216" i="9"/>
  <c r="AD1215" i="9"/>
  <c r="O1215" i="9"/>
  <c r="O1216" i="9" s="1"/>
  <c r="P1215" i="9"/>
  <c r="P1216" i="9" s="1"/>
  <c r="Q1215" i="9"/>
  <c r="Q1216" i="9" s="1"/>
  <c r="R1215" i="9"/>
  <c r="R1216" i="9" s="1"/>
  <c r="AG1212" i="9"/>
  <c r="J1216" i="9"/>
  <c r="AG1216" i="9" s="1"/>
  <c r="O1198" i="9"/>
  <c r="AD1198" i="9"/>
  <c r="P1198" i="9"/>
  <c r="Q1198" i="9"/>
  <c r="R1198" i="9"/>
  <c r="AD1135" i="9"/>
  <c r="O1135" i="9"/>
  <c r="R1135" i="9"/>
  <c r="P1135" i="9"/>
  <c r="Q1135" i="9"/>
  <c r="AD1132" i="9"/>
  <c r="R1132" i="9"/>
  <c r="Q1132" i="9"/>
  <c r="O1132" i="9"/>
  <c r="P1132" i="9"/>
  <c r="V1130" i="9"/>
  <c r="U1130" i="9"/>
  <c r="T1130" i="9"/>
  <c r="W1130" i="9"/>
  <c r="Y1127" i="9"/>
  <c r="AC1127" i="9"/>
  <c r="Z1127" i="9"/>
  <c r="AA1127" i="9"/>
  <c r="AB1127" i="9"/>
  <c r="AD1124" i="9"/>
  <c r="Q1124" i="9"/>
  <c r="O1124" i="9"/>
  <c r="P1124" i="9"/>
  <c r="R1124" i="9"/>
  <c r="H1136" i="9"/>
  <c r="AD1119" i="9"/>
  <c r="O1119" i="9"/>
  <c r="R1119" i="9"/>
  <c r="Q1119" i="9"/>
  <c r="P1119" i="9"/>
  <c r="P1116" i="9"/>
  <c r="R1116" i="9"/>
  <c r="Q1116" i="9"/>
  <c r="O1116" i="9"/>
  <c r="AD1116" i="9"/>
  <c r="O1115" i="9"/>
  <c r="P1115" i="9"/>
  <c r="Q1115" i="9"/>
  <c r="R1115" i="9"/>
  <c r="AD1115" i="9"/>
  <c r="P1111" i="9"/>
  <c r="AD1111" i="9"/>
  <c r="R1111" i="9"/>
  <c r="O1111" i="9"/>
  <c r="Q1111" i="9"/>
  <c r="T1103" i="9"/>
  <c r="U1103" i="9"/>
  <c r="W1103" i="9"/>
  <c r="V1103" i="9"/>
  <c r="AD1100" i="9"/>
  <c r="R1100" i="9"/>
  <c r="O1100" i="9"/>
  <c r="P1100" i="9"/>
  <c r="Q1100" i="9"/>
  <c r="O1092" i="9"/>
  <c r="AD1092" i="9"/>
  <c r="P1092" i="9"/>
  <c r="Q1092" i="9"/>
  <c r="R1092" i="9"/>
  <c r="O1087" i="9"/>
  <c r="P1087" i="9"/>
  <c r="Q1087" i="9"/>
  <c r="AD1087" i="9"/>
  <c r="R1087" i="9"/>
  <c r="AB1084" i="9"/>
  <c r="W1082" i="9"/>
  <c r="T1082" i="9"/>
  <c r="U1082" i="9"/>
  <c r="V1082" i="9"/>
  <c r="V1066" i="9"/>
  <c r="U1066" i="9"/>
  <c r="W1066" i="9"/>
  <c r="T1066" i="9"/>
  <c r="AD1065" i="9"/>
  <c r="Q1065" i="9"/>
  <c r="R1065" i="9"/>
  <c r="O1065" i="9"/>
  <c r="P1065" i="9"/>
  <c r="AD1062" i="9"/>
  <c r="P1062" i="9"/>
  <c r="R1062" i="9"/>
  <c r="O1062" i="9"/>
  <c r="Q1062" i="9"/>
  <c r="O1057" i="9"/>
  <c r="AE1057" i="9" s="1"/>
  <c r="Q1057" i="9"/>
  <c r="R1057" i="9"/>
  <c r="P1057" i="9"/>
  <c r="AD1057" i="9"/>
  <c r="U1048" i="9"/>
  <c r="V1048" i="9"/>
  <c r="T1048" i="9"/>
  <c r="W1048" i="9"/>
  <c r="U1045" i="9"/>
  <c r="T1045" i="9"/>
  <c r="V1045" i="9"/>
  <c r="W1045" i="9"/>
  <c r="Q1031" i="9"/>
  <c r="AE1031" i="9" s="1"/>
  <c r="AD1031" i="9"/>
  <c r="O1031" i="9"/>
  <c r="P1031" i="9"/>
  <c r="R1031" i="9"/>
  <c r="W1029" i="9"/>
  <c r="T1029" i="9"/>
  <c r="V1029" i="9"/>
  <c r="U1029" i="9"/>
  <c r="AD1026" i="9"/>
  <c r="O1026" i="9"/>
  <c r="P1026" i="9"/>
  <c r="AE1026" i="9" s="1"/>
  <c r="Q1026" i="9"/>
  <c r="R1026" i="9"/>
  <c r="AB1024" i="9"/>
  <c r="P1023" i="9"/>
  <c r="Q1023" i="9"/>
  <c r="AD1023" i="9"/>
  <c r="R1023" i="9"/>
  <c r="O1023" i="9"/>
  <c r="AD1015" i="9"/>
  <c r="P1015" i="9"/>
  <c r="Q1015" i="9"/>
  <c r="R1015" i="9"/>
  <c r="O1015" i="9"/>
  <c r="T1012" i="9"/>
  <c r="U1012" i="9"/>
  <c r="V1012" i="9"/>
  <c r="AF1012" i="9" s="1"/>
  <c r="W1012" i="9"/>
  <c r="AD1009" i="9"/>
  <c r="Q1009" i="9"/>
  <c r="R1009" i="9"/>
  <c r="O1009" i="9"/>
  <c r="P1009" i="9"/>
  <c r="P1006" i="9"/>
  <c r="AD1006" i="9"/>
  <c r="O1006" i="9"/>
  <c r="Q1006" i="9"/>
  <c r="R1006" i="9"/>
  <c r="K993" i="9"/>
  <c r="AD985" i="9"/>
  <c r="P985" i="9"/>
  <c r="Q985" i="9"/>
  <c r="R985" i="9"/>
  <c r="O985" i="9"/>
  <c r="T984" i="9"/>
  <c r="U984" i="9"/>
  <c r="V984" i="9"/>
  <c r="W984" i="9"/>
  <c r="I987" i="9"/>
  <c r="W972" i="9"/>
  <c r="T972" i="9"/>
  <c r="U972" i="9"/>
  <c r="V972" i="9"/>
  <c r="R948" i="9"/>
  <c r="P948" i="9"/>
  <c r="O948" i="9"/>
  <c r="AD948" i="9"/>
  <c r="Q948" i="9"/>
  <c r="H956" i="9"/>
  <c r="V941" i="9"/>
  <c r="T941" i="9"/>
  <c r="U941" i="9"/>
  <c r="W941" i="9"/>
  <c r="V940" i="9"/>
  <c r="W940" i="9"/>
  <c r="T940" i="9"/>
  <c r="U940" i="9"/>
  <c r="W937" i="9"/>
  <c r="T937" i="9"/>
  <c r="U937" i="9"/>
  <c r="V937" i="9"/>
  <c r="V929" i="9"/>
  <c r="U929" i="9"/>
  <c r="W929" i="9"/>
  <c r="T929" i="9"/>
  <c r="H918" i="9"/>
  <c r="P917" i="9"/>
  <c r="Q917" i="9"/>
  <c r="R917" i="9"/>
  <c r="O917" i="9"/>
  <c r="AD917" i="9"/>
  <c r="AD916" i="9"/>
  <c r="Q916" i="9"/>
  <c r="O916" i="9"/>
  <c r="P916" i="9"/>
  <c r="R916" i="9"/>
  <c r="K909" i="9"/>
  <c r="W906" i="9"/>
  <c r="T906" i="9"/>
  <c r="AF906" i="9" s="1"/>
  <c r="U906" i="9"/>
  <c r="V906" i="9"/>
  <c r="Q903" i="9"/>
  <c r="AD903" i="9"/>
  <c r="R903" i="9"/>
  <c r="O903" i="9"/>
  <c r="P903" i="9"/>
  <c r="T898" i="9"/>
  <c r="U898" i="9"/>
  <c r="V898" i="9"/>
  <c r="W898" i="9"/>
  <c r="I909" i="9"/>
  <c r="V888" i="9"/>
  <c r="W888" i="9"/>
  <c r="T888" i="9"/>
  <c r="U888" i="9"/>
  <c r="L880" i="9"/>
  <c r="Q878" i="9"/>
  <c r="O878" i="9"/>
  <c r="P878" i="9"/>
  <c r="R878" i="9"/>
  <c r="AD878" i="9"/>
  <c r="J871" i="9"/>
  <c r="L867" i="9"/>
  <c r="V858" i="9"/>
  <c r="W858" i="9"/>
  <c r="T858" i="9"/>
  <c r="U858" i="9"/>
  <c r="I867" i="9"/>
  <c r="P853" i="9"/>
  <c r="Q853" i="9"/>
  <c r="R853" i="9"/>
  <c r="AD853" i="9"/>
  <c r="O853" i="9"/>
  <c r="Y850" i="9"/>
  <c r="AB850" i="9"/>
  <c r="Z850" i="9"/>
  <c r="AC850" i="9"/>
  <c r="AA850" i="9"/>
  <c r="O845" i="9"/>
  <c r="P845" i="9"/>
  <c r="Q845" i="9"/>
  <c r="R845" i="9"/>
  <c r="AD845" i="9"/>
  <c r="AD843" i="9"/>
  <c r="O843" i="9"/>
  <c r="Q843" i="9"/>
  <c r="P843" i="9"/>
  <c r="R843" i="9"/>
  <c r="K838" i="9"/>
  <c r="W836" i="9"/>
  <c r="T836" i="9"/>
  <c r="V836" i="9"/>
  <c r="U836" i="9"/>
  <c r="AD828" i="9"/>
  <c r="O828" i="9"/>
  <c r="O832" i="9" s="1"/>
  <c r="P828" i="9"/>
  <c r="AE828" i="9" s="1"/>
  <c r="Q828" i="9"/>
  <c r="R828" i="9"/>
  <c r="H832" i="9"/>
  <c r="H818" i="9"/>
  <c r="AD817" i="9"/>
  <c r="R817" i="9"/>
  <c r="R818" i="9" s="1"/>
  <c r="O817" i="9"/>
  <c r="O818" i="9" s="1"/>
  <c r="P817" i="9"/>
  <c r="P818" i="9" s="1"/>
  <c r="Q817" i="9"/>
  <c r="Q818" i="9" s="1"/>
  <c r="U801" i="9"/>
  <c r="W801" i="9"/>
  <c r="T801" i="9"/>
  <c r="V801" i="9"/>
  <c r="AD800" i="9"/>
  <c r="P800" i="9"/>
  <c r="R800" i="9"/>
  <c r="O800" i="9"/>
  <c r="Q800" i="9"/>
  <c r="L796" i="9"/>
  <c r="AD790" i="9"/>
  <c r="O790" i="9"/>
  <c r="O791" i="9" s="1"/>
  <c r="R790" i="9"/>
  <c r="R791" i="9" s="1"/>
  <c r="P790" i="9"/>
  <c r="P791" i="9" s="1"/>
  <c r="Q790" i="9"/>
  <c r="Q791" i="9" s="1"/>
  <c r="U784" i="9"/>
  <c r="U785" i="9" s="1"/>
  <c r="V784" i="9"/>
  <c r="V785" i="9" s="1"/>
  <c r="T784" i="9"/>
  <c r="T785" i="9" s="1"/>
  <c r="W784" i="9"/>
  <c r="W785" i="9" s="1"/>
  <c r="W776" i="9"/>
  <c r="T776" i="9"/>
  <c r="U776" i="9"/>
  <c r="V776" i="9"/>
  <c r="V765" i="9"/>
  <c r="V766" i="9" s="1"/>
  <c r="T765" i="9"/>
  <c r="U765" i="9"/>
  <c r="U766" i="9" s="1"/>
  <c r="W765" i="9"/>
  <c r="W766" i="9" s="1"/>
  <c r="U764" i="9"/>
  <c r="V764" i="9"/>
  <c r="W764" i="9"/>
  <c r="T764" i="9"/>
  <c r="J760" i="9"/>
  <c r="AD748" i="9"/>
  <c r="O748" i="9"/>
  <c r="Q748" i="9"/>
  <c r="R748" i="9"/>
  <c r="P748" i="9"/>
  <c r="J741" i="9"/>
  <c r="K728" i="9"/>
  <c r="AE720" i="9"/>
  <c r="AD720" i="9"/>
  <c r="AA715" i="9"/>
  <c r="Z715" i="9"/>
  <c r="AB715" i="9"/>
  <c r="Y715" i="9"/>
  <c r="AC715" i="9"/>
  <c r="AC709" i="9"/>
  <c r="AB709" i="9"/>
  <c r="Y709" i="9"/>
  <c r="Y711" i="9" s="1"/>
  <c r="Z709" i="9"/>
  <c r="AA709" i="9"/>
  <c r="J711" i="9"/>
  <c r="J704" i="9"/>
  <c r="AC703" i="9"/>
  <c r="AC704" i="9" s="1"/>
  <c r="Y703" i="9"/>
  <c r="Y704" i="9" s="1"/>
  <c r="Z703" i="9"/>
  <c r="Z704" i="9" s="1"/>
  <c r="AB703" i="9"/>
  <c r="AB704" i="9" s="1"/>
  <c r="AA703" i="9"/>
  <c r="AA704" i="9" s="1"/>
  <c r="AF692" i="9"/>
  <c r="I694" i="9"/>
  <c r="AF694" i="9" s="1"/>
  <c r="AF687" i="9"/>
  <c r="I689" i="9"/>
  <c r="J682" i="9"/>
  <c r="AA681" i="9"/>
  <c r="AA682" i="9" s="1"/>
  <c r="AB681" i="9"/>
  <c r="AB682" i="9" s="1"/>
  <c r="AC681" i="9"/>
  <c r="AC682" i="9" s="1"/>
  <c r="Z681" i="9"/>
  <c r="Z682" i="9" s="1"/>
  <c r="Y681" i="9"/>
  <c r="Y682" i="9" s="1"/>
  <c r="AE670" i="9"/>
  <c r="AD670" i="9"/>
  <c r="AE643" i="9"/>
  <c r="AD643" i="9"/>
  <c r="AF637" i="9"/>
  <c r="I639" i="9"/>
  <c r="AF639" i="9" s="1"/>
  <c r="AF632" i="9"/>
  <c r="I634" i="9"/>
  <c r="AF634" i="9" s="1"/>
  <c r="AE628" i="9"/>
  <c r="AD628" i="9"/>
  <c r="AE622" i="9"/>
  <c r="AD622" i="9"/>
  <c r="H624" i="9"/>
  <c r="J614" i="9"/>
  <c r="AC602" i="9"/>
  <c r="AC604" i="9" s="1"/>
  <c r="AB602" i="9"/>
  <c r="AA602" i="9"/>
  <c r="J604" i="9"/>
  <c r="AA597" i="9"/>
  <c r="AC597" i="9"/>
  <c r="Y597" i="9"/>
  <c r="AB597" i="9"/>
  <c r="Z597" i="9"/>
  <c r="Z599" i="9" s="1"/>
  <c r="AE588" i="9"/>
  <c r="AD588" i="9"/>
  <c r="AE582" i="9"/>
  <c r="AD582" i="9"/>
  <c r="H584" i="9"/>
  <c r="AD577" i="9"/>
  <c r="AE577" i="9"/>
  <c r="H579" i="9"/>
  <c r="AD532" i="9"/>
  <c r="AE532" i="9"/>
  <c r="H533" i="9"/>
  <c r="I529" i="9"/>
  <c r="U528" i="9"/>
  <c r="U529" i="9" s="1"/>
  <c r="T528" i="9"/>
  <c r="T529" i="9" s="1"/>
  <c r="W528" i="9"/>
  <c r="W529" i="9" s="1"/>
  <c r="V528" i="9"/>
  <c r="V529" i="9" s="1"/>
  <c r="U523" i="9"/>
  <c r="V523" i="9"/>
  <c r="W523" i="9"/>
  <c r="T523" i="9"/>
  <c r="H516" i="9"/>
  <c r="AD515" i="9"/>
  <c r="AE515" i="9"/>
  <c r="J512" i="9"/>
  <c r="AG512" i="9" s="1"/>
  <c r="AG511" i="9"/>
  <c r="AF490" i="9"/>
  <c r="I495" i="9"/>
  <c r="I497" i="9" s="1"/>
  <c r="AF497" i="9" s="1"/>
  <c r="Q484" i="9"/>
  <c r="R484" i="9"/>
  <c r="O484" i="9"/>
  <c r="P484" i="9"/>
  <c r="AD484" i="9"/>
  <c r="K478" i="9"/>
  <c r="AD460" i="9"/>
  <c r="P460" i="9"/>
  <c r="O460" i="9"/>
  <c r="R460" i="9"/>
  <c r="Q460" i="9"/>
  <c r="L455" i="9"/>
  <c r="L457" i="9" s="1"/>
  <c r="AD452" i="9"/>
  <c r="Q452" i="9"/>
  <c r="P452" i="9"/>
  <c r="R452" i="9"/>
  <c r="O452" i="9"/>
  <c r="H455" i="9"/>
  <c r="K427" i="9"/>
  <c r="K457" i="9" s="1"/>
  <c r="P369" i="9"/>
  <c r="P370" i="9" s="1"/>
  <c r="Q369" i="9"/>
  <c r="Q370" i="9" s="1"/>
  <c r="O369" i="9"/>
  <c r="O370" i="9" s="1"/>
  <c r="R369" i="9"/>
  <c r="R370" i="9" s="1"/>
  <c r="H370" i="9"/>
  <c r="AD369" i="9"/>
  <c r="R359" i="9"/>
  <c r="P359" i="9"/>
  <c r="O359" i="9"/>
  <c r="Q359" i="9"/>
  <c r="AD359" i="9"/>
  <c r="H361" i="9"/>
  <c r="L350" i="9"/>
  <c r="J340" i="9"/>
  <c r="AG340" i="9" s="1"/>
  <c r="AG339" i="9"/>
  <c r="AG331" i="9"/>
  <c r="J332" i="9"/>
  <c r="AG332" i="9" s="1"/>
  <c r="R327" i="9"/>
  <c r="R328" i="9" s="1"/>
  <c r="AD327" i="9"/>
  <c r="P327" i="9"/>
  <c r="P328" i="9" s="1"/>
  <c r="O327" i="9"/>
  <c r="Q327" i="9"/>
  <c r="Q328" i="9" s="1"/>
  <c r="H328" i="9"/>
  <c r="Q269" i="9"/>
  <c r="AD269" i="9"/>
  <c r="P269" i="9"/>
  <c r="O269" i="9"/>
  <c r="AE269" i="9" s="1"/>
  <c r="R269" i="9"/>
  <c r="K210" i="9"/>
  <c r="Q258" i="9"/>
  <c r="O258" i="9"/>
  <c r="R258" i="9"/>
  <c r="P258" i="9"/>
  <c r="AD258" i="9"/>
  <c r="AE258" i="9"/>
  <c r="AG392" i="9"/>
  <c r="J394" i="9"/>
  <c r="AG394" i="9" s="1"/>
  <c r="T189" i="9"/>
  <c r="U189" i="9"/>
  <c r="V189" i="9"/>
  <c r="W189" i="9"/>
  <c r="Q163" i="9"/>
  <c r="P163" i="9"/>
  <c r="R163" i="9"/>
  <c r="O163" i="9"/>
  <c r="AD163" i="9"/>
  <c r="Q128" i="9"/>
  <c r="P128" i="9"/>
  <c r="R128" i="9"/>
  <c r="AD128" i="9"/>
  <c r="O128" i="9"/>
  <c r="AE128" i="9" s="1"/>
  <c r="J389" i="9"/>
  <c r="AG389" i="9" s="1"/>
  <c r="AG387" i="9"/>
  <c r="R295" i="9"/>
  <c r="P295" i="9"/>
  <c r="O295" i="9"/>
  <c r="Q295" i="9"/>
  <c r="AD295" i="9"/>
  <c r="AF267" i="9"/>
  <c r="I270" i="9"/>
  <c r="AF270" i="9" s="1"/>
  <c r="J190" i="9"/>
  <c r="J197" i="9"/>
  <c r="AF284" i="9"/>
  <c r="I286" i="9"/>
  <c r="AF286" i="9" s="1"/>
  <c r="J185" i="9"/>
  <c r="K275" i="9"/>
  <c r="Q238" i="9"/>
  <c r="AE238" i="9" s="1"/>
  <c r="O238" i="9"/>
  <c r="R238" i="9"/>
  <c r="P238" i="9"/>
  <c r="AD238" i="9"/>
  <c r="W204" i="9"/>
  <c r="W210" i="9" s="1"/>
  <c r="I210" i="9"/>
  <c r="T204" i="9"/>
  <c r="V204" i="9"/>
  <c r="V210" i="9" s="1"/>
  <c r="U204" i="9"/>
  <c r="U210" i="9" s="1"/>
  <c r="T167" i="9"/>
  <c r="I172" i="9"/>
  <c r="W167" i="9"/>
  <c r="U167" i="9"/>
  <c r="V167" i="9"/>
  <c r="AD306" i="9"/>
  <c r="H307" i="9"/>
  <c r="P306" i="9"/>
  <c r="P307" i="9" s="1"/>
  <c r="Q306" i="9"/>
  <c r="Q307" i="9" s="1"/>
  <c r="O306" i="9"/>
  <c r="O307" i="9" s="1"/>
  <c r="R306" i="9"/>
  <c r="R307" i="9" s="1"/>
  <c r="J286" i="9"/>
  <c r="AG286" i="9" s="1"/>
  <c r="AG284" i="9"/>
  <c r="O171" i="9"/>
  <c r="P171" i="9"/>
  <c r="AE171" i="9" s="1"/>
  <c r="Q171" i="9"/>
  <c r="R171" i="9"/>
  <c r="AD171" i="9"/>
  <c r="L147" i="9"/>
  <c r="L174" i="9" s="1"/>
  <c r="L14" i="9" s="1"/>
  <c r="K296" i="9"/>
  <c r="P263" i="9"/>
  <c r="R263" i="9"/>
  <c r="Q263" i="9"/>
  <c r="O263" i="9"/>
  <c r="AD263" i="9"/>
  <c r="U160" i="9"/>
  <c r="T160" i="9"/>
  <c r="V160" i="9"/>
  <c r="I164" i="9"/>
  <c r="W160" i="9"/>
  <c r="R387" i="9"/>
  <c r="R389" i="9" s="1"/>
  <c r="H389" i="9"/>
  <c r="O387" i="9"/>
  <c r="O389" i="9" s="1"/>
  <c r="P387" i="9"/>
  <c r="P389" i="9" s="1"/>
  <c r="Q387" i="9"/>
  <c r="Q389" i="9" s="1"/>
  <c r="AD387" i="9"/>
  <c r="O193" i="9"/>
  <c r="O194" i="9" s="1"/>
  <c r="P193" i="9"/>
  <c r="P194" i="9" s="1"/>
  <c r="Q193" i="9"/>
  <c r="Q194" i="9" s="1"/>
  <c r="R193" i="9"/>
  <c r="R194" i="9" s="1"/>
  <c r="H194" i="9"/>
  <c r="AD193" i="9"/>
  <c r="L399" i="9"/>
  <c r="I252" i="9"/>
  <c r="AF252" i="9" s="1"/>
  <c r="AF250" i="9"/>
  <c r="AD2200" i="9"/>
  <c r="Q2200" i="9"/>
  <c r="R2200" i="9"/>
  <c r="O2200" i="9"/>
  <c r="P2200" i="9"/>
  <c r="T2210" i="9"/>
  <c r="U2210" i="9"/>
  <c r="W2210" i="9"/>
  <c r="V2210" i="9"/>
  <c r="AF2210" i="9"/>
  <c r="T2209" i="9"/>
  <c r="U2209" i="9"/>
  <c r="V2209" i="9"/>
  <c r="W2209" i="9"/>
  <c r="V2202" i="9"/>
  <c r="W2202" i="9"/>
  <c r="T2202" i="9"/>
  <c r="U2202" i="9"/>
  <c r="O2201" i="9"/>
  <c r="P2201" i="9"/>
  <c r="AD2201" i="9"/>
  <c r="R2201" i="9"/>
  <c r="Q2201" i="9"/>
  <c r="V2194" i="9"/>
  <c r="W2194" i="9"/>
  <c r="T2194" i="9"/>
  <c r="U2194" i="9"/>
  <c r="R2193" i="9"/>
  <c r="AD2193" i="9"/>
  <c r="O2193" i="9"/>
  <c r="P2193" i="9"/>
  <c r="Q2193" i="9"/>
  <c r="V2185" i="9"/>
  <c r="T2185" i="9"/>
  <c r="W2185" i="9"/>
  <c r="U2185" i="9"/>
  <c r="R2184" i="9"/>
  <c r="O2184" i="9"/>
  <c r="AD2184" i="9"/>
  <c r="P2184" i="9"/>
  <c r="Q2184" i="9"/>
  <c r="P2177" i="9"/>
  <c r="Q2177" i="9"/>
  <c r="R2177" i="9"/>
  <c r="O2177" i="9"/>
  <c r="AD2177" i="9"/>
  <c r="AD2175" i="9"/>
  <c r="R2175" i="9"/>
  <c r="P2175" i="9"/>
  <c r="O2175" i="9"/>
  <c r="Q2175" i="9"/>
  <c r="H2180" i="9"/>
  <c r="O2158" i="9"/>
  <c r="O2159" i="9" s="1"/>
  <c r="Q2158" i="9"/>
  <c r="Q2159" i="9" s="1"/>
  <c r="P2158" i="9"/>
  <c r="P2159" i="9" s="1"/>
  <c r="H2159" i="9"/>
  <c r="R2158" i="9"/>
  <c r="R2159" i="9" s="1"/>
  <c r="AD2158" i="9"/>
  <c r="H2151" i="9"/>
  <c r="R2150" i="9"/>
  <c r="R2151" i="9" s="1"/>
  <c r="O2150" i="9"/>
  <c r="O2151" i="9" s="1"/>
  <c r="AD2150" i="9"/>
  <c r="Q2150" i="9"/>
  <c r="Q2151" i="9" s="1"/>
  <c r="P2150" i="9"/>
  <c r="P2151" i="9" s="1"/>
  <c r="J2144" i="9"/>
  <c r="AG2144" i="9" s="1"/>
  <c r="AG2143" i="9"/>
  <c r="AD2117" i="9"/>
  <c r="AE2117" i="9"/>
  <c r="H2118" i="9"/>
  <c r="H2086" i="9"/>
  <c r="AE2085" i="9"/>
  <c r="AD2085" i="9"/>
  <c r="AF2081" i="9"/>
  <c r="I2082" i="9"/>
  <c r="AF2082" i="9" s="1"/>
  <c r="AE2073" i="9"/>
  <c r="H2074" i="9"/>
  <c r="AD2073" i="9"/>
  <c r="H2066" i="9"/>
  <c r="AE2065" i="9"/>
  <c r="AD2065" i="9"/>
  <c r="AE2061" i="9"/>
  <c r="H2062" i="9"/>
  <c r="AD2061" i="9"/>
  <c r="W2053" i="9"/>
  <c r="W2054" i="9" s="1"/>
  <c r="T2053" i="9"/>
  <c r="U2053" i="9"/>
  <c r="U2054" i="9" s="1"/>
  <c r="V2053" i="9"/>
  <c r="V2054" i="9" s="1"/>
  <c r="K2046" i="9"/>
  <c r="K2048" i="9" s="1"/>
  <c r="AD2040" i="9"/>
  <c r="O2040" i="9"/>
  <c r="O2041" i="9" s="1"/>
  <c r="P2040" i="9"/>
  <c r="R2040" i="9"/>
  <c r="Q2040" i="9"/>
  <c r="R2036" i="9"/>
  <c r="O2036" i="9"/>
  <c r="P2036" i="9"/>
  <c r="Q2036" i="9"/>
  <c r="AD2036" i="9"/>
  <c r="H2041" i="9"/>
  <c r="L2025" i="9"/>
  <c r="P2018" i="9"/>
  <c r="Q2018" i="9"/>
  <c r="R2018" i="9"/>
  <c r="O2018" i="9"/>
  <c r="O2019" i="9" s="1"/>
  <c r="AD2018" i="9"/>
  <c r="R2016" i="9"/>
  <c r="P2016" i="9"/>
  <c r="O2016" i="9"/>
  <c r="Q2016" i="9"/>
  <c r="AD2016" i="9"/>
  <c r="AD2004" i="9"/>
  <c r="Q2004" i="9"/>
  <c r="O2004" i="9"/>
  <c r="P2004" i="9"/>
  <c r="AE2004" i="9" s="1"/>
  <c r="R2004" i="9"/>
  <c r="R1999" i="9"/>
  <c r="O1999" i="9"/>
  <c r="P1999" i="9"/>
  <c r="Q1999" i="9"/>
  <c r="AD1999" i="9"/>
  <c r="H2007" i="9"/>
  <c r="W1989" i="9"/>
  <c r="V1989" i="9"/>
  <c r="T1989" i="9"/>
  <c r="U1989" i="9"/>
  <c r="T1987" i="9"/>
  <c r="W1987" i="9"/>
  <c r="V1987" i="9"/>
  <c r="U1987" i="9"/>
  <c r="J1994" i="9"/>
  <c r="V1980" i="9"/>
  <c r="V1981" i="9" s="1"/>
  <c r="T1980" i="9"/>
  <c r="W1980" i="9"/>
  <c r="W1981" i="9" s="1"/>
  <c r="U1980" i="9"/>
  <c r="U1981" i="9" s="1"/>
  <c r="O1961" i="9"/>
  <c r="P1961" i="9"/>
  <c r="Q1961" i="9"/>
  <c r="AD1961" i="9"/>
  <c r="R1961" i="9"/>
  <c r="T1951" i="9"/>
  <c r="U1951" i="9"/>
  <c r="W1951" i="9"/>
  <c r="V1951" i="9"/>
  <c r="AA1950" i="9"/>
  <c r="AC1950" i="9"/>
  <c r="AB1950" i="9"/>
  <c r="Z1950" i="9"/>
  <c r="Y1950" i="9"/>
  <c r="R1948" i="9"/>
  <c r="Q1948" i="9"/>
  <c r="P1948" i="9"/>
  <c r="AD1948" i="9"/>
  <c r="O1948" i="9"/>
  <c r="AD1945" i="9"/>
  <c r="O1945" i="9"/>
  <c r="R1945" i="9"/>
  <c r="P1945" i="9"/>
  <c r="Q1945" i="9"/>
  <c r="AD1944" i="9"/>
  <c r="O1944" i="9"/>
  <c r="Q1944" i="9"/>
  <c r="P1944" i="9"/>
  <c r="R1944" i="9"/>
  <c r="K1940" i="9"/>
  <c r="K54" i="9" s="1"/>
  <c r="AD1938" i="9"/>
  <c r="P1938" i="9"/>
  <c r="Q1938" i="9"/>
  <c r="O1938" i="9"/>
  <c r="R1938" i="9"/>
  <c r="J1940" i="9"/>
  <c r="AC1928" i="9"/>
  <c r="Y1928" i="9"/>
  <c r="Z1928" i="9"/>
  <c r="AA1928" i="9"/>
  <c r="AB1928" i="9"/>
  <c r="R1927" i="9"/>
  <c r="O1927" i="9"/>
  <c r="P1927" i="9"/>
  <c r="AD1927" i="9"/>
  <c r="Q1927" i="9"/>
  <c r="O1919" i="9"/>
  <c r="O1921" i="9" s="1"/>
  <c r="AD1919" i="9"/>
  <c r="P1919" i="9"/>
  <c r="R1919" i="9"/>
  <c r="Q1919" i="9"/>
  <c r="AE1919" i="9" s="1"/>
  <c r="AD1911" i="9"/>
  <c r="Q1911" i="9"/>
  <c r="Q1912" i="9" s="1"/>
  <c r="R1911" i="9"/>
  <c r="R1912" i="9" s="1"/>
  <c r="H1912" i="9"/>
  <c r="O1911" i="9"/>
  <c r="O1912" i="9" s="1"/>
  <c r="P1911" i="9"/>
  <c r="P1912" i="9" s="1"/>
  <c r="I1903" i="9"/>
  <c r="V1902" i="9"/>
  <c r="V1903" i="9" s="1"/>
  <c r="T1902" i="9"/>
  <c r="U1902" i="9"/>
  <c r="U1903" i="9" s="1"/>
  <c r="W1902" i="9"/>
  <c r="W1903" i="9" s="1"/>
  <c r="J1903" i="9"/>
  <c r="AD1879" i="9"/>
  <c r="O1879" i="9"/>
  <c r="O1881" i="9" s="1"/>
  <c r="P1879" i="9"/>
  <c r="P1881" i="9" s="1"/>
  <c r="Q1879" i="9"/>
  <c r="H1881" i="9"/>
  <c r="R1879" i="9"/>
  <c r="J1876" i="9"/>
  <c r="L1871" i="9"/>
  <c r="L1883" i="9" s="1"/>
  <c r="W1855" i="9"/>
  <c r="T1855" i="9"/>
  <c r="U1855" i="9"/>
  <c r="V1855" i="9"/>
  <c r="Q1852" i="9"/>
  <c r="O1852" i="9"/>
  <c r="R1852" i="9"/>
  <c r="P1852" i="9"/>
  <c r="AD1852" i="9"/>
  <c r="P1851" i="9"/>
  <c r="R1851" i="9"/>
  <c r="AD1851" i="9"/>
  <c r="O1851" i="9"/>
  <c r="Q1851" i="9"/>
  <c r="J1838" i="9"/>
  <c r="U1823" i="9"/>
  <c r="V1823" i="9"/>
  <c r="T1823" i="9"/>
  <c r="W1823" i="9"/>
  <c r="Q1822" i="9"/>
  <c r="R1822" i="9"/>
  <c r="O1822" i="9"/>
  <c r="AD1822" i="9"/>
  <c r="P1822" i="9"/>
  <c r="T1820" i="9"/>
  <c r="U1820" i="9"/>
  <c r="V1820" i="9"/>
  <c r="W1820" i="9"/>
  <c r="I1827" i="9"/>
  <c r="R1815" i="9"/>
  <c r="AD1815" i="9"/>
  <c r="O1815" i="9"/>
  <c r="P1815" i="9"/>
  <c r="Q1815" i="9"/>
  <c r="U1812" i="9"/>
  <c r="V1812" i="9"/>
  <c r="W1812" i="9"/>
  <c r="T1812" i="9"/>
  <c r="H1807" i="9"/>
  <c r="O1805" i="9"/>
  <c r="O1807" i="9" s="1"/>
  <c r="P1805" i="9"/>
  <c r="P1807" i="9" s="1"/>
  <c r="Q1805" i="9"/>
  <c r="Q1807" i="9" s="1"/>
  <c r="AD1805" i="9"/>
  <c r="R1805" i="9"/>
  <c r="R1807" i="9" s="1"/>
  <c r="K1797" i="9"/>
  <c r="K1809" i="9" s="1"/>
  <c r="K40" i="9" s="1"/>
  <c r="V1794" i="9"/>
  <c r="W1794" i="9"/>
  <c r="T1794" i="9"/>
  <c r="U1794" i="9"/>
  <c r="W1793" i="9"/>
  <c r="V1793" i="9"/>
  <c r="T1793" i="9"/>
  <c r="AF1793" i="9" s="1"/>
  <c r="U1793" i="9"/>
  <c r="T1790" i="9"/>
  <c r="W1790" i="9"/>
  <c r="U1790" i="9"/>
  <c r="V1790" i="9"/>
  <c r="P1788" i="9"/>
  <c r="Q1788" i="9"/>
  <c r="AD1788" i="9"/>
  <c r="R1788" i="9"/>
  <c r="O1788" i="9"/>
  <c r="T1786" i="9"/>
  <c r="V1786" i="9"/>
  <c r="U1786" i="9"/>
  <c r="W1786" i="9"/>
  <c r="V1785" i="9"/>
  <c r="W1785" i="9"/>
  <c r="T1785" i="9"/>
  <c r="U1785" i="9"/>
  <c r="K1781" i="9"/>
  <c r="K39" i="9" s="1"/>
  <c r="W1774" i="9"/>
  <c r="W1775" i="9" s="1"/>
  <c r="I1775" i="9"/>
  <c r="T1774" i="9"/>
  <c r="T1775" i="9" s="1"/>
  <c r="U1774" i="9"/>
  <c r="U1775" i="9" s="1"/>
  <c r="V1774" i="9"/>
  <c r="R1766" i="9"/>
  <c r="R1767" i="9" s="1"/>
  <c r="H1767" i="9"/>
  <c r="O1766" i="9"/>
  <c r="O1767" i="9" s="1"/>
  <c r="P1766" i="9"/>
  <c r="P1767" i="9" s="1"/>
  <c r="AD1766" i="9"/>
  <c r="Q1766" i="9"/>
  <c r="Q1767" i="9" s="1"/>
  <c r="T1761" i="9"/>
  <c r="V1761" i="9"/>
  <c r="W1761" i="9"/>
  <c r="U1761" i="9"/>
  <c r="J1763" i="9"/>
  <c r="T1750" i="9"/>
  <c r="U1750" i="9"/>
  <c r="V1750" i="9"/>
  <c r="W1750" i="9"/>
  <c r="I1755" i="9"/>
  <c r="R1745" i="9"/>
  <c r="AD1745" i="9"/>
  <c r="O1745" i="9"/>
  <c r="P1745" i="9"/>
  <c r="Q1745" i="9"/>
  <c r="K1740" i="9"/>
  <c r="L36" i="9"/>
  <c r="P1725" i="9"/>
  <c r="P1726" i="9" s="1"/>
  <c r="Q1725" i="9"/>
  <c r="Q1726" i="9" s="1"/>
  <c r="O1725" i="9"/>
  <c r="O1726" i="9" s="1"/>
  <c r="R1725" i="9"/>
  <c r="R1726" i="9" s="1"/>
  <c r="AD1725" i="9"/>
  <c r="U1723" i="9"/>
  <c r="V1723" i="9"/>
  <c r="T1723" i="9"/>
  <c r="W1723" i="9"/>
  <c r="AD1719" i="9"/>
  <c r="R1719" i="9"/>
  <c r="R1720" i="9" s="1"/>
  <c r="R34" i="9" s="1"/>
  <c r="O1719" i="9"/>
  <c r="O1720" i="9" s="1"/>
  <c r="O34" i="9" s="1"/>
  <c r="Q1719" i="9"/>
  <c r="Q1720" i="9" s="1"/>
  <c r="Q34" i="9" s="1"/>
  <c r="P1719" i="9"/>
  <c r="K1696" i="9"/>
  <c r="K1708" i="9" s="1"/>
  <c r="Y1693" i="9"/>
  <c r="AC1693" i="9"/>
  <c r="Z1693" i="9"/>
  <c r="AA1693" i="9"/>
  <c r="AB1693" i="9"/>
  <c r="T1677" i="9"/>
  <c r="U1677" i="9"/>
  <c r="U1678" i="9" s="1"/>
  <c r="V1677" i="9"/>
  <c r="V1678" i="9" s="1"/>
  <c r="W1677" i="9"/>
  <c r="W1678" i="9" s="1"/>
  <c r="I1670" i="9"/>
  <c r="U1669" i="9"/>
  <c r="V1669" i="9"/>
  <c r="W1669" i="9"/>
  <c r="W1670" i="9" s="1"/>
  <c r="T1669" i="9"/>
  <c r="T1670" i="9" s="1"/>
  <c r="V1666" i="9"/>
  <c r="U1666" i="9"/>
  <c r="W1666" i="9"/>
  <c r="T1666" i="9"/>
  <c r="AF1666" i="9" s="1"/>
  <c r="H1662" i="9"/>
  <c r="Q1661" i="9"/>
  <c r="Q1662" i="9" s="1"/>
  <c r="R1661" i="9"/>
  <c r="R1662" i="9" s="1"/>
  <c r="AD1661" i="9"/>
  <c r="O1661" i="9"/>
  <c r="O1662" i="9" s="1"/>
  <c r="P1661" i="9"/>
  <c r="P1662" i="9" s="1"/>
  <c r="Y1658" i="9"/>
  <c r="Z1658" i="9"/>
  <c r="AA1658" i="9"/>
  <c r="AB1658" i="9"/>
  <c r="AC1658" i="9"/>
  <c r="W1656" i="9"/>
  <c r="T1656" i="9"/>
  <c r="T1662" i="9" s="1"/>
  <c r="U1656" i="9"/>
  <c r="AF1656" i="9" s="1"/>
  <c r="V1656" i="9"/>
  <c r="I1662" i="9"/>
  <c r="K1643" i="9"/>
  <c r="K1645" i="9" s="1"/>
  <c r="J1636" i="9"/>
  <c r="I1629" i="9"/>
  <c r="V1627" i="9"/>
  <c r="W1627" i="9"/>
  <c r="T1627" i="9"/>
  <c r="U1627" i="9"/>
  <c r="T1626" i="9"/>
  <c r="V1626" i="9"/>
  <c r="U1626" i="9"/>
  <c r="W1626" i="9"/>
  <c r="AD1620" i="9"/>
  <c r="Q1620" i="9"/>
  <c r="R1620" i="9"/>
  <c r="O1620" i="9"/>
  <c r="P1620" i="9"/>
  <c r="AD1615" i="9"/>
  <c r="P1615" i="9"/>
  <c r="O1615" i="9"/>
  <c r="Q1615" i="9"/>
  <c r="R1615" i="9"/>
  <c r="H1623" i="9"/>
  <c r="V1605" i="9"/>
  <c r="W1605" i="9"/>
  <c r="T1605" i="9"/>
  <c r="U1605" i="9"/>
  <c r="H1600" i="9"/>
  <c r="AD1599" i="9"/>
  <c r="R1599" i="9"/>
  <c r="R1600" i="9" s="1"/>
  <c r="O1599" i="9"/>
  <c r="O1600" i="9" s="1"/>
  <c r="Q1599" i="9"/>
  <c r="Q1600" i="9" s="1"/>
  <c r="P1599" i="9"/>
  <c r="P1600" i="9" s="1"/>
  <c r="V1588" i="9"/>
  <c r="V1589" i="9" s="1"/>
  <c r="W1588" i="9"/>
  <c r="W1589" i="9" s="1"/>
  <c r="T1588" i="9"/>
  <c r="U1588" i="9"/>
  <c r="U1589" i="9" s="1"/>
  <c r="O1585" i="9"/>
  <c r="P1585" i="9"/>
  <c r="Q1585" i="9"/>
  <c r="AD1585" i="9"/>
  <c r="R1585" i="9"/>
  <c r="Q1582" i="9"/>
  <c r="R1582" i="9"/>
  <c r="P1582" i="9"/>
  <c r="AD1582" i="9"/>
  <c r="O1582" i="9"/>
  <c r="J1567" i="9"/>
  <c r="T1565" i="9"/>
  <c r="U1565" i="9"/>
  <c r="V1565" i="9"/>
  <c r="W1565" i="9"/>
  <c r="T1563" i="9"/>
  <c r="U1563" i="9"/>
  <c r="V1563" i="9"/>
  <c r="W1563" i="9"/>
  <c r="L1558" i="9"/>
  <c r="W1555" i="9"/>
  <c r="T1555" i="9"/>
  <c r="U1555" i="9"/>
  <c r="V1555" i="9"/>
  <c r="AB1552" i="9"/>
  <c r="AA1552" i="9"/>
  <c r="AC1552" i="9"/>
  <c r="Y1552" i="9"/>
  <c r="Z1552" i="9"/>
  <c r="O1550" i="9"/>
  <c r="P1550" i="9"/>
  <c r="Q1550" i="9"/>
  <c r="R1550" i="9"/>
  <c r="AD1550" i="9"/>
  <c r="J1558" i="9"/>
  <c r="P1544" i="9"/>
  <c r="Q1544" i="9"/>
  <c r="AD1544" i="9"/>
  <c r="R1544" i="9"/>
  <c r="O1544" i="9"/>
  <c r="O1541" i="9"/>
  <c r="P1541" i="9"/>
  <c r="R1541" i="9"/>
  <c r="AD1541" i="9"/>
  <c r="Q1541" i="9"/>
  <c r="Q1539" i="9"/>
  <c r="R1539" i="9"/>
  <c r="AD1539" i="9"/>
  <c r="O1539" i="9"/>
  <c r="P1539" i="9"/>
  <c r="U1538" i="9"/>
  <c r="V1538" i="9"/>
  <c r="W1538" i="9"/>
  <c r="T1538" i="9"/>
  <c r="T1532" i="9"/>
  <c r="U1532" i="9"/>
  <c r="W1532" i="9"/>
  <c r="V1532" i="9"/>
  <c r="V1530" i="9"/>
  <c r="W1530" i="9"/>
  <c r="U1530" i="9"/>
  <c r="T1530" i="9"/>
  <c r="T1527" i="9"/>
  <c r="U1527" i="9"/>
  <c r="W1527" i="9"/>
  <c r="V1527" i="9"/>
  <c r="I1534" i="9"/>
  <c r="T1522" i="9"/>
  <c r="U1522" i="9"/>
  <c r="V1522" i="9"/>
  <c r="W1522" i="9"/>
  <c r="V1521" i="9"/>
  <c r="T1521" i="9"/>
  <c r="W1521" i="9"/>
  <c r="U1521" i="9"/>
  <c r="I1509" i="9"/>
  <c r="AF1509" i="9" s="1"/>
  <c r="AF1508" i="9"/>
  <c r="I1477" i="9"/>
  <c r="AF1477" i="9" s="1"/>
  <c r="AF1476" i="9"/>
  <c r="AD1472" i="9"/>
  <c r="H1473" i="9"/>
  <c r="AE1472" i="9"/>
  <c r="J1461" i="9"/>
  <c r="AA1460" i="9"/>
  <c r="AA1461" i="9" s="1"/>
  <c r="AB1460" i="9"/>
  <c r="AB1461" i="9" s="1"/>
  <c r="AC1460" i="9"/>
  <c r="AC1461" i="9" s="1"/>
  <c r="K1443" i="9"/>
  <c r="AE1435" i="9"/>
  <c r="AD1435" i="9"/>
  <c r="V1416" i="9"/>
  <c r="T1416" i="9"/>
  <c r="U1416" i="9"/>
  <c r="W1416" i="9"/>
  <c r="I1419" i="9"/>
  <c r="AE1411" i="9"/>
  <c r="AD1411" i="9"/>
  <c r="U1405" i="9"/>
  <c r="V1405" i="9"/>
  <c r="W1405" i="9"/>
  <c r="T1405" i="9"/>
  <c r="AG1404" i="9"/>
  <c r="J1407" i="9"/>
  <c r="AG1407" i="9" s="1"/>
  <c r="AD1391" i="9"/>
  <c r="AE1391" i="9"/>
  <c r="H1394" i="9"/>
  <c r="AG1377" i="9"/>
  <c r="J1379" i="9"/>
  <c r="AD1372" i="9"/>
  <c r="P1372" i="9"/>
  <c r="Q1372" i="9"/>
  <c r="R1372" i="9"/>
  <c r="O1372" i="9"/>
  <c r="R1371" i="9"/>
  <c r="AD1371" i="9"/>
  <c r="Q1371" i="9"/>
  <c r="O1371" i="9"/>
  <c r="AE1371" i="9" s="1"/>
  <c r="P1371" i="9"/>
  <c r="AD1360" i="9"/>
  <c r="O1360" i="9"/>
  <c r="O1361" i="9" s="1"/>
  <c r="Q1360" i="9"/>
  <c r="Q1361" i="9" s="1"/>
  <c r="R1360" i="9"/>
  <c r="R1361" i="9" s="1"/>
  <c r="P1360" i="9"/>
  <c r="P1361" i="9" s="1"/>
  <c r="Q1351" i="9"/>
  <c r="P1351" i="9"/>
  <c r="R1351" i="9"/>
  <c r="AD1351" i="9"/>
  <c r="O1351" i="9"/>
  <c r="R1346" i="9"/>
  <c r="R1347" i="9" s="1"/>
  <c r="O1346" i="9"/>
  <c r="O1347" i="9" s="1"/>
  <c r="P1346" i="9"/>
  <c r="P1347" i="9" s="1"/>
  <c r="Q1346" i="9"/>
  <c r="Q1347" i="9" s="1"/>
  <c r="AD1346" i="9"/>
  <c r="AG1337" i="9"/>
  <c r="J1341" i="9"/>
  <c r="AG1341" i="9" s="1"/>
  <c r="K1312" i="9"/>
  <c r="K1328" i="9" s="1"/>
  <c r="R1309" i="9"/>
  <c r="O1309" i="9"/>
  <c r="P1309" i="9"/>
  <c r="Q1309" i="9"/>
  <c r="AD1309" i="9"/>
  <c r="AF1308" i="9"/>
  <c r="I1312" i="9"/>
  <c r="AF1312" i="9" s="1"/>
  <c r="Q1302" i="9"/>
  <c r="O1302" i="9"/>
  <c r="P1302" i="9"/>
  <c r="R1302" i="9"/>
  <c r="AD1302" i="9"/>
  <c r="R1294" i="9"/>
  <c r="R1298" i="9" s="1"/>
  <c r="AD1294" i="9"/>
  <c r="Q1294" i="9"/>
  <c r="O1294" i="9"/>
  <c r="P1294" i="9"/>
  <c r="H1298" i="9"/>
  <c r="L1284" i="9"/>
  <c r="O1280" i="9"/>
  <c r="P1280" i="9"/>
  <c r="P1284" i="9" s="1"/>
  <c r="Q1280" i="9"/>
  <c r="AD1280" i="9"/>
  <c r="R1280" i="9"/>
  <c r="H1284" i="9"/>
  <c r="AD1284" i="9" s="1"/>
  <c r="AG1266" i="9"/>
  <c r="J1267" i="9"/>
  <c r="AG1267" i="9" s="1"/>
  <c r="AG1245" i="9"/>
  <c r="J1246" i="9"/>
  <c r="AG1246" i="9" s="1"/>
  <c r="AF1241" i="9"/>
  <c r="I1242" i="9"/>
  <c r="Q1227" i="9"/>
  <c r="R1227" i="9"/>
  <c r="AD1227" i="9"/>
  <c r="O1227" i="9"/>
  <c r="P1227" i="9"/>
  <c r="P1206" i="9"/>
  <c r="AD1206" i="9"/>
  <c r="R1206" i="9"/>
  <c r="O1206" i="9"/>
  <c r="Q1206" i="9"/>
  <c r="K1202" i="9"/>
  <c r="AG1198" i="9"/>
  <c r="J1202" i="9"/>
  <c r="AG1202" i="9" s="1"/>
  <c r="AD1192" i="9"/>
  <c r="O1192" i="9"/>
  <c r="P1192" i="9"/>
  <c r="Q1192" i="9"/>
  <c r="R1192" i="9"/>
  <c r="AG1190" i="9"/>
  <c r="J1195" i="9"/>
  <c r="O1145" i="9"/>
  <c r="P1145" i="9"/>
  <c r="R1145" i="9"/>
  <c r="AD1145" i="9"/>
  <c r="Q1145" i="9"/>
  <c r="U1133" i="9"/>
  <c r="W1133" i="9"/>
  <c r="V1133" i="9"/>
  <c r="T1133" i="9"/>
  <c r="T1127" i="9"/>
  <c r="W1127" i="9"/>
  <c r="U1127" i="9"/>
  <c r="V1127" i="9"/>
  <c r="AD1125" i="9"/>
  <c r="P1125" i="9"/>
  <c r="Q1125" i="9"/>
  <c r="AE1125" i="9" s="1"/>
  <c r="O1125" i="9"/>
  <c r="R1125" i="9"/>
  <c r="T1119" i="9"/>
  <c r="U1119" i="9"/>
  <c r="V1119" i="9"/>
  <c r="W1119" i="9"/>
  <c r="L1105" i="9"/>
  <c r="AB1100" i="9"/>
  <c r="R1095" i="9"/>
  <c r="O1095" i="9"/>
  <c r="Q1095" i="9"/>
  <c r="AD1095" i="9"/>
  <c r="P1095" i="9"/>
  <c r="L1088" i="9"/>
  <c r="O1085" i="9"/>
  <c r="P1085" i="9"/>
  <c r="AD1085" i="9"/>
  <c r="Q1085" i="9"/>
  <c r="R1085" i="9"/>
  <c r="V1084" i="9"/>
  <c r="T1084" i="9"/>
  <c r="W1084" i="9"/>
  <c r="U1084" i="9"/>
  <c r="J1088" i="9"/>
  <c r="AD1078" i="9"/>
  <c r="Q1078" i="9"/>
  <c r="R1078" i="9"/>
  <c r="P1078" i="9"/>
  <c r="O1078" i="9"/>
  <c r="T1074" i="9"/>
  <c r="U1074" i="9"/>
  <c r="V1074" i="9"/>
  <c r="W1074" i="9"/>
  <c r="AF1074" i="9" s="1"/>
  <c r="P1073" i="9"/>
  <c r="Q1073" i="9"/>
  <c r="R1073" i="9"/>
  <c r="AD1073" i="9"/>
  <c r="O1073" i="9"/>
  <c r="AD1058" i="9"/>
  <c r="O1058" i="9"/>
  <c r="R1058" i="9"/>
  <c r="Q1058" i="9"/>
  <c r="P1058" i="9"/>
  <c r="U1057" i="9"/>
  <c r="V1057" i="9"/>
  <c r="W1057" i="9"/>
  <c r="T1057" i="9"/>
  <c r="P1052" i="9"/>
  <c r="AD1052" i="9"/>
  <c r="R1052" i="9"/>
  <c r="O1052" i="9"/>
  <c r="AE1052" i="9" s="1"/>
  <c r="Q1052" i="9"/>
  <c r="AD1048" i="9"/>
  <c r="P1048" i="9"/>
  <c r="Q1048" i="9"/>
  <c r="R1048" i="9"/>
  <c r="O1048" i="9"/>
  <c r="W1046" i="9"/>
  <c r="U1046" i="9"/>
  <c r="V1046" i="9"/>
  <c r="T1046" i="9"/>
  <c r="V1038" i="9"/>
  <c r="W1038" i="9"/>
  <c r="T1038" i="9"/>
  <c r="AF1038" i="9" s="1"/>
  <c r="U1038" i="9"/>
  <c r="W1037" i="9"/>
  <c r="T1037" i="9"/>
  <c r="V1037" i="9"/>
  <c r="U1037" i="9"/>
  <c r="V1032" i="9"/>
  <c r="V1034" i="9" s="1"/>
  <c r="T1032" i="9"/>
  <c r="U1032" i="9"/>
  <c r="W1032" i="9"/>
  <c r="O1030" i="9"/>
  <c r="R1030" i="9"/>
  <c r="AD1030" i="9"/>
  <c r="P1030" i="9"/>
  <c r="Q1030" i="9"/>
  <c r="T1024" i="9"/>
  <c r="W1024" i="9"/>
  <c r="U1024" i="9"/>
  <c r="V1024" i="9"/>
  <c r="J1034" i="9"/>
  <c r="V1004" i="9"/>
  <c r="T1004" i="9"/>
  <c r="U1004" i="9"/>
  <c r="AF1004" i="9" s="1"/>
  <c r="W1004" i="9"/>
  <c r="P990" i="9"/>
  <c r="P991" i="9" s="1"/>
  <c r="R990" i="9"/>
  <c r="R991" i="9" s="1"/>
  <c r="AD990" i="9"/>
  <c r="Q990" i="9"/>
  <c r="Q991" i="9" s="1"/>
  <c r="H991" i="9"/>
  <c r="O990" i="9"/>
  <c r="O991" i="9" s="1"/>
  <c r="W976" i="9"/>
  <c r="W977" i="9" s="1"/>
  <c r="I977" i="9"/>
  <c r="T976" i="9"/>
  <c r="T977" i="9" s="1"/>
  <c r="U976" i="9"/>
  <c r="U977" i="9" s="1"/>
  <c r="V976" i="9"/>
  <c r="V977" i="9" s="1"/>
  <c r="J966" i="9"/>
  <c r="Q954" i="9"/>
  <c r="R954" i="9"/>
  <c r="AD954" i="9"/>
  <c r="P954" i="9"/>
  <c r="O954" i="9"/>
  <c r="T949" i="9"/>
  <c r="U949" i="9"/>
  <c r="W949" i="9"/>
  <c r="V949" i="9"/>
  <c r="O941" i="9"/>
  <c r="P941" i="9"/>
  <c r="Q941" i="9"/>
  <c r="AD941" i="9"/>
  <c r="R941" i="9"/>
  <c r="P938" i="9"/>
  <c r="R938" i="9"/>
  <c r="O938" i="9"/>
  <c r="AD938" i="9"/>
  <c r="Q938" i="9"/>
  <c r="H934" i="9"/>
  <c r="P933" i="9"/>
  <c r="P934" i="9" s="1"/>
  <c r="Q933" i="9"/>
  <c r="O933" i="9"/>
  <c r="AD933" i="9"/>
  <c r="R933" i="9"/>
  <c r="Q932" i="9"/>
  <c r="R932" i="9"/>
  <c r="AD932" i="9"/>
  <c r="O932" i="9"/>
  <c r="AE932" i="9" s="1"/>
  <c r="P932" i="9"/>
  <c r="Q930" i="9"/>
  <c r="O930" i="9"/>
  <c r="AE930" i="9" s="1"/>
  <c r="AD930" i="9"/>
  <c r="P930" i="9"/>
  <c r="R930" i="9"/>
  <c r="K920" i="9"/>
  <c r="U908" i="9"/>
  <c r="U909" i="9" s="1"/>
  <c r="W908" i="9"/>
  <c r="W909" i="9" s="1"/>
  <c r="T908" i="9"/>
  <c r="T909" i="9" s="1"/>
  <c r="V908" i="9"/>
  <c r="V909" i="9" s="1"/>
  <c r="O905" i="9"/>
  <c r="AD905" i="9"/>
  <c r="P905" i="9"/>
  <c r="Q905" i="9"/>
  <c r="R905" i="9"/>
  <c r="V894" i="9"/>
  <c r="V895" i="9" s="1"/>
  <c r="I895" i="9"/>
  <c r="T894" i="9"/>
  <c r="T895" i="9" s="1"/>
  <c r="U894" i="9"/>
  <c r="U895" i="9" s="1"/>
  <c r="W894" i="9"/>
  <c r="W895" i="9" s="1"/>
  <c r="Y889" i="9"/>
  <c r="Z889" i="9"/>
  <c r="AB889" i="9"/>
  <c r="AC889" i="9"/>
  <c r="AA889" i="9"/>
  <c r="H880" i="9"/>
  <c r="AD879" i="9"/>
  <c r="R879" i="9"/>
  <c r="O879" i="9"/>
  <c r="O880" i="9" s="1"/>
  <c r="P879" i="9"/>
  <c r="Q879" i="9"/>
  <c r="Q880" i="9" s="1"/>
  <c r="AF878" i="9"/>
  <c r="I880" i="9"/>
  <c r="AF880" i="9" s="1"/>
  <c r="AF870" i="9"/>
  <c r="I871" i="9"/>
  <c r="AF871" i="9" s="1"/>
  <c r="V865" i="9"/>
  <c r="W865" i="9"/>
  <c r="T865" i="9"/>
  <c r="U865" i="9"/>
  <c r="V864" i="9"/>
  <c r="W864" i="9"/>
  <c r="T864" i="9"/>
  <c r="U864" i="9"/>
  <c r="O861" i="9"/>
  <c r="P861" i="9"/>
  <c r="AD861" i="9"/>
  <c r="Q861" i="9"/>
  <c r="R861" i="9"/>
  <c r="AD859" i="9"/>
  <c r="O859" i="9"/>
  <c r="AE859" i="9" s="1"/>
  <c r="P859" i="9"/>
  <c r="R859" i="9"/>
  <c r="Q859" i="9"/>
  <c r="L855" i="9"/>
  <c r="AA853" i="9"/>
  <c r="AB853" i="9"/>
  <c r="AC853" i="9"/>
  <c r="AC842" i="9"/>
  <c r="AA842" i="9"/>
  <c r="AB842" i="9"/>
  <c r="V837" i="9"/>
  <c r="T837" i="9"/>
  <c r="U837" i="9"/>
  <c r="W837" i="9"/>
  <c r="V835" i="9"/>
  <c r="W835" i="9"/>
  <c r="T835" i="9"/>
  <c r="U835" i="9"/>
  <c r="I838" i="9"/>
  <c r="L832" i="9"/>
  <c r="AF828" i="9"/>
  <c r="I832" i="9"/>
  <c r="AF832" i="9" s="1"/>
  <c r="Q823" i="9"/>
  <c r="AD823" i="9"/>
  <c r="O823" i="9"/>
  <c r="P823" i="9"/>
  <c r="R823" i="9"/>
  <c r="AG817" i="9"/>
  <c r="J818" i="9"/>
  <c r="AG818" i="9" s="1"/>
  <c r="O801" i="9"/>
  <c r="O802" i="9" s="1"/>
  <c r="P801" i="9"/>
  <c r="P802" i="9" s="1"/>
  <c r="Q801" i="9"/>
  <c r="Q802" i="9" s="1"/>
  <c r="R801" i="9"/>
  <c r="R802" i="9" s="1"/>
  <c r="AD801" i="9"/>
  <c r="V799" i="9"/>
  <c r="T799" i="9"/>
  <c r="U799" i="9"/>
  <c r="W799" i="9"/>
  <c r="I802" i="9"/>
  <c r="H796" i="9"/>
  <c r="AD795" i="9"/>
  <c r="O795" i="9"/>
  <c r="O796" i="9" s="1"/>
  <c r="Q795" i="9"/>
  <c r="Q796" i="9" s="1"/>
  <c r="R795" i="9"/>
  <c r="R796" i="9" s="1"/>
  <c r="P795" i="9"/>
  <c r="P796" i="9" s="1"/>
  <c r="L791" i="9"/>
  <c r="AA789" i="9"/>
  <c r="AC789" i="9"/>
  <c r="Y789" i="9"/>
  <c r="AB789" i="9"/>
  <c r="Z789" i="9"/>
  <c r="H785" i="9"/>
  <c r="AD784" i="9"/>
  <c r="P784" i="9"/>
  <c r="P785" i="9" s="1"/>
  <c r="R784" i="9"/>
  <c r="R785" i="9" s="1"/>
  <c r="O784" i="9"/>
  <c r="O785" i="9" s="1"/>
  <c r="Q784" i="9"/>
  <c r="Q785" i="9" s="1"/>
  <c r="O777" i="9"/>
  <c r="P777" i="9"/>
  <c r="P778" i="9" s="1"/>
  <c r="R777" i="9"/>
  <c r="Q777" i="9"/>
  <c r="AD777" i="9"/>
  <c r="AD776" i="9"/>
  <c r="R776" i="9"/>
  <c r="P776" i="9"/>
  <c r="Q776" i="9"/>
  <c r="O776" i="9"/>
  <c r="AC774" i="9"/>
  <c r="Y774" i="9"/>
  <c r="AA774" i="9"/>
  <c r="Z774" i="9"/>
  <c r="AB774" i="9"/>
  <c r="J778" i="9"/>
  <c r="L766" i="9"/>
  <c r="AB763" i="9"/>
  <c r="J766" i="9"/>
  <c r="U759" i="9"/>
  <c r="U760" i="9" s="1"/>
  <c r="I760" i="9"/>
  <c r="W759" i="9"/>
  <c r="W760" i="9" s="1"/>
  <c r="V759" i="9"/>
  <c r="V760" i="9" s="1"/>
  <c r="T759" i="9"/>
  <c r="T760" i="9" s="1"/>
  <c r="U754" i="9"/>
  <c r="V754" i="9"/>
  <c r="W754" i="9"/>
  <c r="T754" i="9"/>
  <c r="AF754" i="9" s="1"/>
  <c r="Z748" i="9"/>
  <c r="AA748" i="9"/>
  <c r="AB748" i="9"/>
  <c r="Y748" i="9"/>
  <c r="AC748" i="9"/>
  <c r="J744" i="9"/>
  <c r="AD738" i="9"/>
  <c r="P738" i="9"/>
  <c r="Q738" i="9"/>
  <c r="R738" i="9"/>
  <c r="O738" i="9"/>
  <c r="L735" i="9"/>
  <c r="L721" i="9"/>
  <c r="Z714" i="9"/>
  <c r="AB714" i="9"/>
  <c r="AA714" i="9"/>
  <c r="AG714" i="9" s="1"/>
  <c r="AC714" i="9"/>
  <c r="Y714" i="9"/>
  <c r="Y716" i="9" s="1"/>
  <c r="J716" i="9"/>
  <c r="AE698" i="9"/>
  <c r="AD698" i="9"/>
  <c r="AE693" i="9"/>
  <c r="AD693" i="9"/>
  <c r="Y692" i="9"/>
  <c r="AA692" i="9"/>
  <c r="AC692" i="9"/>
  <c r="Z692" i="9"/>
  <c r="AB692" i="9"/>
  <c r="J694" i="9"/>
  <c r="AE687" i="9"/>
  <c r="AD687" i="9"/>
  <c r="H689" i="9"/>
  <c r="Z676" i="9"/>
  <c r="Z677" i="9" s="1"/>
  <c r="AA676" i="9"/>
  <c r="AA677" i="9" s="1"/>
  <c r="Y676" i="9"/>
  <c r="Y677" i="9" s="1"/>
  <c r="AC676" i="9"/>
  <c r="AC677" i="9" s="1"/>
  <c r="AB676" i="9"/>
  <c r="AB677" i="9" s="1"/>
  <c r="AF674" i="9"/>
  <c r="I677" i="9"/>
  <c r="AF677" i="9" s="1"/>
  <c r="K666" i="9"/>
  <c r="K661" i="9"/>
  <c r="AE659" i="9"/>
  <c r="AD659" i="9"/>
  <c r="H661" i="9"/>
  <c r="K649" i="9"/>
  <c r="K639" i="9"/>
  <c r="AE632" i="9"/>
  <c r="AD632" i="9"/>
  <c r="H634" i="9"/>
  <c r="J629" i="9"/>
  <c r="Y628" i="9"/>
  <c r="Y629" i="9" s="1"/>
  <c r="AB628" i="9"/>
  <c r="AB629" i="9" s="1"/>
  <c r="AA628" i="9"/>
  <c r="AA629" i="9" s="1"/>
  <c r="AC628" i="9"/>
  <c r="AC629" i="9" s="1"/>
  <c r="Z628" i="9"/>
  <c r="Z629" i="9" s="1"/>
  <c r="AE618" i="9"/>
  <c r="AD618" i="9"/>
  <c r="AD617" i="9"/>
  <c r="AE617" i="9"/>
  <c r="H619" i="9"/>
  <c r="AF612" i="9"/>
  <c r="I614" i="9"/>
  <c r="AF614" i="9" s="1"/>
  <c r="K609" i="9"/>
  <c r="AE603" i="9"/>
  <c r="AD603" i="9"/>
  <c r="AE598" i="9"/>
  <c r="AD598" i="9"/>
  <c r="AF597" i="9"/>
  <c r="I599" i="9"/>
  <c r="AF599" i="9" s="1"/>
  <c r="J589" i="9"/>
  <c r="Z588" i="9"/>
  <c r="Z589" i="9" s="1"/>
  <c r="AC588" i="9"/>
  <c r="AC589" i="9" s="1"/>
  <c r="AA588" i="9"/>
  <c r="AA589" i="9" s="1"/>
  <c r="AB588" i="9"/>
  <c r="AB589" i="9" s="1"/>
  <c r="Y588" i="9"/>
  <c r="Y589" i="9" s="1"/>
  <c r="AE583" i="9"/>
  <c r="AD583" i="9"/>
  <c r="AE578" i="9"/>
  <c r="AD578" i="9"/>
  <c r="AD572" i="9"/>
  <c r="AE572" i="9"/>
  <c r="H574" i="9"/>
  <c r="AE568" i="9"/>
  <c r="AD568" i="9"/>
  <c r="K564" i="9"/>
  <c r="K559" i="9"/>
  <c r="AG552" i="9"/>
  <c r="J553" i="9"/>
  <c r="AG553" i="9" s="1"/>
  <c r="AE544" i="9"/>
  <c r="H545" i="9"/>
  <c r="AD544" i="9"/>
  <c r="AG540" i="9"/>
  <c r="J541" i="9"/>
  <c r="AG541" i="9" s="1"/>
  <c r="AG532" i="9"/>
  <c r="J533" i="9"/>
  <c r="AG533" i="9" s="1"/>
  <c r="I525" i="9"/>
  <c r="U524" i="9"/>
  <c r="V524" i="9"/>
  <c r="V525" i="9" s="1"/>
  <c r="T524" i="9"/>
  <c r="T525" i="9" s="1"/>
  <c r="W524" i="9"/>
  <c r="W525" i="9" s="1"/>
  <c r="J516" i="9"/>
  <c r="AG516" i="9" s="1"/>
  <c r="AG515" i="9"/>
  <c r="AD511" i="9"/>
  <c r="H512" i="9"/>
  <c r="AE511" i="9"/>
  <c r="AE503" i="9"/>
  <c r="AD503" i="9"/>
  <c r="AD494" i="9"/>
  <c r="P494" i="9"/>
  <c r="Q494" i="9"/>
  <c r="Q495" i="9" s="1"/>
  <c r="O494" i="9"/>
  <c r="R494" i="9"/>
  <c r="AD493" i="9"/>
  <c r="Q493" i="9"/>
  <c r="P493" i="9"/>
  <c r="R493" i="9"/>
  <c r="O493" i="9"/>
  <c r="R491" i="9"/>
  <c r="P491" i="9"/>
  <c r="AD491" i="9"/>
  <c r="O491" i="9"/>
  <c r="Q491" i="9"/>
  <c r="AG490" i="9"/>
  <c r="J495" i="9"/>
  <c r="J497" i="9" s="1"/>
  <c r="AG497" i="9" s="1"/>
  <c r="AD482" i="9"/>
  <c r="P482" i="9"/>
  <c r="O482" i="9"/>
  <c r="Q482" i="9"/>
  <c r="R482" i="9"/>
  <c r="L478" i="9"/>
  <c r="AD468" i="9"/>
  <c r="P468" i="9"/>
  <c r="P469" i="9" s="1"/>
  <c r="R468" i="9"/>
  <c r="R469" i="9" s="1"/>
  <c r="O468" i="9"/>
  <c r="O469" i="9" s="1"/>
  <c r="H469" i="9"/>
  <c r="Q468" i="9"/>
  <c r="Q469" i="9" s="1"/>
  <c r="P463" i="9"/>
  <c r="O463" i="9"/>
  <c r="Q463" i="9"/>
  <c r="AD463" i="9"/>
  <c r="R463" i="9"/>
  <c r="AF436" i="9"/>
  <c r="I437" i="9"/>
  <c r="AF437" i="9" s="1"/>
  <c r="AF431" i="9"/>
  <c r="I433" i="9"/>
  <c r="AF433" i="9" s="1"/>
  <c r="AD424" i="9"/>
  <c r="Q424" i="9"/>
  <c r="Q427" i="9" s="1"/>
  <c r="O424" i="9"/>
  <c r="O427" i="9" s="1"/>
  <c r="P424" i="9"/>
  <c r="P427" i="9" s="1"/>
  <c r="R424" i="9"/>
  <c r="R427" i="9" s="1"/>
  <c r="H427" i="9"/>
  <c r="H421" i="9"/>
  <c r="O420" i="9"/>
  <c r="O421" i="9" s="1"/>
  <c r="Q420" i="9"/>
  <c r="Q421" i="9" s="1"/>
  <c r="R420" i="9"/>
  <c r="R421" i="9" s="1"/>
  <c r="AD420" i="9"/>
  <c r="P420" i="9"/>
  <c r="P421" i="9" s="1"/>
  <c r="AF410" i="9"/>
  <c r="I411" i="9"/>
  <c r="I384" i="9"/>
  <c r="AF384" i="9" s="1"/>
  <c r="AF383" i="9"/>
  <c r="L361" i="9"/>
  <c r="AF343" i="9"/>
  <c r="I344" i="9"/>
  <c r="AF344" i="9" s="1"/>
  <c r="P299" i="9"/>
  <c r="P301" i="9" s="1"/>
  <c r="O299" i="9"/>
  <c r="O301" i="9" s="1"/>
  <c r="Q299" i="9"/>
  <c r="Q301" i="9" s="1"/>
  <c r="H301" i="9"/>
  <c r="R299" i="9"/>
  <c r="R301" i="9" s="1"/>
  <c r="AD299" i="9"/>
  <c r="O236" i="9"/>
  <c r="Q236" i="9"/>
  <c r="H247" i="9"/>
  <c r="P236" i="9"/>
  <c r="AD236" i="9"/>
  <c r="R236" i="9"/>
  <c r="T161" i="9"/>
  <c r="V161" i="9"/>
  <c r="U161" i="9"/>
  <c r="W161" i="9"/>
  <c r="V127" i="9"/>
  <c r="V131" i="9" s="1"/>
  <c r="I131" i="9"/>
  <c r="T127" i="9"/>
  <c r="T131" i="9" s="1"/>
  <c r="W127" i="9"/>
  <c r="W131" i="9" s="1"/>
  <c r="U127" i="9"/>
  <c r="U131" i="9" s="1"/>
  <c r="U139" i="9"/>
  <c r="V139" i="9"/>
  <c r="W139" i="9"/>
  <c r="T139" i="9"/>
  <c r="H201" i="9"/>
  <c r="Q200" i="9"/>
  <c r="Q201" i="9" s="1"/>
  <c r="P200" i="9"/>
  <c r="P201" i="9" s="1"/>
  <c r="R200" i="9"/>
  <c r="R201" i="9" s="1"/>
  <c r="O200" i="9"/>
  <c r="O201" i="9" s="1"/>
  <c r="AD200" i="9"/>
  <c r="P237" i="9"/>
  <c r="R237" i="9"/>
  <c r="O237" i="9"/>
  <c r="Q237" i="9"/>
  <c r="AD237" i="9"/>
  <c r="J210" i="9"/>
  <c r="K270" i="9"/>
  <c r="K247" i="9"/>
  <c r="K303" i="9" s="1"/>
  <c r="R355" i="9"/>
  <c r="O355" i="9"/>
  <c r="P355" i="9"/>
  <c r="Q355" i="9"/>
  <c r="AD355" i="9"/>
  <c r="T200" i="9"/>
  <c r="T201" i="9" s="1"/>
  <c r="U200" i="9"/>
  <c r="U201" i="9" s="1"/>
  <c r="I201" i="9"/>
  <c r="V200" i="9"/>
  <c r="V201" i="9" s="1"/>
  <c r="W200" i="9"/>
  <c r="W201" i="9" s="1"/>
  <c r="AF294" i="9"/>
  <c r="I296" i="9"/>
  <c r="AF296" i="9" s="1"/>
  <c r="AD183" i="9"/>
  <c r="Q183" i="9"/>
  <c r="O183" i="9"/>
  <c r="P183" i="9"/>
  <c r="R183" i="9"/>
  <c r="AF354" i="9"/>
  <c r="I356" i="9"/>
  <c r="U170" i="9"/>
  <c r="W170" i="9"/>
  <c r="V170" i="9"/>
  <c r="T170" i="9"/>
  <c r="J301" i="9"/>
  <c r="AG301" i="9" s="1"/>
  <c r="AG299" i="9"/>
  <c r="O268" i="9"/>
  <c r="Q268" i="9"/>
  <c r="P268" i="9"/>
  <c r="AD268" i="9"/>
  <c r="R268" i="9"/>
  <c r="O189" i="9"/>
  <c r="P189" i="9"/>
  <c r="R189" i="9"/>
  <c r="Q189" i="9"/>
  <c r="AD189" i="9"/>
  <c r="AD162" i="9"/>
  <c r="P162" i="9"/>
  <c r="O162" i="9"/>
  <c r="Q162" i="9"/>
  <c r="R162" i="9"/>
  <c r="L131" i="9"/>
  <c r="O135" i="9"/>
  <c r="Q135" i="9"/>
  <c r="R135" i="9"/>
  <c r="P135" i="9"/>
  <c r="AD135" i="9"/>
  <c r="P374" i="9"/>
  <c r="R374" i="9"/>
  <c r="AD374" i="9"/>
  <c r="O374" i="9"/>
  <c r="Q374" i="9"/>
  <c r="K264" i="9"/>
  <c r="W151" i="9"/>
  <c r="T151" i="9"/>
  <c r="V151" i="9"/>
  <c r="U151" i="9"/>
  <c r="L259" i="9"/>
  <c r="J316" i="9"/>
  <c r="AG316" i="9" s="1"/>
  <c r="AG315" i="9"/>
  <c r="W156" i="9"/>
  <c r="I157" i="9"/>
  <c r="U156" i="9"/>
  <c r="U157" i="9" s="1"/>
  <c r="V156" i="9"/>
  <c r="T156" i="9"/>
  <c r="T157" i="9" s="1"/>
  <c r="AG748" i="9" l="1"/>
  <c r="AE938" i="9"/>
  <c r="AE1078" i="9"/>
  <c r="AF1084" i="9"/>
  <c r="AE1745" i="9"/>
  <c r="AF1794" i="9"/>
  <c r="AE1815" i="9"/>
  <c r="AE1822" i="9"/>
  <c r="AE1852" i="9"/>
  <c r="AF2209" i="9"/>
  <c r="AE295" i="9"/>
  <c r="AE1529" i="9"/>
  <c r="AE1833" i="9"/>
  <c r="AE1991" i="9"/>
  <c r="AF2201" i="9"/>
  <c r="AE1556" i="9"/>
  <c r="AE1603" i="9"/>
  <c r="AF1665" i="9"/>
  <c r="AE1790" i="9"/>
  <c r="AG150" i="9"/>
  <c r="AF753" i="9"/>
  <c r="AG776" i="9"/>
  <c r="AG844" i="9"/>
  <c r="AE1595" i="9"/>
  <c r="AF2004" i="9"/>
  <c r="AE2006" i="9"/>
  <c r="AE461" i="9"/>
  <c r="AE841" i="9"/>
  <c r="AE898" i="9"/>
  <c r="AE1046" i="9"/>
  <c r="AF1610" i="9"/>
  <c r="AG845" i="9"/>
  <c r="AE1311" i="9"/>
  <c r="AF1690" i="9"/>
  <c r="AE1855" i="9"/>
  <c r="AG769" i="9"/>
  <c r="AF1789" i="9"/>
  <c r="AE431" i="9"/>
  <c r="AE1294" i="9"/>
  <c r="AG577" i="9"/>
  <c r="AA699" i="9"/>
  <c r="AE1011" i="9"/>
  <c r="AG1102" i="9"/>
  <c r="AF1738" i="9"/>
  <c r="AG642" i="9"/>
  <c r="T796" i="9"/>
  <c r="AF1915" i="9"/>
  <c r="AF1566" i="9"/>
  <c r="AE1571" i="9"/>
  <c r="AE1128" i="9"/>
  <c r="AF1025" i="9"/>
  <c r="AE1221" i="9"/>
  <c r="AE1281" i="9"/>
  <c r="AE1960" i="9"/>
  <c r="AF1685" i="9"/>
  <c r="AF1760" i="9"/>
  <c r="AF1626" i="9"/>
  <c r="AE1945" i="9"/>
  <c r="AF898" i="9"/>
  <c r="AE1065" i="9"/>
  <c r="AE1119" i="9"/>
  <c r="AG1127" i="9"/>
  <c r="AE1618" i="9"/>
  <c r="AE1666" i="9"/>
  <c r="AF181" i="9"/>
  <c r="AE239" i="9"/>
  <c r="AG902" i="9"/>
  <c r="AE1874" i="9"/>
  <c r="AF1950" i="9"/>
  <c r="AE1953" i="9"/>
  <c r="AE2031" i="9"/>
  <c r="AF1011" i="9"/>
  <c r="AE1097" i="9"/>
  <c r="AE1287" i="9"/>
  <c r="AF1598" i="9"/>
  <c r="AF1746" i="9"/>
  <c r="AF1833" i="9"/>
  <c r="AF1850" i="9"/>
  <c r="AE170" i="9"/>
  <c r="AC609" i="9"/>
  <c r="AF800" i="9"/>
  <c r="AE847" i="9"/>
  <c r="AE1367" i="9"/>
  <c r="AF1400" i="9"/>
  <c r="AF1821" i="9"/>
  <c r="AF1949" i="9"/>
  <c r="AF1955" i="9"/>
  <c r="AE1980" i="9"/>
  <c r="AF2139" i="9"/>
  <c r="AE419" i="9"/>
  <c r="AE1027" i="9"/>
  <c r="AE1134" i="9"/>
  <c r="AE1528" i="9"/>
  <c r="AE1572" i="9"/>
  <c r="AE1730" i="9"/>
  <c r="AG1746" i="9"/>
  <c r="AE2169" i="9"/>
  <c r="AF985" i="9"/>
  <c r="AE1577" i="9"/>
  <c r="AF1993" i="9"/>
  <c r="AF774" i="9"/>
  <c r="AF1016" i="9"/>
  <c r="AE1675" i="9"/>
  <c r="AF1022" i="9"/>
  <c r="AF1073" i="9"/>
  <c r="AF1836" i="9"/>
  <c r="AE1358" i="9"/>
  <c r="AE1990" i="9"/>
  <c r="AE374" i="9"/>
  <c r="AE183" i="9"/>
  <c r="K684" i="9"/>
  <c r="AE1192" i="9"/>
  <c r="AE1544" i="9"/>
  <c r="AE1851" i="9"/>
  <c r="AE1927" i="9"/>
  <c r="AE2175" i="9"/>
  <c r="AE2201" i="9"/>
  <c r="AE1062" i="9"/>
  <c r="AE1135" i="9"/>
  <c r="AE1540" i="9"/>
  <c r="AF1051" i="9"/>
  <c r="AE1622" i="9"/>
  <c r="AE207" i="9"/>
  <c r="AF794" i="9"/>
  <c r="AE1040" i="9"/>
  <c r="AF1540" i="9"/>
  <c r="AE1575" i="9"/>
  <c r="AE1972" i="9"/>
  <c r="AE854" i="9"/>
  <c r="AF902" i="9"/>
  <c r="AE1102" i="9"/>
  <c r="AF1129" i="9"/>
  <c r="AE1543" i="9"/>
  <c r="AE1616" i="9"/>
  <c r="AE1786" i="9"/>
  <c r="AE1816" i="9"/>
  <c r="AE2155" i="9"/>
  <c r="AF146" i="9"/>
  <c r="AF1008" i="9"/>
  <c r="AE1042" i="9"/>
  <c r="AF1120" i="9"/>
  <c r="AE1969" i="9"/>
  <c r="AE378" i="9"/>
  <c r="AE453" i="9"/>
  <c r="AG572" i="9"/>
  <c r="AE1193" i="9"/>
  <c r="AE1566" i="9"/>
  <c r="AF1572" i="9"/>
  <c r="AE1642" i="9"/>
  <c r="AE1731" i="9"/>
  <c r="AF1948" i="9"/>
  <c r="AE1992" i="9"/>
  <c r="AF1076" i="9"/>
  <c r="AF1925" i="9"/>
  <c r="AE829" i="9"/>
  <c r="AE1063" i="9"/>
  <c r="AF1134" i="9"/>
  <c r="AE1212" i="9"/>
  <c r="AF1831" i="9"/>
  <c r="AE849" i="9"/>
  <c r="AE1038" i="9"/>
  <c r="AF1694" i="9"/>
  <c r="AE2137" i="9"/>
  <c r="AE1576" i="9"/>
  <c r="AG592" i="9"/>
  <c r="AF1392" i="9"/>
  <c r="AF1586" i="9"/>
  <c r="AE890" i="9"/>
  <c r="AF1832" i="9"/>
  <c r="AE1971" i="9"/>
  <c r="AE1979" i="9"/>
  <c r="O1177" i="9"/>
  <c r="AE1692" i="9"/>
  <c r="AE738" i="9"/>
  <c r="AF799" i="9"/>
  <c r="AF837" i="9"/>
  <c r="AF865" i="9"/>
  <c r="AF1024" i="9"/>
  <c r="AE1145" i="9"/>
  <c r="AE1620" i="9"/>
  <c r="AF1723" i="9"/>
  <c r="AF2202" i="9"/>
  <c r="AF801" i="9"/>
  <c r="AG850" i="9"/>
  <c r="AE948" i="9"/>
  <c r="AE1023" i="9"/>
  <c r="AE1303" i="9"/>
  <c r="AE1357" i="9"/>
  <c r="AF1410" i="9"/>
  <c r="AE1684" i="9"/>
  <c r="AE1717" i="9"/>
  <c r="AE1744" i="9"/>
  <c r="AE1760" i="9"/>
  <c r="AF2177" i="9"/>
  <c r="AG2199" i="9"/>
  <c r="AE379" i="9"/>
  <c r="AF747" i="9"/>
  <c r="AF886" i="9"/>
  <c r="AF986" i="9"/>
  <c r="AE1003" i="9"/>
  <c r="AE1083" i="9"/>
  <c r="AF1100" i="9"/>
  <c r="AF1541" i="9"/>
  <c r="AF1961" i="9"/>
  <c r="AG637" i="9"/>
  <c r="AF1086" i="9"/>
  <c r="AF1556" i="9"/>
  <c r="AF1924" i="9"/>
  <c r="AF2051" i="9"/>
  <c r="AE476" i="9"/>
  <c r="AE763" i="9"/>
  <c r="AE1028" i="9"/>
  <c r="AF1050" i="9"/>
  <c r="AF1059" i="9"/>
  <c r="W1179" i="9"/>
  <c r="AF1435" i="9"/>
  <c r="AG1540" i="9"/>
  <c r="AF1575" i="9"/>
  <c r="AF1716" i="9"/>
  <c r="AE1987" i="9"/>
  <c r="AE2001" i="9"/>
  <c r="AE251" i="9"/>
  <c r="AE477" i="9"/>
  <c r="AE483" i="9"/>
  <c r="AG674" i="9"/>
  <c r="AE1824" i="9"/>
  <c r="AF1937" i="9"/>
  <c r="AE365" i="9"/>
  <c r="AG710" i="9"/>
  <c r="AG719" i="9"/>
  <c r="AE1133" i="9"/>
  <c r="AE1201" i="9"/>
  <c r="AE1596" i="9"/>
  <c r="AF1675" i="9"/>
  <c r="AE1789" i="9"/>
  <c r="AF1926" i="9"/>
  <c r="AF2169" i="9"/>
  <c r="AE2187" i="9"/>
  <c r="AE2194" i="9"/>
  <c r="AF2199" i="9"/>
  <c r="AF1176" i="9"/>
  <c r="AE1226" i="9"/>
  <c r="AE2002" i="9"/>
  <c r="AE1530" i="9"/>
  <c r="AE2209" i="9"/>
  <c r="R1177" i="9"/>
  <c r="AE1332" i="9"/>
  <c r="AE1098" i="9"/>
  <c r="AF1550" i="9"/>
  <c r="AF1596" i="9"/>
  <c r="AG1552" i="9"/>
  <c r="AF2194" i="9"/>
  <c r="AE1554" i="9"/>
  <c r="AE285" i="9"/>
  <c r="AF748" i="9"/>
  <c r="AF1065" i="9"/>
  <c r="AE1703" i="9"/>
  <c r="AF1717" i="9"/>
  <c r="R1876" i="9"/>
  <c r="AF2002" i="9"/>
  <c r="AE2130" i="9"/>
  <c r="AE2199" i="9"/>
  <c r="AE899" i="9"/>
  <c r="AF1056" i="9"/>
  <c r="AF1064" i="9"/>
  <c r="AE1340" i="9"/>
  <c r="AE1350" i="9"/>
  <c r="AF1418" i="9"/>
  <c r="AF1703" i="9"/>
  <c r="AF1830" i="9"/>
  <c r="O2140" i="9"/>
  <c r="AE300" i="9"/>
  <c r="AF1131" i="9"/>
  <c r="AF1423" i="9"/>
  <c r="AE1694" i="9"/>
  <c r="AE127" i="9"/>
  <c r="AE403" i="9"/>
  <c r="AE472" i="9"/>
  <c r="AG702" i="9"/>
  <c r="AE794" i="9"/>
  <c r="AF904" i="9"/>
  <c r="AF1693" i="9"/>
  <c r="AF1715" i="9"/>
  <c r="AG1751" i="9"/>
  <c r="AE1787" i="9"/>
  <c r="AE284" i="9"/>
  <c r="AE393" i="9"/>
  <c r="AE246" i="9"/>
  <c r="AE151" i="9"/>
  <c r="AE426" i="9"/>
  <c r="AE447" i="9"/>
  <c r="AF503" i="9"/>
  <c r="AE788" i="9"/>
  <c r="AE862" i="9"/>
  <c r="AE889" i="9"/>
  <c r="AF938" i="9"/>
  <c r="AE951" i="9"/>
  <c r="AE1621" i="9"/>
  <c r="AF951" i="9"/>
  <c r="AF1616" i="9"/>
  <c r="AF1739" i="9"/>
  <c r="AF1791" i="9"/>
  <c r="AE908" i="9"/>
  <c r="AG774" i="9"/>
  <c r="AE777" i="9"/>
  <c r="AE941" i="9"/>
  <c r="AF1119" i="9"/>
  <c r="AF1532" i="9"/>
  <c r="AE1585" i="9"/>
  <c r="AE1615" i="9"/>
  <c r="AG597" i="9"/>
  <c r="AF937" i="9"/>
  <c r="AF941" i="9"/>
  <c r="AE1006" i="9"/>
  <c r="AF1533" i="9"/>
  <c r="AE1549" i="9"/>
  <c r="AF1927" i="9"/>
  <c r="AE1984" i="9"/>
  <c r="AF183" i="9"/>
  <c r="AE139" i="9"/>
  <c r="AE485" i="9"/>
  <c r="AF1026" i="9"/>
  <c r="AF221" i="9"/>
  <c r="AF182" i="9"/>
  <c r="AE440" i="9"/>
  <c r="AE454" i="9"/>
  <c r="AE822" i="9"/>
  <c r="AF1047" i="9"/>
  <c r="AF1102" i="9"/>
  <c r="AF1117" i="9"/>
  <c r="AE1129" i="9"/>
  <c r="AF1440" i="9"/>
  <c r="AF1520" i="9"/>
  <c r="AF1592" i="9"/>
  <c r="AE1724" i="9"/>
  <c r="AF1920" i="9"/>
  <c r="AF2003" i="9"/>
  <c r="AE2124" i="9"/>
  <c r="AF169" i="9"/>
  <c r="AF899" i="9"/>
  <c r="AF933" i="9"/>
  <c r="AE1077" i="9"/>
  <c r="AF1126" i="9"/>
  <c r="AF1609" i="9"/>
  <c r="AE1659" i="9"/>
  <c r="AF1729" i="9"/>
  <c r="AF1824" i="9"/>
  <c r="AF1856" i="9"/>
  <c r="AE1924" i="9"/>
  <c r="AE1056" i="9"/>
  <c r="AF1116" i="9"/>
  <c r="AF1397" i="9"/>
  <c r="AF1608" i="9"/>
  <c r="AE1619" i="9"/>
  <c r="AF1668" i="9"/>
  <c r="AE129" i="9"/>
  <c r="AE851" i="9"/>
  <c r="AE1574" i="9"/>
  <c r="AF1667" i="9"/>
  <c r="AF1743" i="9"/>
  <c r="AF1834" i="9"/>
  <c r="AE1112" i="9"/>
  <c r="AG693" i="9"/>
  <c r="AG843" i="9"/>
  <c r="AE1315" i="9"/>
  <c r="AF161" i="9"/>
  <c r="AE463" i="9"/>
  <c r="AE491" i="9"/>
  <c r="U525" i="9"/>
  <c r="AG789" i="9"/>
  <c r="AE861" i="9"/>
  <c r="R880" i="9"/>
  <c r="AE1058" i="9"/>
  <c r="AF1820" i="9"/>
  <c r="AE1948" i="9"/>
  <c r="AE1999" i="9"/>
  <c r="AE2200" i="9"/>
  <c r="AE163" i="9"/>
  <c r="AE800" i="9"/>
  <c r="AE845" i="9"/>
  <c r="AF858" i="9"/>
  <c r="Q918" i="9"/>
  <c r="AF1048" i="9"/>
  <c r="AE1111" i="9"/>
  <c r="AF1446" i="9"/>
  <c r="AE1635" i="9"/>
  <c r="AF1704" i="9"/>
  <c r="AE1746" i="9"/>
  <c r="AF1788" i="9"/>
  <c r="AE1795" i="9"/>
  <c r="AF1956" i="9"/>
  <c r="AF1986" i="9"/>
  <c r="AF2193" i="9"/>
  <c r="AF2197" i="9"/>
  <c r="AE206" i="9"/>
  <c r="AE740" i="9"/>
  <c r="AF1009" i="9"/>
  <c r="AF1015" i="9"/>
  <c r="AE1086" i="9"/>
  <c r="AF1430" i="9"/>
  <c r="AE1593" i="9"/>
  <c r="AF1854" i="9"/>
  <c r="AF1975" i="9"/>
  <c r="AF1988" i="9"/>
  <c r="AF1999" i="9"/>
  <c r="AE2045" i="9"/>
  <c r="AF163" i="9"/>
  <c r="AF208" i="9"/>
  <c r="AG847" i="9"/>
  <c r="AE886" i="9"/>
  <c r="AF932" i="9"/>
  <c r="AF1031" i="9"/>
  <c r="AE1060" i="9"/>
  <c r="AE1273" i="9"/>
  <c r="AF1434" i="9"/>
  <c r="AF1582" i="9"/>
  <c r="AE1689" i="9"/>
  <c r="AF1985" i="9"/>
  <c r="AF1990" i="9"/>
  <c r="AE2013" i="9"/>
  <c r="AF2176" i="9"/>
  <c r="AA671" i="9"/>
  <c r="AG688" i="9"/>
  <c r="AE769" i="9"/>
  <c r="AF916" i="9"/>
  <c r="AE972" i="9"/>
  <c r="AF1115" i="9"/>
  <c r="AE1668" i="9"/>
  <c r="AF1682" i="9"/>
  <c r="AG1745" i="9"/>
  <c r="AF1938" i="9"/>
  <c r="AE1968" i="9"/>
  <c r="AF2130" i="9"/>
  <c r="AE398" i="9"/>
  <c r="AG733" i="9"/>
  <c r="AF755" i="9"/>
  <c r="AG851" i="9"/>
  <c r="AF862" i="9"/>
  <c r="AF901" i="9"/>
  <c r="AE931" i="9"/>
  <c r="AF1013" i="9"/>
  <c r="AE1093" i="9"/>
  <c r="AE1704" i="9"/>
  <c r="AE2127" i="9"/>
  <c r="AF2155" i="9"/>
  <c r="AF152" i="9"/>
  <c r="AE810" i="9"/>
  <c r="AF887" i="9"/>
  <c r="AF1017" i="9"/>
  <c r="AF1067" i="9"/>
  <c r="AE1301" i="9"/>
  <c r="AE1339" i="9"/>
  <c r="AF1391" i="9"/>
  <c r="AF1705" i="9"/>
  <c r="AE1754" i="9"/>
  <c r="AF1852" i="9"/>
  <c r="AE1951" i="9"/>
  <c r="AF2000" i="9"/>
  <c r="AE2003" i="9"/>
  <c r="AE2195" i="9"/>
  <c r="AF732" i="9"/>
  <c r="AG848" i="9"/>
  <c r="AE1583" i="9"/>
  <c r="AF1684" i="9"/>
  <c r="AE1834" i="9"/>
  <c r="AE1854" i="9"/>
  <c r="AE1954" i="9"/>
  <c r="AE1103" i="9"/>
  <c r="AF1615" i="9"/>
  <c r="AF1714" i="9"/>
  <c r="AE2039" i="9"/>
  <c r="AE1520" i="9"/>
  <c r="AG578" i="9"/>
  <c r="AE1658" i="9"/>
  <c r="AE1976" i="9"/>
  <c r="AE912" i="9"/>
  <c r="AE1538" i="9"/>
  <c r="AF1718" i="9"/>
  <c r="AE824" i="9"/>
  <c r="AE1004" i="9"/>
  <c r="AE1061" i="9"/>
  <c r="AE1213" i="9"/>
  <c r="AF1574" i="9"/>
  <c r="AE1961" i="9"/>
  <c r="AF170" i="9"/>
  <c r="AG692" i="9"/>
  <c r="AE823" i="9"/>
  <c r="AF835" i="9"/>
  <c r="AE905" i="9"/>
  <c r="AF1127" i="9"/>
  <c r="AE1302" i="9"/>
  <c r="AE1541" i="9"/>
  <c r="AE1599" i="9"/>
  <c r="AF1605" i="9"/>
  <c r="AF1951" i="9"/>
  <c r="AF1989" i="9"/>
  <c r="AE2040" i="9"/>
  <c r="AE263" i="9"/>
  <c r="AF764" i="9"/>
  <c r="AE916" i="9"/>
  <c r="AE1009" i="9"/>
  <c r="AF1082" i="9"/>
  <c r="AE1100" i="9"/>
  <c r="AF1130" i="9"/>
  <c r="AE1289" i="9"/>
  <c r="AE1791" i="9"/>
  <c r="AF1851" i="9"/>
  <c r="AE1889" i="9"/>
  <c r="AF1946" i="9"/>
  <c r="AE2154" i="9"/>
  <c r="AF217" i="9"/>
  <c r="AF128" i="9"/>
  <c r="AG687" i="9"/>
  <c r="AG764" i="9"/>
  <c r="AE858" i="9"/>
  <c r="AF903" i="9"/>
  <c r="AE984" i="9"/>
  <c r="AE1337" i="9"/>
  <c r="AF1571" i="9"/>
  <c r="AE1592" i="9"/>
  <c r="AE1604" i="9"/>
  <c r="AF1620" i="9"/>
  <c r="AE1762" i="9"/>
  <c r="AE1848" i="9"/>
  <c r="AF1936" i="9"/>
  <c r="AF2195" i="9"/>
  <c r="AE262" i="9"/>
  <c r="AE205" i="9"/>
  <c r="AG593" i="9"/>
  <c r="AF740" i="9"/>
  <c r="AG800" i="9"/>
  <c r="AE953" i="9"/>
  <c r="AE1191" i="9"/>
  <c r="AE1214" i="9"/>
  <c r="AF1543" i="9"/>
  <c r="AE1609" i="9"/>
  <c r="AF1683" i="9"/>
  <c r="AE1792" i="9"/>
  <c r="AF2132" i="9"/>
  <c r="AE231" i="9"/>
  <c r="AE209" i="9"/>
  <c r="AF145" i="9"/>
  <c r="AG664" i="9"/>
  <c r="AE733" i="9"/>
  <c r="AE937" i="9"/>
  <c r="AF1003" i="9"/>
  <c r="AF1010" i="9"/>
  <c r="AF1078" i="9"/>
  <c r="AE1521" i="9"/>
  <c r="AF1542" i="9"/>
  <c r="AE1564" i="9"/>
  <c r="AE150" i="9"/>
  <c r="AE446" i="9"/>
  <c r="AF502" i="9"/>
  <c r="AE939" i="9"/>
  <c r="AF1104" i="9"/>
  <c r="AE1317" i="9"/>
  <c r="AF1622" i="9"/>
  <c r="AF1657" i="9"/>
  <c r="AF1680" i="9"/>
  <c r="AE1716" i="9"/>
  <c r="AE1973" i="9"/>
  <c r="AE2044" i="9"/>
  <c r="AE2126" i="9"/>
  <c r="AE290" i="9"/>
  <c r="AF129" i="9"/>
  <c r="AE146" i="9"/>
  <c r="AE289" i="9"/>
  <c r="AF769" i="9"/>
  <c r="AF1028" i="9"/>
  <c r="AE1229" i="9"/>
  <c r="AE1324" i="9"/>
  <c r="AF1585" i="9"/>
  <c r="AF1619" i="9"/>
  <c r="AF1661" i="9"/>
  <c r="AF1745" i="9"/>
  <c r="AF1778" i="9"/>
  <c r="AE1821" i="9"/>
  <c r="AE2138" i="9"/>
  <c r="AE1190" i="9"/>
  <c r="AE1366" i="9"/>
  <c r="AE1681" i="9"/>
  <c r="AG1753" i="9"/>
  <c r="AE812" i="9"/>
  <c r="AF1593" i="9"/>
  <c r="AE1012" i="9"/>
  <c r="AF954" i="9"/>
  <c r="AE1338" i="9"/>
  <c r="AF156" i="9"/>
  <c r="AE135" i="9"/>
  <c r="AE268" i="9"/>
  <c r="AE237" i="9"/>
  <c r="AE482" i="9"/>
  <c r="AE795" i="9"/>
  <c r="AE954" i="9"/>
  <c r="AE1372" i="9"/>
  <c r="AF1823" i="9"/>
  <c r="AF1855" i="9"/>
  <c r="AE1938" i="9"/>
  <c r="AE2016" i="9"/>
  <c r="R2041" i="9"/>
  <c r="AE2184" i="9"/>
  <c r="AE2193" i="9"/>
  <c r="AG681" i="9"/>
  <c r="AF984" i="9"/>
  <c r="AF1029" i="9"/>
  <c r="AE1116" i="9"/>
  <c r="AF1544" i="9"/>
  <c r="AE1551" i="9"/>
  <c r="AE1606" i="9"/>
  <c r="AE1738" i="9"/>
  <c r="AF1762" i="9"/>
  <c r="AE1970" i="9"/>
  <c r="AF2005" i="9"/>
  <c r="AE464" i="9"/>
  <c r="AC699" i="9"/>
  <c r="AE753" i="9"/>
  <c r="AF1043" i="9"/>
  <c r="AE1094" i="9"/>
  <c r="AF1551" i="9"/>
  <c r="AF1692" i="9"/>
  <c r="AE1750" i="9"/>
  <c r="AF1784" i="9"/>
  <c r="AE1793" i="9"/>
  <c r="AE1893" i="9"/>
  <c r="AE1926" i="9"/>
  <c r="AE1985" i="9"/>
  <c r="AE2125" i="9"/>
  <c r="AF2159" i="9"/>
  <c r="AE354" i="9"/>
  <c r="AF135" i="9"/>
  <c r="AF549" i="9"/>
  <c r="AG568" i="9"/>
  <c r="AG659" i="9"/>
  <c r="V796" i="9"/>
  <c r="AE885" i="9"/>
  <c r="AF905" i="9"/>
  <c r="AE1044" i="9"/>
  <c r="AF1092" i="9"/>
  <c r="AE1178" i="9"/>
  <c r="AE1584" i="9"/>
  <c r="AF1835" i="9"/>
  <c r="AE1868" i="9"/>
  <c r="AE1974" i="9"/>
  <c r="AF2127" i="9"/>
  <c r="AE130" i="9"/>
  <c r="AE830" i="9"/>
  <c r="AE863" i="9"/>
  <c r="AF952" i="9"/>
  <c r="AE1051" i="9"/>
  <c r="AF1094" i="9"/>
  <c r="AE1296" i="9"/>
  <c r="AF1545" i="9"/>
  <c r="AF1587" i="9"/>
  <c r="AE1597" i="9"/>
  <c r="AE1605" i="9"/>
  <c r="AE1657" i="9"/>
  <c r="AE1691" i="9"/>
  <c r="AE1715" i="9"/>
  <c r="AF1724" i="9"/>
  <c r="AF1730" i="9"/>
  <c r="AF1945" i="9"/>
  <c r="AE2014" i="9"/>
  <c r="AF2126" i="9"/>
  <c r="AF544" i="9"/>
  <c r="AG647" i="9"/>
  <c r="AE764" i="9"/>
  <c r="AE887" i="9"/>
  <c r="AE1199" i="9"/>
  <c r="AG1480" i="9"/>
  <c r="AE2029" i="9"/>
  <c r="AE2147" i="9"/>
  <c r="AE240" i="9"/>
  <c r="AE388" i="9"/>
  <c r="AE743" i="9"/>
  <c r="AG846" i="9"/>
  <c r="AG854" i="9"/>
  <c r="AE952" i="9"/>
  <c r="AE1101" i="9"/>
  <c r="AE1522" i="9"/>
  <c r="AE1537" i="9"/>
  <c r="AE1555" i="9"/>
  <c r="AF1564" i="9"/>
  <c r="AF1597" i="9"/>
  <c r="AF1607" i="9"/>
  <c r="AG2098" i="9"/>
  <c r="AF2131" i="9"/>
  <c r="AG862" i="9"/>
  <c r="AE2197" i="9"/>
  <c r="AE799" i="9"/>
  <c r="AF1060" i="9"/>
  <c r="AF1393" i="9"/>
  <c r="AF1007" i="9"/>
  <c r="AG567" i="9"/>
  <c r="AE1082" i="9"/>
  <c r="AE1542" i="9"/>
  <c r="AF2196" i="9"/>
  <c r="AF2125" i="9"/>
  <c r="AF733" i="9"/>
  <c r="AE1975" i="9"/>
  <c r="AE2131" i="9"/>
  <c r="AF889" i="9"/>
  <c r="AE1234" i="9"/>
  <c r="AE189" i="9"/>
  <c r="AE355" i="9"/>
  <c r="AF139" i="9"/>
  <c r="AE493" i="9"/>
  <c r="AE785" i="9"/>
  <c r="W838" i="9"/>
  <c r="AF1527" i="9"/>
  <c r="AF1563" i="9"/>
  <c r="AF1790" i="9"/>
  <c r="AE1944" i="9"/>
  <c r="AG1950" i="9"/>
  <c r="P2041" i="9"/>
  <c r="AE2177" i="9"/>
  <c r="AF189" i="9"/>
  <c r="AF776" i="9"/>
  <c r="AF888" i="9"/>
  <c r="AE1015" i="9"/>
  <c r="AE1132" i="9"/>
  <c r="AE1220" i="9"/>
  <c r="AE1323" i="9"/>
  <c r="AF1599" i="9"/>
  <c r="AE1660" i="9"/>
  <c r="AF1681" i="9"/>
  <c r="AE1814" i="9"/>
  <c r="AF1848" i="9"/>
  <c r="AE1988" i="9"/>
  <c r="AF2192" i="9"/>
  <c r="AE2205" i="9"/>
  <c r="P442" i="9"/>
  <c r="AF775" i="9"/>
  <c r="AE811" i="9"/>
  <c r="AE900" i="9"/>
  <c r="AF1006" i="9"/>
  <c r="AE1018" i="9"/>
  <c r="AF1062" i="9"/>
  <c r="AF1110" i="9"/>
  <c r="AF1552" i="9"/>
  <c r="AF1744" i="9"/>
  <c r="AE1830" i="9"/>
  <c r="AF1849" i="9"/>
  <c r="AE1978" i="9"/>
  <c r="AF1991" i="9"/>
  <c r="AF2006" i="9"/>
  <c r="AF2198" i="9"/>
  <c r="AE152" i="9"/>
  <c r="AE167" i="9"/>
  <c r="AF739" i="9"/>
  <c r="AE775" i="9"/>
  <c r="AE783" i="9"/>
  <c r="AF789" i="9"/>
  <c r="AF866" i="9"/>
  <c r="AE929" i="9"/>
  <c r="AF1075" i="9"/>
  <c r="AE1091" i="9"/>
  <c r="AE1176" i="9"/>
  <c r="AF1604" i="9"/>
  <c r="AE1608" i="9"/>
  <c r="AF1825" i="9"/>
  <c r="AE1856" i="9"/>
  <c r="AF2052" i="9"/>
  <c r="AE278" i="9"/>
  <c r="AE184" i="9"/>
  <c r="AE448" i="9"/>
  <c r="AG739" i="9"/>
  <c r="AG852" i="9"/>
  <c r="AE1008" i="9"/>
  <c r="AE1282" i="9"/>
  <c r="AE1310" i="9"/>
  <c r="AE1365" i="9"/>
  <c r="AE1676" i="9"/>
  <c r="AE1683" i="9"/>
  <c r="AF1689" i="9"/>
  <c r="AE1932" i="9"/>
  <c r="AF162" i="9"/>
  <c r="AE475" i="9"/>
  <c r="AG622" i="9"/>
  <c r="AF1041" i="9"/>
  <c r="AE1131" i="9"/>
  <c r="AF1145" i="9"/>
  <c r="AE1352" i="9"/>
  <c r="AF1603" i="9"/>
  <c r="AF1815" i="9"/>
  <c r="AE1966" i="9"/>
  <c r="AF1971" i="9"/>
  <c r="AE2005" i="9"/>
  <c r="AE2037" i="9"/>
  <c r="AE2186" i="9"/>
  <c r="AE310" i="9"/>
  <c r="AG775" i="9"/>
  <c r="AF1063" i="9"/>
  <c r="AF1583" i="9"/>
  <c r="AE1588" i="9"/>
  <c r="AF1618" i="9"/>
  <c r="AF1695" i="9"/>
  <c r="AE1718" i="9"/>
  <c r="AF1796" i="9"/>
  <c r="AF1874" i="9"/>
  <c r="AF1970" i="9"/>
  <c r="AF1973" i="9"/>
  <c r="AE1989" i="9"/>
  <c r="AG2086" i="9"/>
  <c r="AF2205" i="9"/>
  <c r="AF1953" i="9"/>
  <c r="AF1577" i="9"/>
  <c r="AF2187" i="9"/>
  <c r="AF1422" i="9"/>
  <c r="AE1723" i="9"/>
  <c r="AF777" i="9"/>
  <c r="AE1043" i="9"/>
  <c r="AF788" i="9"/>
  <c r="AF1085" i="9"/>
  <c r="AF188" i="9"/>
  <c r="AE949" i="9"/>
  <c r="AF1040" i="9"/>
  <c r="AF151" i="9"/>
  <c r="AF949" i="9"/>
  <c r="AF976" i="9"/>
  <c r="AF1046" i="9"/>
  <c r="AF1057" i="9"/>
  <c r="AF1522" i="9"/>
  <c r="U1629" i="9"/>
  <c r="AG1693" i="9"/>
  <c r="AF1785" i="9"/>
  <c r="AF1812" i="9"/>
  <c r="AF1987" i="9"/>
  <c r="AE2158" i="9"/>
  <c r="AF2185" i="9"/>
  <c r="AE359" i="9"/>
  <c r="AE484" i="9"/>
  <c r="AG715" i="9"/>
  <c r="AE748" i="9"/>
  <c r="AE843" i="9"/>
  <c r="AE853" i="9"/>
  <c r="AF929" i="9"/>
  <c r="AF940" i="9"/>
  <c r="AF972" i="9"/>
  <c r="AE985" i="9"/>
  <c r="AF1045" i="9"/>
  <c r="AF1066" i="9"/>
  <c r="AF1429" i="9"/>
  <c r="AF1676" i="9"/>
  <c r="AF1725" i="9"/>
  <c r="AF1766" i="9"/>
  <c r="AF1944" i="9"/>
  <c r="AF1977" i="9"/>
  <c r="AE2178" i="9"/>
  <c r="AF130" i="9"/>
  <c r="AE866" i="9"/>
  <c r="AE1067" i="9"/>
  <c r="AE1228" i="9"/>
  <c r="AF1519" i="9"/>
  <c r="AF1595" i="9"/>
  <c r="AE1946" i="9"/>
  <c r="AF1972" i="9"/>
  <c r="AF2001" i="9"/>
  <c r="AF2124" i="9"/>
  <c r="AF2137" i="9"/>
  <c r="AF231" i="9"/>
  <c r="AF207" i="9"/>
  <c r="AE831" i="9"/>
  <c r="AF860" i="9"/>
  <c r="AF1023" i="9"/>
  <c r="AE1037" i="9"/>
  <c r="AF1112" i="9"/>
  <c r="AF1417" i="9"/>
  <c r="AF1549" i="9"/>
  <c r="AF1795" i="9"/>
  <c r="AE1832" i="9"/>
  <c r="AE2038" i="9"/>
  <c r="R2140" i="9"/>
  <c r="AE274" i="9"/>
  <c r="AE161" i="9"/>
  <c r="AF209" i="9"/>
  <c r="AE850" i="9"/>
  <c r="AF1044" i="9"/>
  <c r="AF1091" i="9"/>
  <c r="AE1120" i="9"/>
  <c r="AE1570" i="9"/>
  <c r="AE1594" i="9"/>
  <c r="AE1734" i="9"/>
  <c r="AF1792" i="9"/>
  <c r="AF1868" i="9"/>
  <c r="AE182" i="9"/>
  <c r="AE473" i="9"/>
  <c r="AF863" i="9"/>
  <c r="AF950" i="9"/>
  <c r="AE1017" i="9"/>
  <c r="AF1101" i="9"/>
  <c r="AE1110" i="9"/>
  <c r="AG1129" i="9"/>
  <c r="AF1570" i="9"/>
  <c r="AE1610" i="9"/>
  <c r="AE1667" i="9"/>
  <c r="AE1915" i="9"/>
  <c r="AF2200" i="9"/>
  <c r="AF532" i="9"/>
  <c r="AF931" i="9"/>
  <c r="AE1041" i="9"/>
  <c r="AE1074" i="9"/>
  <c r="AF1128" i="9"/>
  <c r="AE1275" i="9"/>
  <c r="AE1531" i="9"/>
  <c r="AG1750" i="9"/>
  <c r="AE1813" i="9"/>
  <c r="AE1826" i="9"/>
  <c r="AE1831" i="9"/>
  <c r="AF2184" i="9"/>
  <c r="AE2017" i="9"/>
  <c r="AE1936" i="9"/>
  <c r="AF1984" i="9"/>
  <c r="AG1531" i="9"/>
  <c r="AF1594" i="9"/>
  <c r="AE864" i="9"/>
  <c r="AE2022" i="9"/>
  <c r="AE1344" i="9"/>
  <c r="AE160" i="9"/>
  <c r="AF749" i="9"/>
  <c r="AE1902" i="9"/>
  <c r="O918" i="9"/>
  <c r="AE1092" i="9"/>
  <c r="AE1198" i="9"/>
  <c r="AE1308" i="9"/>
  <c r="AE1626" i="9"/>
  <c r="AF1450" i="9"/>
  <c r="AG1492" i="9"/>
  <c r="AG1618" i="9"/>
  <c r="AE280" i="9"/>
  <c r="AG849" i="9"/>
  <c r="AG1754" i="9"/>
  <c r="AG1889" i="9"/>
  <c r="AE181" i="9"/>
  <c r="AE1064" i="9"/>
  <c r="AE1800" i="9"/>
  <c r="AF516" i="9"/>
  <c r="AE1785" i="9"/>
  <c r="AE1099" i="9"/>
  <c r="AG643" i="9"/>
  <c r="AE865" i="9"/>
  <c r="AE976" i="9"/>
  <c r="L804" i="9"/>
  <c r="AE1805" i="9"/>
  <c r="AE162" i="9"/>
  <c r="L406" i="9"/>
  <c r="AE776" i="9"/>
  <c r="V838" i="9"/>
  <c r="AG889" i="9"/>
  <c r="AF1538" i="9"/>
  <c r="W1629" i="9"/>
  <c r="AF1750" i="9"/>
  <c r="AF1761" i="9"/>
  <c r="AE1788" i="9"/>
  <c r="AE2036" i="9"/>
  <c r="AE452" i="9"/>
  <c r="AE460" i="9"/>
  <c r="AF523" i="9"/>
  <c r="AF765" i="9"/>
  <c r="AF836" i="9"/>
  <c r="AE903" i="9"/>
  <c r="AF1103" i="9"/>
  <c r="AE1124" i="9"/>
  <c r="AE1563" i="9"/>
  <c r="AF1621" i="9"/>
  <c r="AF1753" i="9"/>
  <c r="AE188" i="9"/>
  <c r="AE425" i="9"/>
  <c r="AG697" i="9"/>
  <c r="AE842" i="9"/>
  <c r="AE888" i="9"/>
  <c r="AF953" i="9"/>
  <c r="AF1098" i="9"/>
  <c r="AF1125" i="9"/>
  <c r="AF1412" i="9"/>
  <c r="AF1617" i="9"/>
  <c r="AE1714" i="9"/>
  <c r="AE1752" i="9"/>
  <c r="AF1814" i="9"/>
  <c r="AE1820" i="9"/>
  <c r="AF1919" i="9"/>
  <c r="AF1952" i="9"/>
  <c r="AF2128" i="9"/>
  <c r="AE2170" i="9"/>
  <c r="AF197" i="9"/>
  <c r="AE208" i="9"/>
  <c r="AE169" i="9"/>
  <c r="AE414" i="9"/>
  <c r="AG587" i="9"/>
  <c r="AG648" i="9"/>
  <c r="AE747" i="9"/>
  <c r="AF900" i="9"/>
  <c r="AE907" i="9"/>
  <c r="AE950" i="9"/>
  <c r="AF1077" i="9"/>
  <c r="AF1606" i="9"/>
  <c r="AE1632" i="9"/>
  <c r="AG1752" i="9"/>
  <c r="AF1869" i="9"/>
  <c r="AF2129" i="9"/>
  <c r="AE232" i="9"/>
  <c r="AG146" i="9"/>
  <c r="AE432" i="9"/>
  <c r="AE462" i="9"/>
  <c r="AE789" i="9"/>
  <c r="AE846" i="9"/>
  <c r="AE940" i="9"/>
  <c r="AF1039" i="9"/>
  <c r="AE1075" i="9"/>
  <c r="AF1096" i="9"/>
  <c r="AF1099" i="9"/>
  <c r="AF1554" i="9"/>
  <c r="AF1584" i="9"/>
  <c r="AE1627" i="9"/>
  <c r="AE1685" i="9"/>
  <c r="AF1752" i="9"/>
  <c r="AF1969" i="9"/>
  <c r="AE2015" i="9"/>
  <c r="AE2185" i="9"/>
  <c r="AE481" i="9"/>
  <c r="AE852" i="9"/>
  <c r="AE1007" i="9"/>
  <c r="AE1047" i="9"/>
  <c r="AE1066" i="9"/>
  <c r="AF1531" i="9"/>
  <c r="AE1784" i="9"/>
  <c r="AF1813" i="9"/>
  <c r="AF1932" i="9"/>
  <c r="AE2030" i="9"/>
  <c r="AG168" i="9"/>
  <c r="AF184" i="9"/>
  <c r="AE180" i="9"/>
  <c r="AE436" i="9"/>
  <c r="AE821" i="9"/>
  <c r="AE906" i="9"/>
  <c r="AF930" i="9"/>
  <c r="AF1005" i="9"/>
  <c r="AE1050" i="9"/>
  <c r="AE1059" i="9"/>
  <c r="AE1519" i="9"/>
  <c r="AE1552" i="9"/>
  <c r="AE1682" i="9"/>
  <c r="AE1794" i="9"/>
  <c r="AE1812" i="9"/>
  <c r="AE1925" i="9"/>
  <c r="AF1966" i="9"/>
  <c r="AE2023" i="9"/>
  <c r="AF2154" i="9"/>
  <c r="AE2202" i="9"/>
  <c r="AE1029" i="9"/>
  <c r="AE1561" i="9"/>
  <c r="AF552" i="9"/>
  <c r="AE1032" i="9"/>
  <c r="AE1096" i="9"/>
  <c r="AF1442" i="9"/>
  <c r="AE1956" i="9"/>
  <c r="AE1751" i="9"/>
  <c r="AE474" i="9"/>
  <c r="AE904" i="9"/>
  <c r="AD247" i="9"/>
  <c r="T1678" i="9"/>
  <c r="AF1677" i="9"/>
  <c r="AF127" i="9"/>
  <c r="Q247" i="9"/>
  <c r="AE420" i="9"/>
  <c r="AE424" i="9"/>
  <c r="AE468" i="9"/>
  <c r="P495" i="9"/>
  <c r="AG628" i="9"/>
  <c r="AF759" i="9"/>
  <c r="AF864" i="9"/>
  <c r="AF908" i="9"/>
  <c r="AD934" i="9"/>
  <c r="AE1030" i="9"/>
  <c r="AF1133" i="9"/>
  <c r="AD1298" i="9"/>
  <c r="V1775" i="9"/>
  <c r="AF1775" i="9" s="1"/>
  <c r="AF1774" i="9"/>
  <c r="T1981" i="9"/>
  <c r="AF1980" i="9"/>
  <c r="T210" i="9"/>
  <c r="AF204" i="9"/>
  <c r="O328" i="9"/>
  <c r="AE327" i="9"/>
  <c r="AD427" i="9"/>
  <c r="AE427" i="9"/>
  <c r="AF201" i="9"/>
  <c r="O247" i="9"/>
  <c r="AF524" i="9"/>
  <c r="AG589" i="9"/>
  <c r="AE689" i="9"/>
  <c r="AD689" i="9"/>
  <c r="H706" i="9"/>
  <c r="AE784" i="9"/>
  <c r="AF894" i="9"/>
  <c r="W1034" i="9"/>
  <c r="AE1073" i="9"/>
  <c r="AE1206" i="9"/>
  <c r="AE1280" i="9"/>
  <c r="AE1309" i="9"/>
  <c r="AE1360" i="9"/>
  <c r="AD1473" i="9"/>
  <c r="AE1473" i="9"/>
  <c r="AF1521" i="9"/>
  <c r="AF1555" i="9"/>
  <c r="AF1627" i="9"/>
  <c r="AD1662" i="9"/>
  <c r="AE1662" i="9"/>
  <c r="V1670" i="9"/>
  <c r="AF1669" i="9"/>
  <c r="AE1766" i="9"/>
  <c r="T1903" i="9"/>
  <c r="AF1903" i="9" s="1"/>
  <c r="AF1902" i="9"/>
  <c r="V172" i="9"/>
  <c r="AD880" i="9"/>
  <c r="AF157" i="9"/>
  <c r="AE236" i="9"/>
  <c r="AG588" i="9"/>
  <c r="AD619" i="9"/>
  <c r="AE619" i="9"/>
  <c r="AG676" i="9"/>
  <c r="R934" i="9"/>
  <c r="AD977" i="9"/>
  <c r="AF977" i="9"/>
  <c r="AE990" i="9"/>
  <c r="T1034" i="9"/>
  <c r="AF1032" i="9"/>
  <c r="AE1048" i="9"/>
  <c r="AF1405" i="9"/>
  <c r="AF1416" i="9"/>
  <c r="AF1565" i="9"/>
  <c r="T1589" i="9"/>
  <c r="AF1588" i="9"/>
  <c r="AG1658" i="9"/>
  <c r="J1781" i="9"/>
  <c r="T164" i="9"/>
  <c r="AF160" i="9"/>
  <c r="AE933" i="9"/>
  <c r="AE200" i="9"/>
  <c r="R247" i="9"/>
  <c r="AE545" i="9"/>
  <c r="AD545" i="9"/>
  <c r="AD661" i="9"/>
  <c r="AE661" i="9"/>
  <c r="AF760" i="9"/>
  <c r="AE801" i="9"/>
  <c r="AE879" i="9"/>
  <c r="AE1351" i="9"/>
  <c r="AF2053" i="9"/>
  <c r="AF356" i="9"/>
  <c r="I406" i="9"/>
  <c r="AF406" i="9" s="1"/>
  <c r="I2230" i="9"/>
  <c r="AF131" i="9"/>
  <c r="AE494" i="9"/>
  <c r="AE574" i="9"/>
  <c r="AD574" i="9"/>
  <c r="AF200" i="9"/>
  <c r="AD301" i="9"/>
  <c r="AE301" i="9"/>
  <c r="R495" i="9"/>
  <c r="AE512" i="9"/>
  <c r="AD512" i="9"/>
  <c r="Q778" i="9"/>
  <c r="AE796" i="9"/>
  <c r="U838" i="9"/>
  <c r="AF895" i="9"/>
  <c r="O934" i="9"/>
  <c r="AD991" i="9"/>
  <c r="AE991" i="9"/>
  <c r="AF1037" i="9"/>
  <c r="AE1085" i="9"/>
  <c r="AG1195" i="9"/>
  <c r="J1238" i="9"/>
  <c r="AE1539" i="9"/>
  <c r="AF1786" i="9"/>
  <c r="AD194" i="9"/>
  <c r="AE194" i="9"/>
  <c r="AE634" i="9"/>
  <c r="AD634" i="9"/>
  <c r="AD201" i="9"/>
  <c r="AE201" i="9"/>
  <c r="AE299" i="9"/>
  <c r="AD469" i="9"/>
  <c r="AE469" i="9"/>
  <c r="P247" i="9"/>
  <c r="AF411" i="9"/>
  <c r="I457" i="9"/>
  <c r="AF457" i="9" s="1"/>
  <c r="AD421" i="9"/>
  <c r="AE421" i="9"/>
  <c r="O495" i="9"/>
  <c r="AF525" i="9"/>
  <c r="AG629" i="9"/>
  <c r="R778" i="9"/>
  <c r="T838" i="9"/>
  <c r="AF838" i="9" s="1"/>
  <c r="Q934" i="9"/>
  <c r="J968" i="9"/>
  <c r="AE1095" i="9"/>
  <c r="AE1227" i="9"/>
  <c r="AE1346" i="9"/>
  <c r="AF1530" i="9"/>
  <c r="AE1550" i="9"/>
  <c r="AE1582" i="9"/>
  <c r="AD1623" i="9"/>
  <c r="P1720" i="9"/>
  <c r="P34" i="9" s="1"/>
  <c r="AE1719" i="9"/>
  <c r="AG1928" i="9"/>
  <c r="J1381" i="9"/>
  <c r="AG1381" i="9" s="1"/>
  <c r="AG1379" i="9"/>
  <c r="I35" i="9"/>
  <c r="AE2018" i="9"/>
  <c r="AE2118" i="9"/>
  <c r="AD2118" i="9"/>
  <c r="AD389" i="9"/>
  <c r="AE306" i="9"/>
  <c r="W172" i="9"/>
  <c r="AE370" i="9"/>
  <c r="AD370" i="9"/>
  <c r="AF528" i="9"/>
  <c r="AF689" i="9"/>
  <c r="I706" i="9"/>
  <c r="AF706" i="9" s="1"/>
  <c r="AF909" i="9"/>
  <c r="R918" i="9"/>
  <c r="Q1088" i="9"/>
  <c r="AE1215" i="9"/>
  <c r="Q1298" i="9"/>
  <c r="AG1394" i="9"/>
  <c r="J1453" i="9"/>
  <c r="AG1453" i="9" s="1"/>
  <c r="K1453" i="9"/>
  <c r="AE1451" i="9"/>
  <c r="AD1451" i="9"/>
  <c r="I1781" i="9"/>
  <c r="AD1890" i="9"/>
  <c r="AE2102" i="9"/>
  <c r="AD2102" i="9"/>
  <c r="Y2106" i="9"/>
  <c r="AG2106" i="9" s="1"/>
  <c r="AG2105" i="9"/>
  <c r="J226" i="9"/>
  <c r="AD340" i="9"/>
  <c r="AE340" i="9"/>
  <c r="AE1911" i="9"/>
  <c r="AE2074" i="9"/>
  <c r="AD2074" i="9"/>
  <c r="AE2159" i="9"/>
  <c r="AD2159" i="9"/>
  <c r="AE389" i="9"/>
  <c r="AD579" i="9"/>
  <c r="AE579" i="9"/>
  <c r="P880" i="9"/>
  <c r="AE880" i="9" s="1"/>
  <c r="P1088" i="9"/>
  <c r="O1298" i="9"/>
  <c r="AD1558" i="9"/>
  <c r="AE1636" i="9"/>
  <c r="AD1636" i="9"/>
  <c r="R1747" i="9"/>
  <c r="AD53" i="9"/>
  <c r="W2203" i="9"/>
  <c r="W2206" i="9" s="1"/>
  <c r="O375" i="9"/>
  <c r="AE373" i="9"/>
  <c r="AE490" i="9"/>
  <c r="T172" i="9"/>
  <c r="AE516" i="9"/>
  <c r="AD516" i="9"/>
  <c r="AG704" i="9"/>
  <c r="V802" i="9"/>
  <c r="P918" i="9"/>
  <c r="AE918" i="9" s="1"/>
  <c r="O1088" i="9"/>
  <c r="Q1136" i="9"/>
  <c r="AE1266" i="9"/>
  <c r="AF1447" i="9"/>
  <c r="W1534" i="9"/>
  <c r="Q1747" i="9"/>
  <c r="AF1767" i="9"/>
  <c r="AF1865" i="9"/>
  <c r="AF1893" i="9"/>
  <c r="AF1992" i="9"/>
  <c r="AF2041" i="9"/>
  <c r="I2048" i="9"/>
  <c r="AF2048" i="9" s="1"/>
  <c r="V2212" i="9"/>
  <c r="V2214" i="9" s="1"/>
  <c r="V2215" i="9" s="1"/>
  <c r="V2203" i="9"/>
  <c r="V2206" i="9" s="1"/>
  <c r="AD320" i="9"/>
  <c r="P375" i="9"/>
  <c r="P136" i="9"/>
  <c r="AF1242" i="9"/>
  <c r="I1270" i="9"/>
  <c r="AF1270" i="9" s="1"/>
  <c r="AE1394" i="9"/>
  <c r="AD1394" i="9"/>
  <c r="H1453" i="9"/>
  <c r="T1629" i="9"/>
  <c r="AE1661" i="9"/>
  <c r="U1670" i="9"/>
  <c r="R2019" i="9"/>
  <c r="AE2062" i="9"/>
  <c r="AD2062" i="9"/>
  <c r="AE387" i="9"/>
  <c r="W164" i="9"/>
  <c r="W174" i="9" s="1"/>
  <c r="J728" i="9"/>
  <c r="AC716" i="9"/>
  <c r="T802" i="9"/>
  <c r="P1136" i="9"/>
  <c r="AE1261" i="9"/>
  <c r="R1270" i="9"/>
  <c r="AD1312" i="9"/>
  <c r="AD1493" i="9"/>
  <c r="AE1493" i="9"/>
  <c r="U1534" i="9"/>
  <c r="AD1629" i="9"/>
  <c r="T1726" i="9"/>
  <c r="T36" i="9" s="1"/>
  <c r="P1747" i="9"/>
  <c r="R53" i="9"/>
  <c r="R1890" i="9"/>
  <c r="AD1994" i="9"/>
  <c r="AE2143" i="9"/>
  <c r="U2151" i="9"/>
  <c r="AF2150" i="9"/>
  <c r="AF2186" i="9"/>
  <c r="AF232" i="9"/>
  <c r="AF216" i="9"/>
  <c r="T153" i="9"/>
  <c r="AE134" i="9"/>
  <c r="O384" i="9"/>
  <c r="AE384" i="9" s="1"/>
  <c r="AE383" i="9"/>
  <c r="AF1670" i="9"/>
  <c r="AE1725" i="9"/>
  <c r="AE1807" i="9"/>
  <c r="AD1807" i="9"/>
  <c r="AE1912" i="9"/>
  <c r="AD1912" i="9"/>
  <c r="Q2019" i="9"/>
  <c r="AE193" i="9"/>
  <c r="AE328" i="9"/>
  <c r="AD328" i="9"/>
  <c r="AE584" i="9"/>
  <c r="AD584" i="9"/>
  <c r="AE624" i="9"/>
  <c r="AD624" i="9"/>
  <c r="AG703" i="9"/>
  <c r="AG709" i="9"/>
  <c r="AE790" i="9"/>
  <c r="W802" i="9"/>
  <c r="AD818" i="9"/>
  <c r="AE818" i="9"/>
  <c r="L882" i="9"/>
  <c r="R1136" i="9"/>
  <c r="P1298" i="9"/>
  <c r="AD1407" i="9"/>
  <c r="AE1407" i="9"/>
  <c r="AG1464" i="9"/>
  <c r="AB1516" i="9"/>
  <c r="T1534" i="9"/>
  <c r="AE1695" i="9"/>
  <c r="W1726" i="9"/>
  <c r="AG1739" i="9"/>
  <c r="O1747" i="9"/>
  <c r="AD1763" i="9"/>
  <c r="W1763" i="9"/>
  <c r="Q1890" i="9"/>
  <c r="Q53" i="9"/>
  <c r="AD1929" i="9"/>
  <c r="J52" i="9"/>
  <c r="AE2024" i="9"/>
  <c r="AG2128" i="9"/>
  <c r="U2212" i="9"/>
  <c r="U2214" i="9" s="1"/>
  <c r="U2215" i="9" s="1"/>
  <c r="T2203" i="9"/>
  <c r="T2206" i="9" s="1"/>
  <c r="U1034" i="9"/>
  <c r="V1629" i="9"/>
  <c r="L43" i="9"/>
  <c r="AE1879" i="9"/>
  <c r="P2019" i="9"/>
  <c r="AE2151" i="9"/>
  <c r="AD2151" i="9"/>
  <c r="AD2180" i="9"/>
  <c r="V164" i="9"/>
  <c r="AE307" i="9"/>
  <c r="AD307" i="9"/>
  <c r="H350" i="9"/>
  <c r="AF167" i="9"/>
  <c r="J212" i="9"/>
  <c r="AF529" i="9"/>
  <c r="AB716" i="9"/>
  <c r="U802" i="9"/>
  <c r="AD832" i="9"/>
  <c r="AE917" i="9"/>
  <c r="AE1087" i="9"/>
  <c r="O1136" i="9"/>
  <c r="AA1516" i="9"/>
  <c r="V1534" i="9"/>
  <c r="V1726" i="9"/>
  <c r="AD1740" i="9"/>
  <c r="H1757" i="9"/>
  <c r="V1763" i="9"/>
  <c r="AF1870" i="9"/>
  <c r="P53" i="9"/>
  <c r="P1890" i="9"/>
  <c r="AD2144" i="9"/>
  <c r="AE2144" i="9"/>
  <c r="W2212" i="9"/>
  <c r="W2214" i="9" s="1"/>
  <c r="W2215" i="9" s="1"/>
  <c r="Q375" i="9"/>
  <c r="AF205" i="9"/>
  <c r="T541" i="9"/>
  <c r="AF540" i="9"/>
  <c r="AE369" i="9"/>
  <c r="AD533" i="9"/>
  <c r="AE533" i="9"/>
  <c r="Z716" i="9"/>
  <c r="AE817" i="9"/>
  <c r="AE878" i="9"/>
  <c r="AD956" i="9"/>
  <c r="H21" i="9"/>
  <c r="H1155" i="9"/>
  <c r="R1088" i="9"/>
  <c r="AD1216" i="9"/>
  <c r="AE1216" i="9"/>
  <c r="AD1262" i="9"/>
  <c r="AE1262" i="9"/>
  <c r="AD1267" i="9"/>
  <c r="AE1267" i="9"/>
  <c r="AE1481" i="9"/>
  <c r="AD1481" i="9"/>
  <c r="AE1497" i="9"/>
  <c r="AD1497" i="9"/>
  <c r="AC1516" i="9"/>
  <c r="U1726" i="9"/>
  <c r="U36" i="9" s="1"/>
  <c r="U1763" i="9"/>
  <c r="AF1894" i="9"/>
  <c r="I54" i="9"/>
  <c r="AE1916" i="9"/>
  <c r="AF2151" i="9"/>
  <c r="O320" i="9"/>
  <c r="AE320" i="9" s="1"/>
  <c r="AE319" i="9"/>
  <c r="R375" i="9"/>
  <c r="AE375" i="9" s="1"/>
  <c r="P190" i="9"/>
  <c r="AE221" i="9"/>
  <c r="L1107" i="9"/>
  <c r="AE1600" i="9"/>
  <c r="AE1767" i="9"/>
  <c r="AD1767" i="9"/>
  <c r="H1883" i="9"/>
  <c r="AE1881" i="9"/>
  <c r="AD1881" i="9"/>
  <c r="AD2007" i="9"/>
  <c r="H51" i="9"/>
  <c r="AD2041" i="9"/>
  <c r="Q2041" i="9"/>
  <c r="AE2041" i="9" s="1"/>
  <c r="AE2066" i="9"/>
  <c r="AD2066" i="9"/>
  <c r="AE2086" i="9"/>
  <c r="AD2086" i="9"/>
  <c r="AE2150" i="9"/>
  <c r="U164" i="9"/>
  <c r="U172" i="9"/>
  <c r="AF210" i="9"/>
  <c r="AD361" i="9"/>
  <c r="AD455" i="9"/>
  <c r="J684" i="9"/>
  <c r="AG682" i="9"/>
  <c r="AA716" i="9"/>
  <c r="AF784" i="9"/>
  <c r="AE1115" i="9"/>
  <c r="AE1297" i="9"/>
  <c r="AD1419" i="9"/>
  <c r="AE1419" i="9"/>
  <c r="AG1465" i="9"/>
  <c r="K1672" i="9"/>
  <c r="I36" i="9"/>
  <c r="T1763" i="9"/>
  <c r="AF1863" i="9"/>
  <c r="O53" i="9"/>
  <c r="O1890" i="9"/>
  <c r="U153" i="9"/>
  <c r="R136" i="9"/>
  <c r="AD384" i="9"/>
  <c r="AE492" i="9"/>
  <c r="O190" i="9"/>
  <c r="H497" i="9"/>
  <c r="AF541" i="9"/>
  <c r="AF564" i="9"/>
  <c r="I656" i="9"/>
  <c r="AF656" i="9" s="1"/>
  <c r="AF661" i="9"/>
  <c r="I684" i="9"/>
  <c r="AF684" i="9" s="1"/>
  <c r="AE716" i="9"/>
  <c r="AD716" i="9"/>
  <c r="R741" i="9"/>
  <c r="V956" i="9"/>
  <c r="O1209" i="9"/>
  <c r="P1270" i="9"/>
  <c r="AD1277" i="9"/>
  <c r="AE1277" i="9"/>
  <c r="P1546" i="9"/>
  <c r="Q1558" i="9"/>
  <c r="U1612" i="9"/>
  <c r="AF1635" i="9"/>
  <c r="U1755" i="9"/>
  <c r="P1797" i="9"/>
  <c r="P1809" i="9" s="1"/>
  <c r="P40" i="9" s="1"/>
  <c r="U1817" i="9"/>
  <c r="U38" i="9" s="1"/>
  <c r="AF2158" i="9"/>
  <c r="P2180" i="9"/>
  <c r="AE2211" i="9"/>
  <c r="AD264" i="9"/>
  <c r="AD366" i="9"/>
  <c r="AE366" i="9"/>
  <c r="AE145" i="9"/>
  <c r="R455" i="9"/>
  <c r="AE541" i="9"/>
  <c r="AD541" i="9"/>
  <c r="AE604" i="9"/>
  <c r="AD604" i="9"/>
  <c r="V891" i="9"/>
  <c r="T961" i="9"/>
  <c r="AF959" i="9"/>
  <c r="AE1126" i="9"/>
  <c r="V1136" i="9"/>
  <c r="AD1179" i="9"/>
  <c r="Q1341" i="9"/>
  <c r="P1374" i="9"/>
  <c r="AE1378" i="9"/>
  <c r="AE1527" i="9"/>
  <c r="Z1629" i="9"/>
  <c r="AG1626" i="9"/>
  <c r="J13" i="9"/>
  <c r="U185" i="9"/>
  <c r="AF180" i="9"/>
  <c r="Z634" i="9"/>
  <c r="AG634" i="9" s="1"/>
  <c r="AG633" i="9"/>
  <c r="AG680" i="9"/>
  <c r="P756" i="9"/>
  <c r="Q1246" i="9"/>
  <c r="Q1270" i="9" s="1"/>
  <c r="AE1245" i="9"/>
  <c r="T2212" i="9"/>
  <c r="T2214" i="9" s="1"/>
  <c r="T2215" i="9" s="1"/>
  <c r="U2203" i="9"/>
  <c r="U2206" i="9" s="1"/>
  <c r="R190" i="9"/>
  <c r="AD465" i="9"/>
  <c r="AG465" i="9"/>
  <c r="AD525" i="9"/>
  <c r="AE525" i="9"/>
  <c r="AE639" i="9"/>
  <c r="AD639" i="9"/>
  <c r="J706" i="9"/>
  <c r="AB699" i="9"/>
  <c r="AD867" i="9"/>
  <c r="R867" i="9"/>
  <c r="U956" i="9"/>
  <c r="U21" i="9" s="1"/>
  <c r="U72" i="9" s="1"/>
  <c r="AD987" i="9"/>
  <c r="T987" i="9"/>
  <c r="R1209" i="9"/>
  <c r="AF1334" i="9"/>
  <c r="I1381" i="9"/>
  <c r="AF1381" i="9" s="1"/>
  <c r="AG1493" i="9"/>
  <c r="O1546" i="9"/>
  <c r="P1558" i="9"/>
  <c r="T1612" i="9"/>
  <c r="R1623" i="9"/>
  <c r="AD1650" i="9"/>
  <c r="AE1650" i="9"/>
  <c r="O1670" i="9"/>
  <c r="V36" i="9"/>
  <c r="AD1755" i="9"/>
  <c r="T1755" i="9"/>
  <c r="AE1774" i="9"/>
  <c r="O1797" i="9"/>
  <c r="O1809" i="9" s="1"/>
  <c r="O40" i="9" s="1"/>
  <c r="W1817" i="9"/>
  <c r="W38" i="9" s="1"/>
  <c r="AE1907" i="9"/>
  <c r="O264" i="9"/>
  <c r="U233" i="9"/>
  <c r="U303" i="9" s="1"/>
  <c r="U499" i="9" s="1"/>
  <c r="AD172" i="9"/>
  <c r="H174" i="9"/>
  <c r="AD147" i="9"/>
  <c r="AE147" i="9"/>
  <c r="U136" i="9"/>
  <c r="Q455" i="9"/>
  <c r="AE564" i="9"/>
  <c r="AD564" i="9"/>
  <c r="H656" i="9"/>
  <c r="AG582" i="9"/>
  <c r="P832" i="9"/>
  <c r="AF861" i="9"/>
  <c r="U891" i="9"/>
  <c r="U920" i="9" s="1"/>
  <c r="AE1025" i="9"/>
  <c r="AE1045" i="9"/>
  <c r="R1341" i="9"/>
  <c r="V1419" i="9"/>
  <c r="AE1641" i="9"/>
  <c r="AG1738" i="9"/>
  <c r="AF168" i="9"/>
  <c r="AE860" i="9"/>
  <c r="T1838" i="9"/>
  <c r="AF1837" i="9"/>
  <c r="AE666" i="9"/>
  <c r="AD666" i="9"/>
  <c r="P741" i="9"/>
  <c r="Q867" i="9"/>
  <c r="W956" i="9"/>
  <c r="W987" i="9"/>
  <c r="W993" i="9" s="1"/>
  <c r="Q1209" i="9"/>
  <c r="AE1241" i="9"/>
  <c r="AE1276" i="9"/>
  <c r="Q1546" i="9"/>
  <c r="AD1612" i="9"/>
  <c r="W1612" i="9"/>
  <c r="AF1632" i="9"/>
  <c r="AE1652" i="9"/>
  <c r="Q1670" i="9"/>
  <c r="AD1720" i="9"/>
  <c r="H34" i="9"/>
  <c r="AE1720" i="9"/>
  <c r="W1755" i="9"/>
  <c r="V1817" i="9"/>
  <c r="V38" i="9" s="1"/>
  <c r="AE1875" i="9"/>
  <c r="T2007" i="9"/>
  <c r="AE2132" i="9"/>
  <c r="O2180" i="9"/>
  <c r="W233" i="9"/>
  <c r="W303" i="9" s="1"/>
  <c r="W499" i="9" s="1"/>
  <c r="P172" i="9"/>
  <c r="AD442" i="9"/>
  <c r="AE442" i="9"/>
  <c r="AF511" i="9"/>
  <c r="I920" i="9"/>
  <c r="AD981" i="9"/>
  <c r="AE981" i="9"/>
  <c r="W1136" i="9"/>
  <c r="AE1274" i="9"/>
  <c r="AD1341" i="9"/>
  <c r="AE1386" i="9"/>
  <c r="AD1386" i="9"/>
  <c r="AF1573" i="9"/>
  <c r="AD1600" i="9"/>
  <c r="AF1600" i="9"/>
  <c r="W1747" i="9"/>
  <c r="K1757" i="9"/>
  <c r="K42" i="9" s="1"/>
  <c r="AD2133" i="9"/>
  <c r="AE394" i="9"/>
  <c r="AD394" i="9"/>
  <c r="AE694" i="9"/>
  <c r="AD694" i="9"/>
  <c r="Q766" i="9"/>
  <c r="AE765" i="9"/>
  <c r="AE441" i="9"/>
  <c r="Y699" i="9"/>
  <c r="AD721" i="9"/>
  <c r="AE721" i="9"/>
  <c r="AD741" i="9"/>
  <c r="AE771" i="9"/>
  <c r="P867" i="9"/>
  <c r="T956" i="9"/>
  <c r="T21" i="9" s="1"/>
  <c r="T72" i="9" s="1"/>
  <c r="V987" i="9"/>
  <c r="V993" i="9" s="1"/>
  <c r="AF1195" i="9"/>
  <c r="I1238" i="9"/>
  <c r="O1270" i="9"/>
  <c r="R1305" i="9"/>
  <c r="AE1447" i="9"/>
  <c r="AD1447" i="9"/>
  <c r="V1612" i="9"/>
  <c r="AF1636" i="9"/>
  <c r="AE1649" i="9"/>
  <c r="R1670" i="9"/>
  <c r="W36" i="9"/>
  <c r="T1817" i="9"/>
  <c r="T38" i="9" s="1"/>
  <c r="AD1865" i="9"/>
  <c r="AE1865" i="9"/>
  <c r="I51" i="9"/>
  <c r="W2007" i="9"/>
  <c r="AG2074" i="9"/>
  <c r="P2133" i="9"/>
  <c r="R2180" i="9"/>
  <c r="R356" i="9"/>
  <c r="V233" i="9"/>
  <c r="V303" i="9" s="1"/>
  <c r="V499" i="9" s="1"/>
  <c r="O172" i="9"/>
  <c r="AF548" i="9"/>
  <c r="V741" i="9"/>
  <c r="AF795" i="9"/>
  <c r="R832" i="9"/>
  <c r="AE894" i="9"/>
  <c r="V1113" i="9"/>
  <c r="AF1135" i="9"/>
  <c r="AD1374" i="9"/>
  <c r="AD1457" i="9"/>
  <c r="AE1457" i="9"/>
  <c r="H1516" i="9"/>
  <c r="AD1534" i="9"/>
  <c r="V1747" i="9"/>
  <c r="W1912" i="9"/>
  <c r="AF1912" i="9" s="1"/>
  <c r="AF1911" i="9"/>
  <c r="AE1955" i="9"/>
  <c r="AE2090" i="9"/>
  <c r="AD2090" i="9"/>
  <c r="AF907" i="9"/>
  <c r="AF1871" i="9"/>
  <c r="AA599" i="9"/>
  <c r="W37" i="9"/>
  <c r="W1735" i="9"/>
  <c r="Q190" i="9"/>
  <c r="AD136" i="9"/>
  <c r="AE339" i="9"/>
  <c r="R465" i="9"/>
  <c r="O867" i="9"/>
  <c r="AE867" i="9" s="1"/>
  <c r="U987" i="9"/>
  <c r="U993" i="9" s="1"/>
  <c r="P1068" i="9"/>
  <c r="V1088" i="9"/>
  <c r="AE1175" i="9"/>
  <c r="AD1242" i="9"/>
  <c r="AE1242" i="9"/>
  <c r="H1270" i="9"/>
  <c r="Q1305" i="9"/>
  <c r="U1413" i="9"/>
  <c r="AE1557" i="9"/>
  <c r="P1670" i="9"/>
  <c r="AF1732" i="9"/>
  <c r="O1763" i="9"/>
  <c r="I38" i="9"/>
  <c r="AD1876" i="9"/>
  <c r="Q1876" i="9"/>
  <c r="AD1894" i="9"/>
  <c r="AE1894" i="9"/>
  <c r="H54" i="9"/>
  <c r="U2007" i="9"/>
  <c r="AF2007" i="9" s="1"/>
  <c r="AG2041" i="9"/>
  <c r="J2048" i="9"/>
  <c r="AG2048" i="9" s="1"/>
  <c r="H2048" i="9"/>
  <c r="AD2046" i="9"/>
  <c r="AE2046" i="9"/>
  <c r="Q2180" i="9"/>
  <c r="Q356" i="9"/>
  <c r="I303" i="9"/>
  <c r="Q172" i="9"/>
  <c r="AD599" i="9"/>
  <c r="AE599" i="9"/>
  <c r="AG649" i="9"/>
  <c r="AE759" i="9"/>
  <c r="U796" i="9"/>
  <c r="Q832" i="9"/>
  <c r="U867" i="9"/>
  <c r="U882" i="9" s="1"/>
  <c r="U19" i="9" s="1"/>
  <c r="U70" i="9" s="1"/>
  <c r="AF961" i="9"/>
  <c r="AF1083" i="9"/>
  <c r="AG1744" i="9"/>
  <c r="AE2196" i="9"/>
  <c r="AC778" i="9"/>
  <c r="Q1524" i="9"/>
  <c r="AE1523" i="9"/>
  <c r="T1720" i="9"/>
  <c r="T34" i="9" s="1"/>
  <c r="AF1719" i="9"/>
  <c r="W124" i="9"/>
  <c r="AF123" i="9"/>
  <c r="I2206" i="9"/>
  <c r="AD375" i="9"/>
  <c r="AD190" i="9"/>
  <c r="AF153" i="9"/>
  <c r="AF307" i="9"/>
  <c r="I350" i="9"/>
  <c r="AF350" i="9" s="1"/>
  <c r="Q136" i="9"/>
  <c r="O465" i="9"/>
  <c r="AG504" i="9"/>
  <c r="J559" i="9"/>
  <c r="AG559" i="9" s="1"/>
  <c r="AE529" i="9"/>
  <c r="AD529" i="9"/>
  <c r="AA604" i="9"/>
  <c r="Z699" i="9"/>
  <c r="AE770" i="9"/>
  <c r="AB785" i="9"/>
  <c r="K945" i="9"/>
  <c r="AF990" i="9"/>
  <c r="O1068" i="9"/>
  <c r="W1088" i="9"/>
  <c r="AE1208" i="9"/>
  <c r="P1305" i="9"/>
  <c r="T1413" i="9"/>
  <c r="V1431" i="9"/>
  <c r="O1558" i="9"/>
  <c r="AE1558" i="9" s="1"/>
  <c r="Q1623" i="9"/>
  <c r="AF1633" i="9"/>
  <c r="I1757" i="9"/>
  <c r="Q1763" i="9"/>
  <c r="AE1796" i="9"/>
  <c r="V2007" i="9"/>
  <c r="Q2133" i="9"/>
  <c r="K2165" i="9"/>
  <c r="K48" i="9" s="1"/>
  <c r="AF2175" i="9"/>
  <c r="P356" i="9"/>
  <c r="L26" i="9"/>
  <c r="L79" i="9" s="1"/>
  <c r="L1157" i="9"/>
  <c r="AG307" i="9"/>
  <c r="J350" i="9"/>
  <c r="AG350" i="9" s="1"/>
  <c r="P264" i="9"/>
  <c r="T233" i="9"/>
  <c r="T303" i="9" s="1"/>
  <c r="T499" i="9" s="1"/>
  <c r="R172" i="9"/>
  <c r="AE273" i="9"/>
  <c r="AF134" i="9"/>
  <c r="AF512" i="9"/>
  <c r="L656" i="9"/>
  <c r="K656" i="9"/>
  <c r="W741" i="9"/>
  <c r="AD760" i="9"/>
  <c r="AE760" i="9"/>
  <c r="T867" i="9"/>
  <c r="AE980" i="9"/>
  <c r="AF1095" i="9"/>
  <c r="U1113" i="9"/>
  <c r="Q1179" i="9"/>
  <c r="AE1373" i="9"/>
  <c r="AE1461" i="9"/>
  <c r="AD1461" i="9"/>
  <c r="AF1576" i="9"/>
  <c r="O1612" i="9"/>
  <c r="AE1611" i="9"/>
  <c r="T1890" i="9"/>
  <c r="AF1890" i="9" s="1"/>
  <c r="T53" i="9"/>
  <c r="AF1889" i="9"/>
  <c r="R2162" i="9"/>
  <c r="AA771" i="9"/>
  <c r="AG770" i="9"/>
  <c r="R956" i="9"/>
  <c r="O987" i="9"/>
  <c r="AE986" i="9"/>
  <c r="I1107" i="9"/>
  <c r="AF1097" i="9"/>
  <c r="AE1345" i="9"/>
  <c r="AF1561" i="9"/>
  <c r="R1629" i="9"/>
  <c r="AD1686" i="9"/>
  <c r="Q465" i="9"/>
  <c r="AD553" i="9"/>
  <c r="AE553" i="9"/>
  <c r="AB604" i="9"/>
  <c r="AG698" i="9"/>
  <c r="AF711" i="9"/>
  <c r="I728" i="9"/>
  <c r="AF728" i="9" s="1"/>
  <c r="L728" i="9"/>
  <c r="O741" i="9"/>
  <c r="I21" i="9"/>
  <c r="I1155" i="9"/>
  <c r="T993" i="9"/>
  <c r="R1068" i="9"/>
  <c r="U1088" i="9"/>
  <c r="O1305" i="9"/>
  <c r="V1413" i="9"/>
  <c r="W1431" i="9"/>
  <c r="T1524" i="9"/>
  <c r="P1623" i="9"/>
  <c r="P1763" i="9"/>
  <c r="P1781" i="9" s="1"/>
  <c r="P39" i="9" s="1"/>
  <c r="AE1775" i="9"/>
  <c r="AD1775" i="9"/>
  <c r="R1797" i="9"/>
  <c r="R1809" i="9" s="1"/>
  <c r="R40" i="9" s="1"/>
  <c r="AD1908" i="9"/>
  <c r="AE1908" i="9"/>
  <c r="AE2070" i="9"/>
  <c r="AD2070" i="9"/>
  <c r="AE2082" i="9"/>
  <c r="AD2082" i="9"/>
  <c r="O356" i="9"/>
  <c r="R264" i="9"/>
  <c r="W136" i="9"/>
  <c r="P455" i="9"/>
  <c r="T891" i="9"/>
  <c r="AF890" i="9"/>
  <c r="P1341" i="9"/>
  <c r="Q1612" i="9"/>
  <c r="AD1871" i="9"/>
  <c r="AE1993" i="9"/>
  <c r="AE2032" i="9"/>
  <c r="P350" i="9"/>
  <c r="AG411" i="9"/>
  <c r="J457" i="9"/>
  <c r="AG457" i="9" s="1"/>
  <c r="AG638" i="9"/>
  <c r="R1706" i="9"/>
  <c r="V920" i="9"/>
  <c r="O136" i="9"/>
  <c r="P465" i="9"/>
  <c r="AE734" i="9"/>
  <c r="Q741" i="9"/>
  <c r="AD756" i="9"/>
  <c r="AF955" i="9"/>
  <c r="I993" i="9"/>
  <c r="AF991" i="9"/>
  <c r="Q1068" i="9"/>
  <c r="T1088" i="9"/>
  <c r="P1209" i="9"/>
  <c r="W1413" i="9"/>
  <c r="U1431" i="9"/>
  <c r="AF1451" i="9"/>
  <c r="AE1505" i="9"/>
  <c r="AD1505" i="9"/>
  <c r="R1546" i="9"/>
  <c r="R1558" i="9"/>
  <c r="AF1611" i="9"/>
  <c r="O1623" i="9"/>
  <c r="AE1653" i="9"/>
  <c r="AD1653" i="9"/>
  <c r="AE1669" i="9"/>
  <c r="AF1731" i="9"/>
  <c r="V1755" i="9"/>
  <c r="R1763" i="9"/>
  <c r="Q1797" i="9"/>
  <c r="Q1809" i="9" s="1"/>
  <c r="Q40" i="9" s="1"/>
  <c r="J1809" i="9"/>
  <c r="AF1816" i="9"/>
  <c r="O1876" i="9"/>
  <c r="AE1876" i="9" s="1"/>
  <c r="AF1916" i="9"/>
  <c r="AG2073" i="9"/>
  <c r="R2133" i="9"/>
  <c r="AE2179" i="9"/>
  <c r="AD356" i="9"/>
  <c r="H406" i="9"/>
  <c r="AF196" i="9"/>
  <c r="Q264" i="9"/>
  <c r="AD275" i="9"/>
  <c r="AE275" i="9"/>
  <c r="AE364" i="9"/>
  <c r="V136" i="9"/>
  <c r="O455" i="9"/>
  <c r="AE504" i="9"/>
  <c r="AD504" i="9"/>
  <c r="H559" i="9"/>
  <c r="AF734" i="9"/>
  <c r="V867" i="9"/>
  <c r="V882" i="9" s="1"/>
  <c r="W891" i="9"/>
  <c r="W920" i="9" s="1"/>
  <c r="J21" i="9"/>
  <c r="J1155" i="9"/>
  <c r="Q1374" i="9"/>
  <c r="AF1404" i="9"/>
  <c r="W1419" i="9"/>
  <c r="AF1802" i="9"/>
  <c r="AE1977" i="9"/>
  <c r="R1994" i="9"/>
  <c r="R2033" i="9"/>
  <c r="U2171" i="9"/>
  <c r="AF2170" i="9"/>
  <c r="V223" i="9"/>
  <c r="AA639" i="9"/>
  <c r="P1612" i="9"/>
  <c r="AD1696" i="9"/>
  <c r="AE1696" i="9"/>
  <c r="AG1740" i="9"/>
  <c r="J1757" i="9"/>
  <c r="U53" i="9"/>
  <c r="U1890" i="9"/>
  <c r="U1921" i="9"/>
  <c r="J51" i="9"/>
  <c r="Q2033" i="9"/>
  <c r="AG2081" i="9"/>
  <c r="P2140" i="9"/>
  <c r="I212" i="9"/>
  <c r="U223" i="9"/>
  <c r="AE348" i="9"/>
  <c r="AD348" i="9"/>
  <c r="AB639" i="9"/>
  <c r="Y671" i="9"/>
  <c r="AG671" i="9" s="1"/>
  <c r="O756" i="9"/>
  <c r="Y778" i="9"/>
  <c r="V934" i="9"/>
  <c r="Q956" i="9"/>
  <c r="R987" i="9"/>
  <c r="R993" i="9" s="1"/>
  <c r="AG1242" i="9"/>
  <c r="J1270" i="9"/>
  <c r="AG1270" i="9" s="1"/>
  <c r="AD1354" i="9"/>
  <c r="W1401" i="9"/>
  <c r="P1524" i="9"/>
  <c r="AE1532" i="9"/>
  <c r="Q1629" i="9"/>
  <c r="AE1761" i="9"/>
  <c r="AE1901" i="9"/>
  <c r="L303" i="9"/>
  <c r="AG632" i="9"/>
  <c r="AG1743" i="9"/>
  <c r="T1963" i="9"/>
  <c r="AF1962" i="9"/>
  <c r="AB2090" i="9"/>
  <c r="AG2089" i="9"/>
  <c r="R750" i="9"/>
  <c r="AE749" i="9"/>
  <c r="U741" i="9"/>
  <c r="W796" i="9"/>
  <c r="AG814" i="9"/>
  <c r="J882" i="9"/>
  <c r="W867" i="9"/>
  <c r="AD895" i="9"/>
  <c r="AE895" i="9"/>
  <c r="K1238" i="9"/>
  <c r="O1374" i="9"/>
  <c r="U1419" i="9"/>
  <c r="R1612" i="9"/>
  <c r="T1643" i="9"/>
  <c r="J34" i="9"/>
  <c r="AF1805" i="9"/>
  <c r="Q1857" i="9"/>
  <c r="AF1875" i="9"/>
  <c r="W1921" i="9"/>
  <c r="U2133" i="9"/>
  <c r="Q2140" i="9"/>
  <c r="R281" i="9"/>
  <c r="P233" i="9"/>
  <c r="K406" i="9"/>
  <c r="AE196" i="9"/>
  <c r="AE392" i="9"/>
  <c r="W185" i="9"/>
  <c r="T223" i="9"/>
  <c r="R350" i="9"/>
  <c r="AD433" i="9"/>
  <c r="AF519" i="9"/>
  <c r="AC639" i="9"/>
  <c r="AC671" i="9"/>
  <c r="AD766" i="9"/>
  <c r="AA778" i="9"/>
  <c r="P855" i="9"/>
  <c r="AD918" i="9"/>
  <c r="AF918" i="9"/>
  <c r="T934" i="9"/>
  <c r="AF934" i="9" s="1"/>
  <c r="L945" i="9"/>
  <c r="P956" i="9"/>
  <c r="P21" i="9" s="1"/>
  <c r="P72" i="9" s="1"/>
  <c r="Q987" i="9"/>
  <c r="Q993" i="9" s="1"/>
  <c r="V1401" i="9"/>
  <c r="AE1598" i="9"/>
  <c r="O1629" i="9"/>
  <c r="I34" i="9"/>
  <c r="AF1751" i="9"/>
  <c r="AF1822" i="9"/>
  <c r="W1827" i="9"/>
  <c r="AF1853" i="9"/>
  <c r="Q153" i="9"/>
  <c r="AE537" i="9"/>
  <c r="AD537" i="9"/>
  <c r="AE902" i="9"/>
  <c r="P210" i="9"/>
  <c r="AE204" i="9"/>
  <c r="P1857" i="9"/>
  <c r="V1921" i="9"/>
  <c r="AG2082" i="9"/>
  <c r="AG2093" i="9"/>
  <c r="AE2110" i="9"/>
  <c r="AD2110" i="9"/>
  <c r="T2133" i="9"/>
  <c r="T2162" i="9" s="1"/>
  <c r="P281" i="9"/>
  <c r="V185" i="9"/>
  <c r="Q350" i="9"/>
  <c r="Z639" i="9"/>
  <c r="Z689" i="9"/>
  <c r="AE704" i="9"/>
  <c r="AD704" i="9"/>
  <c r="AB778" i="9"/>
  <c r="R855" i="9"/>
  <c r="W934" i="9"/>
  <c r="O956" i="9"/>
  <c r="O21" i="9" s="1"/>
  <c r="O72" i="9" s="1"/>
  <c r="P1223" i="9"/>
  <c r="R1686" i="9"/>
  <c r="O37" i="9"/>
  <c r="O1735" i="9"/>
  <c r="AD569" i="9"/>
  <c r="AE569" i="9"/>
  <c r="T791" i="9"/>
  <c r="AF790" i="9"/>
  <c r="P1871" i="9"/>
  <c r="AE1870" i="9"/>
  <c r="L497" i="9"/>
  <c r="T508" i="9"/>
  <c r="AF508" i="9" s="1"/>
  <c r="AF507" i="9"/>
  <c r="O943" i="9"/>
  <c r="AE942" i="9"/>
  <c r="T1113" i="9"/>
  <c r="U1136" i="9"/>
  <c r="AD1291" i="9"/>
  <c r="T1419" i="9"/>
  <c r="AD1633" i="9"/>
  <c r="AE1633" i="9"/>
  <c r="AF1800" i="9"/>
  <c r="O1857" i="9"/>
  <c r="W1890" i="9"/>
  <c r="W53" i="9"/>
  <c r="T1921" i="9"/>
  <c r="Q1994" i="9"/>
  <c r="AE2058" i="9"/>
  <c r="AD2058" i="9"/>
  <c r="AG2094" i="9"/>
  <c r="V2133" i="9"/>
  <c r="V2162" i="9" s="1"/>
  <c r="V2165" i="9" s="1"/>
  <c r="V48" i="9" s="1"/>
  <c r="AD281" i="9"/>
  <c r="T185" i="9"/>
  <c r="O350" i="9"/>
  <c r="AB609" i="9"/>
  <c r="AE629" i="9"/>
  <c r="AD629" i="9"/>
  <c r="AE649" i="9"/>
  <c r="AD649" i="9"/>
  <c r="AB689" i="9"/>
  <c r="AE755" i="9"/>
  <c r="Q855" i="9"/>
  <c r="U934" i="9"/>
  <c r="AE964" i="9"/>
  <c r="P1354" i="9"/>
  <c r="AF1411" i="9"/>
  <c r="AF1528" i="9"/>
  <c r="AE1680" i="9"/>
  <c r="Q1686" i="9"/>
  <c r="AC1755" i="9"/>
  <c r="U1827" i="9"/>
  <c r="AG53" i="9"/>
  <c r="AF1954" i="9"/>
  <c r="Y217" i="9"/>
  <c r="AG217" i="9" s="1"/>
  <c r="AG216" i="9"/>
  <c r="H226" i="9"/>
  <c r="AD223" i="9"/>
  <c r="AB661" i="9"/>
  <c r="AB684" i="9" s="1"/>
  <c r="AE875" i="9"/>
  <c r="AD875" i="9"/>
  <c r="AF1061" i="9"/>
  <c r="AF1943" i="9"/>
  <c r="L1708" i="9"/>
  <c r="U1747" i="9"/>
  <c r="R1857" i="9"/>
  <c r="V53" i="9"/>
  <c r="V1890" i="9"/>
  <c r="K51" i="9"/>
  <c r="T2054" i="9"/>
  <c r="AF2054" i="9" s="1"/>
  <c r="AD2114" i="9"/>
  <c r="AE2114" i="9"/>
  <c r="W2133" i="9"/>
  <c r="W2162" i="9" s="1"/>
  <c r="W2165" i="9" s="1"/>
  <c r="W48" i="9" s="1"/>
  <c r="Q281" i="9"/>
  <c r="AD233" i="9"/>
  <c r="H303" i="9"/>
  <c r="AF220" i="9"/>
  <c r="I174" i="9"/>
  <c r="AF147" i="9"/>
  <c r="AF520" i="9"/>
  <c r="Y689" i="9"/>
  <c r="AG771" i="9"/>
  <c r="AD785" i="9"/>
  <c r="AF785" i="9"/>
  <c r="AF814" i="9"/>
  <c r="I882" i="9"/>
  <c r="O855" i="9"/>
  <c r="H968" i="9"/>
  <c r="AE966" i="9"/>
  <c r="AD966" i="9"/>
  <c r="AE1295" i="9"/>
  <c r="AE1513" i="9"/>
  <c r="AD1513" i="9"/>
  <c r="AD1578" i="9"/>
  <c r="AD1589" i="9"/>
  <c r="Q1706" i="9"/>
  <c r="P37" i="9"/>
  <c r="P1735" i="9"/>
  <c r="AB1755" i="9"/>
  <c r="U1857" i="9"/>
  <c r="AF1960" i="9"/>
  <c r="P1981" i="9"/>
  <c r="AE2078" i="9"/>
  <c r="AD2078" i="9"/>
  <c r="AG2176" i="9"/>
  <c r="AG675" i="9"/>
  <c r="AE739" i="9"/>
  <c r="AE754" i="9"/>
  <c r="R1223" i="9"/>
  <c r="AE1364" i="9"/>
  <c r="AF1589" i="9"/>
  <c r="J1645" i="9"/>
  <c r="AF2178" i="9"/>
  <c r="H212" i="9"/>
  <c r="AD185" i="9"/>
  <c r="W1113" i="9"/>
  <c r="T1136" i="9"/>
  <c r="R1291" i="9"/>
  <c r="O1341" i="9"/>
  <c r="R1374" i="9"/>
  <c r="I1645" i="9"/>
  <c r="AD1670" i="9"/>
  <c r="T1747" i="9"/>
  <c r="I1809" i="9"/>
  <c r="AF1807" i="9"/>
  <c r="AD1838" i="9"/>
  <c r="O1994" i="9"/>
  <c r="AD2019" i="9"/>
  <c r="P2033" i="9"/>
  <c r="P2048" i="9" s="1"/>
  <c r="AE2139" i="9"/>
  <c r="O281" i="9"/>
  <c r="R233" i="9"/>
  <c r="W223" i="9"/>
  <c r="U174" i="9"/>
  <c r="AE347" i="9"/>
  <c r="K497" i="9"/>
  <c r="AG670" i="9"/>
  <c r="AA689" i="9"/>
  <c r="J804" i="9"/>
  <c r="R756" i="9"/>
  <c r="AG777" i="9"/>
  <c r="AE955" i="9"/>
  <c r="AE1156" i="9"/>
  <c r="AD1156" i="9"/>
  <c r="AF1178" i="9"/>
  <c r="Q1354" i="9"/>
  <c r="AE1431" i="9"/>
  <c r="AD1431" i="9"/>
  <c r="W1546" i="9"/>
  <c r="O1686" i="9"/>
  <c r="V1720" i="9"/>
  <c r="V34" i="9" s="1"/>
  <c r="AD37" i="9"/>
  <c r="AA1755" i="9"/>
  <c r="AF1979" i="9"/>
  <c r="AF2147" i="9"/>
  <c r="AG627" i="9"/>
  <c r="K21" i="9"/>
  <c r="K72" i="9" s="1"/>
  <c r="K1155" i="9"/>
  <c r="W1407" i="9"/>
  <c r="AF1406" i="9"/>
  <c r="AE1437" i="9"/>
  <c r="AD1437" i="9"/>
  <c r="W1643" i="9"/>
  <c r="AE1656" i="9"/>
  <c r="AF1734" i="9"/>
  <c r="AC1747" i="9"/>
  <c r="Q1940" i="9"/>
  <c r="J174" i="9"/>
  <c r="AE243" i="9"/>
  <c r="AD1857" i="9"/>
  <c r="P1994" i="9"/>
  <c r="H2162" i="9"/>
  <c r="O2162" i="9"/>
  <c r="K2216" i="9"/>
  <c r="K49" i="9" s="1"/>
  <c r="AE197" i="9"/>
  <c r="AD197" i="9"/>
  <c r="I226" i="9"/>
  <c r="T174" i="9"/>
  <c r="AD508" i="9"/>
  <c r="AE508" i="9"/>
  <c r="Y639" i="9"/>
  <c r="AG639" i="9" s="1"/>
  <c r="AC689" i="9"/>
  <c r="Q756" i="9"/>
  <c r="Z778" i="9"/>
  <c r="P987" i="9"/>
  <c r="P993" i="9" s="1"/>
  <c r="AF1124" i="9"/>
  <c r="T1179" i="9"/>
  <c r="T1184" i="9" s="1"/>
  <c r="T22" i="9" s="1"/>
  <c r="T73" i="9" s="1"/>
  <c r="AF1175" i="9"/>
  <c r="L1238" i="9"/>
  <c r="O1354" i="9"/>
  <c r="AE1353" i="9"/>
  <c r="R1368" i="9"/>
  <c r="U1401" i="9"/>
  <c r="V1546" i="9"/>
  <c r="AE1617" i="9"/>
  <c r="P1629" i="9"/>
  <c r="AE1705" i="9"/>
  <c r="W1720" i="9"/>
  <c r="W34" i="9" s="1"/>
  <c r="R37" i="9"/>
  <c r="R1735" i="9"/>
  <c r="Y1755" i="9"/>
  <c r="R1817" i="9"/>
  <c r="R38" i="9" s="1"/>
  <c r="AE1835" i="9"/>
  <c r="U1838" i="9"/>
  <c r="AB53" i="9"/>
  <c r="AB1890" i="9"/>
  <c r="AE1943" i="9"/>
  <c r="Z2066" i="9"/>
  <c r="AG2065" i="9"/>
  <c r="T926" i="9"/>
  <c r="AF926" i="9" s="1"/>
  <c r="AF924" i="9"/>
  <c r="T943" i="9"/>
  <c r="AF942" i="9"/>
  <c r="Q399" i="9"/>
  <c r="AE397" i="9"/>
  <c r="Q124" i="9"/>
  <c r="AE123" i="9"/>
  <c r="R1354" i="9"/>
  <c r="AD1368" i="9"/>
  <c r="T1401" i="9"/>
  <c r="AE1501" i="9"/>
  <c r="AD1501" i="9"/>
  <c r="R1524" i="9"/>
  <c r="AE1524" i="9" s="1"/>
  <c r="T1546" i="9"/>
  <c r="P1686" i="9"/>
  <c r="P1706" i="9"/>
  <c r="U1720" i="9"/>
  <c r="U34" i="9" s="1"/>
  <c r="AD1735" i="9"/>
  <c r="O1817" i="9"/>
  <c r="O38" i="9" s="1"/>
  <c r="T1827" i="9"/>
  <c r="V1857" i="9"/>
  <c r="K43" i="9"/>
  <c r="AA1890" i="9"/>
  <c r="AA53" i="9"/>
  <c r="R1981" i="9"/>
  <c r="U2140" i="9"/>
  <c r="U2162" i="9" s="1"/>
  <c r="U2165" i="9" s="1"/>
  <c r="U48" i="9" s="1"/>
  <c r="AE402" i="9"/>
  <c r="P131" i="9"/>
  <c r="AD153" i="9"/>
  <c r="Q223" i="9"/>
  <c r="AE250" i="9"/>
  <c r="AE549" i="9"/>
  <c r="AD549" i="9"/>
  <c r="AG574" i="9"/>
  <c r="AB599" i="9"/>
  <c r="AA661" i="9"/>
  <c r="T920" i="9"/>
  <c r="V943" i="9"/>
  <c r="AF964" i="9"/>
  <c r="Q1195" i="9"/>
  <c r="Q1223" i="9"/>
  <c r="O1319" i="9"/>
  <c r="T1407" i="9"/>
  <c r="AE1489" i="9"/>
  <c r="AD1489" i="9"/>
  <c r="V1643" i="9"/>
  <c r="V37" i="9"/>
  <c r="V1735" i="9"/>
  <c r="J38" i="9"/>
  <c r="R1871" i="9"/>
  <c r="V1963" i="9"/>
  <c r="R2007" i="9"/>
  <c r="AE2054" i="9"/>
  <c r="AD2054" i="9"/>
  <c r="Y147" i="9"/>
  <c r="R286" i="9"/>
  <c r="U124" i="9"/>
  <c r="P124" i="9"/>
  <c r="Q185" i="9"/>
  <c r="AE323" i="9"/>
  <c r="O380" i="9"/>
  <c r="AE380" i="9" s="1"/>
  <c r="AD449" i="9"/>
  <c r="AD487" i="9"/>
  <c r="Y726" i="9"/>
  <c r="AG724" i="9"/>
  <c r="AE732" i="9"/>
  <c r="O814" i="9"/>
  <c r="AE813" i="9"/>
  <c r="AD909" i="9"/>
  <c r="AD943" i="9"/>
  <c r="AF1027" i="9"/>
  <c r="AF1111" i="9"/>
  <c r="Q131" i="9"/>
  <c r="P223" i="9"/>
  <c r="Y599" i="9"/>
  <c r="AE644" i="9"/>
  <c r="AD644" i="9"/>
  <c r="Z661" i="9"/>
  <c r="V756" i="9"/>
  <c r="T766" i="9"/>
  <c r="AF766" i="9" s="1"/>
  <c r="AD771" i="9"/>
  <c r="U968" i="9"/>
  <c r="U25" i="9" s="1"/>
  <c r="U78" i="9" s="1"/>
  <c r="J1107" i="9"/>
  <c r="AG1179" i="9"/>
  <c r="R1195" i="9"/>
  <c r="AG1277" i="9"/>
  <c r="J1328" i="9"/>
  <c r="AG1328" i="9" s="1"/>
  <c r="Q1319" i="9"/>
  <c r="AG1481" i="9"/>
  <c r="L1672" i="9"/>
  <c r="U1643" i="9"/>
  <c r="J1708" i="9"/>
  <c r="J36" i="9"/>
  <c r="AD1797" i="9"/>
  <c r="H1809" i="9"/>
  <c r="P1940" i="9"/>
  <c r="AD1981" i="9"/>
  <c r="Q2007" i="9"/>
  <c r="AG2070" i="9"/>
  <c r="AE2098" i="9"/>
  <c r="AD2098" i="9"/>
  <c r="L2216" i="9"/>
  <c r="L49" i="9" s="1"/>
  <c r="O399" i="9"/>
  <c r="Z147" i="9"/>
  <c r="P286" i="9"/>
  <c r="AD311" i="9"/>
  <c r="AE311" i="9"/>
  <c r="T124" i="9"/>
  <c r="AD157" i="9"/>
  <c r="AE157" i="9"/>
  <c r="AE324" i="9"/>
  <c r="AD324" i="9"/>
  <c r="AD380" i="9"/>
  <c r="Y624" i="9"/>
  <c r="AG623" i="9"/>
  <c r="R814" i="9"/>
  <c r="AE1016" i="9"/>
  <c r="AE1209" i="9"/>
  <c r="AD1209" i="9"/>
  <c r="R1230" i="9"/>
  <c r="Q1817" i="9"/>
  <c r="Q38" i="9" s="1"/>
  <c r="W1838" i="9"/>
  <c r="T1857" i="9"/>
  <c r="AG2066" i="9"/>
  <c r="R404" i="9"/>
  <c r="AE404" i="9" s="1"/>
  <c r="O131" i="9"/>
  <c r="O223" i="9"/>
  <c r="R252" i="9"/>
  <c r="R478" i="9"/>
  <c r="AF556" i="9"/>
  <c r="AG573" i="9"/>
  <c r="AC599" i="9"/>
  <c r="AB654" i="9"/>
  <c r="AC661" i="9"/>
  <c r="T756" i="9"/>
  <c r="I968" i="9"/>
  <c r="AF966" i="9"/>
  <c r="AF1156" i="9"/>
  <c r="W1105" i="9"/>
  <c r="O1223" i="9"/>
  <c r="AD1250" i="9"/>
  <c r="AE1250" i="9"/>
  <c r="L1328" i="9"/>
  <c r="T1623" i="9"/>
  <c r="U37" i="9"/>
  <c r="U1735" i="9"/>
  <c r="O1871" i="9"/>
  <c r="AD1917" i="9"/>
  <c r="AD1940" i="9"/>
  <c r="AG2077" i="9"/>
  <c r="J2121" i="9"/>
  <c r="J2165" i="9" s="1"/>
  <c r="P2171" i="9"/>
  <c r="AE2171" i="9" s="1"/>
  <c r="AE316" i="9"/>
  <c r="AD316" i="9"/>
  <c r="P399" i="9"/>
  <c r="AD286" i="9"/>
  <c r="O210" i="9"/>
  <c r="AE210" i="9" s="1"/>
  <c r="AD291" i="9"/>
  <c r="O259" i="9"/>
  <c r="R361" i="9"/>
  <c r="AE437" i="9"/>
  <c r="AD437" i="9"/>
  <c r="T504" i="9"/>
  <c r="Z624" i="9"/>
  <c r="K882" i="9"/>
  <c r="AF939" i="9"/>
  <c r="AD1034" i="9"/>
  <c r="AE1024" i="9"/>
  <c r="AE1076" i="9"/>
  <c r="O1105" i="9"/>
  <c r="O1107" i="9" s="1"/>
  <c r="O1291" i="9"/>
  <c r="AE1290" i="9"/>
  <c r="U1179" i="9"/>
  <c r="U1184" i="9" s="1"/>
  <c r="U22" i="9" s="1"/>
  <c r="U73" i="9" s="1"/>
  <c r="AF1277" i="9"/>
  <c r="I1328" i="9"/>
  <c r="AF1328" i="9" s="1"/>
  <c r="Q1368" i="9"/>
  <c r="AE1401" i="9"/>
  <c r="AD1401" i="9"/>
  <c r="AE1469" i="9"/>
  <c r="AD1469" i="9"/>
  <c r="AD1509" i="9"/>
  <c r="AE1509" i="9"/>
  <c r="U1546" i="9"/>
  <c r="Q37" i="9"/>
  <c r="Q1735" i="9"/>
  <c r="Z1755" i="9"/>
  <c r="P1817" i="9"/>
  <c r="P38" i="9" s="1"/>
  <c r="V1838" i="9"/>
  <c r="V35" i="9" s="1"/>
  <c r="W1857" i="9"/>
  <c r="AC1890" i="9"/>
  <c r="AC53" i="9"/>
  <c r="AD404" i="9"/>
  <c r="H2230" i="9"/>
  <c r="AD131" i="9"/>
  <c r="P153" i="9"/>
  <c r="AD252" i="9"/>
  <c r="AE335" i="9"/>
  <c r="V559" i="9"/>
  <c r="AG594" i="9"/>
  <c r="AA654" i="9"/>
  <c r="Y661" i="9"/>
  <c r="AD726" i="9"/>
  <c r="AE726" i="9"/>
  <c r="W756" i="9"/>
  <c r="AD891" i="9"/>
  <c r="J920" i="9"/>
  <c r="AF913" i="9"/>
  <c r="T968" i="9"/>
  <c r="T25" i="9" s="1"/>
  <c r="T78" i="9" s="1"/>
  <c r="V1105" i="9"/>
  <c r="V1107" i="9" s="1"/>
  <c r="O1113" i="9"/>
  <c r="AF1177" i="9"/>
  <c r="O1195" i="9"/>
  <c r="AD1334" i="9"/>
  <c r="H1381" i="9"/>
  <c r="AD1465" i="9"/>
  <c r="AE1465" i="9"/>
  <c r="AF1612" i="9"/>
  <c r="V1623" i="9"/>
  <c r="AD1747" i="9"/>
  <c r="AB1747" i="9"/>
  <c r="AF1879" i="9"/>
  <c r="AE1897" i="9"/>
  <c r="AF1907" i="9"/>
  <c r="R1921" i="9"/>
  <c r="P2007" i="9"/>
  <c r="AE2007" i="9" s="1"/>
  <c r="AG2069" i="9"/>
  <c r="AG145" i="9"/>
  <c r="O286" i="9"/>
  <c r="AD210" i="9"/>
  <c r="L13" i="9"/>
  <c r="R124" i="9"/>
  <c r="AG356" i="9"/>
  <c r="J406" i="9"/>
  <c r="AG406" i="9" s="1"/>
  <c r="P291" i="9"/>
  <c r="R259" i="9"/>
  <c r="AE156" i="9"/>
  <c r="P361" i="9"/>
  <c r="P449" i="9"/>
  <c r="P487" i="9"/>
  <c r="AD609" i="9"/>
  <c r="AE609" i="9"/>
  <c r="AC855" i="9"/>
  <c r="AF859" i="9"/>
  <c r="R926" i="9"/>
  <c r="AE924" i="9"/>
  <c r="AF1093" i="9"/>
  <c r="R1284" i="9"/>
  <c r="L2048" i="9"/>
  <c r="L2165" i="9" s="1"/>
  <c r="L48" i="9" s="1"/>
  <c r="Q1981" i="9"/>
  <c r="I2162" i="9"/>
  <c r="R131" i="9"/>
  <c r="K212" i="9"/>
  <c r="K228" i="9" s="1"/>
  <c r="P478" i="9"/>
  <c r="I559" i="9"/>
  <c r="AF545" i="9"/>
  <c r="AC654" i="9"/>
  <c r="AG726" i="9"/>
  <c r="U756" i="9"/>
  <c r="V791" i="9"/>
  <c r="W968" i="9"/>
  <c r="W25" i="9" s="1"/>
  <c r="W78" i="9" s="1"/>
  <c r="AD1068" i="9"/>
  <c r="T1105" i="9"/>
  <c r="T1107" i="9" s="1"/>
  <c r="P1195" i="9"/>
  <c r="AD1223" i="9"/>
  <c r="O1368" i="9"/>
  <c r="AE1425" i="9"/>
  <c r="AD1425" i="9"/>
  <c r="AE1443" i="9"/>
  <c r="AD1443" i="9"/>
  <c r="W1623" i="9"/>
  <c r="Y1747" i="9"/>
  <c r="I1883" i="9"/>
  <c r="AF1881" i="9"/>
  <c r="AD1898" i="9"/>
  <c r="AE1898" i="9"/>
  <c r="O1917" i="9"/>
  <c r="AE1917" i="9" s="1"/>
  <c r="Q1921" i="9"/>
  <c r="AE1939" i="9"/>
  <c r="O2007" i="9"/>
  <c r="O2033" i="9"/>
  <c r="O2048" i="9" s="1"/>
  <c r="AA147" i="9"/>
  <c r="P259" i="9"/>
  <c r="AD926" i="9"/>
  <c r="AE926" i="9"/>
  <c r="O1284" i="9"/>
  <c r="AE1283" i="9"/>
  <c r="Z53" i="9"/>
  <c r="Z1890" i="9"/>
  <c r="O153" i="9"/>
  <c r="AE220" i="9"/>
  <c r="Q478" i="9"/>
  <c r="W791" i="9"/>
  <c r="W943" i="9"/>
  <c r="V968" i="9"/>
  <c r="V25" i="9" s="1"/>
  <c r="V78" i="9" s="1"/>
  <c r="U1105" i="9"/>
  <c r="AD1195" i="9"/>
  <c r="R1319" i="9"/>
  <c r="V1407" i="9"/>
  <c r="AE1477" i="9"/>
  <c r="AD1477" i="9"/>
  <c r="U1623" i="9"/>
  <c r="T1735" i="9"/>
  <c r="T37" i="9"/>
  <c r="AA1747" i="9"/>
  <c r="O1940" i="9"/>
  <c r="U1963" i="9"/>
  <c r="AF1963" i="9" s="1"/>
  <c r="AG2078" i="9"/>
  <c r="AE315" i="9"/>
  <c r="AD399" i="9"/>
  <c r="AB147" i="9"/>
  <c r="Q286" i="9"/>
  <c r="Q210" i="9"/>
  <c r="I13" i="9"/>
  <c r="R185" i="9"/>
  <c r="R291" i="9"/>
  <c r="AE1010" i="9"/>
  <c r="V1827" i="9"/>
  <c r="Y1890" i="9"/>
  <c r="Y53" i="9"/>
  <c r="O1981" i="9"/>
  <c r="R153" i="9"/>
  <c r="R223" i="9"/>
  <c r="P252" i="9"/>
  <c r="AE252" i="9" s="1"/>
  <c r="AD336" i="9"/>
  <c r="AE336" i="9"/>
  <c r="O478" i="9"/>
  <c r="AF557" i="9"/>
  <c r="J656" i="9"/>
  <c r="AG598" i="9"/>
  <c r="AG660" i="9"/>
  <c r="AG677" i="9"/>
  <c r="AD699" i="9"/>
  <c r="AE699" i="9"/>
  <c r="AG725" i="9"/>
  <c r="AF763" i="9"/>
  <c r="U791" i="9"/>
  <c r="AE874" i="9"/>
  <c r="AF912" i="9"/>
  <c r="U943" i="9"/>
  <c r="AE1222" i="9"/>
  <c r="AE1249" i="9"/>
  <c r="P1319" i="9"/>
  <c r="U1407" i="9"/>
  <c r="AF1546" i="9"/>
  <c r="AF1642" i="9"/>
  <c r="Z1747" i="9"/>
  <c r="L1757" i="9"/>
  <c r="L42" i="9" s="1"/>
  <c r="L35" i="9"/>
  <c r="Q1871" i="9"/>
  <c r="AF1908" i="9"/>
  <c r="P1921" i="9"/>
  <c r="R1940" i="9"/>
  <c r="W1963" i="9"/>
  <c r="AG2090" i="9"/>
  <c r="R399" i="9"/>
  <c r="AC147" i="9"/>
  <c r="R210" i="9"/>
  <c r="V124" i="9"/>
  <c r="O185" i="9"/>
  <c r="O212" i="9" s="1"/>
  <c r="AE255" i="9"/>
  <c r="AE844" i="9"/>
  <c r="R1034" i="9"/>
  <c r="AE1033" i="9"/>
  <c r="AF1058" i="9"/>
  <c r="Q361" i="9"/>
  <c r="O449" i="9"/>
  <c r="Q487" i="9"/>
  <c r="AE594" i="9"/>
  <c r="AD594" i="9"/>
  <c r="AB711" i="9"/>
  <c r="T741" i="9"/>
  <c r="AD750" i="9"/>
  <c r="O778" i="9"/>
  <c r="AE778" i="9" s="1"/>
  <c r="K804" i="9"/>
  <c r="AD855" i="9"/>
  <c r="O891" i="9"/>
  <c r="R943" i="9"/>
  <c r="U1068" i="9"/>
  <c r="Q1202" i="9"/>
  <c r="AE1257" i="9"/>
  <c r="U1437" i="9"/>
  <c r="AG1484" i="9"/>
  <c r="AD1524" i="9"/>
  <c r="V1524" i="9"/>
  <c r="AA1629" i="9"/>
  <c r="Q1643" i="9"/>
  <c r="U1706" i="9"/>
  <c r="O1732" i="9"/>
  <c r="O36" i="9" s="1"/>
  <c r="P1740" i="9"/>
  <c r="U1797" i="9"/>
  <c r="U1809" i="9" s="1"/>
  <c r="U40" i="9" s="1"/>
  <c r="AD1817" i="9"/>
  <c r="H38" i="9"/>
  <c r="AE1817" i="9"/>
  <c r="P1929" i="9"/>
  <c r="P52" i="9" s="1"/>
  <c r="W1940" i="9"/>
  <c r="W54" i="9" s="1"/>
  <c r="AG2085" i="9"/>
  <c r="U2180" i="9"/>
  <c r="J2206" i="9"/>
  <c r="AF1652" i="9"/>
  <c r="W1740" i="9"/>
  <c r="AD416" i="9"/>
  <c r="AC721" i="9"/>
  <c r="V1394" i="9"/>
  <c r="AD1678" i="9"/>
  <c r="H1708" i="9"/>
  <c r="AE959" i="9"/>
  <c r="AE1413" i="9"/>
  <c r="AD1413" i="9"/>
  <c r="U2188" i="9"/>
  <c r="AE1253" i="9"/>
  <c r="AD913" i="9"/>
  <c r="AE913" i="9"/>
  <c r="AF981" i="9"/>
  <c r="AG1473" i="9"/>
  <c r="O296" i="9"/>
  <c r="Z584" i="9"/>
  <c r="Z644" i="9"/>
  <c r="Z694" i="9"/>
  <c r="U1425" i="9"/>
  <c r="Q1838" i="9"/>
  <c r="Q1963" i="9"/>
  <c r="O487" i="9"/>
  <c r="AA711" i="9"/>
  <c r="AA728" i="9" s="1"/>
  <c r="U771" i="9"/>
  <c r="Q814" i="9"/>
  <c r="H920" i="9"/>
  <c r="P943" i="9"/>
  <c r="AD1202" i="9"/>
  <c r="AE1258" i="9"/>
  <c r="AD1258" i="9"/>
  <c r="Q1284" i="9"/>
  <c r="T1437" i="9"/>
  <c r="AG1468" i="9"/>
  <c r="AG1485" i="9"/>
  <c r="AG1496" i="9"/>
  <c r="W1524" i="9"/>
  <c r="O1534" i="9"/>
  <c r="P1643" i="9"/>
  <c r="AF1650" i="9"/>
  <c r="V1662" i="9"/>
  <c r="AF1678" i="9"/>
  <c r="I1708" i="9"/>
  <c r="R1755" i="9"/>
  <c r="AF1876" i="9"/>
  <c r="R1929" i="9"/>
  <c r="R52" i="9" s="1"/>
  <c r="U1940" i="9"/>
  <c r="AF2171" i="9"/>
  <c r="T2180" i="9"/>
  <c r="AF193" i="9"/>
  <c r="Q270" i="9"/>
  <c r="AE217" i="9"/>
  <c r="AD217" i="9"/>
  <c r="AD589" i="9"/>
  <c r="AE589" i="9"/>
  <c r="Z721" i="9"/>
  <c r="I1453" i="9"/>
  <c r="W1578" i="9"/>
  <c r="P909" i="9"/>
  <c r="P1177" i="9"/>
  <c r="AE1177" i="9" s="1"/>
  <c r="Z666" i="9"/>
  <c r="T778" i="9"/>
  <c r="AE1778" i="9"/>
  <c r="AF2143" i="9"/>
  <c r="P1678" i="9"/>
  <c r="J303" i="9"/>
  <c r="AG233" i="9"/>
  <c r="AE410" i="9"/>
  <c r="AF537" i="9"/>
  <c r="AC584" i="9"/>
  <c r="Y694" i="9"/>
  <c r="W1425" i="9"/>
  <c r="T1929" i="9"/>
  <c r="T52" i="9" s="1"/>
  <c r="AD2203" i="9"/>
  <c r="H2206" i="9"/>
  <c r="R1325" i="9"/>
  <c r="O1379" i="9"/>
  <c r="AE1379" i="9" s="1"/>
  <c r="T1431" i="9"/>
  <c r="W1437" i="9"/>
  <c r="AG1469" i="9"/>
  <c r="Q1534" i="9"/>
  <c r="P1589" i="9"/>
  <c r="Y1629" i="9"/>
  <c r="U1662" i="9"/>
  <c r="U1696" i="9"/>
  <c r="O1706" i="9"/>
  <c r="Q1755" i="9"/>
  <c r="O1827" i="9"/>
  <c r="O1929" i="9"/>
  <c r="O52" i="9" s="1"/>
  <c r="T1940" i="9"/>
  <c r="T54" i="9" s="1"/>
  <c r="L51" i="9"/>
  <c r="W2180" i="9"/>
  <c r="Q2188" i="9"/>
  <c r="O270" i="9"/>
  <c r="Y721" i="9"/>
  <c r="Y728" i="9" s="1"/>
  <c r="V1578" i="9"/>
  <c r="R1334" i="9"/>
  <c r="AD478" i="9"/>
  <c r="AF478" i="9"/>
  <c r="Q909" i="9"/>
  <c r="U1443" i="9"/>
  <c r="AC579" i="9"/>
  <c r="U778" i="9"/>
  <c r="J1516" i="9"/>
  <c r="T1706" i="9"/>
  <c r="O1678" i="9"/>
  <c r="K13" i="9"/>
  <c r="Q164" i="9"/>
  <c r="AE294" i="9"/>
  <c r="AB584" i="9"/>
  <c r="AE671" i="9"/>
  <c r="AD671" i="9"/>
  <c r="AC694" i="9"/>
  <c r="O825" i="9"/>
  <c r="AE977" i="9"/>
  <c r="H993" i="9"/>
  <c r="Q1903" i="9"/>
  <c r="V1929" i="9"/>
  <c r="V52" i="9" s="1"/>
  <c r="AD1963" i="9"/>
  <c r="Q1325" i="9"/>
  <c r="K1381" i="9"/>
  <c r="V1437" i="9"/>
  <c r="AD1546" i="9"/>
  <c r="AE1546" i="9"/>
  <c r="P1567" i="9"/>
  <c r="O1578" i="9"/>
  <c r="R1589" i="9"/>
  <c r="AB1629" i="9"/>
  <c r="T1696" i="9"/>
  <c r="P1755" i="9"/>
  <c r="AD1802" i="9"/>
  <c r="AE1802" i="9"/>
  <c r="P1827" i="9"/>
  <c r="Q1929" i="9"/>
  <c r="Q52" i="9" s="1"/>
  <c r="W1994" i="9"/>
  <c r="P2188" i="9"/>
  <c r="P270" i="9"/>
  <c r="AE711" i="9"/>
  <c r="AD711" i="9"/>
  <c r="H728" i="9"/>
  <c r="AD1567" i="9"/>
  <c r="AF1653" i="9"/>
  <c r="P416" i="9"/>
  <c r="W1567" i="9"/>
  <c r="U1578" i="9"/>
  <c r="AG1505" i="9"/>
  <c r="U1558" i="9"/>
  <c r="O909" i="9"/>
  <c r="T1443" i="9"/>
  <c r="AD1726" i="9"/>
  <c r="AE1726" i="9"/>
  <c r="H36" i="9"/>
  <c r="AD332" i="9"/>
  <c r="AE332" i="9"/>
  <c r="Z579" i="9"/>
  <c r="AC666" i="9"/>
  <c r="W778" i="9"/>
  <c r="H1781" i="9"/>
  <c r="AE1779" i="9"/>
  <c r="AD1779" i="9"/>
  <c r="AF2144" i="9"/>
  <c r="R1678" i="9"/>
  <c r="AD164" i="9"/>
  <c r="Q296" i="9"/>
  <c r="R825" i="9"/>
  <c r="T1686" i="9"/>
  <c r="AE1837" i="9"/>
  <c r="P1903" i="9"/>
  <c r="W1929" i="9"/>
  <c r="W52" i="9" s="1"/>
  <c r="P2203" i="9"/>
  <c r="P2206" i="9" s="1"/>
  <c r="O750" i="9"/>
  <c r="P766" i="9"/>
  <c r="T771" i="9"/>
  <c r="AF771" i="9" s="1"/>
  <c r="AD791" i="9"/>
  <c r="AE791" i="9"/>
  <c r="P814" i="9"/>
  <c r="AB855" i="9"/>
  <c r="R891" i="9"/>
  <c r="Q1034" i="9"/>
  <c r="Q1105" i="9"/>
  <c r="Q1107" i="9" s="1"/>
  <c r="P1202" i="9"/>
  <c r="P1230" i="9"/>
  <c r="P1291" i="9"/>
  <c r="O1325" i="9"/>
  <c r="AD1379" i="9"/>
  <c r="O1567" i="9"/>
  <c r="R1578" i="9"/>
  <c r="Q1589" i="9"/>
  <c r="AC1629" i="9"/>
  <c r="H1645" i="9"/>
  <c r="H1672" i="9" s="1"/>
  <c r="AD1643" i="9"/>
  <c r="W1662" i="9"/>
  <c r="V1696" i="9"/>
  <c r="AD1732" i="9"/>
  <c r="R1732" i="9"/>
  <c r="R36" i="9" s="1"/>
  <c r="R1740" i="9"/>
  <c r="AE1770" i="9"/>
  <c r="R1827" i="9"/>
  <c r="U1994" i="9"/>
  <c r="R270" i="9"/>
  <c r="R1113" i="9"/>
  <c r="AG1477" i="9"/>
  <c r="AF1917" i="9"/>
  <c r="R416" i="9"/>
  <c r="AF743" i="9"/>
  <c r="AE870" i="9"/>
  <c r="V1567" i="9"/>
  <c r="T1578" i="9"/>
  <c r="AF515" i="9"/>
  <c r="H684" i="9"/>
  <c r="AD682" i="9"/>
  <c r="AE682" i="9"/>
  <c r="AB766" i="9"/>
  <c r="Q1312" i="9"/>
  <c r="P1334" i="9"/>
  <c r="T1558" i="9"/>
  <c r="AF1898" i="9"/>
  <c r="R909" i="9"/>
  <c r="W1443" i="9"/>
  <c r="AE343" i="9"/>
  <c r="Y579" i="9"/>
  <c r="AB666" i="9"/>
  <c r="V778" i="9"/>
  <c r="O1781" i="9"/>
  <c r="O39" i="9" s="1"/>
  <c r="AF980" i="9"/>
  <c r="AG1472" i="9"/>
  <c r="Q1678" i="9"/>
  <c r="V190" i="9"/>
  <c r="R164" i="9"/>
  <c r="AA644" i="9"/>
  <c r="V750" i="9"/>
  <c r="Q825" i="9"/>
  <c r="H1238" i="9"/>
  <c r="AD1235" i="9"/>
  <c r="AE1235" i="9"/>
  <c r="AD1361" i="9"/>
  <c r="AE1361" i="9"/>
  <c r="V1686" i="9"/>
  <c r="O1838" i="9"/>
  <c r="AE1838" i="9" s="1"/>
  <c r="O1903" i="9"/>
  <c r="U1929" i="9"/>
  <c r="U52" i="9" s="1"/>
  <c r="Q2203" i="9"/>
  <c r="Q2206" i="9" s="1"/>
  <c r="Q2216" i="9" s="1"/>
  <c r="Q49" i="9" s="1"/>
  <c r="AA624" i="9"/>
  <c r="Z711" i="9"/>
  <c r="Q750" i="9"/>
  <c r="R766" i="9"/>
  <c r="AD778" i="9"/>
  <c r="AD814" i="9"/>
  <c r="H882" i="9"/>
  <c r="AD838" i="9"/>
  <c r="AE838" i="9"/>
  <c r="AA855" i="9"/>
  <c r="Q891" i="9"/>
  <c r="Q920" i="9" s="1"/>
  <c r="L21" i="9"/>
  <c r="L72" i="9" s="1"/>
  <c r="L1155" i="9"/>
  <c r="J993" i="9"/>
  <c r="O1034" i="9"/>
  <c r="T1068" i="9"/>
  <c r="P1105" i="9"/>
  <c r="P1107" i="9" s="1"/>
  <c r="O1202" i="9"/>
  <c r="Q1230" i="9"/>
  <c r="AE1246" i="9"/>
  <c r="AD1246" i="9"/>
  <c r="Q1291" i="9"/>
  <c r="P1325" i="9"/>
  <c r="AE1377" i="9"/>
  <c r="AG1497" i="9"/>
  <c r="AF1523" i="9"/>
  <c r="AE1533" i="9"/>
  <c r="Q1567" i="9"/>
  <c r="Q1578" i="9"/>
  <c r="O1589" i="9"/>
  <c r="AF1649" i="9"/>
  <c r="W1696" i="9"/>
  <c r="AF1696" i="9" s="1"/>
  <c r="Q1740" i="9"/>
  <c r="O1755" i="9"/>
  <c r="W1797" i="9"/>
  <c r="W1809" i="9" s="1"/>
  <c r="W40" i="9" s="1"/>
  <c r="J35" i="9"/>
  <c r="Q1827" i="9"/>
  <c r="AD1921" i="9"/>
  <c r="H52" i="9"/>
  <c r="T1994" i="9"/>
  <c r="R2188" i="9"/>
  <c r="AF194" i="9"/>
  <c r="AD270" i="9"/>
  <c r="Q1113" i="9"/>
  <c r="R1567" i="9"/>
  <c r="U1740" i="9"/>
  <c r="AG720" i="9"/>
  <c r="AD1230" i="9"/>
  <c r="T1394" i="9"/>
  <c r="AG1489" i="9"/>
  <c r="U1567" i="9"/>
  <c r="J54" i="9"/>
  <c r="O1312" i="9"/>
  <c r="O1334" i="9"/>
  <c r="AG1504" i="9"/>
  <c r="W1558" i="9"/>
  <c r="AF1558" i="9" s="1"/>
  <c r="W2188" i="9"/>
  <c r="AA569" i="9"/>
  <c r="AG569" i="9" s="1"/>
  <c r="V1443" i="9"/>
  <c r="AE331" i="9"/>
  <c r="AD344" i="9"/>
  <c r="AE344" i="9"/>
  <c r="AB579" i="9"/>
  <c r="AA666" i="9"/>
  <c r="AE2025" i="9"/>
  <c r="AD2025" i="9"/>
  <c r="AE677" i="9"/>
  <c r="AD677" i="9"/>
  <c r="AD1347" i="9"/>
  <c r="AE1347" i="9"/>
  <c r="O1963" i="9"/>
  <c r="T190" i="9"/>
  <c r="P164" i="9"/>
  <c r="R296" i="9"/>
  <c r="AD411" i="9"/>
  <c r="AE411" i="9"/>
  <c r="H457" i="9"/>
  <c r="O433" i="9"/>
  <c r="AE433" i="9" s="1"/>
  <c r="Y644" i="9"/>
  <c r="AG644" i="9" s="1"/>
  <c r="U750" i="9"/>
  <c r="P825" i="9"/>
  <c r="AF1424" i="9"/>
  <c r="W1686" i="9"/>
  <c r="AF1686" i="9" s="1"/>
  <c r="P1838" i="9"/>
  <c r="P35" i="9" s="1"/>
  <c r="J1883" i="9"/>
  <c r="R1903" i="9"/>
  <c r="I52" i="9"/>
  <c r="P1963" i="9"/>
  <c r="O2203" i="9"/>
  <c r="O2206" i="9" s="1"/>
  <c r="O124" i="9"/>
  <c r="P185" i="9"/>
  <c r="AD259" i="9"/>
  <c r="O361" i="9"/>
  <c r="AE361" i="9" s="1"/>
  <c r="R449" i="9"/>
  <c r="W504" i="9"/>
  <c r="W559" i="9" s="1"/>
  <c r="AE557" i="9"/>
  <c r="AD557" i="9"/>
  <c r="AE614" i="9"/>
  <c r="AD614" i="9"/>
  <c r="AC624" i="9"/>
  <c r="AD654" i="9"/>
  <c r="AE654" i="9"/>
  <c r="AF738" i="9"/>
  <c r="P750" i="9"/>
  <c r="O766" i="9"/>
  <c r="AE774" i="9"/>
  <c r="P891" i="9"/>
  <c r="Q943" i="9"/>
  <c r="P1034" i="9"/>
  <c r="W1068" i="9"/>
  <c r="R1105" i="9"/>
  <c r="R1107" i="9" s="1"/>
  <c r="R1202" i="9"/>
  <c r="O1230" i="9"/>
  <c r="AF1428" i="9"/>
  <c r="U1524" i="9"/>
  <c r="R1534" i="9"/>
  <c r="AD1706" i="9"/>
  <c r="W1706" i="9"/>
  <c r="Q1732" i="9"/>
  <c r="Q36" i="9" s="1"/>
  <c r="V1797" i="9"/>
  <c r="V1809" i="9" s="1"/>
  <c r="V40" i="9" s="1"/>
  <c r="AD1827" i="9"/>
  <c r="H35" i="9"/>
  <c r="AF1939" i="9"/>
  <c r="V1994" i="9"/>
  <c r="AF2106" i="9"/>
  <c r="I2121" i="9"/>
  <c r="AF2121" i="9" s="1"/>
  <c r="AF2179" i="9"/>
  <c r="O2188" i="9"/>
  <c r="AE216" i="9"/>
  <c r="AF735" i="9"/>
  <c r="I804" i="9"/>
  <c r="P1113" i="9"/>
  <c r="AG1476" i="9"/>
  <c r="V1740" i="9"/>
  <c r="Q416" i="9"/>
  <c r="AB721" i="9"/>
  <c r="AE871" i="9"/>
  <c r="AD871" i="9"/>
  <c r="W1394" i="9"/>
  <c r="T1567" i="9"/>
  <c r="AF1567" i="9" s="1"/>
  <c r="AF553" i="9"/>
  <c r="AD961" i="9"/>
  <c r="AE961" i="9"/>
  <c r="P1312" i="9"/>
  <c r="Q1334" i="9"/>
  <c r="V1558" i="9"/>
  <c r="T2188" i="9"/>
  <c r="O2212" i="9"/>
  <c r="O2214" i="9" s="1"/>
  <c r="O2215" i="9" s="1"/>
  <c r="AD1254" i="9"/>
  <c r="AE1254" i="9"/>
  <c r="AA579" i="9"/>
  <c r="O1643" i="9"/>
  <c r="AF1702" i="9"/>
  <c r="R1781" i="9"/>
  <c r="R39" i="9" s="1"/>
  <c r="U190" i="9"/>
  <c r="AD296" i="9"/>
  <c r="AA584" i="9"/>
  <c r="AC644" i="9"/>
  <c r="AB694" i="9"/>
  <c r="T750" i="9"/>
  <c r="V1425" i="9"/>
  <c r="U1686" i="9"/>
  <c r="R1838" i="9"/>
  <c r="H13" i="9"/>
  <c r="AD124" i="9"/>
  <c r="Q291" i="9"/>
  <c r="Q259" i="9"/>
  <c r="Q449" i="9"/>
  <c r="R487" i="9"/>
  <c r="U504" i="9"/>
  <c r="AE520" i="9"/>
  <c r="AD520" i="9"/>
  <c r="AF533" i="9"/>
  <c r="AC711" i="9"/>
  <c r="AC728" i="9" s="1"/>
  <c r="AE735" i="9"/>
  <c r="AD735" i="9"/>
  <c r="H804" i="9"/>
  <c r="AD796" i="9"/>
  <c r="V1068" i="9"/>
  <c r="AE1305" i="9"/>
  <c r="AD1305" i="9"/>
  <c r="H1328" i="9"/>
  <c r="AD1325" i="9"/>
  <c r="AF1436" i="9"/>
  <c r="AF1457" i="9"/>
  <c r="I1516" i="9"/>
  <c r="AF1516" i="9" s="1"/>
  <c r="P1534" i="9"/>
  <c r="P1578" i="9"/>
  <c r="AG1627" i="9"/>
  <c r="R1643" i="9"/>
  <c r="AE1702" i="9"/>
  <c r="V1706" i="9"/>
  <c r="AF1706" i="9" s="1"/>
  <c r="P1732" i="9"/>
  <c r="P36" i="9" s="1"/>
  <c r="O1740" i="9"/>
  <c r="AE1771" i="9"/>
  <c r="AD1771" i="9"/>
  <c r="AF1779" i="9"/>
  <c r="T1797" i="9"/>
  <c r="T1809" i="9" s="1"/>
  <c r="T40" i="9" s="1"/>
  <c r="AE1928" i="9"/>
  <c r="V1940" i="9"/>
  <c r="V54" i="9" s="1"/>
  <c r="AF1981" i="9"/>
  <c r="AG2097" i="9"/>
  <c r="V2180" i="9"/>
  <c r="AD2188" i="9"/>
  <c r="AE267" i="9"/>
  <c r="T1740" i="9"/>
  <c r="AE2094" i="9"/>
  <c r="AD2094" i="9"/>
  <c r="O416" i="9"/>
  <c r="AE416" i="9" s="1"/>
  <c r="AA721" i="9"/>
  <c r="AD802" i="9"/>
  <c r="AE802" i="9"/>
  <c r="U1394" i="9"/>
  <c r="AG1488" i="9"/>
  <c r="R1312" i="9"/>
  <c r="AF1897" i="9"/>
  <c r="V2188" i="9"/>
  <c r="AF1034" i="9"/>
  <c r="AD1485" i="9"/>
  <c r="AE1485" i="9"/>
  <c r="AE1677" i="9"/>
  <c r="W190" i="9"/>
  <c r="O164" i="9"/>
  <c r="P296" i="9"/>
  <c r="AF536" i="9"/>
  <c r="AB644" i="9"/>
  <c r="AA694" i="9"/>
  <c r="W750" i="9"/>
  <c r="AD825" i="9"/>
  <c r="AE825" i="9"/>
  <c r="AD1319" i="9"/>
  <c r="T1425" i="9"/>
  <c r="AD1903" i="9"/>
  <c r="R1963" i="9"/>
  <c r="AD2106" i="9"/>
  <c r="AE2106" i="9"/>
  <c r="H2121" i="9"/>
  <c r="R2203" i="9"/>
  <c r="R2206" i="9" s="1"/>
  <c r="AE1578" i="9" l="1"/>
  <c r="AE270" i="9"/>
  <c r="O1708" i="9"/>
  <c r="AG694" i="9"/>
  <c r="AE487" i="9"/>
  <c r="AE1195" i="9"/>
  <c r="AF172" i="9"/>
  <c r="AE124" i="9"/>
  <c r="AE164" i="9"/>
  <c r="AG579" i="9"/>
  <c r="AF778" i="9"/>
  <c r="AE449" i="9"/>
  <c r="AF1747" i="9"/>
  <c r="AE455" i="9"/>
  <c r="AF164" i="9"/>
  <c r="AE909" i="9"/>
  <c r="AF37" i="9"/>
  <c r="AG1755" i="9"/>
  <c r="AA706" i="9"/>
  <c r="AE1857" i="9"/>
  <c r="P406" i="9"/>
  <c r="AE1068" i="9"/>
  <c r="AF796" i="9"/>
  <c r="AE2180" i="9"/>
  <c r="AF136" i="9"/>
  <c r="Z684" i="9"/>
  <c r="AF1179" i="9"/>
  <c r="AE1963" i="9"/>
  <c r="AE1678" i="9"/>
  <c r="AE478" i="9"/>
  <c r="AG624" i="9"/>
  <c r="AE1223" i="9"/>
  <c r="AE2133" i="9"/>
  <c r="AF1740" i="9"/>
  <c r="Q882" i="9"/>
  <c r="AF2188" i="9"/>
  <c r="AG1747" i="9"/>
  <c r="AF756" i="9"/>
  <c r="AE153" i="9"/>
  <c r="R882" i="9"/>
  <c r="AA684" i="9"/>
  <c r="AF1827" i="9"/>
  <c r="AC706" i="9"/>
  <c r="AE465" i="9"/>
  <c r="AE1334" i="9"/>
  <c r="AE1903" i="9"/>
  <c r="AE1827" i="9"/>
  <c r="AG599" i="9"/>
  <c r="T2165" i="9"/>
  <c r="T48" i="9" s="1"/>
  <c r="AF223" i="9"/>
  <c r="AE1890" i="9"/>
  <c r="AG716" i="9"/>
  <c r="AF1643" i="9"/>
  <c r="AE1735" i="9"/>
  <c r="W882" i="9"/>
  <c r="AE264" i="9"/>
  <c r="R804" i="9"/>
  <c r="AE814" i="9"/>
  <c r="AE1740" i="9"/>
  <c r="W1453" i="9"/>
  <c r="AF1524" i="9"/>
  <c r="AE891" i="9"/>
  <c r="P212" i="9"/>
  <c r="AE1034" i="9"/>
  <c r="P2216" i="9"/>
  <c r="P49" i="9" s="1"/>
  <c r="P1757" i="9"/>
  <c r="P42" i="9" s="1"/>
  <c r="AF1662" i="9"/>
  <c r="R1328" i="9"/>
  <c r="AG666" i="9"/>
  <c r="AE1534" i="9"/>
  <c r="O920" i="9"/>
  <c r="O945" i="9" s="1"/>
  <c r="O20" i="9" s="1"/>
  <c r="O71" i="9" s="1"/>
  <c r="R174" i="9"/>
  <c r="R212" i="9"/>
  <c r="Q1381" i="9"/>
  <c r="AF1623" i="9"/>
  <c r="AF1407" i="9"/>
  <c r="K499" i="9"/>
  <c r="AE37" i="9"/>
  <c r="AF53" i="9"/>
  <c r="AF1921" i="9"/>
  <c r="AF1419" i="9"/>
  <c r="AE1374" i="9"/>
  <c r="AE1623" i="9"/>
  <c r="Q804" i="9"/>
  <c r="AF891" i="9"/>
  <c r="AF956" i="9"/>
  <c r="AF1413" i="9"/>
  <c r="AE832" i="9"/>
  <c r="AE190" i="9"/>
  <c r="AE1567" i="9"/>
  <c r="AF1578" i="9"/>
  <c r="AF791" i="9"/>
  <c r="O174" i="9"/>
  <c r="AE286" i="9"/>
  <c r="O303" i="9"/>
  <c r="AE1319" i="9"/>
  <c r="U35" i="9"/>
  <c r="AE1686" i="9"/>
  <c r="Z706" i="9"/>
  <c r="AE1629" i="9"/>
  <c r="Q2162" i="9"/>
  <c r="P174" i="9"/>
  <c r="P804" i="9"/>
  <c r="AF1763" i="9"/>
  <c r="AE2019" i="9"/>
  <c r="AE934" i="9"/>
  <c r="AE296" i="9"/>
  <c r="AE1929" i="9"/>
  <c r="AF1068" i="9"/>
  <c r="AE750" i="9"/>
  <c r="AF504" i="9"/>
  <c r="AE1312" i="9"/>
  <c r="V1708" i="9"/>
  <c r="AE766" i="9"/>
  <c r="P1381" i="9"/>
  <c r="AE1589" i="9"/>
  <c r="AF1425" i="9"/>
  <c r="K807" i="9"/>
  <c r="AF124" i="9"/>
  <c r="AE1981" i="9"/>
  <c r="AE223" i="9"/>
  <c r="P54" i="9"/>
  <c r="AF1838" i="9"/>
  <c r="AE1341" i="9"/>
  <c r="AB706" i="9"/>
  <c r="AE1871" i="9"/>
  <c r="AE855" i="9"/>
  <c r="AG778" i="9"/>
  <c r="P2162" i="9"/>
  <c r="R2048" i="9"/>
  <c r="AE741" i="9"/>
  <c r="AE987" i="9"/>
  <c r="AE1763" i="9"/>
  <c r="AE172" i="9"/>
  <c r="AF1755" i="9"/>
  <c r="AE1298" i="9"/>
  <c r="P1238" i="9"/>
  <c r="AF750" i="9"/>
  <c r="AE1643" i="9"/>
  <c r="AB728" i="9"/>
  <c r="AE2188" i="9"/>
  <c r="AF190" i="9"/>
  <c r="AF1443" i="9"/>
  <c r="T1708" i="9"/>
  <c r="U1107" i="9"/>
  <c r="AF1857" i="9"/>
  <c r="AC684" i="9"/>
  <c r="AE131" i="9"/>
  <c r="P1708" i="9"/>
  <c r="R1381" i="9"/>
  <c r="Q174" i="9"/>
  <c r="V1453" i="9"/>
  <c r="AE756" i="9"/>
  <c r="AE136" i="9"/>
  <c r="Q406" i="9"/>
  <c r="AF1726" i="9"/>
  <c r="AF1629" i="9"/>
  <c r="AE247" i="9"/>
  <c r="Q303" i="9"/>
  <c r="AF1735" i="9"/>
  <c r="AF1534" i="9"/>
  <c r="AE53" i="9"/>
  <c r="AE1230" i="9"/>
  <c r="AG1890" i="9"/>
  <c r="U1453" i="9"/>
  <c r="R406" i="9"/>
  <c r="AE291" i="9"/>
  <c r="T1453" i="9"/>
  <c r="AE1202" i="9"/>
  <c r="AG711" i="9"/>
  <c r="AF1394" i="9"/>
  <c r="AF2180" i="9"/>
  <c r="AF1437" i="9"/>
  <c r="AG584" i="9"/>
  <c r="AF741" i="9"/>
  <c r="AE1284" i="9"/>
  <c r="AE1921" i="9"/>
  <c r="AG661" i="9"/>
  <c r="AE1291" i="9"/>
  <c r="R1238" i="9"/>
  <c r="V945" i="9"/>
  <c r="AE1354" i="9"/>
  <c r="AE1612" i="9"/>
  <c r="Q1238" i="9"/>
  <c r="AE1670" i="9"/>
  <c r="AE1747" i="9"/>
  <c r="O993" i="9"/>
  <c r="J48" i="9"/>
  <c r="Q1153" i="9"/>
  <c r="Q19" i="9"/>
  <c r="Q70" i="9" s="1"/>
  <c r="R19" i="9"/>
  <c r="R70" i="9" s="1"/>
  <c r="R1153" i="9"/>
  <c r="T212" i="9"/>
  <c r="T228" i="9" s="1"/>
  <c r="T26" i="9" s="1"/>
  <c r="T79" i="9" s="1"/>
  <c r="AF1940" i="9"/>
  <c r="U945" i="9"/>
  <c r="U20" i="9" s="1"/>
  <c r="U71" i="9" s="1"/>
  <c r="V20" i="9"/>
  <c r="V71" i="9" s="1"/>
  <c r="V1154" i="9"/>
  <c r="AD804" i="9"/>
  <c r="Q1781" i="9"/>
  <c r="Q39" i="9" s="1"/>
  <c r="Q945" i="9"/>
  <c r="AE259" i="9"/>
  <c r="AF52" i="9"/>
  <c r="O1757" i="9"/>
  <c r="O42" i="9" s="1"/>
  <c r="O1381" i="9"/>
  <c r="AE1381" i="9" s="1"/>
  <c r="Q35" i="9"/>
  <c r="U1708" i="9"/>
  <c r="AF1401" i="9"/>
  <c r="T559" i="9"/>
  <c r="Z1757" i="9"/>
  <c r="Z42" i="9" s="1"/>
  <c r="AD2162" i="9"/>
  <c r="H2165" i="9"/>
  <c r="AE2162" i="9"/>
  <c r="J14" i="9"/>
  <c r="P303" i="9"/>
  <c r="K1388" i="9"/>
  <c r="K1711" i="9" s="1"/>
  <c r="K33" i="9" s="1"/>
  <c r="AF185" i="9"/>
  <c r="AE559" i="9"/>
  <c r="AD559" i="9"/>
  <c r="Q2048" i="9"/>
  <c r="AE2048" i="9" s="1"/>
  <c r="V1757" i="9"/>
  <c r="V42" i="9" s="1"/>
  <c r="T882" i="9"/>
  <c r="T19" i="9" s="1"/>
  <c r="T70" i="9" s="1"/>
  <c r="AF233" i="9"/>
  <c r="AD2048" i="9"/>
  <c r="AG1629" i="9"/>
  <c r="AF36" i="9"/>
  <c r="T2216" i="9"/>
  <c r="T49" i="9" s="1"/>
  <c r="AF867" i="9"/>
  <c r="W2216" i="9"/>
  <c r="W49" i="9" s="1"/>
  <c r="J25" i="9"/>
  <c r="O804" i="9"/>
  <c r="AD920" i="9"/>
  <c r="H945" i="9"/>
  <c r="K26" i="9"/>
  <c r="K79" i="9" s="1"/>
  <c r="K1157" i="9"/>
  <c r="Q54" i="9"/>
  <c r="R303" i="9"/>
  <c r="U1645" i="9"/>
  <c r="V1645" i="9"/>
  <c r="W1645" i="9"/>
  <c r="W1672" i="9" s="1"/>
  <c r="T1645" i="9"/>
  <c r="AE185" i="9"/>
  <c r="AD882" i="9"/>
  <c r="I19" i="9"/>
  <c r="I1153" i="9"/>
  <c r="AE281" i="9"/>
  <c r="R2165" i="9"/>
  <c r="R48" i="9" s="1"/>
  <c r="K20" i="9"/>
  <c r="K71" i="9" s="1"/>
  <c r="K1154" i="9"/>
  <c r="AF303" i="9"/>
  <c r="I499" i="9"/>
  <c r="U2216" i="9"/>
  <c r="U49" i="9" s="1"/>
  <c r="AD51" i="9"/>
  <c r="AD1155" i="9"/>
  <c r="AD1757" i="9"/>
  <c r="H42" i="9"/>
  <c r="AF987" i="9"/>
  <c r="V174" i="9"/>
  <c r="AF174" i="9" s="1"/>
  <c r="R920" i="9"/>
  <c r="R945" i="9" s="1"/>
  <c r="O497" i="9"/>
  <c r="Q497" i="9"/>
  <c r="AE52" i="9"/>
  <c r="AD52" i="9"/>
  <c r="Z728" i="9"/>
  <c r="AG728" i="9" s="1"/>
  <c r="AE1940" i="9"/>
  <c r="O406" i="9"/>
  <c r="I42" i="9"/>
  <c r="AF1797" i="9"/>
  <c r="V21" i="9"/>
  <c r="V72" i="9" s="1"/>
  <c r="V1155" i="9"/>
  <c r="L19" i="9"/>
  <c r="L70" i="9" s="1"/>
  <c r="L1153" i="9"/>
  <c r="AE1453" i="9"/>
  <c r="AD1453" i="9"/>
  <c r="AD35" i="9"/>
  <c r="P1328" i="9"/>
  <c r="P1388" i="9" s="1"/>
  <c r="Q1645" i="9"/>
  <c r="R1645" i="9"/>
  <c r="O1645" i="9"/>
  <c r="P1645" i="9"/>
  <c r="AD1645" i="9"/>
  <c r="O1328" i="9"/>
  <c r="AG721" i="9"/>
  <c r="I1672" i="9"/>
  <c r="AD2206" i="9"/>
  <c r="AE2206" i="9"/>
  <c r="H2216" i="9"/>
  <c r="U54" i="9"/>
  <c r="AD1708" i="9"/>
  <c r="AE38" i="9"/>
  <c r="AD38" i="9"/>
  <c r="I2165" i="9"/>
  <c r="AF2162" i="9"/>
  <c r="T945" i="9"/>
  <c r="T20" i="9" s="1"/>
  <c r="T71" i="9" s="1"/>
  <c r="AF226" i="9"/>
  <c r="I228" i="9"/>
  <c r="AD212" i="9"/>
  <c r="I14" i="9"/>
  <c r="L499" i="9"/>
  <c r="L807" i="9" s="1"/>
  <c r="W19" i="9"/>
  <c r="W70" i="9" s="1"/>
  <c r="W1153" i="9"/>
  <c r="O457" i="9"/>
  <c r="AE356" i="9"/>
  <c r="P1179" i="9"/>
  <c r="AF2203" i="9"/>
  <c r="U51" i="9"/>
  <c r="AF1817" i="9"/>
  <c r="AD1270" i="9"/>
  <c r="AE1270" i="9"/>
  <c r="AF920" i="9"/>
  <c r="I945" i="9"/>
  <c r="W1757" i="9"/>
  <c r="W42" i="9" s="1"/>
  <c r="AD174" i="9"/>
  <c r="H14" i="9"/>
  <c r="AE174" i="9"/>
  <c r="R457" i="9"/>
  <c r="U1757" i="9"/>
  <c r="U42" i="9" s="1"/>
  <c r="AD497" i="9"/>
  <c r="AD21" i="9"/>
  <c r="H72" i="9"/>
  <c r="AG1238" i="9"/>
  <c r="J1388" i="9"/>
  <c r="AG1388" i="9" s="1"/>
  <c r="R497" i="9"/>
  <c r="AE706" i="9"/>
  <c r="AD706" i="9"/>
  <c r="AE1781" i="9"/>
  <c r="H39" i="9"/>
  <c r="AD1781" i="9"/>
  <c r="I25" i="9"/>
  <c r="AF968" i="9"/>
  <c r="H40" i="9"/>
  <c r="AD1809" i="9"/>
  <c r="AE1809" i="9"/>
  <c r="AD406" i="9"/>
  <c r="AE406" i="9"/>
  <c r="AE956" i="9"/>
  <c r="T804" i="9"/>
  <c r="V804" i="9"/>
  <c r="V807" i="9" s="1"/>
  <c r="O882" i="9"/>
  <c r="O19" i="9" s="1"/>
  <c r="O70" i="9" s="1"/>
  <c r="R2216" i="9"/>
  <c r="R49" i="9" s="1"/>
  <c r="AD2121" i="9"/>
  <c r="AE2121" i="9"/>
  <c r="R35" i="9"/>
  <c r="W1708" i="9"/>
  <c r="AD457" i="9"/>
  <c r="H19" i="9"/>
  <c r="H1153" i="9"/>
  <c r="AD684" i="9"/>
  <c r="AE684" i="9"/>
  <c r="Q1757" i="9"/>
  <c r="Q42" i="9" s="1"/>
  <c r="W945" i="9"/>
  <c r="U559" i="9"/>
  <c r="AD1381" i="9"/>
  <c r="W35" i="9"/>
  <c r="AE1797" i="9"/>
  <c r="AE943" i="9"/>
  <c r="Q212" i="9"/>
  <c r="AE212" i="9" s="1"/>
  <c r="AF2133" i="9"/>
  <c r="I40" i="9"/>
  <c r="AF40" i="9" s="1"/>
  <c r="AF1809" i="9"/>
  <c r="AB1757" i="9"/>
  <c r="AB42" i="9" s="1"/>
  <c r="AC1757" i="9"/>
  <c r="AC42" i="9" s="1"/>
  <c r="W212" i="9"/>
  <c r="W228" i="9" s="1"/>
  <c r="J19" i="9"/>
  <c r="J1153" i="9"/>
  <c r="P2165" i="9"/>
  <c r="P48" i="9" s="1"/>
  <c r="J72" i="9"/>
  <c r="AG699" i="9"/>
  <c r="AF2206" i="9"/>
  <c r="I2216" i="9"/>
  <c r="AF38" i="9"/>
  <c r="AD656" i="9"/>
  <c r="AE656" i="9"/>
  <c r="U212" i="9"/>
  <c r="U228" i="9" s="1"/>
  <c r="U26" i="9" s="1"/>
  <c r="U79" i="9" s="1"/>
  <c r="Y684" i="9"/>
  <c r="AG684" i="9" s="1"/>
  <c r="AF802" i="9"/>
  <c r="P497" i="9"/>
  <c r="K18" i="9"/>
  <c r="K1152" i="9"/>
  <c r="AE1706" i="9"/>
  <c r="O1672" i="9"/>
  <c r="P1672" i="9"/>
  <c r="Q1672" i="9"/>
  <c r="R1672" i="9"/>
  <c r="AD968" i="9"/>
  <c r="H25" i="9"/>
  <c r="AE968" i="9"/>
  <c r="AE233" i="9"/>
  <c r="V212" i="9"/>
  <c r="V228" i="9" s="1"/>
  <c r="AF1720" i="9"/>
  <c r="L1154" i="9"/>
  <c r="L20" i="9"/>
  <c r="L71" i="9" s="1"/>
  <c r="J40" i="9"/>
  <c r="AD54" i="9"/>
  <c r="T35" i="9"/>
  <c r="AF35" i="9" s="1"/>
  <c r="T1757" i="9"/>
  <c r="T42" i="9" s="1"/>
  <c r="U804" i="9"/>
  <c r="W804" i="9"/>
  <c r="W807" i="9" s="1"/>
  <c r="J43" i="9"/>
  <c r="R54" i="9"/>
  <c r="I72" i="9"/>
  <c r="O2216" i="9"/>
  <c r="O49" i="9" s="1"/>
  <c r="Q1328" i="9"/>
  <c r="Q1388" i="9" s="1"/>
  <c r="AE399" i="9"/>
  <c r="O54" i="9"/>
  <c r="AE2033" i="9"/>
  <c r="I43" i="9"/>
  <c r="W1883" i="9"/>
  <c r="T1883" i="9"/>
  <c r="U1883" i="9"/>
  <c r="V1883" i="9"/>
  <c r="K19" i="9"/>
  <c r="K70" i="9" s="1"/>
  <c r="K1153" i="9"/>
  <c r="W1107" i="9"/>
  <c r="AF1107" i="9" s="1"/>
  <c r="Q51" i="9"/>
  <c r="AF943" i="9"/>
  <c r="Y706" i="9"/>
  <c r="AG706" i="9" s="1"/>
  <c r="AD303" i="9"/>
  <c r="AE303" i="9"/>
  <c r="H499" i="9"/>
  <c r="R226" i="9"/>
  <c r="R228" i="9" s="1"/>
  <c r="H228" i="9"/>
  <c r="Q226" i="9"/>
  <c r="O226" i="9"/>
  <c r="O228" i="9" s="1"/>
  <c r="O26" i="9" s="1"/>
  <c r="O79" i="9" s="1"/>
  <c r="P226" i="9"/>
  <c r="P228" i="9" s="1"/>
  <c r="P26" i="9" s="1"/>
  <c r="P79" i="9" s="1"/>
  <c r="AD226" i="9"/>
  <c r="AF34" i="9"/>
  <c r="Q21" i="9"/>
  <c r="Q72" i="9" s="1"/>
  <c r="Q1155" i="9"/>
  <c r="J42" i="9"/>
  <c r="V19" i="9"/>
  <c r="V70" i="9" s="1"/>
  <c r="V1153" i="9"/>
  <c r="R1708" i="9"/>
  <c r="P457" i="9"/>
  <c r="R21" i="9"/>
  <c r="R72" i="9" s="1"/>
  <c r="R1155" i="9"/>
  <c r="V51" i="9"/>
  <c r="AE1516" i="9"/>
  <c r="AD1516" i="9"/>
  <c r="AE1107" i="9"/>
  <c r="W51" i="9"/>
  <c r="AD34" i="9"/>
  <c r="AE34" i="9"/>
  <c r="W21" i="9"/>
  <c r="W72" i="9" s="1"/>
  <c r="W1155" i="9"/>
  <c r="AE350" i="9"/>
  <c r="AD350" i="9"/>
  <c r="AE1994" i="9"/>
  <c r="U1672" i="9"/>
  <c r="V2216" i="9"/>
  <c r="V49" i="9" s="1"/>
  <c r="P882" i="9"/>
  <c r="P19" i="9" s="1"/>
  <c r="P70" i="9" s="1"/>
  <c r="J228" i="9"/>
  <c r="AG226" i="9"/>
  <c r="AE36" i="9"/>
  <c r="AD36" i="9"/>
  <c r="AE2203" i="9"/>
  <c r="AE1325" i="9"/>
  <c r="AD1238" i="9"/>
  <c r="H1388" i="9"/>
  <c r="H1711" i="9" s="1"/>
  <c r="J2216" i="9"/>
  <c r="R51" i="9"/>
  <c r="L1388" i="9"/>
  <c r="L1711" i="9" s="1"/>
  <c r="L33" i="9" s="1"/>
  <c r="AE1732" i="9"/>
  <c r="AD1328" i="9"/>
  <c r="AF1929" i="9"/>
  <c r="O35" i="9"/>
  <c r="AE35" i="9" s="1"/>
  <c r="O1238" i="9"/>
  <c r="AD728" i="9"/>
  <c r="AE728" i="9"/>
  <c r="AF1431" i="9"/>
  <c r="AG303" i="9"/>
  <c r="J499" i="9"/>
  <c r="R1757" i="9"/>
  <c r="R42" i="9" s="1"/>
  <c r="AF1994" i="9"/>
  <c r="O51" i="9"/>
  <c r="AE51" i="9" s="1"/>
  <c r="AE1368" i="9"/>
  <c r="P51" i="9"/>
  <c r="J945" i="9"/>
  <c r="Y1757" i="9"/>
  <c r="Y42" i="9" s="1"/>
  <c r="O2165" i="9"/>
  <c r="O48" i="9" s="1"/>
  <c r="AG147" i="9"/>
  <c r="AA1757" i="9"/>
  <c r="AA42" i="9" s="1"/>
  <c r="Q1708" i="9"/>
  <c r="J1672" i="9"/>
  <c r="J1711" i="9" s="1"/>
  <c r="AD1107" i="9"/>
  <c r="AF1238" i="9"/>
  <c r="I1388" i="9"/>
  <c r="AF1388" i="9" s="1"/>
  <c r="T51" i="9"/>
  <c r="AF51" i="9" s="1"/>
  <c r="Q457" i="9"/>
  <c r="AE1755" i="9"/>
  <c r="AG689" i="9"/>
  <c r="H43" i="9"/>
  <c r="O1883" i="9"/>
  <c r="O43" i="9" s="1"/>
  <c r="R1883" i="9"/>
  <c r="R43" i="9" s="1"/>
  <c r="P1883" i="9"/>
  <c r="P43" i="9" s="1"/>
  <c r="Q1883" i="9"/>
  <c r="Q43" i="9" s="1"/>
  <c r="AD1883" i="9"/>
  <c r="AF54" i="9"/>
  <c r="P920" i="9"/>
  <c r="AE920" i="9" s="1"/>
  <c r="U1781" i="9"/>
  <c r="U39" i="9" s="1"/>
  <c r="V1781" i="9"/>
  <c r="V39" i="9" s="1"/>
  <c r="I39" i="9"/>
  <c r="T1781" i="9"/>
  <c r="T39" i="9" s="1"/>
  <c r="W1781" i="9"/>
  <c r="W39" i="9" s="1"/>
  <c r="J39" i="9"/>
  <c r="V1672" i="9"/>
  <c r="V1711" i="9" s="1"/>
  <c r="V33" i="9" s="1"/>
  <c r="AF1155" i="9" l="1"/>
  <c r="AE1155" i="9"/>
  <c r="AF1453" i="9"/>
  <c r="AE497" i="9"/>
  <c r="Q2165" i="9"/>
  <c r="Q48" i="9" s="1"/>
  <c r="AE1672" i="9"/>
  <c r="AF1645" i="9"/>
  <c r="AF559" i="9"/>
  <c r="I1711" i="9"/>
  <c r="P1711" i="9"/>
  <c r="P33" i="9" s="1"/>
  <c r="AG42" i="9"/>
  <c r="W1711" i="9"/>
  <c r="W33" i="9" s="1"/>
  <c r="AE804" i="9"/>
  <c r="T1672" i="9"/>
  <c r="T1711" i="9" s="1"/>
  <c r="T33" i="9" s="1"/>
  <c r="AE54" i="9"/>
  <c r="AE1328" i="9"/>
  <c r="O499" i="9"/>
  <c r="U807" i="9"/>
  <c r="U18" i="9" s="1"/>
  <c r="AE1645" i="9"/>
  <c r="AE457" i="9"/>
  <c r="R1388" i="9"/>
  <c r="R1711" i="9" s="1"/>
  <c r="R33" i="9" s="1"/>
  <c r="AE1238" i="9"/>
  <c r="AF1883" i="9"/>
  <c r="I33" i="9"/>
  <c r="J33" i="9"/>
  <c r="AE40" i="9"/>
  <c r="AD40" i="9"/>
  <c r="AF212" i="9"/>
  <c r="AD2165" i="9"/>
  <c r="H48" i="9"/>
  <c r="AE2165" i="9"/>
  <c r="AF39" i="9"/>
  <c r="J1154" i="9"/>
  <c r="J20" i="9"/>
  <c r="AG499" i="9"/>
  <c r="J807" i="9"/>
  <c r="J49" i="9"/>
  <c r="AG1757" i="9"/>
  <c r="Q228" i="9"/>
  <c r="AE228" i="9" s="1"/>
  <c r="V26" i="9"/>
  <c r="V79" i="9" s="1"/>
  <c r="V1157" i="9"/>
  <c r="K68" i="9"/>
  <c r="T807" i="9"/>
  <c r="T18" i="9" s="1"/>
  <c r="R499" i="9"/>
  <c r="R807" i="9" s="1"/>
  <c r="AE1757" i="9"/>
  <c r="U1711" i="9"/>
  <c r="U33" i="9" s="1"/>
  <c r="J26" i="9"/>
  <c r="J1157" i="9"/>
  <c r="K1158" i="9"/>
  <c r="L18" i="9"/>
  <c r="L1152" i="9"/>
  <c r="L1158" i="9" s="1"/>
  <c r="AE1708" i="9"/>
  <c r="Q1711" i="9"/>
  <c r="Q33" i="9" s="1"/>
  <c r="AD228" i="9"/>
  <c r="H1157" i="9"/>
  <c r="AD1157" i="9" s="1"/>
  <c r="H26" i="9"/>
  <c r="P499" i="9"/>
  <c r="P807" i="9" s="1"/>
  <c r="P18" i="9" s="1"/>
  <c r="AF25" i="9"/>
  <c r="I78" i="9"/>
  <c r="AF78" i="9" s="1"/>
  <c r="P1184" i="9"/>
  <c r="P22" i="9" s="1"/>
  <c r="P73" i="9" s="1"/>
  <c r="AE1179" i="9"/>
  <c r="AF42" i="9"/>
  <c r="AE42" i="9"/>
  <c r="AD42" i="9"/>
  <c r="AF499" i="9"/>
  <c r="I807" i="9"/>
  <c r="AD945" i="9"/>
  <c r="H20" i="9"/>
  <c r="H1154" i="9"/>
  <c r="R26" i="9"/>
  <c r="R79" i="9" s="1"/>
  <c r="R1157" i="9"/>
  <c r="AE882" i="9"/>
  <c r="I48" i="9"/>
  <c r="AF2165" i="9"/>
  <c r="AD2216" i="9"/>
  <c r="H49" i="9"/>
  <c r="AD49" i="9" s="1"/>
  <c r="AE2216" i="9"/>
  <c r="AF1757" i="9"/>
  <c r="AF1153" i="9"/>
  <c r="P945" i="9"/>
  <c r="P20" i="9" s="1"/>
  <c r="P71" i="9" s="1"/>
  <c r="AE43" i="9"/>
  <c r="AD43" i="9"/>
  <c r="AF21" i="9"/>
  <c r="V18" i="9"/>
  <c r="AE1883" i="9"/>
  <c r="AD1388" i="9"/>
  <c r="AD499" i="9"/>
  <c r="H807" i="9"/>
  <c r="V43" i="9"/>
  <c r="I49" i="9"/>
  <c r="AF49" i="9" s="1"/>
  <c r="AF2216" i="9"/>
  <c r="AE1153" i="9"/>
  <c r="AD1153" i="9"/>
  <c r="AE39" i="9"/>
  <c r="AD39" i="9"/>
  <c r="AE21" i="9"/>
  <c r="Q499" i="9"/>
  <c r="Q807" i="9" s="1"/>
  <c r="AF882" i="9"/>
  <c r="U43" i="9"/>
  <c r="AE72" i="9"/>
  <c r="AD72" i="9"/>
  <c r="AF228" i="9"/>
  <c r="I1157" i="9"/>
  <c r="I26" i="9"/>
  <c r="AF19" i="9"/>
  <c r="I70" i="9"/>
  <c r="AF70" i="9" s="1"/>
  <c r="O807" i="9"/>
  <c r="O18" i="9" s="1"/>
  <c r="AF1708" i="9"/>
  <c r="Q20" i="9"/>
  <c r="Q71" i="9" s="1"/>
  <c r="Q1154" i="9"/>
  <c r="R20" i="9"/>
  <c r="R71" i="9" s="1"/>
  <c r="R1154" i="9"/>
  <c r="AE226" i="9"/>
  <c r="J70" i="9"/>
  <c r="AE19" i="9"/>
  <c r="H70" i="9"/>
  <c r="AD19" i="9"/>
  <c r="AF1781" i="9"/>
  <c r="T43" i="9"/>
  <c r="W18" i="9"/>
  <c r="W1152" i="9"/>
  <c r="W1158" i="9" s="1"/>
  <c r="AE25" i="9"/>
  <c r="H78" i="9"/>
  <c r="AD25" i="9"/>
  <c r="W1157" i="9"/>
  <c r="W26" i="9"/>
  <c r="W79" i="9" s="1"/>
  <c r="W20" i="9"/>
  <c r="W71" i="9" s="1"/>
  <c r="W1154" i="9"/>
  <c r="AF1672" i="9"/>
  <c r="W43" i="9"/>
  <c r="AF72" i="9"/>
  <c r="U68" i="9"/>
  <c r="I20" i="9"/>
  <c r="AF945" i="9"/>
  <c r="I1154" i="9"/>
  <c r="H33" i="9"/>
  <c r="AD1711" i="9"/>
  <c r="J78" i="9"/>
  <c r="O1388" i="9"/>
  <c r="AE1388" i="9" s="1"/>
  <c r="AF804" i="9"/>
  <c r="AF43" i="9" l="1"/>
  <c r="AE499" i="9"/>
  <c r="O1711" i="9"/>
  <c r="AF1711" i="9"/>
  <c r="AF1154" i="9"/>
  <c r="V1152" i="9"/>
  <c r="V1158" i="9" s="1"/>
  <c r="AE945" i="9"/>
  <c r="AE70" i="9"/>
  <c r="AD70" i="9"/>
  <c r="AD20" i="9"/>
  <c r="AE20" i="9"/>
  <c r="H71" i="9"/>
  <c r="J79" i="9"/>
  <c r="AF20" i="9"/>
  <c r="I71" i="9"/>
  <c r="AF71" i="9" s="1"/>
  <c r="W68" i="9"/>
  <c r="AF48" i="9"/>
  <c r="AD807" i="9"/>
  <c r="H18" i="9"/>
  <c r="AE807" i="9"/>
  <c r="H1152" i="9"/>
  <c r="AF26" i="9"/>
  <c r="I79" i="9"/>
  <c r="AF79" i="9" s="1"/>
  <c r="J71" i="9"/>
  <c r="AF1157" i="9"/>
  <c r="R18" i="9"/>
  <c r="R1152" i="9"/>
  <c r="R1158" i="9" s="1"/>
  <c r="Q26" i="9"/>
  <c r="Q79" i="9" s="1"/>
  <c r="Q1157" i="9"/>
  <c r="AE1157" i="9" s="1"/>
  <c r="AD33" i="9"/>
  <c r="AE78" i="9"/>
  <c r="AD78" i="9"/>
  <c r="AE1154" i="9"/>
  <c r="AD1154" i="9"/>
  <c r="AD48" i="9"/>
  <c r="AE48" i="9"/>
  <c r="J18" i="9"/>
  <c r="J1152" i="9"/>
  <c r="AE49" i="9"/>
  <c r="I18" i="9"/>
  <c r="AF807" i="9"/>
  <c r="I1152" i="9"/>
  <c r="Q18" i="9"/>
  <c r="Q1152" i="9"/>
  <c r="P68" i="9"/>
  <c r="L68" i="9"/>
  <c r="T68" i="9"/>
  <c r="V68" i="9"/>
  <c r="O68" i="9"/>
  <c r="AD26" i="9"/>
  <c r="H79" i="9"/>
  <c r="AE26" i="9"/>
  <c r="AF33" i="9"/>
  <c r="O33" i="9" l="1"/>
  <c r="AE33" i="9" s="1"/>
  <c r="AE1711" i="9"/>
  <c r="AE1152" i="9"/>
  <c r="AD1152" i="9"/>
  <c r="H1158" i="9"/>
  <c r="J1158" i="9"/>
  <c r="R68" i="9"/>
  <c r="AD18" i="9"/>
  <c r="AE18" i="9"/>
  <c r="H68" i="9"/>
  <c r="AE71" i="9"/>
  <c r="AD71" i="9"/>
  <c r="Q1158" i="9"/>
  <c r="J68" i="9"/>
  <c r="I68" i="9"/>
  <c r="AF68" i="9" s="1"/>
  <c r="AF18" i="9"/>
  <c r="Q68" i="9"/>
  <c r="AE79" i="9"/>
  <c r="AD79" i="9"/>
  <c r="AF1152" i="9"/>
  <c r="I1158" i="9"/>
  <c r="AF1158" i="9" s="1"/>
  <c r="AE1158" i="9" l="1"/>
  <c r="AD1158" i="9"/>
  <c r="AE68" i="9"/>
  <c r="AD68" i="9"/>
  <c r="Z1945" i="9" l="1"/>
  <c r="Z1043" i="9"/>
  <c r="Z790" i="9"/>
  <c r="Z1134" i="9"/>
  <c r="Z1085" i="9"/>
  <c r="Z1101" i="9"/>
  <c r="Z1126" i="9"/>
  <c r="Z765" i="9"/>
  <c r="Z1064" i="9"/>
  <c r="Z1987" i="9"/>
  <c r="Z1117" i="9"/>
  <c r="Z783" i="9"/>
  <c r="Z785" i="9" s="1"/>
  <c r="Z784" i="9"/>
  <c r="Z1094" i="9"/>
  <c r="Z1133" i="9"/>
  <c r="Z1006" i="9"/>
  <c r="Z1969" i="9"/>
  <c r="Z1024" i="9"/>
  <c r="Z1084" i="9"/>
  <c r="Z1100" i="9"/>
  <c r="Z763" i="9"/>
  <c r="AA1101" i="9"/>
  <c r="AA1126" i="9"/>
  <c r="AA790" i="9"/>
  <c r="AA1134" i="9"/>
  <c r="AA765" i="9"/>
  <c r="AA1945" i="9"/>
  <c r="AA1064" i="9"/>
  <c r="AA1085" i="9"/>
  <c r="AA1117" i="9"/>
  <c r="AA1043" i="9"/>
  <c r="AA1987" i="9"/>
  <c r="AA783" i="9"/>
  <c r="AA1006" i="9"/>
  <c r="AA784" i="9"/>
  <c r="AA1094" i="9"/>
  <c r="AA1133" i="9"/>
  <c r="AA1084" i="9"/>
  <c r="AA1024" i="9"/>
  <c r="AA1969" i="9"/>
  <c r="AA1100" i="9"/>
  <c r="AA763" i="9"/>
  <c r="AA766" i="9" s="1"/>
  <c r="Y1101" i="9"/>
  <c r="Y1085" i="9"/>
  <c r="Y790" i="9"/>
  <c r="Y1126" i="9"/>
  <c r="Y1064" i="9"/>
  <c r="Y1945" i="9"/>
  <c r="Y765" i="9"/>
  <c r="Y1043" i="9"/>
  <c r="Y1987" i="9"/>
  <c r="Y1117" i="9"/>
  <c r="Y1134" i="9"/>
  <c r="Y1094" i="9"/>
  <c r="Y784" i="9"/>
  <c r="Y1006" i="9"/>
  <c r="Y783" i="9"/>
  <c r="Y1133" i="9"/>
  <c r="Y1024" i="9"/>
  <c r="Y1100" i="9"/>
  <c r="Y1969" i="9"/>
  <c r="Y1084" i="9"/>
  <c r="Y763" i="9"/>
  <c r="AC1126" i="9"/>
  <c r="AC1064" i="9"/>
  <c r="AC1043" i="9"/>
  <c r="AC1085" i="9"/>
  <c r="AC790" i="9"/>
  <c r="AC1945" i="9"/>
  <c r="AC765" i="9"/>
  <c r="AC1101" i="9"/>
  <c r="AC1987" i="9"/>
  <c r="AC1117" i="9"/>
  <c r="AC1134" i="9"/>
  <c r="AC1006" i="9"/>
  <c r="AC1133" i="9"/>
  <c r="AC1094" i="9"/>
  <c r="AC783" i="9"/>
  <c r="AC785" i="9" s="1"/>
  <c r="AC784" i="9"/>
  <c r="AC1024" i="9"/>
  <c r="AC1100" i="9"/>
  <c r="AC1969" i="9"/>
  <c r="AC1084" i="9"/>
  <c r="AC763" i="9"/>
  <c r="AC766" i="9" s="1"/>
  <c r="AG1006" i="9" l="1"/>
  <c r="AG1945" i="9"/>
  <c r="AG1133" i="9"/>
  <c r="AG1101" i="9"/>
  <c r="Y766" i="9"/>
  <c r="AG763" i="9"/>
  <c r="AG784" i="9"/>
  <c r="AG1064" i="9"/>
  <c r="AG1084" i="9"/>
  <c r="AG1094" i="9"/>
  <c r="AG1126" i="9"/>
  <c r="AG1969" i="9"/>
  <c r="AG1134" i="9"/>
  <c r="AG790" i="9"/>
  <c r="Z766" i="9"/>
  <c r="AG1100" i="9"/>
  <c r="AG1117" i="9"/>
  <c r="AG1085" i="9"/>
  <c r="AG1024" i="9"/>
  <c r="AG1987" i="9"/>
  <c r="AG1043" i="9"/>
  <c r="Y785" i="9"/>
  <c r="AG783" i="9"/>
  <c r="AG765" i="9"/>
  <c r="AA785" i="9"/>
  <c r="AG785" i="9" l="1"/>
  <c r="AG766" i="9"/>
  <c r="E72" i="9" l="1"/>
  <c r="G72" i="9" s="1"/>
  <c r="Y1456" i="9" l="1"/>
  <c r="Y617" i="9"/>
  <c r="Y619" i="9" s="1"/>
  <c r="Y2057" i="9"/>
  <c r="Y652" i="9"/>
  <c r="Y2101" i="9"/>
  <c r="Y1500" i="9"/>
  <c r="Y1508" i="9"/>
  <c r="Y653" i="9"/>
  <c r="Y618" i="9"/>
  <c r="Y841" i="9"/>
  <c r="Y607" i="9"/>
  <c r="Y608" i="9"/>
  <c r="Y603" i="9"/>
  <c r="Y2061" i="9"/>
  <c r="Y1460" i="9"/>
  <c r="Y1512" i="9"/>
  <c r="Y602" i="9"/>
  <c r="Y604" i="9" s="1"/>
  <c r="Y853" i="9"/>
  <c r="Y842" i="9"/>
  <c r="Y1461" i="9" l="1"/>
  <c r="Y1509" i="9"/>
  <c r="Y1513" i="9"/>
  <c r="Y2062" i="9"/>
  <c r="Y1501" i="9"/>
  <c r="Y2102" i="9"/>
  <c r="Y654" i="9"/>
  <c r="Z1456" i="9"/>
  <c r="Z1457" i="9" s="1"/>
  <c r="Z617" i="9"/>
  <c r="Z2057" i="9"/>
  <c r="Z2058" i="9" s="1"/>
  <c r="Z841" i="9"/>
  <c r="Z2101" i="9"/>
  <c r="Z2102" i="9" s="1"/>
  <c r="Z652" i="9"/>
  <c r="AG652" i="9" s="1"/>
  <c r="Z1500" i="9"/>
  <c r="Z1501" i="9" s="1"/>
  <c r="Z1508" i="9"/>
  <c r="Z1509" i="9" s="1"/>
  <c r="Z653" i="9"/>
  <c r="AG653" i="9" s="1"/>
  <c r="Z618" i="9"/>
  <c r="AG618" i="9" s="1"/>
  <c r="Z607" i="9"/>
  <c r="Z609" i="9" s="1"/>
  <c r="Z608" i="9"/>
  <c r="AG608" i="9" s="1"/>
  <c r="Z2061" i="9"/>
  <c r="Z2062" i="9" s="1"/>
  <c r="Z603" i="9"/>
  <c r="AG603" i="9" s="1"/>
  <c r="Z602" i="9"/>
  <c r="Z1512" i="9"/>
  <c r="Z1513" i="9" s="1"/>
  <c r="Z853" i="9"/>
  <c r="AG853" i="9" s="1"/>
  <c r="Z1460" i="9"/>
  <c r="Z1461" i="9" s="1"/>
  <c r="Z842" i="9"/>
  <c r="AG842" i="9" s="1"/>
  <c r="Y609" i="9"/>
  <c r="AG607" i="9"/>
  <c r="Y2058" i="9"/>
  <c r="AG2058" i="9" s="1"/>
  <c r="Y1698" i="9"/>
  <c r="Y1734" i="9"/>
  <c r="Y999" i="9"/>
  <c r="Y1000" i="9" s="1"/>
  <c r="Y1156" i="9" s="1"/>
  <c r="Y161" i="9"/>
  <c r="Y1542" i="9"/>
  <c r="Y151" i="9"/>
  <c r="Y1586" i="9"/>
  <c r="Y1541" i="9"/>
  <c r="Y1013" i="9"/>
  <c r="Y1621" i="9"/>
  <c r="Y860" i="9"/>
  <c r="Y898" i="9"/>
  <c r="Y924" i="9"/>
  <c r="Y1893" i="9"/>
  <c r="Y1572" i="9"/>
  <c r="Y2185" i="9"/>
  <c r="Y2155" i="9"/>
  <c r="Y1943" i="9"/>
  <c r="Y1853" i="9"/>
  <c r="Y1784" i="9"/>
  <c r="Y1530" i="9"/>
  <c r="Y1087" i="9"/>
  <c r="Y794" i="9"/>
  <c r="Y563" i="9"/>
  <c r="Y1927" i="9"/>
  <c r="Y1920" i="9"/>
  <c r="Y1986" i="9"/>
  <c r="Y1944" i="9"/>
  <c r="Y2192" i="9"/>
  <c r="Y1717" i="9"/>
  <c r="Y1570" i="9"/>
  <c r="Y900" i="9"/>
  <c r="Y1971" i="9"/>
  <c r="Y1030" i="9"/>
  <c r="Y2154" i="9"/>
  <c r="Y1715" i="9"/>
  <c r="Y1669" i="9"/>
  <c r="Y976" i="9"/>
  <c r="Y954" i="9"/>
  <c r="Y1863" i="9"/>
  <c r="Y1682" i="9"/>
  <c r="Y2200" i="9"/>
  <c r="Y1527" i="9"/>
  <c r="Y1849" i="9"/>
  <c r="Y1879" i="9"/>
  <c r="Y1855" i="9"/>
  <c r="Y1820" i="9"/>
  <c r="Y1761" i="9"/>
  <c r="Y1680" i="9"/>
  <c r="Y1622" i="9"/>
  <c r="Y1056" i="9"/>
  <c r="Y990" i="9"/>
  <c r="Y952" i="9"/>
  <c r="Y1519" i="9"/>
  <c r="Y1603" i="9"/>
  <c r="Y1594" i="9"/>
  <c r="Y1661" i="9"/>
  <c r="Y1050" i="9"/>
  <c r="Y1010" i="9"/>
  <c r="Y1695" i="9"/>
  <c r="Y1656" i="9"/>
  <c r="Y2178" i="9"/>
  <c r="Y1766" i="9"/>
  <c r="Y1539" i="9"/>
  <c r="Y1870" i="9"/>
  <c r="Y1604" i="9"/>
  <c r="Y1985" i="9"/>
  <c r="Y1690" i="9"/>
  <c r="Y1112" i="9"/>
  <c r="Y1788" i="9"/>
  <c r="Y1522" i="9"/>
  <c r="Y1608" i="9"/>
  <c r="Y1794" i="9"/>
  <c r="Y917" i="9"/>
  <c r="Y2197" i="9"/>
  <c r="Y1919" i="9"/>
  <c r="Y1915" i="9"/>
  <c r="Y1528" i="9"/>
  <c r="Y182" i="9"/>
  <c r="Y200" i="9"/>
  <c r="Y1979" i="9"/>
  <c r="Y1816" i="9"/>
  <c r="Y1723" i="9"/>
  <c r="Y1561" i="9"/>
  <c r="Y1544" i="9"/>
  <c r="Y1033" i="9"/>
  <c r="Y189" i="9"/>
  <c r="Y1952" i="9"/>
  <c r="Y907" i="9"/>
  <c r="Y2194" i="9"/>
  <c r="Y1988" i="9"/>
  <c r="Y1812" i="9"/>
  <c r="Y1724" i="9"/>
  <c r="Y1675" i="9"/>
  <c r="Y1649" i="9"/>
  <c r="Y1575" i="9"/>
  <c r="Y1132" i="9"/>
  <c r="Y906" i="9"/>
  <c r="Y866" i="9"/>
  <c r="Y562" i="9"/>
  <c r="Y2169" i="9"/>
  <c r="Y1066" i="9"/>
  <c r="Y2129" i="9"/>
  <c r="Y2003" i="9"/>
  <c r="Y1597" i="9"/>
  <c r="Y1545" i="9"/>
  <c r="Y2170" i="9"/>
  <c r="Y2124" i="9"/>
  <c r="Y1974" i="9"/>
  <c r="Y1966" i="9"/>
  <c r="Y1077" i="9"/>
  <c r="Y1640" i="9"/>
  <c r="Y1605" i="9"/>
  <c r="Y1099" i="9"/>
  <c r="Y1051" i="9"/>
  <c r="Y1038" i="9"/>
  <c r="Y980" i="9"/>
  <c r="Y941" i="9"/>
  <c r="Y2109" i="9"/>
  <c r="Y1976" i="9"/>
  <c r="Y1897" i="9"/>
  <c r="Y1832" i="9"/>
  <c r="Y1815" i="9"/>
  <c r="Y1667" i="9"/>
  <c r="Y1641" i="9"/>
  <c r="Y1556" i="9"/>
  <c r="Y1104" i="9"/>
  <c r="Y2202" i="9"/>
  <c r="Y1968" i="9"/>
  <c r="Y1955" i="9"/>
  <c r="Y1868" i="9"/>
  <c r="Y1599" i="9"/>
  <c r="Y1584" i="9"/>
  <c r="Y1564" i="9"/>
  <c r="Y1553" i="9"/>
  <c r="Y1124" i="9"/>
  <c r="Y885" i="9"/>
  <c r="Y181" i="9"/>
  <c r="Y2006" i="9"/>
  <c r="Y2000" i="9"/>
  <c r="Y183" i="9"/>
  <c r="Y2132" i="9"/>
  <c r="Y1960" i="9"/>
  <c r="Y1835" i="9"/>
  <c r="Y1792" i="9"/>
  <c r="Y1786" i="9"/>
  <c r="Y1705" i="9"/>
  <c r="Y1044" i="9"/>
  <c r="Y1039" i="9"/>
  <c r="Y2117" i="9"/>
  <c r="Y1778" i="9"/>
  <c r="Y1555" i="9"/>
  <c r="Y1091" i="9"/>
  <c r="Y1005" i="9"/>
  <c r="Y899" i="9"/>
  <c r="Y169" i="9"/>
  <c r="Y2179" i="9"/>
  <c r="Y1993" i="9"/>
  <c r="Y1926" i="9"/>
  <c r="Y1848" i="9"/>
  <c r="Y1833" i="9"/>
  <c r="Y1702" i="9"/>
  <c r="Y1611" i="9"/>
  <c r="Y1606" i="9"/>
  <c r="Y1550" i="9"/>
  <c r="Y1990" i="9"/>
  <c r="Y1046" i="9"/>
  <c r="Y1800" i="9"/>
  <c r="Y1770" i="9"/>
  <c r="Y1110" i="9"/>
  <c r="Y1023" i="9"/>
  <c r="Y206" i="9"/>
  <c r="Y184" i="9"/>
  <c r="Y1949" i="9"/>
  <c r="Y1937" i="9"/>
  <c r="Y1874" i="9"/>
  <c r="Y1869" i="9"/>
  <c r="Y1850" i="9"/>
  <c r="Y888" i="9"/>
  <c r="Y171" i="9"/>
  <c r="Y1725" i="9"/>
  <c r="Y1587" i="9"/>
  <c r="Y1538" i="9"/>
  <c r="Y1073" i="9"/>
  <c r="Y948" i="9"/>
  <c r="Y916" i="9"/>
  <c r="Y1946" i="9"/>
  <c r="Y1665" i="9"/>
  <c r="Y1031" i="9"/>
  <c r="Y734" i="9"/>
  <c r="Y2147" i="9"/>
  <c r="Y1999" i="9"/>
  <c r="Y1961" i="9"/>
  <c r="Y1719" i="9"/>
  <c r="Y1660" i="9"/>
  <c r="Y1907" i="9"/>
  <c r="Y1565" i="9"/>
  <c r="Y1025" i="9"/>
  <c r="Y1015" i="9"/>
  <c r="Y984" i="9"/>
  <c r="Y858" i="9"/>
  <c r="Y2211" i="9"/>
  <c r="Y2193" i="9"/>
  <c r="Y1762" i="9"/>
  <c r="Y1551" i="9"/>
  <c r="Y865" i="9"/>
  <c r="Y1045" i="9"/>
  <c r="Y890" i="9"/>
  <c r="Y1916" i="9"/>
  <c r="Y1813" i="9"/>
  <c r="Y1067" i="9"/>
  <c r="Y1017" i="9"/>
  <c r="Y753" i="9"/>
  <c r="Y747" i="9"/>
  <c r="Y613" i="9"/>
  <c r="Y1814" i="9"/>
  <c r="Y1793" i="9"/>
  <c r="Y1790" i="9"/>
  <c r="Y1718" i="9"/>
  <c r="Y1593" i="9"/>
  <c r="Y1048" i="9"/>
  <c r="Y788" i="9"/>
  <c r="Y749" i="9"/>
  <c r="Y1592" i="9"/>
  <c r="Y1041" i="9"/>
  <c r="Y1026" i="9"/>
  <c r="Y887" i="9"/>
  <c r="Y1821" i="9"/>
  <c r="Y1789" i="9"/>
  <c r="Y1529" i="9"/>
  <c r="Y1057" i="9"/>
  <c r="Y949" i="9"/>
  <c r="Y912" i="9"/>
  <c r="Y2195" i="9"/>
  <c r="Y1659" i="9"/>
  <c r="Y1018" i="9"/>
  <c r="Y1008" i="9"/>
  <c r="Y986" i="9"/>
  <c r="Y955" i="9"/>
  <c r="Y152" i="9"/>
  <c r="Y1938" i="9"/>
  <c r="Y1694" i="9"/>
  <c r="Y1684" i="9"/>
  <c r="Y1676" i="9"/>
  <c r="Y1537" i="9"/>
  <c r="Y1111" i="9"/>
  <c r="Y863" i="9"/>
  <c r="Y1953" i="9"/>
  <c r="Y1065" i="9"/>
  <c r="Y2209" i="9"/>
  <c r="Y2201" i="9"/>
  <c r="Y1977" i="9"/>
  <c r="Y1911" i="9"/>
  <c r="Y1668" i="9"/>
  <c r="Y1576" i="9"/>
  <c r="Y1075" i="9"/>
  <c r="Y1012" i="9"/>
  <c r="Y1074" i="9"/>
  <c r="Y1047" i="9"/>
  <c r="Y1822" i="9"/>
  <c r="Y1685" i="9"/>
  <c r="Y1062" i="9"/>
  <c r="Y1003" i="9"/>
  <c r="Y940" i="9"/>
  <c r="Y937" i="9"/>
  <c r="Y156" i="9"/>
  <c r="Y2210" i="9"/>
  <c r="Y2177" i="9"/>
  <c r="Y2004" i="9"/>
  <c r="Y1824" i="9"/>
  <c r="Y1115" i="9"/>
  <c r="Y1063" i="9"/>
  <c r="Y859" i="9"/>
  <c r="Y207" i="9"/>
  <c r="Y2196" i="9"/>
  <c r="Y160" i="9"/>
  <c r="Y1692" i="9"/>
  <c r="Y1619" i="9"/>
  <c r="Y1948" i="9"/>
  <c r="Y1825" i="9"/>
  <c r="Y1691" i="9"/>
  <c r="Y1666" i="9"/>
  <c r="Y1581" i="9"/>
  <c r="Y1523" i="9"/>
  <c r="Y1052" i="9"/>
  <c r="Y1042" i="9"/>
  <c r="Y1028" i="9"/>
  <c r="Y755" i="9"/>
  <c r="Y2113" i="9"/>
  <c r="Y1563" i="9"/>
  <c r="Y795" i="9"/>
  <c r="Y1617" i="9"/>
  <c r="Y908" i="9"/>
  <c r="Y2186" i="9"/>
  <c r="Y1851" i="9"/>
  <c r="Y1795" i="9"/>
  <c r="Y1585" i="9"/>
  <c r="Y1059" i="9"/>
  <c r="Y861" i="9"/>
  <c r="Y1992" i="9"/>
  <c r="Y1078" i="9"/>
  <c r="Y942" i="9"/>
  <c r="Y939" i="9"/>
  <c r="Y904" i="9"/>
  <c r="Y1856" i="9"/>
  <c r="Y1836" i="9"/>
  <c r="Y1805" i="9"/>
  <c r="Y1032" i="9"/>
  <c r="Y959" i="9"/>
  <c r="Y950" i="9"/>
  <c r="Y2184" i="9"/>
  <c r="Y1830" i="9"/>
  <c r="Y193" i="9"/>
  <c r="Y2198" i="9"/>
  <c r="Y1037" i="9"/>
  <c r="Y972" i="9"/>
  <c r="Y2127" i="9"/>
  <c r="Y1980" i="9"/>
  <c r="Y1582" i="9"/>
  <c r="Y1004" i="9"/>
  <c r="Y953" i="9"/>
  <c r="Y2187" i="9"/>
  <c r="Y1978" i="9"/>
  <c r="Y1729" i="9"/>
  <c r="Y1704" i="9"/>
  <c r="Y2175" i="9"/>
  <c r="Y1716" i="9"/>
  <c r="Y1657" i="9"/>
  <c r="Y1562" i="9"/>
  <c r="Y1011" i="9"/>
  <c r="Y759" i="9"/>
  <c r="Y738" i="9"/>
  <c r="Y1989" i="9"/>
  <c r="Y1972" i="9"/>
  <c r="Y1823" i="9"/>
  <c r="Y1796" i="9"/>
  <c r="Y1683" i="9"/>
  <c r="Y1615" i="9"/>
  <c r="Y1588" i="9"/>
  <c r="Y1040" i="9"/>
  <c r="Y864" i="9"/>
  <c r="Y205" i="9"/>
  <c r="Y1991" i="9"/>
  <c r="Y1984" i="9"/>
  <c r="Y1970" i="9"/>
  <c r="Y1854" i="9"/>
  <c r="Y1610" i="9"/>
  <c r="Y1543" i="9"/>
  <c r="Y1135" i="9"/>
  <c r="Y2125" i="9"/>
  <c r="Y2001" i="9"/>
  <c r="Y1932" i="9"/>
  <c r="Y1774" i="9"/>
  <c r="Y1703" i="9"/>
  <c r="Y1632" i="9"/>
  <c r="Y1521" i="9"/>
  <c r="Y870" i="9"/>
  <c r="Y740" i="9"/>
  <c r="Y180" i="9"/>
  <c r="Y2126" i="9"/>
  <c r="Y1975" i="9"/>
  <c r="Y1956" i="9"/>
  <c r="Y1837" i="9"/>
  <c r="Y1714" i="9"/>
  <c r="Y1689" i="9"/>
  <c r="Y1577" i="9"/>
  <c r="Y1554" i="9"/>
  <c r="Y1852" i="9"/>
  <c r="Y1834" i="9"/>
  <c r="Y1785" i="9"/>
  <c r="Y1007" i="9"/>
  <c r="Y938" i="9"/>
  <c r="Y2130" i="9"/>
  <c r="Y1826" i="9"/>
  <c r="Y1760" i="9"/>
  <c r="Y1681" i="9"/>
  <c r="Y162" i="9"/>
  <c r="Y1902" i="9"/>
  <c r="Y1731" i="9"/>
  <c r="Y1730" i="9"/>
  <c r="Y1652" i="9"/>
  <c r="Y1642" i="9"/>
  <c r="Y1595" i="9"/>
  <c r="Y1573" i="9"/>
  <c r="Y1058" i="9"/>
  <c r="Y951" i="9"/>
  <c r="Y886" i="9"/>
  <c r="Y612" i="9"/>
  <c r="Y196" i="9"/>
  <c r="Y209" i="9"/>
  <c r="Y1973" i="9"/>
  <c r="Y1962" i="9"/>
  <c r="Y1901" i="9"/>
  <c r="Y167" i="9"/>
  <c r="Y172" i="9" s="1"/>
  <c r="Y2002" i="9"/>
  <c r="Y1939" i="9"/>
  <c r="Y1620" i="9"/>
  <c r="Y1557" i="9"/>
  <c r="Y1076" i="9"/>
  <c r="Y188" i="9"/>
  <c r="Y2131" i="9"/>
  <c r="Y2005" i="9"/>
  <c r="Y1791" i="9"/>
  <c r="Y1951" i="9"/>
  <c r="Y1925" i="9"/>
  <c r="Y1924" i="9"/>
  <c r="Y1831" i="9"/>
  <c r="Y1787" i="9"/>
  <c r="Y1677" i="9"/>
  <c r="Y1607" i="9"/>
  <c r="Y1598" i="9"/>
  <c r="Y1532" i="9"/>
  <c r="Y905" i="9"/>
  <c r="Y754" i="9"/>
  <c r="Y732" i="9"/>
  <c r="Y1954" i="9"/>
  <c r="Y1875" i="9"/>
  <c r="Y1635" i="9"/>
  <c r="Y1596" i="9"/>
  <c r="Y1583" i="9"/>
  <c r="Y1566" i="9"/>
  <c r="Y163" i="9"/>
  <c r="Y1967" i="9"/>
  <c r="Y222" i="9"/>
  <c r="Y1616" i="9"/>
  <c r="Y1022" i="9"/>
  <c r="Y964" i="9"/>
  <c r="Y204" i="9"/>
  <c r="Y170" i="9"/>
  <c r="Y1093" i="9"/>
  <c r="Y1609" i="9"/>
  <c r="Y1128" i="9"/>
  <c r="Y1060" i="9"/>
  <c r="Y901" i="9"/>
  <c r="Y1936" i="9"/>
  <c r="Y1574" i="9"/>
  <c r="Y1029" i="9"/>
  <c r="Y1009" i="9"/>
  <c r="Y743" i="9"/>
  <c r="Y985" i="9"/>
  <c r="Y1571" i="9"/>
  <c r="Y903" i="9"/>
  <c r="Y208" i="9"/>
  <c r="Y1533" i="9"/>
  <c r="Y1027" i="9"/>
  <c r="Y1549" i="9"/>
  <c r="Y1061" i="9"/>
  <c r="Y1016" i="9"/>
  <c r="Y855" i="9"/>
  <c r="Y1457" i="9"/>
  <c r="AG1456" i="9"/>
  <c r="AG1501" i="9" l="1"/>
  <c r="AG2061" i="9"/>
  <c r="AG2062" i="9"/>
  <c r="AG1508" i="9"/>
  <c r="AG1509" i="9"/>
  <c r="Y1732" i="9"/>
  <c r="Y1807" i="9"/>
  <c r="Y1589" i="9"/>
  <c r="Y1636" i="9"/>
  <c r="Y1720" i="9"/>
  <c r="Y1113" i="9"/>
  <c r="Y1623" i="9"/>
  <c r="Y37" i="9"/>
  <c r="Y1735" i="9"/>
  <c r="Z1516" i="9"/>
  <c r="Y1876" i="9"/>
  <c r="Y1678" i="9"/>
  <c r="Y1903" i="9"/>
  <c r="Y1775" i="9"/>
  <c r="Y194" i="9"/>
  <c r="Y1857" i="9"/>
  <c r="Y2114" i="9"/>
  <c r="Y943" i="9"/>
  <c r="Y913" i="9"/>
  <c r="Y1917" i="9"/>
  <c r="Y867" i="9"/>
  <c r="Y956" i="9"/>
  <c r="Y1771" i="9"/>
  <c r="Y891" i="9"/>
  <c r="Y1898" i="9"/>
  <c r="Y1871" i="9"/>
  <c r="Y1686" i="9"/>
  <c r="Y1699" i="9"/>
  <c r="AG1512" i="9"/>
  <c r="Y223" i="9"/>
  <c r="Y190" i="9"/>
  <c r="Y1963" i="9"/>
  <c r="Y1933" i="9"/>
  <c r="Y1797" i="9"/>
  <c r="Y1600" i="9"/>
  <c r="Y987" i="9"/>
  <c r="Y1802" i="9"/>
  <c r="Y201" i="9"/>
  <c r="Y1865" i="9"/>
  <c r="AG2057" i="9"/>
  <c r="AG602" i="9"/>
  <c r="Z604" i="9"/>
  <c r="AG604" i="9" s="1"/>
  <c r="AG1513" i="9"/>
  <c r="Y1612" i="9"/>
  <c r="Y1534" i="9"/>
  <c r="Y157" i="9"/>
  <c r="Y744" i="9"/>
  <c r="Y735" i="9"/>
  <c r="Y185" i="9"/>
  <c r="Y2188" i="9"/>
  <c r="Y1779" i="9"/>
  <c r="Y2110" i="9"/>
  <c r="Y1650" i="9"/>
  <c r="Y1767" i="9"/>
  <c r="Y1578" i="9"/>
  <c r="Y796" i="9"/>
  <c r="Z654" i="9"/>
  <c r="AG654" i="9" s="1"/>
  <c r="AG2101" i="9"/>
  <c r="Y2007" i="9"/>
  <c r="Y1929" i="9"/>
  <c r="Y1643" i="9"/>
  <c r="Y1981" i="9"/>
  <c r="Y791" i="9"/>
  <c r="Y750" i="9"/>
  <c r="Y1994" i="9"/>
  <c r="Y2118" i="9"/>
  <c r="Y2133" i="9"/>
  <c r="Y1524" i="9"/>
  <c r="Y977" i="9"/>
  <c r="Y1894" i="9"/>
  <c r="Y153" i="9"/>
  <c r="AG2102" i="9"/>
  <c r="Y966" i="9"/>
  <c r="Y1838" i="9"/>
  <c r="Y760" i="9"/>
  <c r="Y1068" i="9"/>
  <c r="Y1516" i="9"/>
  <c r="AG1457" i="9"/>
  <c r="Y1034" i="9"/>
  <c r="Y2212" i="9"/>
  <c r="Y2214" i="9" s="1"/>
  <c r="Y2215" i="9" s="1"/>
  <c r="Y1558" i="9"/>
  <c r="Y1827" i="9"/>
  <c r="AC1698" i="9"/>
  <c r="AC1699" i="9" s="1"/>
  <c r="AC1863" i="9"/>
  <c r="AC1865" i="9" s="1"/>
  <c r="AC1661" i="9"/>
  <c r="AC1522" i="9"/>
  <c r="AC1927" i="9"/>
  <c r="AC990" i="9"/>
  <c r="AC991" i="9" s="1"/>
  <c r="AC1971" i="9"/>
  <c r="AC1695" i="9"/>
  <c r="AC1608" i="9"/>
  <c r="AC2200" i="9"/>
  <c r="AC917" i="9"/>
  <c r="AC1879" i="9"/>
  <c r="AC1881" i="9" s="1"/>
  <c r="AC1820" i="9"/>
  <c r="AC1784" i="9"/>
  <c r="AC1761" i="9"/>
  <c r="AC1077" i="9"/>
  <c r="AC183" i="9"/>
  <c r="AC999" i="9"/>
  <c r="AC1000" i="9" s="1"/>
  <c r="AC1156" i="9" s="1"/>
  <c r="AC1794" i="9"/>
  <c r="AC1986" i="9"/>
  <c r="AC2154" i="9"/>
  <c r="AC1690" i="9"/>
  <c r="AC1013" i="9"/>
  <c r="AC860" i="9"/>
  <c r="AC161" i="9"/>
  <c r="AC1572" i="9"/>
  <c r="AC2197" i="9"/>
  <c r="AC1985" i="9"/>
  <c r="AC1855" i="9"/>
  <c r="AC1715" i="9"/>
  <c r="AC1669" i="9"/>
  <c r="AC1530" i="9"/>
  <c r="AC1528" i="9"/>
  <c r="AC1087" i="9"/>
  <c r="AC563" i="9"/>
  <c r="AC1621" i="9"/>
  <c r="AC1682" i="9"/>
  <c r="AC924" i="9"/>
  <c r="AC926" i="9" s="1"/>
  <c r="AC2178" i="9"/>
  <c r="AC1849" i="9"/>
  <c r="AC1680" i="9"/>
  <c r="AC1622" i="9"/>
  <c r="AC1570" i="9"/>
  <c r="AC1542" i="9"/>
  <c r="AC1586" i="9"/>
  <c r="AC1541" i="9"/>
  <c r="AC900" i="9"/>
  <c r="AC898" i="9"/>
  <c r="AC1030" i="9"/>
  <c r="AC2192" i="9"/>
  <c r="AC2155" i="9"/>
  <c r="AC1915" i="9"/>
  <c r="AC1788" i="9"/>
  <c r="AC1734" i="9"/>
  <c r="AC1656" i="9"/>
  <c r="AC1944" i="9"/>
  <c r="AC1893" i="9"/>
  <c r="AC1894" i="9" s="1"/>
  <c r="AC1527" i="9"/>
  <c r="AC1870" i="9"/>
  <c r="AC1604" i="9"/>
  <c r="AC1943" i="9"/>
  <c r="AC1056" i="9"/>
  <c r="AC1068" i="9" s="1"/>
  <c r="AC1920" i="9"/>
  <c r="AC952" i="9"/>
  <c r="AC1519" i="9"/>
  <c r="AC1919" i="9"/>
  <c r="AC1717" i="9"/>
  <c r="AC1603" i="9"/>
  <c r="AC1594" i="9"/>
  <c r="AC954" i="9"/>
  <c r="AC1050" i="9"/>
  <c r="AC1010" i="9"/>
  <c r="AC1766" i="9"/>
  <c r="AC1767" i="9" s="1"/>
  <c r="AC1539" i="9"/>
  <c r="AC2185" i="9"/>
  <c r="AC1853" i="9"/>
  <c r="AC1112" i="9"/>
  <c r="AC907" i="9"/>
  <c r="AC794" i="9"/>
  <c r="AC1812" i="9"/>
  <c r="AC1792" i="9"/>
  <c r="AC1592" i="9"/>
  <c r="AC1046" i="9"/>
  <c r="AC1039" i="9"/>
  <c r="AC2000" i="9"/>
  <c r="AC1850" i="9"/>
  <c r="AC1815" i="9"/>
  <c r="AC2129" i="9"/>
  <c r="AC1979" i="9"/>
  <c r="AC1786" i="9"/>
  <c r="AC1723" i="9"/>
  <c r="AC1640" i="9"/>
  <c r="AC1605" i="9"/>
  <c r="AC1561" i="9"/>
  <c r="AC1567" i="9" s="1"/>
  <c r="AC1544" i="9"/>
  <c r="AC1033" i="9"/>
  <c r="AC1005" i="9"/>
  <c r="AC899" i="9"/>
  <c r="AC189" i="9"/>
  <c r="AC2179" i="9"/>
  <c r="AC1974" i="9"/>
  <c r="AC1869" i="9"/>
  <c r="AC151" i="9"/>
  <c r="AC182" i="9"/>
  <c r="AC1988" i="9"/>
  <c r="AC1955" i="9"/>
  <c r="AC1868" i="9"/>
  <c r="AC1724" i="9"/>
  <c r="AC1705" i="9"/>
  <c r="AC1649" i="9"/>
  <c r="AC1650" i="9" s="1"/>
  <c r="AC906" i="9"/>
  <c r="AC866" i="9"/>
  <c r="AC865" i="9"/>
  <c r="AC562" i="9"/>
  <c r="AC564" i="9" s="1"/>
  <c r="AC1952" i="9"/>
  <c r="AC1926" i="9"/>
  <c r="AC1066" i="9"/>
  <c r="AC200" i="9"/>
  <c r="AC201" i="9" s="1"/>
  <c r="AC2194" i="9"/>
  <c r="AC1835" i="9"/>
  <c r="AC1675" i="9"/>
  <c r="AC2124" i="9"/>
  <c r="AC1966" i="9"/>
  <c r="AC1830" i="9"/>
  <c r="AC1597" i="9"/>
  <c r="AC1575" i="9"/>
  <c r="AC1132" i="9"/>
  <c r="AC1051" i="9"/>
  <c r="AC980" i="9"/>
  <c r="AC981" i="9" s="1"/>
  <c r="AC2169" i="9"/>
  <c r="AC1976" i="9"/>
  <c r="AC1897" i="9"/>
  <c r="AC1898" i="9" s="1"/>
  <c r="AC1800" i="9"/>
  <c r="AC1802" i="9" s="1"/>
  <c r="AC976" i="9"/>
  <c r="AC977" i="9" s="1"/>
  <c r="AC2117" i="9"/>
  <c r="AC2118" i="9" s="1"/>
  <c r="AC1990" i="9"/>
  <c r="AC1968" i="9"/>
  <c r="AC1584" i="9"/>
  <c r="AC1545" i="9"/>
  <c r="AC1124" i="9"/>
  <c r="AC885" i="9"/>
  <c r="AC2202" i="9"/>
  <c r="AC1992" i="9"/>
  <c r="AC1599" i="9"/>
  <c r="AC1099" i="9"/>
  <c r="AC1044" i="9"/>
  <c r="AC1038" i="9"/>
  <c r="AC941" i="9"/>
  <c r="AC181" i="9"/>
  <c r="AC2170" i="9"/>
  <c r="AC2171" i="9" s="1"/>
  <c r="AC2109" i="9"/>
  <c r="AC2110" i="9" s="1"/>
  <c r="AC1946" i="9"/>
  <c r="AC1110" i="9"/>
  <c r="AC1816" i="9"/>
  <c r="AC1606" i="9"/>
  <c r="AC1057" i="9"/>
  <c r="AC949" i="9"/>
  <c r="AC160" i="9"/>
  <c r="AC1961" i="9"/>
  <c r="AC1960" i="9"/>
  <c r="AC169" i="9"/>
  <c r="AC1993" i="9"/>
  <c r="AC1611" i="9"/>
  <c r="AC1023" i="9"/>
  <c r="AC912" i="9"/>
  <c r="AC913" i="9" s="1"/>
  <c r="AC193" i="9"/>
  <c r="AC194" i="9" s="1"/>
  <c r="AC1822" i="9"/>
  <c r="AC1793" i="9"/>
  <c r="AC1762" i="9"/>
  <c r="AC1719" i="9"/>
  <c r="AC1692" i="9"/>
  <c r="AC1529" i="9"/>
  <c r="AC1065" i="9"/>
  <c r="AC1008" i="9"/>
  <c r="AC955" i="9"/>
  <c r="AC937" i="9"/>
  <c r="AC1833" i="9"/>
  <c r="AC1556" i="9"/>
  <c r="AC1074" i="9"/>
  <c r="AC1047" i="9"/>
  <c r="AC888" i="9"/>
  <c r="AC206" i="9"/>
  <c r="AC184" i="9"/>
  <c r="AC1937" i="9"/>
  <c r="AC1874" i="9"/>
  <c r="AC1813" i="9"/>
  <c r="AC1091" i="9"/>
  <c r="AC1702" i="9"/>
  <c r="AC1665" i="9"/>
  <c r="AC1641" i="9"/>
  <c r="AC1550" i="9"/>
  <c r="AC1031" i="9"/>
  <c r="AC171" i="9"/>
  <c r="AC1659" i="9"/>
  <c r="AC1619" i="9"/>
  <c r="AC1587" i="9"/>
  <c r="AC2132" i="9"/>
  <c r="AC2133" i="9" s="1"/>
  <c r="AC2162" i="9" s="1"/>
  <c r="AC2006" i="9"/>
  <c r="AC1667" i="9"/>
  <c r="AC1025" i="9"/>
  <c r="AC984" i="9"/>
  <c r="AC858" i="9"/>
  <c r="AC2211" i="9"/>
  <c r="AC1999" i="9"/>
  <c r="AC1949" i="9"/>
  <c r="AC2003" i="9"/>
  <c r="AC1907" i="9"/>
  <c r="AC1908" i="9" s="1"/>
  <c r="AC1832" i="9"/>
  <c r="AC1770" i="9"/>
  <c r="AC1771" i="9" s="1"/>
  <c r="AC1565" i="9"/>
  <c r="AC1104" i="9"/>
  <c r="AC1045" i="9"/>
  <c r="AC890" i="9"/>
  <c r="AC734" i="9"/>
  <c r="AC2193" i="9"/>
  <c r="AC1916" i="9"/>
  <c r="AC1725" i="9"/>
  <c r="AC1003" i="9"/>
  <c r="AC986" i="9"/>
  <c r="AC1778" i="9"/>
  <c r="AC1779" i="9" s="1"/>
  <c r="AC1555" i="9"/>
  <c r="AC1848" i="9"/>
  <c r="AC1067" i="9"/>
  <c r="AC1017" i="9"/>
  <c r="AC1015" i="9"/>
  <c r="AC753" i="9"/>
  <c r="AC747" i="9"/>
  <c r="AC613" i="9"/>
  <c r="AC2195" i="9"/>
  <c r="AC1953" i="9"/>
  <c r="AC1790" i="9"/>
  <c r="AC1660" i="9"/>
  <c r="AC1564" i="9"/>
  <c r="AC1041" i="9"/>
  <c r="AC1551" i="9"/>
  <c r="AC942" i="9"/>
  <c r="AC908" i="9"/>
  <c r="AC2210" i="9"/>
  <c r="AC2198" i="9"/>
  <c r="AC2113" i="9"/>
  <c r="AC2114" i="9" s="1"/>
  <c r="AC1666" i="9"/>
  <c r="AC1059" i="9"/>
  <c r="AC1037" i="9"/>
  <c r="AC972" i="9"/>
  <c r="AC959" i="9"/>
  <c r="AC961" i="9" s="1"/>
  <c r="AC167" i="9"/>
  <c r="AC172" i="9" s="1"/>
  <c r="AC1685" i="9"/>
  <c r="AC1018" i="9"/>
  <c r="AC948" i="9"/>
  <c r="AC916" i="9"/>
  <c r="AC2186" i="9"/>
  <c r="AC2177" i="9"/>
  <c r="AC1825" i="9"/>
  <c r="AC1824" i="9"/>
  <c r="AC1805" i="9"/>
  <c r="AC1807" i="9" s="1"/>
  <c r="AC1537" i="9"/>
  <c r="AC863" i="9"/>
  <c r="AC1789" i="9"/>
  <c r="AC1538" i="9"/>
  <c r="AC788" i="9"/>
  <c r="AC791" i="9" s="1"/>
  <c r="AC2201" i="9"/>
  <c r="AC1938" i="9"/>
  <c r="AC1911" i="9"/>
  <c r="AC1912" i="9" s="1"/>
  <c r="AC1075" i="9"/>
  <c r="AC1012" i="9"/>
  <c r="AC1026" i="9"/>
  <c r="AC1821" i="9"/>
  <c r="AC1062" i="9"/>
  <c r="AC940" i="9"/>
  <c r="AC152" i="9"/>
  <c r="AC2209" i="9"/>
  <c r="AC1795" i="9"/>
  <c r="AC1684" i="9"/>
  <c r="AC1576" i="9"/>
  <c r="AC1115" i="9"/>
  <c r="AC1111" i="9"/>
  <c r="AC859" i="9"/>
  <c r="AC1617" i="9"/>
  <c r="AC156" i="9"/>
  <c r="AC157" i="9" s="1"/>
  <c r="AC1668" i="9"/>
  <c r="AC1581" i="9"/>
  <c r="AC1523" i="9"/>
  <c r="AC1718" i="9"/>
  <c r="AC1593" i="9"/>
  <c r="AC1048" i="9"/>
  <c r="AC755" i="9"/>
  <c r="AC1836" i="9"/>
  <c r="AC1691" i="9"/>
  <c r="AC1676" i="9"/>
  <c r="AC1563" i="9"/>
  <c r="AC1063" i="9"/>
  <c r="AC795" i="9"/>
  <c r="AC887" i="9"/>
  <c r="AC2147" i="9"/>
  <c r="AC1814" i="9"/>
  <c r="AC1073" i="9"/>
  <c r="AC749" i="9"/>
  <c r="AC1948" i="9"/>
  <c r="AC1851" i="9"/>
  <c r="AC1585" i="9"/>
  <c r="AC1052" i="9"/>
  <c r="AC1042" i="9"/>
  <c r="AC1028" i="9"/>
  <c r="AC861" i="9"/>
  <c r="AC207" i="9"/>
  <c r="AC1553" i="9"/>
  <c r="AC1078" i="9"/>
  <c r="AC939" i="9"/>
  <c r="AC904" i="9"/>
  <c r="AC2004" i="9"/>
  <c r="AC1977" i="9"/>
  <c r="AC1856" i="9"/>
  <c r="AC1694" i="9"/>
  <c r="AC1032" i="9"/>
  <c r="AC950" i="9"/>
  <c r="AC2184" i="9"/>
  <c r="AC2001" i="9"/>
  <c r="AC1951" i="9"/>
  <c r="AC1939" i="9"/>
  <c r="AC1703" i="9"/>
  <c r="AC1657" i="9"/>
  <c r="AC1532" i="9"/>
  <c r="AC905" i="9"/>
  <c r="AC754" i="9"/>
  <c r="AC732" i="9"/>
  <c r="AC1970" i="9"/>
  <c r="AC1936" i="9"/>
  <c r="AC1714" i="9"/>
  <c r="AC1610" i="9"/>
  <c r="AC1596" i="9"/>
  <c r="AC1583" i="9"/>
  <c r="AC1989" i="9"/>
  <c r="AC1834" i="9"/>
  <c r="AC1615" i="9"/>
  <c r="AC1557" i="9"/>
  <c r="AC1004" i="9"/>
  <c r="AC953" i="9"/>
  <c r="AC2196" i="9"/>
  <c r="AC1632" i="9"/>
  <c r="AC1633" i="9" s="1"/>
  <c r="AC1607" i="9"/>
  <c r="AC1562" i="9"/>
  <c r="AC1011" i="9"/>
  <c r="AC759" i="9"/>
  <c r="AC760" i="9" s="1"/>
  <c r="AC1826" i="9"/>
  <c r="AC1689" i="9"/>
  <c r="AC1616" i="9"/>
  <c r="AC1574" i="9"/>
  <c r="AC1009" i="9"/>
  <c r="AC1925" i="9"/>
  <c r="AC1823" i="9"/>
  <c r="AC1730" i="9"/>
  <c r="AC1598" i="9"/>
  <c r="AC1588" i="9"/>
  <c r="AC1040" i="9"/>
  <c r="AC1973" i="9"/>
  <c r="AC1854" i="9"/>
  <c r="AC1760" i="9"/>
  <c r="AC1729" i="9"/>
  <c r="AC1681" i="9"/>
  <c r="AC1635" i="9"/>
  <c r="AC1636" i="9" s="1"/>
  <c r="AC1543" i="9"/>
  <c r="AC2125" i="9"/>
  <c r="AC1972" i="9"/>
  <c r="AC1731" i="9"/>
  <c r="AC1582" i="9"/>
  <c r="AC740" i="9"/>
  <c r="AC738" i="9"/>
  <c r="AC205" i="9"/>
  <c r="AC2131" i="9"/>
  <c r="AC1975" i="9"/>
  <c r="AC1577" i="9"/>
  <c r="AC1533" i="9"/>
  <c r="AC1029" i="9"/>
  <c r="AC1027" i="9"/>
  <c r="AC2002" i="9"/>
  <c r="AC1932" i="9"/>
  <c r="AC1933" i="9" s="1"/>
  <c r="AC1852" i="9"/>
  <c r="AC1774" i="9"/>
  <c r="AC1775" i="9" s="1"/>
  <c r="AC1716" i="9"/>
  <c r="AC1683" i="9"/>
  <c r="AC1677" i="9"/>
  <c r="AC1678" i="9" s="1"/>
  <c r="AC938" i="9"/>
  <c r="AC864" i="9"/>
  <c r="AC180" i="9"/>
  <c r="AC1991" i="9"/>
  <c r="AC1984" i="9"/>
  <c r="AC1954" i="9"/>
  <c r="AC1875" i="9"/>
  <c r="AC1876" i="9" s="1"/>
  <c r="AC1791" i="9"/>
  <c r="AC162" i="9"/>
  <c r="AC1980" i="9"/>
  <c r="AC1924" i="9"/>
  <c r="AC1902" i="9"/>
  <c r="AC1831" i="9"/>
  <c r="AC1796" i="9"/>
  <c r="AC1787" i="9"/>
  <c r="AC1785" i="9"/>
  <c r="AC1652" i="9"/>
  <c r="AC1653" i="9" s="1"/>
  <c r="AC1595" i="9"/>
  <c r="AC1573" i="9"/>
  <c r="AC1521" i="9"/>
  <c r="AC1058" i="9"/>
  <c r="AC951" i="9"/>
  <c r="AC886" i="9"/>
  <c r="AC870" i="9"/>
  <c r="AC871" i="9" s="1"/>
  <c r="AC612" i="9"/>
  <c r="AC614" i="9" s="1"/>
  <c r="AC196" i="9"/>
  <c r="AC197" i="9" s="1"/>
  <c r="AC1967" i="9"/>
  <c r="AC1962" i="9"/>
  <c r="AC1963" i="9" s="1"/>
  <c r="AC2175" i="9"/>
  <c r="AC2127" i="9"/>
  <c r="AC1642" i="9"/>
  <c r="AC1620" i="9"/>
  <c r="AC1076" i="9"/>
  <c r="AC1007" i="9"/>
  <c r="AC188" i="9"/>
  <c r="AC190" i="9" s="1"/>
  <c r="AC209" i="9"/>
  <c r="AC2187" i="9"/>
  <c r="AC2126" i="9"/>
  <c r="AC2005" i="9"/>
  <c r="AC1978" i="9"/>
  <c r="AC1901" i="9"/>
  <c r="AC1837" i="9"/>
  <c r="AC1704" i="9"/>
  <c r="AC1609" i="9"/>
  <c r="AC1549" i="9"/>
  <c r="AC1135" i="9"/>
  <c r="AC1016" i="9"/>
  <c r="AC208" i="9"/>
  <c r="AC1128" i="9"/>
  <c r="AC1566" i="9"/>
  <c r="AC1554" i="9"/>
  <c r="AC1956" i="9"/>
  <c r="AC1022" i="9"/>
  <c r="AC163" i="9"/>
  <c r="AC964" i="9"/>
  <c r="AC966" i="9" s="1"/>
  <c r="AC901" i="9"/>
  <c r="AC204" i="9"/>
  <c r="AC210" i="9" s="1"/>
  <c r="AC1060" i="9"/>
  <c r="AC985" i="9"/>
  <c r="AC170" i="9"/>
  <c r="AC2130" i="9"/>
  <c r="AC1571" i="9"/>
  <c r="AC1093" i="9"/>
  <c r="AC903" i="9"/>
  <c r="AC743" i="9"/>
  <c r="AC744" i="9" s="1"/>
  <c r="AC222" i="9"/>
  <c r="AC223" i="9" s="1"/>
  <c r="AC1061" i="9"/>
  <c r="Z1698" i="9"/>
  <c r="Z1699" i="9" s="1"/>
  <c r="Z1050" i="9"/>
  <c r="Z1010" i="9"/>
  <c r="Z1870" i="9"/>
  <c r="Z1871" i="9" s="1"/>
  <c r="Z1519" i="9"/>
  <c r="Z2197" i="9"/>
  <c r="Z2155" i="9"/>
  <c r="Z1594" i="9"/>
  <c r="Z1066" i="9"/>
  <c r="Z1863" i="9"/>
  <c r="Z1865" i="9" s="1"/>
  <c r="Z1788" i="9"/>
  <c r="Z1734" i="9"/>
  <c r="Z1661" i="9"/>
  <c r="AG1661" i="9" s="1"/>
  <c r="Z1056" i="9"/>
  <c r="Z1068" i="9" s="1"/>
  <c r="Z1971" i="9"/>
  <c r="Z1695" i="9"/>
  <c r="Z1539" i="9"/>
  <c r="Z2192" i="9"/>
  <c r="Z1542" i="9"/>
  <c r="Z1528" i="9"/>
  <c r="Z183" i="9"/>
  <c r="Z1794" i="9"/>
  <c r="Z1766" i="9"/>
  <c r="Z1767" i="9" s="1"/>
  <c r="Z917" i="9"/>
  <c r="Z2185" i="9"/>
  <c r="Z1853" i="9"/>
  <c r="Z1784" i="9"/>
  <c r="Z1603" i="9"/>
  <c r="Z1112" i="9"/>
  <c r="Z794" i="9"/>
  <c r="Z796" i="9" s="1"/>
  <c r="Z1586" i="9"/>
  <c r="Z1541" i="9"/>
  <c r="Z1522" i="9"/>
  <c r="Z1927" i="9"/>
  <c r="Z1920" i="9"/>
  <c r="Z999" i="9"/>
  <c r="Z1000" i="9" s="1"/>
  <c r="Z1156" i="9" s="1"/>
  <c r="Z898" i="9"/>
  <c r="Z161" i="9"/>
  <c r="Z1717" i="9"/>
  <c r="Z1530" i="9"/>
  <c r="Z1087" i="9"/>
  <c r="Z563" i="9"/>
  <c r="Z1013" i="9"/>
  <c r="Z1608" i="9"/>
  <c r="Z924" i="9"/>
  <c r="Z926" i="9" s="1"/>
  <c r="Z2178" i="9"/>
  <c r="Z1944" i="9"/>
  <c r="Z2154" i="9"/>
  <c r="Z1985" i="9"/>
  <c r="Z1715" i="9"/>
  <c r="Z1669" i="9"/>
  <c r="Z1621" i="9"/>
  <c r="AG1621" i="9" s="1"/>
  <c r="Z900" i="9"/>
  <c r="Z860" i="9"/>
  <c r="Z1682" i="9"/>
  <c r="Z2200" i="9"/>
  <c r="Z1849" i="9"/>
  <c r="Z1572" i="9"/>
  <c r="Z1919" i="9"/>
  <c r="Z1855" i="9"/>
  <c r="Z1820" i="9"/>
  <c r="AG1820" i="9" s="1"/>
  <c r="Z1761" i="9"/>
  <c r="Z1690" i="9"/>
  <c r="Z1680" i="9"/>
  <c r="Z1622" i="9"/>
  <c r="Z1570" i="9"/>
  <c r="Z990" i="9"/>
  <c r="Z991" i="9" s="1"/>
  <c r="Z1893" i="9"/>
  <c r="Z1894" i="9" s="1"/>
  <c r="Z1030" i="9"/>
  <c r="Z1943" i="9"/>
  <c r="Z1915" i="9"/>
  <c r="Z1879" i="9"/>
  <c r="Z1881" i="9" s="1"/>
  <c r="Z1077" i="9"/>
  <c r="Z976" i="9"/>
  <c r="Z977" i="9" s="1"/>
  <c r="Z907" i="9"/>
  <c r="Z1656" i="9"/>
  <c r="Z952" i="9"/>
  <c r="Z1986" i="9"/>
  <c r="Z1527" i="9"/>
  <c r="Z1604" i="9"/>
  <c r="Z2117" i="9"/>
  <c r="Z2118" i="9" s="1"/>
  <c r="Z2003" i="9"/>
  <c r="Z1778" i="9"/>
  <c r="Z1779" i="9" s="1"/>
  <c r="Z1555" i="9"/>
  <c r="Z1005" i="9"/>
  <c r="Z865" i="9"/>
  <c r="Z1974" i="9"/>
  <c r="Z1897" i="9"/>
  <c r="Z1898" i="9" s="1"/>
  <c r="Z1833" i="9"/>
  <c r="Z1800" i="9"/>
  <c r="Z1802" i="9" s="1"/>
  <c r="Z151" i="9"/>
  <c r="Z200" i="9"/>
  <c r="Z201" i="9" s="1"/>
  <c r="Z1835" i="9"/>
  <c r="Z1816" i="9"/>
  <c r="Z1091" i="9"/>
  <c r="Z1044" i="9"/>
  <c r="Z169" i="9"/>
  <c r="Z954" i="9"/>
  <c r="Z2194" i="9"/>
  <c r="AG2194" i="9" s="1"/>
  <c r="Z1812" i="9"/>
  <c r="Z1723" i="9"/>
  <c r="Z1640" i="9"/>
  <c r="Z1132" i="9"/>
  <c r="Z1046" i="9"/>
  <c r="AG1046" i="9" s="1"/>
  <c r="Z1033" i="9"/>
  <c r="Z2169" i="9"/>
  <c r="Z1993" i="9"/>
  <c r="Z2129" i="9"/>
  <c r="Z1968" i="9"/>
  <c r="Z1955" i="9"/>
  <c r="Z1868" i="9"/>
  <c r="Z1724" i="9"/>
  <c r="Z1592" i="9"/>
  <c r="Z1575" i="9"/>
  <c r="Z1545" i="9"/>
  <c r="Z1544" i="9"/>
  <c r="Z866" i="9"/>
  <c r="Z189" i="9"/>
  <c r="Z2170" i="9"/>
  <c r="Z2171" i="9" s="1"/>
  <c r="Z1946" i="9"/>
  <c r="Z1907" i="9"/>
  <c r="Z1908" i="9" s="1"/>
  <c r="Z1848" i="9"/>
  <c r="Z1665" i="9"/>
  <c r="Z1565" i="9"/>
  <c r="Z182" i="9"/>
  <c r="Z2132" i="9"/>
  <c r="Z1960" i="9"/>
  <c r="Z1786" i="9"/>
  <c r="Z1705" i="9"/>
  <c r="Z1605" i="9"/>
  <c r="Z1561" i="9"/>
  <c r="Z1099" i="9"/>
  <c r="Z906" i="9"/>
  <c r="Z562" i="9"/>
  <c r="Z564" i="9" s="1"/>
  <c r="Z2124" i="9"/>
  <c r="Z1966" i="9"/>
  <c r="Z1830" i="9"/>
  <c r="Z1815" i="9"/>
  <c r="Z2202" i="9"/>
  <c r="Z1992" i="9"/>
  <c r="Z1988" i="9"/>
  <c r="Z1979" i="9"/>
  <c r="Z1649" i="9"/>
  <c r="Z1650" i="9" s="1"/>
  <c r="Z1599" i="9"/>
  <c r="Z1597" i="9"/>
  <c r="Z1038" i="9"/>
  <c r="Z980" i="9"/>
  <c r="Z981" i="9" s="1"/>
  <c r="Z941" i="9"/>
  <c r="Z1990" i="9"/>
  <c r="Z1564" i="9"/>
  <c r="Z1553" i="9"/>
  <c r="Z1051" i="9"/>
  <c r="Z1039" i="9"/>
  <c r="Z2006" i="9"/>
  <c r="Z1850" i="9"/>
  <c r="Z1832" i="9"/>
  <c r="Z1556" i="9"/>
  <c r="Z2179" i="9"/>
  <c r="Z2000" i="9"/>
  <c r="Z1869" i="9"/>
  <c r="Z1611" i="9"/>
  <c r="Z1074" i="9"/>
  <c r="Z1067" i="9"/>
  <c r="Z1045" i="9"/>
  <c r="Z747" i="9"/>
  <c r="Z750" i="9" s="1"/>
  <c r="Z2195" i="9"/>
  <c r="Z1822" i="9"/>
  <c r="Z1606" i="9"/>
  <c r="Z1057" i="9"/>
  <c r="Z1047" i="9"/>
  <c r="Z1041" i="9"/>
  <c r="Z1026" i="9"/>
  <c r="Z753" i="9"/>
  <c r="Z2211" i="9"/>
  <c r="Z1999" i="9"/>
  <c r="Z1949" i="9"/>
  <c r="Z1937" i="9"/>
  <c r="Z1685" i="9"/>
  <c r="Z1659" i="9"/>
  <c r="Z1617" i="9"/>
  <c r="Z942" i="9"/>
  <c r="Z940" i="9"/>
  <c r="Z1792" i="9"/>
  <c r="Z1976" i="9"/>
  <c r="Z1641" i="9"/>
  <c r="Z1110" i="9"/>
  <c r="Z949" i="9"/>
  <c r="Z912" i="9"/>
  <c r="Z913" i="9" s="1"/>
  <c r="Z887" i="9"/>
  <c r="Z171" i="9"/>
  <c r="Z193" i="9"/>
  <c r="Z194" i="9" s="1"/>
  <c r="Z160" i="9"/>
  <c r="Z2193" i="9"/>
  <c r="Z1916" i="9"/>
  <c r="Z1793" i="9"/>
  <c r="Z1725" i="9"/>
  <c r="Z1124" i="9"/>
  <c r="Z181" i="9"/>
  <c r="Z888" i="9"/>
  <c r="Z206" i="9"/>
  <c r="Z184" i="9"/>
  <c r="Z1961" i="9"/>
  <c r="Z2109" i="9"/>
  <c r="Z2110" i="9" s="1"/>
  <c r="Z1550" i="9"/>
  <c r="Z1031" i="9"/>
  <c r="Z1023" i="9"/>
  <c r="Z734" i="9"/>
  <c r="Z1584" i="9"/>
  <c r="Z899" i="9"/>
  <c r="Z885" i="9"/>
  <c r="Z1952" i="9"/>
  <c r="Z1926" i="9"/>
  <c r="Z1015" i="9"/>
  <c r="Z1953" i="9"/>
  <c r="Z1821" i="9"/>
  <c r="Z1813" i="9"/>
  <c r="Z1789" i="9"/>
  <c r="Z1660" i="9"/>
  <c r="Z1538" i="9"/>
  <c r="Z755" i="9"/>
  <c r="Z1770" i="9"/>
  <c r="Z1771" i="9" s="1"/>
  <c r="Z1702" i="9"/>
  <c r="Z1667" i="9"/>
  <c r="Z1104" i="9"/>
  <c r="Z984" i="9"/>
  <c r="Z858" i="9"/>
  <c r="Z2147" i="9"/>
  <c r="Z1874" i="9"/>
  <c r="Z1719" i="9"/>
  <c r="Z1718" i="9"/>
  <c r="Z1551" i="9"/>
  <c r="Z1790" i="9"/>
  <c r="Z2201" i="9"/>
  <c r="Z1585" i="9"/>
  <c r="Z950" i="9"/>
  <c r="Z1078" i="9"/>
  <c r="Z1008" i="9"/>
  <c r="Z955" i="9"/>
  <c r="Z939" i="9"/>
  <c r="Z788" i="9"/>
  <c r="Z791" i="9" s="1"/>
  <c r="Z152" i="9"/>
  <c r="Z2210" i="9"/>
  <c r="Z2113" i="9"/>
  <c r="Z2114" i="9" s="1"/>
  <c r="Z1694" i="9"/>
  <c r="Z1691" i="9"/>
  <c r="Z1684" i="9"/>
  <c r="Z1666" i="9"/>
  <c r="Z1111" i="9"/>
  <c r="Z972" i="9"/>
  <c r="Z959" i="9"/>
  <c r="Z961" i="9" s="1"/>
  <c r="Z1619" i="9"/>
  <c r="Z1018" i="9"/>
  <c r="Z948" i="9"/>
  <c r="Z916" i="9"/>
  <c r="Z904" i="9"/>
  <c r="Z1825" i="9"/>
  <c r="Z1805" i="9"/>
  <c r="Z1807" i="9" s="1"/>
  <c r="Z1668" i="9"/>
  <c r="Z1037" i="9"/>
  <c r="Z1032" i="9"/>
  <c r="Z2001" i="9"/>
  <c r="Z1048" i="9"/>
  <c r="Z986" i="9"/>
  <c r="Z937" i="9"/>
  <c r="Z2177" i="9"/>
  <c r="Z2004" i="9"/>
  <c r="Z1856" i="9"/>
  <c r="Z1075" i="9"/>
  <c r="Z1063" i="9"/>
  <c r="Z863" i="9"/>
  <c r="Z207" i="9"/>
  <c r="Z162" i="9"/>
  <c r="Z1675" i="9"/>
  <c r="Z1025" i="9"/>
  <c r="Z613" i="9"/>
  <c r="Z1762" i="9"/>
  <c r="Z1692" i="9"/>
  <c r="Z1529" i="9"/>
  <c r="Z1065" i="9"/>
  <c r="Z1062" i="9"/>
  <c r="Z2198" i="9"/>
  <c r="Z2209" i="9"/>
  <c r="Z1576" i="9"/>
  <c r="Z1537" i="9"/>
  <c r="Z1546" i="9" s="1"/>
  <c r="Z1052" i="9"/>
  <c r="Z1042" i="9"/>
  <c r="Z1028" i="9"/>
  <c r="Z1012" i="9"/>
  <c r="Z859" i="9"/>
  <c r="Z1017" i="9"/>
  <c r="Z890" i="9"/>
  <c r="Z1073" i="9"/>
  <c r="Z1003" i="9"/>
  <c r="Z156" i="9"/>
  <c r="Z157" i="9" s="1"/>
  <c r="Z1977" i="9"/>
  <c r="Z1948" i="9"/>
  <c r="Z1911" i="9"/>
  <c r="Z1912" i="9" s="1"/>
  <c r="Z1523" i="9"/>
  <c r="Z1593" i="9"/>
  <c r="Z908" i="9"/>
  <c r="Z2186" i="9"/>
  <c r="Z1795" i="9"/>
  <c r="Z1676" i="9"/>
  <c r="Z1581" i="9"/>
  <c r="Z1115" i="9"/>
  <c r="Z795" i="9"/>
  <c r="Z2196" i="9"/>
  <c r="Z2002" i="9"/>
  <c r="Z1814" i="9"/>
  <c r="Z1587" i="9"/>
  <c r="Z749" i="9"/>
  <c r="Z1938" i="9"/>
  <c r="Z1851" i="9"/>
  <c r="Z1836" i="9"/>
  <c r="Z1824" i="9"/>
  <c r="Z1563" i="9"/>
  <c r="Z1059" i="9"/>
  <c r="Z861" i="9"/>
  <c r="Z167" i="9"/>
  <c r="Z2175" i="9"/>
  <c r="Z1989" i="9"/>
  <c r="Z1972" i="9"/>
  <c r="Z1932" i="9"/>
  <c r="Z1933" i="9" s="1"/>
  <c r="Z1924" i="9"/>
  <c r="Z1929" i="9" s="1"/>
  <c r="Z52" i="9" s="1"/>
  <c r="Z1834" i="9"/>
  <c r="Z1831" i="9"/>
  <c r="Z1796" i="9"/>
  <c r="Z1787" i="9"/>
  <c r="Z1677" i="9"/>
  <c r="Z1678" i="9" s="1"/>
  <c r="Z1595" i="9"/>
  <c r="Z1573" i="9"/>
  <c r="Z1058" i="9"/>
  <c r="Z938" i="9"/>
  <c r="Z1967" i="9"/>
  <c r="Z1681" i="9"/>
  <c r="Z2184" i="9"/>
  <c r="Z1951" i="9"/>
  <c r="Z1652" i="9"/>
  <c r="Z1653" i="9" s="1"/>
  <c r="Z1632" i="9"/>
  <c r="Z1633" i="9" s="1"/>
  <c r="Z1607" i="9"/>
  <c r="Z1598" i="9"/>
  <c r="Z1076" i="9"/>
  <c r="Z951" i="9"/>
  <c r="Z905" i="9"/>
  <c r="Z754" i="9"/>
  <c r="Z1925" i="9"/>
  <c r="Z1902" i="9"/>
  <c r="Z1657" i="9"/>
  <c r="Z1582" i="9"/>
  <c r="Z1532" i="9"/>
  <c r="Z738" i="9"/>
  <c r="Z732" i="9"/>
  <c r="Z735" i="9" s="1"/>
  <c r="Z1956" i="9"/>
  <c r="Z1596" i="9"/>
  <c r="Z1583" i="9"/>
  <c r="Z1549" i="9"/>
  <c r="Z1533" i="9"/>
  <c r="Z1615" i="9"/>
  <c r="Z1004" i="9"/>
  <c r="Z953" i="9"/>
  <c r="Z2131" i="9"/>
  <c r="Z2130" i="9"/>
  <c r="Z1991" i="9"/>
  <c r="Z1984" i="9"/>
  <c r="Z1962" i="9"/>
  <c r="Z1963" i="9" s="1"/>
  <c r="Z1826" i="9"/>
  <c r="Z1610" i="9"/>
  <c r="Z1823" i="9"/>
  <c r="Z1730" i="9"/>
  <c r="Z1703" i="9"/>
  <c r="Z1620" i="9"/>
  <c r="Z1521" i="9"/>
  <c r="Z1040" i="9"/>
  <c r="Z870" i="9"/>
  <c r="Z871" i="9" s="1"/>
  <c r="Z864" i="9"/>
  <c r="Z759" i="9"/>
  <c r="Z760" i="9" s="1"/>
  <c r="Z1875" i="9"/>
  <c r="Z1854" i="9"/>
  <c r="Z1837" i="9"/>
  <c r="Z1689" i="9"/>
  <c r="Z1635" i="9"/>
  <c r="Z1636" i="9" s="1"/>
  <c r="Z1616" i="9"/>
  <c r="Z1574" i="9"/>
  <c r="Z1554" i="9"/>
  <c r="Z1543" i="9"/>
  <c r="Z1135" i="9"/>
  <c r="Z1060" i="9"/>
  <c r="Z1016" i="9"/>
  <c r="Z1009" i="9"/>
  <c r="AG1009" i="9" s="1"/>
  <c r="Z2125" i="9"/>
  <c r="Z1980" i="9"/>
  <c r="Z1588" i="9"/>
  <c r="Z1562" i="9"/>
  <c r="Z1011" i="9"/>
  <c r="Z1007" i="9"/>
  <c r="Z740" i="9"/>
  <c r="Z205" i="9"/>
  <c r="Z2127" i="9"/>
  <c r="Z1852" i="9"/>
  <c r="Z1774" i="9"/>
  <c r="Z1775" i="9" s="1"/>
  <c r="Z1731" i="9"/>
  <c r="Z1716" i="9"/>
  <c r="Z1683" i="9"/>
  <c r="Z1642" i="9"/>
  <c r="Z209" i="9"/>
  <c r="Z180" i="9"/>
  <c r="Z185" i="9" s="1"/>
  <c r="Z2187" i="9"/>
  <c r="Z1954" i="9"/>
  <c r="Z1901" i="9"/>
  <c r="Z1939" i="9"/>
  <c r="Z1785" i="9"/>
  <c r="Z1557" i="9"/>
  <c r="Z886" i="9"/>
  <c r="Z612" i="9"/>
  <c r="Z614" i="9" s="1"/>
  <c r="Z196" i="9"/>
  <c r="Z197" i="9" s="1"/>
  <c r="Z1975" i="9"/>
  <c r="Z1936" i="9"/>
  <c r="Z1791" i="9"/>
  <c r="Z1571" i="9"/>
  <c r="Z1566" i="9"/>
  <c r="Z1061" i="9"/>
  <c r="Z1027" i="9"/>
  <c r="Z1609" i="9"/>
  <c r="Z1029" i="9"/>
  <c r="Z743" i="9"/>
  <c r="Z744" i="9" s="1"/>
  <c r="Z1978" i="9"/>
  <c r="Z1729" i="9"/>
  <c r="Z1714" i="9"/>
  <c r="Z964" i="9"/>
  <c r="Z966" i="9" s="1"/>
  <c r="Z1973" i="9"/>
  <c r="Z1760" i="9"/>
  <c r="Z1577" i="9"/>
  <c r="Z1970" i="9"/>
  <c r="Z1704" i="9"/>
  <c r="Z1128" i="9"/>
  <c r="Z1022" i="9"/>
  <c r="Z163" i="9"/>
  <c r="Z170" i="9"/>
  <c r="Z222" i="9"/>
  <c r="Z223" i="9" s="1"/>
  <c r="Z2005" i="9"/>
  <c r="Z1093" i="9"/>
  <c r="Z901" i="9"/>
  <c r="Z204" i="9"/>
  <c r="Z208" i="9"/>
  <c r="Z188" i="9"/>
  <c r="Z2126" i="9"/>
  <c r="Z903" i="9"/>
  <c r="Z985" i="9"/>
  <c r="Y197" i="9"/>
  <c r="Y1653" i="9"/>
  <c r="Y871" i="9"/>
  <c r="Y961" i="9"/>
  <c r="Y1912" i="9"/>
  <c r="Y1546" i="9"/>
  <c r="Y756" i="9"/>
  <c r="Y1726" i="9"/>
  <c r="Y2180" i="9"/>
  <c r="Y981" i="9"/>
  <c r="Y1662" i="9"/>
  <c r="Y1881" i="9"/>
  <c r="Y1670" i="9"/>
  <c r="Y2203" i="9"/>
  <c r="Y926" i="9"/>
  <c r="AG609" i="9"/>
  <c r="AG841" i="9"/>
  <c r="Z855" i="9"/>
  <c r="AG1500" i="9"/>
  <c r="AG1460" i="9"/>
  <c r="Y1633" i="9"/>
  <c r="Y1706" i="9"/>
  <c r="Y2171" i="9"/>
  <c r="AG617" i="9"/>
  <c r="Z619" i="9"/>
  <c r="AG619" i="9" s="1"/>
  <c r="AA1698" i="9"/>
  <c r="AA1699" i="9" s="1"/>
  <c r="AA1656" i="9"/>
  <c r="AA952" i="9"/>
  <c r="AA1986" i="9"/>
  <c r="AA1893" i="9"/>
  <c r="AA1894" i="9" s="1"/>
  <c r="AA1766" i="9"/>
  <c r="AA1767" i="9" s="1"/>
  <c r="AA1539" i="9"/>
  <c r="AA2185" i="9"/>
  <c r="AA1853" i="9"/>
  <c r="AA1715" i="9"/>
  <c r="AA1690" i="9"/>
  <c r="AA1669" i="9"/>
  <c r="AA1528" i="9"/>
  <c r="AA1112" i="9"/>
  <c r="AA1522" i="9"/>
  <c r="AA1050" i="9"/>
  <c r="AA1010" i="9"/>
  <c r="AA917" i="9"/>
  <c r="AA161" i="9"/>
  <c r="AA1604" i="9"/>
  <c r="AA2197" i="9"/>
  <c r="AA1919" i="9"/>
  <c r="AA1855" i="9"/>
  <c r="AA1622" i="9"/>
  <c r="AA151" i="9"/>
  <c r="AA1734" i="9"/>
  <c r="AA1661" i="9"/>
  <c r="AA1586" i="9"/>
  <c r="AA1541" i="9"/>
  <c r="AA1695" i="9"/>
  <c r="AA999" i="9"/>
  <c r="AA1000" i="9" s="1"/>
  <c r="AA1156" i="9" s="1"/>
  <c r="AA898" i="9"/>
  <c r="AA924" i="9"/>
  <c r="AA926" i="9" s="1"/>
  <c r="AA2178" i="9"/>
  <c r="AA2155" i="9"/>
  <c r="AA1542" i="9"/>
  <c r="AA1013" i="9"/>
  <c r="AA860" i="9"/>
  <c r="AA1794" i="9"/>
  <c r="AA1572" i="9"/>
  <c r="AA2192" i="9"/>
  <c r="AA794" i="9"/>
  <c r="AA796" i="9" s="1"/>
  <c r="AA1927" i="9"/>
  <c r="AA1621" i="9"/>
  <c r="AA1971" i="9"/>
  <c r="AA1784" i="9"/>
  <c r="AA1717" i="9"/>
  <c r="AA1603" i="9"/>
  <c r="AA1570" i="9"/>
  <c r="AA1530" i="9"/>
  <c r="AA1920" i="9"/>
  <c r="AA1608" i="9"/>
  <c r="AA1030" i="9"/>
  <c r="AA2154" i="9"/>
  <c r="AA1985" i="9"/>
  <c r="AA1915" i="9"/>
  <c r="AA1879" i="9"/>
  <c r="AA1881" i="9" s="1"/>
  <c r="AA1788" i="9"/>
  <c r="AA900" i="9"/>
  <c r="AA1682" i="9"/>
  <c r="AA2200" i="9"/>
  <c r="AA1944" i="9"/>
  <c r="AA1527" i="9"/>
  <c r="AA1820" i="9"/>
  <c r="AA1680" i="9"/>
  <c r="AA1066" i="9"/>
  <c r="AA1863" i="9"/>
  <c r="AA1865" i="9" s="1"/>
  <c r="AA1056" i="9"/>
  <c r="AA990" i="9"/>
  <c r="AA991" i="9" s="1"/>
  <c r="AA1870" i="9"/>
  <c r="AA1849" i="9"/>
  <c r="AA1519" i="9"/>
  <c r="AA1943" i="9"/>
  <c r="AA1761" i="9"/>
  <c r="AA1594" i="9"/>
  <c r="AA1077" i="9"/>
  <c r="AA1675" i="9"/>
  <c r="AA1605" i="9"/>
  <c r="AA1599" i="9"/>
  <c r="AA1091" i="9"/>
  <c r="AA899" i="9"/>
  <c r="AA169" i="9"/>
  <c r="AA2179" i="9"/>
  <c r="AA2169" i="9"/>
  <c r="AA2124" i="9"/>
  <c r="AA1966" i="9"/>
  <c r="AA1926" i="9"/>
  <c r="AA1869" i="9"/>
  <c r="AA1830" i="9"/>
  <c r="AA954" i="9"/>
  <c r="AA182" i="9"/>
  <c r="AA2003" i="9"/>
  <c r="AA1992" i="9"/>
  <c r="AA1968" i="9"/>
  <c r="AA1792" i="9"/>
  <c r="AA1778" i="9"/>
  <c r="AA1779" i="9" s="1"/>
  <c r="AA1705" i="9"/>
  <c r="AA1592" i="9"/>
  <c r="AA1555" i="9"/>
  <c r="AA1046" i="9"/>
  <c r="AA865" i="9"/>
  <c r="AA1976" i="9"/>
  <c r="AA907" i="9"/>
  <c r="AA200" i="9"/>
  <c r="AA201" i="9" s="1"/>
  <c r="AA1835" i="9"/>
  <c r="AA1575" i="9"/>
  <c r="AA1561" i="9"/>
  <c r="AA1544" i="9"/>
  <c r="AA189" i="9"/>
  <c r="AA1990" i="9"/>
  <c r="AA1816" i="9"/>
  <c r="AA1786" i="9"/>
  <c r="AA1597" i="9"/>
  <c r="AA1132" i="9"/>
  <c r="AA906" i="9"/>
  <c r="AA562" i="9"/>
  <c r="AA564" i="9" s="1"/>
  <c r="AA2006" i="9"/>
  <c r="AA1974" i="9"/>
  <c r="AA1952" i="9"/>
  <c r="AA1800" i="9"/>
  <c r="AA1802" i="9" s="1"/>
  <c r="AA2129" i="9"/>
  <c r="AA1988" i="9"/>
  <c r="AA1724" i="9"/>
  <c r="AA1640" i="9"/>
  <c r="AA1545" i="9"/>
  <c r="AA1038" i="9"/>
  <c r="AA1033" i="9"/>
  <c r="AA941" i="9"/>
  <c r="AA866" i="9"/>
  <c r="AA2170" i="9"/>
  <c r="AA2109" i="9"/>
  <c r="AA2110" i="9" s="1"/>
  <c r="AA1993" i="9"/>
  <c r="AA1946" i="9"/>
  <c r="AA1848" i="9"/>
  <c r="AA1833" i="9"/>
  <c r="AA1955" i="9"/>
  <c r="AA1564" i="9"/>
  <c r="AA1553" i="9"/>
  <c r="AA1099" i="9"/>
  <c r="AA1051" i="9"/>
  <c r="AA976" i="9"/>
  <c r="AA977" i="9" s="1"/>
  <c r="AA183" i="9"/>
  <c r="AA2132" i="9"/>
  <c r="AA1960" i="9"/>
  <c r="AA1963" i="9" s="1"/>
  <c r="AA1868" i="9"/>
  <c r="AA1649" i="9"/>
  <c r="AA1650" i="9" s="1"/>
  <c r="AA1584" i="9"/>
  <c r="AA1124" i="9"/>
  <c r="AA980" i="9"/>
  <c r="AA981" i="9" s="1"/>
  <c r="AA885" i="9"/>
  <c r="AA1907" i="9"/>
  <c r="AA1908" i="9" s="1"/>
  <c r="AA1770" i="9"/>
  <c r="AA1771" i="9" s="1"/>
  <c r="AA1087" i="9"/>
  <c r="AA2117" i="9"/>
  <c r="AA2118" i="9" s="1"/>
  <c r="AA1665" i="9"/>
  <c r="AA1047" i="9"/>
  <c r="AA1041" i="9"/>
  <c r="AA1026" i="9"/>
  <c r="AA1017" i="9"/>
  <c r="AA912" i="9"/>
  <c r="AA913" i="9" s="1"/>
  <c r="AA887" i="9"/>
  <c r="AA613" i="9"/>
  <c r="AA193" i="9"/>
  <c r="AA194" i="9" s="1"/>
  <c r="AA2211" i="9"/>
  <c r="AA1812" i="9"/>
  <c r="AA1044" i="9"/>
  <c r="AA1110" i="9"/>
  <c r="AA1074" i="9"/>
  <c r="AA949" i="9"/>
  <c r="AA206" i="9"/>
  <c r="AA184" i="9"/>
  <c r="AA160" i="9"/>
  <c r="AA2147" i="9"/>
  <c r="AA1961" i="9"/>
  <c r="AA1916" i="9"/>
  <c r="AA1821" i="9"/>
  <c r="AA1790" i="9"/>
  <c r="AA1619" i="9"/>
  <c r="AA1018" i="9"/>
  <c r="AA2194" i="9"/>
  <c r="AA1606" i="9"/>
  <c r="AA1023" i="9"/>
  <c r="AA1949" i="9"/>
  <c r="AA1685" i="9"/>
  <c r="AA1617" i="9"/>
  <c r="AA1979" i="9"/>
  <c r="AA1005" i="9"/>
  <c r="AA1897" i="9"/>
  <c r="AA1898" i="9" s="1"/>
  <c r="AA1850" i="9"/>
  <c r="AA1556" i="9"/>
  <c r="AA1057" i="9"/>
  <c r="AA734" i="9"/>
  <c r="AA1999" i="9"/>
  <c r="AA1822" i="9"/>
  <c r="AA1813" i="9"/>
  <c r="AA1793" i="9"/>
  <c r="AA1789" i="9"/>
  <c r="AA1725" i="9"/>
  <c r="AA1039" i="9"/>
  <c r="AA181" i="9"/>
  <c r="AA1832" i="9"/>
  <c r="AA1815" i="9"/>
  <c r="AA1702" i="9"/>
  <c r="AA1641" i="9"/>
  <c r="AA1565" i="9"/>
  <c r="AA1015" i="9"/>
  <c r="AA888" i="9"/>
  <c r="AA171" i="9"/>
  <c r="AA2195" i="9"/>
  <c r="AA1953" i="9"/>
  <c r="AA563" i="9"/>
  <c r="AA2202" i="9"/>
  <c r="AA1667" i="9"/>
  <c r="AA1031" i="9"/>
  <c r="AA984" i="9"/>
  <c r="AA858" i="9"/>
  <c r="AA1762" i="9"/>
  <c r="AA1692" i="9"/>
  <c r="AA1551" i="9"/>
  <c r="AA1062" i="9"/>
  <c r="AA939" i="9"/>
  <c r="AA1550" i="9"/>
  <c r="AA1025" i="9"/>
  <c r="AA890" i="9"/>
  <c r="AA2193" i="9"/>
  <c r="AA1814" i="9"/>
  <c r="AA1593" i="9"/>
  <c r="AG1593" i="9" s="1"/>
  <c r="AA2000" i="9"/>
  <c r="AA1611" i="9"/>
  <c r="AA1937" i="9"/>
  <c r="AA1078" i="9"/>
  <c r="AA904" i="9"/>
  <c r="AA788" i="9"/>
  <c r="AA791" i="9" s="1"/>
  <c r="AA749" i="9"/>
  <c r="AA1977" i="9"/>
  <c r="AA1851" i="9"/>
  <c r="AA1824" i="9"/>
  <c r="AA1032" i="9"/>
  <c r="AA861" i="9"/>
  <c r="AA1659" i="9"/>
  <c r="AA986" i="9"/>
  <c r="AA2004" i="9"/>
  <c r="AA1938" i="9"/>
  <c r="AA1836" i="9"/>
  <c r="AA1037" i="9"/>
  <c r="AA950" i="9"/>
  <c r="AA1065" i="9"/>
  <c r="AA1008" i="9"/>
  <c r="AA955" i="9"/>
  <c r="AA152" i="9"/>
  <c r="AA2209" i="9"/>
  <c r="AA1694" i="9"/>
  <c r="AA1691" i="9"/>
  <c r="AA1666" i="9"/>
  <c r="AA1576" i="9"/>
  <c r="AA1537" i="9"/>
  <c r="AA1111" i="9"/>
  <c r="AA972" i="9"/>
  <c r="AA863" i="9"/>
  <c r="AA162" i="9"/>
  <c r="AA2002" i="9"/>
  <c r="AA1989" i="9"/>
  <c r="AA1067" i="9"/>
  <c r="AA1045" i="9"/>
  <c r="AA1719" i="9"/>
  <c r="AA1538" i="9"/>
  <c r="AA1003" i="9"/>
  <c r="AA948" i="9"/>
  <c r="AA916" i="9"/>
  <c r="AA156" i="9"/>
  <c r="AA157" i="9" s="1"/>
  <c r="AA1668" i="9"/>
  <c r="AA1723" i="9"/>
  <c r="AA753" i="9"/>
  <c r="AA756" i="9" s="1"/>
  <c r="AA1073" i="9"/>
  <c r="AA1048" i="9"/>
  <c r="AA940" i="9"/>
  <c r="AA937" i="9"/>
  <c r="AA1948" i="9"/>
  <c r="AA1911" i="9"/>
  <c r="AA1912" i="9" s="1"/>
  <c r="AA1795" i="9"/>
  <c r="AA1075" i="9"/>
  <c r="AA1063" i="9"/>
  <c r="AA1529" i="9"/>
  <c r="AA2198" i="9"/>
  <c r="AA2177" i="9"/>
  <c r="AA1856" i="9"/>
  <c r="AA1825" i="9"/>
  <c r="AA1581" i="9"/>
  <c r="AA1115" i="9"/>
  <c r="AA1052" i="9"/>
  <c r="AA1042" i="9"/>
  <c r="AA1028" i="9"/>
  <c r="AA1012" i="9"/>
  <c r="AA859" i="9"/>
  <c r="AA1104" i="9"/>
  <c r="AA1718" i="9"/>
  <c r="AA1660" i="9"/>
  <c r="AA1587" i="9"/>
  <c r="AA755" i="9"/>
  <c r="AA2210" i="9"/>
  <c r="AA2201" i="9"/>
  <c r="AA1563" i="9"/>
  <c r="AA1059" i="9"/>
  <c r="AA167" i="9"/>
  <c r="AA2125" i="9"/>
  <c r="AA747" i="9"/>
  <c r="AA750" i="9" s="1"/>
  <c r="AA1874" i="9"/>
  <c r="AA942" i="9"/>
  <c r="AA908" i="9"/>
  <c r="AA2186" i="9"/>
  <c r="AA2113" i="9"/>
  <c r="AA2114" i="9" s="1"/>
  <c r="AA1805" i="9"/>
  <c r="AA1807" i="9" s="1"/>
  <c r="AA1684" i="9"/>
  <c r="AA1676" i="9"/>
  <c r="AA1585" i="9"/>
  <c r="AA1523" i="9"/>
  <c r="AA959" i="9"/>
  <c r="AA961" i="9" s="1"/>
  <c r="AA795" i="9"/>
  <c r="AA1823" i="9"/>
  <c r="AA1731" i="9"/>
  <c r="AA1632" i="9"/>
  <c r="AA1633" i="9" s="1"/>
  <c r="AA1557" i="9"/>
  <c r="AA1076" i="9"/>
  <c r="AA886" i="9"/>
  <c r="AA612" i="9"/>
  <c r="AA188" i="9"/>
  <c r="AA190" i="9" s="1"/>
  <c r="AA196" i="9"/>
  <c r="AA197" i="9" s="1"/>
  <c r="AA209" i="9"/>
  <c r="AA2005" i="9"/>
  <c r="AA1956" i="9"/>
  <c r="AA1854" i="9"/>
  <c r="AA1609" i="9"/>
  <c r="AA1571" i="9"/>
  <c r="AA1566" i="9"/>
  <c r="AA1549" i="9"/>
  <c r="AA2196" i="9"/>
  <c r="AA1939" i="9"/>
  <c r="AA1925" i="9"/>
  <c r="AA1924" i="9"/>
  <c r="AA1787" i="9"/>
  <c r="AA1582" i="9"/>
  <c r="AA1573" i="9"/>
  <c r="AA1532" i="9"/>
  <c r="AA732" i="9"/>
  <c r="AA735" i="9" s="1"/>
  <c r="AA207" i="9"/>
  <c r="AA2175" i="9"/>
  <c r="AA2001" i="9"/>
  <c r="AA1703" i="9"/>
  <c r="AA1598" i="9"/>
  <c r="AA1004" i="9"/>
  <c r="AA953" i="9"/>
  <c r="AA754" i="9"/>
  <c r="AA2130" i="9"/>
  <c r="AA2126" i="9"/>
  <c r="AA1936" i="9"/>
  <c r="AA1729" i="9"/>
  <c r="AA1714" i="9"/>
  <c r="AA1027" i="9"/>
  <c r="AA1972" i="9"/>
  <c r="AA1852" i="9"/>
  <c r="AA1834" i="9"/>
  <c r="AA1785" i="9"/>
  <c r="AA1642" i="9"/>
  <c r="AA1620" i="9"/>
  <c r="AA1011" i="9"/>
  <c r="AA905" i="9"/>
  <c r="AA864" i="9"/>
  <c r="AA759" i="9"/>
  <c r="AA760" i="9" s="1"/>
  <c r="AA738" i="9"/>
  <c r="AA741" i="9" s="1"/>
  <c r="AA205" i="9"/>
  <c r="AA1970" i="9"/>
  <c r="AA1574" i="9"/>
  <c r="AA1533" i="9"/>
  <c r="AA1902" i="9"/>
  <c r="AA1831" i="9"/>
  <c r="AA1774" i="9"/>
  <c r="AA1775" i="9" s="1"/>
  <c r="AA1683" i="9"/>
  <c r="AA1588" i="9"/>
  <c r="AA1562" i="9"/>
  <c r="AA180" i="9"/>
  <c r="AA1973" i="9"/>
  <c r="AA1128" i="9"/>
  <c r="AA1093" i="9"/>
  <c r="AA2127" i="9"/>
  <c r="AA1521" i="9"/>
  <c r="AA1040" i="9"/>
  <c r="AA870" i="9"/>
  <c r="AA871" i="9" s="1"/>
  <c r="AA2187" i="9"/>
  <c r="AA2131" i="9"/>
  <c r="AA1978" i="9"/>
  <c r="AA1967" i="9"/>
  <c r="AA1837" i="9"/>
  <c r="AA1826" i="9"/>
  <c r="AA2184" i="9"/>
  <c r="AA1951" i="9"/>
  <c r="AA1932" i="9"/>
  <c r="AA1933" i="9" s="1"/>
  <c r="AA1730" i="9"/>
  <c r="AA1677" i="9"/>
  <c r="AA1657" i="9"/>
  <c r="AA1607" i="9"/>
  <c r="AA1007" i="9"/>
  <c r="AA938" i="9"/>
  <c r="AA740" i="9"/>
  <c r="AA1975" i="9"/>
  <c r="AA1875" i="9"/>
  <c r="AA1980" i="9"/>
  <c r="AA1796" i="9"/>
  <c r="AA1716" i="9"/>
  <c r="AA1652" i="9"/>
  <c r="AA1653" i="9" s="1"/>
  <c r="AA1615" i="9"/>
  <c r="AA1595" i="9"/>
  <c r="AA1058" i="9"/>
  <c r="AA951" i="9"/>
  <c r="AA1962" i="9"/>
  <c r="AA1760" i="9"/>
  <c r="AA1901" i="9"/>
  <c r="AA1616" i="9"/>
  <c r="AA1596" i="9"/>
  <c r="AA1554" i="9"/>
  <c r="AA1061" i="9"/>
  <c r="AA903" i="9"/>
  <c r="AA901" i="9"/>
  <c r="AA204" i="9"/>
  <c r="AA1610" i="9"/>
  <c r="AA1577" i="9"/>
  <c r="AA1135" i="9"/>
  <c r="AA163" i="9"/>
  <c r="AA1022" i="9"/>
  <c r="AA208" i="9"/>
  <c r="AA1991" i="9"/>
  <c r="AA1704" i="9"/>
  <c r="AA964" i="9"/>
  <c r="AA966" i="9" s="1"/>
  <c r="AA1009" i="9"/>
  <c r="AA1984" i="9"/>
  <c r="AA1954" i="9"/>
  <c r="AA1689" i="9"/>
  <c r="AA1583" i="9"/>
  <c r="AA1060" i="9"/>
  <c r="AA170" i="9"/>
  <c r="AA1681" i="9"/>
  <c r="AA1029" i="9"/>
  <c r="AA743" i="9"/>
  <c r="AA744" i="9" s="1"/>
  <c r="AA222" i="9"/>
  <c r="AA223" i="9" s="1"/>
  <c r="AA985" i="9"/>
  <c r="AA1791" i="9"/>
  <c r="AA1635" i="9"/>
  <c r="AA1636" i="9" s="1"/>
  <c r="AA1543" i="9"/>
  <c r="AA1016" i="9"/>
  <c r="AB1698" i="9"/>
  <c r="AB1699" i="9" s="1"/>
  <c r="AB1788" i="9"/>
  <c r="AB1056" i="9"/>
  <c r="AB1794" i="9"/>
  <c r="AB1527" i="9"/>
  <c r="AB1604" i="9"/>
  <c r="AB1943" i="9"/>
  <c r="AB1919" i="9"/>
  <c r="AB1915" i="9"/>
  <c r="AB907" i="9"/>
  <c r="AB200" i="9"/>
  <c r="AB201" i="9" s="1"/>
  <c r="AB1927" i="9"/>
  <c r="AB990" i="9"/>
  <c r="AB991" i="9" s="1"/>
  <c r="AB1656" i="9"/>
  <c r="AB952" i="9"/>
  <c r="AB1766" i="9"/>
  <c r="AB1767" i="9" s="1"/>
  <c r="AB1870" i="9"/>
  <c r="AB1519" i="9"/>
  <c r="AB1715" i="9"/>
  <c r="AB1669" i="9"/>
  <c r="AB1594" i="9"/>
  <c r="AB1112" i="9"/>
  <c r="AB1077" i="9"/>
  <c r="AB1522" i="9"/>
  <c r="AB1050" i="9"/>
  <c r="AB1621" i="9"/>
  <c r="AB1010" i="9"/>
  <c r="AB1971" i="9"/>
  <c r="AB1539" i="9"/>
  <c r="AG1539" i="9" s="1"/>
  <c r="AB2154" i="9"/>
  <c r="AB1680" i="9"/>
  <c r="AB1622" i="9"/>
  <c r="AB1863" i="9"/>
  <c r="AB1865" i="9" s="1"/>
  <c r="AB1734" i="9"/>
  <c r="AB1944" i="9"/>
  <c r="AG1944" i="9" s="1"/>
  <c r="AB917" i="9"/>
  <c r="AB2197" i="9"/>
  <c r="AB2185" i="9"/>
  <c r="AB2155" i="9"/>
  <c r="AB1985" i="9"/>
  <c r="AB1855" i="9"/>
  <c r="AB1853" i="9"/>
  <c r="AB1784" i="9"/>
  <c r="AB1603" i="9"/>
  <c r="AB1528" i="9"/>
  <c r="AB860" i="9"/>
  <c r="AB1920" i="9"/>
  <c r="AB999" i="9"/>
  <c r="AB1000" i="9" s="1"/>
  <c r="AB1156" i="9" s="1"/>
  <c r="AB161" i="9"/>
  <c r="AB1572" i="9"/>
  <c r="AB1542" i="9"/>
  <c r="AB1586" i="9"/>
  <c r="AB1541" i="9"/>
  <c r="AB1013" i="9"/>
  <c r="AG1013" i="9" s="1"/>
  <c r="AB898" i="9"/>
  <c r="AB924" i="9"/>
  <c r="AB926" i="9" s="1"/>
  <c r="AB2178" i="9"/>
  <c r="AB2192" i="9"/>
  <c r="AB1717" i="9"/>
  <c r="AG1717" i="9" s="1"/>
  <c r="AB1530" i="9"/>
  <c r="AB1608" i="9"/>
  <c r="AB1986" i="9"/>
  <c r="AB1849" i="9"/>
  <c r="AG1849" i="9" s="1"/>
  <c r="AB1761" i="9"/>
  <c r="AB1570" i="9"/>
  <c r="AB1661" i="9"/>
  <c r="AB900" i="9"/>
  <c r="AB1682" i="9"/>
  <c r="AB1695" i="9"/>
  <c r="AB2200" i="9"/>
  <c r="AB1893" i="9"/>
  <c r="AB1894" i="9" s="1"/>
  <c r="AB1030" i="9"/>
  <c r="AB1879" i="9"/>
  <c r="AB1881" i="9" s="1"/>
  <c r="AB1820" i="9"/>
  <c r="AB1690" i="9"/>
  <c r="AB1066" i="9"/>
  <c r="AB976" i="9"/>
  <c r="AB977" i="9" s="1"/>
  <c r="AB954" i="9"/>
  <c r="AB1087" i="9"/>
  <c r="AG1087" i="9" s="1"/>
  <c r="AB563" i="9"/>
  <c r="AB2202" i="9"/>
  <c r="AB2194" i="9"/>
  <c r="AB1992" i="9"/>
  <c r="AG1992" i="9" s="1"/>
  <c r="AB1584" i="9"/>
  <c r="AB1564" i="9"/>
  <c r="AB1553" i="9"/>
  <c r="AB1124" i="9"/>
  <c r="AB1044" i="9"/>
  <c r="AG1044" i="9" s="1"/>
  <c r="AB885" i="9"/>
  <c r="AB181" i="9"/>
  <c r="AB794" i="9"/>
  <c r="AB1039" i="9"/>
  <c r="AB2124" i="9"/>
  <c r="AG2124" i="9" s="1"/>
  <c r="AB2109" i="9"/>
  <c r="AB2110" i="9" s="1"/>
  <c r="AB1966" i="9"/>
  <c r="AB1952" i="9"/>
  <c r="AB1926" i="9"/>
  <c r="AB1968" i="9"/>
  <c r="AB1816" i="9"/>
  <c r="AB1786" i="9"/>
  <c r="AB1778" i="9"/>
  <c r="AB1779" i="9" s="1"/>
  <c r="AB1675" i="9"/>
  <c r="AG1675" i="9" s="1"/>
  <c r="AB1605" i="9"/>
  <c r="AB1555" i="9"/>
  <c r="AB1091" i="9"/>
  <c r="AB1005" i="9"/>
  <c r="AB899" i="9"/>
  <c r="AB169" i="9"/>
  <c r="AB2179" i="9"/>
  <c r="AB1976" i="9"/>
  <c r="AG1976" i="9" s="1"/>
  <c r="AB1946" i="9"/>
  <c r="AB151" i="9"/>
  <c r="AB182" i="9"/>
  <c r="AB2132" i="9"/>
  <c r="AB2117" i="9"/>
  <c r="AB2118" i="9" s="1"/>
  <c r="AB1988" i="9"/>
  <c r="AB1960" i="9"/>
  <c r="AB1812" i="9"/>
  <c r="AG1812" i="9" s="1"/>
  <c r="AB1723" i="9"/>
  <c r="AB1705" i="9"/>
  <c r="AB1561" i="9"/>
  <c r="AB1046" i="9"/>
  <c r="AB1033" i="9"/>
  <c r="AG1033" i="9" s="1"/>
  <c r="AB865" i="9"/>
  <c r="AB2169" i="9"/>
  <c r="AB1993" i="9"/>
  <c r="AB1869" i="9"/>
  <c r="AB1770" i="9"/>
  <c r="AB1771" i="9" s="1"/>
  <c r="AB1611" i="9"/>
  <c r="AB1990" i="9"/>
  <c r="AB1835" i="9"/>
  <c r="AB1592" i="9"/>
  <c r="AB1544" i="9"/>
  <c r="AB189" i="9"/>
  <c r="AB1907" i="9"/>
  <c r="AB1908" i="9" s="1"/>
  <c r="AB1832" i="9"/>
  <c r="AB2129" i="9"/>
  <c r="AB1868" i="9"/>
  <c r="AB1724" i="9"/>
  <c r="AB1640" i="9"/>
  <c r="AB1575" i="9"/>
  <c r="AB1132" i="9"/>
  <c r="AB906" i="9"/>
  <c r="AB866" i="9"/>
  <c r="AB562" i="9"/>
  <c r="AB564" i="9" s="1"/>
  <c r="AB2003" i="9"/>
  <c r="AB1979" i="9"/>
  <c r="AB1955" i="9"/>
  <c r="AB1792" i="9"/>
  <c r="AB1597" i="9"/>
  <c r="AB1545" i="9"/>
  <c r="AG1545" i="9" s="1"/>
  <c r="AB2000" i="9"/>
  <c r="AB1565" i="9"/>
  <c r="AB1830" i="9"/>
  <c r="AB1104" i="9"/>
  <c r="AB890" i="9"/>
  <c r="AB753" i="9"/>
  <c r="AB756" i="9" s="1"/>
  <c r="AB2147" i="9"/>
  <c r="AB1999" i="9"/>
  <c r="AB1953" i="9"/>
  <c r="AB1833" i="9"/>
  <c r="AB1665" i="9"/>
  <c r="AB1641" i="9"/>
  <c r="AB1067" i="9"/>
  <c r="AG1067" i="9" s="1"/>
  <c r="AB1017" i="9"/>
  <c r="AG1017" i="9" s="1"/>
  <c r="AB887" i="9"/>
  <c r="AB747" i="9"/>
  <c r="AB750" i="9" s="1"/>
  <c r="AB613" i="9"/>
  <c r="AB1874" i="9"/>
  <c r="AB1593" i="9"/>
  <c r="AB1048" i="9"/>
  <c r="AB1051" i="9"/>
  <c r="AB1850" i="9"/>
  <c r="AB1057" i="9"/>
  <c r="AG1057" i="9" s="1"/>
  <c r="AB1041" i="9"/>
  <c r="AB1026" i="9"/>
  <c r="AB2211" i="9"/>
  <c r="AB1822" i="9"/>
  <c r="AB1762" i="9"/>
  <c r="AB1659" i="9"/>
  <c r="AB1619" i="9"/>
  <c r="AB183" i="9"/>
  <c r="AB980" i="9"/>
  <c r="AB981" i="9" s="1"/>
  <c r="AB941" i="9"/>
  <c r="AB2006" i="9"/>
  <c r="AB1974" i="9"/>
  <c r="AB1815" i="9"/>
  <c r="AB1606" i="9"/>
  <c r="AG1606" i="9" s="1"/>
  <c r="AB1110" i="9"/>
  <c r="AB1074" i="9"/>
  <c r="AB1047" i="9"/>
  <c r="AB1023" i="9"/>
  <c r="AB949" i="9"/>
  <c r="AB912" i="9"/>
  <c r="AB913" i="9" s="1"/>
  <c r="AB160" i="9"/>
  <c r="AB1949" i="9"/>
  <c r="AB1937" i="9"/>
  <c r="AB1916" i="9"/>
  <c r="AB1917" i="9" s="1"/>
  <c r="AB1685" i="9"/>
  <c r="AB1660" i="9"/>
  <c r="AB1538" i="9"/>
  <c r="AB1649" i="9"/>
  <c r="AB1650" i="9" s="1"/>
  <c r="AB1099" i="9"/>
  <c r="AB1556" i="9"/>
  <c r="AB206" i="9"/>
  <c r="AB193" i="9"/>
  <c r="AB194" i="9" s="1"/>
  <c r="AB184" i="9"/>
  <c r="AB2193" i="9"/>
  <c r="AB1961" i="9"/>
  <c r="AB1814" i="9"/>
  <c r="AB1599" i="9"/>
  <c r="AG1599" i="9" s="1"/>
  <c r="AB1038" i="9"/>
  <c r="AG1038" i="9" s="1"/>
  <c r="AB1897" i="9"/>
  <c r="AB1898" i="9" s="1"/>
  <c r="AB1848" i="9"/>
  <c r="AB1702" i="9"/>
  <c r="AB1550" i="9"/>
  <c r="AB1025" i="9"/>
  <c r="AG1025" i="9" s="1"/>
  <c r="AB888" i="9"/>
  <c r="AB171" i="9"/>
  <c r="AB2195" i="9"/>
  <c r="AB1587" i="9"/>
  <c r="AB1078" i="9"/>
  <c r="AG1078" i="9" s="1"/>
  <c r="AB1073" i="9"/>
  <c r="AB948" i="9"/>
  <c r="AB916" i="9"/>
  <c r="AB2170" i="9"/>
  <c r="AB1800" i="9"/>
  <c r="AB1802" i="9" s="1"/>
  <c r="AB1045" i="9"/>
  <c r="AB1031" i="9"/>
  <c r="AB734" i="9"/>
  <c r="AB1813" i="9"/>
  <c r="AB1692" i="9"/>
  <c r="AB1617" i="9"/>
  <c r="AB1793" i="9"/>
  <c r="AB939" i="9"/>
  <c r="AB2209" i="9"/>
  <c r="AB2186" i="9"/>
  <c r="AB2004" i="9"/>
  <c r="AB1836" i="9"/>
  <c r="AB1563" i="9"/>
  <c r="AB1042" i="9"/>
  <c r="AB795" i="9"/>
  <c r="AB1789" i="9"/>
  <c r="AB1551" i="9"/>
  <c r="AG1551" i="9" s="1"/>
  <c r="AB942" i="9"/>
  <c r="AB908" i="9"/>
  <c r="AB904" i="9"/>
  <c r="AB1676" i="9"/>
  <c r="AB1585" i="9"/>
  <c r="AB1059" i="9"/>
  <c r="AB1032" i="9"/>
  <c r="AB861" i="9"/>
  <c r="AB986" i="9"/>
  <c r="AB749" i="9"/>
  <c r="AB1948" i="9"/>
  <c r="AB1684" i="9"/>
  <c r="AB959" i="9"/>
  <c r="AB961" i="9" s="1"/>
  <c r="AB950" i="9"/>
  <c r="AB2127" i="9"/>
  <c r="AB1725" i="9"/>
  <c r="AB1065" i="9"/>
  <c r="AB1018" i="9"/>
  <c r="AB1008" i="9"/>
  <c r="AB955" i="9"/>
  <c r="AB788" i="9"/>
  <c r="AB791" i="9" s="1"/>
  <c r="AB1938" i="9"/>
  <c r="AB1824" i="9"/>
  <c r="AB1805" i="9"/>
  <c r="AB1807" i="9" s="1"/>
  <c r="AB1537" i="9"/>
  <c r="AB1037" i="9"/>
  <c r="AB1012" i="9"/>
  <c r="AB972" i="9"/>
  <c r="AB858" i="9"/>
  <c r="AB1821" i="9"/>
  <c r="AB1719" i="9"/>
  <c r="AB1003" i="9"/>
  <c r="AB152" i="9"/>
  <c r="AB2177" i="9"/>
  <c r="AG2177" i="9" s="1"/>
  <c r="AB1856" i="9"/>
  <c r="AB1851" i="9"/>
  <c r="AB1825" i="9"/>
  <c r="AB1691" i="9"/>
  <c r="AB1115" i="9"/>
  <c r="AB1111" i="9"/>
  <c r="AB863" i="9"/>
  <c r="AB1667" i="9"/>
  <c r="AG1667" i="9" s="1"/>
  <c r="AB984" i="9"/>
  <c r="AB987" i="9" s="1"/>
  <c r="AB993" i="9" s="1"/>
  <c r="AB1062" i="9"/>
  <c r="AB940" i="9"/>
  <c r="AB937" i="9"/>
  <c r="AB1668" i="9"/>
  <c r="AB1576" i="9"/>
  <c r="AB1075" i="9"/>
  <c r="AB1015" i="9"/>
  <c r="AB1529" i="9"/>
  <c r="AB156" i="9"/>
  <c r="AB157" i="9" s="1"/>
  <c r="AB2198" i="9"/>
  <c r="AB2113" i="9"/>
  <c r="AB2114" i="9" s="1"/>
  <c r="AB1977" i="9"/>
  <c r="AG1977" i="9" s="1"/>
  <c r="AB1911" i="9"/>
  <c r="AB1912" i="9" s="1"/>
  <c r="AB1694" i="9"/>
  <c r="AB1523" i="9"/>
  <c r="AB1063" i="9"/>
  <c r="AB859" i="9"/>
  <c r="AB2175" i="9"/>
  <c r="AB1790" i="9"/>
  <c r="AB1718" i="9"/>
  <c r="AB755" i="9"/>
  <c r="AB2210" i="9"/>
  <c r="AB2201" i="9"/>
  <c r="AB1795" i="9"/>
  <c r="AB1666" i="9"/>
  <c r="AB1581" i="9"/>
  <c r="AB1052" i="9"/>
  <c r="AB1028" i="9"/>
  <c r="AB2196" i="9"/>
  <c r="AB1925" i="9"/>
  <c r="AB1716" i="9"/>
  <c r="AB1652" i="9"/>
  <c r="AB1653" i="9" s="1"/>
  <c r="AB1615" i="9"/>
  <c r="AB1607" i="9"/>
  <c r="AB1598" i="9"/>
  <c r="AB1007" i="9"/>
  <c r="AB951" i="9"/>
  <c r="AB2126" i="9"/>
  <c r="AB1954" i="9"/>
  <c r="AB1901" i="9"/>
  <c r="AB1875" i="9"/>
  <c r="AB1791" i="9"/>
  <c r="AB2001" i="9"/>
  <c r="AB1980" i="9"/>
  <c r="AB1972" i="9"/>
  <c r="AB1823" i="9"/>
  <c r="AB1796" i="9"/>
  <c r="AB1703" i="9"/>
  <c r="AB1677" i="9"/>
  <c r="AB1595" i="9"/>
  <c r="AB1058" i="9"/>
  <c r="AB886" i="9"/>
  <c r="AB612" i="9"/>
  <c r="AB614" i="9" s="1"/>
  <c r="AB2125" i="9"/>
  <c r="AB1852" i="9"/>
  <c r="AB1834" i="9"/>
  <c r="AB1730" i="9"/>
  <c r="AG1730" i="9" s="1"/>
  <c r="AB1557" i="9"/>
  <c r="AB1076" i="9"/>
  <c r="AB905" i="9"/>
  <c r="AG905" i="9" s="1"/>
  <c r="AB188" i="9"/>
  <c r="AB2005" i="9"/>
  <c r="AB1973" i="9"/>
  <c r="AB1681" i="9"/>
  <c r="AB1635" i="9"/>
  <c r="AB1636" i="9" s="1"/>
  <c r="AB1571" i="9"/>
  <c r="AB207" i="9"/>
  <c r="AB1902" i="9"/>
  <c r="AB1683" i="9"/>
  <c r="AB1582" i="9"/>
  <c r="AB1562" i="9"/>
  <c r="AB1532" i="9"/>
  <c r="AB754" i="9"/>
  <c r="AB732" i="9"/>
  <c r="AB1936" i="9"/>
  <c r="AB1616" i="9"/>
  <c r="AB1596" i="9"/>
  <c r="AB1583" i="9"/>
  <c r="AB2002" i="9"/>
  <c r="AB1932" i="9"/>
  <c r="AB1933" i="9" s="1"/>
  <c r="AB1642" i="9"/>
  <c r="AB1632" i="9"/>
  <c r="AB1633" i="9" s="1"/>
  <c r="AB1011" i="9"/>
  <c r="AB1004" i="9"/>
  <c r="AG1004" i="9" s="1"/>
  <c r="AB953" i="9"/>
  <c r="AG953" i="9" s="1"/>
  <c r="AB1991" i="9"/>
  <c r="AG1991" i="9" s="1"/>
  <c r="AB1984" i="9"/>
  <c r="AB1962" i="9"/>
  <c r="AB1963" i="9" s="1"/>
  <c r="AB1729" i="9"/>
  <c r="AB1951" i="9"/>
  <c r="AB1939" i="9"/>
  <c r="AB1924" i="9"/>
  <c r="AB1831" i="9"/>
  <c r="AB1787" i="9"/>
  <c r="AB1785" i="9"/>
  <c r="AB1620" i="9"/>
  <c r="AB759" i="9"/>
  <c r="AB760" i="9" s="1"/>
  <c r="AB738" i="9"/>
  <c r="AB2130" i="9"/>
  <c r="AB1975" i="9"/>
  <c r="AB1588" i="9"/>
  <c r="AB1040" i="9"/>
  <c r="AB864" i="9"/>
  <c r="AB205" i="9"/>
  <c r="AB1978" i="9"/>
  <c r="AB1837" i="9"/>
  <c r="AB1760" i="9"/>
  <c r="AB1704" i="9"/>
  <c r="AB167" i="9"/>
  <c r="AB162" i="9"/>
  <c r="AB2184" i="9"/>
  <c r="AB1989" i="9"/>
  <c r="AB1774" i="9"/>
  <c r="AB1775" i="9" s="1"/>
  <c r="AB1731" i="9"/>
  <c r="AB1657" i="9"/>
  <c r="AB1573" i="9"/>
  <c r="AG1573" i="9" s="1"/>
  <c r="AB1521" i="9"/>
  <c r="AG1521" i="9" s="1"/>
  <c r="AB938" i="9"/>
  <c r="AB870" i="9"/>
  <c r="AB871" i="9" s="1"/>
  <c r="AB740" i="9"/>
  <c r="AB180" i="9"/>
  <c r="AB2131" i="9"/>
  <c r="AB1970" i="9"/>
  <c r="AB1967" i="9"/>
  <c r="AB1956" i="9"/>
  <c r="AB1714" i="9"/>
  <c r="AB1610" i="9"/>
  <c r="AB1577" i="9"/>
  <c r="AB1554" i="9"/>
  <c r="AB1128" i="9"/>
  <c r="AB1093" i="9"/>
  <c r="AB1060" i="9"/>
  <c r="AB1029" i="9"/>
  <c r="AB1533" i="9"/>
  <c r="AB985" i="9"/>
  <c r="AB222" i="9"/>
  <c r="AB223" i="9" s="1"/>
  <c r="AB196" i="9"/>
  <c r="AB197" i="9" s="1"/>
  <c r="AB2187" i="9"/>
  <c r="AB1061" i="9"/>
  <c r="AB1027" i="9"/>
  <c r="AB1016" i="9"/>
  <c r="AB903" i="9"/>
  <c r="AB208" i="9"/>
  <c r="AB1689" i="9"/>
  <c r="AB1566" i="9"/>
  <c r="AB1135" i="9"/>
  <c r="AB163" i="9"/>
  <c r="AB1609" i="9"/>
  <c r="AB209" i="9"/>
  <c r="AB1826" i="9"/>
  <c r="AB1827" i="9" s="1"/>
  <c r="AB1574" i="9"/>
  <c r="AB1022" i="9"/>
  <c r="AB1034" i="9" s="1"/>
  <c r="AB1009" i="9"/>
  <c r="AB964" i="9"/>
  <c r="AB966" i="9" s="1"/>
  <c r="AB170" i="9"/>
  <c r="AB1549" i="9"/>
  <c r="AB743" i="9"/>
  <c r="AB744" i="9" s="1"/>
  <c r="AB901" i="9"/>
  <c r="AB204" i="9"/>
  <c r="AB1854" i="9"/>
  <c r="AB1543" i="9"/>
  <c r="AG1543" i="9" s="1"/>
  <c r="Y210" i="9"/>
  <c r="Y1940" i="9"/>
  <c r="Y614" i="9"/>
  <c r="AG1714" i="9"/>
  <c r="Y741" i="9"/>
  <c r="Y164" i="9"/>
  <c r="Y1763" i="9"/>
  <c r="Y1908" i="9"/>
  <c r="AG1665" i="9"/>
  <c r="Y564" i="9"/>
  <c r="Y1817" i="9"/>
  <c r="Y1567" i="9"/>
  <c r="Y1921" i="9"/>
  <c r="AG1919" i="9"/>
  <c r="Y1696" i="9"/>
  <c r="AG1695" i="9"/>
  <c r="Y991" i="9"/>
  <c r="AG991" i="9" s="1"/>
  <c r="Y909" i="9"/>
  <c r="AG1461" i="9"/>
  <c r="AG1003" i="9" l="1"/>
  <c r="AG2002" i="9"/>
  <c r="Z1726" i="9"/>
  <c r="AG2129" i="9"/>
  <c r="AG888" i="9"/>
  <c r="AA2121" i="9"/>
  <c r="AA2171" i="9"/>
  <c r="AG2171" i="9" s="1"/>
  <c r="AG1007" i="9"/>
  <c r="AG1793" i="9"/>
  <c r="AG1865" i="9"/>
  <c r="AG1595" i="9"/>
  <c r="AG1585" i="9"/>
  <c r="AA1940" i="9"/>
  <c r="AG1716" i="9"/>
  <c r="AG1972" i="9"/>
  <c r="Z1917" i="9"/>
  <c r="AG1050" i="9"/>
  <c r="AG1516" i="9"/>
  <c r="AG859" i="9"/>
  <c r="AG2000" i="9"/>
  <c r="AG1705" i="9"/>
  <c r="AG1901" i="9"/>
  <c r="AG1607" i="9"/>
  <c r="AG2196" i="9"/>
  <c r="AA1732" i="9"/>
  <c r="AG1723" i="9"/>
  <c r="AG1659" i="9"/>
  <c r="AG904" i="9"/>
  <c r="AG1821" i="9"/>
  <c r="AG1869" i="9"/>
  <c r="AG1915" i="9"/>
  <c r="AG1620" i="9"/>
  <c r="AG184" i="9"/>
  <c r="AG1047" i="9"/>
  <c r="AG906" i="9"/>
  <c r="AG2155" i="9"/>
  <c r="AG952" i="9"/>
  <c r="AG2005" i="9"/>
  <c r="AG1787" i="9"/>
  <c r="AG1581" i="9"/>
  <c r="AG1062" i="9"/>
  <c r="AG937" i="9"/>
  <c r="AG1051" i="9"/>
  <c r="AG208" i="9"/>
  <c r="AG1785" i="9"/>
  <c r="AG1523" i="9"/>
  <c r="AG1597" i="9"/>
  <c r="AG2154" i="9"/>
  <c r="AG1112" i="9"/>
  <c r="AG1061" i="9"/>
  <c r="AB1643" i="9"/>
  <c r="AB1645" i="9" s="1"/>
  <c r="AG1574" i="9"/>
  <c r="AG1562" i="9"/>
  <c r="AG1015" i="9"/>
  <c r="AG1018" i="9"/>
  <c r="AG908" i="9"/>
  <c r="AG1594" i="9"/>
  <c r="AG1791" i="9"/>
  <c r="AA1876" i="9"/>
  <c r="AG1789" i="9"/>
  <c r="AG2126" i="9"/>
  <c r="AG1027" i="9"/>
  <c r="Z656" i="9"/>
  <c r="AG2125" i="9"/>
  <c r="AG1616" i="9"/>
  <c r="Z1827" i="9"/>
  <c r="AG1615" i="9"/>
  <c r="AG1532" i="9"/>
  <c r="AG1076" i="9"/>
  <c r="AG1967" i="9"/>
  <c r="AG1831" i="9"/>
  <c r="AG1587" i="9"/>
  <c r="AG1042" i="9"/>
  <c r="AG1529" i="9"/>
  <c r="AG1048" i="9"/>
  <c r="AG916" i="9"/>
  <c r="AG1684" i="9"/>
  <c r="AG955" i="9"/>
  <c r="AG1702" i="9"/>
  <c r="AG1953" i="9"/>
  <c r="Z2212" i="9"/>
  <c r="Z2214" i="9" s="1"/>
  <c r="Z2215" i="9" s="1"/>
  <c r="AG2195" i="9"/>
  <c r="Z2180" i="9"/>
  <c r="AG1564" i="9"/>
  <c r="AG1979" i="9"/>
  <c r="AG1640" i="9"/>
  <c r="Z1817" i="9"/>
  <c r="Z38" i="9" s="1"/>
  <c r="AG865" i="9"/>
  <c r="AG1943" i="9"/>
  <c r="AG1761" i="9"/>
  <c r="AG2178" i="9"/>
  <c r="AG1794" i="9"/>
  <c r="AG2197" i="9"/>
  <c r="AG1729" i="9"/>
  <c r="AG1951" i="9"/>
  <c r="AG1617" i="9"/>
  <c r="AG1824" i="9"/>
  <c r="AG1641" i="9"/>
  <c r="AG2202" i="9"/>
  <c r="AG1850" i="9"/>
  <c r="AG1690" i="9"/>
  <c r="AG1784" i="9"/>
  <c r="AG171" i="9"/>
  <c r="AG1916" i="9"/>
  <c r="AG903" i="9"/>
  <c r="AG1533" i="9"/>
  <c r="AG1583" i="9"/>
  <c r="AG1582" i="9"/>
  <c r="AG1704" i="9"/>
  <c r="AG864" i="9"/>
  <c r="AG1823" i="9"/>
  <c r="AG1039" i="9"/>
  <c r="AG163" i="9"/>
  <c r="AG886" i="9"/>
  <c r="AG1040" i="9"/>
  <c r="AG1598" i="9"/>
  <c r="AG938" i="9"/>
  <c r="AG1834" i="9"/>
  <c r="AG1059" i="9"/>
  <c r="AG1814" i="9"/>
  <c r="AG2186" i="9"/>
  <c r="AG1692" i="9"/>
  <c r="AG1063" i="9"/>
  <c r="AG2001" i="9"/>
  <c r="AG1691" i="9"/>
  <c r="AG1031" i="9"/>
  <c r="AG887" i="9"/>
  <c r="AG942" i="9"/>
  <c r="AG1556" i="9"/>
  <c r="AG1990" i="9"/>
  <c r="AG1988" i="9"/>
  <c r="AG182" i="9"/>
  <c r="AG866" i="9"/>
  <c r="AG1968" i="9"/>
  <c r="AG1835" i="9"/>
  <c r="AG1030" i="9"/>
  <c r="AG900" i="9"/>
  <c r="AG183" i="9"/>
  <c r="AG189" i="9"/>
  <c r="AG1060" i="9"/>
  <c r="AG901" i="9"/>
  <c r="AG1989" i="9"/>
  <c r="AG1974" i="9"/>
  <c r="AG1566" i="9"/>
  <c r="AG1557" i="9"/>
  <c r="AG1642" i="9"/>
  <c r="AG740" i="9"/>
  <c r="AG1016" i="9"/>
  <c r="AG1689" i="9"/>
  <c r="AG1984" i="9"/>
  <c r="AG1657" i="9"/>
  <c r="AG1075" i="9"/>
  <c r="AG1694" i="9"/>
  <c r="AG1874" i="9"/>
  <c r="AG1926" i="9"/>
  <c r="AG1832" i="9"/>
  <c r="AG941" i="9"/>
  <c r="AG1565" i="9"/>
  <c r="AG1544" i="9"/>
  <c r="AG1555" i="9"/>
  <c r="AG1855" i="9"/>
  <c r="AG1608" i="9"/>
  <c r="AG1156" i="9"/>
  <c r="AG1603" i="9"/>
  <c r="AG1528" i="9"/>
  <c r="AG795" i="9"/>
  <c r="AG1766" i="9"/>
  <c r="AG1800" i="9"/>
  <c r="AG1898" i="9"/>
  <c r="AG2201" i="9"/>
  <c r="AG1128" i="9"/>
  <c r="AG1576" i="9"/>
  <c r="AG950" i="9"/>
  <c r="AG2147" i="9"/>
  <c r="AG1952" i="9"/>
  <c r="AG1041" i="9"/>
  <c r="AG2127" i="9"/>
  <c r="AG2169" i="9"/>
  <c r="AG1077" i="9"/>
  <c r="AG1542" i="9"/>
  <c r="AG1604" i="9"/>
  <c r="AG1669" i="9"/>
  <c r="AG924" i="9"/>
  <c r="AG1725" i="9"/>
  <c r="AG1978" i="9"/>
  <c r="AG1854" i="9"/>
  <c r="AG1703" i="9"/>
  <c r="AG1836" i="9"/>
  <c r="AG2209" i="9"/>
  <c r="AG1668" i="9"/>
  <c r="AG2210" i="9"/>
  <c r="AG1961" i="9"/>
  <c r="AG1074" i="9"/>
  <c r="AG2006" i="9"/>
  <c r="AG1815" i="9"/>
  <c r="AG1605" i="9"/>
  <c r="AG1848" i="9"/>
  <c r="AG1575" i="9"/>
  <c r="AG2003" i="9"/>
  <c r="AG563" i="9"/>
  <c r="AG1927" i="9"/>
  <c r="AG1770" i="9"/>
  <c r="AG1852" i="9"/>
  <c r="AG1718" i="9"/>
  <c r="AG1986" i="9"/>
  <c r="AB1732" i="9"/>
  <c r="AG1571" i="9"/>
  <c r="AB656" i="9"/>
  <c r="AG1954" i="9"/>
  <c r="AG1584" i="9"/>
  <c r="AG1724" i="9"/>
  <c r="AA1921" i="9"/>
  <c r="AG1633" i="9"/>
  <c r="AG197" i="9"/>
  <c r="AG1093" i="9"/>
  <c r="AG1970" i="9"/>
  <c r="AG1936" i="9"/>
  <c r="AG2131" i="9"/>
  <c r="AG1956" i="9"/>
  <c r="AG1851" i="9"/>
  <c r="AG2198" i="9"/>
  <c r="AG152" i="9"/>
  <c r="AG2193" i="9"/>
  <c r="AG1937" i="9"/>
  <c r="AG1833" i="9"/>
  <c r="AG1985" i="9"/>
  <c r="AG2185" i="9"/>
  <c r="AG1698" i="9"/>
  <c r="AG1635" i="9"/>
  <c r="AG1795" i="9"/>
  <c r="AG205" i="9"/>
  <c r="AG1925" i="9"/>
  <c r="AG1676" i="9"/>
  <c r="AG1052" i="9"/>
  <c r="AG972" i="9"/>
  <c r="AG2004" i="9"/>
  <c r="AG1822" i="9"/>
  <c r="AG1619" i="9"/>
  <c r="AG1788" i="9"/>
  <c r="AG1530" i="9"/>
  <c r="AG917" i="9"/>
  <c r="AG1715" i="9"/>
  <c r="AG1656" i="9"/>
  <c r="AG985" i="9"/>
  <c r="AG1029" i="9"/>
  <c r="AG1975" i="9"/>
  <c r="AG1588" i="9"/>
  <c r="AG1554" i="9"/>
  <c r="AG2184" i="9"/>
  <c r="AG2175" i="9"/>
  <c r="AG1938" i="9"/>
  <c r="AG1948" i="9"/>
  <c r="AG1825" i="9"/>
  <c r="AG1111" i="9"/>
  <c r="AG1790" i="9"/>
  <c r="AG1104" i="9"/>
  <c r="AG1813" i="9"/>
  <c r="AG1949" i="9"/>
  <c r="AG1966" i="9"/>
  <c r="AG1786" i="9"/>
  <c r="AG1680" i="9"/>
  <c r="AG2200" i="9"/>
  <c r="AG1541" i="9"/>
  <c r="AG1973" i="9"/>
  <c r="AG1955" i="9"/>
  <c r="AG1008" i="9"/>
  <c r="AG1012" i="9"/>
  <c r="AG1946" i="9"/>
  <c r="AB1921" i="9"/>
  <c r="AG1577" i="9"/>
  <c r="AG1683" i="9"/>
  <c r="AG2130" i="9"/>
  <c r="AG1660" i="9"/>
  <c r="AG949" i="9"/>
  <c r="AA1706" i="9"/>
  <c r="AG1830" i="9"/>
  <c r="AG899" i="9"/>
  <c r="AG2192" i="9"/>
  <c r="AG1010" i="9"/>
  <c r="AG1853" i="9"/>
  <c r="AG1760" i="9"/>
  <c r="AG1609" i="9"/>
  <c r="AG2187" i="9"/>
  <c r="AG1980" i="9"/>
  <c r="AG1610" i="9"/>
  <c r="AG951" i="9"/>
  <c r="AG1681" i="9"/>
  <c r="AG1796" i="9"/>
  <c r="AG749" i="9"/>
  <c r="AG1028" i="9"/>
  <c r="AG1065" i="9"/>
  <c r="AG207" i="9"/>
  <c r="AG1666" i="9"/>
  <c r="AG1792" i="9"/>
  <c r="AG1999" i="9"/>
  <c r="AG1553" i="9"/>
  <c r="AG1960" i="9"/>
  <c r="AG1868" i="9"/>
  <c r="AG1132" i="9"/>
  <c r="AG1091" i="9"/>
  <c r="AG1527" i="9"/>
  <c r="AG1682" i="9"/>
  <c r="AG1586" i="9"/>
  <c r="AG1971" i="9"/>
  <c r="Y882" i="9"/>
  <c r="Y1153" i="9" s="1"/>
  <c r="Y19" i="9"/>
  <c r="AA1600" i="9"/>
  <c r="AA37" i="9"/>
  <c r="AA1735" i="9"/>
  <c r="AG1022" i="9"/>
  <c r="Y38" i="9"/>
  <c r="AA1763" i="9"/>
  <c r="Z956" i="9"/>
  <c r="Z1720" i="9"/>
  <c r="Z34" i="9" s="1"/>
  <c r="Z756" i="9"/>
  <c r="Z909" i="9"/>
  <c r="Z1662" i="9"/>
  <c r="Z1524" i="9"/>
  <c r="AC735" i="9"/>
  <c r="AC968" i="9"/>
  <c r="AC25" i="9" s="1"/>
  <c r="AC78" i="9" s="1"/>
  <c r="AC891" i="9"/>
  <c r="AC1706" i="9"/>
  <c r="AG964" i="9"/>
  <c r="AG2117" i="9"/>
  <c r="AG747" i="9"/>
  <c r="AG1802" i="9"/>
  <c r="AG1699" i="9"/>
  <c r="AG1870" i="9"/>
  <c r="AG1771" i="9"/>
  <c r="AG194" i="9"/>
  <c r="AG1719" i="9"/>
  <c r="AG1636" i="9"/>
  <c r="AG898" i="9"/>
  <c r="AB909" i="9"/>
  <c r="Y1883" i="9"/>
  <c r="AG1881" i="9"/>
  <c r="AA1720" i="9"/>
  <c r="AA34" i="9" s="1"/>
  <c r="AB2180" i="9"/>
  <c r="AC1643" i="9"/>
  <c r="AC1645" i="9" s="1"/>
  <c r="AC1732" i="9"/>
  <c r="AC2180" i="9"/>
  <c r="AG1826" i="9"/>
  <c r="AG2211" i="9"/>
  <c r="AG966" i="9"/>
  <c r="AG976" i="9"/>
  <c r="Y2121" i="9"/>
  <c r="AG2118" i="9"/>
  <c r="AG2109" i="9"/>
  <c r="AG732" i="9"/>
  <c r="AG860" i="9"/>
  <c r="AG222" i="9"/>
  <c r="AG885" i="9"/>
  <c r="Y34" i="9"/>
  <c r="AG1805" i="9"/>
  <c r="AB1857" i="9"/>
  <c r="Z2133" i="9"/>
  <c r="Z2162" i="9" s="1"/>
  <c r="AC164" i="9"/>
  <c r="AC37" i="9"/>
  <c r="AC1735" i="9"/>
  <c r="AG193" i="9"/>
  <c r="AG162" i="9"/>
  <c r="AA1827" i="9"/>
  <c r="AA1578" i="9"/>
  <c r="AG981" i="9"/>
  <c r="AG1537" i="9"/>
  <c r="AB1546" i="9"/>
  <c r="AG206" i="9"/>
  <c r="AA172" i="9"/>
  <c r="AG1963" i="9"/>
  <c r="AA1524" i="9"/>
  <c r="AG871" i="9"/>
  <c r="Z1558" i="9"/>
  <c r="Y656" i="9"/>
  <c r="AG564" i="9"/>
  <c r="AG1907" i="9"/>
  <c r="AG209" i="9"/>
  <c r="AG167" i="9"/>
  <c r="AB172" i="9"/>
  <c r="AG1596" i="9"/>
  <c r="AB190" i="9"/>
  <c r="AG755" i="9"/>
  <c r="AB1726" i="9"/>
  <c r="AG861" i="9"/>
  <c r="AG1045" i="9"/>
  <c r="AG890" i="9"/>
  <c r="AB1600" i="9"/>
  <c r="AG169" i="9"/>
  <c r="AG1066" i="9"/>
  <c r="AB1670" i="9"/>
  <c r="AA210" i="9"/>
  <c r="AA1797" i="9"/>
  <c r="AA1558" i="9"/>
  <c r="AG1558" i="9" s="1"/>
  <c r="AA987" i="9"/>
  <c r="AA993" i="9" s="1"/>
  <c r="AA1917" i="9"/>
  <c r="AA1113" i="9"/>
  <c r="AA2133" i="9"/>
  <c r="AA2162" i="9" s="1"/>
  <c r="AA2165" i="9" s="1"/>
  <c r="AA48" i="9" s="1"/>
  <c r="AA1817" i="9"/>
  <c r="AA38" i="9" s="1"/>
  <c r="AA1534" i="9"/>
  <c r="AG1911" i="9"/>
  <c r="Y968" i="9"/>
  <c r="AG961" i="9"/>
  <c r="Z210" i="9"/>
  <c r="Z1838" i="9"/>
  <c r="Z35" i="9" s="1"/>
  <c r="Z1903" i="9"/>
  <c r="Z1857" i="9"/>
  <c r="Z1567" i="9"/>
  <c r="Z1994" i="9"/>
  <c r="Z153" i="9"/>
  <c r="Z1670" i="9"/>
  <c r="Z1921" i="9"/>
  <c r="AC1797" i="9"/>
  <c r="AC750" i="9"/>
  <c r="AG750" i="9" s="1"/>
  <c r="AC2212" i="9"/>
  <c r="AC1612" i="9"/>
  <c r="AC1871" i="9"/>
  <c r="AC1883" i="9" s="1"/>
  <c r="AC1578" i="9"/>
  <c r="AG1578" i="9" s="1"/>
  <c r="AC1662" i="9"/>
  <c r="Y993" i="9"/>
  <c r="AG977" i="9"/>
  <c r="AG1993" i="9"/>
  <c r="AG788" i="9"/>
  <c r="AG1767" i="9"/>
  <c r="AG2110" i="9"/>
  <c r="AG200" i="9"/>
  <c r="AG1124" i="9"/>
  <c r="AG1073" i="9"/>
  <c r="AG223" i="9"/>
  <c r="AG948" i="9"/>
  <c r="AG1920" i="9"/>
  <c r="AG1816" i="9"/>
  <c r="Y1809" i="9"/>
  <c r="AG1807" i="9"/>
  <c r="AB1686" i="9"/>
  <c r="AC2007" i="9"/>
  <c r="Y2162" i="9"/>
  <c r="AB1994" i="9"/>
  <c r="AG954" i="9"/>
  <c r="AA2203" i="9"/>
  <c r="AA2206" i="9" s="1"/>
  <c r="AG926" i="9"/>
  <c r="AG870" i="9"/>
  <c r="AG863" i="9"/>
  <c r="AB1113" i="9"/>
  <c r="AB1534" i="9"/>
  <c r="AA1838" i="9"/>
  <c r="AA1589" i="9"/>
  <c r="AA1546" i="9"/>
  <c r="AA867" i="9"/>
  <c r="AA882" i="9" s="1"/>
  <c r="AA1781" i="9"/>
  <c r="AA39" i="9" s="1"/>
  <c r="AA1623" i="9"/>
  <c r="Z1034" i="9"/>
  <c r="Z1643" i="9"/>
  <c r="Z1645" i="9" s="1"/>
  <c r="AG1908" i="9"/>
  <c r="AG204" i="9"/>
  <c r="AB1558" i="9"/>
  <c r="AB1929" i="9"/>
  <c r="AB52" i="9" s="1"/>
  <c r="AB1903" i="9"/>
  <c r="AB1981" i="9"/>
  <c r="AG1115" i="9"/>
  <c r="AB1720" i="9"/>
  <c r="AB34" i="9" s="1"/>
  <c r="AG1032" i="9"/>
  <c r="AG939" i="9"/>
  <c r="AB164" i="9"/>
  <c r="AB1763" i="9"/>
  <c r="AB1781" i="9" s="1"/>
  <c r="AB39" i="9" s="1"/>
  <c r="AB2121" i="9"/>
  <c r="AB1817" i="9"/>
  <c r="AB38" i="9" s="1"/>
  <c r="AB796" i="9"/>
  <c r="AB1068" i="9"/>
  <c r="AA1981" i="9"/>
  <c r="AA1678" i="9"/>
  <c r="AA1903" i="9"/>
  <c r="AA1857" i="9"/>
  <c r="AA1726" i="9"/>
  <c r="AG1726" i="9" s="1"/>
  <c r="AA891" i="9"/>
  <c r="AA1871" i="9"/>
  <c r="AA1696" i="9"/>
  <c r="AG855" i="9"/>
  <c r="Y2206" i="9"/>
  <c r="AG1912" i="9"/>
  <c r="Z1940" i="9"/>
  <c r="Z968" i="9"/>
  <c r="Z25" i="9" s="1"/>
  <c r="Z78" i="9" s="1"/>
  <c r="Z867" i="9"/>
  <c r="Z882" i="9" s="1"/>
  <c r="Z891" i="9"/>
  <c r="Z1113" i="9"/>
  <c r="Z1686" i="9"/>
  <c r="Z2007" i="9"/>
  <c r="Z1578" i="9"/>
  <c r="Z2203" i="9"/>
  <c r="Z2206" i="9" s="1"/>
  <c r="AC1034" i="9"/>
  <c r="AC1558" i="9"/>
  <c r="AC2188" i="9"/>
  <c r="AC756" i="9"/>
  <c r="AC867" i="9"/>
  <c r="AC882" i="9" s="1"/>
  <c r="AC1720" i="9"/>
  <c r="AC34" i="9" s="1"/>
  <c r="AC1994" i="9"/>
  <c r="AC1817" i="9"/>
  <c r="AC38" i="9" s="1"/>
  <c r="AC656" i="9"/>
  <c r="AC1600" i="9"/>
  <c r="AC1534" i="9"/>
  <c r="AC2203" i="9"/>
  <c r="AC2206" i="9" s="1"/>
  <c r="AC1623" i="9"/>
  <c r="AG759" i="9"/>
  <c r="Y174" i="9"/>
  <c r="AG791" i="9"/>
  <c r="Y1645" i="9"/>
  <c r="Y1672" i="9" s="1"/>
  <c r="Y51" i="9"/>
  <c r="AG794" i="9"/>
  <c r="Y212" i="9"/>
  <c r="AG156" i="9"/>
  <c r="AG201" i="9"/>
  <c r="AG1962" i="9"/>
  <c r="Y21" i="9"/>
  <c r="Y1155" i="9"/>
  <c r="AG912" i="9"/>
  <c r="AG2113" i="9"/>
  <c r="AG1774" i="9"/>
  <c r="AG1677" i="9"/>
  <c r="AG1099" i="9"/>
  <c r="AG980" i="9"/>
  <c r="AG1135" i="9"/>
  <c r="AA1883" i="9"/>
  <c r="AA153" i="9"/>
  <c r="Y1708" i="9"/>
  <c r="Z190" i="9"/>
  <c r="AG562" i="9"/>
  <c r="AG986" i="9"/>
  <c r="AB1696" i="9"/>
  <c r="AA1809" i="9"/>
  <c r="AA40" i="9" s="1"/>
  <c r="AA1686" i="9"/>
  <c r="AA909" i="9"/>
  <c r="AG959" i="9"/>
  <c r="Z1763" i="9"/>
  <c r="Z1781" i="9" s="1"/>
  <c r="Z39" i="9" s="1"/>
  <c r="Z37" i="9"/>
  <c r="AG37" i="9" s="1"/>
  <c r="Z1735" i="9"/>
  <c r="AG1762" i="9"/>
  <c r="AG738" i="9"/>
  <c r="AG612" i="9"/>
  <c r="AG170" i="9"/>
  <c r="AB1940" i="9"/>
  <c r="AG1011" i="9"/>
  <c r="AG1058" i="9"/>
  <c r="AB943" i="9"/>
  <c r="AB2171" i="9"/>
  <c r="AB2133" i="9"/>
  <c r="AB2162" i="9" s="1"/>
  <c r="AG1005" i="9"/>
  <c r="AG181" i="9"/>
  <c r="AB1662" i="9"/>
  <c r="AB2203" i="9"/>
  <c r="AB2206" i="9" s="1"/>
  <c r="AG1572" i="9"/>
  <c r="AB37" i="9"/>
  <c r="AB1735" i="9"/>
  <c r="AB1524" i="9"/>
  <c r="AG907" i="9"/>
  <c r="AA614" i="9"/>
  <c r="AA656" i="9" s="1"/>
  <c r="AA968" i="9"/>
  <c r="AA25" i="9" s="1"/>
  <c r="AA78" i="9" s="1"/>
  <c r="AA943" i="9"/>
  <c r="AA1612" i="9"/>
  <c r="AA2007" i="9"/>
  <c r="AG1037" i="9"/>
  <c r="AG753" i="9"/>
  <c r="AG1685" i="9"/>
  <c r="AG1652" i="9"/>
  <c r="Z1732" i="9"/>
  <c r="Z36" i="9" s="1"/>
  <c r="Z1876" i="9"/>
  <c r="Z987" i="9"/>
  <c r="Z993" i="9" s="1"/>
  <c r="Z1612" i="9"/>
  <c r="Z1706" i="9"/>
  <c r="Z1600" i="9"/>
  <c r="AG1600" i="9" s="1"/>
  <c r="Z2121" i="9"/>
  <c r="Z1623" i="9"/>
  <c r="AC1903" i="9"/>
  <c r="AC1589" i="9"/>
  <c r="AC956" i="9"/>
  <c r="AC1726" i="9"/>
  <c r="AC987" i="9"/>
  <c r="AC993" i="9" s="1"/>
  <c r="AC1763" i="9"/>
  <c r="AC1781" i="9" s="1"/>
  <c r="AC39" i="9" s="1"/>
  <c r="AC1113" i="9"/>
  <c r="AC1524" i="9"/>
  <c r="AG1056" i="9"/>
  <c r="AG760" i="9"/>
  <c r="AG151" i="9"/>
  <c r="AG1519" i="9"/>
  <c r="Y52" i="9"/>
  <c r="AG157" i="9"/>
  <c r="AG984" i="9"/>
  <c r="AG913" i="9"/>
  <c r="AG2114" i="9"/>
  <c r="AG1775" i="9"/>
  <c r="AG1734" i="9"/>
  <c r="AG1731" i="9"/>
  <c r="Y54" i="9"/>
  <c r="Z212" i="9"/>
  <c r="Z228" i="9" s="1"/>
  <c r="Y1781" i="9"/>
  <c r="AG1779" i="9"/>
  <c r="AG1592" i="9"/>
  <c r="AB1797" i="9"/>
  <c r="AB1809" i="9" s="1"/>
  <c r="AB40" i="9" s="1"/>
  <c r="AG1561" i="9"/>
  <c r="AG614" i="9"/>
  <c r="AB2188" i="9"/>
  <c r="AB1838" i="9"/>
  <c r="AB35" i="9" s="1"/>
  <c r="AB741" i="9"/>
  <c r="AB735" i="9"/>
  <c r="AB1589" i="9"/>
  <c r="AG940" i="9"/>
  <c r="AB867" i="9"/>
  <c r="AB882" i="9" s="1"/>
  <c r="AB968" i="9"/>
  <c r="AB25" i="9" s="1"/>
  <c r="AB78" i="9" s="1"/>
  <c r="AG1538" i="9"/>
  <c r="AB2007" i="9"/>
  <c r="AB2212" i="9"/>
  <c r="AB1612" i="9"/>
  <c r="AB1567" i="9"/>
  <c r="AB891" i="9"/>
  <c r="AB1578" i="9"/>
  <c r="AG161" i="9"/>
  <c r="AB1871" i="9"/>
  <c r="AA1034" i="9"/>
  <c r="AA2188" i="9"/>
  <c r="AA185" i="9"/>
  <c r="AA212" i="9" s="1"/>
  <c r="AA228" i="9" s="1"/>
  <c r="AA956" i="9"/>
  <c r="AG956" i="9" s="1"/>
  <c r="AA164" i="9"/>
  <c r="AA2212" i="9"/>
  <c r="AA2214" i="9" s="1"/>
  <c r="AA2215" i="9" s="1"/>
  <c r="AA1994" i="9"/>
  <c r="AA1068" i="9"/>
  <c r="AA1670" i="9"/>
  <c r="AG2170" i="9"/>
  <c r="AG2179" i="9"/>
  <c r="AG756" i="9"/>
  <c r="AG1653" i="9"/>
  <c r="Z1589" i="9"/>
  <c r="Z943" i="9"/>
  <c r="Z164" i="9"/>
  <c r="Z1883" i="9"/>
  <c r="Z1696" i="9"/>
  <c r="AC1929" i="9"/>
  <c r="AC52" i="9" s="1"/>
  <c r="AC185" i="9"/>
  <c r="AC212" i="9" s="1"/>
  <c r="AC228" i="9" s="1"/>
  <c r="AC1827" i="9"/>
  <c r="AG1827" i="9" s="1"/>
  <c r="AC1857" i="9"/>
  <c r="AC1546" i="9"/>
  <c r="AC1917" i="9"/>
  <c r="AC943" i="9"/>
  <c r="AC909" i="9"/>
  <c r="AC1696" i="9"/>
  <c r="AG1549" i="9"/>
  <c r="AG1068" i="9"/>
  <c r="AG1837" i="9"/>
  <c r="AG1893" i="9"/>
  <c r="AG1524" i="9"/>
  <c r="AG1924" i="9"/>
  <c r="AG1570" i="9"/>
  <c r="AG1649" i="9"/>
  <c r="AG743" i="9"/>
  <c r="AG188" i="9"/>
  <c r="AG858" i="9"/>
  <c r="AG1856" i="9"/>
  <c r="AG1875" i="9"/>
  <c r="AG1735" i="9"/>
  <c r="AG1622" i="9"/>
  <c r="Y36" i="9"/>
  <c r="AB210" i="9"/>
  <c r="AG734" i="9"/>
  <c r="AG990" i="9"/>
  <c r="AG160" i="9"/>
  <c r="AG1939" i="9"/>
  <c r="AG180" i="9"/>
  <c r="AB185" i="9"/>
  <c r="AB212" i="9" s="1"/>
  <c r="AB228" i="9" s="1"/>
  <c r="AG754" i="9"/>
  <c r="AB1678" i="9"/>
  <c r="AB1876" i="9"/>
  <c r="AB1883" i="9" s="1"/>
  <c r="AG1563" i="9"/>
  <c r="AB956" i="9"/>
  <c r="AG1550" i="9"/>
  <c r="AG1023" i="9"/>
  <c r="AG1026" i="9"/>
  <c r="AG613" i="9"/>
  <c r="AB1706" i="9"/>
  <c r="AB1708" i="9" s="1"/>
  <c r="AB153" i="9"/>
  <c r="AB1623" i="9"/>
  <c r="AG1522" i="9"/>
  <c r="AA1643" i="9"/>
  <c r="AA1645" i="9" s="1"/>
  <c r="AA1929" i="9"/>
  <c r="AA52" i="9" s="1"/>
  <c r="AA1567" i="9"/>
  <c r="AA2180" i="9"/>
  <c r="AA1662" i="9"/>
  <c r="AG1632" i="9"/>
  <c r="AG1879" i="9"/>
  <c r="AG2180" i="9"/>
  <c r="AG196" i="9"/>
  <c r="Z2188" i="9"/>
  <c r="Z1981" i="9"/>
  <c r="Z741" i="9"/>
  <c r="Z1797" i="9"/>
  <c r="Z1809" i="9" s="1"/>
  <c r="Z40" i="9" s="1"/>
  <c r="Z172" i="9"/>
  <c r="Z1534" i="9"/>
  <c r="AC1838" i="9"/>
  <c r="AC35" i="9" s="1"/>
  <c r="AC1981" i="9"/>
  <c r="AC741" i="9"/>
  <c r="AC1940" i="9"/>
  <c r="AC1809" i="9"/>
  <c r="AC40" i="9" s="1"/>
  <c r="AC1686" i="9"/>
  <c r="AC2121" i="9"/>
  <c r="AC2165" i="9" s="1"/>
  <c r="AC48" i="9" s="1"/>
  <c r="AC153" i="9"/>
  <c r="AC796" i="9"/>
  <c r="AG796" i="9" s="1"/>
  <c r="AC1921" i="9"/>
  <c r="AG1921" i="9" s="1"/>
  <c r="AC1670" i="9"/>
  <c r="AG1902" i="9"/>
  <c r="Y35" i="9"/>
  <c r="AG1894" i="9"/>
  <c r="AG2132" i="9"/>
  <c r="AG1650" i="9"/>
  <c r="AG1778" i="9"/>
  <c r="AG1611" i="9"/>
  <c r="AG1863" i="9"/>
  <c r="AG1932" i="9"/>
  <c r="AG190" i="9"/>
  <c r="AG1897" i="9"/>
  <c r="AG867" i="9"/>
  <c r="AG1876" i="9"/>
  <c r="AG1623" i="9"/>
  <c r="AG1110" i="9"/>
  <c r="AG1534" i="9" l="1"/>
  <c r="AG943" i="9"/>
  <c r="AG1732" i="9"/>
  <c r="AG172" i="9"/>
  <c r="AG1994" i="9"/>
  <c r="AA1708" i="9"/>
  <c r="AG1857" i="9"/>
  <c r="AG1686" i="9"/>
  <c r="AA35" i="9"/>
  <c r="AG1981" i="9"/>
  <c r="AB2165" i="9"/>
  <c r="AB48" i="9" s="1"/>
  <c r="Z54" i="9"/>
  <c r="AB54" i="9"/>
  <c r="AC1672" i="9"/>
  <c r="AG2188" i="9"/>
  <c r="AG1696" i="9"/>
  <c r="AG735" i="9"/>
  <c r="AG656" i="9"/>
  <c r="AC174" i="9"/>
  <c r="AG1903" i="9"/>
  <c r="AG909" i="9"/>
  <c r="AG1871" i="9"/>
  <c r="AG1034" i="9"/>
  <c r="AG1917" i="9"/>
  <c r="AG1838" i="9"/>
  <c r="AG741" i="9"/>
  <c r="AG1662" i="9"/>
  <c r="AG1678" i="9"/>
  <c r="AB36" i="9"/>
  <c r="AG153" i="9"/>
  <c r="AG987" i="9"/>
  <c r="AG1567" i="9"/>
  <c r="AG164" i="9"/>
  <c r="AG1763" i="9"/>
  <c r="AG1612" i="9"/>
  <c r="AG2007" i="9"/>
  <c r="AA54" i="9"/>
  <c r="AG1546" i="9"/>
  <c r="AC43" i="9"/>
  <c r="AB43" i="9"/>
  <c r="Z1153" i="9"/>
  <c r="AG1153" i="9" s="1"/>
  <c r="Z19" i="9"/>
  <c r="Z70" i="9" s="1"/>
  <c r="AG882" i="9"/>
  <c r="AB26" i="9"/>
  <c r="AB79" i="9" s="1"/>
  <c r="AB1157" i="9"/>
  <c r="AG1670" i="9"/>
  <c r="AB51" i="9"/>
  <c r="AA43" i="9"/>
  <c r="Y228" i="9"/>
  <c r="AG212" i="9"/>
  <c r="Z1672" i="9"/>
  <c r="AC1708" i="9"/>
  <c r="AC1711" i="9" s="1"/>
  <c r="AC33" i="9" s="1"/>
  <c r="AG38" i="9"/>
  <c r="Z43" i="9"/>
  <c r="AG1589" i="9"/>
  <c r="AA2216" i="9"/>
  <c r="AA49" i="9" s="1"/>
  <c r="AG1720" i="9"/>
  <c r="AA36" i="9"/>
  <c r="AA1155" i="9"/>
  <c r="AA21" i="9"/>
  <c r="AA72" i="9" s="1"/>
  <c r="AG1929" i="9"/>
  <c r="Y72" i="9"/>
  <c r="Y40" i="9"/>
  <c r="AG40" i="9" s="1"/>
  <c r="AG1809" i="9"/>
  <c r="AC2214" i="9"/>
  <c r="AC2216" i="9" s="1"/>
  <c r="AC49" i="9" s="1"/>
  <c r="Z174" i="9"/>
  <c r="AG34" i="9"/>
  <c r="AG35" i="9"/>
  <c r="AB21" i="9"/>
  <c r="AB72" i="9" s="1"/>
  <c r="AB1155" i="9"/>
  <c r="AA1672" i="9"/>
  <c r="AA1711" i="9" s="1"/>
  <c r="AA33" i="9" s="1"/>
  <c r="AA26" i="9"/>
  <c r="AA79" i="9" s="1"/>
  <c r="AA1157" i="9"/>
  <c r="AB19" i="9"/>
  <c r="AB70" i="9" s="1"/>
  <c r="AB1153" i="9"/>
  <c r="AG52" i="9"/>
  <c r="Z1708" i="9"/>
  <c r="Z1711" i="9" s="1"/>
  <c r="Z33" i="9" s="1"/>
  <c r="Z2216" i="9"/>
  <c r="Z49" i="9" s="1"/>
  <c r="Y25" i="9"/>
  <c r="AG968" i="9"/>
  <c r="AB174" i="9"/>
  <c r="Z21" i="9"/>
  <c r="Z72" i="9" s="1"/>
  <c r="Z1155" i="9"/>
  <c r="Y39" i="9"/>
  <c r="AG39" i="9" s="1"/>
  <c r="AG1781" i="9"/>
  <c r="AG2121" i="9"/>
  <c r="AC54" i="9"/>
  <c r="Z26" i="9"/>
  <c r="Z79" i="9" s="1"/>
  <c r="Z1157" i="9"/>
  <c r="AC21" i="9"/>
  <c r="AC72" i="9" s="1"/>
  <c r="AC1155" i="9"/>
  <c r="AG1706" i="9"/>
  <c r="AG1643" i="9"/>
  <c r="AC19" i="9"/>
  <c r="AC70" i="9" s="1"/>
  <c r="AC1153" i="9"/>
  <c r="Z51" i="9"/>
  <c r="AG2203" i="9"/>
  <c r="AG2133" i="9"/>
  <c r="AG210" i="9"/>
  <c r="AC36" i="9"/>
  <c r="AC1157" i="9"/>
  <c r="AC26" i="9"/>
  <c r="AC79" i="9" s="1"/>
  <c r="AG1940" i="9"/>
  <c r="AG1797" i="9"/>
  <c r="AA51" i="9"/>
  <c r="Y1711" i="9"/>
  <c r="AG1645" i="9"/>
  <c r="Y2216" i="9"/>
  <c r="AG2206" i="9"/>
  <c r="Y2165" i="9"/>
  <c r="AG2162" i="9"/>
  <c r="AG891" i="9"/>
  <c r="AB1672" i="9"/>
  <c r="AB1711" i="9" s="1"/>
  <c r="AB33" i="9" s="1"/>
  <c r="Z2165" i="9"/>
  <c r="Z48" i="9" s="1"/>
  <c r="Y43" i="9"/>
  <c r="AG1883" i="9"/>
  <c r="Y70" i="9"/>
  <c r="AB2214" i="9"/>
  <c r="AB2216" i="9" s="1"/>
  <c r="AB49" i="9" s="1"/>
  <c r="AA174" i="9"/>
  <c r="AG185" i="9"/>
  <c r="AA1153" i="9"/>
  <c r="AA19" i="9"/>
  <c r="AA70" i="9" s="1"/>
  <c r="AC51" i="9"/>
  <c r="AG1817" i="9"/>
  <c r="AG174" i="9" l="1"/>
  <c r="AG54" i="9"/>
  <c r="AG1708" i="9"/>
  <c r="AG36" i="9"/>
  <c r="AG51" i="9"/>
  <c r="AG1155" i="9"/>
  <c r="AG43" i="9"/>
  <c r="AB2215" i="9"/>
  <c r="Y33" i="9"/>
  <c r="AG1711" i="9"/>
  <c r="AG21" i="9"/>
  <c r="AG19" i="9"/>
  <c r="AG72" i="9"/>
  <c r="AG70" i="9"/>
  <c r="Y48" i="9"/>
  <c r="AG2165" i="9"/>
  <c r="Y78" i="9"/>
  <c r="AG78" i="9" s="1"/>
  <c r="AG25" i="9"/>
  <c r="AC2215" i="9"/>
  <c r="Y49" i="9"/>
  <c r="AG49" i="9" s="1"/>
  <c r="AG2216" i="9"/>
  <c r="Y26" i="9"/>
  <c r="Y1157" i="9"/>
  <c r="AG1157" i="9" s="1"/>
  <c r="AG228" i="9"/>
  <c r="Y79" i="9" l="1"/>
  <c r="AG79" i="9" s="1"/>
  <c r="AG26" i="9"/>
  <c r="AG33" i="9"/>
  <c r="AG48" i="9"/>
  <c r="Y799" i="9" l="1"/>
  <c r="Y801" i="9"/>
  <c r="AC799" i="9"/>
  <c r="AC802" i="9" s="1"/>
  <c r="AC804" i="9" s="1"/>
  <c r="AC807" i="9" s="1"/>
  <c r="AC801" i="9"/>
  <c r="Z799" i="9"/>
  <c r="Z802" i="9" s="1"/>
  <c r="Z804" i="9" s="1"/>
  <c r="Z807" i="9" s="1"/>
  <c r="Z801" i="9"/>
  <c r="AB799" i="9"/>
  <c r="AB801" i="9"/>
  <c r="AA799" i="9"/>
  <c r="AA801" i="9"/>
  <c r="AB802" i="9" l="1"/>
  <c r="AB804" i="9" s="1"/>
  <c r="AB807" i="9" s="1"/>
  <c r="Z18" i="9"/>
  <c r="Z1152" i="9"/>
  <c r="AC1152" i="9"/>
  <c r="AC18" i="9"/>
  <c r="AG801" i="9"/>
  <c r="AA802" i="9"/>
  <c r="AA804" i="9" s="1"/>
  <c r="AA807" i="9" s="1"/>
  <c r="Y802" i="9"/>
  <c r="AG799" i="9"/>
  <c r="AC68" i="9" l="1"/>
  <c r="AG802" i="9"/>
  <c r="Y804" i="9"/>
  <c r="AA18" i="9"/>
  <c r="AA1152" i="9"/>
  <c r="Z68" i="9"/>
  <c r="AB18" i="9"/>
  <c r="AB1152" i="9"/>
  <c r="AA68" i="9" l="1"/>
  <c r="AG804" i="9"/>
  <c r="Y807" i="9"/>
  <c r="AB68" i="9"/>
  <c r="Y18" i="9" l="1"/>
  <c r="Y1152" i="9"/>
  <c r="AG807" i="9"/>
  <c r="AG1152" i="9" l="1"/>
  <c r="Y68" i="9"/>
  <c r="AG68" i="9" s="1"/>
  <c r="AG18" i="9"/>
  <c r="M47" i="10" l="1"/>
  <c r="H187" i="10"/>
  <c r="O187" i="10" l="1"/>
  <c r="N187" i="10"/>
  <c r="K187" i="10"/>
  <c r="J187" i="10"/>
  <c r="I187" i="10"/>
  <c r="O48" i="10"/>
  <c r="F187" i="10"/>
  <c r="J48" i="10"/>
  <c r="G48" i="10"/>
  <c r="M117" i="10"/>
  <c r="I117" i="10"/>
  <c r="M188" i="10"/>
  <c r="G188" i="10"/>
  <c r="O188" i="10"/>
  <c r="M48" i="10"/>
  <c r="G118" i="10"/>
  <c r="N118" i="10"/>
  <c r="M118" i="10"/>
  <c r="H188" i="10"/>
  <c r="I188" i="10"/>
  <c r="K188" i="10"/>
  <c r="H118" i="10"/>
  <c r="L118" i="10"/>
  <c r="P118" i="10"/>
  <c r="F118" i="10"/>
  <c r="K118" i="10"/>
  <c r="J118" i="10"/>
  <c r="O118" i="10"/>
  <c r="I118" i="10"/>
  <c r="I48" i="10"/>
  <c r="N48" i="10"/>
  <c r="M187" i="10"/>
  <c r="G187" i="10"/>
  <c r="N188" i="10"/>
  <c r="J188" i="10"/>
  <c r="F188" i="10"/>
  <c r="P188" i="10"/>
  <c r="L188" i="10"/>
  <c r="H48" i="10"/>
  <c r="L48" i="10"/>
  <c r="P48" i="10"/>
  <c r="J117" i="10"/>
  <c r="N117" i="10"/>
  <c r="G117" i="10"/>
  <c r="K117" i="10"/>
  <c r="O117" i="10"/>
  <c r="H117" i="10"/>
  <c r="L117" i="10"/>
  <c r="P117" i="10"/>
  <c r="F48" i="10"/>
  <c r="P187" i="10"/>
  <c r="L187" i="10"/>
  <c r="K48" i="10"/>
  <c r="E188" i="10" l="1"/>
  <c r="Q188" i="10" s="1"/>
  <c r="E187" i="10"/>
  <c r="Q187" i="10" s="1"/>
  <c r="E118" i="10"/>
  <c r="Q118" i="10" s="1"/>
  <c r="E48" i="10"/>
  <c r="Q48" i="10" s="1"/>
  <c r="J258" i="10"/>
  <c r="H258" i="10"/>
  <c r="L258" i="10"/>
  <c r="O258" i="10"/>
  <c r="P258" i="10"/>
  <c r="G258" i="10"/>
  <c r="N258" i="10"/>
  <c r="I258" i="10"/>
  <c r="K258" i="10"/>
  <c r="M258" i="10"/>
  <c r="P328" i="10"/>
  <c r="I328" i="10"/>
  <c r="L328" i="10"/>
  <c r="N328" i="10"/>
  <c r="J328" i="10"/>
  <c r="K328" i="10"/>
  <c r="H328" i="10"/>
  <c r="M328" i="10"/>
  <c r="G328" i="10"/>
  <c r="O328" i="10"/>
  <c r="L327" i="10"/>
  <c r="K327" i="10"/>
  <c r="P327" i="10"/>
  <c r="M327" i="10"/>
  <c r="N327" i="10"/>
  <c r="O327" i="10"/>
  <c r="I327" i="10"/>
  <c r="G327" i="10"/>
  <c r="J327" i="10"/>
  <c r="H327" i="10"/>
  <c r="G257" i="10"/>
  <c r="L257" i="10"/>
  <c r="J257" i="10"/>
  <c r="I257" i="10"/>
  <c r="H257" i="10"/>
  <c r="O257" i="10"/>
  <c r="K257" i="10"/>
  <c r="P257" i="10"/>
  <c r="N257" i="10"/>
  <c r="M257" i="10"/>
  <c r="M173" i="10"/>
  <c r="O173" i="10"/>
  <c r="O33" i="10"/>
  <c r="O103" i="10"/>
  <c r="I103" i="10"/>
  <c r="K103" i="10"/>
  <c r="H103" i="10"/>
  <c r="L33" i="10"/>
  <c r="G103" i="10"/>
  <c r="M103" i="10"/>
  <c r="I33" i="10"/>
  <c r="L103" i="10"/>
  <c r="P103" i="10"/>
  <c r="J103" i="10"/>
  <c r="L173" i="10"/>
  <c r="P173" i="10"/>
  <c r="N173" i="10"/>
  <c r="N103" i="10"/>
  <c r="J173" i="10"/>
  <c r="I173" i="10"/>
  <c r="H173" i="10"/>
  <c r="O47" i="10"/>
  <c r="G33" i="10"/>
  <c r="I47" i="10"/>
  <c r="F47" i="10"/>
  <c r="P33" i="10"/>
  <c r="N47" i="10"/>
  <c r="P47" i="10"/>
  <c r="K173" i="10"/>
  <c r="K47" i="10"/>
  <c r="H47" i="10"/>
  <c r="F117" i="10"/>
  <c r="E117" i="10" s="1"/>
  <c r="Q117" i="10" s="1"/>
  <c r="J47" i="10"/>
  <c r="G47" i="10"/>
  <c r="L47" i="10"/>
  <c r="G173" i="10"/>
  <c r="E47" i="10" l="1"/>
  <c r="Q47" i="10" s="1"/>
  <c r="G243" i="10"/>
  <c r="N243" i="10"/>
  <c r="M243" i="10"/>
  <c r="P243" i="10"/>
  <c r="H243" i="10"/>
  <c r="I243" i="10"/>
  <c r="K243" i="10"/>
  <c r="J243" i="10"/>
  <c r="L243" i="10"/>
  <c r="O243" i="10"/>
  <c r="F257" i="10"/>
  <c r="E257" i="10" s="1"/>
  <c r="Q257" i="10" s="1"/>
  <c r="P313" i="10"/>
  <c r="M313" i="10"/>
  <c r="F243" i="10"/>
  <c r="F328" i="10"/>
  <c r="E328" i="10" s="1"/>
  <c r="Q328" i="10" s="1"/>
  <c r="K313" i="10"/>
  <c r="G313" i="10"/>
  <c r="F258" i="10"/>
  <c r="E258" i="10" s="1"/>
  <c r="Q258" i="10" s="1"/>
  <c r="F327" i="10"/>
  <c r="E327" i="10" s="1"/>
  <c r="Q327" i="10" s="1"/>
  <c r="J313" i="10"/>
  <c r="L313" i="10"/>
  <c r="I313" i="10"/>
  <c r="O313" i="10"/>
  <c r="N313" i="10"/>
  <c r="H313" i="10"/>
  <c r="F33" i="10"/>
  <c r="M33" i="10"/>
  <c r="K33" i="10"/>
  <c r="H33" i="10"/>
  <c r="F173" i="10"/>
  <c r="E173" i="10" s="1"/>
  <c r="Q173" i="10" s="1"/>
  <c r="F103" i="10"/>
  <c r="E103" i="10" s="1"/>
  <c r="Q103" i="10" s="1"/>
  <c r="J33" i="10"/>
  <c r="N33" i="10"/>
  <c r="E243" i="10" l="1"/>
  <c r="Q243" i="10" s="1"/>
  <c r="E33" i="10"/>
  <c r="Q33" i="10" s="1"/>
  <c r="F313" i="10"/>
  <c r="E313" i="10" s="1"/>
  <c r="Q313" i="10" s="1"/>
  <c r="E52" i="9" l="1"/>
  <c r="G52" i="9" s="1"/>
  <c r="E53" i="9"/>
  <c r="G53" i="9" s="1"/>
  <c r="E39" i="9" l="1"/>
  <c r="G39" i="9" s="1"/>
  <c r="J317" i="10" l="1"/>
  <c r="J247" i="10"/>
  <c r="O108" i="10"/>
  <c r="J107" i="10"/>
  <c r="J177" i="10"/>
  <c r="J170" i="10" l="1"/>
  <c r="J248" i="10"/>
  <c r="J310" i="10"/>
  <c r="P247" i="10"/>
  <c r="P317" i="10"/>
  <c r="J318" i="10"/>
  <c r="K247" i="10"/>
  <c r="K317" i="10"/>
  <c r="L247" i="10"/>
  <c r="L317" i="10"/>
  <c r="N247" i="10"/>
  <c r="N317" i="10"/>
  <c r="O317" i="10"/>
  <c r="O247" i="10"/>
  <c r="J240" i="10"/>
  <c r="J178" i="10"/>
  <c r="M317" i="10"/>
  <c r="M247" i="10"/>
  <c r="G247" i="10"/>
  <c r="G317" i="10"/>
  <c r="H317" i="10"/>
  <c r="H247" i="10"/>
  <c r="I247" i="10"/>
  <c r="I317" i="10"/>
  <c r="G100" i="10"/>
  <c r="G37" i="10"/>
  <c r="G107" i="10"/>
  <c r="G177" i="10"/>
  <c r="O177" i="10"/>
  <c r="O37" i="10"/>
  <c r="O107" i="10"/>
  <c r="O100" i="10"/>
  <c r="J100" i="10"/>
  <c r="G108" i="10"/>
  <c r="L107" i="10"/>
  <c r="L177" i="10"/>
  <c r="J108" i="10"/>
  <c r="K177" i="10"/>
  <c r="K107" i="10"/>
  <c r="G30" i="10"/>
  <c r="M177" i="10"/>
  <c r="M107" i="10"/>
  <c r="P107" i="10"/>
  <c r="P177" i="10"/>
  <c r="J37" i="10"/>
  <c r="I177" i="10"/>
  <c r="I107" i="10"/>
  <c r="H107" i="10"/>
  <c r="H177" i="10"/>
  <c r="J30" i="10"/>
  <c r="J38" i="10"/>
  <c r="G38" i="10"/>
  <c r="N177" i="10"/>
  <c r="N107" i="10"/>
  <c r="M170" i="10" l="1"/>
  <c r="F108" i="10"/>
  <c r="F100" i="10"/>
  <c r="P170" i="10"/>
  <c r="L170" i="10"/>
  <c r="P178" i="10"/>
  <c r="H178" i="10"/>
  <c r="P248" i="10"/>
  <c r="H248" i="10"/>
  <c r="L318" i="10"/>
  <c r="O170" i="10"/>
  <c r="N310" i="10"/>
  <c r="K170" i="10"/>
  <c r="H170" i="10"/>
  <c r="I178" i="10"/>
  <c r="M240" i="10"/>
  <c r="G318" i="10"/>
  <c r="G248" i="10"/>
  <c r="L310" i="10"/>
  <c r="P240" i="10"/>
  <c r="O240" i="10"/>
  <c r="K178" i="10"/>
  <c r="K318" i="10"/>
  <c r="O178" i="10"/>
  <c r="N178" i="10"/>
  <c r="M310" i="10"/>
  <c r="L240" i="10"/>
  <c r="K248" i="10"/>
  <c r="I310" i="10"/>
  <c r="G170" i="10"/>
  <c r="G178" i="10"/>
  <c r="G310" i="10"/>
  <c r="G240" i="10"/>
  <c r="F310" i="10"/>
  <c r="H310" i="10"/>
  <c r="L248" i="10"/>
  <c r="F170" i="10"/>
  <c r="F178" i="10"/>
  <c r="F240" i="10"/>
  <c r="M178" i="10"/>
  <c r="M318" i="10"/>
  <c r="H240" i="10"/>
  <c r="O310" i="10"/>
  <c r="N240" i="10"/>
  <c r="K240" i="10"/>
  <c r="M248" i="10"/>
  <c r="H318" i="10"/>
  <c r="O318" i="10"/>
  <c r="N170" i="10"/>
  <c r="K310" i="10"/>
  <c r="F248" i="10"/>
  <c r="O248" i="10"/>
  <c r="L178" i="10"/>
  <c r="N248" i="10"/>
  <c r="N318" i="10"/>
  <c r="P310" i="10"/>
  <c r="F318" i="10"/>
  <c r="I240" i="10"/>
  <c r="P318" i="10"/>
  <c r="F317" i="10"/>
  <c r="E317" i="10" s="1"/>
  <c r="Q317" i="10" s="1"/>
  <c r="I170" i="10"/>
  <c r="I248" i="10"/>
  <c r="F247" i="10"/>
  <c r="E247" i="10" s="1"/>
  <c r="Q247" i="10" s="1"/>
  <c r="I318" i="10"/>
  <c r="O38" i="10"/>
  <c r="O30" i="10"/>
  <c r="I100" i="10"/>
  <c r="N100" i="10"/>
  <c r="H108" i="10"/>
  <c r="K100" i="10"/>
  <c r="L108" i="10"/>
  <c r="K108" i="10"/>
  <c r="M108" i="10"/>
  <c r="M100" i="10"/>
  <c r="L100" i="10"/>
  <c r="H100" i="10"/>
  <c r="P108" i="10"/>
  <c r="I38" i="10"/>
  <c r="I30" i="10"/>
  <c r="F38" i="10"/>
  <c r="F177" i="10"/>
  <c r="E177" i="10" s="1"/>
  <c r="Q177" i="10" s="1"/>
  <c r="K30" i="10"/>
  <c r="K37" i="10"/>
  <c r="L30" i="10"/>
  <c r="P100" i="10"/>
  <c r="M38" i="10"/>
  <c r="N30" i="10"/>
  <c r="F107" i="10"/>
  <c r="E107" i="10" s="1"/>
  <c r="Q107" i="10" s="1"/>
  <c r="I37" i="10"/>
  <c r="L37" i="10"/>
  <c r="H38" i="10"/>
  <c r="N37" i="10"/>
  <c r="N38" i="10"/>
  <c r="N108" i="10"/>
  <c r="H30" i="10"/>
  <c r="P30" i="10"/>
  <c r="P38" i="10"/>
  <c r="H37" i="10"/>
  <c r="F30" i="10"/>
  <c r="M30" i="10"/>
  <c r="F37" i="10"/>
  <c r="K38" i="10"/>
  <c r="P37" i="10"/>
  <c r="M37" i="10"/>
  <c r="L38" i="10"/>
  <c r="I108" i="10"/>
  <c r="E318" i="10" l="1"/>
  <c r="Q318" i="10" s="1"/>
  <c r="E38" i="10"/>
  <c r="Q38" i="10" s="1"/>
  <c r="E170" i="10"/>
  <c r="Q170" i="10" s="1"/>
  <c r="E310" i="10"/>
  <c r="Q310" i="10" s="1"/>
  <c r="E248" i="10"/>
  <c r="Q248" i="10" s="1"/>
  <c r="E37" i="10"/>
  <c r="Q37" i="10" s="1"/>
  <c r="E240" i="10"/>
  <c r="Q240" i="10" s="1"/>
  <c r="E100" i="10"/>
  <c r="Q100" i="10" s="1"/>
  <c r="E30" i="10"/>
  <c r="Q30" i="10" s="1"/>
  <c r="E108" i="10"/>
  <c r="Q108" i="10" s="1"/>
  <c r="E178" i="10"/>
  <c r="Q178" i="10" s="1"/>
  <c r="E43" i="9" l="1"/>
  <c r="G43" i="9" s="1"/>
  <c r="E42" i="9"/>
  <c r="G42" i="9" s="1"/>
  <c r="E13" i="9"/>
  <c r="G13" i="9" s="1"/>
  <c r="E36" i="9"/>
  <c r="G36" i="9" s="1"/>
  <c r="G302" i="10" l="1"/>
  <c r="N232" i="10"/>
  <c r="P232" i="10"/>
  <c r="H232" i="10"/>
  <c r="I302" i="10"/>
  <c r="N302" i="10"/>
  <c r="P162" i="10"/>
  <c r="P92" i="10"/>
  <c r="H92" i="10"/>
  <c r="H162" i="10"/>
  <c r="N92" i="10"/>
  <c r="I162" i="10"/>
  <c r="M92" i="10"/>
  <c r="K162" i="10"/>
  <c r="K92" i="10"/>
  <c r="L162" i="10"/>
  <c r="J232" i="10" l="1"/>
  <c r="K302" i="10"/>
  <c r="L302" i="10"/>
  <c r="J302" i="10"/>
  <c r="L232" i="10"/>
  <c r="K232" i="10"/>
  <c r="M302" i="10"/>
  <c r="G232" i="10"/>
  <c r="M232" i="10"/>
  <c r="H302" i="10"/>
  <c r="P302" i="10"/>
  <c r="I232" i="10"/>
  <c r="O302" i="10"/>
  <c r="O232" i="10"/>
  <c r="J162" i="10"/>
  <c r="G92" i="10"/>
  <c r="L92" i="10"/>
  <c r="J92" i="10"/>
  <c r="P22" i="10"/>
  <c r="F92" i="10"/>
  <c r="G162" i="10"/>
  <c r="O162" i="10"/>
  <c r="I92" i="10"/>
  <c r="F162" i="10"/>
  <c r="O92" i="10"/>
  <c r="F22" i="10"/>
  <c r="M162" i="10"/>
  <c r="N162" i="10"/>
  <c r="H22" i="10"/>
  <c r="E162" i="10" l="1"/>
  <c r="Q162" i="10" s="1"/>
  <c r="E92" i="10"/>
  <c r="Q92" i="10" s="1"/>
  <c r="F302" i="10"/>
  <c r="E302" i="10" s="1"/>
  <c r="Q302" i="10" s="1"/>
  <c r="F232" i="10"/>
  <c r="E232" i="10" s="1"/>
  <c r="Q232" i="10" s="1"/>
  <c r="K22" i="10"/>
  <c r="G22" i="10"/>
  <c r="E22" i="10" s="1"/>
  <c r="Q22" i="10" s="1"/>
  <c r="M22" i="10"/>
  <c r="I22" i="10"/>
  <c r="N22" i="10"/>
  <c r="L22" i="10"/>
  <c r="O22" i="10"/>
  <c r="J22" i="10"/>
  <c r="E79" i="9" l="1"/>
  <c r="G79" i="9" s="1"/>
  <c r="E26" i="9" l="1"/>
  <c r="G26" i="9" s="1"/>
  <c r="N311" i="10" l="1"/>
  <c r="N241" i="10"/>
  <c r="J241" i="10"/>
  <c r="J311" i="10"/>
  <c r="K241" i="10"/>
  <c r="K311" i="10"/>
  <c r="H241" i="10"/>
  <c r="H311" i="10"/>
  <c r="G311" i="10"/>
  <c r="G241" i="10"/>
  <c r="O241" i="10"/>
  <c r="O311" i="10"/>
  <c r="P241" i="10"/>
  <c r="P311" i="10"/>
  <c r="M311" i="10"/>
  <c r="M241" i="10"/>
  <c r="L241" i="10"/>
  <c r="L311" i="10"/>
  <c r="I311" i="10"/>
  <c r="I241" i="10"/>
  <c r="J101" i="10"/>
  <c r="J171" i="10"/>
  <c r="P101" i="10"/>
  <c r="P171" i="10"/>
  <c r="M171" i="10"/>
  <c r="M101" i="10"/>
  <c r="L171" i="10"/>
  <c r="L101" i="10"/>
  <c r="N171" i="10"/>
  <c r="N101" i="10"/>
  <c r="I101" i="10"/>
  <c r="I171" i="10"/>
  <c r="K171" i="10"/>
  <c r="K101" i="10"/>
  <c r="H101" i="10"/>
  <c r="H171" i="10"/>
  <c r="G101" i="10"/>
  <c r="G171" i="10"/>
  <c r="O101" i="10"/>
  <c r="O171" i="10"/>
  <c r="I242" i="10" l="1"/>
  <c r="L314" i="10"/>
  <c r="P244" i="10"/>
  <c r="O314" i="10"/>
  <c r="H314" i="10"/>
  <c r="J244" i="10"/>
  <c r="P314" i="10"/>
  <c r="O244" i="10"/>
  <c r="H244" i="10"/>
  <c r="J314" i="10"/>
  <c r="I329" i="10"/>
  <c r="M329" i="10"/>
  <c r="F329" i="10"/>
  <c r="G259" i="10"/>
  <c r="K329" i="10"/>
  <c r="N329" i="10"/>
  <c r="I259" i="10"/>
  <c r="L244" i="10"/>
  <c r="M259" i="10"/>
  <c r="F259" i="10"/>
  <c r="G329" i="10"/>
  <c r="K259" i="10"/>
  <c r="N259" i="10"/>
  <c r="L312" i="10"/>
  <c r="P312" i="10"/>
  <c r="O242" i="10"/>
  <c r="H312" i="10"/>
  <c r="J312" i="10"/>
  <c r="L242" i="10"/>
  <c r="P242" i="10"/>
  <c r="O312" i="10"/>
  <c r="H242" i="10"/>
  <c r="J242" i="10"/>
  <c r="I244" i="10"/>
  <c r="L329" i="10"/>
  <c r="M314" i="10"/>
  <c r="P329" i="10"/>
  <c r="F314" i="10"/>
  <c r="O259" i="10"/>
  <c r="G244" i="10"/>
  <c r="H259" i="10"/>
  <c r="K314" i="10"/>
  <c r="J329" i="10"/>
  <c r="N314" i="10"/>
  <c r="I314" i="10"/>
  <c r="L259" i="10"/>
  <c r="M244" i="10"/>
  <c r="P259" i="10"/>
  <c r="F244" i="10"/>
  <c r="O329" i="10"/>
  <c r="G314" i="10"/>
  <c r="H329" i="10"/>
  <c r="K244" i="10"/>
  <c r="J259" i="10"/>
  <c r="N244" i="10"/>
  <c r="I312" i="10"/>
  <c r="M312" i="10"/>
  <c r="F311" i="10"/>
  <c r="E311" i="10" s="1"/>
  <c r="Q311" i="10" s="1"/>
  <c r="G312" i="10"/>
  <c r="K242" i="10"/>
  <c r="N312" i="10"/>
  <c r="M242" i="10"/>
  <c r="F241" i="10"/>
  <c r="E241" i="10" s="1"/>
  <c r="Q241" i="10" s="1"/>
  <c r="G242" i="10"/>
  <c r="K312" i="10"/>
  <c r="N242" i="10"/>
  <c r="I104" i="10"/>
  <c r="M102" i="10"/>
  <c r="O174" i="10"/>
  <c r="I172" i="10"/>
  <c r="J104" i="10"/>
  <c r="L102" i="10"/>
  <c r="H172" i="10"/>
  <c r="G172" i="10"/>
  <c r="G174" i="10"/>
  <c r="K104" i="10"/>
  <c r="L104" i="10"/>
  <c r="G104" i="10"/>
  <c r="N104" i="10"/>
  <c r="K174" i="10"/>
  <c r="H174" i="10"/>
  <c r="N174" i="10"/>
  <c r="I34" i="10"/>
  <c r="M172" i="10"/>
  <c r="J174" i="10"/>
  <c r="F119" i="10"/>
  <c r="G119" i="10"/>
  <c r="G102" i="10"/>
  <c r="G34" i="10"/>
  <c r="G31" i="10"/>
  <c r="H119" i="10"/>
  <c r="K102" i="10"/>
  <c r="I49" i="10"/>
  <c r="M119" i="10"/>
  <c r="M34" i="10"/>
  <c r="P174" i="10"/>
  <c r="J102" i="10"/>
  <c r="J31" i="10"/>
  <c r="O49" i="10"/>
  <c r="F171" i="10"/>
  <c r="E171" i="10" s="1"/>
  <c r="Q171" i="10" s="1"/>
  <c r="F104" i="10"/>
  <c r="F189" i="10"/>
  <c r="F49" i="10"/>
  <c r="F31" i="10"/>
  <c r="H104" i="10"/>
  <c r="H189" i="10"/>
  <c r="N172" i="10"/>
  <c r="L172" i="10"/>
  <c r="L49" i="10"/>
  <c r="M104" i="10"/>
  <c r="P102" i="10"/>
  <c r="J172" i="10"/>
  <c r="J49" i="10"/>
  <c r="O102" i="10"/>
  <c r="G189" i="10"/>
  <c r="H49" i="10"/>
  <c r="I174" i="10"/>
  <c r="N119" i="10"/>
  <c r="N49" i="10"/>
  <c r="L189" i="10"/>
  <c r="L119" i="10"/>
  <c r="M174" i="10"/>
  <c r="P172" i="10"/>
  <c r="P34" i="10"/>
  <c r="P31" i="10"/>
  <c r="F174" i="10"/>
  <c r="F34" i="10"/>
  <c r="K189" i="10"/>
  <c r="K172" i="10"/>
  <c r="K49" i="10"/>
  <c r="I102" i="10"/>
  <c r="N189" i="10"/>
  <c r="N31" i="10"/>
  <c r="L34" i="10"/>
  <c r="P119" i="10"/>
  <c r="J189" i="10"/>
  <c r="J34" i="10"/>
  <c r="H31" i="10"/>
  <c r="O34" i="10"/>
  <c r="O119" i="10"/>
  <c r="O31" i="10"/>
  <c r="K119" i="10"/>
  <c r="I119" i="10"/>
  <c r="N34" i="10"/>
  <c r="L31" i="10"/>
  <c r="M31" i="10"/>
  <c r="P104" i="10"/>
  <c r="P189" i="10"/>
  <c r="O172" i="10"/>
  <c r="O104" i="10"/>
  <c r="O189" i="10"/>
  <c r="H34" i="10"/>
  <c r="K31" i="10"/>
  <c r="K34" i="10"/>
  <c r="J119" i="10"/>
  <c r="F101" i="10"/>
  <c r="E101" i="10" s="1"/>
  <c r="Q101" i="10" s="1"/>
  <c r="G49" i="10"/>
  <c r="H102" i="10"/>
  <c r="I189" i="10"/>
  <c r="I31" i="10"/>
  <c r="N102" i="10"/>
  <c r="L174" i="10"/>
  <c r="M189" i="10"/>
  <c r="M49" i="10"/>
  <c r="P49" i="10"/>
  <c r="E244" i="10" l="1"/>
  <c r="Q244" i="10" s="1"/>
  <c r="E49" i="10"/>
  <c r="Q49" i="10" s="1"/>
  <c r="E314" i="10"/>
  <c r="Q314" i="10" s="1"/>
  <c r="E259" i="10"/>
  <c r="Q259" i="10" s="1"/>
  <c r="E119" i="10"/>
  <c r="Q119" i="10" s="1"/>
  <c r="E174" i="10"/>
  <c r="Q174" i="10" s="1"/>
  <c r="E34" i="10"/>
  <c r="Q34" i="10" s="1"/>
  <c r="E31" i="10"/>
  <c r="Q31" i="10" s="1"/>
  <c r="E189" i="10"/>
  <c r="Q189" i="10" s="1"/>
  <c r="E104" i="10"/>
  <c r="Q104" i="10" s="1"/>
  <c r="E329" i="10"/>
  <c r="Q329" i="10" s="1"/>
  <c r="I98" i="10"/>
  <c r="I110" i="10" s="1"/>
  <c r="P238" i="10"/>
  <c r="P250" i="10" s="1"/>
  <c r="G238" i="10"/>
  <c r="G250" i="10" s="1"/>
  <c r="J238" i="10"/>
  <c r="J250" i="10" s="1"/>
  <c r="G168" i="10"/>
  <c r="G180" i="10" s="1"/>
  <c r="P168" i="10"/>
  <c r="P180" i="10" s="1"/>
  <c r="J98" i="10"/>
  <c r="J110" i="10" s="1"/>
  <c r="G308" i="10"/>
  <c r="G320" i="10" s="1"/>
  <c r="P98" i="10"/>
  <c r="P110" i="10" s="1"/>
  <c r="J308" i="10"/>
  <c r="J320" i="10" s="1"/>
  <c r="L238" i="10"/>
  <c r="L250" i="10" s="1"/>
  <c r="L308" i="10"/>
  <c r="L320" i="10" s="1"/>
  <c r="O308" i="10"/>
  <c r="O320" i="10" s="1"/>
  <c r="L168" i="10"/>
  <c r="L180" i="10" s="1"/>
  <c r="M98" i="10"/>
  <c r="M110" i="10" s="1"/>
  <c r="H238" i="10"/>
  <c r="H250" i="10" s="1"/>
  <c r="P308" i="10"/>
  <c r="P320" i="10" s="1"/>
  <c r="N308" i="10"/>
  <c r="N320" i="10" s="1"/>
  <c r="P315" i="10"/>
  <c r="H308" i="10"/>
  <c r="H320" i="10" s="1"/>
  <c r="J175" i="10"/>
  <c r="H175" i="10"/>
  <c r="I168" i="10"/>
  <c r="I180" i="10" s="1"/>
  <c r="H105" i="10"/>
  <c r="L98" i="10"/>
  <c r="L110" i="10" s="1"/>
  <c r="K315" i="10"/>
  <c r="K105" i="10"/>
  <c r="O238" i="10"/>
  <c r="O250" i="10" s="1"/>
  <c r="G175" i="10"/>
  <c r="M315" i="10"/>
  <c r="G245" i="10"/>
  <c r="H98" i="10"/>
  <c r="H110" i="10" s="1"/>
  <c r="L245" i="10"/>
  <c r="N175" i="10"/>
  <c r="J245" i="10"/>
  <c r="H245" i="10"/>
  <c r="P245" i="10"/>
  <c r="M238" i="10"/>
  <c r="M250" i="10" s="1"/>
  <c r="N245" i="10"/>
  <c r="O315" i="10"/>
  <c r="K175" i="10"/>
  <c r="M105" i="10"/>
  <c r="K238" i="10"/>
  <c r="K250" i="10" s="1"/>
  <c r="I315" i="10"/>
  <c r="J315" i="10"/>
  <c r="H315" i="10"/>
  <c r="I245" i="10"/>
  <c r="M308" i="10"/>
  <c r="M320" i="10" s="1"/>
  <c r="L315" i="10"/>
  <c r="K308" i="10"/>
  <c r="K320" i="10" s="1"/>
  <c r="M245" i="10"/>
  <c r="G315" i="10"/>
  <c r="P105" i="10"/>
  <c r="O253" i="10"/>
  <c r="O323" i="10"/>
  <c r="M253" i="10"/>
  <c r="M323" i="10"/>
  <c r="L225" i="10"/>
  <c r="L253" i="10"/>
  <c r="L323" i="10"/>
  <c r="F312" i="10"/>
  <c r="E312" i="10" s="1"/>
  <c r="Q312" i="10" s="1"/>
  <c r="O245" i="10"/>
  <c r="I308" i="10"/>
  <c r="I320" i="10" s="1"/>
  <c r="O105" i="10"/>
  <c r="K253" i="10"/>
  <c r="K323" i="10"/>
  <c r="I323" i="10"/>
  <c r="I253" i="10"/>
  <c r="I295" i="10"/>
  <c r="H253" i="10"/>
  <c r="H323" i="10"/>
  <c r="P253" i="10"/>
  <c r="P225" i="10"/>
  <c r="P323" i="10"/>
  <c r="F245" i="10"/>
  <c r="F242" i="10"/>
  <c r="E242" i="10" s="1"/>
  <c r="Q242" i="10" s="1"/>
  <c r="J253" i="10"/>
  <c r="J225" i="10"/>
  <c r="J323" i="10"/>
  <c r="J295" i="10"/>
  <c r="I238" i="10"/>
  <c r="I250" i="10" s="1"/>
  <c r="N253" i="10"/>
  <c r="N323" i="10"/>
  <c r="F315" i="10"/>
  <c r="G253" i="10"/>
  <c r="G323" i="10"/>
  <c r="N315" i="10"/>
  <c r="K245" i="10"/>
  <c r="L105" i="10"/>
  <c r="M175" i="10"/>
  <c r="L175" i="10"/>
  <c r="O168" i="10"/>
  <c r="O180" i="10" s="1"/>
  <c r="N168" i="10"/>
  <c r="N180" i="10" s="1"/>
  <c r="N105" i="10"/>
  <c r="K168" i="10"/>
  <c r="K180" i="10" s="1"/>
  <c r="K35" i="10"/>
  <c r="I32" i="10"/>
  <c r="L32" i="10"/>
  <c r="G35" i="10"/>
  <c r="O85" i="10"/>
  <c r="O113" i="10"/>
  <c r="O155" i="10"/>
  <c r="O183" i="10"/>
  <c r="N35" i="10"/>
  <c r="F32" i="10"/>
  <c r="P35" i="10"/>
  <c r="M85" i="10"/>
  <c r="M113" i="10"/>
  <c r="M183" i="10"/>
  <c r="G98" i="10"/>
  <c r="G110" i="10" s="1"/>
  <c r="N32" i="10"/>
  <c r="I175" i="10"/>
  <c r="L113" i="10"/>
  <c r="L155" i="10"/>
  <c r="L183" i="10"/>
  <c r="H32" i="10"/>
  <c r="L35" i="10"/>
  <c r="I35" i="10"/>
  <c r="F105" i="10"/>
  <c r="K98" i="10"/>
  <c r="K110" i="10" s="1"/>
  <c r="K85" i="10"/>
  <c r="K113" i="10"/>
  <c r="K155" i="10"/>
  <c r="K183" i="10"/>
  <c r="I113" i="10"/>
  <c r="I183" i="10"/>
  <c r="O175" i="10"/>
  <c r="N98" i="10"/>
  <c r="N110" i="10" s="1"/>
  <c r="H35" i="10"/>
  <c r="J35" i="10"/>
  <c r="F172" i="10"/>
  <c r="E172" i="10" s="1"/>
  <c r="Q172" i="10" s="1"/>
  <c r="G105" i="10"/>
  <c r="H85" i="10"/>
  <c r="H113" i="10"/>
  <c r="H183" i="10"/>
  <c r="P85" i="10"/>
  <c r="P113" i="10"/>
  <c r="P183" i="10"/>
  <c r="P175" i="10"/>
  <c r="I105" i="10"/>
  <c r="G32" i="10"/>
  <c r="F35" i="10"/>
  <c r="F102" i="10"/>
  <c r="E102" i="10" s="1"/>
  <c r="Q102" i="10" s="1"/>
  <c r="J113" i="10"/>
  <c r="J183" i="10"/>
  <c r="F175" i="10"/>
  <c r="M168" i="10"/>
  <c r="M180" i="10" s="1"/>
  <c r="K32" i="10"/>
  <c r="M35" i="10"/>
  <c r="N85" i="10"/>
  <c r="N113" i="10"/>
  <c r="N183" i="10"/>
  <c r="J32" i="10"/>
  <c r="H168" i="10"/>
  <c r="H180" i="10" s="1"/>
  <c r="O35" i="10"/>
  <c r="M32" i="10"/>
  <c r="O32" i="10"/>
  <c r="J105" i="10"/>
  <c r="P32" i="10"/>
  <c r="G85" i="10"/>
  <c r="G113" i="10"/>
  <c r="G183" i="10"/>
  <c r="E315" i="10" l="1"/>
  <c r="Q315" i="10" s="1"/>
  <c r="E175" i="10"/>
  <c r="Q175" i="10" s="1"/>
  <c r="E105" i="10"/>
  <c r="Q105" i="10" s="1"/>
  <c r="E35" i="10"/>
  <c r="Q35" i="10" s="1"/>
  <c r="E245" i="10"/>
  <c r="Q245" i="10" s="1"/>
  <c r="E32" i="10"/>
  <c r="Q32" i="10" s="1"/>
  <c r="J168" i="10"/>
  <c r="J180" i="10" s="1"/>
  <c r="I225" i="10"/>
  <c r="J85" i="10"/>
  <c r="G295" i="10"/>
  <c r="M155" i="10"/>
  <c r="K225" i="10"/>
  <c r="P295" i="10"/>
  <c r="I155" i="10"/>
  <c r="K295" i="10"/>
  <c r="J155" i="10"/>
  <c r="H225" i="10"/>
  <c r="N155" i="10"/>
  <c r="O98" i="10"/>
  <c r="O110" i="10" s="1"/>
  <c r="G155" i="10"/>
  <c r="P155" i="10"/>
  <c r="H155" i="10"/>
  <c r="M295" i="10"/>
  <c r="N238" i="10"/>
  <c r="N250" i="10" s="1"/>
  <c r="I85" i="10"/>
  <c r="H295" i="10"/>
  <c r="L295" i="10"/>
  <c r="N225" i="10"/>
  <c r="M225" i="10"/>
  <c r="G225" i="10"/>
  <c r="O295" i="10"/>
  <c r="O225" i="10"/>
  <c r="N295" i="10"/>
  <c r="L85" i="10" l="1"/>
  <c r="M239" i="10"/>
  <c r="N309" i="10"/>
  <c r="L169" i="10"/>
  <c r="P309" i="10"/>
  <c r="J309" i="10"/>
  <c r="L309" i="10"/>
  <c r="J239" i="10"/>
  <c r="K309" i="10"/>
  <c r="O309" i="10"/>
  <c r="G239" i="10"/>
  <c r="K239" i="10"/>
  <c r="P99" i="10"/>
  <c r="H99" i="10"/>
  <c r="L239" i="10"/>
  <c r="P239" i="10"/>
  <c r="N239" i="10"/>
  <c r="O239" i="10"/>
  <c r="O99" i="10"/>
  <c r="I239" i="10"/>
  <c r="K99" i="10"/>
  <c r="H309" i="10"/>
  <c r="F225" i="10"/>
  <c r="E225" i="10" s="1"/>
  <c r="Q225" i="10" s="1"/>
  <c r="F295" i="10"/>
  <c r="E295" i="10" s="1"/>
  <c r="Q295" i="10" s="1"/>
  <c r="F253" i="10"/>
  <c r="F323" i="10"/>
  <c r="G309" i="10"/>
  <c r="F239" i="10"/>
  <c r="F308" i="10"/>
  <c r="I309" i="10"/>
  <c r="F238" i="10"/>
  <c r="H239" i="10"/>
  <c r="F309" i="10"/>
  <c r="F113" i="10"/>
  <c r="F155" i="10"/>
  <c r="E155" i="10" s="1"/>
  <c r="Q155" i="10" s="1"/>
  <c r="F29" i="10"/>
  <c r="K28" i="10"/>
  <c r="K40" i="10" s="1"/>
  <c r="M28" i="10"/>
  <c r="M40" i="10" s="1"/>
  <c r="L28" i="10"/>
  <c r="L40" i="10" s="1"/>
  <c r="P28" i="10"/>
  <c r="P40" i="10" s="1"/>
  <c r="F183" i="10"/>
  <c r="G99" i="10"/>
  <c r="L99" i="10"/>
  <c r="F28" i="10"/>
  <c r="F15" i="10"/>
  <c r="G28" i="10"/>
  <c r="G40" i="10" s="1"/>
  <c r="J28" i="10"/>
  <c r="J40" i="10" s="1"/>
  <c r="F43" i="10"/>
  <c r="P169" i="10"/>
  <c r="F98" i="10"/>
  <c r="F169" i="10"/>
  <c r="N169" i="10"/>
  <c r="F168" i="10"/>
  <c r="N99" i="10"/>
  <c r="M99" i="10"/>
  <c r="O169" i="10"/>
  <c r="I169" i="10"/>
  <c r="O28" i="10"/>
  <c r="O40" i="10" s="1"/>
  <c r="J169" i="10"/>
  <c r="F99" i="10"/>
  <c r="F85" i="10"/>
  <c r="E85" i="10" s="1"/>
  <c r="Q85" i="10" s="1"/>
  <c r="M169" i="10"/>
  <c r="K169" i="10"/>
  <c r="H169" i="10"/>
  <c r="I99" i="10"/>
  <c r="J99" i="10"/>
  <c r="H28" i="10"/>
  <c r="H40" i="10" s="1"/>
  <c r="N28" i="10"/>
  <c r="N40" i="10" s="1"/>
  <c r="I28" i="10"/>
  <c r="I40" i="10" s="1"/>
  <c r="E239" i="10" l="1"/>
  <c r="Q239" i="10" s="1"/>
  <c r="E253" i="10"/>
  <c r="E99" i="10"/>
  <c r="Q99" i="10" s="1"/>
  <c r="F250" i="10"/>
  <c r="E238" i="10"/>
  <c r="E28" i="10"/>
  <c r="F40" i="10"/>
  <c r="E113" i="10"/>
  <c r="F180" i="10"/>
  <c r="E168" i="10"/>
  <c r="F110" i="10"/>
  <c r="E98" i="10"/>
  <c r="E323" i="10"/>
  <c r="E183" i="10"/>
  <c r="F320" i="10"/>
  <c r="E308" i="10"/>
  <c r="G169" i="10"/>
  <c r="E169" i="10" s="1"/>
  <c r="Q169" i="10" s="1"/>
  <c r="M309" i="10"/>
  <c r="E309" i="10" s="1"/>
  <c r="Q309" i="10" s="1"/>
  <c r="G254" i="10"/>
  <c r="G324" i="10"/>
  <c r="G114" i="10"/>
  <c r="H15" i="10"/>
  <c r="J43" i="10"/>
  <c r="O29" i="10"/>
  <c r="M29" i="10"/>
  <c r="J29" i="10"/>
  <c r="I29" i="10"/>
  <c r="N43" i="10"/>
  <c r="K43" i="10"/>
  <c r="O15" i="10"/>
  <c r="M15" i="10"/>
  <c r="G29" i="10"/>
  <c r="E29" i="10" s="1"/>
  <c r="Q29" i="10" s="1"/>
  <c r="P29" i="10"/>
  <c r="N15" i="10"/>
  <c r="G15" i="10"/>
  <c r="O43" i="10"/>
  <c r="L29" i="10"/>
  <c r="G43" i="10"/>
  <c r="J15" i="10"/>
  <c r="I43" i="10"/>
  <c r="M43" i="10"/>
  <c r="L43" i="10"/>
  <c r="I15" i="10"/>
  <c r="N29" i="10"/>
  <c r="H29" i="10"/>
  <c r="H43" i="10"/>
  <c r="P15" i="10"/>
  <c r="K29" i="10"/>
  <c r="K15" i="10"/>
  <c r="P43" i="10"/>
  <c r="L15" i="10"/>
  <c r="G184" i="10"/>
  <c r="E15" i="10" l="1"/>
  <c r="Q15" i="10" s="1"/>
  <c r="E250" i="10"/>
  <c r="Q238" i="10"/>
  <c r="E43" i="10"/>
  <c r="Q113" i="10"/>
  <c r="Q183" i="10"/>
  <c r="E110" i="10"/>
  <c r="Q98" i="10"/>
  <c r="Q168" i="10"/>
  <c r="E180" i="10"/>
  <c r="E40" i="10"/>
  <c r="Q28" i="10"/>
  <c r="Q253" i="10"/>
  <c r="Q308" i="10"/>
  <c r="E320" i="10"/>
  <c r="Q323" i="10"/>
  <c r="O114" i="10"/>
  <c r="O184" i="10"/>
  <c r="J114" i="10"/>
  <c r="J184" i="10"/>
  <c r="L184" i="10"/>
  <c r="K114" i="10"/>
  <c r="J324" i="10"/>
  <c r="K324" i="10"/>
  <c r="K184" i="10"/>
  <c r="K254" i="10"/>
  <c r="L114" i="10"/>
  <c r="M184" i="10"/>
  <c r="J254" i="10"/>
  <c r="M324" i="10"/>
  <c r="M254" i="10"/>
  <c r="H184" i="10"/>
  <c r="M114" i="10"/>
  <c r="H114" i="10"/>
  <c r="H324" i="10"/>
  <c r="O324" i="10"/>
  <c r="L254" i="10"/>
  <c r="I254" i="10"/>
  <c r="H254" i="10"/>
  <c r="N254" i="10"/>
  <c r="O254" i="10"/>
  <c r="N324" i="10"/>
  <c r="L324" i="10"/>
  <c r="P254" i="10"/>
  <c r="P324" i="10"/>
  <c r="I324" i="10"/>
  <c r="I114" i="10"/>
  <c r="P184" i="10"/>
  <c r="N184" i="10"/>
  <c r="I184" i="10"/>
  <c r="N114" i="10"/>
  <c r="P114" i="10"/>
  <c r="Q110" i="10" l="1"/>
  <c r="Q43" i="10"/>
  <c r="Q320" i="10"/>
  <c r="Q40" i="10"/>
  <c r="Q180" i="10"/>
  <c r="Q250" i="10"/>
  <c r="E14" i="9"/>
  <c r="G14" i="9" s="1"/>
  <c r="E40" i="9"/>
  <c r="G40" i="9" s="1"/>
  <c r="O44" i="10"/>
  <c r="E37" i="9"/>
  <c r="G37" i="9" s="1"/>
  <c r="E54" i="9"/>
  <c r="G54" i="9" s="1"/>
  <c r="K44" i="10"/>
  <c r="L44" i="10"/>
  <c r="M44" i="10"/>
  <c r="E34" i="9"/>
  <c r="G34" i="9" s="1"/>
  <c r="G44" i="10"/>
  <c r="J44" i="10"/>
  <c r="H44" i="10"/>
  <c r="F254" i="10" l="1"/>
  <c r="F324" i="10"/>
  <c r="F184" i="10"/>
  <c r="E70" i="9"/>
  <c r="G70" i="9" s="1"/>
  <c r="F114" i="10"/>
  <c r="E35" i="9"/>
  <c r="G35" i="9" s="1"/>
  <c r="P44" i="10"/>
  <c r="I44" i="10"/>
  <c r="N44" i="10"/>
  <c r="E38" i="9"/>
  <c r="G38" i="9" s="1"/>
  <c r="F44" i="10"/>
  <c r="E324" i="10" l="1"/>
  <c r="E254" i="10"/>
  <c r="E44" i="10"/>
  <c r="E184" i="10"/>
  <c r="E114" i="10"/>
  <c r="G296" i="10"/>
  <c r="G226" i="10"/>
  <c r="E19" i="9"/>
  <c r="G19" i="9" s="1"/>
  <c r="G156" i="10"/>
  <c r="G86" i="10"/>
  <c r="Q114" i="10" l="1"/>
  <c r="Q184" i="10"/>
  <c r="Q254" i="10"/>
  <c r="Q324" i="10"/>
  <c r="Q44" i="10"/>
  <c r="I156" i="10"/>
  <c r="J154" i="10"/>
  <c r="J84" i="10"/>
  <c r="P86" i="10"/>
  <c r="P156" i="10"/>
  <c r="O86" i="10"/>
  <c r="O156" i="10"/>
  <c r="I86" i="10"/>
  <c r="E48" i="9"/>
  <c r="M156" i="10"/>
  <c r="M86" i="10"/>
  <c r="H326" i="10"/>
  <c r="H256" i="10"/>
  <c r="J226" i="10"/>
  <c r="J296" i="10"/>
  <c r="P226" i="10"/>
  <c r="P296" i="10"/>
  <c r="J256" i="10"/>
  <c r="J326" i="10"/>
  <c r="L226" i="10"/>
  <c r="L296" i="10"/>
  <c r="I226" i="10"/>
  <c r="I296" i="10"/>
  <c r="N256" i="10"/>
  <c r="N326" i="10"/>
  <c r="M256" i="10"/>
  <c r="M326" i="10"/>
  <c r="L326" i="10"/>
  <c r="L256" i="10"/>
  <c r="P326" i="10"/>
  <c r="P256" i="10"/>
  <c r="K256" i="10"/>
  <c r="K326" i="10"/>
  <c r="M296" i="10"/>
  <c r="M226" i="10"/>
  <c r="O256" i="10"/>
  <c r="O326" i="10"/>
  <c r="K226" i="10"/>
  <c r="K296" i="10"/>
  <c r="N296" i="10"/>
  <c r="N226" i="10"/>
  <c r="G326" i="10"/>
  <c r="G256" i="10"/>
  <c r="I256" i="10"/>
  <c r="I326" i="10"/>
  <c r="H296" i="10"/>
  <c r="H226" i="10"/>
  <c r="O226" i="10"/>
  <c r="O296" i="10"/>
  <c r="N156" i="10"/>
  <c r="N86" i="10"/>
  <c r="F186" i="10"/>
  <c r="F116" i="10"/>
  <c r="F46" i="10"/>
  <c r="L116" i="10"/>
  <c r="L186" i="10"/>
  <c r="K116" i="10"/>
  <c r="K186" i="10"/>
  <c r="I116" i="10"/>
  <c r="I186" i="10"/>
  <c r="O116" i="10"/>
  <c r="O186" i="10"/>
  <c r="E33" i="9"/>
  <c r="K86" i="10"/>
  <c r="K156" i="10"/>
  <c r="L86" i="10"/>
  <c r="L156" i="10"/>
  <c r="H156" i="10"/>
  <c r="H86" i="10"/>
  <c r="H116" i="10"/>
  <c r="H186" i="10"/>
  <c r="J156" i="10"/>
  <c r="J86" i="10"/>
  <c r="N116" i="10"/>
  <c r="N186" i="10"/>
  <c r="G116" i="10"/>
  <c r="G186" i="10"/>
  <c r="J116" i="10"/>
  <c r="J186" i="10"/>
  <c r="P116" i="10"/>
  <c r="P186" i="10"/>
  <c r="M116" i="10"/>
  <c r="M186" i="10"/>
  <c r="E186" i="10" l="1"/>
  <c r="Q186" i="10" s="1"/>
  <c r="G48" i="9"/>
  <c r="G33" i="9"/>
  <c r="E44" i="9"/>
  <c r="E116" i="10"/>
  <c r="Q116" i="10" s="1"/>
  <c r="P16" i="10"/>
  <c r="P294" i="10"/>
  <c r="J224" i="10"/>
  <c r="F256" i="10"/>
  <c r="E256" i="10" s="1"/>
  <c r="Q256" i="10" s="1"/>
  <c r="M294" i="10"/>
  <c r="G294" i="10"/>
  <c r="F294" i="10"/>
  <c r="M224" i="10"/>
  <c r="G224" i="10"/>
  <c r="N224" i="10"/>
  <c r="L224" i="10"/>
  <c r="N294" i="10"/>
  <c r="L294" i="10"/>
  <c r="I294" i="10"/>
  <c r="H294" i="10"/>
  <c r="O224" i="10"/>
  <c r="I224" i="10"/>
  <c r="H224" i="10"/>
  <c r="O294" i="10"/>
  <c r="K294" i="10"/>
  <c r="F224" i="10"/>
  <c r="P224" i="10"/>
  <c r="J294" i="10"/>
  <c r="F326" i="10"/>
  <c r="E326" i="10" s="1"/>
  <c r="Q326" i="10" s="1"/>
  <c r="K224" i="10"/>
  <c r="M46" i="10"/>
  <c r="F14" i="10"/>
  <c r="N154" i="10"/>
  <c r="P46" i="10"/>
  <c r="H154" i="10"/>
  <c r="P154" i="10"/>
  <c r="O46" i="10"/>
  <c r="M154" i="10"/>
  <c r="G154" i="10"/>
  <c r="P84" i="10"/>
  <c r="N16" i="10"/>
  <c r="I46" i="10"/>
  <c r="M84" i="10"/>
  <c r="H84" i="10"/>
  <c r="L154" i="10"/>
  <c r="G16" i="10"/>
  <c r="F84" i="10"/>
  <c r="O154" i="10"/>
  <c r="L46" i="10"/>
  <c r="I154" i="10"/>
  <c r="F154" i="10"/>
  <c r="G46" i="10"/>
  <c r="G84" i="10"/>
  <c r="L84" i="10"/>
  <c r="I84" i="10"/>
  <c r="J46" i="10"/>
  <c r="K154" i="10"/>
  <c r="O84" i="10"/>
  <c r="M16" i="10"/>
  <c r="O16" i="10"/>
  <c r="I16" i="10"/>
  <c r="K84" i="10"/>
  <c r="N84" i="10"/>
  <c r="N46" i="10"/>
  <c r="H46" i="10"/>
  <c r="K46" i="10"/>
  <c r="E46" i="10" l="1"/>
  <c r="Q46" i="10" s="1"/>
  <c r="E84" i="10"/>
  <c r="E154" i="10"/>
  <c r="E224" i="10"/>
  <c r="E294" i="10"/>
  <c r="F296" i="10"/>
  <c r="E296" i="10" s="1"/>
  <c r="Q296" i="10" s="1"/>
  <c r="F226" i="10"/>
  <c r="E226" i="10" s="1"/>
  <c r="Q226" i="10" s="1"/>
  <c r="F86" i="10"/>
  <c r="E86" i="10" s="1"/>
  <c r="Q86" i="10" s="1"/>
  <c r="J14" i="10"/>
  <c r="K16" i="10"/>
  <c r="F156" i="10"/>
  <c r="E156" i="10" s="1"/>
  <c r="Q156" i="10" s="1"/>
  <c r="H16" i="10"/>
  <c r="L16" i="10"/>
  <c r="J16" i="10"/>
  <c r="F16" i="10"/>
  <c r="E16" i="10" l="1"/>
  <c r="Q16" i="10" s="1"/>
  <c r="Q224" i="10"/>
  <c r="Q154" i="10"/>
  <c r="Q84" i="10"/>
  <c r="Q294" i="10"/>
  <c r="O14" i="10"/>
  <c r="I14" i="10"/>
  <c r="K14" i="10"/>
  <c r="H14" i="10"/>
  <c r="E71" i="9"/>
  <c r="G71" i="9" s="1"/>
  <c r="L14" i="10"/>
  <c r="P14" i="10"/>
  <c r="N14" i="10"/>
  <c r="M14" i="10"/>
  <c r="G14" i="10"/>
  <c r="E14" i="10" l="1"/>
  <c r="E20" i="9"/>
  <c r="G20" i="9" s="1"/>
  <c r="E49" i="9"/>
  <c r="G49" i="9" l="1"/>
  <c r="Q14" i="10"/>
  <c r="E18" i="9"/>
  <c r="G18" i="9" l="1"/>
  <c r="E68" i="9"/>
  <c r="G68" i="9" s="1"/>
  <c r="E51" i="9" l="1"/>
  <c r="G51" i="9" s="1"/>
  <c r="F88" i="10" l="1"/>
  <c r="G88" i="10"/>
  <c r="H88" i="10"/>
  <c r="I88" i="10"/>
  <c r="J88" i="10"/>
  <c r="K88" i="10"/>
  <c r="L88" i="10"/>
  <c r="M88" i="10"/>
  <c r="N88" i="10"/>
  <c r="O88" i="10"/>
  <c r="P88" i="10"/>
  <c r="G158" i="10"/>
  <c r="H158" i="10"/>
  <c r="I158" i="10"/>
  <c r="J158" i="10"/>
  <c r="K158" i="10"/>
  <c r="L158" i="10"/>
  <c r="M158" i="10"/>
  <c r="N158" i="10"/>
  <c r="O158" i="10"/>
  <c r="P158" i="10"/>
  <c r="E88" i="10" l="1"/>
  <c r="Q88" i="10" s="1"/>
  <c r="F158" i="10"/>
  <c r="E158" i="10" s="1"/>
  <c r="Q158" i="10" s="1"/>
  <c r="F106" i="10" l="1"/>
  <c r="G106" i="10"/>
  <c r="H106" i="10"/>
  <c r="I106" i="10"/>
  <c r="J106" i="10"/>
  <c r="K106" i="10"/>
  <c r="L106" i="10"/>
  <c r="M106" i="10"/>
  <c r="N106" i="10"/>
  <c r="O106" i="10"/>
  <c r="P106" i="10"/>
  <c r="F176" i="10"/>
  <c r="G176" i="10"/>
  <c r="H176" i="10"/>
  <c r="I176" i="10"/>
  <c r="J176" i="10"/>
  <c r="K176" i="10"/>
  <c r="L176" i="10"/>
  <c r="M176" i="10"/>
  <c r="N176" i="10"/>
  <c r="O176" i="10"/>
  <c r="P176" i="10"/>
  <c r="E176" i="10" l="1"/>
  <c r="Q176" i="10" s="1"/>
  <c r="E106" i="10"/>
  <c r="Q106" i="10" s="1"/>
  <c r="J269" i="10" l="1"/>
  <c r="J276" i="10" s="1"/>
  <c r="P297" i="10"/>
  <c r="E129" i="10"/>
  <c r="E136" i="10" s="1"/>
  <c r="H45" i="10"/>
  <c r="H51" i="10" s="1"/>
  <c r="H53" i="10" s="1"/>
  <c r="G87" i="10"/>
  <c r="L269" i="10"/>
  <c r="L276" i="10" s="1"/>
  <c r="K331" i="10"/>
  <c r="K333" i="10" s="1"/>
  <c r="K325" i="10"/>
  <c r="O269" i="10"/>
  <c r="O276" i="10" s="1"/>
  <c r="E61" i="9"/>
  <c r="N17" i="10"/>
  <c r="F228" i="10"/>
  <c r="AA114" i="9"/>
  <c r="K1844" i="9"/>
  <c r="K1843" i="9"/>
  <c r="G160" i="10"/>
  <c r="E80" i="9"/>
  <c r="G80" i="9" s="1"/>
  <c r="I193" i="10"/>
  <c r="I191" i="10"/>
  <c r="I185" i="10"/>
  <c r="O115" i="10"/>
  <c r="O121" i="10" s="1"/>
  <c r="O123" i="10" s="1"/>
  <c r="P136" i="10"/>
  <c r="P129" i="10"/>
  <c r="P185" i="10"/>
  <c r="P191" i="10" s="1"/>
  <c r="P193" i="10" s="1"/>
  <c r="N199" i="10"/>
  <c r="N206" i="10" s="1"/>
  <c r="AA99" i="9"/>
  <c r="K87" i="10"/>
  <c r="K316" i="10"/>
  <c r="F18" i="10"/>
  <c r="I87" i="10"/>
  <c r="J157" i="10"/>
  <c r="M17" i="10"/>
  <c r="E22" i="9"/>
  <c r="O160" i="10"/>
  <c r="O161" i="10"/>
  <c r="P298" i="10"/>
  <c r="E41" i="9"/>
  <c r="E24" i="9"/>
  <c r="G24" i="9" s="1"/>
  <c r="M199" i="10"/>
  <c r="M206" i="10" s="1"/>
  <c r="I129" i="10"/>
  <c r="I136" i="10" s="1"/>
  <c r="H325" i="10"/>
  <c r="H331" i="10" s="1"/>
  <c r="H333" i="10" s="1"/>
  <c r="Z114" i="9"/>
  <c r="I206" i="10"/>
  <c r="I199" i="10"/>
  <c r="J87" i="10"/>
  <c r="G45" i="10"/>
  <c r="G51" i="10" s="1"/>
  <c r="G53" i="10" s="1"/>
  <c r="J66" i="10"/>
  <c r="J59" i="10"/>
  <c r="P157" i="10"/>
  <c r="H129" i="10"/>
  <c r="H136" i="10" s="1"/>
  <c r="O87" i="10"/>
  <c r="K276" i="10"/>
  <c r="K269" i="10"/>
  <c r="N269" i="10"/>
  <c r="N276" i="10" s="1"/>
  <c r="H339" i="10"/>
  <c r="H346" i="10" s="1"/>
  <c r="G59" i="10"/>
  <c r="G66" i="10" s="1"/>
  <c r="M115" i="10"/>
  <c r="M121" i="10" s="1"/>
  <c r="M123" i="10" s="1"/>
  <c r="Z99" i="9"/>
  <c r="J339" i="10"/>
  <c r="J346" i="10" s="1"/>
  <c r="H199" i="10"/>
  <c r="H206" i="10" s="1"/>
  <c r="N261" i="10"/>
  <c r="N263" i="10" s="1"/>
  <c r="N255" i="10"/>
  <c r="P246" i="10"/>
  <c r="K59" i="10"/>
  <c r="K66" i="10" s="1"/>
  <c r="L157" i="10"/>
  <c r="J185" i="10"/>
  <c r="J191" i="10" s="1"/>
  <c r="J193" i="10" s="1"/>
  <c r="N45" i="10"/>
  <c r="N51" i="10" s="1"/>
  <c r="N53" i="10" s="1"/>
  <c r="O206" i="10"/>
  <c r="O199" i="10"/>
  <c r="G129" i="10"/>
  <c r="G136" i="10" s="1"/>
  <c r="N157" i="10"/>
  <c r="I227" i="10"/>
  <c r="K297" i="10"/>
  <c r="K115" i="10"/>
  <c r="K121" i="10" s="1"/>
  <c r="K123" i="10" s="1"/>
  <c r="I339" i="10"/>
  <c r="I346" i="10" s="1"/>
  <c r="L115" i="10"/>
  <c r="L121" i="10"/>
  <c r="L123" i="10"/>
  <c r="K1121" i="9"/>
  <c r="K1138" i="9" s="1"/>
  <c r="K1140" i="9" s="1"/>
  <c r="K1162" i="9" s="1"/>
  <c r="J297" i="10"/>
  <c r="J1146" i="9"/>
  <c r="H59" i="10"/>
  <c r="H66" i="10" s="1"/>
  <c r="H269" i="10"/>
  <c r="H276" i="10" s="1"/>
  <c r="AB114" i="9"/>
  <c r="F229" i="10"/>
  <c r="E65" i="9"/>
  <c r="N325" i="10"/>
  <c r="N331" i="10" s="1"/>
  <c r="N333" i="10" s="1"/>
  <c r="N297" i="10"/>
  <c r="K339" i="10"/>
  <c r="K346" i="10" s="1"/>
  <c r="H246" i="10"/>
  <c r="G269" i="10"/>
  <c r="G276" i="10" s="1"/>
  <c r="O339" i="10"/>
  <c r="O346" i="10" s="1"/>
  <c r="Y114" i="9"/>
  <c r="E82" i="9"/>
  <c r="H91" i="10"/>
  <c r="E78" i="9"/>
  <c r="G78" i="9" s="1"/>
  <c r="I66" i="10"/>
  <c r="I59" i="10"/>
  <c r="F87" i="10"/>
  <c r="N227" i="10"/>
  <c r="H298" i="10"/>
  <c r="O297" i="10"/>
  <c r="G21" i="10"/>
  <c r="N91" i="10"/>
  <c r="L246" i="10"/>
  <c r="P228" i="10"/>
  <c r="H17" i="10"/>
  <c r="L297" i="10"/>
  <c r="N87" i="10"/>
  <c r="H228" i="10"/>
  <c r="P115" i="10"/>
  <c r="P121" i="10" s="1"/>
  <c r="P123" i="10" s="1"/>
  <c r="G199" i="10"/>
  <c r="G206" i="10" s="1"/>
  <c r="L191" i="10"/>
  <c r="L193" i="10" s="1"/>
  <c r="L185" i="10"/>
  <c r="J325" i="10"/>
  <c r="J331" i="10" s="1"/>
  <c r="J333" i="10" s="1"/>
  <c r="G185" i="10"/>
  <c r="G191" i="10" s="1"/>
  <c r="G193" i="10" s="1"/>
  <c r="E21" i="9"/>
  <c r="L298" i="10"/>
  <c r="I121" i="10"/>
  <c r="I123" i="10" s="1"/>
  <c r="I115" i="10"/>
  <c r="H297" i="10"/>
  <c r="O66" i="10"/>
  <c r="O59" i="10"/>
  <c r="E23" i="9"/>
  <c r="O129" i="10"/>
  <c r="O136" i="10" s="1"/>
  <c r="K1118" i="9"/>
  <c r="O325" i="10"/>
  <c r="O331" i="10" s="1"/>
  <c r="O333" i="10" s="1"/>
  <c r="N231" i="10"/>
  <c r="E276" i="10"/>
  <c r="E269" i="10"/>
  <c r="G228" i="10"/>
  <c r="AC99" i="9"/>
  <c r="P325" i="10"/>
  <c r="P331" i="10" s="1"/>
  <c r="P333" i="10" s="1"/>
  <c r="M66" i="10"/>
  <c r="M59" i="10"/>
  <c r="K299" i="10"/>
  <c r="I17" i="10"/>
  <c r="F199" i="10"/>
  <c r="F206" i="10" s="1"/>
  <c r="F129" i="10"/>
  <c r="F136" i="10" s="1"/>
  <c r="E73" i="9"/>
  <c r="F299" i="10"/>
  <c r="H230" i="10"/>
  <c r="M227" i="10"/>
  <c r="I300" i="10"/>
  <c r="N160" i="10"/>
  <c r="L160" i="10"/>
  <c r="AA1082" i="9"/>
  <c r="AC1082" i="9"/>
  <c r="O246" i="10"/>
  <c r="I297" i="10"/>
  <c r="K45" i="10"/>
  <c r="K51" i="10" s="1"/>
  <c r="K53" i="10" s="1"/>
  <c r="M91" i="10"/>
  <c r="F90" i="10"/>
  <c r="I230" i="10"/>
  <c r="F59" i="10"/>
  <c r="F66" i="10" s="1"/>
  <c r="N136" i="10"/>
  <c r="N129" i="10"/>
  <c r="J17" i="10"/>
  <c r="F269" i="10"/>
  <c r="F276" i="10" s="1"/>
  <c r="Z1082" i="9"/>
  <c r="AB99" i="9"/>
  <c r="F298" i="10"/>
  <c r="I299" i="10"/>
  <c r="E59" i="10"/>
  <c r="E66" i="10" s="1"/>
  <c r="E50" i="9"/>
  <c r="E55" i="9" s="1"/>
  <c r="N339" i="10"/>
  <c r="N346" i="10" s="1"/>
  <c r="N299" i="10"/>
  <c r="N115" i="10"/>
  <c r="N121" i="10" s="1"/>
  <c r="N123" i="10" s="1"/>
  <c r="G339" i="10"/>
  <c r="G346" i="10" s="1"/>
  <c r="G246" i="10"/>
  <c r="F115" i="10"/>
  <c r="F325" i="10"/>
  <c r="F331" i="10" s="1"/>
  <c r="F333" i="10" s="1"/>
  <c r="G255" i="10"/>
  <c r="G261" i="10" s="1"/>
  <c r="G263" i="10" s="1"/>
  <c r="M246" i="10"/>
  <c r="P227" i="10"/>
  <c r="F339" i="10"/>
  <c r="F346" i="10"/>
  <c r="I276" i="10"/>
  <c r="I269" i="10"/>
  <c r="J298" i="10"/>
  <c r="J1844" i="9"/>
  <c r="Y1844" i="9" s="1"/>
  <c r="J229" i="10"/>
  <c r="O230" i="10"/>
  <c r="G115" i="10"/>
  <c r="G121" i="10" s="1"/>
  <c r="G123" i="10" s="1"/>
  <c r="N246" i="10"/>
  <c r="O45" i="10"/>
  <c r="O51" i="10" s="1"/>
  <c r="O53" i="10" s="1"/>
  <c r="P255" i="10"/>
  <c r="P261" i="10" s="1"/>
  <c r="P263" i="10" s="1"/>
  <c r="I316" i="10"/>
  <c r="AC130" i="9"/>
  <c r="G229" i="10"/>
  <c r="J227" i="10"/>
  <c r="H115" i="10"/>
  <c r="H121" i="10" s="1"/>
  <c r="H123" i="10" s="1"/>
  <c r="P17" i="10"/>
  <c r="O157" i="10"/>
  <c r="O164" i="10" s="1"/>
  <c r="G157" i="10"/>
  <c r="E25" i="9"/>
  <c r="G25" i="9" s="1"/>
  <c r="L17" i="10"/>
  <c r="L1118" i="9"/>
  <c r="L1121" i="9" s="1"/>
  <c r="L1138" i="9" s="1"/>
  <c r="L1140" i="9" s="1"/>
  <c r="L1162" i="9" s="1"/>
  <c r="E67" i="9"/>
  <c r="M51" i="10"/>
  <c r="M53" i="10" s="1"/>
  <c r="M45" i="10"/>
  <c r="K17" i="10"/>
  <c r="M297" i="10"/>
  <c r="J45" i="10"/>
  <c r="J51" i="10" s="1"/>
  <c r="J53" i="10" s="1"/>
  <c r="L339" i="10"/>
  <c r="L346" i="10" s="1"/>
  <c r="G61" i="10"/>
  <c r="G57" i="10"/>
  <c r="D57" i="10"/>
  <c r="L87" i="10"/>
  <c r="J255" i="10"/>
  <c r="J261" i="10" s="1"/>
  <c r="J263" i="10" s="1"/>
  <c r="I229" i="10"/>
  <c r="AC114" i="9"/>
  <c r="G297" i="10"/>
  <c r="P51" i="10"/>
  <c r="P53" i="10" s="1"/>
  <c r="P45" i="10"/>
  <c r="K255" i="10"/>
  <c r="K261" i="10" s="1"/>
  <c r="K263" i="10" s="1"/>
  <c r="H261" i="10"/>
  <c r="H263" i="10" s="1"/>
  <c r="H255" i="10"/>
  <c r="K206" i="10"/>
  <c r="K199" i="10"/>
  <c r="P59" i="10"/>
  <c r="P66" i="10" s="1"/>
  <c r="K129" i="10"/>
  <c r="K136" i="10" s="1"/>
  <c r="E339" i="10"/>
  <c r="E346" i="10" s="1"/>
  <c r="F36" i="10"/>
  <c r="I157" i="10"/>
  <c r="O316" i="10"/>
  <c r="J316" i="10"/>
  <c r="F185" i="10"/>
  <c r="F191" i="10" s="1"/>
  <c r="F193" i="10" s="1"/>
  <c r="I1118" i="9"/>
  <c r="M87" i="10"/>
  <c r="M229" i="10"/>
  <c r="O231" i="10"/>
  <c r="K229" i="10"/>
  <c r="M300" i="10"/>
  <c r="L229" i="10"/>
  <c r="M157" i="10"/>
  <c r="Y99" i="9"/>
  <c r="K298" i="10"/>
  <c r="O185" i="10"/>
  <c r="O191" i="10" s="1"/>
  <c r="O193" i="10" s="1"/>
  <c r="F161" i="10"/>
  <c r="L129" i="10"/>
  <c r="L136" i="10" s="1"/>
  <c r="L1014" i="9"/>
  <c r="L1019" i="9" s="1"/>
  <c r="F255" i="10"/>
  <c r="L90" i="10"/>
  <c r="H227" i="10"/>
  <c r="M129" i="10"/>
  <c r="M136" i="10" s="1"/>
  <c r="K231" i="10"/>
  <c r="J230" i="10"/>
  <c r="M263" i="10"/>
  <c r="M261" i="10"/>
  <c r="M255" i="10"/>
  <c r="K91" i="10"/>
  <c r="O229" i="10"/>
  <c r="H160" i="10"/>
  <c r="H185" i="10"/>
  <c r="H191" i="10" s="1"/>
  <c r="H193" i="10" s="1"/>
  <c r="K185" i="10"/>
  <c r="K191" i="10" s="1"/>
  <c r="K193" i="10" s="1"/>
  <c r="P299" i="10"/>
  <c r="J161" i="10"/>
  <c r="O90" i="10"/>
  <c r="J300" i="10"/>
  <c r="M231" i="10"/>
  <c r="H316" i="10"/>
  <c r="L66" i="10"/>
  <c r="L59" i="10"/>
  <c r="Z1092" i="9"/>
  <c r="P87" i="10"/>
  <c r="H300" i="10"/>
  <c r="F160" i="10"/>
  <c r="P229" i="10"/>
  <c r="O299" i="10"/>
  <c r="O91" i="10"/>
  <c r="I90" i="10"/>
  <c r="D64" i="10"/>
  <c r="J228" i="10"/>
  <c r="G17" i="10"/>
  <c r="L227" i="10"/>
  <c r="J115" i="10"/>
  <c r="J121" i="10" s="1"/>
  <c r="J123" i="10" s="1"/>
  <c r="P231" i="10"/>
  <c r="O301" i="10"/>
  <c r="F21" i="10"/>
  <c r="K161" i="10"/>
  <c r="N230" i="10"/>
  <c r="P230" i="10"/>
  <c r="M185" i="10"/>
  <c r="M191" i="10" s="1"/>
  <c r="M193" i="10" s="1"/>
  <c r="F301" i="10"/>
  <c r="G299" i="10"/>
  <c r="Y1095" i="9"/>
  <c r="K1014" i="9"/>
  <c r="K1019" i="9"/>
  <c r="K228" i="10"/>
  <c r="H1844" i="9"/>
  <c r="R1844" i="9" s="1"/>
  <c r="N229" i="10"/>
  <c r="L299" i="10"/>
  <c r="T1144" i="9"/>
  <c r="I1144" i="9"/>
  <c r="W1144" i="9" s="1"/>
  <c r="G90" i="10"/>
  <c r="F91" i="10"/>
  <c r="H299" i="10"/>
  <c r="D274" i="10"/>
  <c r="G230" i="10"/>
  <c r="J90" i="10"/>
  <c r="P300" i="10"/>
  <c r="AB1086" i="9"/>
  <c r="G325" i="10"/>
  <c r="G331" i="10" s="1"/>
  <c r="G333" i="10" s="1"/>
  <c r="I1014" i="9"/>
  <c r="W1014" i="9" s="1"/>
  <c r="W1019" i="9" s="1"/>
  <c r="L91" i="10"/>
  <c r="K300" i="10"/>
  <c r="K246" i="10"/>
  <c r="L231" i="10"/>
  <c r="Z134" i="9"/>
  <c r="E75" i="9"/>
  <c r="F230" i="10"/>
  <c r="F157" i="10"/>
  <c r="F164" i="10"/>
  <c r="J1144" i="9"/>
  <c r="K227" i="10"/>
  <c r="O255" i="10"/>
  <c r="O261" i="10" s="1"/>
  <c r="O263" i="10" s="1"/>
  <c r="Y1119" i="9"/>
  <c r="J81" i="10"/>
  <c r="F20" i="10"/>
  <c r="I45" i="10"/>
  <c r="I51" i="10" s="1"/>
  <c r="I53" i="10" s="1"/>
  <c r="I57" i="10" s="1"/>
  <c r="I61" i="10" s="1"/>
  <c r="D204" i="10"/>
  <c r="G204" i="10" s="1"/>
  <c r="G208" i="10" s="1"/>
  <c r="F231" i="10"/>
  <c r="J206" i="10"/>
  <c r="J199" i="10"/>
  <c r="F17" i="10"/>
  <c r="P206" i="10"/>
  <c r="P199" i="10"/>
  <c r="H87" i="10"/>
  <c r="F246" i="10"/>
  <c r="E246" i="10"/>
  <c r="Q246" i="10" s="1"/>
  <c r="F227" i="10"/>
  <c r="AB1082" i="9"/>
  <c r="M230" i="10"/>
  <c r="L300" i="10"/>
  <c r="K301" i="10"/>
  <c r="H157" i="10"/>
  <c r="K157" i="10"/>
  <c r="L199" i="10"/>
  <c r="L206" i="10" s="1"/>
  <c r="G316" i="10"/>
  <c r="P339" i="10"/>
  <c r="P346" i="10" s="1"/>
  <c r="AB123" i="9"/>
  <c r="AB124" i="9" s="1"/>
  <c r="P91" i="10"/>
  <c r="P269" i="10"/>
  <c r="P276" i="10" s="1"/>
  <c r="M161" i="10"/>
  <c r="L1843" i="9"/>
  <c r="L1844" i="9"/>
  <c r="G161" i="10"/>
  <c r="G164" i="10" s="1"/>
  <c r="L255" i="10"/>
  <c r="L261" i="10" s="1"/>
  <c r="L263" i="10" s="1"/>
  <c r="F19" i="10"/>
  <c r="AB894" i="9"/>
  <c r="AB895" i="9" s="1"/>
  <c r="AB920" i="9" s="1"/>
  <c r="AB945" i="9" s="1"/>
  <c r="E199" i="10"/>
  <c r="N300" i="10"/>
  <c r="I231" i="10"/>
  <c r="I161" i="10"/>
  <c r="I1843" i="9"/>
  <c r="V1843" i="9" s="1"/>
  <c r="H1144" i="9"/>
  <c r="R1144" i="9" s="1"/>
  <c r="J301" i="10"/>
  <c r="O298" i="10"/>
  <c r="M301" i="10"/>
  <c r="Y1082" i="9"/>
  <c r="N90" i="10"/>
  <c r="N94" i="10" s="1"/>
  <c r="P301" i="10"/>
  <c r="H301" i="10"/>
  <c r="H229" i="10"/>
  <c r="J129" i="10"/>
  <c r="Q129" i="10" s="1"/>
  <c r="G300" i="10"/>
  <c r="P316" i="10"/>
  <c r="I255" i="10"/>
  <c r="I261" i="10" s="1"/>
  <c r="I263" i="10"/>
  <c r="N291" i="10"/>
  <c r="L316" i="10"/>
  <c r="F316" i="10"/>
  <c r="H90" i="10"/>
  <c r="AC1097" i="9"/>
  <c r="I91" i="10"/>
  <c r="J1843" i="9"/>
  <c r="AB1843" i="9" s="1"/>
  <c r="M160" i="10"/>
  <c r="M164" i="10" s="1"/>
  <c r="E77" i="9"/>
  <c r="G77" i="9" s="1"/>
  <c r="F45" i="10"/>
  <c r="I228" i="10"/>
  <c r="O228" i="10"/>
  <c r="M316" i="10"/>
  <c r="F300" i="10"/>
  <c r="E300" i="10" s="1"/>
  <c r="Q300" i="10" s="1"/>
  <c r="M269" i="10"/>
  <c r="M276" i="10" s="1"/>
  <c r="O17" i="10"/>
  <c r="AC1098" i="9"/>
  <c r="M299" i="10"/>
  <c r="M90" i="10"/>
  <c r="I246" i="10"/>
  <c r="H1843" i="9"/>
  <c r="P1843" i="9" s="1"/>
  <c r="J265" i="10"/>
  <c r="J335" i="10"/>
  <c r="J55" i="10"/>
  <c r="J125" i="10"/>
  <c r="J195" i="10"/>
  <c r="L265" i="10"/>
  <c r="L335" i="10"/>
  <c r="L55" i="10"/>
  <c r="L195" i="10"/>
  <c r="L125" i="10"/>
  <c r="K335" i="10"/>
  <c r="K125" i="10"/>
  <c r="K55" i="10"/>
  <c r="K195" i="10"/>
  <c r="K265" i="10"/>
  <c r="H1146" i="9"/>
  <c r="R1146" i="9" s="1"/>
  <c r="D134" i="10"/>
  <c r="L134" i="10" s="1"/>
  <c r="L138" i="10" s="1"/>
  <c r="AC1116" i="9"/>
  <c r="AC1121" i="9" s="1"/>
  <c r="M325" i="10"/>
  <c r="M331" i="10" s="1"/>
  <c r="M333" i="10" s="1"/>
  <c r="J246" i="10"/>
  <c r="G227" i="10"/>
  <c r="G234" i="10" s="1"/>
  <c r="D127" i="10"/>
  <c r="G291" i="10"/>
  <c r="N228" i="10"/>
  <c r="N161" i="10"/>
  <c r="L161" i="10"/>
  <c r="N301" i="10"/>
  <c r="J19" i="10"/>
  <c r="J299" i="10"/>
  <c r="K90" i="10"/>
  <c r="K94" i="10" s="1"/>
  <c r="D197" i="10"/>
  <c r="I197" i="10" s="1"/>
  <c r="I201" i="10" s="1"/>
  <c r="G301" i="10"/>
  <c r="H81" i="10"/>
  <c r="P160" i="10"/>
  <c r="L301" i="10"/>
  <c r="H231" i="10"/>
  <c r="N316" i="10"/>
  <c r="P161" i="10"/>
  <c r="N59" i="10"/>
  <c r="Q59" i="10" s="1"/>
  <c r="J231" i="10"/>
  <c r="N298" i="10"/>
  <c r="G298" i="10"/>
  <c r="J91" i="10"/>
  <c r="O300" i="10"/>
  <c r="K230" i="10"/>
  <c r="I298" i="10"/>
  <c r="J1014" i="9"/>
  <c r="AA1014" i="9" s="1"/>
  <c r="AA1019" i="9"/>
  <c r="G91" i="10"/>
  <c r="E91" i="10" s="1"/>
  <c r="Q91" i="10" s="1"/>
  <c r="G231" i="10"/>
  <c r="P90" i="10"/>
  <c r="I221" i="10"/>
  <c r="L325" i="10"/>
  <c r="L331" i="10" s="1"/>
  <c r="L333" i="10" s="1"/>
  <c r="G81" i="10"/>
  <c r="L228" i="10"/>
  <c r="I1146" i="9"/>
  <c r="V1146" i="9" s="1"/>
  <c r="M298" i="10"/>
  <c r="L45" i="10"/>
  <c r="L51" i="10" s="1"/>
  <c r="L53" i="10" s="1"/>
  <c r="F297" i="10"/>
  <c r="F304" i="10" s="1"/>
  <c r="I325" i="10"/>
  <c r="I331" i="10" s="1"/>
  <c r="I333" i="10" s="1"/>
  <c r="H161" i="10"/>
  <c r="H164" i="10" s="1"/>
  <c r="I301" i="10"/>
  <c r="Z123" i="9"/>
  <c r="Z124" i="9" s="1"/>
  <c r="L230" i="10"/>
  <c r="I151" i="10"/>
  <c r="L151" i="10"/>
  <c r="J160" i="10"/>
  <c r="F335" i="10"/>
  <c r="F265" i="10"/>
  <c r="F55" i="10"/>
  <c r="F125" i="10"/>
  <c r="F195" i="10"/>
  <c r="I335" i="10"/>
  <c r="I125" i="10"/>
  <c r="I55" i="10"/>
  <c r="I195" i="10"/>
  <c r="I265" i="10"/>
  <c r="M335" i="10"/>
  <c r="M195" i="10"/>
  <c r="M125" i="10"/>
  <c r="M265" i="10"/>
  <c r="M55" i="10"/>
  <c r="N335" i="10"/>
  <c r="N55" i="10"/>
  <c r="N265" i="10"/>
  <c r="N195" i="10"/>
  <c r="N125" i="10"/>
  <c r="G335" i="10"/>
  <c r="G55" i="10"/>
  <c r="G125" i="10"/>
  <c r="G195" i="10"/>
  <c r="G265" i="10"/>
  <c r="I1844" i="9"/>
  <c r="U1844" i="9" s="1"/>
  <c r="D344" i="10"/>
  <c r="O227" i="10"/>
  <c r="O234" i="10" s="1"/>
  <c r="L291" i="10"/>
  <c r="J221" i="10"/>
  <c r="H221" i="10"/>
  <c r="Y130" i="9"/>
  <c r="I160" i="10"/>
  <c r="O151" i="10"/>
  <c r="P291" i="10"/>
  <c r="N185" i="10"/>
  <c r="N191" i="10" s="1"/>
  <c r="N193" i="10" s="1"/>
  <c r="O291" i="10"/>
  <c r="M339" i="10"/>
  <c r="M346" i="10" s="1"/>
  <c r="J21" i="10"/>
  <c r="K160" i="10"/>
  <c r="K164" i="10" s="1"/>
  <c r="J151" i="10"/>
  <c r="AC123" i="9"/>
  <c r="AC124" i="9" s="1"/>
  <c r="AC1120" i="9"/>
  <c r="O125" i="10"/>
  <c r="O265" i="10"/>
  <c r="O335" i="10"/>
  <c r="O195" i="10"/>
  <c r="O55" i="10"/>
  <c r="P55" i="10"/>
  <c r="P335" i="10"/>
  <c r="P125" i="10"/>
  <c r="P195" i="10"/>
  <c r="P265" i="10"/>
  <c r="H335" i="10"/>
  <c r="H195" i="10"/>
  <c r="H265" i="10"/>
  <c r="H55" i="10"/>
  <c r="H125" i="10"/>
  <c r="Y139" i="9"/>
  <c r="O81" i="10"/>
  <c r="J137" i="9"/>
  <c r="J80" i="9" s="1"/>
  <c r="M228" i="10"/>
  <c r="M234" i="10" s="1"/>
  <c r="AC139" i="9"/>
  <c r="H291" i="10"/>
  <c r="AA1119" i="9"/>
  <c r="Y1092" i="9"/>
  <c r="M81" i="10"/>
  <c r="K20" i="10"/>
  <c r="P151" i="10"/>
  <c r="P81" i="10"/>
  <c r="H1118" i="9"/>
  <c r="Y123" i="9"/>
  <c r="Y124" i="9" s="1"/>
  <c r="E151" i="10"/>
  <c r="Z135" i="9"/>
  <c r="AA135" i="9"/>
  <c r="K137" i="9"/>
  <c r="K80" i="9" s="1"/>
  <c r="AC128" i="9"/>
  <c r="L20" i="10"/>
  <c r="AB135" i="9"/>
  <c r="Y135" i="9"/>
  <c r="AC135" i="9"/>
  <c r="F81" i="10"/>
  <c r="H19" i="10"/>
  <c r="AA139" i="9"/>
  <c r="K291" i="10"/>
  <c r="L137" i="9"/>
  <c r="L80" i="9" s="1"/>
  <c r="L81" i="10"/>
  <c r="AB139" i="9"/>
  <c r="I81" i="10"/>
  <c r="Z1096" i="9"/>
  <c r="J291" i="10"/>
  <c r="I291" i="10"/>
  <c r="Y1098" i="9"/>
  <c r="K18" i="10"/>
  <c r="O21" i="10"/>
  <c r="E81" i="10"/>
  <c r="O221" i="10"/>
  <c r="G20" i="10"/>
  <c r="Y1131" i="9"/>
  <c r="Z1098" i="9"/>
  <c r="M21" i="10"/>
  <c r="Z139" i="9"/>
  <c r="P21" i="10"/>
  <c r="J18" i="10"/>
  <c r="G151" i="10"/>
  <c r="P221" i="10"/>
  <c r="P18" i="10"/>
  <c r="K81" i="10"/>
  <c r="H151" i="10"/>
  <c r="AC1131" i="9"/>
  <c r="N20" i="10"/>
  <c r="M36" i="10"/>
  <c r="I36" i="10"/>
  <c r="P36" i="10"/>
  <c r="M20" i="10"/>
  <c r="M291" i="10"/>
  <c r="AC1092" i="9"/>
  <c r="H18" i="10"/>
  <c r="F221" i="10"/>
  <c r="H36" i="10"/>
  <c r="G221" i="10"/>
  <c r="O20" i="10"/>
  <c r="L221" i="10"/>
  <c r="G36" i="10"/>
  <c r="O19" i="10"/>
  <c r="K19" i="10"/>
  <c r="AA1131" i="9"/>
  <c r="I19" i="10"/>
  <c r="Y1130" i="9"/>
  <c r="Y1136" i="9" s="1"/>
  <c r="AC1145" i="9"/>
  <c r="AC894" i="9"/>
  <c r="AC895" i="9" s="1"/>
  <c r="AC920" i="9" s="1"/>
  <c r="AC945" i="9" s="1"/>
  <c r="AB129" i="9"/>
  <c r="I20" i="10"/>
  <c r="Y1120" i="9"/>
  <c r="Z128" i="9"/>
  <c r="I21" i="10"/>
  <c r="I137" i="9"/>
  <c r="I80" i="9" s="1"/>
  <c r="AC1095" i="9"/>
  <c r="AA1097" i="9"/>
  <c r="D337" i="10"/>
  <c r="D267" i="10"/>
  <c r="E59" i="9"/>
  <c r="AB1092" i="9"/>
  <c r="AB1105" i="9" s="1"/>
  <c r="N36" i="10"/>
  <c r="AA1116" i="9"/>
  <c r="AA1121" i="9" s="1"/>
  <c r="N81" i="10"/>
  <c r="AB1130" i="9"/>
  <c r="N18" i="10"/>
  <c r="Z1131" i="9"/>
  <c r="AB1119" i="9"/>
  <c r="AA128" i="9"/>
  <c r="AB130" i="9"/>
  <c r="AA1086" i="9"/>
  <c r="N221" i="10"/>
  <c r="K1144" i="9"/>
  <c r="K1146" i="9"/>
  <c r="AC129" i="9"/>
  <c r="K1049" i="9"/>
  <c r="K1053" i="9" s="1"/>
  <c r="L21" i="10"/>
  <c r="Y1103" i="9"/>
  <c r="M18" i="10"/>
  <c r="F291" i="10"/>
  <c r="M221" i="10"/>
  <c r="AC1083" i="9"/>
  <c r="AB134" i="9"/>
  <c r="AB136" i="9" s="1"/>
  <c r="J20" i="10"/>
  <c r="Z1095" i="9"/>
  <c r="K151" i="10"/>
  <c r="K221" i="10"/>
  <c r="AA130" i="9"/>
  <c r="Z137" i="9"/>
  <c r="Z894" i="9"/>
  <c r="Z895" i="9" s="1"/>
  <c r="Z920" i="9" s="1"/>
  <c r="Z945" i="9" s="1"/>
  <c r="Y128" i="9"/>
  <c r="Y1083" i="9"/>
  <c r="Y1088" i="9" s="1"/>
  <c r="M151" i="10"/>
  <c r="Y127" i="9"/>
  <c r="AA1083" i="9"/>
  <c r="AA129" i="9"/>
  <c r="AA1130" i="9"/>
  <c r="L36" i="10"/>
  <c r="E12" i="9"/>
  <c r="E15" i="9" s="1"/>
  <c r="G12" i="9"/>
  <c r="N151" i="10"/>
  <c r="AC1096" i="9"/>
  <c r="AC1130" i="9"/>
  <c r="AC1136" i="9" s="1"/>
  <c r="L19" i="10"/>
  <c r="Y129" i="9"/>
  <c r="AA1092" i="9"/>
  <c r="I18" i="10"/>
  <c r="AB1103" i="9"/>
  <c r="O36" i="10"/>
  <c r="L1144" i="9"/>
  <c r="L1146" i="9"/>
  <c r="E291" i="10"/>
  <c r="AB128" i="9"/>
  <c r="AC134" i="9"/>
  <c r="AC136" i="9" s="1"/>
  <c r="Z1103" i="9"/>
  <c r="L1049" i="9"/>
  <c r="L1053" i="9" s="1"/>
  <c r="Y137" i="9"/>
  <c r="AB115" i="9"/>
  <c r="I1049" i="9"/>
  <c r="AA1098" i="9"/>
  <c r="O18" i="10"/>
  <c r="H1049" i="9"/>
  <c r="H1053" i="9" s="1"/>
  <c r="Q1053" i="9"/>
  <c r="AA123" i="9"/>
  <c r="AA124" i="9" s="1"/>
  <c r="AA1145" i="9"/>
  <c r="L18" i="10"/>
  <c r="P19" i="10"/>
  <c r="AA1120" i="9"/>
  <c r="AA1095" i="9"/>
  <c r="AA137" i="9"/>
  <c r="AB1095" i="9"/>
  <c r="K36" i="10"/>
  <c r="Z1145" i="9"/>
  <c r="AC1103" i="9"/>
  <c r="N19" i="10"/>
  <c r="J1118" i="9"/>
  <c r="J1121" i="9" s="1"/>
  <c r="J1138" i="9" s="1"/>
  <c r="Z1118" i="9"/>
  <c r="H21" i="10"/>
  <c r="Z1097" i="9"/>
  <c r="E221" i="10"/>
  <c r="AB137" i="9"/>
  <c r="H137" i="9"/>
  <c r="O137" i="9" s="1"/>
  <c r="O80" i="9" s="1"/>
  <c r="Y1146" i="9"/>
  <c r="Y1144" i="9"/>
  <c r="Y108" i="9"/>
  <c r="Y104" i="9"/>
  <c r="Z1086" i="9"/>
  <c r="Y134" i="9"/>
  <c r="Y136" i="9" s="1"/>
  <c r="H1014" i="9"/>
  <c r="AD1014" i="9" s="1"/>
  <c r="H1019" i="9"/>
  <c r="Z1083" i="9"/>
  <c r="Z1130" i="9"/>
  <c r="AC100" i="9"/>
  <c r="Y894" i="9"/>
  <c r="Y895" i="9" s="1"/>
  <c r="Y920" i="9" s="1"/>
  <c r="AA1096" i="9"/>
  <c r="M19" i="10"/>
  <c r="Y1145" i="9"/>
  <c r="Y1086" i="9"/>
  <c r="AC1086" i="9"/>
  <c r="G18" i="10"/>
  <c r="N21" i="10"/>
  <c r="K21" i="10"/>
  <c r="Z1116" i="9"/>
  <c r="Z1121" i="9" s="1"/>
  <c r="Z1120" i="9"/>
  <c r="AC127" i="9"/>
  <c r="AC131" i="9" s="1"/>
  <c r="Y1096" i="9"/>
  <c r="AG1096" i="9" s="1"/>
  <c r="AC1146" i="9"/>
  <c r="AC108" i="9"/>
  <c r="AC1144" i="9"/>
  <c r="AC104" i="9"/>
  <c r="AC115" i="9"/>
  <c r="P20" i="10"/>
  <c r="J1049" i="9"/>
  <c r="Y1049" i="9" s="1"/>
  <c r="Y1053" i="9" s="1"/>
  <c r="AA1049" i="9"/>
  <c r="AA1053" i="9"/>
  <c r="AC137" i="9"/>
  <c r="J36" i="10"/>
  <c r="AA100" i="9"/>
  <c r="AA102" i="9" s="1"/>
  <c r="AA1103" i="9"/>
  <c r="G19" i="10"/>
  <c r="Y1097" i="9"/>
  <c r="Z1144" i="9"/>
  <c r="Z1146" i="9"/>
  <c r="Z108" i="9"/>
  <c r="Z104" i="9"/>
  <c r="Y115" i="9"/>
  <c r="AB1097" i="9"/>
  <c r="Z130" i="9"/>
  <c r="AB127" i="9"/>
  <c r="AB131" i="9" s="1"/>
  <c r="AA127" i="9"/>
  <c r="AA131" i="9" s="1"/>
  <c r="AB104" i="9"/>
  <c r="AB108" i="9"/>
  <c r="AB1144" i="9"/>
  <c r="AB1146" i="9"/>
  <c r="H20" i="10"/>
  <c r="Z100" i="9"/>
  <c r="Z102" i="9" s="1"/>
  <c r="AB100" i="9"/>
  <c r="Y1116" i="9"/>
  <c r="Z115" i="9"/>
  <c r="Z116" i="9" s="1"/>
  <c r="AB1096" i="9"/>
  <c r="AA1146" i="9"/>
  <c r="AA108" i="9"/>
  <c r="AA104" i="9"/>
  <c r="AA1144" i="9"/>
  <c r="L1947" i="9"/>
  <c r="L1957" i="9" s="1"/>
  <c r="Y100" i="9"/>
  <c r="Y102" i="9" s="1"/>
  <c r="AC1119" i="9"/>
  <c r="AB1145" i="9"/>
  <c r="AB1131" i="9"/>
  <c r="Z129" i="9"/>
  <c r="AA894" i="9"/>
  <c r="AA895" i="9" s="1"/>
  <c r="Z1119" i="9"/>
  <c r="AB1083" i="9"/>
  <c r="AB1088" i="9" s="1"/>
  <c r="AB1098" i="9"/>
  <c r="AA115" i="9"/>
  <c r="F151" i="10"/>
  <c r="AA134" i="9"/>
  <c r="AA136" i="9" s="1"/>
  <c r="J1947" i="9"/>
  <c r="Z1947" i="9" s="1"/>
  <c r="Z1957" i="9" s="1"/>
  <c r="AB1116" i="9"/>
  <c r="Z127" i="9"/>
  <c r="Z131" i="9" s="1"/>
  <c r="K1947" i="9"/>
  <c r="K1957" i="9" s="1"/>
  <c r="AB1120" i="9"/>
  <c r="I1947" i="9"/>
  <c r="I1957" i="9" s="1"/>
  <c r="H1947" i="9"/>
  <c r="O1947" i="9" s="1"/>
  <c r="O1957" i="9" s="1"/>
  <c r="H344" i="10" l="1"/>
  <c r="H348" i="10" s="1"/>
  <c r="E297" i="10"/>
  <c r="Q297" i="10" s="1"/>
  <c r="W1843" i="9"/>
  <c r="AG1082" i="9"/>
  <c r="E20" i="10"/>
  <c r="Q20" i="10" s="1"/>
  <c r="Z136" i="9"/>
  <c r="M304" i="10"/>
  <c r="P94" i="10"/>
  <c r="R1843" i="9"/>
  <c r="H94" i="10"/>
  <c r="AG114" i="9"/>
  <c r="Z80" i="9"/>
  <c r="I164" i="10"/>
  <c r="E231" i="10"/>
  <c r="Q231" i="10" s="1"/>
  <c r="AG127" i="9"/>
  <c r="J24" i="10"/>
  <c r="H304" i="10"/>
  <c r="AG1097" i="9"/>
  <c r="E301" i="10"/>
  <c r="Q301" i="10" s="1"/>
  <c r="N234" i="10"/>
  <c r="E19" i="10"/>
  <c r="Q19" i="10" s="1"/>
  <c r="E21" i="10"/>
  <c r="Q21" i="10" s="1"/>
  <c r="AG134" i="9"/>
  <c r="AG1120" i="9"/>
  <c r="T137" i="9"/>
  <c r="T80" i="9" s="1"/>
  <c r="Q137" i="9"/>
  <c r="Q80" i="9" s="1"/>
  <c r="AG894" i="9"/>
  <c r="AG137" i="9"/>
  <c r="AC1118" i="9"/>
  <c r="AG135" i="9"/>
  <c r="V1844" i="9"/>
  <c r="O1146" i="9"/>
  <c r="AB1947" i="9"/>
  <c r="AB1957" i="9" s="1"/>
  <c r="AB2009" i="9" s="1"/>
  <c r="AG1103" i="9"/>
  <c r="AG1098" i="9"/>
  <c r="AC1947" i="9"/>
  <c r="AC1957" i="9" s="1"/>
  <c r="AG1086" i="9"/>
  <c r="Q1049" i="9"/>
  <c r="AA1118" i="9"/>
  <c r="W1844" i="9"/>
  <c r="AG128" i="9"/>
  <c r="AB1107" i="9"/>
  <c r="AA1070" i="9"/>
  <c r="AA24" i="9" s="1"/>
  <c r="AA77" i="9" s="1"/>
  <c r="AG1116" i="9"/>
  <c r="AG1145" i="9"/>
  <c r="P137" i="9"/>
  <c r="P80" i="9" s="1"/>
  <c r="R137" i="9"/>
  <c r="R80" i="9" s="1"/>
  <c r="AG129" i="9"/>
  <c r="AG1131" i="9"/>
  <c r="AG139" i="9"/>
  <c r="AC2009" i="9"/>
  <c r="AC1996" i="9"/>
  <c r="AC50" i="9" s="1"/>
  <c r="AC55" i="9" s="1"/>
  <c r="AB20" i="9"/>
  <c r="AB1154" i="9"/>
  <c r="AB1158" i="9" s="1"/>
  <c r="AC1154" i="9"/>
  <c r="AC1158" i="9" s="1"/>
  <c r="AC20" i="9"/>
  <c r="Z1996" i="9"/>
  <c r="Z50" i="9" s="1"/>
  <c r="Z55" i="9" s="1"/>
  <c r="Z2009" i="9"/>
  <c r="AA920" i="9"/>
  <c r="AA945" i="9" s="1"/>
  <c r="AG895" i="9"/>
  <c r="O1996" i="9"/>
  <c r="O50" i="9" s="1"/>
  <c r="O55" i="9" s="1"/>
  <c r="O2009" i="9"/>
  <c r="L1996" i="9"/>
  <c r="L50" i="9" s="1"/>
  <c r="L55" i="9" s="1"/>
  <c r="L2009" i="9"/>
  <c r="H1070" i="9"/>
  <c r="I1053" i="9"/>
  <c r="W1049" i="9"/>
  <c r="W1053" i="9" s="1"/>
  <c r="AC1049" i="9"/>
  <c r="AC1053" i="9" s="1"/>
  <c r="AC1105" i="9"/>
  <c r="AD1118" i="9"/>
  <c r="N66" i="10"/>
  <c r="F337" i="10"/>
  <c r="F341" i="10" s="1"/>
  <c r="G197" i="10"/>
  <c r="G201" i="10" s="1"/>
  <c r="M197" i="10"/>
  <c r="M201" i="10" s="1"/>
  <c r="P267" i="10"/>
  <c r="P271" i="10" s="1"/>
  <c r="P337" i="10"/>
  <c r="P341" i="10" s="1"/>
  <c r="N337" i="10"/>
  <c r="N341" i="10" s="1"/>
  <c r="N197" i="10"/>
  <c r="N201" i="10" s="1"/>
  <c r="K337" i="10"/>
  <c r="K341" i="10" s="1"/>
  <c r="L267" i="10"/>
  <c r="L271" i="10" s="1"/>
  <c r="H337" i="10"/>
  <c r="H341" i="10" s="1"/>
  <c r="O267" i="10"/>
  <c r="O271" i="10" s="1"/>
  <c r="M267" i="10"/>
  <c r="M271" i="10" s="1"/>
  <c r="H197" i="10"/>
  <c r="H201" i="10" s="1"/>
  <c r="J267" i="10"/>
  <c r="J271" i="10" s="1"/>
  <c r="H267" i="10"/>
  <c r="H271" i="10" s="1"/>
  <c r="G267" i="10"/>
  <c r="G271" i="10" s="1"/>
  <c r="K267" i="10"/>
  <c r="K271" i="10" s="1"/>
  <c r="J337" i="10"/>
  <c r="J341" i="10" s="1"/>
  <c r="I337" i="10"/>
  <c r="I341" i="10" s="1"/>
  <c r="J197" i="10"/>
  <c r="J201" i="10" s="1"/>
  <c r="O337" i="10"/>
  <c r="O341" i="10" s="1"/>
  <c r="L197" i="10"/>
  <c r="L201" i="10" s="1"/>
  <c r="M337" i="10"/>
  <c r="M341" i="10" s="1"/>
  <c r="F197" i="10"/>
  <c r="F201" i="10" s="1"/>
  <c r="I267" i="10"/>
  <c r="I271" i="10" s="1"/>
  <c r="K197" i="10"/>
  <c r="K201" i="10" s="1"/>
  <c r="G337" i="10"/>
  <c r="G341" i="10" s="1"/>
  <c r="O197" i="10"/>
  <c r="O201" i="10" s="1"/>
  <c r="P197" i="10"/>
  <c r="P201" i="10" s="1"/>
  <c r="N267" i="10"/>
  <c r="N271" i="10" s="1"/>
  <c r="E227" i="10"/>
  <c r="AD1146" i="9"/>
  <c r="Q1146" i="9"/>
  <c r="P1146" i="9"/>
  <c r="I234" i="10"/>
  <c r="J1957" i="9"/>
  <c r="L234" i="10"/>
  <c r="L268" i="10" s="1"/>
  <c r="AA1088" i="9"/>
  <c r="AG130" i="9"/>
  <c r="F198" i="10"/>
  <c r="H64" i="10"/>
  <c r="H68" i="10" s="1"/>
  <c r="G64" i="10"/>
  <c r="G68" i="10" s="1"/>
  <c r="J64" i="10"/>
  <c r="J68" i="10" s="1"/>
  <c r="N64" i="10"/>
  <c r="N68" i="10" s="1"/>
  <c r="O64" i="10"/>
  <c r="O68" i="10" s="1"/>
  <c r="P64" i="10"/>
  <c r="P68" i="10" s="1"/>
  <c r="I64" i="10"/>
  <c r="I68" i="10" s="1"/>
  <c r="K64" i="10"/>
  <c r="K68" i="10" s="1"/>
  <c r="M64" i="10"/>
  <c r="M68" i="10" s="1"/>
  <c r="L64" i="10"/>
  <c r="L68" i="10" s="1"/>
  <c r="AG115" i="9"/>
  <c r="AG920" i="9"/>
  <c r="Q1014" i="9"/>
  <c r="Q1019" i="9" s="1"/>
  <c r="Q1070" i="9" s="1"/>
  <c r="Q24" i="9" s="1"/>
  <c r="Q77" i="9" s="1"/>
  <c r="R1014" i="9"/>
  <c r="R1019" i="9" s="1"/>
  <c r="O1014" i="9"/>
  <c r="AA1136" i="9"/>
  <c r="AA1138" i="9" s="1"/>
  <c r="Y1118" i="9"/>
  <c r="Y1121" i="9" s="1"/>
  <c r="AB1136" i="9"/>
  <c r="O24" i="10"/>
  <c r="Y1843" i="9"/>
  <c r="J136" i="10"/>
  <c r="K234" i="10"/>
  <c r="E230" i="10"/>
  <c r="Q230" i="10" s="1"/>
  <c r="H1957" i="9"/>
  <c r="AD1844" i="9"/>
  <c r="I1996" i="9"/>
  <c r="V1947" i="9"/>
  <c r="V1957" i="9" s="1"/>
  <c r="E18" i="10"/>
  <c r="Q18" i="10" s="1"/>
  <c r="AC1138" i="9"/>
  <c r="M24" i="10"/>
  <c r="V1049" i="9"/>
  <c r="V1053" i="9" s="1"/>
  <c r="AG1083" i="9"/>
  <c r="O1049" i="9"/>
  <c r="L127" i="10"/>
  <c r="L131" i="10" s="1"/>
  <c r="O127" i="10"/>
  <c r="O131" i="10" s="1"/>
  <c r="J127" i="10"/>
  <c r="J131" i="10" s="1"/>
  <c r="M127" i="10"/>
  <c r="M131" i="10" s="1"/>
  <c r="I127" i="10"/>
  <c r="I131" i="10" s="1"/>
  <c r="N127" i="10"/>
  <c r="N131" i="10" s="1"/>
  <c r="K127" i="10"/>
  <c r="K131" i="10" s="1"/>
  <c r="H127" i="10"/>
  <c r="H131" i="10" s="1"/>
  <c r="G127" i="10"/>
  <c r="G131" i="10" s="1"/>
  <c r="Y945" i="9"/>
  <c r="E45" i="10"/>
  <c r="Z1088" i="9"/>
  <c r="E36" i="10"/>
  <c r="Q36" i="10" s="1"/>
  <c r="W1947" i="9"/>
  <c r="W1957" i="9" s="1"/>
  <c r="AC80" i="9"/>
  <c r="AC102" i="9"/>
  <c r="AG136" i="9"/>
  <c r="Q1947" i="9"/>
  <c r="Q1957" i="9" s="1"/>
  <c r="AA1947" i="9"/>
  <c r="AA1957" i="9" s="1"/>
  <c r="AA1105" i="9"/>
  <c r="Z20" i="9"/>
  <c r="Z1154" i="9"/>
  <c r="Z1158" i="9" s="1"/>
  <c r="W137" i="9"/>
  <c r="W80" i="9" s="1"/>
  <c r="AG124" i="9"/>
  <c r="M268" i="10"/>
  <c r="M344" i="10"/>
  <c r="M348" i="10" s="1"/>
  <c r="G344" i="10"/>
  <c r="G348" i="10" s="1"/>
  <c r="I344" i="10"/>
  <c r="I348" i="10" s="1"/>
  <c r="O344" i="10"/>
  <c r="O348" i="10" s="1"/>
  <c r="L344" i="10"/>
  <c r="L348" i="10" s="1"/>
  <c r="N344" i="10"/>
  <c r="N348" i="10" s="1"/>
  <c r="F344" i="10"/>
  <c r="F348" i="10" s="1"/>
  <c r="J344" i="10"/>
  <c r="J348" i="10" s="1"/>
  <c r="P344" i="10"/>
  <c r="P348" i="10" s="1"/>
  <c r="K344" i="10"/>
  <c r="K348" i="10" s="1"/>
  <c r="U1146" i="9"/>
  <c r="K134" i="10"/>
  <c r="K138" i="10" s="1"/>
  <c r="J134" i="10"/>
  <c r="J138" i="10" s="1"/>
  <c r="H134" i="10"/>
  <c r="H138" i="10" s="1"/>
  <c r="O134" i="10"/>
  <c r="O138" i="10" s="1"/>
  <c r="M134" i="10"/>
  <c r="M138" i="10" s="1"/>
  <c r="P134" i="10"/>
  <c r="P138" i="10" s="1"/>
  <c r="N134" i="10"/>
  <c r="N138" i="10" s="1"/>
  <c r="I134" i="10"/>
  <c r="I138" i="10" s="1"/>
  <c r="G134" i="10"/>
  <c r="G138" i="10" s="1"/>
  <c r="AD1843" i="9"/>
  <c r="O1843" i="9"/>
  <c r="AG1144" i="9"/>
  <c r="K24" i="10"/>
  <c r="Y1105" i="9"/>
  <c r="Y1107" i="9" s="1"/>
  <c r="P1947" i="9"/>
  <c r="P1957" i="9" s="1"/>
  <c r="K2009" i="9"/>
  <c r="K1996" i="9"/>
  <c r="K50" i="9" s="1"/>
  <c r="K55" i="9" s="1"/>
  <c r="AB102" i="9"/>
  <c r="AB80" i="9"/>
  <c r="U1947" i="9"/>
  <c r="U1957" i="9" s="1"/>
  <c r="AB1049" i="9"/>
  <c r="AB1053" i="9" s="1"/>
  <c r="H80" i="9"/>
  <c r="AD137" i="9"/>
  <c r="AD1049" i="9"/>
  <c r="T1049" i="9"/>
  <c r="V137" i="9"/>
  <c r="V80" i="9" s="1"/>
  <c r="Z1049" i="9"/>
  <c r="U1049" i="9"/>
  <c r="U1053" i="9" s="1"/>
  <c r="AG123" i="9"/>
  <c r="I198" i="10"/>
  <c r="AG1092" i="9"/>
  <c r="T1844" i="9"/>
  <c r="AF1844" i="9" s="1"/>
  <c r="W1146" i="9"/>
  <c r="R1049" i="9"/>
  <c r="R1053" i="9" s="1"/>
  <c r="P1049" i="9"/>
  <c r="P1053" i="9" s="1"/>
  <c r="AD1144" i="9"/>
  <c r="Q1144" i="9"/>
  <c r="O1144" i="9"/>
  <c r="Q199" i="10"/>
  <c r="E206" i="10"/>
  <c r="Q206" i="10" s="1"/>
  <c r="I2009" i="9"/>
  <c r="H338" i="10"/>
  <c r="H345" i="10" s="1"/>
  <c r="K1070" i="9"/>
  <c r="K24" i="9" s="1"/>
  <c r="K77" i="9" s="1"/>
  <c r="P1014" i="9"/>
  <c r="P1019" i="9" s="1"/>
  <c r="AD1947" i="9"/>
  <c r="Z1136" i="9"/>
  <c r="Z1138" i="9" s="1"/>
  <c r="Y1947" i="9"/>
  <c r="Y1957" i="9" s="1"/>
  <c r="T1947" i="9"/>
  <c r="T1957" i="9" s="1"/>
  <c r="AF1957" i="9" s="1"/>
  <c r="Y131" i="9"/>
  <c r="AG131" i="9" s="1"/>
  <c r="Y1138" i="9"/>
  <c r="AG1130" i="9"/>
  <c r="U137" i="9"/>
  <c r="U80" i="9" s="1"/>
  <c r="AF80" i="9" s="1"/>
  <c r="T1146" i="9"/>
  <c r="Q1843" i="9"/>
  <c r="AE1843" i="9" s="1"/>
  <c r="E316" i="10"/>
  <c r="Q316" i="10" s="1"/>
  <c r="N128" i="10"/>
  <c r="N135" i="10" s="1"/>
  <c r="P1144" i="9"/>
  <c r="G198" i="10"/>
  <c r="G205" i="10" s="1"/>
  <c r="R1947" i="9"/>
  <c r="R1957" i="9" s="1"/>
  <c r="AB1118" i="9"/>
  <c r="AB1121" i="9" s="1"/>
  <c r="P1118" i="9"/>
  <c r="P1121" i="9" s="1"/>
  <c r="P1138" i="9" s="1"/>
  <c r="P1140" i="9" s="1"/>
  <c r="R1118" i="9"/>
  <c r="R1121" i="9" s="1"/>
  <c r="R1138" i="9" s="1"/>
  <c r="R1140" i="9" s="1"/>
  <c r="R1162" i="9" s="1"/>
  <c r="O1118" i="9"/>
  <c r="Q1118" i="9"/>
  <c r="Q1121" i="9" s="1"/>
  <c r="Q1138" i="9" s="1"/>
  <c r="Q1140" i="9" s="1"/>
  <c r="Q1162" i="9" s="1"/>
  <c r="H1121" i="9"/>
  <c r="H1138" i="9" s="1"/>
  <c r="AG100" i="9"/>
  <c r="J1053" i="9"/>
  <c r="N268" i="10"/>
  <c r="AA80" i="9"/>
  <c r="AC1843" i="9"/>
  <c r="Z1843" i="9"/>
  <c r="AA1843" i="9"/>
  <c r="L337" i="10"/>
  <c r="L341" i="10" s="1"/>
  <c r="P127" i="10"/>
  <c r="P131" i="10" s="1"/>
  <c r="J1140" i="9"/>
  <c r="E17" i="10"/>
  <c r="F24" i="10"/>
  <c r="AG1119" i="9"/>
  <c r="E160" i="10"/>
  <c r="Q160" i="10" s="1"/>
  <c r="L1070" i="9"/>
  <c r="L24" i="9" s="1"/>
  <c r="L77" i="9" s="1"/>
  <c r="M94" i="10"/>
  <c r="M128" i="10" s="1"/>
  <c r="M135" i="10" s="1"/>
  <c r="T1843" i="9"/>
  <c r="E157" i="10"/>
  <c r="AG1095" i="9"/>
  <c r="I94" i="10"/>
  <c r="Z1105" i="9"/>
  <c r="Z1107" i="9" s="1"/>
  <c r="Z1140" i="9" s="1"/>
  <c r="Z1162" i="9" s="1"/>
  <c r="Q346" i="10"/>
  <c r="J234" i="10"/>
  <c r="J268" i="10" s="1"/>
  <c r="F234" i="10"/>
  <c r="H204" i="10"/>
  <c r="H208" i="10" s="1"/>
  <c r="K204" i="10"/>
  <c r="K208" i="10" s="1"/>
  <c r="F204" i="10"/>
  <c r="F208" i="10" s="1"/>
  <c r="L204" i="10"/>
  <c r="L208" i="10" s="1"/>
  <c r="I204" i="10"/>
  <c r="I208" i="10" s="1"/>
  <c r="N204" i="10"/>
  <c r="N208" i="10" s="1"/>
  <c r="M204" i="10"/>
  <c r="M208" i="10" s="1"/>
  <c r="O204" i="10"/>
  <c r="O208" i="10" s="1"/>
  <c r="U1144" i="9"/>
  <c r="P1844" i="9"/>
  <c r="E299" i="10"/>
  <c r="Q299" i="10" s="1"/>
  <c r="U1014" i="9"/>
  <c r="U1019" i="9" s="1"/>
  <c r="J204" i="10"/>
  <c r="J208" i="10" s="1"/>
  <c r="P204" i="10"/>
  <c r="P208" i="10" s="1"/>
  <c r="G304" i="10"/>
  <c r="G338" i="10" s="1"/>
  <c r="G345" i="10" s="1"/>
  <c r="AB1014" i="9"/>
  <c r="AB1019" i="9" s="1"/>
  <c r="AB1070" i="9" s="1"/>
  <c r="AB24" i="9" s="1"/>
  <c r="AB77" i="9" s="1"/>
  <c r="J1019" i="9"/>
  <c r="AC1014" i="9"/>
  <c r="AC1019" i="9" s="1"/>
  <c r="Z1014" i="9"/>
  <c r="Z1019" i="9" s="1"/>
  <c r="Y1014" i="9"/>
  <c r="Y1019" i="9" s="1"/>
  <c r="Y1070" i="9" s="1"/>
  <c r="Y24" i="9" s="1"/>
  <c r="Y77" i="9" s="1"/>
  <c r="F51" i="10"/>
  <c r="F53" i="10" s="1"/>
  <c r="F64" i="10" s="1"/>
  <c r="F68" i="10" s="1"/>
  <c r="H234" i="10"/>
  <c r="H268" i="10" s="1"/>
  <c r="U1843" i="9"/>
  <c r="I1019" i="9"/>
  <c r="V1144" i="9"/>
  <c r="O1844" i="9"/>
  <c r="G24" i="10"/>
  <c r="G58" i="10" s="1"/>
  <c r="G65" i="10" s="1"/>
  <c r="E255" i="10"/>
  <c r="W1118" i="9"/>
  <c r="W1121" i="9" s="1"/>
  <c r="W1138" i="9" s="1"/>
  <c r="W1140" i="9" s="1"/>
  <c r="W1162" i="9" s="1"/>
  <c r="T1118" i="9"/>
  <c r="T1121" i="9" s="1"/>
  <c r="T1138" i="9" s="1"/>
  <c r="T1140" i="9" s="1"/>
  <c r="I1121" i="9"/>
  <c r="I1138" i="9" s="1"/>
  <c r="U1118" i="9"/>
  <c r="U1121" i="9" s="1"/>
  <c r="U1138" i="9" s="1"/>
  <c r="U1140" i="9" s="1"/>
  <c r="L94" i="10"/>
  <c r="L128" i="10" s="1"/>
  <c r="L135" i="10" s="1"/>
  <c r="E298" i="10"/>
  <c r="W1070" i="9"/>
  <c r="W24" i="9" s="1"/>
  <c r="W77" i="9" s="1"/>
  <c r="Q1844" i="9"/>
  <c r="O198" i="10"/>
  <c r="O205" i="10" s="1"/>
  <c r="I304" i="10"/>
  <c r="I338" i="10" s="1"/>
  <c r="I345" i="10" s="1"/>
  <c r="H274" i="10"/>
  <c r="H278" i="10" s="1"/>
  <c r="O274" i="10"/>
  <c r="O278" i="10" s="1"/>
  <c r="J274" i="10"/>
  <c r="J278" i="10" s="1"/>
  <c r="I274" i="10"/>
  <c r="I278" i="10" s="1"/>
  <c r="K274" i="10"/>
  <c r="K278" i="10" s="1"/>
  <c r="G274" i="10"/>
  <c r="G278" i="10" s="1"/>
  <c r="N274" i="10"/>
  <c r="N278" i="10" s="1"/>
  <c r="P274" i="10"/>
  <c r="P278" i="10" s="1"/>
  <c r="M274" i="10"/>
  <c r="M278" i="10" s="1"/>
  <c r="L274" i="10"/>
  <c r="L278" i="10" s="1"/>
  <c r="E161" i="10"/>
  <c r="Q161" i="10" s="1"/>
  <c r="L24" i="10"/>
  <c r="V1118" i="9"/>
  <c r="V1121" i="9" s="1"/>
  <c r="V1138" i="9" s="1"/>
  <c r="V1140" i="9" s="1"/>
  <c r="V1162" i="9" s="1"/>
  <c r="T1014" i="9"/>
  <c r="T1019" i="9" s="1"/>
  <c r="P234" i="10"/>
  <c r="P268" i="10" s="1"/>
  <c r="P275" i="10" s="1"/>
  <c r="V1014" i="9"/>
  <c r="V1019" i="9" s="1"/>
  <c r="V1070" i="9" s="1"/>
  <c r="V24" i="9" s="1"/>
  <c r="V77" i="9" s="1"/>
  <c r="P24" i="10"/>
  <c r="AC1088" i="9"/>
  <c r="Q66" i="10"/>
  <c r="E90" i="10"/>
  <c r="Q90" i="10" s="1"/>
  <c r="N164" i="10"/>
  <c r="N198" i="10" s="1"/>
  <c r="N205" i="10" s="1"/>
  <c r="G21" i="9"/>
  <c r="E27" i="9"/>
  <c r="P164" i="10"/>
  <c r="P198" i="10" s="1"/>
  <c r="P205" i="10" s="1"/>
  <c r="F261" i="10"/>
  <c r="F263" i="10" s="1"/>
  <c r="F267" i="10" s="1"/>
  <c r="F271" i="10" s="1"/>
  <c r="AC116" i="9"/>
  <c r="J57" i="10"/>
  <c r="J61" i="10" s="1"/>
  <c r="N57" i="10"/>
  <c r="N61" i="10" s="1"/>
  <c r="O57" i="10"/>
  <c r="O61" i="10" s="1"/>
  <c r="L57" i="10"/>
  <c r="L61" i="10" s="1"/>
  <c r="K57" i="10"/>
  <c r="K61" i="10" s="1"/>
  <c r="P57" i="10"/>
  <c r="P61" i="10" s="1"/>
  <c r="M57" i="10"/>
  <c r="M61" i="10" s="1"/>
  <c r="Z1844" i="9"/>
  <c r="E115" i="10"/>
  <c r="F121" i="10"/>
  <c r="F123" i="10" s="1"/>
  <c r="F127" i="10" s="1"/>
  <c r="F131" i="10" s="1"/>
  <c r="Q136" i="10"/>
  <c r="H24" i="10"/>
  <c r="L164" i="10"/>
  <c r="L198" i="10" s="1"/>
  <c r="L205" i="10" s="1"/>
  <c r="AC1844" i="9"/>
  <c r="G50" i="9"/>
  <c r="AA1844" i="9"/>
  <c r="E57" i="9"/>
  <c r="G55" i="9"/>
  <c r="Q269" i="10"/>
  <c r="K304" i="10"/>
  <c r="K338" i="10" s="1"/>
  <c r="K345" i="10" s="1"/>
  <c r="Q339" i="10"/>
  <c r="AB1844" i="9"/>
  <c r="Q276" i="10"/>
  <c r="AG1146" i="9"/>
  <c r="E185" i="10"/>
  <c r="L304" i="10"/>
  <c r="L338" i="10" s="1"/>
  <c r="L345" i="10" s="1"/>
  <c r="F94" i="10"/>
  <c r="E87" i="10"/>
  <c r="J164" i="10"/>
  <c r="J198" i="10" s="1"/>
  <c r="J205" i="10" s="1"/>
  <c r="H57" i="10"/>
  <c r="H61" i="10" s="1"/>
  <c r="E325" i="10"/>
  <c r="I24" i="10"/>
  <c r="I58" i="10" s="1"/>
  <c r="I65" i="10" s="1"/>
  <c r="E229" i="10"/>
  <c r="Q229" i="10" s="1"/>
  <c r="Y116" i="9"/>
  <c r="O94" i="10"/>
  <c r="O128" i="10" s="1"/>
  <c r="O135" i="10" s="1"/>
  <c r="J304" i="10"/>
  <c r="J338" i="10" s="1"/>
  <c r="J345" i="10" s="1"/>
  <c r="AA116" i="9"/>
  <c r="AB116" i="9"/>
  <c r="E228" i="10"/>
  <c r="Q228" i="10" s="1"/>
  <c r="G94" i="10"/>
  <c r="G128" i="10" s="1"/>
  <c r="G135" i="10" s="1"/>
  <c r="O304" i="10"/>
  <c r="O338" i="10" s="1"/>
  <c r="O345" i="10" s="1"/>
  <c r="N24" i="10"/>
  <c r="N58" i="10" s="1"/>
  <c r="N65" i="10" s="1"/>
  <c r="P304" i="10"/>
  <c r="P338" i="10" s="1"/>
  <c r="P345" i="10" s="1"/>
  <c r="N304" i="10"/>
  <c r="N338" i="10" s="1"/>
  <c r="N345" i="10" s="1"/>
  <c r="J94" i="10"/>
  <c r="J128" i="10" s="1"/>
  <c r="J135" i="10" s="1"/>
  <c r="AE1144" i="9" l="1"/>
  <c r="P58" i="10"/>
  <c r="P65" i="10" s="1"/>
  <c r="K268" i="10"/>
  <c r="H58" i="10"/>
  <c r="H65" i="10" s="1"/>
  <c r="H128" i="10"/>
  <c r="H135" i="10" s="1"/>
  <c r="F128" i="10"/>
  <c r="F135" i="10" s="1"/>
  <c r="E135" i="10" s="1"/>
  <c r="Q135" i="10" s="1"/>
  <c r="I268" i="10"/>
  <c r="AB1996" i="9"/>
  <c r="AB50" i="9" s="1"/>
  <c r="AB55" i="9" s="1"/>
  <c r="F57" i="10"/>
  <c r="F61" i="10" s="1"/>
  <c r="P1070" i="9"/>
  <c r="P24" i="9" s="1"/>
  <c r="P77" i="9" s="1"/>
  <c r="AE1146" i="9"/>
  <c r="AF1144" i="9"/>
  <c r="AF1843" i="9"/>
  <c r="AG1843" i="9"/>
  <c r="U1070" i="9"/>
  <c r="U24" i="9" s="1"/>
  <c r="AF1146" i="9"/>
  <c r="Y80" i="9"/>
  <c r="AG80" i="9" s="1"/>
  <c r="AE137" i="9"/>
  <c r="AA1107" i="9"/>
  <c r="AA1140" i="9" s="1"/>
  <c r="AA1162" i="9" s="1"/>
  <c r="AG1844" i="9"/>
  <c r="AE1844" i="9"/>
  <c r="AC1070" i="9"/>
  <c r="AC24" i="9" s="1"/>
  <c r="AC77" i="9" s="1"/>
  <c r="Q298" i="10"/>
  <c r="E304" i="10"/>
  <c r="Q304" i="10" s="1"/>
  <c r="O1121" i="9"/>
  <c r="O1138" i="9" s="1"/>
  <c r="O1140" i="9" s="1"/>
  <c r="AE1118" i="9"/>
  <c r="P27" i="9"/>
  <c r="P1186" i="9" s="1"/>
  <c r="I205" i="10"/>
  <c r="F134" i="10"/>
  <c r="F138" i="10" s="1"/>
  <c r="Q2009" i="9"/>
  <c r="Q1996" i="9"/>
  <c r="Q50" i="9" s="1"/>
  <c r="Q55" i="9" s="1"/>
  <c r="R1070" i="9"/>
  <c r="R24" i="9" s="1"/>
  <c r="R77" i="9" s="1"/>
  <c r="F205" i="10"/>
  <c r="E205" i="10" s="1"/>
  <c r="Q205" i="10" s="1"/>
  <c r="E198" i="10"/>
  <c r="Q198" i="10" s="1"/>
  <c r="AC1107" i="9"/>
  <c r="AC1140" i="9" s="1"/>
  <c r="AC1162" i="9" s="1"/>
  <c r="M198" i="10"/>
  <c r="M205" i="10" s="1"/>
  <c r="AB71" i="9"/>
  <c r="Q87" i="10"/>
  <c r="E94" i="10"/>
  <c r="Q94" i="10" s="1"/>
  <c r="F274" i="10"/>
  <c r="F278" i="10" s="1"/>
  <c r="AF1014" i="9"/>
  <c r="U77" i="9"/>
  <c r="U27" i="9"/>
  <c r="U1186" i="9" s="1"/>
  <c r="P2009" i="9"/>
  <c r="P1996" i="9"/>
  <c r="P50" i="9" s="1"/>
  <c r="P55" i="9" s="1"/>
  <c r="M275" i="10"/>
  <c r="I50" i="9"/>
  <c r="O58" i="10"/>
  <c r="O65" i="10" s="1"/>
  <c r="I128" i="10"/>
  <c r="I135" i="10" s="1"/>
  <c r="F58" i="10"/>
  <c r="AD80" i="9"/>
  <c r="AE80" i="9"/>
  <c r="Y1140" i="9"/>
  <c r="Y1162" i="9" s="1"/>
  <c r="E51" i="10"/>
  <c r="Q45" i="10"/>
  <c r="M58" i="10"/>
  <c r="M65" i="10" s="1"/>
  <c r="P128" i="10"/>
  <c r="P135" i="10" s="1"/>
  <c r="Q227" i="10"/>
  <c r="E234" i="10"/>
  <c r="Q234" i="10" s="1"/>
  <c r="H198" i="10"/>
  <c r="H205" i="10" s="1"/>
  <c r="AG116" i="9"/>
  <c r="I1140" i="9"/>
  <c r="AF1138" i="9"/>
  <c r="J1070" i="9"/>
  <c r="AG1019" i="9"/>
  <c r="E24" i="10"/>
  <c r="Q24" i="10" s="1"/>
  <c r="Q17" i="10"/>
  <c r="Q11" i="10" s="1"/>
  <c r="N275" i="10"/>
  <c r="T1996" i="9"/>
  <c r="T50" i="9" s="1"/>
  <c r="T55" i="9" s="1"/>
  <c r="T2009" i="9"/>
  <c r="K58" i="10"/>
  <c r="K65" i="10" s="1"/>
  <c r="Y1154" i="9"/>
  <c r="AG945" i="9"/>
  <c r="Y20" i="9"/>
  <c r="AF137" i="9"/>
  <c r="L275" i="10"/>
  <c r="AD1053" i="9"/>
  <c r="AC71" i="9"/>
  <c r="Q185" i="10"/>
  <c r="E191" i="10"/>
  <c r="E121" i="10"/>
  <c r="Q115" i="10"/>
  <c r="AF1019" i="9"/>
  <c r="I1070" i="9"/>
  <c r="E164" i="10"/>
  <c r="Q164" i="10" s="1"/>
  <c r="Q157" i="10"/>
  <c r="J1162" i="9"/>
  <c r="E29" i="9"/>
  <c r="Y1996" i="9"/>
  <c r="Y50" i="9" s="1"/>
  <c r="Y55" i="9" s="1"/>
  <c r="Y2009" i="9"/>
  <c r="AG1014" i="9"/>
  <c r="AG1049" i="9"/>
  <c r="Z1053" i="9"/>
  <c r="AG1053" i="9" s="1"/>
  <c r="U1996" i="9"/>
  <c r="U50" i="9" s="1"/>
  <c r="U55" i="9" s="1"/>
  <c r="U2009" i="9"/>
  <c r="W1996" i="9"/>
  <c r="W50" i="9" s="1"/>
  <c r="W55" i="9" s="1"/>
  <c r="W2009" i="9"/>
  <c r="AG1118" i="9"/>
  <c r="AD1957" i="9"/>
  <c r="AE1957" i="9"/>
  <c r="H2009" i="9"/>
  <c r="H1996" i="9"/>
  <c r="AB1138" i="9"/>
  <c r="AB1140" i="9" s="1"/>
  <c r="AB1162" i="9" s="1"/>
  <c r="AG1957" i="9"/>
  <c r="J2009" i="9"/>
  <c r="J1996" i="9"/>
  <c r="L58" i="10"/>
  <c r="L65" i="10" s="1"/>
  <c r="AF1118" i="9"/>
  <c r="R1996" i="9"/>
  <c r="R50" i="9" s="1"/>
  <c r="R55" i="9" s="1"/>
  <c r="R2009" i="9"/>
  <c r="Z71" i="9"/>
  <c r="AG1947" i="9"/>
  <c r="AD1019" i="9"/>
  <c r="AD1070" i="9"/>
  <c r="H24" i="9"/>
  <c r="O268" i="10"/>
  <c r="O275" i="10" s="1"/>
  <c r="E331" i="10"/>
  <c r="Q325" i="10"/>
  <c r="H275" i="10"/>
  <c r="F268" i="10"/>
  <c r="AE1138" i="9"/>
  <c r="AD1138" i="9"/>
  <c r="H1140" i="9"/>
  <c r="AF1947" i="9"/>
  <c r="T1053" i="9"/>
  <c r="T1070" i="9" s="1"/>
  <c r="T24" i="9" s="1"/>
  <c r="AF1049" i="9"/>
  <c r="J58" i="10"/>
  <c r="J65" i="10" s="1"/>
  <c r="K128" i="10"/>
  <c r="K135" i="10" s="1"/>
  <c r="K275" i="10"/>
  <c r="I275" i="10"/>
  <c r="M338" i="10"/>
  <c r="M345" i="10" s="1"/>
  <c r="G268" i="10"/>
  <c r="G275" i="10" s="1"/>
  <c r="K198" i="10"/>
  <c r="K205" i="10" s="1"/>
  <c r="E261" i="10"/>
  <c r="Q255" i="10"/>
  <c r="J275" i="10"/>
  <c r="AE1947" i="9"/>
  <c r="AA1996" i="9"/>
  <c r="AA50" i="9" s="1"/>
  <c r="AA55" i="9" s="1"/>
  <c r="AA2009" i="9"/>
  <c r="AE1049" i="9"/>
  <c r="O1053" i="9"/>
  <c r="AE1053" i="9" s="1"/>
  <c r="V1996" i="9"/>
  <c r="V50" i="9" s="1"/>
  <c r="V55" i="9" s="1"/>
  <c r="V2009" i="9"/>
  <c r="O1019" i="9"/>
  <c r="AE1014" i="9"/>
  <c r="AA1154" i="9"/>
  <c r="AA1158" i="9" s="1"/>
  <c r="AA20" i="9"/>
  <c r="F338" i="10"/>
  <c r="Q219" i="10" l="1"/>
  <c r="E128" i="10"/>
  <c r="Q128" i="10" s="1"/>
  <c r="AF2009" i="9"/>
  <c r="AG1107" i="9"/>
  <c r="T27" i="9"/>
  <c r="T1186" i="9" s="1"/>
  <c r="T77" i="9"/>
  <c r="AA71" i="9"/>
  <c r="AD1140" i="9"/>
  <c r="AE1140" i="9"/>
  <c r="H1162" i="9"/>
  <c r="AE2009" i="9"/>
  <c r="AD2009" i="9"/>
  <c r="AG1162" i="9"/>
  <c r="Q191" i="10"/>
  <c r="E193" i="10"/>
  <c r="Y71" i="9"/>
  <c r="AG71" i="9" s="1"/>
  <c r="AG20" i="9"/>
  <c r="Z1070" i="9"/>
  <c r="Z24" i="9" s="1"/>
  <c r="Z77" i="9" s="1"/>
  <c r="H77" i="9"/>
  <c r="Q149" i="10"/>
  <c r="AF1996" i="9"/>
  <c r="AG1154" i="9"/>
  <c r="Y1158" i="9"/>
  <c r="AG1158" i="9" s="1"/>
  <c r="AF50" i="9"/>
  <c r="I55" i="9"/>
  <c r="AF55" i="9" s="1"/>
  <c r="F345" i="10"/>
  <c r="E345" i="10" s="1"/>
  <c r="Q345" i="10" s="1"/>
  <c r="E338" i="10"/>
  <c r="Q338" i="10" s="1"/>
  <c r="AD1996" i="9"/>
  <c r="AE1996" i="9"/>
  <c r="H50" i="9"/>
  <c r="AE1019" i="9"/>
  <c r="O1070" i="9"/>
  <c r="E268" i="10"/>
  <c r="Q268" i="10" s="1"/>
  <c r="F275" i="10"/>
  <c r="E275" i="10" s="1"/>
  <c r="Q275" i="10" s="1"/>
  <c r="AG1996" i="9"/>
  <c r="J50" i="9"/>
  <c r="AF1070" i="9"/>
  <c r="I24" i="9"/>
  <c r="J24" i="9"/>
  <c r="F65" i="10"/>
  <c r="E65" i="10" s="1"/>
  <c r="Q65" i="10" s="1"/>
  <c r="E58" i="10"/>
  <c r="Q58" i="10" s="1"/>
  <c r="AG2009" i="9"/>
  <c r="Q79" i="10"/>
  <c r="E263" i="10"/>
  <c r="Q261" i="10"/>
  <c r="AF1053" i="9"/>
  <c r="I1162" i="9"/>
  <c r="AF1162" i="9" s="1"/>
  <c r="AF1140" i="9"/>
  <c r="Q289" i="10"/>
  <c r="AG1140" i="9"/>
  <c r="E333" i="10"/>
  <c r="Q331" i="10"/>
  <c r="Q121" i="10"/>
  <c r="E123" i="10"/>
  <c r="E53" i="10"/>
  <c r="Q51" i="10"/>
  <c r="AG1138" i="9"/>
  <c r="AG1070" i="9" l="1"/>
  <c r="Q123" i="10"/>
  <c r="E127" i="10"/>
  <c r="E134" i="10"/>
  <c r="O24" i="9"/>
  <c r="AE1070" i="9"/>
  <c r="J77" i="9"/>
  <c r="AG77" i="9" s="1"/>
  <c r="AG24" i="9"/>
  <c r="AE1162" i="9"/>
  <c r="AD1162" i="9"/>
  <c r="AF24" i="9"/>
  <c r="I77" i="9"/>
  <c r="AF77" i="9" s="1"/>
  <c r="AE50" i="9"/>
  <c r="AD50" i="9"/>
  <c r="H55" i="9"/>
  <c r="Q333" i="10"/>
  <c r="E337" i="10"/>
  <c r="E344" i="10"/>
  <c r="E274" i="10"/>
  <c r="Q263" i="10"/>
  <c r="E267" i="10"/>
  <c r="AG50" i="9"/>
  <c r="J55" i="9"/>
  <c r="AG55" i="9" s="1"/>
  <c r="Q193" i="10"/>
  <c r="E204" i="10"/>
  <c r="E197" i="10"/>
  <c r="AD24" i="9"/>
  <c r="AD77" i="9"/>
  <c r="Q53" i="10"/>
  <c r="E64" i="10"/>
  <c r="E57" i="10"/>
  <c r="Q204" i="10" l="1"/>
  <c r="E208" i="10"/>
  <c r="Q208" i="10" s="1"/>
  <c r="Q337" i="10"/>
  <c r="E341" i="10"/>
  <c r="Q341" i="10" s="1"/>
  <c r="Q57" i="10"/>
  <c r="E61" i="10"/>
  <c r="Q61" i="10" s="1"/>
  <c r="E68" i="10"/>
  <c r="Q68" i="10" s="1"/>
  <c r="Q64" i="10"/>
  <c r="AD55" i="9"/>
  <c r="AE55" i="9"/>
  <c r="E271" i="10"/>
  <c r="Q271" i="10" s="1"/>
  <c r="Q267" i="10"/>
  <c r="O77" i="9"/>
  <c r="AE77" i="9" s="1"/>
  <c r="O27" i="9"/>
  <c r="O1186" i="9" s="1"/>
  <c r="AE24" i="9"/>
  <c r="E138" i="10"/>
  <c r="Q138" i="10" s="1"/>
  <c r="Q134" i="10"/>
  <c r="Q274" i="10"/>
  <c r="E278" i="10"/>
  <c r="Q278" i="10" s="1"/>
  <c r="E131" i="10"/>
  <c r="Q131" i="10" s="1"/>
  <c r="Q127" i="10"/>
  <c r="Q197" i="10"/>
  <c r="E201" i="10"/>
  <c r="Q201" i="10" s="1"/>
  <c r="Q344" i="10"/>
  <c r="E348" i="10"/>
  <c r="Q348" i="10" s="1"/>
  <c r="P44" i="9"/>
  <c r="P57" i="9" s="1"/>
  <c r="AB27" i="9"/>
  <c r="AB1186" i="9" s="1"/>
  <c r="W27" i="9"/>
  <c r="W1186" i="9" s="1"/>
  <c r="AD141" i="9"/>
  <c r="AC27" i="9"/>
  <c r="AC1186" i="9" s="1"/>
  <c r="AD2224" i="9"/>
  <c r="AD2225" i="9" s="1"/>
  <c r="AD118" i="9"/>
  <c r="V44" i="9"/>
  <c r="V57" i="9" s="1"/>
  <c r="AD15" i="9"/>
  <c r="AD10" i="9" s="1"/>
  <c r="Q27" i="9"/>
  <c r="Q1186" i="9" s="1"/>
  <c r="AB57" i="9"/>
  <c r="AB65" i="9" s="1"/>
  <c r="AB44" i="9"/>
  <c r="F44" i="9"/>
  <c r="F57" i="9" s="1"/>
  <c r="AA44" i="9"/>
  <c r="AA57" i="9" s="1"/>
  <c r="AA65" i="9" s="1"/>
  <c r="K27" i="9"/>
  <c r="K1186" i="9" s="1"/>
  <c r="K44" i="9"/>
  <c r="K57" i="9" s="1"/>
  <c r="Q44" i="9"/>
  <c r="Q57" i="9"/>
  <c r="Q971" i="9" s="1"/>
  <c r="Q973" i="9" s="1"/>
  <c r="Q995" i="9" s="1"/>
  <c r="Q1160" i="9" s="1"/>
  <c r="R27" i="9"/>
  <c r="R1186" i="9" s="1"/>
  <c r="R44" i="9"/>
  <c r="R57" i="9" s="1"/>
  <c r="AC44" i="9"/>
  <c r="AC57" i="9" s="1"/>
  <c r="AC65" i="9" s="1"/>
  <c r="O44" i="9"/>
  <c r="O57" i="9"/>
  <c r="O65" i="9" s="1"/>
  <c r="V27" i="9"/>
  <c r="V1186" i="9" s="1"/>
  <c r="Y27" i="9"/>
  <c r="Y1186" i="9" s="1"/>
  <c r="Y44" i="9"/>
  <c r="Y57" i="9" s="1"/>
  <c r="Y65" i="9" s="1"/>
  <c r="W44" i="9"/>
  <c r="W57" i="9"/>
  <c r="W65" i="9" s="1"/>
  <c r="AD1150" i="9"/>
  <c r="Z27" i="9"/>
  <c r="Z1186" i="9" s="1"/>
  <c r="AA27" i="9"/>
  <c r="AA1186" i="9" s="1"/>
  <c r="F27" i="9"/>
  <c r="F29" i="9" s="1"/>
  <c r="U44" i="9"/>
  <c r="U57" i="9"/>
  <c r="U65" i="9" s="1"/>
  <c r="AD176" i="9"/>
  <c r="T44" i="9"/>
  <c r="T57" i="9"/>
  <c r="T65" i="9" s="1"/>
  <c r="Z44" i="9"/>
  <c r="Z57" i="9" s="1"/>
  <c r="Z65" i="9" s="1"/>
  <c r="H44" i="9"/>
  <c r="AE44" i="9" s="1"/>
  <c r="I44" i="9"/>
  <c r="I57" i="9"/>
  <c r="I27" i="9"/>
  <c r="H27" i="9"/>
  <c r="H1186" i="9" s="1"/>
  <c r="J44" i="9"/>
  <c r="AG44" i="9" s="1"/>
  <c r="L27" i="9"/>
  <c r="L1186" i="9" s="1"/>
  <c r="L44" i="9"/>
  <c r="L57" i="9" s="1"/>
  <c r="L971" i="9" s="1"/>
  <c r="L973" i="9" s="1"/>
  <c r="L995" i="9" s="1"/>
  <c r="L1160" i="9" s="1"/>
  <c r="J27" i="9"/>
  <c r="V971" i="9" l="1"/>
  <c r="V973" i="9" s="1"/>
  <c r="V995" i="9" s="1"/>
  <c r="V1160" i="9" s="1"/>
  <c r="V65" i="9"/>
  <c r="AF27" i="9"/>
  <c r="AE27" i="9"/>
  <c r="AF44" i="9"/>
  <c r="H57" i="9"/>
  <c r="AE57" i="9" s="1"/>
  <c r="R971" i="9"/>
  <c r="R973" i="9" s="1"/>
  <c r="R995" i="9" s="1"/>
  <c r="R1160" i="9" s="1"/>
  <c r="R65" i="9"/>
  <c r="F65" i="9"/>
  <c r="AD57" i="9"/>
  <c r="G57" i="9"/>
  <c r="P971" i="9"/>
  <c r="P973" i="9" s="1"/>
  <c r="P995" i="9" s="1"/>
  <c r="P65" i="9"/>
  <c r="K65" i="9"/>
  <c r="K971" i="9"/>
  <c r="K973" i="9" s="1"/>
  <c r="K995" i="9" s="1"/>
  <c r="K1160" i="9" s="1"/>
  <c r="F67" i="9"/>
  <c r="F59" i="9"/>
  <c r="L94" i="9" s="1"/>
  <c r="L96" i="9" s="1"/>
  <c r="L118" i="9" s="1"/>
  <c r="AD29" i="9"/>
  <c r="G29" i="9"/>
  <c r="O971" i="9"/>
  <c r="O973" i="9" s="1"/>
  <c r="O995" i="9" s="1"/>
  <c r="T971" i="9"/>
  <c r="T973" i="9" s="1"/>
  <c r="T995" i="9" s="1"/>
  <c r="G27" i="9"/>
  <c r="G1186" i="9"/>
  <c r="AF57" i="9"/>
  <c r="U971" i="9"/>
  <c r="U973" i="9" s="1"/>
  <c r="U995" i="9" s="1"/>
  <c r="I971" i="9"/>
  <c r="G44" i="9"/>
  <c r="Q65" i="9"/>
  <c r="AD27" i="9"/>
  <c r="I65" i="9"/>
  <c r="AF65" i="9" s="1"/>
  <c r="J57" i="9"/>
  <c r="J1186" i="9"/>
  <c r="I1186" i="9"/>
  <c r="AD44" i="9"/>
  <c r="W971" i="9"/>
  <c r="W973" i="9" s="1"/>
  <c r="W995" i="9" s="1"/>
  <c r="W1160" i="9" s="1"/>
  <c r="AG27" i="9"/>
  <c r="L65" i="9"/>
  <c r="H971" i="9" l="1"/>
  <c r="AE971" i="9" s="1"/>
  <c r="H65" i="9"/>
  <c r="AE65" i="9" s="1"/>
  <c r="AG57" i="9"/>
  <c r="J971" i="9"/>
  <c r="J65" i="9"/>
  <c r="AG65" i="9" s="1"/>
  <c r="F61" i="9"/>
  <c r="AD65" i="9"/>
  <c r="G65" i="9"/>
  <c r="L141" i="9"/>
  <c r="L176" i="9" s="1"/>
  <c r="L1150" i="9" s="1"/>
  <c r="L1164" i="9" s="1"/>
  <c r="L12" i="9"/>
  <c r="L15" i="9" s="1"/>
  <c r="L29" i="9" s="1"/>
  <c r="G67" i="9"/>
  <c r="F82" i="9"/>
  <c r="AD67" i="9"/>
  <c r="I973" i="9"/>
  <c r="AF971" i="9"/>
  <c r="K94" i="9"/>
  <c r="K96" i="9" s="1"/>
  <c r="K118" i="9" s="1"/>
  <c r="I94" i="9"/>
  <c r="H94" i="9"/>
  <c r="J94" i="9"/>
  <c r="H973" i="9" l="1"/>
  <c r="G971" i="9"/>
  <c r="P94" i="9"/>
  <c r="P96" i="9" s="1"/>
  <c r="P118" i="9" s="1"/>
  <c r="P141" i="9" s="1"/>
  <c r="P176" i="9" s="1"/>
  <c r="P15" i="9" s="1"/>
  <c r="P29" i="9" s="1"/>
  <c r="R94" i="9"/>
  <c r="R96" i="9" s="1"/>
  <c r="R118" i="9" s="1"/>
  <c r="R141" i="9" s="1"/>
  <c r="R176" i="9" s="1"/>
  <c r="H96" i="9"/>
  <c r="O94" i="9"/>
  <c r="O96" i="9" s="1"/>
  <c r="O118" i="9" s="1"/>
  <c r="O141" i="9" s="1"/>
  <c r="O176" i="9" s="1"/>
  <c r="O15" i="9" s="1"/>
  <c r="O29" i="9" s="1"/>
  <c r="Q94" i="9"/>
  <c r="Q96" i="9" s="1"/>
  <c r="Q118" i="9" s="1"/>
  <c r="Q141" i="9" s="1"/>
  <c r="Q176" i="9" s="1"/>
  <c r="U94" i="9"/>
  <c r="U96" i="9" s="1"/>
  <c r="U118" i="9" s="1"/>
  <c r="U141" i="9" s="1"/>
  <c r="U176" i="9" s="1"/>
  <c r="U15" i="9" s="1"/>
  <c r="U29" i="9" s="1"/>
  <c r="T94" i="9"/>
  <c r="T96" i="9" s="1"/>
  <c r="T118" i="9" s="1"/>
  <c r="T141" i="9" s="1"/>
  <c r="T176" i="9" s="1"/>
  <c r="T15" i="9" s="1"/>
  <c r="T29" i="9" s="1"/>
  <c r="V94" i="9"/>
  <c r="V96" i="9" s="1"/>
  <c r="V118" i="9" s="1"/>
  <c r="V141" i="9" s="1"/>
  <c r="V176" i="9" s="1"/>
  <c r="W94" i="9"/>
  <c r="W96" i="9" s="1"/>
  <c r="W118" i="9" s="1"/>
  <c r="W141" i="9" s="1"/>
  <c r="W176" i="9" s="1"/>
  <c r="I96" i="9"/>
  <c r="L67" i="9"/>
  <c r="L82" i="9" s="1"/>
  <c r="L59" i="9"/>
  <c r="Y101" i="8"/>
  <c r="Z101" i="8" s="1"/>
  <c r="G973" i="9"/>
  <c r="AD971" i="9"/>
  <c r="K12" i="9"/>
  <c r="K15" i="9" s="1"/>
  <c r="K29" i="9" s="1"/>
  <c r="K141" i="9"/>
  <c r="K176" i="9" s="1"/>
  <c r="K1150" i="9" s="1"/>
  <c r="K1164" i="9" s="1"/>
  <c r="AF973" i="9"/>
  <c r="I995" i="9"/>
  <c r="AA971" i="9"/>
  <c r="AA973" i="9" s="1"/>
  <c r="AA995" i="9" s="1"/>
  <c r="AA1160" i="9" s="1"/>
  <c r="Z971" i="9"/>
  <c r="Z973" i="9" s="1"/>
  <c r="Z995" i="9" s="1"/>
  <c r="Z1160" i="9" s="1"/>
  <c r="Y971" i="9"/>
  <c r="Y973" i="9" s="1"/>
  <c r="Y995" i="9" s="1"/>
  <c r="Y1160" i="9" s="1"/>
  <c r="AC971" i="9"/>
  <c r="AC973" i="9" s="1"/>
  <c r="AC995" i="9" s="1"/>
  <c r="AC1160" i="9" s="1"/>
  <c r="AB971" i="9"/>
  <c r="AB973" i="9" s="1"/>
  <c r="AB995" i="9" s="1"/>
  <c r="AB1160" i="9" s="1"/>
  <c r="J973" i="9"/>
  <c r="G82" i="9"/>
  <c r="AD82" i="9"/>
  <c r="L1143" i="9"/>
  <c r="L1147" i="9" s="1"/>
  <c r="J96" i="9"/>
  <c r="AB94" i="9"/>
  <c r="AB96" i="9" s="1"/>
  <c r="AB118" i="9" s="1"/>
  <c r="AB141" i="9" s="1"/>
  <c r="AB176" i="9" s="1"/>
  <c r="Y94" i="9"/>
  <c r="Y96" i="9" s="1"/>
  <c r="Y118" i="9" s="1"/>
  <c r="Y141" i="9" s="1"/>
  <c r="Y176" i="9" s="1"/>
  <c r="AC94" i="9"/>
  <c r="AC96" i="9" s="1"/>
  <c r="AC118" i="9" s="1"/>
  <c r="AC141" i="9" s="1"/>
  <c r="AC176" i="9" s="1"/>
  <c r="AA94" i="9"/>
  <c r="AA96" i="9" s="1"/>
  <c r="AA118" i="9" s="1"/>
  <c r="AA141" i="9" s="1"/>
  <c r="AA176" i="9" s="1"/>
  <c r="Z94" i="9"/>
  <c r="Z96" i="9" s="1"/>
  <c r="Z118" i="9" s="1"/>
  <c r="Z141" i="9" s="1"/>
  <c r="Z176" i="9" s="1"/>
  <c r="H995" i="9"/>
  <c r="AE973" i="9"/>
  <c r="H1160" i="9" l="1"/>
  <c r="AE1160" i="9" s="1"/>
  <c r="AE995" i="9"/>
  <c r="AD973" i="9"/>
  <c r="G995" i="9"/>
  <c r="AC1150" i="9"/>
  <c r="AC1164" i="9" s="1"/>
  <c r="AC15" i="9"/>
  <c r="AC29" i="9" s="1"/>
  <c r="AF995" i="9"/>
  <c r="I1160" i="9"/>
  <c r="AF1160" i="9" s="1"/>
  <c r="Y15" i="9"/>
  <c r="Y29" i="9" s="1"/>
  <c r="Y1150" i="9"/>
  <c r="Y1164" i="9" s="1"/>
  <c r="AG973" i="9"/>
  <c r="J995" i="9"/>
  <c r="AF96" i="9"/>
  <c r="I118" i="9"/>
  <c r="H118" i="9"/>
  <c r="AE96" i="9"/>
  <c r="AB1150" i="9"/>
  <c r="AB1164" i="9" s="1"/>
  <c r="AB15" i="9"/>
  <c r="AB29" i="9" s="1"/>
  <c r="K1143" i="9"/>
  <c r="K1147" i="9" s="1"/>
  <c r="W15" i="9"/>
  <c r="W29" i="9" s="1"/>
  <c r="W1150" i="9"/>
  <c r="W1164" i="9" s="1"/>
  <c r="R15" i="9"/>
  <c r="R29" i="9" s="1"/>
  <c r="R1150" i="9"/>
  <c r="R1164" i="9" s="1"/>
  <c r="Z15" i="9"/>
  <c r="Z29" i="9" s="1"/>
  <c r="Z1150" i="9"/>
  <c r="Z1164" i="9" s="1"/>
  <c r="L61" i="9"/>
  <c r="AR93" i="9"/>
  <c r="AR94" i="9" s="1"/>
  <c r="Q15" i="9"/>
  <c r="Q29" i="9" s="1"/>
  <c r="Q1150" i="9"/>
  <c r="Q1164" i="9" s="1"/>
  <c r="K59" i="9"/>
  <c r="K67" i="9"/>
  <c r="K82" i="9" s="1"/>
  <c r="AF94" i="9"/>
  <c r="AE94" i="9"/>
  <c r="AA1150" i="9"/>
  <c r="AA1164" i="9" s="1"/>
  <c r="AA15" i="9"/>
  <c r="AA29" i="9" s="1"/>
  <c r="AG94" i="9"/>
  <c r="J118" i="9"/>
  <c r="AG96" i="9"/>
  <c r="AG971" i="9"/>
  <c r="V15" i="9"/>
  <c r="V29" i="9" s="1"/>
  <c r="V1150" i="9"/>
  <c r="V1164" i="9" s="1"/>
  <c r="K61" i="9" l="1"/>
  <c r="AQ93" i="9"/>
  <c r="AQ94" i="9" s="1"/>
  <c r="H141" i="9"/>
  <c r="AE118" i="9"/>
  <c r="AE2224" i="9" s="1"/>
  <c r="AE2225" i="9" s="1"/>
  <c r="H12" i="9"/>
  <c r="H15" i="9" s="1"/>
  <c r="AF118" i="9"/>
  <c r="I141" i="9"/>
  <c r="I12" i="9"/>
  <c r="I15" i="9" s="1"/>
  <c r="AC1143" i="9"/>
  <c r="AC1147" i="9" s="1"/>
  <c r="AG118" i="9"/>
  <c r="AG2224" i="9" s="1"/>
  <c r="AG2225" i="9" s="1"/>
  <c r="J12" i="9"/>
  <c r="J15" i="9" s="1"/>
  <c r="J141" i="9"/>
  <c r="J1160" i="9"/>
  <c r="AG1160" i="9" s="1"/>
  <c r="AG995" i="9"/>
  <c r="AD995" i="9"/>
  <c r="G1160" i="9"/>
  <c r="AA1143" i="9"/>
  <c r="AA1147" i="9" s="1"/>
  <c r="Z1143" i="9"/>
  <c r="Z1147" i="9" s="1"/>
  <c r="Y1143" i="9"/>
  <c r="Y1147" i="9" s="1"/>
  <c r="AF2224" i="9"/>
  <c r="AF2225" i="9" s="1"/>
  <c r="AB1143" i="9"/>
  <c r="AB1147" i="9" s="1"/>
  <c r="J176" i="9" l="1"/>
  <c r="AG141" i="9"/>
  <c r="J29" i="9"/>
  <c r="AG15" i="9"/>
  <c r="AG10" i="9" s="1"/>
  <c r="AE15" i="9"/>
  <c r="AE10" i="9" s="1"/>
  <c r="H29" i="9"/>
  <c r="AD1160" i="9"/>
  <c r="G1164" i="9"/>
  <c r="AE141" i="9"/>
  <c r="H176" i="9"/>
  <c r="I29" i="9"/>
  <c r="AF15" i="9"/>
  <c r="AF10" i="9" s="1"/>
  <c r="I176" i="9"/>
  <c r="AF141" i="9"/>
  <c r="AD1164" i="9" l="1"/>
  <c r="I1150" i="9"/>
  <c r="AF176" i="9"/>
  <c r="AE29" i="9"/>
  <c r="H59" i="9"/>
  <c r="H67" i="9"/>
  <c r="AG29" i="9"/>
  <c r="J67" i="9"/>
  <c r="J59" i="9"/>
  <c r="I59" i="9"/>
  <c r="I67" i="9"/>
  <c r="AF29" i="9"/>
  <c r="H1150" i="9"/>
  <c r="AE176" i="9"/>
  <c r="J1150" i="9"/>
  <c r="AG176" i="9"/>
  <c r="AG1150" i="9" l="1"/>
  <c r="J1164" i="9"/>
  <c r="R67" i="9"/>
  <c r="R82" i="9" s="1"/>
  <c r="H61" i="9"/>
  <c r="O67" i="9"/>
  <c r="O82" i="9" s="1"/>
  <c r="Q67" i="9"/>
  <c r="Q82" i="9" s="1"/>
  <c r="P67" i="9"/>
  <c r="P82" i="9" s="1"/>
  <c r="AN93" i="9"/>
  <c r="I82" i="9"/>
  <c r="W67" i="9"/>
  <c r="W82" i="9" s="1"/>
  <c r="I61" i="9"/>
  <c r="T67" i="9"/>
  <c r="T82" i="9" s="1"/>
  <c r="V67" i="9"/>
  <c r="V82" i="9" s="1"/>
  <c r="U67" i="9"/>
  <c r="U82" i="9" s="1"/>
  <c r="AO93" i="9"/>
  <c r="AO94" i="9" s="1"/>
  <c r="I1164" i="9"/>
  <c r="AF1150" i="9"/>
  <c r="Z67" i="9"/>
  <c r="Z82" i="9" s="1"/>
  <c r="J61" i="9"/>
  <c r="AC67" i="9"/>
  <c r="AC82" i="9" s="1"/>
  <c r="AB67" i="9"/>
  <c r="AB82" i="9" s="1"/>
  <c r="Y67" i="9"/>
  <c r="Y82" i="9" s="1"/>
  <c r="AA67" i="9"/>
  <c r="AA82" i="9" s="1"/>
  <c r="AP93" i="9"/>
  <c r="AP94" i="9" s="1"/>
  <c r="H82" i="9"/>
  <c r="H1164" i="9"/>
  <c r="AE1150" i="9"/>
  <c r="J82" i="9"/>
  <c r="AS93" i="9" l="1"/>
  <c r="AN94" i="9"/>
  <c r="AS94" i="9" s="1"/>
  <c r="AG67" i="9"/>
  <c r="AG82" i="9"/>
  <c r="AE1164" i="9"/>
  <c r="H1143" i="9"/>
  <c r="AE67" i="9"/>
  <c r="AE82" i="9"/>
  <c r="AF67" i="9"/>
  <c r="AG1164" i="9"/>
  <c r="J1143" i="9"/>
  <c r="I1143" i="9"/>
  <c r="AF1164" i="9"/>
  <c r="AF82" i="9"/>
  <c r="J1147" i="9" l="1"/>
  <c r="AG1147" i="9" s="1"/>
  <c r="AG1143" i="9"/>
  <c r="V1143" i="9"/>
  <c r="V1147" i="9" s="1"/>
  <c r="I1147" i="9"/>
  <c r="W1143" i="9"/>
  <c r="W1147" i="9" s="1"/>
  <c r="T1143" i="9"/>
  <c r="T1147" i="9" s="1"/>
  <c r="U1143" i="9"/>
  <c r="U1147" i="9" s="1"/>
  <c r="H1147" i="9"/>
  <c r="O1143" i="9"/>
  <c r="O1147" i="9" s="1"/>
  <c r="G1143" i="9"/>
  <c r="Q1143" i="9"/>
  <c r="Q1147" i="9" s="1"/>
  <c r="P1143" i="9"/>
  <c r="P1147" i="9" s="1"/>
  <c r="R1143" i="9"/>
  <c r="R1147" i="9" s="1"/>
  <c r="AF1147" i="9" l="1"/>
  <c r="Y243" i="8"/>
  <c r="Z243" i="8" s="1"/>
  <c r="G1147" i="9"/>
  <c r="AD1143" i="9"/>
  <c r="AF1143" i="9"/>
  <c r="AE1143" i="9"/>
  <c r="AE1147" i="9"/>
  <c r="AD1147" i="9" l="1"/>
  <c r="G1166" i="9"/>
  <c r="I1166" i="9" l="1"/>
  <c r="F23" i="9"/>
  <c r="L1166" i="9"/>
  <c r="H1166" i="9"/>
  <c r="AD1166" i="9"/>
  <c r="K1166" i="9"/>
  <c r="J1166" i="9"/>
  <c r="G1168" i="9"/>
  <c r="AD1168" i="9" l="1"/>
  <c r="G1172" i="9"/>
  <c r="G1184" i="9" s="1"/>
  <c r="K23" i="9"/>
  <c r="K75" i="9" s="1"/>
  <c r="K1168" i="9"/>
  <c r="K1172" i="9" s="1"/>
  <c r="K1184" i="9" s="1"/>
  <c r="K22" i="9" s="1"/>
  <c r="H23" i="9"/>
  <c r="R1166" i="9"/>
  <c r="Q1166" i="9"/>
  <c r="H1168" i="9"/>
  <c r="L23" i="9"/>
  <c r="L75" i="9" s="1"/>
  <c r="L1168" i="9"/>
  <c r="L1172" i="9" s="1"/>
  <c r="L1184" i="9" s="1"/>
  <c r="L22" i="9" s="1"/>
  <c r="AC1166" i="9"/>
  <c r="J23" i="9"/>
  <c r="Z1166" i="9"/>
  <c r="AA1166" i="9"/>
  <c r="Y1166" i="9"/>
  <c r="AB1166" i="9"/>
  <c r="J1168" i="9"/>
  <c r="F75" i="9"/>
  <c r="AD23" i="9"/>
  <c r="G23" i="9"/>
  <c r="V1166" i="9"/>
  <c r="W1166" i="9"/>
  <c r="I23" i="9"/>
  <c r="I1168" i="9"/>
  <c r="Q23" i="9" l="1"/>
  <c r="Q75" i="9" s="1"/>
  <c r="Q1168" i="9"/>
  <c r="Q1172" i="9" s="1"/>
  <c r="Q1184" i="9" s="1"/>
  <c r="Q22" i="9" s="1"/>
  <c r="Q73" i="9" s="1"/>
  <c r="AE1166" i="9"/>
  <c r="Y23" i="9"/>
  <c r="Y75" i="9" s="1"/>
  <c r="Y1168" i="9"/>
  <c r="Y1172" i="9" s="1"/>
  <c r="Y1184" i="9" s="1"/>
  <c r="Y22" i="9" s="1"/>
  <c r="Y73" i="9" s="1"/>
  <c r="V23" i="9"/>
  <c r="V75" i="9" s="1"/>
  <c r="V1168" i="9"/>
  <c r="V1172" i="9" s="1"/>
  <c r="V1184" i="9" s="1"/>
  <c r="V22" i="9" s="1"/>
  <c r="V73" i="9" s="1"/>
  <c r="AF1166" i="9"/>
  <c r="H75" i="9"/>
  <c r="AE75" i="9" s="1"/>
  <c r="Z23" i="9"/>
  <c r="Z75" i="9" s="1"/>
  <c r="Z1168" i="9"/>
  <c r="Z1172" i="9" s="1"/>
  <c r="Z1184" i="9" s="1"/>
  <c r="Z22" i="9" s="1"/>
  <c r="Z73" i="9" s="1"/>
  <c r="AD75" i="9"/>
  <c r="G75" i="9"/>
  <c r="K1842" i="9"/>
  <c r="K1845" i="9" s="1"/>
  <c r="K1859" i="9" s="1"/>
  <c r="K73" i="9"/>
  <c r="AA23" i="9"/>
  <c r="AA75" i="9" s="1"/>
  <c r="AA1168" i="9"/>
  <c r="AA1172" i="9" s="1"/>
  <c r="AA1184" i="9" s="1"/>
  <c r="AA22" i="9" s="1"/>
  <c r="AA73" i="9" s="1"/>
  <c r="R23" i="9"/>
  <c r="R75" i="9" s="1"/>
  <c r="R1168" i="9"/>
  <c r="R1172" i="9" s="1"/>
  <c r="R1184" i="9" s="1"/>
  <c r="R22" i="9" s="1"/>
  <c r="R73" i="9" s="1"/>
  <c r="J75" i="9"/>
  <c r="L1842" i="9"/>
  <c r="L1845" i="9" s="1"/>
  <c r="L1859" i="9" s="1"/>
  <c r="L73" i="9"/>
  <c r="AC23" i="9"/>
  <c r="AC75" i="9" s="1"/>
  <c r="AC1168" i="9"/>
  <c r="AC1172" i="9" s="1"/>
  <c r="AC1184" i="9" s="1"/>
  <c r="AC22" i="9" s="1"/>
  <c r="AC73" i="9" s="1"/>
  <c r="I1172" i="9"/>
  <c r="I1184" i="9" s="1"/>
  <c r="J1172" i="9"/>
  <c r="J1184" i="9" s="1"/>
  <c r="I75" i="9"/>
  <c r="AF75" i="9" s="1"/>
  <c r="AF23" i="9"/>
  <c r="AD1184" i="9"/>
  <c r="F22" i="9"/>
  <c r="AB23" i="9"/>
  <c r="AB75" i="9" s="1"/>
  <c r="AB1168" i="9"/>
  <c r="AB1172" i="9" s="1"/>
  <c r="AB1184" i="9" s="1"/>
  <c r="AB22" i="9" s="1"/>
  <c r="AB73" i="9" s="1"/>
  <c r="W23" i="9"/>
  <c r="W75" i="9" s="1"/>
  <c r="W1168" i="9"/>
  <c r="W1172" i="9" s="1"/>
  <c r="W1184" i="9" s="1"/>
  <c r="W22" i="9" s="1"/>
  <c r="W73" i="9" s="1"/>
  <c r="AG1166" i="9"/>
  <c r="AE1168" i="9"/>
  <c r="H1172" i="9"/>
  <c r="H1184" i="9" s="1"/>
  <c r="AG75" i="9" l="1"/>
  <c r="AG23" i="9"/>
  <c r="AG1168" i="9"/>
  <c r="K41" i="9"/>
  <c r="K1886" i="9"/>
  <c r="AG1184" i="9"/>
  <c r="J22" i="9"/>
  <c r="I22" i="9"/>
  <c r="AF1184" i="9"/>
  <c r="AF1168" i="9"/>
  <c r="AD22" i="9"/>
  <c r="G22" i="9"/>
  <c r="F73" i="9"/>
  <c r="L1886" i="9"/>
  <c r="L41" i="9"/>
  <c r="H22" i="9"/>
  <c r="AE1184" i="9"/>
  <c r="AE23" i="9"/>
  <c r="H1842" i="9" l="1"/>
  <c r="H73" i="9"/>
  <c r="AE73" i="9" s="1"/>
  <c r="AE22" i="9"/>
  <c r="AG22" i="9"/>
  <c r="J73" i="9"/>
  <c r="AG73" i="9" s="1"/>
  <c r="J1842" i="9"/>
  <c r="AF22" i="9"/>
  <c r="I73" i="9"/>
  <c r="AF73" i="9" s="1"/>
  <c r="I1842" i="9"/>
  <c r="G73" i="9"/>
  <c r="AD73" i="9"/>
  <c r="Z1842" i="9" l="1"/>
  <c r="Z1845" i="9" s="1"/>
  <c r="Z1859" i="9" s="1"/>
  <c r="J1845" i="9"/>
  <c r="Y1842" i="9"/>
  <c r="Y1845" i="9" s="1"/>
  <c r="Y1859" i="9" s="1"/>
  <c r="AB1842" i="9"/>
  <c r="AB1845" i="9" s="1"/>
  <c r="AB1859" i="9" s="1"/>
  <c r="AC1842" i="9"/>
  <c r="AC1845" i="9" s="1"/>
  <c r="AC1859" i="9" s="1"/>
  <c r="AA1842" i="9"/>
  <c r="AA1845" i="9" s="1"/>
  <c r="AA1859" i="9" s="1"/>
  <c r="I1845" i="9"/>
  <c r="W1842" i="9"/>
  <c r="W1845" i="9" s="1"/>
  <c r="W1859" i="9" s="1"/>
  <c r="T1842" i="9"/>
  <c r="T1845" i="9" s="1"/>
  <c r="T1859" i="9" s="1"/>
  <c r="V1842" i="9"/>
  <c r="V1845" i="9" s="1"/>
  <c r="V1859" i="9" s="1"/>
  <c r="U1842" i="9"/>
  <c r="U1845" i="9" s="1"/>
  <c r="U1859" i="9" s="1"/>
  <c r="P1842" i="9"/>
  <c r="P1845" i="9" s="1"/>
  <c r="P1859" i="9" s="1"/>
  <c r="P41" i="9" s="1"/>
  <c r="H1845" i="9"/>
  <c r="G1842" i="9"/>
  <c r="Q1842" i="9"/>
  <c r="Q1845" i="9" s="1"/>
  <c r="Q1859" i="9" s="1"/>
  <c r="Q41" i="9" s="1"/>
  <c r="O1842" i="9"/>
  <c r="O1845" i="9" s="1"/>
  <c r="O1859" i="9" s="1"/>
  <c r="O41" i="9" s="1"/>
  <c r="R1842" i="9"/>
  <c r="R1845" i="9" s="1"/>
  <c r="R1859" i="9" s="1"/>
  <c r="R41" i="9" s="1"/>
  <c r="AE1842" i="9" l="1"/>
  <c r="AD1842" i="9"/>
  <c r="Y316" i="8"/>
  <c r="Z316" i="8" s="1"/>
  <c r="G1845" i="9"/>
  <c r="I1859" i="9"/>
  <c r="AF1845" i="9"/>
  <c r="AE1845" i="9"/>
  <c r="H1859" i="9"/>
  <c r="AG1842" i="9"/>
  <c r="AA1886" i="9"/>
  <c r="AA41" i="9"/>
  <c r="AC41" i="9"/>
  <c r="AC1886" i="9"/>
  <c r="AB41" i="9"/>
  <c r="AB1886" i="9"/>
  <c r="Y1886" i="9"/>
  <c r="Y41" i="9"/>
  <c r="U1886" i="9"/>
  <c r="U41" i="9"/>
  <c r="AF1842" i="9"/>
  <c r="V1886" i="9"/>
  <c r="V41" i="9"/>
  <c r="T1886" i="9"/>
  <c r="T41" i="9"/>
  <c r="J1859" i="9"/>
  <c r="AG1845" i="9"/>
  <c r="W1886" i="9"/>
  <c r="W41" i="9"/>
  <c r="Z41" i="9"/>
  <c r="Z1886" i="9"/>
  <c r="H41" i="9" l="1"/>
  <c r="AE41" i="9" s="1"/>
  <c r="H1886" i="9"/>
  <c r="AE1859" i="9"/>
  <c r="I41" i="9"/>
  <c r="AF41" i="9" s="1"/>
  <c r="I1886" i="9"/>
  <c r="AF1886" i="9" s="1"/>
  <c r="AF1859" i="9"/>
  <c r="AD1845" i="9"/>
  <c r="G1859" i="9"/>
  <c r="J1886" i="9"/>
  <c r="AG1886" i="9" s="1"/>
  <c r="AG1859" i="9"/>
  <c r="J41" i="9"/>
  <c r="AG41" i="9" s="1"/>
  <c r="G1886" i="9" l="1"/>
  <c r="AD1886" i="9" s="1"/>
  <c r="F41" i="9"/>
  <c r="AD1859" i="9"/>
  <c r="O1886" i="9"/>
  <c r="P1886" i="9"/>
  <c r="Q1886" i="9"/>
  <c r="R1886" i="9"/>
  <c r="AE1886" i="9" l="1"/>
  <c r="G41" i="9"/>
  <c r="AD41" i="9"/>
  <c r="AC12" i="12" l="1"/>
  <c r="AC17" i="12" l="1"/>
  <c r="AC16" i="12"/>
  <c r="R102" i="12" l="1"/>
  <c r="R106" i="12"/>
  <c r="R103" i="12"/>
  <c r="R105" i="12"/>
  <c r="Z105" i="12" l="1"/>
  <c r="Z103" i="12"/>
  <c r="Z106" i="12"/>
  <c r="Z102" i="12"/>
  <c r="Z111" i="12" l="1"/>
  <c r="AC2631" i="12"/>
  <c r="AC2618" i="12"/>
  <c r="AC2630" i="12"/>
  <c r="AD2630" i="12" l="1"/>
  <c r="AD2618" i="12"/>
  <c r="AC2619" i="12"/>
  <c r="AD2631" i="12"/>
  <c r="AC111" i="12"/>
  <c r="R29" i="12"/>
  <c r="AC1714" i="12"/>
  <c r="AC1203" i="12"/>
  <c r="AC1868" i="12"/>
  <c r="AC1828" i="12"/>
  <c r="AC1989" i="12" l="1"/>
  <c r="AC1613" i="12"/>
  <c r="AC1805" i="12"/>
  <c r="AD1203" i="12"/>
  <c r="R2632" i="12"/>
  <c r="AD1828" i="12"/>
  <c r="AC23" i="12"/>
  <c r="AD1714" i="12"/>
  <c r="AD2619" i="12"/>
  <c r="R2621" i="12"/>
  <c r="R169" i="12"/>
  <c r="R30" i="12"/>
  <c r="Z29" i="12"/>
  <c r="R66" i="12"/>
  <c r="R132" i="12"/>
  <c r="R32" i="12"/>
  <c r="R206" i="12"/>
  <c r="AC1715" i="12"/>
  <c r="AC1387" i="12"/>
  <c r="AC1806" i="12"/>
  <c r="AD1868" i="12"/>
  <c r="AC1204" i="12"/>
  <c r="R2631" i="12"/>
  <c r="Z2631" i="12" l="1"/>
  <c r="R207" i="12"/>
  <c r="R31" i="12"/>
  <c r="R133" i="12"/>
  <c r="R33" i="12"/>
  <c r="Z30" i="12"/>
  <c r="R67" i="12"/>
  <c r="R170" i="12"/>
  <c r="R1714" i="12"/>
  <c r="R1329" i="12"/>
  <c r="R1245" i="12"/>
  <c r="R1287" i="12"/>
  <c r="R1203" i="12"/>
  <c r="R1371" i="12"/>
  <c r="AD1204" i="12"/>
  <c r="AD1715" i="12"/>
  <c r="Z169" i="12"/>
  <c r="AD1805" i="12"/>
  <c r="AC683" i="12"/>
  <c r="R1882" i="12"/>
  <c r="R1874" i="12"/>
  <c r="R1858" i="12"/>
  <c r="R1866" i="12"/>
  <c r="Z206" i="12"/>
  <c r="Z2621" i="12"/>
  <c r="R69" i="12"/>
  <c r="R135" i="12"/>
  <c r="R209" i="12"/>
  <c r="Z32" i="12"/>
  <c r="R172" i="12"/>
  <c r="R1828" i="12"/>
  <c r="R1817" i="12"/>
  <c r="R1839" i="12"/>
  <c r="R1850" i="12"/>
  <c r="AD1613" i="12"/>
  <c r="AD1806" i="12"/>
  <c r="Z132" i="12"/>
  <c r="R2622" i="12"/>
  <c r="Z66" i="12"/>
  <c r="AD1989" i="12"/>
  <c r="AD1387" i="12"/>
  <c r="Z2632" i="12"/>
  <c r="R1393" i="12" l="1"/>
  <c r="Z1817" i="12"/>
  <c r="Z1874" i="12"/>
  <c r="Z1287" i="12"/>
  <c r="R173" i="12"/>
  <c r="R70" i="12"/>
  <c r="R136" i="12"/>
  <c r="Z33" i="12"/>
  <c r="R210" i="12"/>
  <c r="Z1882" i="12"/>
  <c r="R1715" i="12"/>
  <c r="Z1245" i="12"/>
  <c r="Z133" i="12"/>
  <c r="R2091" i="12"/>
  <c r="R2020" i="12"/>
  <c r="R2226" i="12"/>
  <c r="R2203" i="12"/>
  <c r="R2068" i="12"/>
  <c r="R2157" i="12"/>
  <c r="R2180" i="12"/>
  <c r="R2135" i="12"/>
  <c r="R2044" i="12"/>
  <c r="R1996" i="12"/>
  <c r="R2113" i="12"/>
  <c r="R1806" i="12"/>
  <c r="Z1828" i="12"/>
  <c r="AD683" i="12"/>
  <c r="Z1329" i="12"/>
  <c r="R134" i="12"/>
  <c r="R171" i="12"/>
  <c r="R68" i="12"/>
  <c r="Z31" i="12"/>
  <c r="R208" i="12"/>
  <c r="Z172" i="12"/>
  <c r="R1805" i="12"/>
  <c r="R1288" i="12"/>
  <c r="R1372" i="12"/>
  <c r="R1204" i="12"/>
  <c r="R1246" i="12"/>
  <c r="R1330" i="12"/>
  <c r="Z207" i="12"/>
  <c r="R1656" i="12"/>
  <c r="R1638" i="12"/>
  <c r="R1618" i="12"/>
  <c r="Z1714" i="12"/>
  <c r="Z209" i="12"/>
  <c r="Z1866" i="12"/>
  <c r="Z1371" i="12"/>
  <c r="Z170" i="12"/>
  <c r="Z1850" i="12"/>
  <c r="Z135" i="12"/>
  <c r="Z67" i="12"/>
  <c r="AC979" i="12"/>
  <c r="AC1492" i="12"/>
  <c r="Z2622" i="12"/>
  <c r="Z1839" i="12"/>
  <c r="Z69" i="12"/>
  <c r="Z1858" i="12"/>
  <c r="Z1203" i="12"/>
  <c r="AD1492" i="12" l="1"/>
  <c r="Z171" i="12"/>
  <c r="Z134" i="12"/>
  <c r="Z2068" i="12"/>
  <c r="Z210" i="12"/>
  <c r="AD979" i="12"/>
  <c r="Z2157" i="12"/>
  <c r="Z1805" i="12"/>
  <c r="Z1806" i="12"/>
  <c r="Z2203" i="12"/>
  <c r="Z2113" i="12"/>
  <c r="Z2226" i="12"/>
  <c r="Z136" i="12"/>
  <c r="Z1996" i="12"/>
  <c r="Z2020" i="12"/>
  <c r="Z1715" i="12"/>
  <c r="Z70" i="12"/>
  <c r="Z1246" i="12"/>
  <c r="Z185" i="12"/>
  <c r="Z1618" i="12"/>
  <c r="Z1204" i="12"/>
  <c r="Z208" i="12"/>
  <c r="R688" i="12"/>
  <c r="Z2044" i="12"/>
  <c r="Z2091" i="12"/>
  <c r="Z173" i="12"/>
  <c r="Z1656" i="12"/>
  <c r="Z1288" i="12"/>
  <c r="Z68" i="12"/>
  <c r="Z2180" i="12"/>
  <c r="Z1330" i="12"/>
  <c r="Z1638" i="12"/>
  <c r="Z1372" i="12"/>
  <c r="Z45" i="12"/>
  <c r="Z2135" i="12"/>
  <c r="R1475" i="12"/>
  <c r="R1415" i="12"/>
  <c r="R1435" i="12"/>
  <c r="R1455" i="12"/>
  <c r="Z1393" i="12"/>
  <c r="R2313" i="12"/>
  <c r="AC22" i="12"/>
  <c r="AC1386" i="12"/>
  <c r="AC1612" i="12"/>
  <c r="AC1988" i="12"/>
  <c r="AC1827" i="12"/>
  <c r="AC1867" i="12"/>
  <c r="Z1415" i="12" l="1"/>
  <c r="AD1386" i="12"/>
  <c r="Z1475" i="12"/>
  <c r="Z82" i="12"/>
  <c r="AC11" i="12" s="1"/>
  <c r="AD1827" i="12"/>
  <c r="AD1867" i="12"/>
  <c r="R535" i="12"/>
  <c r="R364" i="12"/>
  <c r="R709" i="12"/>
  <c r="Z688" i="12"/>
  <c r="R751" i="12"/>
  <c r="R667" i="12"/>
  <c r="R771" i="12"/>
  <c r="R399" i="12"/>
  <c r="R601" i="12"/>
  <c r="R903" i="12"/>
  <c r="R568" i="12"/>
  <c r="R866" i="12"/>
  <c r="R634" i="12"/>
  <c r="R730" i="12"/>
  <c r="R847" i="12"/>
  <c r="R256" i="12"/>
  <c r="R790" i="12"/>
  <c r="R885" i="12"/>
  <c r="R467" i="12"/>
  <c r="R328" i="12"/>
  <c r="R501" i="12"/>
  <c r="R939" i="12"/>
  <c r="R828" i="12"/>
  <c r="R433" i="12"/>
  <c r="R957" i="12"/>
  <c r="R809" i="12"/>
  <c r="R921" i="12"/>
  <c r="R292" i="12"/>
  <c r="AC185" i="12"/>
  <c r="Z148" i="12"/>
  <c r="AD22" i="12"/>
  <c r="Z2313" i="12"/>
  <c r="R2521" i="12"/>
  <c r="R2417" i="12"/>
  <c r="AD23" i="12"/>
  <c r="AD1988" i="12"/>
  <c r="Z1455" i="12"/>
  <c r="AC21" i="12"/>
  <c r="V45" i="12"/>
  <c r="T45" i="12"/>
  <c r="R980" i="12"/>
  <c r="AD1612" i="12"/>
  <c r="Z1435" i="12"/>
  <c r="Z222" i="12"/>
  <c r="R1515" i="12"/>
  <c r="R1973" i="12"/>
  <c r="R1534" i="12"/>
  <c r="R1556" i="12"/>
  <c r="R1600" i="12"/>
  <c r="R1578" i="12"/>
  <c r="R1494" i="12"/>
  <c r="AC682" i="12"/>
  <c r="X45" i="12" l="1"/>
  <c r="AC15" i="12"/>
  <c r="AC13" i="12"/>
  <c r="AD682" i="12"/>
  <c r="Z2677" i="12"/>
  <c r="Z921" i="12"/>
  <c r="R2134" i="12"/>
  <c r="R1995" i="12"/>
  <c r="R2179" i="12"/>
  <c r="R2090" i="12"/>
  <c r="R2202" i="12"/>
  <c r="R2043" i="12"/>
  <c r="R2225" i="12"/>
  <c r="R2019" i="12"/>
  <c r="R2156" i="12"/>
  <c r="R2112" i="12"/>
  <c r="R2067" i="12"/>
  <c r="R43" i="12"/>
  <c r="Z809" i="12"/>
  <c r="Z885" i="12"/>
  <c r="Z903" i="12"/>
  <c r="Z364" i="12"/>
  <c r="R2603" i="12"/>
  <c r="R2328" i="12"/>
  <c r="Z1494" i="12"/>
  <c r="R1916" i="12"/>
  <c r="Z467" i="12"/>
  <c r="Z1578" i="12"/>
  <c r="Z957" i="12"/>
  <c r="Z790" i="12"/>
  <c r="Z601" i="12"/>
  <c r="Z535" i="12"/>
  <c r="Z1600" i="12"/>
  <c r="AC148" i="12"/>
  <c r="Z433" i="12"/>
  <c r="Z256" i="12"/>
  <c r="Z399" i="12"/>
  <c r="AC82" i="12"/>
  <c r="Z1556" i="12"/>
  <c r="R1655" i="12"/>
  <c r="R1617" i="12"/>
  <c r="R1637" i="12"/>
  <c r="N29" i="12"/>
  <c r="R44" i="12"/>
  <c r="Z828" i="12"/>
  <c r="Z847" i="12"/>
  <c r="Z771" i="12"/>
  <c r="R1881" i="12"/>
  <c r="R1857" i="12"/>
  <c r="R1873" i="12"/>
  <c r="R1865" i="12"/>
  <c r="R1392" i="12"/>
  <c r="Z568" i="12"/>
  <c r="Z1534" i="12"/>
  <c r="Z2417" i="12"/>
  <c r="Z939" i="12"/>
  <c r="Z730" i="12"/>
  <c r="Z667" i="12"/>
  <c r="AC222" i="12"/>
  <c r="Z709" i="12"/>
  <c r="Z2521" i="12"/>
  <c r="Z501" i="12"/>
  <c r="Z634" i="12"/>
  <c r="Z751" i="12"/>
  <c r="R1849" i="12"/>
  <c r="R1827" i="12"/>
  <c r="R1816" i="12"/>
  <c r="R1838" i="12"/>
  <c r="Z1515" i="12"/>
  <c r="R1004" i="12"/>
  <c r="R237" i="12"/>
  <c r="R449" i="12"/>
  <c r="R650" i="12"/>
  <c r="R1097" i="12"/>
  <c r="R345" i="12"/>
  <c r="R309" i="12"/>
  <c r="R551" i="12"/>
  <c r="R1028" i="12"/>
  <c r="Z980" i="12"/>
  <c r="R1141" i="12"/>
  <c r="R1075" i="12"/>
  <c r="R273" i="12"/>
  <c r="R1163" i="12"/>
  <c r="R617" i="12"/>
  <c r="R584" i="12"/>
  <c r="R517" i="12"/>
  <c r="R415" i="12"/>
  <c r="R1898" i="12"/>
  <c r="R381" i="12"/>
  <c r="R483" i="12"/>
  <c r="R1119" i="12"/>
  <c r="R1052" i="12"/>
  <c r="Z292" i="12"/>
  <c r="Z328" i="12"/>
  <c r="Z866" i="12"/>
  <c r="Z1163" i="12" l="1"/>
  <c r="Z345" i="12"/>
  <c r="Z1838" i="12"/>
  <c r="Z1873" i="12"/>
  <c r="Z1617" i="12"/>
  <c r="Z2603" i="12"/>
  <c r="Z2225" i="12"/>
  <c r="Z483" i="12"/>
  <c r="Z273" i="12"/>
  <c r="Z1097" i="12"/>
  <c r="Z1816" i="12"/>
  <c r="Z1655" i="12"/>
  <c r="Z2043" i="12"/>
  <c r="Z381" i="12"/>
  <c r="Z1075" i="12"/>
  <c r="Z650" i="12"/>
  <c r="Z1827" i="12"/>
  <c r="Z1857" i="12"/>
  <c r="R80" i="12"/>
  <c r="Z43" i="12"/>
  <c r="R146" i="12"/>
  <c r="R220" i="12"/>
  <c r="R183" i="12"/>
  <c r="R109" i="12"/>
  <c r="Z2202" i="12"/>
  <c r="AC2677" i="12"/>
  <c r="Z1898" i="12"/>
  <c r="Z1141" i="12"/>
  <c r="Z449" i="12"/>
  <c r="Z1849" i="12"/>
  <c r="Z1881" i="12"/>
  <c r="R147" i="12"/>
  <c r="R110" i="12"/>
  <c r="R184" i="12"/>
  <c r="R81" i="12"/>
  <c r="Z44" i="12"/>
  <c r="R221" i="12"/>
  <c r="Z2090" i="12"/>
  <c r="R687" i="12"/>
  <c r="Z415" i="12"/>
  <c r="Z237" i="12"/>
  <c r="Z2067" i="12"/>
  <c r="Z2179" i="12"/>
  <c r="Z517" i="12"/>
  <c r="Z1028" i="12"/>
  <c r="Z1004" i="12"/>
  <c r="N132" i="12"/>
  <c r="N169" i="12"/>
  <c r="N30" i="12"/>
  <c r="N31" i="12"/>
  <c r="N102" i="12"/>
  <c r="N32" i="12"/>
  <c r="N105" i="12"/>
  <c r="V29" i="12"/>
  <c r="N206" i="12"/>
  <c r="N33" i="12"/>
  <c r="N66" i="12"/>
  <c r="Z1916" i="12"/>
  <c r="Z2112" i="12"/>
  <c r="Z1995" i="12"/>
  <c r="Z1052" i="12"/>
  <c r="Z584" i="12"/>
  <c r="Z551" i="12"/>
  <c r="R1434" i="12"/>
  <c r="R1414" i="12"/>
  <c r="R1454" i="12"/>
  <c r="R1474" i="12"/>
  <c r="R2312" i="12"/>
  <c r="Z1392" i="12"/>
  <c r="Z2156" i="12"/>
  <c r="Z2134" i="12"/>
  <c r="Z1119" i="12"/>
  <c r="Z617" i="12"/>
  <c r="Z309" i="12"/>
  <c r="Z1865" i="12"/>
  <c r="Z1637" i="12"/>
  <c r="R2536" i="12"/>
  <c r="R2432" i="12"/>
  <c r="Z2328" i="12"/>
  <c r="Z2019" i="12"/>
  <c r="Z221" i="12" l="1"/>
  <c r="Z220" i="12"/>
  <c r="AC978" i="12"/>
  <c r="AC1491" i="12"/>
  <c r="Z146" i="12"/>
  <c r="R2520" i="12"/>
  <c r="R2416" i="12"/>
  <c r="Z2312" i="12"/>
  <c r="V102" i="12"/>
  <c r="Z1474" i="12"/>
  <c r="V66" i="12"/>
  <c r="N68" i="12"/>
  <c r="N134" i="12"/>
  <c r="N208" i="12"/>
  <c r="V31" i="12"/>
  <c r="N171" i="12"/>
  <c r="Z81" i="12"/>
  <c r="Z1454" i="12"/>
  <c r="N173" i="12"/>
  <c r="N136" i="12"/>
  <c r="V33" i="12"/>
  <c r="N210" i="12"/>
  <c r="N70" i="12"/>
  <c r="N207" i="12"/>
  <c r="N170" i="12"/>
  <c r="N67" i="12"/>
  <c r="N133" i="12"/>
  <c r="V30" i="12"/>
  <c r="Z184" i="12"/>
  <c r="Z80" i="12"/>
  <c r="Z1414" i="12"/>
  <c r="V206" i="12"/>
  <c r="V169" i="12"/>
  <c r="Z110" i="12"/>
  <c r="Z1434" i="12"/>
  <c r="V132" i="12"/>
  <c r="R770" i="12"/>
  <c r="R666" i="12"/>
  <c r="R255" i="12"/>
  <c r="R729" i="12"/>
  <c r="R865" i="12"/>
  <c r="R500" i="12"/>
  <c r="R750" i="12"/>
  <c r="R920" i="12"/>
  <c r="R708" i="12"/>
  <c r="R466" i="12"/>
  <c r="Z687" i="12"/>
  <c r="R534" i="12"/>
  <c r="R363" i="12"/>
  <c r="R956" i="12"/>
  <c r="R808" i="12"/>
  <c r="R633" i="12"/>
  <c r="R600" i="12"/>
  <c r="R291" i="12"/>
  <c r="R789" i="12"/>
  <c r="R432" i="12"/>
  <c r="R398" i="12"/>
  <c r="R884" i="12"/>
  <c r="R567" i="12"/>
  <c r="R327" i="12"/>
  <c r="R846" i="12"/>
  <c r="R938" i="12"/>
  <c r="R827" i="12"/>
  <c r="R902" i="12"/>
  <c r="Z147" i="12"/>
  <c r="Z109" i="12"/>
  <c r="Z2432" i="12"/>
  <c r="V105" i="12"/>
  <c r="Z2536" i="12"/>
  <c r="V32" i="12"/>
  <c r="N135" i="12"/>
  <c r="N69" i="12"/>
  <c r="N209" i="12"/>
  <c r="N172" i="12"/>
  <c r="Z183" i="12"/>
  <c r="V172" i="12" l="1"/>
  <c r="Z902" i="12"/>
  <c r="Z432" i="12"/>
  <c r="Z534" i="12"/>
  <c r="Z729" i="12"/>
  <c r="V133" i="12"/>
  <c r="V209" i="12"/>
  <c r="Z827" i="12"/>
  <c r="Z789" i="12"/>
  <c r="Z255" i="12"/>
  <c r="V67" i="12"/>
  <c r="V136" i="12"/>
  <c r="V208" i="12"/>
  <c r="AD1491" i="12"/>
  <c r="V69" i="12"/>
  <c r="Z938" i="12"/>
  <c r="Z291" i="12"/>
  <c r="Z466" i="12"/>
  <c r="Z666" i="12"/>
  <c r="V170" i="12"/>
  <c r="V173" i="12"/>
  <c r="V134" i="12"/>
  <c r="AD978" i="12"/>
  <c r="Z846" i="12"/>
  <c r="Z600" i="12"/>
  <c r="Z708" i="12"/>
  <c r="Z770" i="12"/>
  <c r="V207" i="12"/>
  <c r="V68" i="12"/>
  <c r="V135" i="12"/>
  <c r="Z327" i="12"/>
  <c r="Z633" i="12"/>
  <c r="Z920" i="12"/>
  <c r="Z2416" i="12"/>
  <c r="Z567" i="12"/>
  <c r="Z808" i="12"/>
  <c r="Z750" i="12"/>
  <c r="V70" i="12"/>
  <c r="Z2520" i="12"/>
  <c r="Z884" i="12"/>
  <c r="Z956" i="12"/>
  <c r="Z500" i="12"/>
  <c r="Z398" i="12"/>
  <c r="Z363" i="12"/>
  <c r="Z865" i="12"/>
  <c r="AC46" i="12"/>
  <c r="V210" i="12"/>
  <c r="V171" i="12"/>
  <c r="R979" i="12" l="1"/>
  <c r="V185" i="12"/>
  <c r="R1577" i="12"/>
  <c r="R1493" i="12"/>
  <c r="R1599" i="12"/>
  <c r="R1533" i="12"/>
  <c r="R1514" i="12"/>
  <c r="R1555" i="12"/>
  <c r="R1972" i="12"/>
  <c r="V82" i="12"/>
  <c r="V222" i="12"/>
  <c r="V148" i="12"/>
  <c r="Z1514" i="12" l="1"/>
  <c r="Z1533" i="12"/>
  <c r="Z1599" i="12"/>
  <c r="Z1493" i="12"/>
  <c r="R1915" i="12"/>
  <c r="R2602" i="12"/>
  <c r="R2327" i="12"/>
  <c r="Z1577" i="12"/>
  <c r="Z1555" i="12"/>
  <c r="R550" i="12"/>
  <c r="R308" i="12"/>
  <c r="R1140" i="12"/>
  <c r="R1118" i="12"/>
  <c r="R1027" i="12"/>
  <c r="R1897" i="12"/>
  <c r="R482" i="12"/>
  <c r="Z979" i="12"/>
  <c r="R1074" i="12"/>
  <c r="R1051" i="12"/>
  <c r="R616" i="12"/>
  <c r="R380" i="12"/>
  <c r="R236" i="12"/>
  <c r="R414" i="12"/>
  <c r="R649" i="12"/>
  <c r="R1096" i="12"/>
  <c r="R583" i="12"/>
  <c r="R448" i="12"/>
  <c r="R272" i="12"/>
  <c r="R344" i="12"/>
  <c r="R1162" i="12"/>
  <c r="R1003" i="12"/>
  <c r="R516" i="12"/>
  <c r="Z1096" i="12" l="1"/>
  <c r="Z1074" i="12"/>
  <c r="Z550" i="12"/>
  <c r="Z1915" i="12"/>
  <c r="Z516" i="12"/>
  <c r="Z649" i="12"/>
  <c r="Z1003" i="12"/>
  <c r="Z482" i="12"/>
  <c r="Z1162" i="12"/>
  <c r="Z414" i="12"/>
  <c r="Z1897" i="12"/>
  <c r="Z344" i="12"/>
  <c r="Z236" i="12"/>
  <c r="Z1027" i="12"/>
  <c r="Z272" i="12"/>
  <c r="Z380" i="12"/>
  <c r="Z1118" i="12"/>
  <c r="Z448" i="12"/>
  <c r="Z616" i="12"/>
  <c r="Z1140" i="12"/>
  <c r="R2431" i="12"/>
  <c r="R2535" i="12"/>
  <c r="Z2327" i="12"/>
  <c r="Z583" i="12"/>
  <c r="Z1051" i="12"/>
  <c r="Z308" i="12"/>
  <c r="Z2602" i="12"/>
  <c r="Z2535" i="12" l="1"/>
  <c r="Z2431" i="12"/>
  <c r="AD973" i="12" l="1"/>
  <c r="T13" i="12"/>
  <c r="T14" i="12"/>
  <c r="T16" i="12"/>
  <c r="T17" i="12"/>
  <c r="T18" i="12"/>
  <c r="T19" i="12"/>
  <c r="L29" i="12"/>
  <c r="P29" i="12"/>
  <c r="T29" i="12"/>
  <c r="X29" i="12"/>
  <c r="L30" i="12"/>
  <c r="P30" i="12"/>
  <c r="T30" i="12"/>
  <c r="X30" i="12"/>
  <c r="L31" i="12"/>
  <c r="P31" i="12"/>
  <c r="T31" i="12"/>
  <c r="X31" i="12"/>
  <c r="L32" i="12"/>
  <c r="P32" i="12"/>
  <c r="T32" i="12"/>
  <c r="X32" i="12"/>
  <c r="L33" i="12"/>
  <c r="P33" i="12"/>
  <c r="T33" i="12"/>
  <c r="X33" i="12"/>
  <c r="L41" i="12"/>
  <c r="P41" i="12"/>
  <c r="T41" i="12"/>
  <c r="X41" i="12"/>
  <c r="AB46" i="12"/>
  <c r="AD46" i="12"/>
  <c r="AE46" i="12"/>
  <c r="L66" i="12"/>
  <c r="P66" i="12"/>
  <c r="T66" i="12"/>
  <c r="X66" i="12"/>
  <c r="L67" i="12"/>
  <c r="P67" i="12"/>
  <c r="T67" i="12"/>
  <c r="X67" i="12"/>
  <c r="L68" i="12"/>
  <c r="P68" i="12"/>
  <c r="T68" i="12"/>
  <c r="X68" i="12"/>
  <c r="L69" i="12"/>
  <c r="P69" i="12"/>
  <c r="T69" i="12"/>
  <c r="X69" i="12"/>
  <c r="L70" i="12"/>
  <c r="P70" i="12"/>
  <c r="T70" i="12"/>
  <c r="X70" i="12"/>
  <c r="L78" i="12"/>
  <c r="P78" i="12"/>
  <c r="T78" i="12"/>
  <c r="X78" i="12"/>
  <c r="T82" i="12"/>
  <c r="X82" i="12"/>
  <c r="L102" i="12"/>
  <c r="P102" i="12"/>
  <c r="T102" i="12"/>
  <c r="X102" i="12"/>
  <c r="L103" i="12"/>
  <c r="N103" i="12"/>
  <c r="T103" i="12"/>
  <c r="V103" i="12"/>
  <c r="L105" i="12"/>
  <c r="P105" i="12"/>
  <c r="T105" i="12"/>
  <c r="X105" i="12"/>
  <c r="L106" i="12"/>
  <c r="N106" i="12"/>
  <c r="T106" i="12"/>
  <c r="V106" i="12"/>
  <c r="L107" i="12"/>
  <c r="P107" i="12"/>
  <c r="T107" i="12"/>
  <c r="X107" i="12"/>
  <c r="T111" i="12"/>
  <c r="V111" i="12"/>
  <c r="X111" i="12"/>
  <c r="L132" i="12"/>
  <c r="P132" i="12"/>
  <c r="T132" i="12"/>
  <c r="X132" i="12"/>
  <c r="L133" i="12"/>
  <c r="P133" i="12"/>
  <c r="T133" i="12"/>
  <c r="X133" i="12"/>
  <c r="L134" i="12"/>
  <c r="P134" i="12"/>
  <c r="T134" i="12"/>
  <c r="X134" i="12"/>
  <c r="L135" i="12"/>
  <c r="P135" i="12"/>
  <c r="T135" i="12"/>
  <c r="X135" i="12"/>
  <c r="L136" i="12"/>
  <c r="P136" i="12"/>
  <c r="T136" i="12"/>
  <c r="X136" i="12"/>
  <c r="L144" i="12"/>
  <c r="P144" i="12"/>
  <c r="T144" i="12"/>
  <c r="X144" i="12"/>
  <c r="T148" i="12"/>
  <c r="X148" i="12"/>
  <c r="L169" i="12"/>
  <c r="P169" i="12"/>
  <c r="T169" i="12"/>
  <c r="X169" i="12"/>
  <c r="L170" i="12"/>
  <c r="P170" i="12"/>
  <c r="T170" i="12"/>
  <c r="X170" i="12"/>
  <c r="L171" i="12"/>
  <c r="P171" i="12"/>
  <c r="T171" i="12"/>
  <c r="X171" i="12"/>
  <c r="L172" i="12"/>
  <c r="P172" i="12"/>
  <c r="T172" i="12"/>
  <c r="X172" i="12"/>
  <c r="L173" i="12"/>
  <c r="P173" i="12"/>
  <c r="T173" i="12"/>
  <c r="X173" i="12"/>
  <c r="L181" i="12"/>
  <c r="P181" i="12"/>
  <c r="T181" i="12"/>
  <c r="X181" i="12"/>
  <c r="T185" i="12"/>
  <c r="X185" i="12"/>
  <c r="L206" i="12"/>
  <c r="P206" i="12"/>
  <c r="T206" i="12"/>
  <c r="X206" i="12"/>
  <c r="L207" i="12"/>
  <c r="P207" i="12"/>
  <c r="T207" i="12"/>
  <c r="X207" i="12"/>
  <c r="L208" i="12"/>
  <c r="P208" i="12"/>
  <c r="T208" i="12"/>
  <c r="X208" i="12"/>
  <c r="L209" i="12"/>
  <c r="P209" i="12"/>
  <c r="T209" i="12"/>
  <c r="X209" i="12"/>
  <c r="L210" i="12"/>
  <c r="P210" i="12"/>
  <c r="T210" i="12"/>
  <c r="X210" i="12"/>
  <c r="L218" i="12"/>
  <c r="P218" i="12"/>
  <c r="T218" i="12"/>
  <c r="X218" i="12"/>
  <c r="T222" i="12"/>
  <c r="X222" i="12"/>
  <c r="T2677" i="12"/>
  <c r="V2677" i="12"/>
  <c r="X2677" i="12"/>
  <c r="AD2677" i="12"/>
  <c r="T2681" i="12"/>
  <c r="V2681" i="12"/>
  <c r="X2681" i="12"/>
  <c r="Z2681" i="12"/>
  <c r="T2682" i="12"/>
  <c r="V2682" i="12"/>
  <c r="X2682" i="12"/>
</calcChain>
</file>

<file path=xl/sharedStrings.xml><?xml version="1.0" encoding="utf-8"?>
<sst xmlns="http://schemas.openxmlformats.org/spreadsheetml/2006/main" count="10452" uniqueCount="1409">
  <si>
    <t>447NPC</t>
  </si>
  <si>
    <t>Sales for Resale</t>
  </si>
  <si>
    <t>501NPC</t>
  </si>
  <si>
    <t>Fuel Related - NPC</t>
  </si>
  <si>
    <t>503NPC</t>
  </si>
  <si>
    <t>Steam From Other Sources - NPC</t>
  </si>
  <si>
    <t>547NPC</t>
  </si>
  <si>
    <t>Fuel - NPC</t>
  </si>
  <si>
    <t>555NPC</t>
  </si>
  <si>
    <t>Purchased Power - NPC</t>
  </si>
  <si>
    <t>565NPC</t>
  </si>
  <si>
    <t>Transmission of Electricity by Others - NPC</t>
  </si>
  <si>
    <t>S</t>
  </si>
  <si>
    <t>P</t>
  </si>
  <si>
    <t>DGU</t>
  </si>
  <si>
    <t>SG</t>
  </si>
  <si>
    <t>SE</t>
  </si>
  <si>
    <t>DGP</t>
  </si>
  <si>
    <t>T</t>
  </si>
  <si>
    <t>Cost Of Service By Rate Schedule</t>
  </si>
  <si>
    <t>COS Study</t>
  </si>
  <si>
    <t>Error</t>
  </si>
  <si>
    <t>Production</t>
  </si>
  <si>
    <t>Transmission</t>
  </si>
  <si>
    <t>Distribution</t>
  </si>
  <si>
    <t>Retail</t>
  </si>
  <si>
    <t>Misc</t>
  </si>
  <si>
    <t>Function</t>
  </si>
  <si>
    <t>Generation</t>
  </si>
  <si>
    <t>Results</t>
  </si>
  <si>
    <t>check</t>
  </si>
  <si>
    <t>TOTAL</t>
  </si>
  <si>
    <t>DEMAND-VARIABLE</t>
  </si>
  <si>
    <t>ENERGY-VARIABLE</t>
  </si>
  <si>
    <t>DEMAND-FIXED</t>
  </si>
  <si>
    <t>ENERGY-FIXED</t>
  </si>
  <si>
    <t>SUBS</t>
  </si>
  <si>
    <t>P &amp; C</t>
  </si>
  <si>
    <t>XFMR</t>
  </si>
  <si>
    <t>SERVICE</t>
  </si>
  <si>
    <t>METER</t>
  </si>
  <si>
    <t>Check</t>
  </si>
  <si>
    <t>Delivery</t>
  </si>
  <si>
    <t>Fixed Supply</t>
  </si>
  <si>
    <t>Variable Supply</t>
  </si>
  <si>
    <t>Total</t>
  </si>
  <si>
    <t>Description</t>
  </si>
  <si>
    <t>Utah
Jurisdiction
Normalized</t>
  </si>
  <si>
    <t>Residential
Sch 1</t>
  </si>
  <si>
    <t>General
Large Dist.
Sch 6</t>
  </si>
  <si>
    <t>General
+1 MW
Sch 8</t>
  </si>
  <si>
    <t>Street &amp; Area
Lighting
Sch. 7,11,12</t>
  </si>
  <si>
    <t>General
Trans
Sch 9</t>
  </si>
  <si>
    <t>Irrigation
Sch 10</t>
  </si>
  <si>
    <t>Traffic
Signals
Sch 15</t>
  </si>
  <si>
    <t>Outdoor
Lighting
Sch 15</t>
  </si>
  <si>
    <t>General
Small Dist.
Sch 23</t>
  </si>
  <si>
    <t>Industrial
Cust 1</t>
  </si>
  <si>
    <t>Industrial
Cust 2</t>
  </si>
  <si>
    <t>Aggregated
Industrial</t>
  </si>
  <si>
    <t>UNITS</t>
  </si>
  <si>
    <t>NCP kW</t>
  </si>
  <si>
    <t>Annual KWH</t>
  </si>
  <si>
    <t>Average Customers</t>
  </si>
  <si>
    <t>Load Factor</t>
  </si>
  <si>
    <t>PTDRM TOTAL</t>
  </si>
  <si>
    <t>Revenue Requirement</t>
  </si>
  <si>
    <t>Per NCP kW</t>
  </si>
  <si>
    <t>Per KWH</t>
  </si>
  <si>
    <t>Per Customer</t>
  </si>
  <si>
    <t>PRODUCTION-TOTAL</t>
  </si>
  <si>
    <t>PRODUCTION-DEMAND VARIABLE</t>
  </si>
  <si>
    <t>PRODUCTION-ENERGY VARIABLE</t>
  </si>
  <si>
    <t>PRODUCTION-DEMAND FIXED</t>
  </si>
  <si>
    <t>PRODUCTION-ENERGY FIXED</t>
  </si>
  <si>
    <t>TRANSMISSION-TOTAL</t>
  </si>
  <si>
    <t>TRANSMISSION-DEMAND VARIABLE</t>
  </si>
  <si>
    <t>TRANSMISSION-ENERGY VARIABLE</t>
  </si>
  <si>
    <t>TRANSMISSION-DEMAND FIXED</t>
  </si>
  <si>
    <t>TRANSMISSION-ENERGY FIXED</t>
  </si>
  <si>
    <t>DISTRIBUTION-TOTAL</t>
  </si>
  <si>
    <t>DISTRIBUTION-SUBSTATION</t>
  </si>
  <si>
    <t>DISTRIBUTION- P &amp; C</t>
  </si>
  <si>
    <t>DISTRIBUTION-TRANSFORMER</t>
  </si>
  <si>
    <t>DISTRIBUTION-SERVICE</t>
  </si>
  <si>
    <t>DISTRIBUTION-METER</t>
  </si>
  <si>
    <t>RETAIL-TOTAL</t>
  </si>
  <si>
    <t>MISC - Total</t>
  </si>
  <si>
    <t>Functions</t>
  </si>
  <si>
    <t>Subfunctions</t>
  </si>
  <si>
    <t>Unbundled Rate Component</t>
  </si>
  <si>
    <t>MISC.</t>
  </si>
  <si>
    <t>Demand - Variable</t>
  </si>
  <si>
    <t>Energy - Variable</t>
  </si>
  <si>
    <t>Demand - Fixed</t>
  </si>
  <si>
    <t>Energy - Fixed</t>
  </si>
  <si>
    <t>Unit Costs @ Target ROR</t>
  </si>
  <si>
    <t>Rocky Mountain Power</t>
  </si>
  <si>
    <t>State of Utah</t>
  </si>
  <si>
    <t>2020 Protocol (Non Wgt)</t>
  </si>
  <si>
    <t>12 Months Ended Dec 2021</t>
  </si>
  <si>
    <t>7.70% = Earned Return on Rate Base</t>
  </si>
  <si>
    <t>UT</t>
  </si>
  <si>
    <t>Res</t>
  </si>
  <si>
    <t>Res RR as % of UT</t>
  </si>
  <si>
    <t>NPC</t>
  </si>
  <si>
    <t xml:space="preserve">2020 PROTOCOL </t>
  </si>
  <si>
    <t>FERC Account Error Check</t>
  </si>
  <si>
    <t>title</t>
  </si>
  <si>
    <t>13-Month Average</t>
  </si>
  <si>
    <t>DECEMBER 2019</t>
  </si>
  <si>
    <t>DECEMBER 2021</t>
  </si>
  <si>
    <t>Account</t>
  </si>
  <si>
    <t>JAM Total</t>
  </si>
  <si>
    <t>FunStudy Total</t>
  </si>
  <si>
    <t>Difference</t>
  </si>
  <si>
    <t>FERC</t>
  </si>
  <si>
    <t>BUS</t>
  </si>
  <si>
    <t>UNADJUSTED RESULTS</t>
  </si>
  <si>
    <t>NORMALIZED RESULTS</t>
  </si>
  <si>
    <t>ACCT</t>
  </si>
  <si>
    <t>DESCRIP</t>
  </si>
  <si>
    <t>FUNC</t>
  </si>
  <si>
    <t>FACTOR</t>
  </si>
  <si>
    <t>Ref</t>
  </si>
  <si>
    <t>UTAH</t>
  </si>
  <si>
    <t>OTHER</t>
  </si>
  <si>
    <t>Sales to Ultimate Customers</t>
  </si>
  <si>
    <t>JAM Factor</t>
  </si>
  <si>
    <t>FERC.JAMFactor</t>
  </si>
  <si>
    <t>JAM Value</t>
  </si>
  <si>
    <t>Residential Sales</t>
  </si>
  <si>
    <t>B1</t>
  </si>
  <si>
    <t>Commercial &amp; Industrial Sales</t>
  </si>
  <si>
    <t>PT</t>
  </si>
  <si>
    <t>Public Street &amp; Highway Lighting</t>
  </si>
  <si>
    <t>SO</t>
  </si>
  <si>
    <t>Other Sales to Public Authority</t>
  </si>
  <si>
    <t>Interdepartmental</t>
  </si>
  <si>
    <t>DPW</t>
  </si>
  <si>
    <t>GP</t>
  </si>
  <si>
    <t xml:space="preserve"> </t>
  </si>
  <si>
    <t>Total Sales to Ultimate Customers</t>
  </si>
  <si>
    <t>Sales for Resale-Non NPC</t>
  </si>
  <si>
    <t>Sales for Resale-NPC</t>
  </si>
  <si>
    <t>Total Sales for Resale</t>
  </si>
  <si>
    <t>Provision for Rate Refund</t>
  </si>
  <si>
    <t>Total Sales from Electricity</t>
  </si>
  <si>
    <t>Forfeited Discounts &amp; Interest</t>
  </si>
  <si>
    <t>CUST</t>
  </si>
  <si>
    <t>Misc Electric Revenue</t>
  </si>
  <si>
    <t>Water Sales</t>
  </si>
  <si>
    <t>Rent of Electric Property</t>
  </si>
  <si>
    <t>Other Electric Revenue</t>
  </si>
  <si>
    <t>DMSC</t>
  </si>
  <si>
    <t>CN</t>
  </si>
  <si>
    <t>OTHSE</t>
  </si>
  <si>
    <t>OTHSO</t>
  </si>
  <si>
    <t>OTHSGR</t>
  </si>
  <si>
    <t>Total Other Electric Revenues</t>
  </si>
  <si>
    <t>Total Electric Operating Revenues</t>
  </si>
  <si>
    <t>Summary of Revenues by Factor</t>
  </si>
  <si>
    <t>Miscellaneous Revenues</t>
  </si>
  <si>
    <t>Gain on Sale of Utility Plant - CR</t>
  </si>
  <si>
    <t>G</t>
  </si>
  <si>
    <t>B6</t>
  </si>
  <si>
    <t>Loss on Sale of Utility Plant</t>
  </si>
  <si>
    <t>Gain from Emission Allowances</t>
  </si>
  <si>
    <t>Gain from Disposition of NOX Credits</t>
  </si>
  <si>
    <t>Impact Housing Interest Income</t>
  </si>
  <si>
    <t>(Gain) / Loss on Sale of Utility Plant</t>
  </si>
  <si>
    <t>PTD</t>
  </si>
  <si>
    <t>Total Miscellaneous Revenues</t>
  </si>
  <si>
    <t>Miscellaneous Expenses</t>
  </si>
  <si>
    <t>Interest on Customer Deposits</t>
  </si>
  <si>
    <t>Total Miscellaneous Expenses</t>
  </si>
  <si>
    <t>Net Misc Revenue and Expense</t>
  </si>
  <si>
    <t>Operation Supervision &amp; Engineering</t>
  </si>
  <si>
    <t>B2</t>
  </si>
  <si>
    <t>Fuel Related-Non NPC</t>
  </si>
  <si>
    <t xml:space="preserve">Fuel Related-NPC </t>
  </si>
  <si>
    <t>Total Fuel Related</t>
  </si>
  <si>
    <t>Steam Expenses</t>
  </si>
  <si>
    <t>Steam From Other Sources-Non-NPC</t>
  </si>
  <si>
    <t>Steam From Other Sources-NPC</t>
  </si>
  <si>
    <t>Electric Expenses</t>
  </si>
  <si>
    <t>Misc. Steam Expense</t>
  </si>
  <si>
    <t>Rents</t>
  </si>
  <si>
    <t>Maint Supervision &amp; Engineering</t>
  </si>
  <si>
    <t>Maintenance of Structures</t>
  </si>
  <si>
    <t>Maintenance of Boiler Plant</t>
  </si>
  <si>
    <t>Maintenance of Electric Plant</t>
  </si>
  <si>
    <t>Maintenance of Misc. Steam Plant</t>
  </si>
  <si>
    <t>Total Steam Power Generation</t>
  </si>
  <si>
    <t>Operation Super &amp; Engineering</t>
  </si>
  <si>
    <t>Nuclear Fuel Expense</t>
  </si>
  <si>
    <t>Coolants and Water</t>
  </si>
  <si>
    <t>Misc. Nuclear Expenses</t>
  </si>
  <si>
    <t>Maintenance Super &amp; Engineering</t>
  </si>
  <si>
    <t>108D00</t>
  </si>
  <si>
    <t>108DP</t>
  </si>
  <si>
    <t>108DS</t>
  </si>
  <si>
    <t>108EP</t>
  </si>
  <si>
    <t>Maintenance of Reactor Plant</t>
  </si>
  <si>
    <t>108GP</t>
  </si>
  <si>
    <t>108HP</t>
  </si>
  <si>
    <t>108MP</t>
  </si>
  <si>
    <t>108NP</t>
  </si>
  <si>
    <t>108OP</t>
  </si>
  <si>
    <t>108SP</t>
  </si>
  <si>
    <t>108TP</t>
  </si>
  <si>
    <t>111GP</t>
  </si>
  <si>
    <t>Maintenance of Misc Nuclear</t>
  </si>
  <si>
    <t>111HP</t>
  </si>
  <si>
    <t>111IP</t>
  </si>
  <si>
    <t>111SP</t>
  </si>
  <si>
    <t>182M</t>
  </si>
  <si>
    <t>Total Nuclear Power Generation</t>
  </si>
  <si>
    <t>182W</t>
  </si>
  <si>
    <t>186M</t>
  </si>
  <si>
    <t>186W</t>
  </si>
  <si>
    <t>399G</t>
  </si>
  <si>
    <t>399L</t>
  </si>
  <si>
    <t>403EP</t>
  </si>
  <si>
    <t>403GP</t>
  </si>
  <si>
    <t>403GV0</t>
  </si>
  <si>
    <t>403HP</t>
  </si>
  <si>
    <t>403MP</t>
  </si>
  <si>
    <t>Water For Power</t>
  </si>
  <si>
    <t>403NP</t>
  </si>
  <si>
    <t>403OP</t>
  </si>
  <si>
    <t>403SP</t>
  </si>
  <si>
    <t>403TP</t>
  </si>
  <si>
    <t>404GP</t>
  </si>
  <si>
    <t>404HP</t>
  </si>
  <si>
    <t>404IP</t>
  </si>
  <si>
    <t>Hydraulic Expenses</t>
  </si>
  <si>
    <t>404MP</t>
  </si>
  <si>
    <t>404OP</t>
  </si>
  <si>
    <t>404SP</t>
  </si>
  <si>
    <t>41110</t>
  </si>
  <si>
    <t>Adjustments to Calculated Tax:</t>
  </si>
  <si>
    <t>Calculation of Taxable Income:</t>
  </si>
  <si>
    <t>Company Owned Hydro</t>
  </si>
  <si>
    <t>CWC</t>
  </si>
  <si>
    <t>Misc. Hydro Expenses</t>
  </si>
  <si>
    <t>DP</t>
  </si>
  <si>
    <t>DS0</t>
  </si>
  <si>
    <t>Existing QF Contracts</t>
  </si>
  <si>
    <t>HP</t>
  </si>
  <si>
    <t>IP</t>
  </si>
  <si>
    <t>Klamath Dam Removal Surcharge Re-allocation</t>
  </si>
  <si>
    <t>Mid-C Contract</t>
  </si>
  <si>
    <t>Rents (Hydro Generation)</t>
  </si>
  <si>
    <t>MP</t>
  </si>
  <si>
    <t>NP</t>
  </si>
  <si>
    <t>OP</t>
  </si>
  <si>
    <t>OWC</t>
  </si>
  <si>
    <t>SCHMAF</t>
  </si>
  <si>
    <t>SCHMAP</t>
  </si>
  <si>
    <t>SCHMAT</t>
  </si>
  <si>
    <t>SCHMDF</t>
  </si>
  <si>
    <t>SCHMDP</t>
  </si>
  <si>
    <t>SCHMDT</t>
  </si>
  <si>
    <t>SP</t>
  </si>
  <si>
    <t>TP</t>
  </si>
  <si>
    <t>TS0</t>
  </si>
  <si>
    <t>Maintenance of Dams &amp; Waterways</t>
  </si>
  <si>
    <t>Maintenance of Misc. Hydro Plant</t>
  </si>
  <si>
    <t xml:space="preserve">Total Hydraulic Power Generation </t>
  </si>
  <si>
    <t>Fuel-Non-NPC</t>
  </si>
  <si>
    <t>Fuel-NPC</t>
  </si>
  <si>
    <t>Generation Expense</t>
  </si>
  <si>
    <t>Miscellaneous Other</t>
  </si>
  <si>
    <t>Maint of Generation &amp; Electric Plant</t>
  </si>
  <si>
    <t>Maintenance of Misc. Other</t>
  </si>
  <si>
    <t>Total Other Power Generation</t>
  </si>
  <si>
    <t>Purchased Power-Non NPC</t>
  </si>
  <si>
    <t>Purchased Power-NPC</t>
  </si>
  <si>
    <t>Seasonal Contracts</t>
  </si>
  <si>
    <t>Total Purchased Power</t>
  </si>
  <si>
    <t>System Control &amp; Load Dispatch</t>
  </si>
  <si>
    <t>Other Expenses</t>
  </si>
  <si>
    <t>SGCT</t>
  </si>
  <si>
    <t>TROJP</t>
  </si>
  <si>
    <t>Embedded Cost Differentials</t>
  </si>
  <si>
    <t>MC</t>
  </si>
  <si>
    <t>2020 Protocol Adjustment</t>
  </si>
  <si>
    <t xml:space="preserve">  Baseline ECD</t>
  </si>
  <si>
    <t xml:space="preserve">  WY QF Adjustment</t>
  </si>
  <si>
    <t>Total Other Power Supply</t>
  </si>
  <si>
    <t>Total Production Expense</t>
  </si>
  <si>
    <t>Summary of Production Expense by Factor</t>
  </si>
  <si>
    <t>SNPPH</t>
  </si>
  <si>
    <t>DEU</t>
  </si>
  <si>
    <t>DEP</t>
  </si>
  <si>
    <t>SNPPS</t>
  </si>
  <si>
    <t>SNPPO</t>
  </si>
  <si>
    <t>SSGCT</t>
  </si>
  <si>
    <t>SSECT</t>
  </si>
  <si>
    <t>SSGC</t>
  </si>
  <si>
    <t>SSGCH</t>
  </si>
  <si>
    <t>SSECH</t>
  </si>
  <si>
    <t>Total Production Expense by Factor</t>
  </si>
  <si>
    <t>Load Dispatching</t>
  </si>
  <si>
    <t>Station Expense</t>
  </si>
  <si>
    <t>Overhead Line Expense</t>
  </si>
  <si>
    <t>Underground Line Expense</t>
  </si>
  <si>
    <t>Transmission of Electricity by Others</t>
  </si>
  <si>
    <t>Transmission of Electricity by Others-NPC</t>
  </si>
  <si>
    <t>Total Transmission of Electricity by Others</t>
  </si>
  <si>
    <t>Misc. Transmission Expense</t>
  </si>
  <si>
    <t>Rents - Transmission</t>
  </si>
  <si>
    <t>Maintenance of Station Equipment</t>
  </si>
  <si>
    <t>Maintenance of Overhead Lines</t>
  </si>
  <si>
    <t>Maintenance of Underground Lines</t>
  </si>
  <si>
    <t>Maint of Misc. Transmission Plant</t>
  </si>
  <si>
    <t>Total Transmission Expense</t>
  </si>
  <si>
    <t>Summary of Transmission Expense by Factor</t>
  </si>
  <si>
    <t>SNPT</t>
  </si>
  <si>
    <t>Total Transmission Expense by Factor</t>
  </si>
  <si>
    <t>SNPD</t>
  </si>
  <si>
    <t>Overhead Line Expenses</t>
  </si>
  <si>
    <t>Street Lighting &amp; Signal Systems</t>
  </si>
  <si>
    <t>Meter Expenses</t>
  </si>
  <si>
    <t>Customer Installation Expenses</t>
  </si>
  <si>
    <t>Misc. Distribution Expenses</t>
  </si>
  <si>
    <t>Maintenance of Line Transformers</t>
  </si>
  <si>
    <t>Maint of Street Lighting &amp; Signal Sys.</t>
  </si>
  <si>
    <t>Maintenance of Meters</t>
  </si>
  <si>
    <t>Maint of Misc. Distribution Plant</t>
  </si>
  <si>
    <t>Total Distribution Expense</t>
  </si>
  <si>
    <t>Summary of Distribution Expense by Factor</t>
  </si>
  <si>
    <t>Total Distribution Expense by Factor</t>
  </si>
  <si>
    <t>Supervision</t>
  </si>
  <si>
    <t>Meter Reading Expense</t>
  </si>
  <si>
    <t>Customer Receipts &amp; Collections</t>
  </si>
  <si>
    <t>Uncollectible Accounts</t>
  </si>
  <si>
    <t>Misc. Customer Accounts Expense</t>
  </si>
  <si>
    <t>Total Customer Accounts Expense</t>
  </si>
  <si>
    <t>Summary of Customer Accts Exp by Factor</t>
  </si>
  <si>
    <t>Total Customer Accounts Expense by Factor</t>
  </si>
  <si>
    <t>Customer Assistance</t>
  </si>
  <si>
    <t>Informational &amp; Instructional Adv</t>
  </si>
  <si>
    <t>Misc. Customer Service</t>
  </si>
  <si>
    <t>Total Customer Service Expense</t>
  </si>
  <si>
    <t>Summary of Customer Service Exp by Factor</t>
  </si>
  <si>
    <t>Total Customer Service Expense by Factor</t>
  </si>
  <si>
    <t>Demonstration &amp; Selling Expense</t>
  </si>
  <si>
    <t>Advertising Expense</t>
  </si>
  <si>
    <t>Misc. Sales Expense</t>
  </si>
  <si>
    <t>Total Sales Expense</t>
  </si>
  <si>
    <t>Total Sales Expense by Factor</t>
  </si>
  <si>
    <t>Total Customer Service Exp Including Sales</t>
  </si>
  <si>
    <t>Administrative &amp; General Salaries</t>
  </si>
  <si>
    <t>Office Supplies &amp; expenses</t>
  </si>
  <si>
    <t>A&amp;G Expenses Transferred</t>
  </si>
  <si>
    <t>Outside Services</t>
  </si>
  <si>
    <t>Property Insurance</t>
  </si>
  <si>
    <t>Injuries &amp; Damages</t>
  </si>
  <si>
    <t>Employee Pensions &amp; Benefits</t>
  </si>
  <si>
    <t>LABOR</t>
  </si>
  <si>
    <t>Franchise Requirements</t>
  </si>
  <si>
    <t>Regulatory Commission Expense</t>
  </si>
  <si>
    <t>Duplicate Charges</t>
  </si>
  <si>
    <t>Misc General Expenses</t>
  </si>
  <si>
    <t>Maintenance of General Plant</t>
  </si>
  <si>
    <t>Total Administrative &amp; General Expense</t>
  </si>
  <si>
    <t>Summary of A&amp;G Expense by Factor</t>
  </si>
  <si>
    <t>Total A&amp;G Expense by Factor</t>
  </si>
  <si>
    <t>Total O&amp;M Expense</t>
  </si>
  <si>
    <t>Steam Depreciation</t>
  </si>
  <si>
    <t>B3</t>
  </si>
  <si>
    <t>Nuclear Depreciation</t>
  </si>
  <si>
    <t>Hydro Depreciation</t>
  </si>
  <si>
    <t>Other Production Depreciation</t>
  </si>
  <si>
    <t>Transmission Depreciation</t>
  </si>
  <si>
    <t>Distribution Depreciation</t>
  </si>
  <si>
    <t>Land &amp; Land Rights</t>
  </si>
  <si>
    <t>Structures</t>
  </si>
  <si>
    <t>Station Equipment</t>
  </si>
  <si>
    <t>Storage Battery Equipment</t>
  </si>
  <si>
    <t>Poles &amp; Towers</t>
  </si>
  <si>
    <t>OH Conductors</t>
  </si>
  <si>
    <t>UG Conduit</t>
  </si>
  <si>
    <t>UG Conductor</t>
  </si>
  <si>
    <t>Line Trans</t>
  </si>
  <si>
    <t>Services</t>
  </si>
  <si>
    <t>Meters</t>
  </si>
  <si>
    <t>Inst Cust Prem</t>
  </si>
  <si>
    <t>Leased Property</t>
  </si>
  <si>
    <t>Street Lighting</t>
  </si>
  <si>
    <t>General Depreciation</t>
  </si>
  <si>
    <t>G-SITUS</t>
  </si>
  <si>
    <t>G-DGP</t>
  </si>
  <si>
    <t>G-DGU</t>
  </si>
  <si>
    <t>G-SG</t>
  </si>
  <si>
    <t>General Vehicles</t>
  </si>
  <si>
    <t>Mining Depreciation</t>
  </si>
  <si>
    <t>Experimental Plant Depreciation</t>
  </si>
  <si>
    <t>ARO Depreciation</t>
  </si>
  <si>
    <t>Total Depreciation Expense</t>
  </si>
  <si>
    <t>Summary</t>
  </si>
  <si>
    <t>Total Depreciation Expense By Factor</t>
  </si>
  <si>
    <t>Amort of LT Plant - Leasehold Improvements</t>
  </si>
  <si>
    <t>I-SITUS</t>
  </si>
  <si>
    <t>I-SG</t>
  </si>
  <si>
    <t>I-DGU</t>
  </si>
  <si>
    <t>I-DGP</t>
  </si>
  <si>
    <t>B4</t>
  </si>
  <si>
    <t>Amort of LT Plant - Cap Lease Steam</t>
  </si>
  <si>
    <t>Amort of LT Plant - Intangible Plant</t>
  </si>
  <si>
    <t>Amort of LT Plant - Mining Plant</t>
  </si>
  <si>
    <t>Amort of LT Plant - Other Plant</t>
  </si>
  <si>
    <t>Amortization of Other Electric Plant</t>
  </si>
  <si>
    <t>Total Amortization of Limited Term Plant</t>
  </si>
  <si>
    <t>Amortization of Plant Acquisition Adj</t>
  </si>
  <si>
    <t>Amort of Prop Losses, Unrec Plant, etc</t>
  </si>
  <si>
    <t>SG-P</t>
  </si>
  <si>
    <t>Total Amortization Expense</t>
  </si>
  <si>
    <t>Summary of Amortization Expense by Factor</t>
  </si>
  <si>
    <t>Total Amortization Expense by Factor</t>
  </si>
  <si>
    <t>Taxes Other Than Income</t>
  </si>
  <si>
    <t>GPS</t>
  </si>
  <si>
    <t>OPRV-ID</t>
  </si>
  <si>
    <t>EXCTAX</t>
  </si>
  <si>
    <t>Total Taxes Other Than Income</t>
  </si>
  <si>
    <t>B5</t>
  </si>
  <si>
    <t>Deferred Investment Tax Credit - Fed</t>
  </si>
  <si>
    <t>B7</t>
  </si>
  <si>
    <t>Deferred Investment Tax Credit - Idaho</t>
  </si>
  <si>
    <t>Total Deferred ITC</t>
  </si>
  <si>
    <t>Interest on Long-Term Debt</t>
  </si>
  <si>
    <t>SNP</t>
  </si>
  <si>
    <t>Amortization of Debt Disc &amp; Exp</t>
  </si>
  <si>
    <t>Amortization of Premium on Debt</t>
  </si>
  <si>
    <t>Other Interest Expense</t>
  </si>
  <si>
    <t>NUTIL</t>
  </si>
  <si>
    <t>OTH</t>
  </si>
  <si>
    <t>AFUDC - Borrowed</t>
  </si>
  <si>
    <t>Total Elec. Interest Deductions for Tax</t>
  </si>
  <si>
    <t>Non-Regulated Portion of Interest</t>
  </si>
  <si>
    <t>Total Non-Regulated Interest</t>
  </si>
  <si>
    <t>Total Interest Deductions for Tax</t>
  </si>
  <si>
    <t>Interest &amp; Dividends</t>
  </si>
  <si>
    <t>Total Operating Deductions for Tax</t>
  </si>
  <si>
    <t>Deferred Income Tax - Federal-DR</t>
  </si>
  <si>
    <t>TROJD</t>
  </si>
  <si>
    <t>DITEXP</t>
  </si>
  <si>
    <t>BADDEBT</t>
  </si>
  <si>
    <t>IBT</t>
  </si>
  <si>
    <t>CIAC</t>
  </si>
  <si>
    <t>SCHMDEXP</t>
  </si>
  <si>
    <t>TAXDEPR</t>
  </si>
  <si>
    <t>Deferred Income Tax - Federal-CR</t>
  </si>
  <si>
    <t>Total Deferred Income Taxes</t>
  </si>
  <si>
    <t xml:space="preserve">  Additions - Flow Through</t>
  </si>
  <si>
    <t xml:space="preserve">  Additions - Permanent</t>
  </si>
  <si>
    <t>SCHMAP-SO</t>
  </si>
  <si>
    <t xml:space="preserve">  Additions - Temporary</t>
  </si>
  <si>
    <t>SCHMAT-SITUS</t>
  </si>
  <si>
    <t>SCHMAT-SNP</t>
  </si>
  <si>
    <t>SCHMAT-SE</t>
  </si>
  <si>
    <t>SCHMAT-GPS</t>
  </si>
  <si>
    <t>SCHMAT-SO</t>
  </si>
  <si>
    <t>BOOKDEPR</t>
  </si>
  <si>
    <t>TOTAL SCHEDULE - M ADDITIONS</t>
  </si>
  <si>
    <t xml:space="preserve">  Deductions - Flow Through</t>
  </si>
  <si>
    <t xml:space="preserve">  Deductions - Permanent</t>
  </si>
  <si>
    <t>SCHMDP-SO</t>
  </si>
  <si>
    <t xml:space="preserve">  Deductions - Temporary</t>
  </si>
  <si>
    <t>SCHMDT-SNP</t>
  </si>
  <si>
    <t>SCHMDT-SG</t>
  </si>
  <si>
    <t>SCHMDT-GPS</t>
  </si>
  <si>
    <t>SCHMDT-SO</t>
  </si>
  <si>
    <t>TOTAL SCHEDULE - M DEDUCTIONS</t>
  </si>
  <si>
    <t>TOTAL SCHEDULE - M ADJUSTMENTS</t>
  </si>
  <si>
    <t>State Income Taxes</t>
  </si>
  <si>
    <t>PTC</t>
  </si>
  <si>
    <t>Total State Tax Expense</t>
  </si>
  <si>
    <t>Operating Revenues</t>
  </si>
  <si>
    <t>Operating Deductions:</t>
  </si>
  <si>
    <t xml:space="preserve">   O &amp; M Expenses</t>
  </si>
  <si>
    <t xml:space="preserve">   Depreciation Expense</t>
  </si>
  <si>
    <t xml:space="preserve">   Amortization Expense</t>
  </si>
  <si>
    <t xml:space="preserve">   Taxes Other Than Income</t>
  </si>
  <si>
    <t xml:space="preserve">   Interest &amp; Dividends (AFUDC-Equity)</t>
  </si>
  <si>
    <t xml:space="preserve">   Misc Revenue &amp; Expense</t>
  </si>
  <si>
    <t xml:space="preserve">    Total Operating Deductions</t>
  </si>
  <si>
    <t>Other Deductions:</t>
  </si>
  <si>
    <t xml:space="preserve">   Interest Deductions</t>
  </si>
  <si>
    <t xml:space="preserve">   Interest on PCRBS</t>
  </si>
  <si>
    <t xml:space="preserve">   Schedule M Adjustments</t>
  </si>
  <si>
    <t xml:space="preserve">    Income Before State Taxes</t>
  </si>
  <si>
    <t>Total Taxable Income</t>
  </si>
  <si>
    <t>Tax Rate</t>
  </si>
  <si>
    <t>Federal Income Tax - Calculated</t>
  </si>
  <si>
    <t>IRS Settle</t>
  </si>
  <si>
    <t>Federal Income Tax Expense</t>
  </si>
  <si>
    <t>Total Operating Expenses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</si>
  <si>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</si>
  <si>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</si>
  <si>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</si>
  <si>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</si>
  <si>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</si>
  <si>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</si>
  <si>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</si>
  <si>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</si>
  <si>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</si>
  <si>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</si>
  <si>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</si>
  <si>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</si>
  <si>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</si>
  <si>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</si>
  <si>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</si>
  <si>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</si>
  <si>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</si>
  <si>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</si>
  <si>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</si>
  <si>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</si>
  <si>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</si>
  <si>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</si>
  <si>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Unclassified Hydro Plant - Acct 300</t>
  </si>
  <si>
    <t>Total Hydraulic Production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</si>
  <si>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</si>
  <si>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</si>
  <si>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</si>
  <si>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</si>
  <si>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</si>
  <si>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</si>
  <si>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</si>
  <si>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</si>
  <si>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</si>
  <si>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</si>
  <si>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</si>
  <si>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</si>
  <si>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Production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</si>
  <si>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</si>
  <si>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</si>
  <si>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</si>
  <si>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</si>
  <si>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</si>
  <si>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</si>
  <si>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</si>
  <si>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Unclassified Trans Plant - Acct 300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</si>
  <si>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</si>
  <si>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</si>
  <si>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</si>
  <si>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</si>
  <si>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</si>
  <si>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</si>
  <si>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</si>
  <si>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</si>
  <si>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</si>
  <si>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Unclassified Dist Plant - Acct 300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</si>
  <si>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</si>
  <si>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</si>
  <si>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</si>
  <si>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</si>
  <si>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</si>
  <si>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</si>
  <si>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</si>
  <si>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</si>
  <si>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</si>
  <si>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</si>
  <si>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</si>
  <si>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</si>
  <si>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</si>
  <si>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WIDCO Capital Lease</t>
  </si>
  <si>
    <t>Remove Capital Leases</t>
  </si>
  <si>
    <t>General Capital Leases</t>
  </si>
  <si>
    <t>B9</t>
  </si>
  <si>
    <t>General Gas Line Capital Leases</t>
  </si>
  <si>
    <t>Unclassified Gen Plant - Acct 300</t>
  </si>
  <si>
    <t>Total General Plant</t>
  </si>
  <si>
    <t>Summary of General Plant by Factor</t>
  </si>
  <si>
    <t>Less Capital Leases</t>
  </si>
  <si>
    <t>Total General Plant by Factor</t>
  </si>
  <si>
    <t>Organization</t>
  </si>
  <si>
    <t>Franchise &amp; Consent</t>
  </si>
  <si>
    <t>Miscellaneous Intangible Plant</t>
  </si>
  <si>
    <t>Less Non-Regulated Plant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</si>
  <si>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</si>
  <si>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</si>
  <si>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</si>
  <si>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</si>
  <si>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</si>
  <si>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</si>
  <si>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</si>
  <si>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</si>
  <si>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</si>
  <si>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</si>
  <si>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</si>
  <si>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</si>
  <si>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</t>
  </si>
  <si>
    <t>B15</t>
  </si>
  <si>
    <t>Accum  Provision for Asset Acquisition Adjustments</t>
  </si>
  <si>
    <t>Pensions</t>
  </si>
  <si>
    <t>Total Pensions</t>
  </si>
  <si>
    <t>Weatherization</t>
  </si>
  <si>
    <t>B16</t>
  </si>
  <si>
    <t>CNP</t>
  </si>
  <si>
    <t>Total Weatherization</t>
  </si>
  <si>
    <t>Fuel Stock</t>
  </si>
  <si>
    <t>B13</t>
  </si>
  <si>
    <t>Fuel Stock - Undistributed</t>
  </si>
  <si>
    <t>UAMPS Working Capital Deposit</t>
  </si>
  <si>
    <t>DG&amp;T Working Capital Deposit</t>
  </si>
  <si>
    <t>Provo Working Capital Deposit</t>
  </si>
  <si>
    <t>Total Fuel Stock</t>
  </si>
  <si>
    <t>Materials and Supplies</t>
  </si>
  <si>
    <t>MSS</t>
  </si>
  <si>
    <t>Stores Expense Undistributed</t>
  </si>
  <si>
    <t>Total Materials and Supplies</t>
  </si>
  <si>
    <t>Prepayments</t>
  </si>
  <si>
    <t>Total Prepayments</t>
  </si>
  <si>
    <t>Misc Regulatory Assets</t>
  </si>
  <si>
    <t>DDS2</t>
  </si>
  <si>
    <t>DEFSG</t>
  </si>
  <si>
    <t>DDSO2</t>
  </si>
  <si>
    <t>Misc Deferred Debits</t>
  </si>
  <si>
    <t>Total Misc. Deferred Debits</t>
  </si>
  <si>
    <t>B11</t>
  </si>
  <si>
    <t>Working Capital</t>
  </si>
  <si>
    <t>Cash Working Capital</t>
  </si>
  <si>
    <t>B14</t>
  </si>
  <si>
    <t>Other Work. Cap.</t>
  </si>
  <si>
    <t>Cash</t>
  </si>
  <si>
    <t>Working Funds</t>
  </si>
  <si>
    <t>Notes Receivable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</si>
  <si>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</si>
  <si>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</si>
  <si>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</si>
  <si>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</si>
  <si>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</si>
  <si>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</si>
  <si>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</si>
  <si>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Miscellaneous Rate Base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</si>
  <si>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</si>
  <si>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</si>
  <si>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</si>
  <si>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</si>
  <si>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</si>
  <si>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Customer Service Deposits</t>
  </si>
  <si>
    <t>Total Customer Service Deposits</t>
  </si>
  <si>
    <t>Prop Ins</t>
  </si>
  <si>
    <t>Inj &amp; Dam</t>
  </si>
  <si>
    <t>Pen &amp; Ben</t>
  </si>
  <si>
    <t>Reg Liab Post-Retirement</t>
  </si>
  <si>
    <t>Prov for Injuries &amp; Damages</t>
  </si>
  <si>
    <t xml:space="preserve">Reg Liabilities </t>
  </si>
  <si>
    <t>Accum Misc. Operating Provisions</t>
  </si>
  <si>
    <t xml:space="preserve">ARO  </t>
  </si>
  <si>
    <t>Customer Advances for Construction</t>
  </si>
  <si>
    <t>Total Customer Advances for Construction</t>
  </si>
  <si>
    <t>B20</t>
  </si>
  <si>
    <t>SO2 Emissions</t>
  </si>
  <si>
    <t>Other Deferred Credits</t>
  </si>
  <si>
    <t>Accumulated Deferred Income Taxes</t>
  </si>
  <si>
    <t>B19</t>
  </si>
  <si>
    <t xml:space="preserve">Accumulated Deferred Income Taxes </t>
  </si>
  <si>
    <t>ACCMDIT</t>
  </si>
  <si>
    <t>DITBAL</t>
  </si>
  <si>
    <t>Total Accum Deferred Income Tax</t>
  </si>
  <si>
    <t>Accumulated Investment Tax Credit</t>
  </si>
  <si>
    <t>ITC84</t>
  </si>
  <si>
    <t>ITC85</t>
  </si>
  <si>
    <t>ITC86</t>
  </si>
  <si>
    <t>ITC88</t>
  </si>
  <si>
    <t>ITC89</t>
  </si>
  <si>
    <t>ITC90</t>
  </si>
  <si>
    <t>Total Accumulated ITC</t>
  </si>
  <si>
    <t>Total Rate Base Deductions</t>
  </si>
  <si>
    <t>Steam Prod Plant Accumulated Depr</t>
  </si>
  <si>
    <t>B17</t>
  </si>
  <si>
    <t>Nuclear Prod Plant Accumulated Depr</t>
  </si>
  <si>
    <t>Hydraulic Prod Plant Accum Depr</t>
  </si>
  <si>
    <t>Other Production Plant - Accum Depr</t>
  </si>
  <si>
    <t>Experimental Plant - Accum Depr</t>
  </si>
  <si>
    <t>Total Production Plant Accum Depreciation</t>
  </si>
  <si>
    <t>Summary of Prod Plant Depreciation by Factor</t>
  </si>
  <si>
    <t>Total of Prod Plant Depreciation by Factor</t>
  </si>
  <si>
    <t>Transmission Plant Accumulated Depr</t>
  </si>
  <si>
    <t>Total Trans Plant Accum Depreciation</t>
  </si>
  <si>
    <t>Total Distribution Plant Accum Depreciation</t>
  </si>
  <si>
    <t>Summary of Distribution Plant Depr by Factor</t>
  </si>
  <si>
    <t>Total Distribution Depreciation by Factor</t>
  </si>
  <si>
    <t>General Plant Accumulated Depr</t>
  </si>
  <si>
    <t>Mining Plant Accumulated Depr.</t>
  </si>
  <si>
    <t>Less Centralia Situs Depreciation</t>
  </si>
  <si>
    <t>Accum Depr - Capital Lease</t>
  </si>
  <si>
    <t>Total General Plant Accum Depreciation</t>
  </si>
  <si>
    <t>Summary of General Depreciation by Factor</t>
  </si>
  <si>
    <t>Total General Depreciation by Factor</t>
  </si>
  <si>
    <t>Total Accum Depreciation - Plant In Service</t>
  </si>
  <si>
    <t>Accum Prov for Amort-Steam</t>
  </si>
  <si>
    <t>B18</t>
  </si>
  <si>
    <t>Accum Prov for Amort-General</t>
  </si>
  <si>
    <t>Accum Prov for Amort-Hydro</t>
  </si>
  <si>
    <t>Accum Prov for Amort-Intangible Plant</t>
  </si>
  <si>
    <t>Accum Amtr - Capital Lease</t>
  </si>
  <si>
    <t>Remove Capital Lease Amtr</t>
  </si>
  <si>
    <t>Total Accum Provision for Amortization</t>
  </si>
  <si>
    <t>Summary of Amortization by Factor</t>
  </si>
  <si>
    <t>Less Capital Lease</t>
  </si>
  <si>
    <t>Total Provision For Amortization by Factor</t>
  </si>
  <si>
    <t>TOTAL ACCUM PROV FOR AMORTIZATION</t>
  </si>
  <si>
    <t>Remove Capital Lease Amort</t>
  </si>
  <si>
    <t>Accum-Prov for Amort-Mining</t>
  </si>
  <si>
    <t>Less Non-Utility Plant</t>
  </si>
  <si>
    <t>TOTAL ACCUM DEPR - PLANT IN SERVICE</t>
  </si>
  <si>
    <t>TOTAL GENERAL PLANT ACCUM DEPR</t>
  </si>
  <si>
    <t>TOTAL DISTRIBUTION PLANT DEPR</t>
  </si>
  <si>
    <t>TOTAL TRANS PLANT ACCUM DEPR</t>
  </si>
  <si>
    <t>TOTAL PRODUCTION PLANT DEPRECIATION</t>
  </si>
  <si>
    <t>SG-W</t>
  </si>
  <si>
    <t>TOTAL MISC RATE DRB DEDUCTIONS</t>
  </si>
  <si>
    <t>TOTAL ACCUMULATED DEF INCOME TAX</t>
  </si>
  <si>
    <t>ARO</t>
  </si>
  <si>
    <t>Reg Liabilities - Insurance Provision</t>
  </si>
  <si>
    <t>Accum Hydro Relicensing Obligation</t>
  </si>
  <si>
    <t>Accum Prov for Pensions &amp; Benefits</t>
  </si>
  <si>
    <t>Accum Prov for Injuries &amp; Damages</t>
  </si>
  <si>
    <t>Accum Prov for Property Insurance</t>
  </si>
  <si>
    <t>TOTAL RATE DRB ADDITIONS</t>
  </si>
  <si>
    <t>TOTAL MISCELLANEOUS RATE DRB</t>
  </si>
  <si>
    <t>Impact Housing - Notes Receivable</t>
  </si>
  <si>
    <t>SNPPN</t>
  </si>
  <si>
    <t>Miscellaneous Rate DRB</t>
  </si>
  <si>
    <t>Other Working Capital</t>
  </si>
  <si>
    <t>Total Materials &amp; Supplies</t>
  </si>
  <si>
    <t>TOTAL ELECTRIC PLANT IN SERVICE</t>
  </si>
  <si>
    <t>TOTAL INTANGIBLE PLANT</t>
  </si>
  <si>
    <t>TOTAL GENERAL PLANT</t>
  </si>
  <si>
    <t>General Vehicles Capital Leases</t>
  </si>
  <si>
    <t>392L</t>
  </si>
  <si>
    <t>Remove Remaining Capital Leases</t>
  </si>
  <si>
    <t>TOTAL DISTRIBUTION PLANT</t>
  </si>
  <si>
    <t>TOTAL TRANSMISSION PLANT</t>
  </si>
  <si>
    <t>TOTAL PRODUCTION PLANT</t>
  </si>
  <si>
    <t>Total Experimental Plant</t>
  </si>
  <si>
    <t>Total Hydraulic Plant</t>
  </si>
  <si>
    <t>N00</t>
  </si>
  <si>
    <t>TOTAL OPERATING EXPENSES</t>
  </si>
  <si>
    <t xml:space="preserve">Adjustment to Book Tax </t>
  </si>
  <si>
    <t>Federal Income Tax Per Calculation</t>
  </si>
  <si>
    <t>SITUS</t>
  </si>
  <si>
    <t>PMI</t>
  </si>
  <si>
    <t>TOTAL STATE TAXES</t>
  </si>
  <si>
    <t>TOTAL DEFERRED INCOME TAXES</t>
  </si>
  <si>
    <t>DITEXPRL</t>
  </si>
  <si>
    <t>Deferred Income Tax - State-CR</t>
  </si>
  <si>
    <t>Deferred Income Tax - State-DR</t>
  </si>
  <si>
    <t>Total Electric Interest Deductions for Tax</t>
  </si>
  <si>
    <t>Electric Interest Deductions for Tax</t>
  </si>
  <si>
    <t>TOTAL DEFERRED ITC</t>
  </si>
  <si>
    <t>TOTAL AMORTIZATION EXPENSE</t>
  </si>
  <si>
    <t>Amort of LT Plant - Capital Lease Gen</t>
  </si>
  <si>
    <t>TOTAL DEPRECIATION EXPENSE</t>
  </si>
  <si>
    <t>TOTAL O&amp;M EXPENSE</t>
  </si>
  <si>
    <t>Total Adminsitrative &amp; Gen Expense</t>
  </si>
  <si>
    <t>Regulatory Expense</t>
  </si>
  <si>
    <t>928RE</t>
  </si>
  <si>
    <t>TOTAL SALES EXPENSE</t>
  </si>
  <si>
    <t>TOTAL CUSTOMER SERVICE EXPENSE</t>
  </si>
  <si>
    <t>TOTAL CUSTOMER ACCOUNTS EXPENSE</t>
  </si>
  <si>
    <t>TOTAL DISTRIBUTION EXPENSE</t>
  </si>
  <si>
    <t>TOTAL TRANSMISSION EXPENSE</t>
  </si>
  <si>
    <t>TOTAL PRODUCTION EXPENSE</t>
  </si>
  <si>
    <t xml:space="preserve">  Equalization Adj.</t>
  </si>
  <si>
    <t>2017 Protocol Adjustment</t>
  </si>
  <si>
    <t xml:space="preserve">S </t>
  </si>
  <si>
    <t>553.SG3</t>
  </si>
  <si>
    <t>545.SG3</t>
  </si>
  <si>
    <t>545.SG2</t>
  </si>
  <si>
    <t>544.SG2</t>
  </si>
  <si>
    <t>544.SG1</t>
  </si>
  <si>
    <t>543.SG2</t>
  </si>
  <si>
    <t>543.SG1</t>
  </si>
  <si>
    <t>542.SG2</t>
  </si>
  <si>
    <t>542.SG1</t>
  </si>
  <si>
    <t>539.SG2</t>
  </si>
  <si>
    <t>539.SG1</t>
  </si>
  <si>
    <t>537.SG2</t>
  </si>
  <si>
    <t>537.SG1</t>
  </si>
  <si>
    <t>535.SG3</t>
  </si>
  <si>
    <t>535.SG2</t>
  </si>
  <si>
    <t>Steam From Other Sources</t>
  </si>
  <si>
    <t>Fuel Related</t>
  </si>
  <si>
    <t>D</t>
  </si>
  <si>
    <t>Divergence Fairness Adjustment</t>
  </si>
  <si>
    <t>DFA</t>
  </si>
  <si>
    <t>Other Electric Operating Revenues</t>
  </si>
  <si>
    <t>AGA Revenue Credit</t>
  </si>
  <si>
    <t>State Revenue Credit</t>
  </si>
  <si>
    <t>Check Total</t>
  </si>
  <si>
    <r>
      <rPr>
        <b/>
        <sz val="10"/>
        <color theme="1"/>
        <rFont val="Arial"/>
        <family val="2"/>
      </rPr>
      <t>Distribution</t>
    </r>
    <r>
      <rPr>
        <b/>
        <u/>
        <sz val="10"/>
        <color theme="1"/>
        <rFont val="Arial"/>
        <family val="2"/>
      </rPr>
      <t xml:space="preserve">
Check
</t>
    </r>
  </si>
  <si>
    <r>
      <rPr>
        <b/>
        <sz val="10"/>
        <color theme="1"/>
        <rFont val="Arial"/>
        <family val="2"/>
      </rPr>
      <t>Transmission</t>
    </r>
    <r>
      <rPr>
        <b/>
        <u/>
        <sz val="10"/>
        <color theme="1"/>
        <rFont val="Arial"/>
        <family val="2"/>
      </rPr>
      <t xml:space="preserve">
Check
</t>
    </r>
  </si>
  <si>
    <r>
      <rPr>
        <b/>
        <sz val="10"/>
        <color theme="1"/>
        <rFont val="Arial"/>
        <family val="2"/>
      </rPr>
      <t>Generation</t>
    </r>
    <r>
      <rPr>
        <b/>
        <u/>
        <sz val="10"/>
        <color theme="1"/>
        <rFont val="Arial"/>
        <family val="2"/>
      </rPr>
      <t xml:space="preserve">
Check
</t>
    </r>
  </si>
  <si>
    <r>
      <rPr>
        <b/>
        <sz val="10"/>
        <color theme="1"/>
        <rFont val="Arial"/>
        <family val="2"/>
      </rPr>
      <t>Function</t>
    </r>
    <r>
      <rPr>
        <b/>
        <u/>
        <sz val="10"/>
        <color theme="1"/>
        <rFont val="Arial"/>
        <family val="2"/>
      </rPr>
      <t xml:space="preserve">
Check
</t>
    </r>
  </si>
  <si>
    <r>
      <rPr>
        <b/>
        <sz val="10"/>
        <color theme="1"/>
        <rFont val="Arial"/>
        <family val="2"/>
      </rPr>
      <t>DIS</t>
    </r>
    <r>
      <rPr>
        <b/>
        <u/>
        <sz val="10"/>
        <color theme="1"/>
        <rFont val="Arial"/>
        <family val="2"/>
      </rPr>
      <t xml:space="preserve">
METER</t>
    </r>
  </si>
  <si>
    <r>
      <rPr>
        <b/>
        <sz val="10"/>
        <color theme="1"/>
        <rFont val="Arial"/>
        <family val="2"/>
      </rPr>
      <t>DIS</t>
    </r>
    <r>
      <rPr>
        <b/>
        <u/>
        <sz val="10"/>
        <color theme="1"/>
        <rFont val="Arial"/>
        <family val="2"/>
      </rPr>
      <t xml:space="preserve">
SERVICE</t>
    </r>
  </si>
  <si>
    <r>
      <rPr>
        <b/>
        <sz val="10"/>
        <color theme="1"/>
        <rFont val="Arial"/>
        <family val="2"/>
      </rPr>
      <t>DIS</t>
    </r>
    <r>
      <rPr>
        <b/>
        <u/>
        <sz val="10"/>
        <color theme="1"/>
        <rFont val="Arial"/>
        <family val="2"/>
      </rPr>
      <t xml:space="preserve">
XFMR</t>
    </r>
  </si>
  <si>
    <r>
      <rPr>
        <b/>
        <sz val="10"/>
        <color theme="1"/>
        <rFont val="Arial"/>
        <family val="2"/>
      </rPr>
      <t>DIS</t>
    </r>
    <r>
      <rPr>
        <b/>
        <u/>
        <sz val="10"/>
        <color theme="1"/>
        <rFont val="Arial"/>
        <family val="2"/>
      </rPr>
      <t xml:space="preserve">
P &amp; C</t>
    </r>
  </si>
  <si>
    <r>
      <rPr>
        <b/>
        <sz val="10"/>
        <color theme="1"/>
        <rFont val="Arial"/>
        <family val="2"/>
      </rPr>
      <t>DIS</t>
    </r>
    <r>
      <rPr>
        <b/>
        <u/>
        <sz val="10"/>
        <color theme="1"/>
        <rFont val="Arial"/>
        <family val="2"/>
      </rPr>
      <t xml:space="preserve">
SUBS</t>
    </r>
  </si>
  <si>
    <r>
      <rPr>
        <b/>
        <sz val="10"/>
        <color theme="1"/>
        <rFont val="Arial"/>
        <family val="2"/>
      </rPr>
      <t>DIS</t>
    </r>
    <r>
      <rPr>
        <b/>
        <u/>
        <sz val="10"/>
        <color theme="1"/>
        <rFont val="Arial"/>
        <family val="2"/>
      </rPr>
      <t xml:space="preserve">
FACTOR
</t>
    </r>
  </si>
  <si>
    <r>
      <rPr>
        <b/>
        <sz val="10"/>
        <color theme="1"/>
        <rFont val="Arial"/>
        <family val="2"/>
      </rPr>
      <t>Transmission</t>
    </r>
    <r>
      <rPr>
        <b/>
        <u/>
        <sz val="10"/>
        <color theme="1"/>
        <rFont val="Arial"/>
        <family val="2"/>
      </rPr>
      <t xml:space="preserve">
Energy Fixed</t>
    </r>
  </si>
  <si>
    <r>
      <rPr>
        <b/>
        <sz val="10"/>
        <color theme="1"/>
        <rFont val="Arial"/>
        <family val="2"/>
      </rPr>
      <t>Transmission</t>
    </r>
    <r>
      <rPr>
        <b/>
        <u/>
        <sz val="10"/>
        <color theme="1"/>
        <rFont val="Arial"/>
        <family val="2"/>
      </rPr>
      <t xml:space="preserve">
Demand Fixed</t>
    </r>
  </si>
  <si>
    <r>
      <rPr>
        <b/>
        <sz val="10"/>
        <color theme="1"/>
        <rFont val="Arial"/>
        <family val="2"/>
      </rPr>
      <t>Transmission</t>
    </r>
    <r>
      <rPr>
        <b/>
        <u/>
        <sz val="10"/>
        <color theme="1"/>
        <rFont val="Arial"/>
        <family val="2"/>
      </rPr>
      <t xml:space="preserve">
Energy Variable</t>
    </r>
  </si>
  <si>
    <r>
      <rPr>
        <b/>
        <sz val="10"/>
        <color theme="1"/>
        <rFont val="Arial"/>
        <family val="2"/>
      </rPr>
      <t>Transmission</t>
    </r>
    <r>
      <rPr>
        <b/>
        <u/>
        <sz val="10"/>
        <color theme="1"/>
        <rFont val="Arial"/>
        <family val="2"/>
      </rPr>
      <t xml:space="preserve">
Demand Variable</t>
    </r>
  </si>
  <si>
    <r>
      <rPr>
        <b/>
        <sz val="10"/>
        <color theme="1"/>
        <rFont val="Arial"/>
        <family val="2"/>
      </rPr>
      <t>D / E</t>
    </r>
    <r>
      <rPr>
        <b/>
        <u/>
        <sz val="10"/>
        <color theme="1"/>
        <rFont val="Arial"/>
        <family val="2"/>
      </rPr>
      <t xml:space="preserve">
Total
</t>
    </r>
  </si>
  <si>
    <r>
      <rPr>
        <b/>
        <sz val="10"/>
        <color theme="1"/>
        <rFont val="Arial"/>
        <family val="2"/>
      </rPr>
      <t>Production</t>
    </r>
    <r>
      <rPr>
        <b/>
        <u/>
        <sz val="10"/>
        <color theme="1"/>
        <rFont val="Arial"/>
        <family val="2"/>
      </rPr>
      <t xml:space="preserve">
Energy Fixed</t>
    </r>
  </si>
  <si>
    <r>
      <rPr>
        <b/>
        <sz val="10"/>
        <color theme="1"/>
        <rFont val="Arial"/>
        <family val="2"/>
      </rPr>
      <t>Production</t>
    </r>
    <r>
      <rPr>
        <b/>
        <u/>
        <sz val="10"/>
        <color theme="1"/>
        <rFont val="Arial"/>
        <family val="2"/>
      </rPr>
      <t xml:space="preserve">
Demand Fixed</t>
    </r>
  </si>
  <si>
    <r>
      <rPr>
        <b/>
        <sz val="10"/>
        <color theme="1"/>
        <rFont val="Arial"/>
        <family val="2"/>
      </rPr>
      <t>Production</t>
    </r>
    <r>
      <rPr>
        <b/>
        <u/>
        <sz val="10"/>
        <color theme="1"/>
        <rFont val="Arial"/>
        <family val="2"/>
      </rPr>
      <t xml:space="preserve">
Energy Variable</t>
    </r>
  </si>
  <si>
    <r>
      <rPr>
        <b/>
        <sz val="10"/>
        <color theme="1"/>
        <rFont val="Arial"/>
        <family val="2"/>
      </rPr>
      <t>Production</t>
    </r>
    <r>
      <rPr>
        <b/>
        <u/>
        <sz val="10"/>
        <color theme="1"/>
        <rFont val="Arial"/>
        <family val="2"/>
      </rPr>
      <t xml:space="preserve">
Demand Variable</t>
    </r>
  </si>
  <si>
    <t>NPC 
Split</t>
  </si>
  <si>
    <r>
      <rPr>
        <b/>
        <sz val="10"/>
        <color theme="1"/>
        <rFont val="Arial"/>
        <family val="2"/>
      </rPr>
      <t>Misc</t>
    </r>
    <r>
      <rPr>
        <b/>
        <u/>
        <sz val="10"/>
        <color theme="1"/>
        <rFont val="Arial"/>
        <family val="2"/>
      </rPr>
      <t xml:space="preserve">
Total
</t>
    </r>
  </si>
  <si>
    <r>
      <rPr>
        <b/>
        <sz val="10"/>
        <color theme="1"/>
        <rFont val="Arial"/>
        <family val="2"/>
      </rPr>
      <t>Retail</t>
    </r>
    <r>
      <rPr>
        <b/>
        <u/>
        <sz val="10"/>
        <color theme="1"/>
        <rFont val="Arial"/>
        <family val="2"/>
      </rPr>
      <t xml:space="preserve">
Total
</t>
    </r>
  </si>
  <si>
    <r>
      <rPr>
        <b/>
        <sz val="10"/>
        <color theme="1"/>
        <rFont val="Arial"/>
        <family val="2"/>
      </rPr>
      <t>Distribution</t>
    </r>
    <r>
      <rPr>
        <b/>
        <u/>
        <sz val="10"/>
        <color theme="1"/>
        <rFont val="Arial"/>
        <family val="2"/>
      </rPr>
      <t xml:space="preserve">
Total
</t>
    </r>
  </si>
  <si>
    <r>
      <rPr>
        <b/>
        <sz val="10"/>
        <color theme="1"/>
        <rFont val="Arial"/>
        <family val="2"/>
      </rPr>
      <t>Transmission</t>
    </r>
    <r>
      <rPr>
        <b/>
        <u/>
        <sz val="10"/>
        <color theme="1"/>
        <rFont val="Arial"/>
        <family val="2"/>
      </rPr>
      <t xml:space="preserve">
Total</t>
    </r>
  </si>
  <si>
    <r>
      <rPr>
        <b/>
        <sz val="10"/>
        <color theme="1"/>
        <rFont val="Arial"/>
        <family val="2"/>
      </rPr>
      <t>Production</t>
    </r>
    <r>
      <rPr>
        <b/>
        <u/>
        <sz val="10"/>
        <color theme="1"/>
        <rFont val="Arial"/>
        <family val="2"/>
      </rPr>
      <t xml:space="preserve">
Total</t>
    </r>
  </si>
  <si>
    <t xml:space="preserve">UTAH
JAM Total
</t>
  </si>
  <si>
    <r>
      <rPr>
        <b/>
        <sz val="10"/>
        <color theme="1"/>
        <rFont val="Arial"/>
        <family val="2"/>
      </rPr>
      <t>Functional</t>
    </r>
    <r>
      <rPr>
        <b/>
        <u/>
        <sz val="10"/>
        <color theme="1"/>
        <rFont val="Arial"/>
        <family val="2"/>
      </rPr>
      <t xml:space="preserve">
Factors
</t>
    </r>
  </si>
  <si>
    <r>
      <rPr>
        <b/>
        <sz val="10"/>
        <color theme="1"/>
        <rFont val="Arial"/>
        <family val="2"/>
      </rPr>
      <t>JAM</t>
    </r>
    <r>
      <rPr>
        <b/>
        <u/>
        <sz val="10"/>
        <color theme="1"/>
        <rFont val="Arial"/>
        <family val="2"/>
      </rPr>
      <t xml:space="preserve">
Factors</t>
    </r>
  </si>
  <si>
    <t>DESCRIPTION</t>
  </si>
  <si>
    <r>
      <rPr>
        <b/>
        <sz val="10"/>
        <color theme="1"/>
        <rFont val="Arial"/>
        <family val="2"/>
      </rPr>
      <t>FERC</t>
    </r>
    <r>
      <rPr>
        <b/>
        <u/>
        <sz val="10"/>
        <color theme="1"/>
        <rFont val="Arial"/>
        <family val="2"/>
      </rPr>
      <t xml:space="preserve">
ACCT
</t>
    </r>
  </si>
  <si>
    <t>Ret</t>
  </si>
  <si>
    <t>Dis</t>
  </si>
  <si>
    <t>Trn</t>
  </si>
  <si>
    <t>Gen</t>
  </si>
  <si>
    <t>Energy</t>
  </si>
  <si>
    <t>Demand</t>
  </si>
  <si>
    <t>Total Revenue Requirements</t>
  </si>
  <si>
    <t>Revenue Credits</t>
  </si>
  <si>
    <t>Misc Revenue &amp; Expenses</t>
  </si>
  <si>
    <t>Investment Tax Credit</t>
  </si>
  <si>
    <t>Deferred Income Taxes</t>
  </si>
  <si>
    <t xml:space="preserve">        SIT Adj to Produce Target ROR</t>
  </si>
  <si>
    <t xml:space="preserve">        FIT Adj to Produce Target ROR</t>
  </si>
  <si>
    <t>Federal Income Taxes</t>
  </si>
  <si>
    <t>Amortization Expense</t>
  </si>
  <si>
    <t>Depreciation Expense</t>
  </si>
  <si>
    <t xml:space="preserve">        Bad Debt to Produce ROR</t>
  </si>
  <si>
    <t>Operating &amp; Maintenance Expense</t>
  </si>
  <si>
    <t>Return On RateBase ($$)</t>
  </si>
  <si>
    <t>Total Rate Base</t>
  </si>
  <si>
    <t>Return On Equity</t>
  </si>
  <si>
    <t>Return On Rate Base</t>
  </si>
  <si>
    <t xml:space="preserve">  Misc Rate Base Deductions</t>
  </si>
  <si>
    <t xml:space="preserve">  Customer Service Deposits</t>
  </si>
  <si>
    <t xml:space="preserve">  Customer Advance For Construction</t>
  </si>
  <si>
    <t xml:space="preserve">  Unamortized ITC</t>
  </si>
  <si>
    <t xml:space="preserve">  Accum Deferred Income Taxes</t>
  </si>
  <si>
    <t xml:space="preserve">  Accum Provision For Amortization</t>
  </si>
  <si>
    <t xml:space="preserve">  Accum Provision For Depreciation</t>
  </si>
  <si>
    <t>Rate Base Deductions :</t>
  </si>
  <si>
    <t xml:space="preserve">  Miscellaneous Rate Base</t>
  </si>
  <si>
    <t xml:space="preserve">  Weatherization Loans</t>
  </si>
  <si>
    <t xml:space="preserve">  Cash Working Capital</t>
  </si>
  <si>
    <t xml:space="preserve">  Materials &amp; Supplies</t>
  </si>
  <si>
    <t xml:space="preserve">  Fuel Stock</t>
  </si>
  <si>
    <t xml:space="preserve">  Prepayments</t>
  </si>
  <si>
    <t xml:space="preserve">  Pensions</t>
  </si>
  <si>
    <t xml:space="preserve">  Electric Plant Acquisition Adj</t>
  </si>
  <si>
    <t xml:space="preserve">  Misc Deferred Debits</t>
  </si>
  <si>
    <t xml:space="preserve">  Plant Held For Future Use </t>
  </si>
  <si>
    <t xml:space="preserve">  Electric Plant In Service</t>
  </si>
  <si>
    <t>Rate Base :</t>
  </si>
  <si>
    <t>Operating Revenue For Return</t>
  </si>
  <si>
    <t xml:space="preserve">  Misc Revenues &amp; Expense</t>
  </si>
  <si>
    <t xml:space="preserve">  Investment Tax Credit Adj</t>
  </si>
  <si>
    <t xml:space="preserve">  Income Taxes Deferred</t>
  </si>
  <si>
    <t xml:space="preserve">  Income Taxes - State</t>
  </si>
  <si>
    <t xml:space="preserve">  Income Taxes - Federal</t>
  </si>
  <si>
    <t xml:space="preserve">  Taxes Other Than Income</t>
  </si>
  <si>
    <t xml:space="preserve">  Amortization Expense</t>
  </si>
  <si>
    <t xml:space="preserve">  Depreciation Expense</t>
  </si>
  <si>
    <t xml:space="preserve">  Operation &amp; Maintenance Expenses</t>
  </si>
  <si>
    <t>Operating Expenses</t>
  </si>
  <si>
    <t>Total Operating Revenues</t>
  </si>
  <si>
    <t xml:space="preserve">  Other Operating Revenues</t>
  </si>
  <si>
    <t xml:space="preserve">  Special Sales</t>
  </si>
  <si>
    <t xml:space="preserve">  General Business Revenues</t>
  </si>
  <si>
    <t>Title</t>
  </si>
  <si>
    <t>included PTC</t>
  </si>
  <si>
    <t>Production Summary</t>
  </si>
  <si>
    <t>Cost Of Service By Rate Schedule - Production Function</t>
  </si>
  <si>
    <t>A</t>
  </si>
  <si>
    <t>B</t>
  </si>
  <si>
    <t>C</t>
  </si>
  <si>
    <t>E</t>
  </si>
  <si>
    <t>F</t>
  </si>
  <si>
    <t>H</t>
  </si>
  <si>
    <t>I</t>
  </si>
  <si>
    <t>J</t>
  </si>
  <si>
    <t>K</t>
  </si>
  <si>
    <t>L</t>
  </si>
  <si>
    <t>M</t>
  </si>
  <si>
    <t>N</t>
  </si>
  <si>
    <t>Chk Total</t>
  </si>
  <si>
    <t xml:space="preserve">DESCRIPTION </t>
  </si>
  <si>
    <t>Operation &amp; Maintenance Expenses</t>
  </si>
  <si>
    <t>Income Taxes - Federal</t>
  </si>
  <si>
    <t>Income Taxes - State</t>
  </si>
  <si>
    <t>Income Taxes Deferred</t>
  </si>
  <si>
    <t>Investment Tax Credit Adj</t>
  </si>
  <si>
    <t>Misc Revenues &amp; Expense</t>
  </si>
  <si>
    <t>Electric Plant In Service</t>
  </si>
  <si>
    <t xml:space="preserve">Plant Held For Future Use </t>
  </si>
  <si>
    <t>Electric Plant Acquisition Adj</t>
  </si>
  <si>
    <t>Materials &amp; Supplies</t>
  </si>
  <si>
    <t>Weatherization Loans</t>
  </si>
  <si>
    <t>Accum Provision For Depreciation</t>
  </si>
  <si>
    <t>Accum Provision For Amortization</t>
  </si>
  <si>
    <t>Accum Deferred Income Taxes</t>
  </si>
  <si>
    <t>Unamortized ITC</t>
  </si>
  <si>
    <t>Customer Advance For Construction</t>
  </si>
  <si>
    <t>Misc Rate Base Deductions</t>
  </si>
  <si>
    <t>Calculated Return On Rate Base</t>
  </si>
  <si>
    <t>Return On Rate Base @ Target ROR</t>
  </si>
  <si>
    <t>Total Op. exp. Adjusted for Taxes</t>
  </si>
  <si>
    <t>Total Target Revenue Requirements</t>
  </si>
  <si>
    <t>Cost Of Service By Rate Schedule - Production-Demand Variable Summary</t>
  </si>
  <si>
    <t>Cost Of Service By Rate Schedule - Production-Energy Variable Summary</t>
  </si>
  <si>
    <t>Cost Of Service By Rate Schedule - Production-Demand Fixed Summary</t>
  </si>
  <si>
    <t>Cost Of Service By Rate Schedule - Production-Energy Fixed Summary</t>
  </si>
  <si>
    <t>% of total RR</t>
  </si>
  <si>
    <t>%</t>
  </si>
  <si>
    <t>Rocky Mountain Power - State of Utah</t>
  </si>
  <si>
    <t>Units</t>
  </si>
  <si>
    <t>Base</t>
  </si>
  <si>
    <t>Forecast</t>
  </si>
  <si>
    <t>Schedule No. 1- Residential Service</t>
  </si>
  <si>
    <t>Revenues</t>
  </si>
  <si>
    <t>Forecast Revenues</t>
  </si>
  <si>
    <t>rounding</t>
  </si>
  <si>
    <t>Res 1, 2, 2E, 3, 135, 136</t>
  </si>
  <si>
    <t xml:space="preserve">  Total</t>
  </si>
  <si>
    <t>Schedule No. 2 - Residential Service - Optional Time-of-Day</t>
  </si>
  <si>
    <t>In Rate Change</t>
  </si>
  <si>
    <t>Schedule No. 2E - Electric Vehicle Time-of-Use Pilot Option</t>
  </si>
  <si>
    <t>Schedule No. 3- Residential Service - Low Income Lifeline Program</t>
  </si>
  <si>
    <t>Schedule No. 135 - Residential Service - Net Metering</t>
  </si>
  <si>
    <t>Schedule No. 136 - Residential Service - Net Metering</t>
  </si>
  <si>
    <t>Schedule 6 moving to 6A - Composite</t>
  </si>
  <si>
    <t xml:space="preserve">  Schedule 6A</t>
  </si>
  <si>
    <t>Schedule 6 moving to 6A  - Residential</t>
  </si>
  <si>
    <t>Schedule 6 moving to 6A  - Commercial</t>
  </si>
  <si>
    <t>Schedule 6 moving to 6A  - Industrial</t>
  </si>
  <si>
    <t>Schedule 6-135 moving to 6A - Net Metering - Composite</t>
  </si>
  <si>
    <t>Schedule 6-135 moving to 6A - Net Metering - Residential</t>
  </si>
  <si>
    <t>Schedule 6-135 moving to 6A - Net Metering - Commercial</t>
  </si>
  <si>
    <t>Schedule 6-135 moving to 6A - Net Metering - Industrial</t>
  </si>
  <si>
    <t>Schedule 6-136 moving to 6A - Net Metering - Commercial</t>
  </si>
  <si>
    <t>Schedule 6B moving to 6A - Composite</t>
  </si>
  <si>
    <t>Schedule 6B moving to 6A - Residential</t>
  </si>
  <si>
    <t>Schedule 6B moving to 6A - Commercial</t>
  </si>
  <si>
    <t>Schedule 6B moving to 6A - Industrial</t>
  </si>
  <si>
    <t>Schedule No. 6 - Composite</t>
  </si>
  <si>
    <t>Schedule No. 6 - Residential</t>
  </si>
  <si>
    <t>Schedule No. 6 - Commercial</t>
  </si>
  <si>
    <t>Schedule No. 6 - Industrial</t>
  </si>
  <si>
    <t>Schedule No. 6-135 - Net Metering - Composite</t>
  </si>
  <si>
    <t>Schedule No. 6-135 - Net Metering - Residential</t>
  </si>
  <si>
    <t>Schedule No. 6-135 - Net Metering - Commercial</t>
  </si>
  <si>
    <t>Schedule No. 6-135 - Net Metering - Industrial</t>
  </si>
  <si>
    <t>Schedule No. 6-136 - Net Metering - Composite</t>
  </si>
  <si>
    <t>Schedule No. 6-136 - Net Metering - Commercial</t>
  </si>
  <si>
    <t>Schedule No. 6-136 - Net Metering - Industrial</t>
  </si>
  <si>
    <t>Schedule No. 6B - Demand Time-of-Day Option - Composite</t>
  </si>
  <si>
    <t>Schedule No. 6B - Demand Time-of-Day Option - Residential</t>
  </si>
  <si>
    <t>Schedule No. 6B - Demand Time-of-Day Option - Commercial</t>
  </si>
  <si>
    <t>Schedule No. 6B - Demand Time-of-Day Option - Industrial</t>
  </si>
  <si>
    <t>Schedule No. 6A - Energy Time-of-Day Option - Composite</t>
  </si>
  <si>
    <t>Schedule No. 6A - Energy Time-of-Day Option - Residential</t>
  </si>
  <si>
    <t>Schedule No. 6A - Energy Time-of-Day Option - Commercial</t>
  </si>
  <si>
    <t>Schedule No. 6A - Energy Time-of-Day Option - Industrial</t>
  </si>
  <si>
    <t>Schedule No. 6A-135 - Composite</t>
  </si>
  <si>
    <t>Schedule No. 6A-135 - Residential</t>
  </si>
  <si>
    <t>Schedule No. 6A-135 - Commercial</t>
  </si>
  <si>
    <t>Schedule No. 6A-135 - Industrial</t>
  </si>
  <si>
    <t>Schedule No. 6A-136 - Commercial</t>
  </si>
  <si>
    <t>Schedule No. 7 - Security Area Lighting - Composite</t>
  </si>
  <si>
    <t>Total (kWh)</t>
  </si>
  <si>
    <t>Schedule No. 7 - Security Area Lighting - Residential</t>
  </si>
  <si>
    <t>Schedule No. 7 - Security Area Lighting - Commercial</t>
  </si>
  <si>
    <t>Schedule No. 7 - Security Area Lighting - Industrial</t>
  </si>
  <si>
    <t>Schedule No. 7 - Security Area Lighting - Public Street Lighting</t>
  </si>
  <si>
    <t>Schedule No. 8 - Composite</t>
  </si>
  <si>
    <t>Schedule No. 8 - Commercial</t>
  </si>
  <si>
    <t>Schedule No. 8 - Industrial</t>
  </si>
  <si>
    <t>Schedule No. 8-135 - Commercial</t>
  </si>
  <si>
    <t>Schedule No. 8-136 - Commercial</t>
  </si>
  <si>
    <t>Schedule No. 9 - Composite</t>
  </si>
  <si>
    <t>Sch 9,31,32,9A,21</t>
  </si>
  <si>
    <t>Schedule No. 9 - Commercial</t>
  </si>
  <si>
    <t>Schedule No. 9 - Industrial</t>
  </si>
  <si>
    <t>Schedule No. 9A - Energy TOD - Composite</t>
  </si>
  <si>
    <t>Schedule No. 9A - Energy TOD - Commercial</t>
  </si>
  <si>
    <t>Schedule No. 9A - Energy TOD - Industrial</t>
  </si>
  <si>
    <t>Schedule No. 10 - Irrigation</t>
  </si>
  <si>
    <t>Schedule No. 10-135 - Irrigation</t>
  </si>
  <si>
    <t>Schedule No. 10-TOD</t>
  </si>
  <si>
    <t>Schedule No. 11 - Street Lighting - Company-Owned System</t>
  </si>
  <si>
    <t>Schedule No. 12 - Street Lighting - Customer-Owned System</t>
  </si>
  <si>
    <t>Schedule 15.1 - Metered Outdoor Nighttime Lighting - Composite</t>
  </si>
  <si>
    <t>Schedule 15.1 - Metered Outdoor Nighttime Lighting - Commercial</t>
  </si>
  <si>
    <t>Schedule 15.1 - Metered Outdoor Nighttime Lighting - Industrial</t>
  </si>
  <si>
    <t>Schedule 15.1 - Metered Outdoor Nighttime Lighting - Public Street Lighting</t>
  </si>
  <si>
    <t>Schedule 15.2 - Traffic Signal Systems - Composite</t>
  </si>
  <si>
    <t>Schedule 15.2 - Traffic Signal Systems - Commercial</t>
  </si>
  <si>
    <t>Tax year 1</t>
  </si>
  <si>
    <t>Schedule 15.2 - Traffic Signal Systems - Industrial</t>
  </si>
  <si>
    <t>Schedule 15.2 - Traffic Signal Systems - Public Street Lighting</t>
  </si>
  <si>
    <t>Schedule No. 21 - Electric Furnace Operations - Limited Service - Industrial</t>
  </si>
  <si>
    <t>Schedule 6A</t>
  </si>
  <si>
    <t>Schedule 9</t>
  </si>
  <si>
    <t>Schedule No.22 - Indoor Agricultural Lighting Service – 1,000 kW and Over</t>
  </si>
  <si>
    <t>Schedule No. 23 - Composite</t>
  </si>
  <si>
    <t>Schedule No. 23 - Residential</t>
  </si>
  <si>
    <t>Schedule No. 23 - Commercial</t>
  </si>
  <si>
    <t>Schedule No. 23 - Industrial</t>
  </si>
  <si>
    <t>Schedule No. 23-135 - Composite</t>
  </si>
  <si>
    <t>Schedule No. 23-135 - Residential</t>
  </si>
  <si>
    <t>Schedule No. 23-135 - Commercial</t>
  </si>
  <si>
    <t>Schedule No. 23-135 - Industrial</t>
  </si>
  <si>
    <t>Schedule No. 23-136 - Composite</t>
  </si>
  <si>
    <t>Schedule No. 23-136 - Residential</t>
  </si>
  <si>
    <t>Schedule No. 23-136 - Commercial</t>
  </si>
  <si>
    <t>Schedule No.31 - Composite</t>
  </si>
  <si>
    <t xml:space="preserve">  Schedule 8</t>
  </si>
  <si>
    <t xml:space="preserve">  Schedule 9</t>
  </si>
  <si>
    <t>Schedule No.31 - Commercial</t>
  </si>
  <si>
    <t>Schedule No. 31 - Industrial</t>
  </si>
  <si>
    <t>Schedule 32 - Service From Renewable Energy Facilities - Commercial</t>
  </si>
  <si>
    <t>Schedule 34 - Renewable Energy Purchases for Qualified Customers – 5,000 kW and Over - Commercial</t>
  </si>
  <si>
    <t xml:space="preserve">  Total </t>
  </si>
  <si>
    <t>Blocking Based on Adjusted Actuals and Forecasted Loads</t>
  </si>
  <si>
    <t xml:space="preserve">Present </t>
  </si>
  <si>
    <t>Proposed</t>
  </si>
  <si>
    <t>Price</t>
  </si>
  <si>
    <t xml:space="preserve">  Total Customer</t>
  </si>
  <si>
    <t>In Rate</t>
  </si>
  <si>
    <t xml:space="preserve">  Customer Charge - 1 Phase</t>
  </si>
  <si>
    <t>Target</t>
  </si>
  <si>
    <t xml:space="preserve">      Single Family</t>
  </si>
  <si>
    <t xml:space="preserve">      Multi Family</t>
  </si>
  <si>
    <t xml:space="preserve">  Customer Charge - 3 Phase</t>
  </si>
  <si>
    <t>Target Change</t>
  </si>
  <si>
    <t>Energy %</t>
  </si>
  <si>
    <t xml:space="preserve">  Aggregate Charge</t>
  </si>
  <si>
    <t>season</t>
  </si>
  <si>
    <t xml:space="preserve">  Non-Standard Meter Reading Fee</t>
  </si>
  <si>
    <t>tier</t>
  </si>
  <si>
    <t xml:space="preserve">  Minimum 1 Phase</t>
  </si>
  <si>
    <t>Basic Charge</t>
  </si>
  <si>
    <t xml:space="preserve">  Minimum 3 Phase</t>
  </si>
  <si>
    <t>Tax year 2</t>
  </si>
  <si>
    <t>Avg Usage - A</t>
  </si>
  <si>
    <t xml:space="preserve">  Minimum Seasonal</t>
  </si>
  <si>
    <t>Avg Usage - S</t>
  </si>
  <si>
    <t xml:space="preserve">  On-Peak kWh (Jun - Sept)</t>
  </si>
  <si>
    <t>¢</t>
  </si>
  <si>
    <t>Avg Usage - W</t>
  </si>
  <si>
    <t xml:space="preserve">  Off-Peak kWh (Jun - Sept)</t>
  </si>
  <si>
    <t xml:space="preserve">  First 400 kWh (Jun-Sept)</t>
  </si>
  <si>
    <t xml:space="preserve">  Next 600 kWh (Jun-Sept)</t>
  </si>
  <si>
    <t xml:space="preserve">  All add'l kWh (Jun-Sept)</t>
  </si>
  <si>
    <t xml:space="preserve">  First 400 kWh (Oct-May)</t>
  </si>
  <si>
    <t xml:space="preserve">  All add'l kWh (Oct-May)</t>
  </si>
  <si>
    <t xml:space="preserve">  On-Peak kWh (May - Sept)</t>
  </si>
  <si>
    <t xml:space="preserve">  Off-Peak kWh (May - Sept)</t>
  </si>
  <si>
    <t xml:space="preserve">  First 400 kWh (May-Sept)</t>
  </si>
  <si>
    <t xml:space="preserve">  Next 600 kWh (May-Sept)</t>
  </si>
  <si>
    <t xml:space="preserve">  All add'l kWh (May-Sept)</t>
  </si>
  <si>
    <t xml:space="preserve">  First 400 kWh (Oct-Apr)</t>
  </si>
  <si>
    <t xml:space="preserve">  All add'l kWh (Oct-Apr)</t>
  </si>
  <si>
    <t xml:space="preserve">  Subscriber Solar kWh</t>
  </si>
  <si>
    <t xml:space="preserve">  Unbilled</t>
  </si>
  <si>
    <t xml:space="preserve">  TAA</t>
  </si>
  <si>
    <t>Tax Year 1</t>
  </si>
  <si>
    <t>Unit COS</t>
  </si>
  <si>
    <t xml:space="preserve">  Subscriber Solar kWh Adj</t>
  </si>
  <si>
    <t>Tax Year 2</t>
  </si>
  <si>
    <t>Rate Option 1</t>
  </si>
  <si>
    <t xml:space="preserve">  On-Peak kWh</t>
  </si>
  <si>
    <t xml:space="preserve">  Off-Peak kWh</t>
  </si>
  <si>
    <t>Rate Option 2</t>
  </si>
  <si>
    <t>Subscriber Solar kWh</t>
  </si>
  <si>
    <t xml:space="preserve">  Customer Charge</t>
  </si>
  <si>
    <t xml:space="preserve">  All kWh under 50 kWh/kW (Jun-Sept)</t>
  </si>
  <si>
    <t xml:space="preserve">  All additional kWh (Jun-Sept)</t>
  </si>
  <si>
    <t xml:space="preserve">  All kWh under 50 kWh/kW (Oct-May)</t>
  </si>
  <si>
    <t xml:space="preserve">  All additional (Oct-May)</t>
  </si>
  <si>
    <t xml:space="preserve">  On-Pk kWh (Jun-Sept)</t>
  </si>
  <si>
    <t xml:space="preserve">  Off-Pk kWh (Jun-Sept)</t>
  </si>
  <si>
    <t xml:space="preserve">  On-Pk kWh (Oct-May)</t>
  </si>
  <si>
    <t xml:space="preserve">  Off-Pk kWh (Oct-May)</t>
  </si>
  <si>
    <t xml:space="preserve">  Voltage Discount</t>
  </si>
  <si>
    <t xml:space="preserve">  Seasonal Service</t>
  </si>
  <si>
    <t xml:space="preserve">  Minimum Charge</t>
  </si>
  <si>
    <t xml:space="preserve">  Facilities kW</t>
  </si>
  <si>
    <t xml:space="preserve">  All kW (Jun - Sept)</t>
  </si>
  <si>
    <t xml:space="preserve">  All kW (Oct - May)</t>
  </si>
  <si>
    <t xml:space="preserve">  kWh (Jun-Sept)</t>
  </si>
  <si>
    <t xml:space="preserve">  kWh (Oct-May)</t>
  </si>
  <si>
    <t xml:space="preserve">  All kW (May - Sept)</t>
  </si>
  <si>
    <t xml:space="preserve">  All kW (Oct - Apr)</t>
  </si>
  <si>
    <t xml:space="preserve">  kWh (May-Sept)</t>
  </si>
  <si>
    <t xml:space="preserve">  kWh (Oct-Apr)</t>
  </si>
  <si>
    <t xml:space="preserve">  All on-peak kW (Jun - Sept)</t>
  </si>
  <si>
    <t xml:space="preserve">  All on-peak kW (Oct - May)</t>
  </si>
  <si>
    <t xml:space="preserve">  All On-peak kW (May - Sept)</t>
  </si>
  <si>
    <t xml:space="preserve">  All On-peak kW (Oct - Apr)</t>
  </si>
  <si>
    <t>Goal Seek</t>
  </si>
  <si>
    <t>Sch 6A</t>
  </si>
  <si>
    <t>kW</t>
  </si>
  <si>
    <t>kWh Change</t>
  </si>
  <si>
    <t>season diff</t>
  </si>
  <si>
    <t>Sch 6 moving to 6A</t>
  </si>
  <si>
    <t>Rev 6</t>
  </si>
  <si>
    <t>Rev 6A</t>
  </si>
  <si>
    <t xml:space="preserve">  Facilities kW (May - Sept)</t>
  </si>
  <si>
    <t xml:space="preserve">  Facilities kW (Oct - Apr)</t>
  </si>
  <si>
    <t>TAA adj</t>
  </si>
  <si>
    <t>Non-Basic Change</t>
  </si>
  <si>
    <t xml:space="preserve">  On-Peak kWh (Oct - Apr)</t>
  </si>
  <si>
    <t xml:space="preserve">  Off-Peak kWh (Oct - Apr)</t>
  </si>
  <si>
    <t>on-off diff</t>
  </si>
  <si>
    <t xml:space="preserve">  MERCURY VAPOR LAMPS</t>
  </si>
  <si>
    <t xml:space="preserve">   4,000 Lumen Energy Only</t>
  </si>
  <si>
    <t xml:space="preserve">   7,000 Lumen</t>
  </si>
  <si>
    <t xml:space="preserve">   7,000 Lumen Energy Only</t>
  </si>
  <si>
    <t xml:space="preserve">   20,000 Lumen</t>
  </si>
  <si>
    <t xml:space="preserve">  SODIUM VAPOR LAMPS</t>
  </si>
  <si>
    <t xml:space="preserve">   5,600 Lumen New Pole</t>
  </si>
  <si>
    <t xml:space="preserve">   5,600 Lumen No New Pole</t>
  </si>
  <si>
    <t xml:space="preserve">   9,500 Lumen New Pole</t>
  </si>
  <si>
    <t xml:space="preserve">   9,500 Lumen No New Pole</t>
  </si>
  <si>
    <t xml:space="preserve">   16,000 Lumen New Pole</t>
  </si>
  <si>
    <t xml:space="preserve">   16,000 Lumen No New Pole</t>
  </si>
  <si>
    <t xml:space="preserve">   22,000 Lumen</t>
  </si>
  <si>
    <t xml:space="preserve">   27,500 Lumen New Pole</t>
  </si>
  <si>
    <t xml:space="preserve">   27,500 Lumen No New Pole</t>
  </si>
  <si>
    <t xml:space="preserve">   50,000 Lumen New Pole</t>
  </si>
  <si>
    <t xml:space="preserve">   50,000 Lumen No New Pole</t>
  </si>
  <si>
    <t xml:space="preserve">  SODIUM VAPOR FLOOD LAMPS </t>
  </si>
  <si>
    <t xml:space="preserve">  METAL HALIDE LAMPS</t>
  </si>
  <si>
    <t xml:space="preserve">   12,000 Lumen New Pole</t>
  </si>
  <si>
    <t xml:space="preserve">   12,000 Lumen No New Pole</t>
  </si>
  <si>
    <t xml:space="preserve">   19,500 Lumen New Pole</t>
  </si>
  <si>
    <t xml:space="preserve">   19,500 Lumen No New Pole</t>
  </si>
  <si>
    <t xml:space="preserve">   32,000 Lumen New Pole</t>
  </si>
  <si>
    <t xml:space="preserve">   32,000 Lumen No New Pole</t>
  </si>
  <si>
    <t xml:space="preserve">  107,000 Lumen New Pole</t>
  </si>
  <si>
    <t xml:space="preserve">  107,000 Lumen No New Pole</t>
  </si>
  <si>
    <t>Subtotal</t>
  </si>
  <si>
    <t xml:space="preserve">  kWh Included</t>
  </si>
  <si>
    <t>Unbilled</t>
  </si>
  <si>
    <t>Customers</t>
  </si>
  <si>
    <t>RES</t>
  </si>
  <si>
    <t>COM</t>
  </si>
  <si>
    <t>IND</t>
  </si>
  <si>
    <t>PSH</t>
  </si>
  <si>
    <t xml:space="preserve">  On-Peak kW (Jun - Sept)</t>
  </si>
  <si>
    <t xml:space="preserve">  On-Peak kW (Oct - May)</t>
  </si>
  <si>
    <t xml:space="preserve">  On-Peak kWh (Oct - May)</t>
  </si>
  <si>
    <t xml:space="preserve">  Off-Peak kWh (Oct - May)</t>
  </si>
  <si>
    <t>scalar on-off diff</t>
  </si>
  <si>
    <t xml:space="preserve">  On-Peak kW (May - Sept)</t>
  </si>
  <si>
    <t>Season ratio</t>
  </si>
  <si>
    <t xml:space="preserve">  On-Peak kW (Oct - Apr)</t>
  </si>
  <si>
    <t>Average Variable Supply Price - (Jun-Sept)</t>
  </si>
  <si>
    <t>Ratio</t>
  </si>
  <si>
    <t>F kW Charge</t>
  </si>
  <si>
    <t>kW Charge</t>
  </si>
  <si>
    <t>kWh Charge</t>
  </si>
  <si>
    <t xml:space="preserve">  On-Peak kWh (May-Sept)</t>
  </si>
  <si>
    <t>season ratio</t>
  </si>
  <si>
    <t xml:space="preserve">  On-Peak kWh (Oct-Apr)</t>
  </si>
  <si>
    <t>Sch 9 Net Change</t>
  </si>
  <si>
    <t xml:space="preserve">  Facilities Charge per kW</t>
  </si>
  <si>
    <t>adj</t>
  </si>
  <si>
    <t>On-peak kW summer</t>
  </si>
  <si>
    <t>On-peak kW winter</t>
  </si>
  <si>
    <t>On-peak kWh summer</t>
  </si>
  <si>
    <t>On-peak kWh winter</t>
  </si>
  <si>
    <t>Off-peak kWh summer</t>
  </si>
  <si>
    <t>Off-peak kWh winter</t>
  </si>
  <si>
    <t xml:space="preserve">  Annual Cust. Serv. Chg. - Primary</t>
  </si>
  <si>
    <t>Sch 10, 10TOD</t>
  </si>
  <si>
    <t xml:space="preserve">  Annual Cust. Serv. Chg. - Secondary</t>
  </si>
  <si>
    <t xml:space="preserve">  Monthly Cust. Serv. Chg.</t>
  </si>
  <si>
    <t xml:space="preserve">  All On-Season kW</t>
  </si>
  <si>
    <t xml:space="preserve">  First 30,000 kWh</t>
  </si>
  <si>
    <t xml:space="preserve">  All add'l kWh</t>
  </si>
  <si>
    <t>Total On Season</t>
  </si>
  <si>
    <t xml:space="preserve">  Post Season</t>
  </si>
  <si>
    <t xml:space="preserve">   Customer Charge</t>
  </si>
  <si>
    <t xml:space="preserve">   kWh</t>
  </si>
  <si>
    <t>Total Post Season</t>
  </si>
  <si>
    <t>TOTAL RATE 10</t>
  </si>
  <si>
    <t>TOTAL RATE 10-135</t>
  </si>
  <si>
    <t xml:space="preserve">   Monthly Cust. Serv. Chg.</t>
  </si>
  <si>
    <t xml:space="preserve">  Voltage Discount kW</t>
  </si>
  <si>
    <t>TOTAL RATE 10-TOD</t>
  </si>
  <si>
    <t xml:space="preserve">  Light-Emitting Diode (LED)</t>
  </si>
  <si>
    <t xml:space="preserve">   4,000 Lumen - Functional</t>
  </si>
  <si>
    <t xml:space="preserve">   6,200 Lumen - Functional</t>
  </si>
  <si>
    <t xml:space="preserve">   13,000 Lumen - Functional</t>
  </si>
  <si>
    <t xml:space="preserve">   16,800 Lumen - Functional</t>
  </si>
  <si>
    <t xml:space="preserve">  Sodium Vapor Lamps (HPS)</t>
  </si>
  <si>
    <t xml:space="preserve">   5,600 Lumen - Functional</t>
  </si>
  <si>
    <t xml:space="preserve">   9,500 Lumen - Functional</t>
  </si>
  <si>
    <t xml:space="preserve">   9,500 Lumen - Functional @ 90%</t>
  </si>
  <si>
    <t xml:space="preserve">   9,500 Lumen - S1</t>
  </si>
  <si>
    <t xml:space="preserve">   9,500 Lumen - S2</t>
  </si>
  <si>
    <t xml:space="preserve">   16,000 Lumen - Functional</t>
  </si>
  <si>
    <t xml:space="preserve">   16,000 Lumen - Functional @ 90%</t>
  </si>
  <si>
    <t xml:space="preserve">   16,000 Lumen - S1</t>
  </si>
  <si>
    <t xml:space="preserve">   16,000 Lumen - S2</t>
  </si>
  <si>
    <t xml:space="preserve">   27,500 Lumen - Functional</t>
  </si>
  <si>
    <t xml:space="preserve">   27,500 Lumen - Functional @ 90%</t>
  </si>
  <si>
    <t xml:space="preserve">   27,500 Lumen - S1</t>
  </si>
  <si>
    <t xml:space="preserve">   27,500 Lumen - S2</t>
  </si>
  <si>
    <t xml:space="preserve">   50,000 Lumen - Functional</t>
  </si>
  <si>
    <t xml:space="preserve">   125,000 Lumen</t>
  </si>
  <si>
    <t xml:space="preserve">  Metal Halide Lamps (MH)</t>
  </si>
  <si>
    <t xml:space="preserve">   9,000 Lumen - S1</t>
  </si>
  <si>
    <t xml:space="preserve">   9,000 Lumen - S2</t>
  </si>
  <si>
    <t xml:space="preserve">   12,000 Lumen - Functional</t>
  </si>
  <si>
    <t xml:space="preserve">   12,000 Lumen - S1</t>
  </si>
  <si>
    <t xml:space="preserve">   12,000 Lumen - S2</t>
  </si>
  <si>
    <t xml:space="preserve">   19,500 Lumen - Functional</t>
  </si>
  <si>
    <t xml:space="preserve">   19,500 Lumen - S1</t>
  </si>
  <si>
    <t xml:space="preserve">   19,500 Lumen - S2</t>
  </si>
  <si>
    <t xml:space="preserve">   32,000 Lumen - Functional</t>
  </si>
  <si>
    <t xml:space="preserve">   32,000 Lumen - S1</t>
  </si>
  <si>
    <t xml:space="preserve">   32,000 Lumen - S2</t>
  </si>
  <si>
    <t xml:space="preserve">  Mercury Vapor Lamps (No New Service) (MV)</t>
  </si>
  <si>
    <t xml:space="preserve">   4,000 Lumen</t>
  </si>
  <si>
    <t xml:space="preserve">   10,000 Lumen</t>
  </si>
  <si>
    <t xml:space="preserve">   10,000 Lumen @ 90%</t>
  </si>
  <si>
    <t xml:space="preserve">  Incandescent Lamps (No New Service) (INC)</t>
  </si>
  <si>
    <t xml:space="preserve">   500 Lumen</t>
  </si>
  <si>
    <t xml:space="preserve">   600 Lumen</t>
  </si>
  <si>
    <t xml:space="preserve">   2,500 Lumen</t>
  </si>
  <si>
    <t xml:space="preserve">   6,000 Lumen</t>
  </si>
  <si>
    <t xml:space="preserve">  Fluorescent Lamps (No New Service) (FLOUR)</t>
  </si>
  <si>
    <t xml:space="preserve">   21,000 Lumen</t>
  </si>
  <si>
    <t xml:space="preserve">  Special Service (No New Service)</t>
  </si>
  <si>
    <t xml:space="preserve">   50,000 Lumen - Flood</t>
  </si>
  <si>
    <t xml:space="preserve">  Subtotal </t>
  </si>
  <si>
    <t xml:space="preserve">  1. Energy Only, No Maintenance</t>
  </si>
  <si>
    <t xml:space="preserve">  High Pressures Sodium Vapor Lamps</t>
  </si>
  <si>
    <t xml:space="preserve">   5,600 Lumen</t>
  </si>
  <si>
    <t xml:space="preserve">   9,500 Lumen</t>
  </si>
  <si>
    <t xml:space="preserve">   16,000 Lumen</t>
  </si>
  <si>
    <t xml:space="preserve">   27,500 Lumen</t>
  </si>
  <si>
    <t xml:space="preserve">   50,000 Lumen</t>
  </si>
  <si>
    <t xml:space="preserve">  Metal Halide Lamps</t>
  </si>
  <si>
    <t xml:space="preserve">   9,000 Lumen</t>
  </si>
  <si>
    <t xml:space="preserve">   12,000 Lumen</t>
  </si>
  <si>
    <t xml:space="preserve">   19,500 Lumen</t>
  </si>
  <si>
    <t xml:space="preserve">   32,000 Lumen</t>
  </si>
  <si>
    <t xml:space="preserve">  Non-listed Luminaries kWh</t>
  </si>
  <si>
    <t>Subtotal kWh</t>
  </si>
  <si>
    <t>Customer</t>
  </si>
  <si>
    <t>2a - Partial Maintenance (No New Service)</t>
  </si>
  <si>
    <t xml:space="preserve">  Incandescent Lamps</t>
  </si>
  <si>
    <t xml:space="preserve">   2,500 Lumen or Less</t>
  </si>
  <si>
    <t xml:space="preserve">  Mercury Vapor Lamps</t>
  </si>
  <si>
    <t xml:space="preserve">   54,000 Lumen</t>
  </si>
  <si>
    <t xml:space="preserve">  High Pressure Sodium Vapor Lamps</t>
  </si>
  <si>
    <t xml:space="preserve">   9,500 Lumen - Decorative</t>
  </si>
  <si>
    <t xml:space="preserve">   16,000 Lumen - Decorative</t>
  </si>
  <si>
    <t xml:space="preserve">   22,000 Lumen </t>
  </si>
  <si>
    <t xml:space="preserve">   27,500 Lumen - Decorative</t>
  </si>
  <si>
    <t xml:space="preserve">   50,000 Lumen - Decorative</t>
  </si>
  <si>
    <t xml:space="preserve">   9,000 Lumen - Decorative</t>
  </si>
  <si>
    <t xml:space="preserve">   12,000 Lumen - Decorative</t>
  </si>
  <si>
    <t xml:space="preserve">   19,500 Lumen - Decorative</t>
  </si>
  <si>
    <t xml:space="preserve">   32,000 Lumen - Decorative</t>
  </si>
  <si>
    <t xml:space="preserve">  Fluorescent Lamps</t>
  </si>
  <si>
    <t xml:space="preserve">   1,000 Lumen</t>
  </si>
  <si>
    <t xml:space="preserve">   21,800 Lumen</t>
  </si>
  <si>
    <t>2b - Full Maintenance (No New Service)</t>
  </si>
  <si>
    <t xml:space="preserve">  Sodium Vapor Lamps</t>
  </si>
  <si>
    <t xml:space="preserve">   107,000 Lumen </t>
  </si>
  <si>
    <t>kWh Street Lighting</t>
  </si>
  <si>
    <t xml:space="preserve"> Annual Facility Charge</t>
  </si>
  <si>
    <t xml:space="preserve"> Annual Customer Charge</t>
  </si>
  <si>
    <t xml:space="preserve"> Annual Minimum Charge</t>
  </si>
  <si>
    <t xml:space="preserve"> Monthly Customer Charge</t>
  </si>
  <si>
    <t xml:space="preserve"> All kWh</t>
  </si>
  <si>
    <t xml:space="preserve"> Unbilled</t>
  </si>
  <si>
    <t xml:space="preserve"> Customer Charge</t>
  </si>
  <si>
    <t xml:space="preserve"> Primary Voltage</t>
  </si>
  <si>
    <t xml:space="preserve">  Power Charge All kW</t>
  </si>
  <si>
    <t xml:space="preserve">  First 100,000 kWh</t>
  </si>
  <si>
    <t xml:space="preserve">  Subtotal</t>
  </si>
  <si>
    <t xml:space="preserve"> 44KV or Higher</t>
  </si>
  <si>
    <t>Customer Service Charge</t>
  </si>
  <si>
    <t xml:space="preserve">     Secondary</t>
  </si>
  <si>
    <t xml:space="preserve">     Primary</t>
  </si>
  <si>
    <t xml:space="preserve">     Transmission</t>
  </si>
  <si>
    <t>Facilities Charge All kW</t>
  </si>
  <si>
    <t>Power Charge</t>
  </si>
  <si>
    <t xml:space="preserve">         Summer-On Peak kW</t>
  </si>
  <si>
    <t xml:space="preserve">         Winter-On Peak kW</t>
  </si>
  <si>
    <t xml:space="preserve">    Transmission</t>
  </si>
  <si>
    <t>Energy Charge</t>
  </si>
  <si>
    <t xml:space="preserve">         Summer-On Peak kWh</t>
  </si>
  <si>
    <t xml:space="preserve">         Summer-Off Peak kWh</t>
  </si>
  <si>
    <t xml:space="preserve">         Winter-On Peak kWh</t>
  </si>
  <si>
    <t xml:space="preserve">         Winter-Off Peak kWh</t>
  </si>
  <si>
    <t xml:space="preserve">  kW over 15 (Jun - Sept)</t>
  </si>
  <si>
    <t xml:space="preserve">  kW over 15 (Oct - May)</t>
  </si>
  <si>
    <t xml:space="preserve">  First 1,500 kWh (Jun - Sept)</t>
  </si>
  <si>
    <t xml:space="preserve">  All Add'l kWh (Jun - Sept)</t>
  </si>
  <si>
    <t xml:space="preserve">  First 1,500 kWh (Oct - May)</t>
  </si>
  <si>
    <t xml:space="preserve">  All Add'l kWh (Oct - May)</t>
  </si>
  <si>
    <t>block diff</t>
  </si>
  <si>
    <t xml:space="preserve">  kW over 15 (May - Sept)</t>
  </si>
  <si>
    <t xml:space="preserve">  kW over 15 (Oct - Apr)</t>
  </si>
  <si>
    <t xml:space="preserve">  First 1,500 kWh (May - Sept)</t>
  </si>
  <si>
    <t xml:space="preserve">  All Add'l kWh (May - Sept)</t>
  </si>
  <si>
    <t xml:space="preserve">  First 1,500 kWh (Oct - Apr)</t>
  </si>
  <si>
    <t xml:space="preserve">  All Add'l kWh (Oct - Apr)</t>
  </si>
  <si>
    <t>Secondary Voltage</t>
  </si>
  <si>
    <t>Sch 31</t>
  </si>
  <si>
    <t xml:space="preserve">     Customer Charge per month</t>
  </si>
  <si>
    <t xml:space="preserve">     Facilities Charge, per kW month</t>
  </si>
  <si>
    <t xml:space="preserve">     Back-up Power Charge</t>
  </si>
  <si>
    <t xml:space="preserve">         Regular, per On-Peak kW day</t>
  </si>
  <si>
    <t xml:space="preserve">              Jun - Sept</t>
  </si>
  <si>
    <t xml:space="preserve">              Oct - May</t>
  </si>
  <si>
    <t xml:space="preserve">         Maintenance, per On-Peak kW day</t>
  </si>
  <si>
    <t xml:space="preserve">     Excess Power, per kW month</t>
  </si>
  <si>
    <t xml:space="preserve">              May - Sept</t>
  </si>
  <si>
    <t xml:space="preserve">              Oct - Apr</t>
  </si>
  <si>
    <t>Primary Voltage</t>
  </si>
  <si>
    <t>Transmission Voltage</t>
  </si>
  <si>
    <t>Supplemental billed at Schedule 6/8/9 rate</t>
  </si>
  <si>
    <t xml:space="preserve">  Total (Aggregated)</t>
  </si>
  <si>
    <t>Customer Charges:</t>
  </si>
  <si>
    <t>Sch 32</t>
  </si>
  <si>
    <t xml:space="preserve">    Distribution Voltage &lt; 1 MW </t>
  </si>
  <si>
    <t xml:space="preserve">    Distribution Voltage &gt; 1 MW </t>
  </si>
  <si>
    <t xml:space="preserve">    Transmission Voltage </t>
  </si>
  <si>
    <t>Administrative Fee:</t>
  </si>
  <si>
    <t xml:space="preserve">    All Voltages / per Generator</t>
  </si>
  <si>
    <t xml:space="preserve">    All Voltages / per Delivery Point</t>
  </si>
  <si>
    <t>Delivery Facilities Charges:</t>
  </si>
  <si>
    <t xml:space="preserve">    Secondary Voltage &lt; 1 MW </t>
  </si>
  <si>
    <t xml:space="preserve">    Primary Voltage &lt; 1 MW </t>
  </si>
  <si>
    <t xml:space="preserve">    Secondary Voltage &gt; 1 MW </t>
  </si>
  <si>
    <t xml:space="preserve">    Primary Voltage &gt; 1 MW </t>
  </si>
  <si>
    <t>Daily Power Charges:</t>
  </si>
  <si>
    <t xml:space="preserve">    On-Peak Secondary Voltage &lt; 1 MW</t>
  </si>
  <si>
    <t xml:space="preserve">        June - September: </t>
  </si>
  <si>
    <t xml:space="preserve">        October - May: </t>
  </si>
  <si>
    <t xml:space="preserve">    On-Peak Primary Voltage &lt; 1 MW</t>
  </si>
  <si>
    <t xml:space="preserve">    On-Peak Secondary Voltage &gt; 1 MW</t>
  </si>
  <si>
    <t xml:space="preserve">    On-Peak Primary Voltage &gt; 1 MW</t>
  </si>
  <si>
    <t xml:space="preserve">    On-Peak Transmission Voltage</t>
  </si>
  <si>
    <t xml:space="preserve">        May - September: </t>
  </si>
  <si>
    <t xml:space="preserve">        October - April: </t>
  </si>
  <si>
    <t xml:space="preserve">        October - April:</t>
  </si>
  <si>
    <t>Renewable Energy PPA</t>
  </si>
  <si>
    <t>Customer Charge</t>
  </si>
  <si>
    <t>Contract 1</t>
  </si>
  <si>
    <t xml:space="preserve">  Monthly Fixed Charge</t>
  </si>
  <si>
    <t xml:space="preserve">  Customer Charge per HLH kW</t>
  </si>
  <si>
    <t xml:space="preserve">  Demand Charge per HLH kW (May - Sept)</t>
  </si>
  <si>
    <t xml:space="preserve">  Demand Charge per HLH kW  (Oct - Apr)</t>
  </si>
  <si>
    <t xml:space="preserve">  kWh HLH (May - Sept)</t>
  </si>
  <si>
    <t xml:space="preserve">  kWh LLH (May - Sept)</t>
  </si>
  <si>
    <t xml:space="preserve">  kWh HLH (Oct - Apr)</t>
  </si>
  <si>
    <t xml:space="preserve">  kWh LLH (Oct - Apr)</t>
  </si>
  <si>
    <t>Contract 2</t>
  </si>
  <si>
    <t xml:space="preserve">  Off-Peak kWh (Oct-Apr)</t>
  </si>
  <si>
    <t>Contract 3</t>
  </si>
  <si>
    <t>Block 1</t>
  </si>
  <si>
    <t>Block 2 - Market</t>
  </si>
  <si>
    <t>Block 2 - Index</t>
  </si>
  <si>
    <t>Lighting Contract - Post Top Lighting - Composite</t>
  </si>
  <si>
    <t>Energy Only Res</t>
  </si>
  <si>
    <t>Energy Only Non-Res</t>
  </si>
  <si>
    <t xml:space="preserve">  KWH Included</t>
  </si>
  <si>
    <t>Lighting Contract - Post Top Lighting - Commercial</t>
  </si>
  <si>
    <t>Lighting Contract - Post Top Lighting - Residential</t>
  </si>
  <si>
    <t>Annual Guarantee Adjustment</t>
  </si>
  <si>
    <t xml:space="preserve"> Residential</t>
  </si>
  <si>
    <t xml:space="preserve"> Commercial</t>
  </si>
  <si>
    <t xml:space="preserve"> Industrial</t>
  </si>
  <si>
    <t xml:space="preserve"> Irrigation</t>
  </si>
  <si>
    <t xml:space="preserve"> Public Street &amp; Highway Lighting</t>
  </si>
  <si>
    <t xml:space="preserve">  Total AGA</t>
  </si>
  <si>
    <t>TOTAL - ALL CLASSES</t>
  </si>
  <si>
    <t>Unbundling check</t>
  </si>
  <si>
    <t>COS</t>
  </si>
  <si>
    <t>Pricing</t>
  </si>
  <si>
    <t>Fixed</t>
  </si>
  <si>
    <t>Variable</t>
  </si>
  <si>
    <t>Utah
Jurisdiction</t>
  </si>
  <si>
    <t>Residential</t>
  </si>
  <si>
    <t>General
Large Dist.</t>
  </si>
  <si>
    <t>General
+1 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</si>
</sst>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* #,##0.000_);_(* \(#,##0.000\);_(* &quot;-&quot;??_);_(@_)"/>
    <numFmt numFmtId="167" formatCode="_(* #,##0.0000_);_(* \(#,##0.0000\);_(* &quot;-&quot;??_);_(@_)"/>
    <numFmt numFmtId="168" formatCode="0.0%"/>
    <numFmt numFmtId="169" formatCode="_(* #,##0.000000_);_(* \(#,##0.000000\);_(* &quot;-&quot;??_);_(@_)"/>
    <numFmt numFmtId="170" formatCode="_(* #,##0_);[Red]_(* \(#,##0\);_(* &quot;-&quot;??_);_(@_)"/>
    <numFmt numFmtId="171" formatCode="0_);\(0\)"/>
    <numFmt numFmtId="172" formatCode="0.0000%"/>
    <numFmt numFmtId="173" formatCode="#,##0.00000"/>
    <numFmt numFmtId="174" formatCode="#,##0.000000"/>
    <numFmt numFmtId="175" formatCode="_(* #,##0.0000000_);_(* \(#,##0.0000000\);_(* &quot;-&quot;??_);_(@_)"/>
    <numFmt numFmtId="176" formatCode="0.000%"/>
    <numFmt numFmtId="177" formatCode="_(* #,##0.0_);_(* \(#,##0.0\);_(* &quot;-&quot;??_);_(@_)"/>
    <numFmt numFmtId="178" formatCode="General_)"/>
    <numFmt numFmtId="179" formatCode="&quot;$&quot;#,##0"/>
    <numFmt numFmtId="180" formatCode="#,##0.0000_);\(#,##0.0000\)"/>
    <numFmt numFmtId="181" formatCode="0.0000_);[Red]\(0.0000\)"/>
    <numFmt numFmtId="182" formatCode="0.0000_)"/>
    <numFmt numFmtId="183" formatCode="0.0000000000"/>
    <numFmt numFmtId="184" formatCode="#,##0.0000"/>
    <numFmt numFmtId="185" formatCode="0.0000"/>
    <numFmt numFmtId="186" formatCode="&quot;$&quot;#,##0.00"/>
    <numFmt numFmtId="187" formatCode="&quot;$&quot;#,##0.0000_);\(&quot;$&quot;#,##0.0000\)"/>
    <numFmt numFmtId="188" formatCode="&quot;$&quot;#,##0.000_);\(&quot;$&quot;#,##0.000\)"/>
    <numFmt numFmtId="189" formatCode="0.00000"/>
    <numFmt numFmtId="190" formatCode="#,##0.000000000_);\(#,##0.000000000\)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name val="Calibri Light"/>
      <family val="2"/>
      <scheme val="major"/>
    </font>
    <font>
      <sz val="10"/>
      <color theme="1"/>
      <name val="Arial"/>
      <family val="2"/>
    </font>
    <font>
      <u/>
      <sz val="9"/>
      <color theme="1"/>
      <name val="Arial"/>
      <family val="2"/>
    </font>
    <font>
      <u val="singleAccounting"/>
      <sz val="9"/>
      <color theme="1"/>
      <name val="Arial"/>
      <family val="2"/>
    </font>
    <font>
      <sz val="6"/>
      <color theme="1"/>
      <name val="Arial"/>
      <family val="2"/>
    </font>
    <font>
      <sz val="5"/>
      <color theme="1"/>
      <name val="Arial"/>
      <family val="2"/>
    </font>
    <font>
      <sz val="7"/>
      <color theme="1"/>
      <name val="Arial"/>
      <family val="2"/>
    </font>
    <font>
      <b/>
      <sz val="8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0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Swiss"/>
      <family val="2"/>
    </font>
    <font>
      <sz val="9"/>
      <color theme="1"/>
      <name val="Swiss"/>
      <family val="2"/>
    </font>
    <font>
      <b/>
      <u/>
      <sz val="9"/>
      <color theme="1"/>
      <name val="Arial"/>
      <family val="2"/>
    </font>
    <font>
      <u/>
      <sz val="10"/>
      <color theme="1"/>
      <name val="Arial"/>
      <family val="2"/>
    </font>
    <font>
      <sz val="10"/>
      <name val="Swiss"/>
      <family val="2"/>
    </font>
    <font>
      <b/>
      <u/>
      <sz val="12"/>
      <color theme="1"/>
      <name val="Arial"/>
      <family val="2"/>
    </font>
    <font>
      <sz val="10"/>
      <name val="SWISS"/>
    </font>
    <font>
      <b/>
      <sz val="10"/>
      <color rgb="FFFF0000"/>
      <name val="Arial"/>
      <family val="2"/>
    </font>
    <font>
      <sz val="12"/>
      <name val="Times New Roman"/>
      <family val="1"/>
    </font>
    <font>
      <b/>
      <sz val="13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Symbol"/>
      <family val="1"/>
      <charset val="2"/>
    </font>
    <font>
      <i/>
      <sz val="12"/>
      <color theme="1"/>
      <name val="Times New Roman"/>
      <family val="1"/>
    </font>
    <font>
      <sz val="12"/>
      <name val="Arial"/>
      <family val="2"/>
    </font>
    <font>
      <b/>
      <u/>
      <sz val="12"/>
      <color theme="1"/>
      <name val="Times New Roman"/>
      <family val="1"/>
    </font>
    <font>
      <i/>
      <u/>
      <sz val="12"/>
      <color theme="1"/>
      <name val="Times New Roman"/>
      <family val="1"/>
    </font>
    <font>
      <b/>
      <sz val="11"/>
      <color theme="1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36" fillId="0" borderId="0"/>
    <xf numFmtId="178" fontId="7" fillId="0" borderId="0"/>
    <xf numFmtId="178" fontId="7" fillId="0" borderId="0"/>
    <xf numFmtId="0" fontId="7" fillId="0" borderId="0"/>
    <xf numFmtId="0" fontId="43" fillId="0" borderId="0"/>
    <xf numFmtId="0" fontId="7" fillId="0" borderId="0"/>
  </cellStyleXfs>
  <cellXfs count="483">
    <xf numFmtId="0" fontId="0" fillId="0" borderId="0" xfId="0"/>
    <xf numFmtId="1" fontId="2" fillId="0" borderId="0" xfId="0" applyNumberFormat="1" applyFont="1" applyAlignment="1">
      <alignment horizontal="center"/>
    </xf>
    <xf numFmtId="3" fontId="2" fillId="0" borderId="0" xfId="0" applyNumberFormat="1" applyFont="1"/>
    <xf numFmtId="3" fontId="4" fillId="0" borderId="2" xfId="0" applyNumberFormat="1" applyFont="1" applyBorder="1" applyAlignment="1">
      <alignment horizontal="center"/>
    </xf>
    <xf numFmtId="3" fontId="2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" fontId="3" fillId="0" borderId="0" xfId="4" applyNumberFormat="1" applyFont="1"/>
    <xf numFmtId="0" fontId="3" fillId="0" borderId="0" xfId="4" applyFont="1" applyAlignment="1">
      <alignment horizontal="center"/>
    </xf>
    <xf numFmtId="0" fontId="8" fillId="0" borderId="0" xfId="4" applyFont="1"/>
    <xf numFmtId="37" fontId="3" fillId="0" borderId="0" xfId="4" applyNumberFormat="1" applyFont="1" applyAlignment="1">
      <alignment horizontal="centerContinuous"/>
    </xf>
    <xf numFmtId="1" fontId="3" fillId="0" borderId="0" xfId="4" applyNumberFormat="1" applyFont="1" applyAlignment="1">
      <alignment horizontal="centerContinuous"/>
    </xf>
    <xf numFmtId="1" fontId="5" fillId="0" borderId="0" xfId="4" quotePrefix="1" applyNumberFormat="1" applyFont="1" applyAlignment="1">
      <alignment horizontal="center"/>
    </xf>
    <xf numFmtId="37" fontId="3" fillId="0" borderId="0" xfId="4" applyNumberFormat="1" applyFont="1"/>
    <xf numFmtId="37" fontId="3" fillId="0" borderId="0" xfId="4" applyNumberFormat="1" applyFont="1" applyAlignment="1">
      <alignment horizontal="center"/>
    </xf>
    <xf numFmtId="0" fontId="8" fillId="0" borderId="0" xfId="4" applyFont="1" applyAlignment="1">
      <alignment horizontal="center"/>
    </xf>
    <xf numFmtId="1" fontId="8" fillId="0" borderId="0" xfId="4" applyNumberFormat="1" applyFont="1" applyAlignment="1">
      <alignment horizontal="center"/>
    </xf>
    <xf numFmtId="0" fontId="3" fillId="0" borderId="6" xfId="4" applyFont="1" applyBorder="1" applyAlignment="1">
      <alignment horizontal="center"/>
    </xf>
    <xf numFmtId="0" fontId="3" fillId="0" borderId="6" xfId="4" applyFont="1" applyBorder="1" applyAlignment="1">
      <alignment horizontal="center" wrapText="1"/>
    </xf>
    <xf numFmtId="164" fontId="3" fillId="0" borderId="6" xfId="4" applyNumberFormat="1" applyFont="1" applyBorder="1" applyAlignment="1">
      <alignment horizontal="center" wrapText="1"/>
    </xf>
    <xf numFmtId="1" fontId="9" fillId="0" borderId="0" xfId="4" applyNumberFormat="1" applyFont="1" applyAlignment="1">
      <alignment horizontal="centerContinuous"/>
    </xf>
    <xf numFmtId="164" fontId="3" fillId="0" borderId="0" xfId="5" applyNumberFormat="1" applyFont="1" applyFill="1" applyBorder="1"/>
    <xf numFmtId="1" fontId="10" fillId="0" borderId="0" xfId="4" applyNumberFormat="1" applyFont="1" applyAlignment="1">
      <alignment horizontal="centerContinuous"/>
    </xf>
    <xf numFmtId="1" fontId="11" fillId="0" borderId="0" xfId="4" applyNumberFormat="1" applyFont="1"/>
    <xf numFmtId="164" fontId="8" fillId="0" borderId="0" xfId="6" applyNumberFormat="1" applyFont="1" applyFill="1" applyAlignment="1">
      <alignment horizontal="right"/>
    </xf>
    <xf numFmtId="164" fontId="8" fillId="0" borderId="0" xfId="5" applyNumberFormat="1" applyFont="1" applyFill="1"/>
    <xf numFmtId="1" fontId="8" fillId="0" borderId="0" xfId="4" applyNumberFormat="1" applyFont="1"/>
    <xf numFmtId="1" fontId="8" fillId="0" borderId="0" xfId="4" quotePrefix="1" applyNumberFormat="1" applyFont="1" applyAlignment="1">
      <alignment horizontal="left"/>
    </xf>
    <xf numFmtId="9" fontId="8" fillId="0" borderId="0" xfId="6" applyFont="1" applyFill="1"/>
    <xf numFmtId="9" fontId="8" fillId="0" borderId="0" xfId="6" applyFont="1" applyFill="1" applyBorder="1"/>
    <xf numFmtId="10" fontId="10" fillId="0" borderId="0" xfId="6" applyNumberFormat="1" applyFont="1" applyFill="1"/>
    <xf numFmtId="43" fontId="8" fillId="0" borderId="0" xfId="5" applyFont="1" applyFill="1"/>
    <xf numFmtId="166" fontId="8" fillId="0" borderId="0" xfId="5" applyNumberFormat="1" applyFont="1" applyFill="1"/>
    <xf numFmtId="167" fontId="8" fillId="0" borderId="0" xfId="5" applyNumberFormat="1" applyFont="1" applyFill="1"/>
    <xf numFmtId="164" fontId="8" fillId="0" borderId="0" xfId="5" applyNumberFormat="1" applyFont="1" applyFill="1" applyBorder="1" applyAlignment="1">
      <alignment horizontal="center"/>
    </xf>
    <xf numFmtId="1" fontId="10" fillId="0" borderId="0" xfId="4" applyNumberFormat="1" applyFont="1"/>
    <xf numFmtId="0" fontId="14" fillId="0" borderId="0" xfId="0" applyFont="1" applyBorder="1"/>
    <xf numFmtId="3" fontId="14" fillId="0" borderId="0" xfId="0" applyNumberFormat="1" applyFont="1" applyBorder="1" applyAlignment="1">
      <alignment horizontal="center"/>
    </xf>
    <xf numFmtId="0" fontId="14" fillId="0" borderId="0" xfId="0" applyFont="1" applyFill="1" applyBorder="1"/>
    <xf numFmtId="0" fontId="4" fillId="0" borderId="0" xfId="0" applyFont="1"/>
    <xf numFmtId="0" fontId="4" fillId="0" borderId="0" xfId="7" applyFont="1"/>
    <xf numFmtId="0" fontId="4" fillId="0" borderId="0" xfId="7" applyFont="1" applyAlignment="1" applyProtection="1">
      <alignment horizontal="center"/>
      <protection locked="0"/>
    </xf>
    <xf numFmtId="37" fontId="4" fillId="0" borderId="0" xfId="7" applyNumberFormat="1" applyFont="1"/>
    <xf numFmtId="164" fontId="4" fillId="0" borderId="0" xfId="5" applyNumberFormat="1" applyFont="1" applyFill="1" applyBorder="1"/>
    <xf numFmtId="0" fontId="13" fillId="0" borderId="0" xfId="0" applyFont="1" applyAlignment="1">
      <alignment horizontal="left"/>
    </xf>
    <xf numFmtId="0" fontId="4" fillId="0" borderId="0" xfId="7" applyFont="1" applyAlignment="1">
      <alignment horizontal="left"/>
    </xf>
    <xf numFmtId="17" fontId="2" fillId="0" borderId="0" xfId="7" quotePrefix="1" applyNumberFormat="1" applyFont="1" applyAlignment="1">
      <alignment horizontal="centerContinuous"/>
    </xf>
    <xf numFmtId="0" fontId="4" fillId="0" borderId="0" xfId="7" applyFont="1" applyAlignment="1" applyProtection="1">
      <alignment horizontal="centerContinuous"/>
      <protection locked="0"/>
    </xf>
    <xf numFmtId="0" fontId="4" fillId="0" borderId="0" xfId="7" applyFont="1" applyAlignment="1">
      <alignment horizontal="centerContinuous"/>
    </xf>
    <xf numFmtId="0" fontId="13" fillId="0" borderId="0" xfId="0" applyFont="1"/>
    <xf numFmtId="0" fontId="4" fillId="0" borderId="0" xfId="7" applyFont="1" applyAlignment="1">
      <alignment horizontal="center"/>
    </xf>
    <xf numFmtId="0" fontId="4" fillId="0" borderId="0" xfId="7" quotePrefix="1" applyFont="1" applyAlignment="1">
      <alignment horizontal="center"/>
    </xf>
    <xf numFmtId="0" fontId="2" fillId="0" borderId="0" xfId="7" applyFont="1" applyAlignment="1">
      <alignment horizontal="centerContinuous"/>
    </xf>
    <xf numFmtId="0" fontId="0" fillId="0" borderId="0" xfId="0" applyAlignment="1">
      <alignment horizontal="left"/>
    </xf>
    <xf numFmtId="164" fontId="0" fillId="0" borderId="0" xfId="1" applyNumberFormat="1" applyFont="1" applyFill="1"/>
    <xf numFmtId="164" fontId="0" fillId="0" borderId="0" xfId="0" applyNumberFormat="1"/>
    <xf numFmtId="0" fontId="4" fillId="0" borderId="4" xfId="7" applyFont="1" applyBorder="1" applyAlignment="1">
      <alignment horizontal="left"/>
    </xf>
    <xf numFmtId="0" fontId="4" fillId="0" borderId="4" xfId="7" applyFont="1" applyBorder="1" applyAlignment="1" applyProtection="1">
      <alignment horizontal="center"/>
      <protection locked="0"/>
    </xf>
    <xf numFmtId="0" fontId="4" fillId="0" borderId="4" xfId="7" applyFont="1" applyBorder="1" applyAlignment="1">
      <alignment horizontal="center"/>
    </xf>
    <xf numFmtId="0" fontId="6" fillId="0" borderId="0" xfId="0" applyFont="1"/>
    <xf numFmtId="0" fontId="6" fillId="0" borderId="0" xfId="7" applyFont="1" applyAlignment="1">
      <alignment horizontal="left"/>
    </xf>
    <xf numFmtId="0" fontId="6" fillId="0" borderId="0" xfId="7" applyFont="1"/>
    <xf numFmtId="0" fontId="6" fillId="0" borderId="0" xfId="7" applyFont="1" applyAlignment="1" applyProtection="1">
      <alignment horizontal="center"/>
      <protection locked="0"/>
    </xf>
    <xf numFmtId="0" fontId="16" fillId="0" borderId="0" xfId="7" applyFont="1"/>
    <xf numFmtId="164" fontId="6" fillId="0" borderId="0" xfId="5" quotePrefix="1" applyNumberFormat="1" applyFont="1" applyFill="1" applyAlignment="1">
      <alignment horizontal="left"/>
    </xf>
    <xf numFmtId="164" fontId="6" fillId="0" borderId="0" xfId="5" applyNumberFormat="1" applyFont="1" applyFill="1"/>
    <xf numFmtId="164" fontId="6" fillId="0" borderId="7" xfId="5" applyNumberFormat="1" applyFont="1" applyFill="1" applyBorder="1"/>
    <xf numFmtId="164" fontId="6" fillId="0" borderId="0" xfId="5" quotePrefix="1" applyNumberFormat="1" applyFont="1" applyFill="1" applyAlignment="1"/>
    <xf numFmtId="164" fontId="4" fillId="0" borderId="8" xfId="5" applyNumberFormat="1" applyFont="1" applyFill="1" applyBorder="1"/>
    <xf numFmtId="164" fontId="6" fillId="0" borderId="0" xfId="5" applyNumberFormat="1" applyFont="1" applyFill="1" applyAlignment="1">
      <alignment horizontal="centerContinuous"/>
    </xf>
    <xf numFmtId="0" fontId="6" fillId="0" borderId="0" xfId="7" quotePrefix="1" applyFont="1" applyAlignment="1">
      <alignment horizontal="left"/>
    </xf>
    <xf numFmtId="0" fontId="17" fillId="0" borderId="0" xfId="7" applyFont="1" applyAlignment="1">
      <alignment horizontal="left"/>
    </xf>
    <xf numFmtId="0" fontId="17" fillId="0" borderId="0" xfId="7" applyFont="1"/>
    <xf numFmtId="0" fontId="17" fillId="0" borderId="0" xfId="7" quotePrefix="1" applyFont="1" applyAlignment="1">
      <alignment horizontal="left"/>
    </xf>
    <xf numFmtId="0" fontId="17" fillId="0" borderId="0" xfId="7" applyFont="1" applyAlignment="1" applyProtection="1">
      <alignment horizontal="center"/>
      <protection locked="0"/>
    </xf>
    <xf numFmtId="164" fontId="6" fillId="0" borderId="0" xfId="5" applyNumberFormat="1" applyFont="1" applyFill="1" applyAlignment="1">
      <alignment horizontal="center"/>
    </xf>
    <xf numFmtId="164" fontId="6" fillId="0" borderId="7" xfId="5" quotePrefix="1" applyNumberFormat="1" applyFont="1" applyFill="1" applyBorder="1" applyAlignment="1">
      <alignment horizontal="left"/>
    </xf>
    <xf numFmtId="164" fontId="6" fillId="0" borderId="0" xfId="5" applyNumberFormat="1" applyFont="1" applyFill="1" applyBorder="1"/>
    <xf numFmtId="164" fontId="6" fillId="0" borderId="0" xfId="5" quotePrefix="1" applyNumberFormat="1" applyFont="1" applyFill="1" applyBorder="1" applyAlignment="1">
      <alignment horizontal="left"/>
    </xf>
    <xf numFmtId="0" fontId="6" fillId="0" borderId="0" xfId="7" applyFont="1" applyAlignment="1">
      <alignment horizontal="centerContinuous"/>
    </xf>
    <xf numFmtId="0" fontId="6" fillId="0" borderId="0" xfId="7" applyFont="1" applyAlignment="1">
      <alignment horizontal="center"/>
    </xf>
    <xf numFmtId="164" fontId="6" fillId="0" borderId="9" xfId="5" applyNumberFormat="1" applyFont="1" applyFill="1" applyBorder="1"/>
    <xf numFmtId="164" fontId="4" fillId="0" borderId="4" xfId="5" applyNumberFormat="1" applyFont="1" applyFill="1" applyBorder="1"/>
    <xf numFmtId="10" fontId="6" fillId="0" borderId="0" xfId="8" applyNumberFormat="1" applyFont="1" applyFill="1"/>
    <xf numFmtId="164" fontId="6" fillId="0" borderId="0" xfId="5" applyNumberFormat="1" applyFont="1" applyFill="1" applyBorder="1" applyAlignment="1">
      <alignment horizontal="centerContinuous"/>
    </xf>
    <xf numFmtId="164" fontId="6" fillId="0" borderId="0" xfId="5" applyNumberFormat="1" applyFont="1" applyFill="1" applyBorder="1" applyAlignment="1">
      <alignment horizontal="center"/>
    </xf>
    <xf numFmtId="164" fontId="18" fillId="0" borderId="0" xfId="5" applyNumberFormat="1" applyFont="1" applyFill="1" applyAlignment="1">
      <alignment horizontal="center"/>
    </xf>
    <xf numFmtId="0" fontId="18" fillId="0" borderId="0" xfId="7" applyFont="1" applyAlignment="1" applyProtection="1">
      <alignment horizontal="center"/>
      <protection locked="0"/>
    </xf>
    <xf numFmtId="164" fontId="6" fillId="0" borderId="0" xfId="5" applyNumberFormat="1" applyFont="1" applyFill="1" applyBorder="1" applyAlignment="1"/>
    <xf numFmtId="0" fontId="6" fillId="0" borderId="0" xfId="7" applyFont="1" applyAlignment="1">
      <alignment horizontal="left" indent="1"/>
    </xf>
    <xf numFmtId="0" fontId="6" fillId="0" borderId="0" xfId="7" quotePrefix="1" applyFont="1" applyAlignment="1" applyProtection="1">
      <alignment horizontal="center"/>
      <protection locked="0"/>
    </xf>
    <xf numFmtId="164" fontId="6" fillId="0" borderId="4" xfId="5" applyNumberFormat="1" applyFont="1" applyFill="1" applyBorder="1"/>
    <xf numFmtId="164" fontId="4" fillId="0" borderId="9" xfId="5" applyNumberFormat="1" applyFont="1" applyFill="1" applyBorder="1"/>
    <xf numFmtId="1" fontId="6" fillId="0" borderId="0" xfId="7" applyNumberFormat="1" applyFont="1" applyAlignment="1">
      <alignment horizontal="center"/>
    </xf>
    <xf numFmtId="0" fontId="19" fillId="0" borderId="0" xfId="7" applyFont="1"/>
    <xf numFmtId="0" fontId="20" fillId="0" borderId="0" xfId="7" applyFont="1"/>
    <xf numFmtId="0" fontId="21" fillId="0" borderId="0" xfId="7" applyFont="1"/>
    <xf numFmtId="164" fontId="4" fillId="0" borderId="7" xfId="5" applyNumberFormat="1" applyFont="1" applyFill="1" applyBorder="1"/>
    <xf numFmtId="164" fontId="6" fillId="0" borderId="8" xfId="5" applyNumberFormat="1" applyFont="1" applyFill="1" applyBorder="1"/>
    <xf numFmtId="168" fontId="6" fillId="0" borderId="0" xfId="8" applyNumberFormat="1" applyFont="1" applyFill="1"/>
    <xf numFmtId="9" fontId="6" fillId="0" borderId="0" xfId="8" applyFont="1" applyFill="1"/>
    <xf numFmtId="169" fontId="0" fillId="0" borderId="0" xfId="0" applyNumberFormat="1"/>
    <xf numFmtId="164" fontId="17" fillId="0" borderId="0" xfId="5" applyNumberFormat="1" applyFont="1" applyFill="1" applyAlignment="1">
      <alignment horizontal="center"/>
    </xf>
    <xf numFmtId="164" fontId="6" fillId="0" borderId="4" xfId="5" quotePrefix="1" applyNumberFormat="1" applyFont="1" applyFill="1" applyBorder="1" applyAlignment="1">
      <alignment horizontal="left"/>
    </xf>
    <xf numFmtId="164" fontId="6" fillId="0" borderId="10" xfId="5" applyNumberFormat="1" applyFont="1" applyFill="1" applyBorder="1"/>
    <xf numFmtId="0" fontId="21" fillId="0" borderId="0" xfId="7" applyFont="1" applyAlignment="1">
      <alignment horizontal="left"/>
    </xf>
    <xf numFmtId="164" fontId="12" fillId="0" borderId="0" xfId="0" applyNumberFormat="1" applyFont="1"/>
    <xf numFmtId="3" fontId="3" fillId="0" borderId="0" xfId="0" applyNumberFormat="1" applyFont="1"/>
    <xf numFmtId="9" fontId="2" fillId="0" borderId="0" xfId="0" applyNumberFormat="1" applyFont="1"/>
    <xf numFmtId="3" fontId="16" fillId="0" borderId="0" xfId="0" applyNumberFormat="1" applyFont="1"/>
    <xf numFmtId="1" fontId="2" fillId="0" borderId="0" xfId="0" applyNumberFormat="1" applyFont="1"/>
    <xf numFmtId="0" fontId="22" fillId="0" borderId="0" xfId="0" applyFont="1" applyAlignment="1">
      <alignment horizontal="center"/>
    </xf>
    <xf numFmtId="3" fontId="2" fillId="0" borderId="11" xfId="0" applyNumberFormat="1" applyFont="1" applyBorder="1"/>
    <xf numFmtId="3" fontId="2" fillId="0" borderId="3" xfId="0" applyNumberFormat="1" applyFont="1" applyBorder="1"/>
    <xf numFmtId="170" fontId="2" fillId="0" borderId="0" xfId="0" applyNumberFormat="1" applyFont="1"/>
    <xf numFmtId="170" fontId="2" fillId="0" borderId="2" xfId="0" applyNumberFormat="1" applyFont="1" applyBorder="1"/>
    <xf numFmtId="164" fontId="2" fillId="0" borderId="0" xfId="0" applyNumberFormat="1" applyFont="1"/>
    <xf numFmtId="164" fontId="2" fillId="0" borderId="2" xfId="0" applyNumberFormat="1" applyFont="1" applyBorder="1"/>
    <xf numFmtId="3" fontId="2" fillId="0" borderId="1" xfId="0" applyNumberFormat="1" applyFont="1" applyBorder="1"/>
    <xf numFmtId="3" fontId="2" fillId="0" borderId="2" xfId="0" applyNumberFormat="1" applyFont="1" applyBorder="1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11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3" xfId="0" applyNumberFormat="1" applyFont="1" applyBorder="1" applyAlignment="1">
      <alignment horizontal="center"/>
    </xf>
    <xf numFmtId="3" fontId="23" fillId="0" borderId="0" xfId="0" applyNumberFormat="1" applyFont="1"/>
    <xf numFmtId="3" fontId="24" fillId="0" borderId="0" xfId="0" applyNumberFormat="1" applyFont="1"/>
    <xf numFmtId="3" fontId="24" fillId="0" borderId="0" xfId="0" applyNumberFormat="1" applyFont="1" applyAlignment="1">
      <alignment horizontal="center"/>
    </xf>
    <xf numFmtId="9" fontId="24" fillId="0" borderId="0" xfId="0" applyNumberFormat="1" applyFont="1"/>
    <xf numFmtId="3" fontId="25" fillId="0" borderId="0" xfId="0" applyNumberFormat="1" applyFont="1"/>
    <xf numFmtId="0" fontId="9" fillId="0" borderId="0" xfId="0" applyFont="1" applyAlignment="1">
      <alignment horizontal="center"/>
    </xf>
    <xf numFmtId="0" fontId="22" fillId="0" borderId="0" xfId="0" applyFont="1"/>
    <xf numFmtId="164" fontId="2" fillId="0" borderId="3" xfId="0" applyNumberFormat="1" applyFont="1" applyBorder="1"/>
    <xf numFmtId="3" fontId="4" fillId="0" borderId="3" xfId="0" applyNumberFormat="1" applyFont="1" applyBorder="1" applyAlignment="1">
      <alignment horizontal="center"/>
    </xf>
    <xf numFmtId="164" fontId="2" fillId="0" borderId="0" xfId="1" applyNumberFormat="1" applyFont="1" applyFill="1"/>
    <xf numFmtId="164" fontId="2" fillId="0" borderId="2" xfId="1" applyNumberFormat="1" applyFont="1" applyFill="1" applyBorder="1" applyAlignment="1"/>
    <xf numFmtId="164" fontId="2" fillId="0" borderId="4" xfId="1" applyNumberFormat="1" applyFont="1" applyFill="1" applyBorder="1"/>
    <xf numFmtId="3" fontId="2" fillId="0" borderId="1" xfId="0" applyNumberFormat="1" applyFont="1" applyBorder="1" applyAlignment="1">
      <alignment horizontal="center"/>
    </xf>
    <xf numFmtId="164" fontId="2" fillId="0" borderId="4" xfId="0" applyNumberFormat="1" applyFont="1" applyBorder="1"/>
    <xf numFmtId="0" fontId="16" fillId="0" borderId="2" xfId="0" applyFont="1" applyBorder="1"/>
    <xf numFmtId="3" fontId="2" fillId="0" borderId="4" xfId="0" applyNumberFormat="1" applyFont="1" applyBorder="1"/>
    <xf numFmtId="3" fontId="2" fillId="0" borderId="0" xfId="0" applyNumberFormat="1" applyFont="1" applyAlignment="1">
      <alignment horizontal="left"/>
    </xf>
    <xf numFmtId="3" fontId="26" fillId="0" borderId="1" xfId="0" applyNumberFormat="1" applyFont="1" applyBorder="1" applyAlignment="1">
      <alignment horizontal="center"/>
    </xf>
    <xf numFmtId="164" fontId="2" fillId="0" borderId="14" xfId="0" applyNumberFormat="1" applyFont="1" applyBorder="1"/>
    <xf numFmtId="164" fontId="2" fillId="0" borderId="10" xfId="0" applyNumberFormat="1" applyFont="1" applyBorder="1"/>
    <xf numFmtId="164" fontId="2" fillId="0" borderId="13" xfId="0" applyNumberFormat="1" applyFont="1" applyBorder="1"/>
    <xf numFmtId="43" fontId="2" fillId="0" borderId="0" xfId="1" applyFont="1" applyFill="1"/>
    <xf numFmtId="0" fontId="2" fillId="0" borderId="4" xfId="0" applyFont="1" applyBorder="1"/>
    <xf numFmtId="164" fontId="2" fillId="0" borderId="15" xfId="0" applyNumberFormat="1" applyFont="1" applyBorder="1"/>
    <xf numFmtId="0" fontId="2" fillId="0" borderId="0" xfId="0" applyFont="1"/>
    <xf numFmtId="171" fontId="2" fillId="0" borderId="0" xfId="0" applyNumberFormat="1" applyFont="1" applyAlignment="1">
      <alignment horizontal="center"/>
    </xf>
    <xf numFmtId="164" fontId="2" fillId="0" borderId="9" xfId="0" applyNumberFormat="1" applyFont="1" applyBorder="1"/>
    <xf numFmtId="164" fontId="2" fillId="0" borderId="16" xfId="0" applyNumberFormat="1" applyFont="1" applyBorder="1"/>
    <xf numFmtId="164" fontId="2" fillId="0" borderId="8" xfId="0" applyNumberFormat="1" applyFont="1" applyBorder="1"/>
    <xf numFmtId="164" fontId="2" fillId="0" borderId="17" xfId="0" applyNumberFormat="1" applyFont="1" applyBorder="1"/>
    <xf numFmtId="9" fontId="2" fillId="0" borderId="0" xfId="3" applyFont="1" applyFill="1"/>
    <xf numFmtId="3" fontId="2" fillId="0" borderId="17" xfId="0" applyNumberFormat="1" applyFont="1" applyBorder="1"/>
    <xf numFmtId="172" fontId="2" fillId="0" borderId="0" xfId="3" applyNumberFormat="1" applyFont="1" applyFill="1"/>
    <xf numFmtId="167" fontId="2" fillId="0" borderId="2" xfId="1" applyNumberFormat="1" applyFont="1" applyFill="1" applyBorder="1" applyAlignment="1"/>
    <xf numFmtId="43" fontId="2" fillId="0" borderId="0" xfId="0" applyNumberFormat="1" applyFont="1"/>
    <xf numFmtId="173" fontId="2" fillId="0" borderId="0" xfId="0" applyNumberFormat="1" applyFont="1"/>
    <xf numFmtId="3" fontId="2" fillId="0" borderId="9" xfId="0" applyNumberFormat="1" applyFont="1" applyBorder="1"/>
    <xf numFmtId="3" fontId="4" fillId="0" borderId="2" xfId="0" quotePrefix="1" applyNumberFormat="1" applyFont="1" applyBorder="1" applyAlignment="1">
      <alignment horizontal="center"/>
    </xf>
    <xf numFmtId="9" fontId="16" fillId="0" borderId="0" xfId="3" applyFont="1" applyFill="1" applyBorder="1"/>
    <xf numFmtId="0" fontId="16" fillId="0" borderId="0" xfId="0" applyFont="1"/>
    <xf numFmtId="0" fontId="6" fillId="0" borderId="2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10" fontId="2" fillId="0" borderId="2" xfId="3" applyNumberFormat="1" applyFont="1" applyFill="1" applyBorder="1" applyAlignment="1"/>
    <xf numFmtId="164" fontId="2" fillId="0" borderId="8" xfId="1" applyNumberFormat="1" applyFont="1" applyFill="1" applyBorder="1"/>
    <xf numFmtId="164" fontId="2" fillId="0" borderId="15" xfId="1" applyNumberFormat="1" applyFont="1" applyFill="1" applyBorder="1"/>
    <xf numFmtId="1" fontId="16" fillId="0" borderId="0" xfId="1" applyNumberFormat="1" applyFont="1" applyFill="1" applyBorder="1" applyAlignment="1">
      <alignment horizontal="center"/>
    </xf>
    <xf numFmtId="164" fontId="2" fillId="0" borderId="7" xfId="0" applyNumberFormat="1" applyFont="1" applyBorder="1"/>
    <xf numFmtId="164" fontId="2" fillId="0" borderId="18" xfId="0" applyNumberFormat="1" applyFont="1" applyBorder="1"/>
    <xf numFmtId="164" fontId="2" fillId="0" borderId="19" xfId="0" applyNumberFormat="1" applyFont="1" applyBorder="1"/>
    <xf numFmtId="3" fontId="2" fillId="0" borderId="0" xfId="0" quotePrefix="1" applyNumberFormat="1" applyFont="1" applyAlignment="1">
      <alignment horizontal="right"/>
    </xf>
    <xf numFmtId="164" fontId="2" fillId="0" borderId="0" xfId="1" applyNumberFormat="1" applyFont="1" applyFill="1" applyBorder="1"/>
    <xf numFmtId="0" fontId="27" fillId="0" borderId="0" xfId="0" applyFont="1"/>
    <xf numFmtId="1" fontId="2" fillId="0" borderId="0" xfId="0" quotePrefix="1" applyNumberFormat="1" applyFont="1"/>
    <xf numFmtId="0" fontId="2" fillId="0" borderId="0" xfId="0" applyFont="1" applyAlignment="1">
      <alignment horizontal="left" indent="1"/>
    </xf>
    <xf numFmtId="0" fontId="28" fillId="0" borderId="2" xfId="0" applyFont="1" applyBorder="1"/>
    <xf numFmtId="0" fontId="28" fillId="0" borderId="0" xfId="0" applyFont="1"/>
    <xf numFmtId="0" fontId="29" fillId="0" borderId="2" xfId="0" applyFont="1" applyBorder="1" applyAlignment="1">
      <alignment horizontal="center"/>
    </xf>
    <xf numFmtId="3" fontId="11" fillId="0" borderId="0" xfId="0" applyNumberFormat="1" applyFont="1" applyAlignment="1">
      <alignment horizontal="center"/>
    </xf>
    <xf numFmtId="3" fontId="26" fillId="0" borderId="0" xfId="0" applyNumberFormat="1" applyFont="1" applyAlignment="1">
      <alignment horizontal="center"/>
    </xf>
    <xf numFmtId="3" fontId="30" fillId="0" borderId="2" xfId="0" applyNumberFormat="1" applyFont="1" applyBorder="1" applyAlignment="1">
      <alignment horizontal="center"/>
    </xf>
    <xf numFmtId="9" fontId="26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3" fontId="2" fillId="0" borderId="2" xfId="0" applyNumberFormat="1" applyFont="1" applyBorder="1" applyAlignment="1">
      <alignment horizontal="center"/>
    </xf>
    <xf numFmtId="164" fontId="26" fillId="0" borderId="2" xfId="1" applyNumberFormat="1" applyFont="1" applyFill="1" applyBorder="1" applyAlignment="1">
      <alignment horizontal="center"/>
    </xf>
    <xf numFmtId="1" fontId="26" fillId="0" borderId="0" xfId="0" applyNumberFormat="1" applyFont="1" applyAlignment="1">
      <alignment horizontal="center"/>
    </xf>
    <xf numFmtId="3" fontId="26" fillId="0" borderId="2" xfId="0" applyNumberFormat="1" applyFont="1" applyBorder="1" applyAlignment="1">
      <alignment horizontal="center"/>
    </xf>
    <xf numFmtId="164" fontId="2" fillId="0" borderId="0" xfId="3" applyNumberFormat="1" applyFont="1" applyFill="1"/>
    <xf numFmtId="1" fontId="2" fillId="0" borderId="0" xfId="0" applyNumberFormat="1" applyFont="1" applyAlignment="1">
      <alignment horizontal="right"/>
    </xf>
    <xf numFmtId="164" fontId="2" fillId="0" borderId="20" xfId="0" applyNumberFormat="1" applyFont="1" applyBorder="1"/>
    <xf numFmtId="174" fontId="2" fillId="0" borderId="0" xfId="0" applyNumberFormat="1" applyFont="1"/>
    <xf numFmtId="43" fontId="3" fillId="0" borderId="0" xfId="1" applyFont="1" applyFill="1"/>
    <xf numFmtId="164" fontId="2" fillId="0" borderId="21" xfId="0" applyNumberFormat="1" applyFont="1" applyBorder="1"/>
    <xf numFmtId="164" fontId="2" fillId="0" borderId="22" xfId="0" applyNumberFormat="1" applyFont="1" applyBorder="1"/>
    <xf numFmtId="9" fontId="4" fillId="0" borderId="2" xfId="3" applyFont="1" applyFill="1" applyBorder="1" applyAlignment="1">
      <alignment horizontal="center"/>
    </xf>
    <xf numFmtId="164" fontId="2" fillId="0" borderId="3" xfId="1" applyNumberFormat="1" applyFont="1" applyFill="1" applyBorder="1" applyAlignment="1"/>
    <xf numFmtId="0" fontId="32" fillId="0" borderId="0" xfId="0" applyFont="1"/>
    <xf numFmtId="0" fontId="28" fillId="0" borderId="0" xfId="0" applyFont="1" applyAlignment="1">
      <alignment horizontal="center"/>
    </xf>
    <xf numFmtId="164" fontId="9" fillId="0" borderId="0" xfId="1" applyNumberFormat="1" applyFont="1" applyFill="1" applyBorder="1"/>
    <xf numFmtId="164" fontId="9" fillId="0" borderId="23" xfId="1" applyNumberFormat="1" applyFont="1" applyFill="1" applyBorder="1"/>
    <xf numFmtId="164" fontId="9" fillId="0" borderId="18" xfId="1" applyNumberFormat="1" applyFont="1" applyFill="1" applyBorder="1"/>
    <xf numFmtId="175" fontId="10" fillId="0" borderId="0" xfId="1" applyNumberFormat="1" applyFont="1" applyFill="1"/>
    <xf numFmtId="164" fontId="10" fillId="0" borderId="0" xfId="1" applyNumberFormat="1" applyFont="1" applyFill="1"/>
    <xf numFmtId="164" fontId="16" fillId="0" borderId="0" xfId="1" applyNumberFormat="1" applyFont="1" applyFill="1"/>
    <xf numFmtId="0" fontId="10" fillId="0" borderId="0" xfId="0" applyFont="1" applyAlignment="1">
      <alignment horizontal="right"/>
    </xf>
    <xf numFmtId="0" fontId="10" fillId="0" borderId="0" xfId="0" applyFont="1"/>
    <xf numFmtId="1" fontId="2" fillId="0" borderId="0" xfId="0" applyNumberFormat="1" applyFont="1" applyAlignment="1">
      <alignment horizontal="center" wrapText="1"/>
    </xf>
    <xf numFmtId="1" fontId="26" fillId="0" borderId="0" xfId="0" applyNumberFormat="1" applyFont="1" applyAlignment="1">
      <alignment horizontal="center" vertical="top" wrapText="1"/>
    </xf>
    <xf numFmtId="1" fontId="26" fillId="0" borderId="13" xfId="0" applyNumberFormat="1" applyFont="1" applyBorder="1" applyAlignment="1">
      <alignment horizontal="center" vertical="top" wrapText="1"/>
    </xf>
    <xf numFmtId="1" fontId="26" fillId="0" borderId="14" xfId="0" applyNumberFormat="1" applyFont="1" applyBorder="1" applyAlignment="1">
      <alignment horizontal="center" vertical="top" wrapText="1"/>
    </xf>
    <xf numFmtId="3" fontId="2" fillId="0" borderId="4" xfId="0" applyNumberFormat="1" applyFont="1" applyBorder="1" applyAlignment="1">
      <alignment horizontal="center"/>
    </xf>
    <xf numFmtId="9" fontId="2" fillId="0" borderId="0" xfId="0" applyNumberFormat="1" applyFont="1" applyAlignment="1">
      <alignment horizontal="right"/>
    </xf>
    <xf numFmtId="3" fontId="11" fillId="0" borderId="0" xfId="0" applyNumberFormat="1" applyFont="1"/>
    <xf numFmtId="3" fontId="2" fillId="0" borderId="0" xfId="0" applyNumberFormat="1" applyFont="1" applyAlignment="1">
      <alignment horizontal="centerContinuous"/>
    </xf>
    <xf numFmtId="1" fontId="33" fillId="0" borderId="0" xfId="0" applyNumberFormat="1" applyFont="1" applyAlignment="1">
      <alignment horizontal="left"/>
    </xf>
    <xf numFmtId="1" fontId="26" fillId="0" borderId="0" xfId="0" applyNumberFormat="1" applyFont="1" applyAlignment="1">
      <alignment horizontal="left"/>
    </xf>
    <xf numFmtId="0" fontId="22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164" fontId="2" fillId="0" borderId="0" xfId="1" applyNumberFormat="1" applyFont="1" applyFill="1" applyAlignment="1">
      <alignment horizontal="right"/>
    </xf>
    <xf numFmtId="174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centerContinuous"/>
    </xf>
    <xf numFmtId="164" fontId="2" fillId="0" borderId="0" xfId="9" applyNumberFormat="1" applyFont="1" applyFill="1" applyAlignment="1">
      <alignment horizontal="center"/>
    </xf>
    <xf numFmtId="164" fontId="2" fillId="0" borderId="0" xfId="1" applyNumberFormat="1" applyFont="1" applyFill="1" applyAlignment="1">
      <alignment horizontal="center"/>
    </xf>
    <xf numFmtId="10" fontId="2" fillId="0" borderId="0" xfId="0" applyNumberFormat="1" applyFont="1"/>
    <xf numFmtId="10" fontId="16" fillId="0" borderId="0" xfId="0" applyNumberFormat="1" applyFont="1"/>
    <xf numFmtId="10" fontId="2" fillId="0" borderId="0" xfId="0" applyNumberFormat="1" applyFont="1" applyAlignment="1">
      <alignment horizontal="center"/>
    </xf>
    <xf numFmtId="10" fontId="2" fillId="0" borderId="0" xfId="3" applyNumberFormat="1" applyFont="1" applyFill="1"/>
    <xf numFmtId="176" fontId="2" fillId="0" borderId="0" xfId="3" applyNumberFormat="1" applyFont="1" applyFill="1"/>
    <xf numFmtId="176" fontId="2" fillId="0" borderId="0" xfId="0" applyNumberFormat="1" applyFont="1" applyAlignment="1">
      <alignment horizontal="center"/>
    </xf>
    <xf numFmtId="176" fontId="2" fillId="0" borderId="0" xfId="0" applyNumberFormat="1" applyFont="1"/>
    <xf numFmtId="177" fontId="2" fillId="0" borderId="0" xfId="1" applyNumberFormat="1" applyFont="1" applyFill="1"/>
    <xf numFmtId="3" fontId="2" fillId="0" borderId="0" xfId="10" applyNumberFormat="1" applyFont="1" applyFill="1" applyAlignment="1">
      <alignment horizontal="center"/>
    </xf>
    <xf numFmtId="4" fontId="2" fillId="0" borderId="0" xfId="0" applyNumberFormat="1" applyFont="1"/>
    <xf numFmtId="3" fontId="26" fillId="0" borderId="0" xfId="0" applyNumberFormat="1" applyFont="1"/>
    <xf numFmtId="164" fontId="2" fillId="0" borderId="0" xfId="10" applyNumberFormat="1" applyFont="1" applyFill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9" fontId="2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164" fontId="2" fillId="0" borderId="4" xfId="1" applyNumberFormat="1" applyFont="1" applyFill="1" applyBorder="1" applyAlignment="1">
      <alignment horizontal="center"/>
    </xf>
    <xf numFmtId="3" fontId="2" fillId="0" borderId="4" xfId="0" applyNumberFormat="1" applyFont="1" applyBorder="1" applyAlignment="1">
      <alignment horizontal="centerContinuous"/>
    </xf>
    <xf numFmtId="37" fontId="16" fillId="0" borderId="0" xfId="0" applyNumberFormat="1" applyFont="1" applyAlignment="1">
      <alignment horizontal="centerContinuous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37" fontId="2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left"/>
    </xf>
    <xf numFmtId="0" fontId="16" fillId="0" borderId="0" xfId="0" applyFont="1" applyAlignment="1">
      <alignment horizontal="centerContinuous"/>
    </xf>
    <xf numFmtId="37" fontId="2" fillId="0" borderId="0" xfId="0" applyNumberFormat="1" applyFont="1" applyAlignment="1">
      <alignment horizontal="left"/>
    </xf>
    <xf numFmtId="1" fontId="16" fillId="0" borderId="0" xfId="0" applyNumberFormat="1" applyFont="1" applyAlignment="1">
      <alignment horizontal="centerContinuous"/>
    </xf>
    <xf numFmtId="0" fontId="26" fillId="0" borderId="0" xfId="0" quotePrefix="1" applyFont="1" applyAlignment="1">
      <alignment horizontal="left"/>
    </xf>
    <xf numFmtId="0" fontId="2" fillId="0" borderId="0" xfId="0" applyFont="1" applyAlignment="1" applyProtection="1">
      <alignment horizontal="left"/>
      <protection locked="0"/>
    </xf>
    <xf numFmtId="164" fontId="35" fillId="0" borderId="2" xfId="0" applyNumberFormat="1" applyFont="1" applyBorder="1"/>
    <xf numFmtId="164" fontId="35" fillId="0" borderId="0" xfId="0" applyNumberFormat="1" applyFont="1"/>
    <xf numFmtId="165" fontId="2" fillId="0" borderId="0" xfId="2" applyNumberFormat="1" applyFont="1"/>
    <xf numFmtId="164" fontId="8" fillId="0" borderId="0" xfId="1" applyNumberFormat="1" applyFont="1" applyFill="1"/>
    <xf numFmtId="164" fontId="3" fillId="0" borderId="0" xfId="1" applyNumberFormat="1" applyFont="1" applyFill="1"/>
    <xf numFmtId="10" fontId="8" fillId="0" borderId="0" xfId="3" applyNumberFormat="1" applyFont="1" applyFill="1"/>
    <xf numFmtId="164" fontId="3" fillId="0" borderId="0" xfId="1" applyNumberFormat="1" applyFont="1" applyFill="1" applyAlignment="1" applyProtection="1">
      <alignment horizontal="center"/>
    </xf>
    <xf numFmtId="164" fontId="3" fillId="0" borderId="0" xfId="1" applyNumberFormat="1" applyFont="1" applyFill="1" applyAlignment="1" applyProtection="1">
      <alignment horizontal="centerContinuous"/>
    </xf>
    <xf numFmtId="10" fontId="3" fillId="0" borderId="0" xfId="3" applyNumberFormat="1" applyFont="1" applyFill="1" applyAlignment="1">
      <alignment horizontal="centerContinuous"/>
    </xf>
    <xf numFmtId="164" fontId="3" fillId="0" borderId="0" xfId="1" applyNumberFormat="1" applyFont="1" applyFill="1" applyAlignment="1">
      <alignment horizontal="centerContinuous"/>
    </xf>
    <xf numFmtId="164" fontId="8" fillId="0" borderId="0" xfId="1" applyNumberFormat="1" applyFont="1" applyFill="1" applyAlignment="1">
      <alignment horizontal="centerContinuous"/>
    </xf>
    <xf numFmtId="164" fontId="8" fillId="0" borderId="0" xfId="1" applyNumberFormat="1" applyFont="1" applyFill="1" applyProtection="1"/>
    <xf numFmtId="164" fontId="3" fillId="0" borderId="0" xfId="1" applyNumberFormat="1" applyFont="1" applyFill="1" applyAlignment="1">
      <alignment horizontal="center"/>
    </xf>
    <xf numFmtId="10" fontId="3" fillId="0" borderId="0" xfId="3" applyNumberFormat="1" applyFont="1" applyFill="1" applyAlignment="1">
      <alignment horizontal="center"/>
    </xf>
    <xf numFmtId="10" fontId="3" fillId="0" borderId="0" xfId="3" applyNumberFormat="1" applyFont="1" applyFill="1"/>
    <xf numFmtId="164" fontId="3" fillId="0" borderId="0" xfId="1" applyNumberFormat="1" applyFont="1" applyFill="1" applyProtection="1"/>
    <xf numFmtId="164" fontId="3" fillId="0" borderId="13" xfId="1" applyNumberFormat="1" applyFont="1" applyFill="1" applyBorder="1" applyAlignment="1">
      <alignment horizontal="center"/>
    </xf>
    <xf numFmtId="164" fontId="11" fillId="0" borderId="0" xfId="1" applyNumberFormat="1" applyFont="1" applyFill="1"/>
    <xf numFmtId="164" fontId="11" fillId="0" borderId="0" xfId="1" applyNumberFormat="1" applyFont="1" applyFill="1" applyAlignment="1">
      <alignment horizontal="center"/>
    </xf>
    <xf numFmtId="10" fontId="11" fillId="0" borderId="0" xfId="3" applyNumberFormat="1" applyFont="1" applyFill="1" applyAlignment="1">
      <alignment horizontal="center"/>
    </xf>
    <xf numFmtId="0" fontId="3" fillId="0" borderId="24" xfId="0" applyFont="1" applyBorder="1" applyAlignment="1">
      <alignment horizontal="center" wrapText="1"/>
    </xf>
    <xf numFmtId="164" fontId="3" fillId="0" borderId="3" xfId="1" applyNumberFormat="1" applyFont="1" applyFill="1" applyBorder="1" applyProtection="1"/>
    <xf numFmtId="164" fontId="3" fillId="0" borderId="25" xfId="1" applyNumberFormat="1" applyFont="1" applyFill="1" applyBorder="1" applyProtection="1"/>
    <xf numFmtId="0" fontId="3" fillId="0" borderId="0" xfId="0" applyFont="1"/>
    <xf numFmtId="164" fontId="3" fillId="0" borderId="26" xfId="1" applyNumberFormat="1" applyFont="1" applyFill="1" applyBorder="1" applyProtection="1"/>
    <xf numFmtId="10" fontId="3" fillId="0" borderId="0" xfId="3" applyNumberFormat="1" applyFont="1" applyFill="1" applyProtection="1"/>
    <xf numFmtId="164" fontId="3" fillId="0" borderId="0" xfId="1" applyNumberFormat="1" applyFont="1" applyFill="1" applyBorder="1" applyProtection="1"/>
    <xf numFmtId="164" fontId="3" fillId="0" borderId="24" xfId="1" applyNumberFormat="1" applyFont="1" applyFill="1" applyBorder="1" applyProtection="1"/>
    <xf numFmtId="164" fontId="3" fillId="0" borderId="0" xfId="1" quotePrefix="1" applyNumberFormat="1" applyFont="1" applyFill="1"/>
    <xf numFmtId="164" fontId="11" fillId="0" borderId="0" xfId="1" applyNumberFormat="1" applyFont="1" applyFill="1" applyAlignment="1" applyProtection="1">
      <alignment horizontal="center"/>
    </xf>
    <xf numFmtId="3" fontId="37" fillId="0" borderId="0" xfId="11" applyNumberFormat="1" applyFont="1" applyAlignment="1">
      <alignment horizontal="centerContinuous"/>
    </xf>
    <xf numFmtId="178" fontId="38" fillId="0" borderId="0" xfId="12" applyFont="1" applyAlignment="1">
      <alignment horizontal="centerContinuous"/>
    </xf>
    <xf numFmtId="37" fontId="38" fillId="0" borderId="0" xfId="12" applyNumberFormat="1" applyFont="1" applyAlignment="1">
      <alignment horizontal="centerContinuous"/>
    </xf>
    <xf numFmtId="5" fontId="38" fillId="0" borderId="0" xfId="12" applyNumberFormat="1" applyFont="1" applyAlignment="1">
      <alignment horizontal="centerContinuous"/>
    </xf>
    <xf numFmtId="9" fontId="39" fillId="0" borderId="0" xfId="12" applyNumberFormat="1" applyFont="1"/>
    <xf numFmtId="178" fontId="39" fillId="0" borderId="0" xfId="12" applyFont="1"/>
    <xf numFmtId="37" fontId="39" fillId="0" borderId="0" xfId="12" applyNumberFormat="1" applyFont="1"/>
    <xf numFmtId="5" fontId="39" fillId="0" borderId="0" xfId="12" applyNumberFormat="1" applyFont="1"/>
    <xf numFmtId="37" fontId="40" fillId="0" borderId="0" xfId="12" applyNumberFormat="1" applyFont="1" applyAlignment="1">
      <alignment horizontal="center"/>
    </xf>
    <xf numFmtId="178" fontId="40" fillId="0" borderId="24" xfId="12" applyFont="1" applyBorder="1" applyAlignment="1">
      <alignment horizontal="centerContinuous"/>
    </xf>
    <xf numFmtId="5" fontId="40" fillId="0" borderId="24" xfId="12" applyNumberFormat="1" applyFont="1" applyBorder="1" applyAlignment="1">
      <alignment horizontal="centerContinuous"/>
    </xf>
    <xf numFmtId="37" fontId="40" fillId="0" borderId="24" xfId="12" applyNumberFormat="1" applyFont="1" applyBorder="1" applyAlignment="1">
      <alignment horizontal="centerContinuous"/>
    </xf>
    <xf numFmtId="178" fontId="40" fillId="0" borderId="0" xfId="12" applyFont="1" applyAlignment="1">
      <alignment horizontal="center"/>
    </xf>
    <xf numFmtId="5" fontId="40" fillId="0" borderId="27" xfId="12" applyNumberFormat="1" applyFont="1" applyBorder="1" applyAlignment="1">
      <alignment horizontal="centerContinuous"/>
    </xf>
    <xf numFmtId="178" fontId="40" fillId="0" borderId="27" xfId="12" applyFont="1" applyBorder="1" applyAlignment="1">
      <alignment horizontal="centerContinuous"/>
    </xf>
    <xf numFmtId="178" fontId="39" fillId="0" borderId="27" xfId="12" applyFont="1" applyBorder="1" applyAlignment="1">
      <alignment horizontal="centerContinuous"/>
    </xf>
    <xf numFmtId="178" fontId="40" fillId="0" borderId="0" xfId="12" applyFont="1" applyAlignment="1">
      <alignment horizontal="centerContinuous"/>
    </xf>
    <xf numFmtId="10" fontId="39" fillId="0" borderId="0" xfId="13" applyNumberFormat="1" applyFont="1"/>
    <xf numFmtId="178" fontId="39" fillId="0" borderId="0" xfId="13" applyFont="1"/>
    <xf numFmtId="37" fontId="40" fillId="0" borderId="24" xfId="12" quotePrefix="1" applyNumberFormat="1" applyFont="1" applyBorder="1" applyAlignment="1">
      <alignment horizontal="center"/>
    </xf>
    <xf numFmtId="178" fontId="40" fillId="0" borderId="5" xfId="12" quotePrefix="1" applyFont="1" applyBorder="1" applyAlignment="1">
      <alignment horizontal="center"/>
    </xf>
    <xf numFmtId="5" fontId="40" fillId="0" borderId="5" xfId="12" applyNumberFormat="1" applyFont="1" applyBorder="1" applyAlignment="1">
      <alignment horizontal="center"/>
    </xf>
    <xf numFmtId="178" fontId="40" fillId="0" borderId="27" xfId="12" quotePrefix="1" applyFont="1" applyBorder="1" applyAlignment="1">
      <alignment horizontal="center"/>
    </xf>
    <xf numFmtId="5" fontId="40" fillId="0" borderId="5" xfId="12" quotePrefix="1" applyNumberFormat="1" applyFont="1" applyBorder="1" applyAlignment="1">
      <alignment horizontal="center"/>
    </xf>
    <xf numFmtId="5" fontId="40" fillId="0" borderId="0" xfId="12" applyNumberFormat="1" applyFont="1" applyAlignment="1">
      <alignment horizontal="center"/>
    </xf>
    <xf numFmtId="10" fontId="39" fillId="0" borderId="0" xfId="8" quotePrefix="1" applyNumberFormat="1" applyFont="1" applyFill="1"/>
    <xf numFmtId="37" fontId="39" fillId="0" borderId="0" xfId="13" applyNumberFormat="1" applyFont="1" applyProtection="1">
      <protection locked="0"/>
    </xf>
    <xf numFmtId="178" fontId="40" fillId="0" borderId="0" xfId="12" applyFont="1" applyAlignment="1">
      <alignment horizontal="left"/>
    </xf>
    <xf numFmtId="178" fontId="39" fillId="0" borderId="18" xfId="13" applyFont="1" applyBorder="1"/>
    <xf numFmtId="178" fontId="39" fillId="0" borderId="23" xfId="13" applyFont="1" applyBorder="1"/>
    <xf numFmtId="178" fontId="39" fillId="0" borderId="0" xfId="12" applyFont="1" applyAlignment="1">
      <alignment horizontal="left"/>
    </xf>
    <xf numFmtId="7" fontId="39" fillId="0" borderId="0" xfId="12" applyNumberFormat="1" applyFont="1" applyProtection="1">
      <protection locked="0"/>
    </xf>
    <xf numFmtId="5" fontId="39" fillId="0" borderId="0" xfId="12" applyNumberFormat="1" applyFont="1" applyProtection="1">
      <protection locked="0"/>
    </xf>
    <xf numFmtId="178" fontId="39" fillId="0" borderId="20" xfId="13" applyFont="1" applyBorder="1"/>
    <xf numFmtId="5" fontId="39" fillId="0" borderId="12" xfId="13" applyNumberFormat="1" applyFont="1" applyBorder="1"/>
    <xf numFmtId="178" fontId="39" fillId="0" borderId="14" xfId="13" applyFont="1" applyBorder="1"/>
    <xf numFmtId="5" fontId="39" fillId="0" borderId="1" xfId="13" applyNumberFormat="1" applyFont="1" applyBorder="1"/>
    <xf numFmtId="7" fontId="39" fillId="0" borderId="0" xfId="13" applyNumberFormat="1" applyFont="1" applyProtection="1">
      <protection locked="0"/>
    </xf>
    <xf numFmtId="5" fontId="39" fillId="0" borderId="0" xfId="13" applyNumberFormat="1" applyFont="1"/>
    <xf numFmtId="5" fontId="39" fillId="0" borderId="0" xfId="13" applyNumberFormat="1" applyFont="1" applyProtection="1">
      <protection locked="0"/>
    </xf>
    <xf numFmtId="178" fontId="41" fillId="0" borderId="15" xfId="13" applyFont="1" applyBorder="1"/>
    <xf numFmtId="5" fontId="39" fillId="0" borderId="11" xfId="13" applyNumberFormat="1" applyFont="1" applyBorder="1"/>
    <xf numFmtId="9" fontId="39" fillId="0" borderId="0" xfId="13" applyNumberFormat="1" applyFont="1"/>
    <xf numFmtId="168" fontId="39" fillId="0" borderId="12" xfId="13" applyNumberFormat="1" applyFont="1" applyBorder="1"/>
    <xf numFmtId="168" fontId="39" fillId="0" borderId="1" xfId="13" applyNumberFormat="1" applyFont="1" applyBorder="1"/>
    <xf numFmtId="168" fontId="39" fillId="0" borderId="1" xfId="5" applyNumberFormat="1" applyFont="1" applyFill="1" applyBorder="1"/>
    <xf numFmtId="178" fontId="39" fillId="0" borderId="14" xfId="12" applyFont="1" applyBorder="1"/>
    <xf numFmtId="178" fontId="39" fillId="0" borderId="1" xfId="12" applyFont="1" applyBorder="1"/>
    <xf numFmtId="178" fontId="39" fillId="0" borderId="15" xfId="13" applyFont="1" applyBorder="1"/>
    <xf numFmtId="9" fontId="39" fillId="0" borderId="11" xfId="13" applyNumberFormat="1" applyFont="1" applyBorder="1"/>
    <xf numFmtId="179" fontId="39" fillId="0" borderId="0" xfId="11" applyNumberFormat="1" applyFont="1"/>
    <xf numFmtId="10" fontId="39" fillId="0" borderId="0" xfId="12" applyNumberFormat="1" applyFont="1"/>
    <xf numFmtId="7" fontId="39" fillId="0" borderId="0" xfId="12" applyNumberFormat="1" applyFont="1"/>
    <xf numFmtId="7" fontId="39" fillId="0" borderId="0" xfId="13" applyNumberFormat="1" applyFont="1"/>
    <xf numFmtId="3" fontId="39" fillId="0" borderId="0" xfId="11" applyNumberFormat="1" applyFont="1"/>
    <xf numFmtId="180" fontId="39" fillId="0" borderId="0" xfId="12" applyNumberFormat="1" applyFont="1" applyProtection="1">
      <protection locked="0"/>
    </xf>
    <xf numFmtId="0" fontId="39" fillId="0" borderId="0" xfId="11" applyFont="1"/>
    <xf numFmtId="180" fontId="39" fillId="0" borderId="0" xfId="13" applyNumberFormat="1" applyFont="1" applyProtection="1">
      <protection locked="0"/>
    </xf>
    <xf numFmtId="5" fontId="39" fillId="0" borderId="0" xfId="14" applyNumberFormat="1" applyFont="1"/>
    <xf numFmtId="5" fontId="39" fillId="0" borderId="0" xfId="11" applyNumberFormat="1" applyFont="1"/>
    <xf numFmtId="181" fontId="39" fillId="0" borderId="0" xfId="12" applyNumberFormat="1" applyFont="1" applyProtection="1">
      <protection locked="0"/>
    </xf>
    <xf numFmtId="181" fontId="39" fillId="0" borderId="0" xfId="13" applyNumberFormat="1" applyFont="1" applyProtection="1">
      <protection locked="0"/>
    </xf>
    <xf numFmtId="178" fontId="42" fillId="0" borderId="0" xfId="12" applyFont="1"/>
    <xf numFmtId="182" fontId="39" fillId="0" borderId="0" xfId="12" applyNumberFormat="1" applyFont="1" applyProtection="1">
      <protection locked="0"/>
    </xf>
    <xf numFmtId="182" fontId="39" fillId="0" borderId="0" xfId="13" applyNumberFormat="1" applyFont="1" applyProtection="1">
      <protection locked="0"/>
    </xf>
    <xf numFmtId="9" fontId="39" fillId="0" borderId="0" xfId="8" applyFont="1" applyFill="1" applyBorder="1"/>
    <xf numFmtId="178" fontId="39" fillId="0" borderId="0" xfId="13" applyFont="1" applyAlignment="1">
      <alignment horizontal="left"/>
    </xf>
    <xf numFmtId="178" fontId="42" fillId="0" borderId="0" xfId="13" applyFont="1"/>
    <xf numFmtId="37" fontId="39" fillId="0" borderId="0" xfId="13" applyNumberFormat="1" applyFont="1"/>
    <xf numFmtId="0" fontId="39" fillId="0" borderId="0" xfId="14" applyFont="1"/>
    <xf numFmtId="37" fontId="39" fillId="0" borderId="5" xfId="12" applyNumberFormat="1" applyFont="1" applyBorder="1"/>
    <xf numFmtId="5" fontId="39" fillId="0" borderId="5" xfId="12" applyNumberFormat="1" applyFont="1" applyBorder="1"/>
    <xf numFmtId="10" fontId="39" fillId="0" borderId="0" xfId="12" applyNumberFormat="1" applyFont="1" applyAlignment="1">
      <alignment horizontal="right"/>
    </xf>
    <xf numFmtId="178" fontId="39" fillId="0" borderId="24" xfId="12" applyFont="1" applyBorder="1" applyAlignment="1">
      <alignment horizontal="centerContinuous"/>
    </xf>
    <xf numFmtId="178" fontId="39" fillId="0" borderId="0" xfId="12" applyFont="1" applyAlignment="1">
      <alignment horizontal="center"/>
    </xf>
    <xf numFmtId="37" fontId="39" fillId="0" borderId="8" xfId="12" applyNumberFormat="1" applyFont="1" applyBorder="1"/>
    <xf numFmtId="178" fontId="39" fillId="0" borderId="8" xfId="12" applyFont="1" applyBorder="1"/>
    <xf numFmtId="5" fontId="39" fillId="0" borderId="8" xfId="12" applyNumberFormat="1" applyFont="1" applyBorder="1"/>
    <xf numFmtId="5" fontId="39" fillId="0" borderId="8" xfId="13" applyNumberFormat="1" applyFont="1" applyBorder="1"/>
    <xf numFmtId="179" fontId="39" fillId="0" borderId="0" xfId="12" applyNumberFormat="1" applyFont="1"/>
    <xf numFmtId="179" fontId="39" fillId="0" borderId="0" xfId="13" applyNumberFormat="1" applyFont="1"/>
    <xf numFmtId="178" fontId="39" fillId="0" borderId="26" xfId="12" applyFont="1" applyBorder="1"/>
    <xf numFmtId="5" fontId="39" fillId="0" borderId="26" xfId="12" applyNumberFormat="1" applyFont="1" applyBorder="1"/>
    <xf numFmtId="178" fontId="40" fillId="0" borderId="0" xfId="13" applyFont="1" applyAlignment="1">
      <alignment horizontal="left"/>
    </xf>
    <xf numFmtId="37" fontId="39" fillId="0" borderId="5" xfId="13" applyNumberFormat="1" applyFont="1" applyBorder="1"/>
    <xf numFmtId="5" fontId="39" fillId="0" borderId="5" xfId="13" applyNumberFormat="1" applyFont="1" applyBorder="1"/>
    <xf numFmtId="37" fontId="39" fillId="0" borderId="8" xfId="13" applyNumberFormat="1" applyFont="1" applyBorder="1"/>
    <xf numFmtId="178" fontId="39" fillId="0" borderId="26" xfId="13" applyFont="1" applyBorder="1"/>
    <xf numFmtId="5" fontId="39" fillId="0" borderId="26" xfId="13" applyNumberFormat="1" applyFont="1" applyBorder="1"/>
    <xf numFmtId="180" fontId="39" fillId="0" borderId="0" xfId="12" applyNumberFormat="1" applyFont="1"/>
    <xf numFmtId="182" fontId="39" fillId="0" borderId="0" xfId="12" applyNumberFormat="1" applyFont="1"/>
    <xf numFmtId="178" fontId="41" fillId="0" borderId="0" xfId="13" applyFont="1"/>
    <xf numFmtId="168" fontId="39" fillId="0" borderId="0" xfId="13" applyNumberFormat="1" applyFont="1"/>
    <xf numFmtId="168" fontId="39" fillId="0" borderId="0" xfId="8" applyNumberFormat="1" applyFont="1" applyFill="1" applyBorder="1"/>
    <xf numFmtId="37" fontId="39" fillId="0" borderId="26" xfId="12" applyNumberFormat="1" applyFont="1" applyBorder="1"/>
    <xf numFmtId="49" fontId="39" fillId="0" borderId="0" xfId="12" applyNumberFormat="1" applyFont="1" applyAlignment="1">
      <alignment horizontal="left"/>
    </xf>
    <xf numFmtId="183" fontId="39" fillId="0" borderId="0" xfId="12" applyNumberFormat="1" applyFont="1"/>
    <xf numFmtId="10" fontId="39" fillId="0" borderId="1" xfId="13" applyNumberFormat="1" applyFont="1" applyBorder="1"/>
    <xf numFmtId="10" fontId="39" fillId="0" borderId="11" xfId="13" applyNumberFormat="1" applyFont="1" applyBorder="1"/>
    <xf numFmtId="10" fontId="39" fillId="0" borderId="23" xfId="13" applyNumberFormat="1" applyFont="1" applyBorder="1"/>
    <xf numFmtId="2" fontId="39" fillId="0" borderId="0" xfId="8" applyNumberFormat="1" applyFont="1" applyFill="1" applyBorder="1"/>
    <xf numFmtId="182" fontId="39" fillId="0" borderId="0" xfId="13" applyNumberFormat="1" applyFont="1"/>
    <xf numFmtId="10" fontId="39" fillId="0" borderId="12" xfId="13" applyNumberFormat="1" applyFont="1" applyBorder="1"/>
    <xf numFmtId="2" fontId="39" fillId="0" borderId="0" xfId="13" applyNumberFormat="1" applyFont="1"/>
    <xf numFmtId="178" fontId="42" fillId="0" borderId="0" xfId="12" applyFont="1" applyAlignment="1">
      <alignment horizontal="left"/>
    </xf>
    <xf numFmtId="37" fontId="39" fillId="0" borderId="0" xfId="12" applyNumberFormat="1" applyFont="1" applyProtection="1">
      <protection locked="0"/>
    </xf>
    <xf numFmtId="37" fontId="39" fillId="0" borderId="4" xfId="12" applyNumberFormat="1" applyFont="1" applyBorder="1" applyProtection="1">
      <protection locked="0"/>
    </xf>
    <xf numFmtId="178" fontId="39" fillId="0" borderId="4" xfId="12" applyFont="1" applyBorder="1"/>
    <xf numFmtId="5" fontId="39" fillId="0" borderId="4" xfId="12" applyNumberFormat="1" applyFont="1" applyBorder="1"/>
    <xf numFmtId="37" fontId="39" fillId="0" borderId="8" xfId="12" applyNumberFormat="1" applyFont="1" applyBorder="1" applyProtection="1">
      <protection locked="0"/>
    </xf>
    <xf numFmtId="168" fontId="39" fillId="0" borderId="11" xfId="13" applyNumberFormat="1" applyFont="1" applyBorder="1"/>
    <xf numFmtId="184" fontId="39" fillId="0" borderId="0" xfId="12" applyNumberFormat="1" applyFont="1" applyProtection="1">
      <protection locked="0"/>
    </xf>
    <xf numFmtId="178" fontId="39" fillId="0" borderId="0" xfId="12" applyFont="1" applyAlignment="1">
      <alignment horizontal="right"/>
    </xf>
    <xf numFmtId="9" fontId="25" fillId="0" borderId="0" xfId="15" applyNumberFormat="1" applyFont="1"/>
    <xf numFmtId="0" fontId="25" fillId="0" borderId="0" xfId="15" applyFont="1"/>
    <xf numFmtId="37" fontId="25" fillId="0" borderId="0" xfId="15" applyNumberFormat="1" applyFont="1"/>
    <xf numFmtId="5" fontId="25" fillId="0" borderId="0" xfId="15" applyNumberFormat="1" applyFont="1"/>
    <xf numFmtId="178" fontId="41" fillId="0" borderId="14" xfId="13" applyFont="1" applyBorder="1"/>
    <xf numFmtId="178" fontId="39" fillId="0" borderId="0" xfId="12" applyFont="1" applyProtection="1">
      <protection locked="0"/>
    </xf>
    <xf numFmtId="2" fontId="39" fillId="0" borderId="11" xfId="13" applyNumberFormat="1" applyFont="1" applyBorder="1"/>
    <xf numFmtId="185" fontId="39" fillId="0" borderId="0" xfId="12" applyNumberFormat="1" applyFont="1" applyProtection="1">
      <protection locked="0"/>
    </xf>
    <xf numFmtId="179" fontId="39" fillId="0" borderId="11" xfId="13" applyNumberFormat="1" applyFont="1" applyBorder="1"/>
    <xf numFmtId="178" fontId="39" fillId="0" borderId="5" xfId="12" applyFont="1" applyBorder="1"/>
    <xf numFmtId="178" fontId="42" fillId="0" borderId="0" xfId="13" applyFont="1" applyAlignment="1">
      <alignment horizontal="left"/>
    </xf>
    <xf numFmtId="37" fontId="39" fillId="0" borderId="26" xfId="12" applyNumberFormat="1" applyFont="1" applyBorder="1" applyProtection="1">
      <protection locked="0"/>
    </xf>
    <xf numFmtId="37" fontId="39" fillId="0" borderId="5" xfId="12" applyNumberFormat="1" applyFont="1" applyBorder="1" applyProtection="1">
      <protection locked="0"/>
    </xf>
    <xf numFmtId="179" fontId="39" fillId="0" borderId="26" xfId="5" applyNumberFormat="1" applyFont="1" applyFill="1" applyBorder="1"/>
    <xf numFmtId="179" fontId="39" fillId="0" borderId="0" xfId="5" applyNumberFormat="1" applyFont="1" applyFill="1" applyBorder="1"/>
    <xf numFmtId="5" fontId="39" fillId="0" borderId="26" xfId="5" applyNumberFormat="1" applyFont="1" applyFill="1" applyBorder="1"/>
    <xf numFmtId="5" fontId="39" fillId="0" borderId="0" xfId="5" applyNumberFormat="1" applyFont="1" applyFill="1" applyBorder="1"/>
    <xf numFmtId="178" fontId="44" fillId="0" borderId="0" xfId="12" applyFont="1" applyAlignment="1">
      <alignment horizontal="left"/>
    </xf>
    <xf numFmtId="167" fontId="39" fillId="0" borderId="0" xfId="5" applyNumberFormat="1" applyFont="1" applyFill="1" applyBorder="1" applyProtection="1">
      <protection locked="0"/>
    </xf>
    <xf numFmtId="49" fontId="40" fillId="0" borderId="0" xfId="12" applyNumberFormat="1" applyFont="1"/>
    <xf numFmtId="7" fontId="39" fillId="0" borderId="26" xfId="5" applyNumberFormat="1" applyFont="1" applyFill="1" applyBorder="1"/>
    <xf numFmtId="7" fontId="39" fillId="0" borderId="1" xfId="13" applyNumberFormat="1" applyFont="1" applyBorder="1"/>
    <xf numFmtId="185" fontId="39" fillId="0" borderId="0" xfId="11" applyNumberFormat="1" applyFont="1"/>
    <xf numFmtId="37" fontId="39" fillId="0" borderId="4" xfId="12" applyNumberFormat="1" applyFont="1" applyBorder="1"/>
    <xf numFmtId="37" fontId="39" fillId="0" borderId="24" xfId="12" applyNumberFormat="1" applyFont="1" applyBorder="1"/>
    <xf numFmtId="10" fontId="39" fillId="0" borderId="0" xfId="8" applyNumberFormat="1" applyFont="1" applyFill="1"/>
    <xf numFmtId="10" fontId="39" fillId="0" borderId="0" xfId="8" applyNumberFormat="1" applyFont="1" applyFill="1" applyBorder="1"/>
    <xf numFmtId="5" fontId="39" fillId="0" borderId="0" xfId="8" applyNumberFormat="1" applyFont="1" applyFill="1" applyBorder="1"/>
    <xf numFmtId="178" fontId="45" fillId="0" borderId="0" xfId="12" applyFont="1" applyAlignment="1">
      <alignment horizontal="left"/>
    </xf>
    <xf numFmtId="167" fontId="39" fillId="0" borderId="0" xfId="5" applyNumberFormat="1" applyFont="1" applyFill="1" applyProtection="1">
      <protection locked="0"/>
    </xf>
    <xf numFmtId="5" fontId="39" fillId="0" borderId="0" xfId="5" applyNumberFormat="1" applyFont="1" applyFill="1" applyBorder="1" applyProtection="1">
      <protection locked="0"/>
    </xf>
    <xf numFmtId="186" fontId="39" fillId="0" borderId="0" xfId="12" applyNumberFormat="1" applyFont="1" applyProtection="1">
      <protection locked="0"/>
    </xf>
    <xf numFmtId="186" fontId="39" fillId="0" borderId="0" xfId="12" applyNumberFormat="1" applyFont="1"/>
    <xf numFmtId="187" fontId="39" fillId="0" borderId="0" xfId="12" applyNumberFormat="1" applyFont="1" applyProtection="1">
      <protection locked="0"/>
    </xf>
    <xf numFmtId="187" fontId="39" fillId="0" borderId="0" xfId="12" applyNumberFormat="1" applyFont="1"/>
    <xf numFmtId="185" fontId="39" fillId="0" borderId="0" xfId="12" applyNumberFormat="1" applyFont="1"/>
    <xf numFmtId="188" fontId="39" fillId="0" borderId="12" xfId="13" applyNumberFormat="1" applyFont="1" applyBorder="1"/>
    <xf numFmtId="188" fontId="39" fillId="0" borderId="1" xfId="13" applyNumberFormat="1" applyFont="1" applyBorder="1"/>
    <xf numFmtId="5" fontId="39" fillId="0" borderId="24" xfId="12" applyNumberFormat="1" applyFont="1" applyBorder="1"/>
    <xf numFmtId="182" fontId="39" fillId="0" borderId="24" xfId="12" applyNumberFormat="1" applyFont="1" applyBorder="1"/>
    <xf numFmtId="180" fontId="39" fillId="0" borderId="24" xfId="12" applyNumberFormat="1" applyFont="1" applyBorder="1"/>
    <xf numFmtId="10" fontId="39" fillId="0" borderId="7" xfId="12" applyNumberFormat="1" applyFont="1" applyBorder="1"/>
    <xf numFmtId="5" fontId="39" fillId="0" borderId="7" xfId="12" applyNumberFormat="1" applyFont="1" applyBorder="1"/>
    <xf numFmtId="189" fontId="39" fillId="0" borderId="0" xfId="13" applyNumberFormat="1" applyFont="1"/>
    <xf numFmtId="0" fontId="38" fillId="0" borderId="28" xfId="11" applyFont="1" applyBorder="1" applyAlignment="1">
      <alignment horizontal="left"/>
    </xf>
    <xf numFmtId="186" fontId="39" fillId="0" borderId="0" xfId="13" applyNumberFormat="1" applyFont="1" applyProtection="1">
      <protection locked="0"/>
    </xf>
    <xf numFmtId="186" fontId="39" fillId="0" borderId="0" xfId="13" applyNumberFormat="1" applyFont="1"/>
    <xf numFmtId="187" fontId="39" fillId="0" borderId="0" xfId="13" applyNumberFormat="1" applyFont="1" applyProtection="1">
      <protection locked="0"/>
    </xf>
    <xf numFmtId="187" fontId="39" fillId="0" borderId="0" xfId="13" applyNumberFormat="1" applyFont="1"/>
    <xf numFmtId="180" fontId="39" fillId="0" borderId="0" xfId="13" applyNumberFormat="1" applyFont="1"/>
    <xf numFmtId="0" fontId="39" fillId="0" borderId="0" xfId="16" applyFont="1"/>
    <xf numFmtId="5" fontId="39" fillId="0" borderId="0" xfId="16" applyNumberFormat="1" applyFont="1"/>
    <xf numFmtId="37" fontId="39" fillId="0" borderId="5" xfId="13" applyNumberFormat="1" applyFont="1" applyBorder="1" applyProtection="1">
      <protection locked="0"/>
    </xf>
    <xf numFmtId="178" fontId="45" fillId="0" borderId="0" xfId="13" applyFont="1" applyAlignment="1">
      <alignment horizontal="left"/>
    </xf>
    <xf numFmtId="5" fontId="39" fillId="0" borderId="0" xfId="13" quotePrefix="1" applyNumberFormat="1" applyFont="1"/>
    <xf numFmtId="180" fontId="39" fillId="0" borderId="4" xfId="13" applyNumberFormat="1" applyFont="1" applyBorder="1"/>
    <xf numFmtId="5" fontId="39" fillId="0" borderId="4" xfId="13" applyNumberFormat="1" applyFont="1" applyBorder="1"/>
    <xf numFmtId="37" fontId="39" fillId="0" borderId="4" xfId="13" applyNumberFormat="1" applyFont="1" applyBorder="1"/>
    <xf numFmtId="37" fontId="39" fillId="0" borderId="26" xfId="13" applyNumberFormat="1" applyFont="1" applyBorder="1"/>
    <xf numFmtId="179" fontId="39" fillId="0" borderId="1" xfId="11" applyNumberFormat="1" applyFont="1" applyBorder="1"/>
    <xf numFmtId="179" fontId="39" fillId="0" borderId="11" xfId="11" applyNumberFormat="1" applyFont="1" applyBorder="1"/>
    <xf numFmtId="182" fontId="39" fillId="0" borderId="26" xfId="12" applyNumberFormat="1" applyFont="1" applyBorder="1"/>
    <xf numFmtId="37" fontId="39" fillId="0" borderId="29" xfId="12" applyNumberFormat="1" applyFont="1" applyBorder="1"/>
    <xf numFmtId="182" fontId="39" fillId="0" borderId="8" xfId="12" applyNumberFormat="1" applyFont="1" applyBorder="1"/>
    <xf numFmtId="180" fontId="39" fillId="0" borderId="4" xfId="12" applyNumberFormat="1" applyFont="1" applyBorder="1"/>
    <xf numFmtId="37" fontId="39" fillId="0" borderId="0" xfId="5" applyNumberFormat="1" applyFont="1" applyFill="1"/>
    <xf numFmtId="37" fontId="39" fillId="0" borderId="8" xfId="5" applyNumberFormat="1" applyFont="1" applyFill="1" applyBorder="1"/>
    <xf numFmtId="5" fontId="39" fillId="0" borderId="0" xfId="12" applyNumberFormat="1" applyFont="1" applyAlignment="1">
      <alignment horizontal="right"/>
    </xf>
    <xf numFmtId="190" fontId="39" fillId="0" borderId="0" xfId="12" applyNumberFormat="1" applyFont="1"/>
    <xf numFmtId="5" fontId="39" fillId="0" borderId="0" xfId="12" quotePrefix="1" applyNumberFormat="1" applyFont="1"/>
    <xf numFmtId="0" fontId="14" fillId="0" borderId="0" xfId="0" applyFont="1"/>
    <xf numFmtId="165" fontId="14" fillId="0" borderId="0" xfId="2" applyNumberFormat="1" applyFont="1"/>
    <xf numFmtId="9" fontId="14" fillId="0" borderId="0" xfId="3" applyFont="1"/>
    <xf numFmtId="165" fontId="14" fillId="0" borderId="0" xfId="0" applyNumberFormat="1" applyFont="1"/>
    <xf numFmtId="0" fontId="14" fillId="2" borderId="0" xfId="0" applyFont="1" applyFill="1"/>
    <xf numFmtId="9" fontId="14" fillId="2" borderId="0" xfId="3" applyFont="1" applyFill="1"/>
    <xf numFmtId="0" fontId="46" fillId="0" borderId="0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9" fontId="13" fillId="0" borderId="0" xfId="3" applyFont="1" applyAlignment="1">
      <alignment horizontal="left"/>
    </xf>
    <xf numFmtId="9" fontId="0" fillId="0" borderId="0" xfId="3" applyFont="1" applyAlignment="1">
      <alignment horizontal="center"/>
    </xf>
    <xf numFmtId="37" fontId="15" fillId="0" borderId="0" xfId="0" applyNumberFormat="1" applyFont="1" applyBorder="1" applyAlignment="1">
      <alignment horizontal="center"/>
    </xf>
    <xf numFmtId="37" fontId="15" fillId="0" borderId="0" xfId="0" applyNumberFormat="1" applyFont="1" applyBorder="1" applyAlignment="1">
      <alignment horizontal="center" vertical="center"/>
    </xf>
  </cellXfs>
  <cellStyles count="17">
    <cellStyle name="Comma" xfId="1" builtinId="3"/>
    <cellStyle name="Comma 11" xfId="5"/>
    <cellStyle name="Comma 7" xfId="9"/>
    <cellStyle name="Currency" xfId="2" builtinId="4"/>
    <cellStyle name="Normal" xfId="0" builtinId="0"/>
    <cellStyle name="Normal 11 2" xfId="14"/>
    <cellStyle name="Normal 15" xfId="16"/>
    <cellStyle name="Normal 2" xfId="4"/>
    <cellStyle name="Normal 3" xfId="11"/>
    <cellStyle name="Normal 30" xfId="10"/>
    <cellStyle name="Normal 53" xfId="7"/>
    <cellStyle name="Normal_Blocking 09-00" xfId="12"/>
    <cellStyle name="Normal_Blocking 09-00 2" xfId="13"/>
    <cellStyle name="Normal_Book4" xfId="15"/>
    <cellStyle name="Percent" xfId="3" builtinId="5"/>
    <cellStyle name="Percent 10" xfId="6"/>
    <cellStyle name="Percent 10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Chart'!$C$11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'Summary Chart'!$B$12:$B$18</c:f>
              <c:strCache>
                <c:ptCount val="7"/>
                <c:pt idx="0">
                  <c:v>Utah
Jurisdiction</c:v>
                </c:pt>
                <c:pt idx="1">
                  <c:v>Residential</c:v>
                </c:pt>
                <c:pt idx="2">
                  <c:v>General
Large Dist.</c:v>
                </c:pt>
                <c:pt idx="3">
                  <c:v>General
+1 MW</c:v>
                </c:pt>
                <c:pt idx="4">
                  <c:v>General
Trans
Sch 9</c:v>
                </c:pt>
                <c:pt idx="5">
                  <c:v>Irrigation
Sch 10</c:v>
                </c:pt>
                <c:pt idx="6">
                  <c:v>General
Small Dist.
Sch 23</c:v>
                </c:pt>
              </c:strCache>
            </c:strRef>
          </c:cat>
          <c:val>
            <c:numRef>
              <c:f>'Summary Chart'!$C$12:$C$18</c:f>
              <c:numCache>
                <c:formatCode>0%</c:formatCode>
                <c:ptCount val="7"/>
                <c:pt idx="0">
                  <c:v>0.31639898048279858</c:v>
                </c:pt>
                <c:pt idx="1">
                  <c:v>0.2444860961748534</c:v>
                </c:pt>
                <c:pt idx="2">
                  <c:v>0.3381312896958989</c:v>
                </c:pt>
                <c:pt idx="3">
                  <c:v>0.36879440460097257</c:v>
                </c:pt>
                <c:pt idx="4">
                  <c:v>0.43417008538406171</c:v>
                </c:pt>
                <c:pt idx="5">
                  <c:v>0.32083362757818235</c:v>
                </c:pt>
                <c:pt idx="6">
                  <c:v>0.29445564228691129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94-4071-899D-6E3F78057B7C}"/>
            </c:ext>
          </c:extLst>
        </c:ser>
        <c:ser>
          <c:idx val="1"/>
          <c:order val="1"/>
          <c:tx>
            <c:strRef>
              <c:f>'Summary Chart'!$D$11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Chart'!$B$12:$B$18</c:f>
              <c:strCache>
                <c:ptCount val="7"/>
                <c:pt idx="0">
                  <c:v>Utah
Jurisdiction</c:v>
                </c:pt>
                <c:pt idx="1">
                  <c:v>Residential</c:v>
                </c:pt>
                <c:pt idx="2">
                  <c:v>General
Large Dist.</c:v>
                </c:pt>
                <c:pt idx="3">
                  <c:v>General
+1 MW</c:v>
                </c:pt>
                <c:pt idx="4">
                  <c:v>General
Trans
Sch 9</c:v>
                </c:pt>
                <c:pt idx="5">
                  <c:v>Irrigation
Sch 10</c:v>
                </c:pt>
                <c:pt idx="6">
                  <c:v>General
Small Dist.
Sch 23</c:v>
                </c:pt>
              </c:strCache>
            </c:strRef>
          </c:cat>
          <c:val>
            <c:numRef>
              <c:f>'Summary Chart'!$D$12:$D$18</c:f>
              <c:numCache>
                <c:formatCode>0%</c:formatCode>
                <c:ptCount val="7"/>
                <c:pt idx="0">
                  <c:v>0.23041683248242298</c:v>
                </c:pt>
                <c:pt idx="1">
                  <c:v>0.16979360239739885</c:v>
                </c:pt>
                <c:pt idx="2">
                  <c:v>0.24641132925167539</c:v>
                </c:pt>
                <c:pt idx="3">
                  <c:v>0.27495732830845809</c:v>
                </c:pt>
                <c:pt idx="4">
                  <c:v>0.32773642960471561</c:v>
                </c:pt>
                <c:pt idx="5">
                  <c:v>0.24391756377468646</c:v>
                </c:pt>
                <c:pt idx="6">
                  <c:v>0.21556957122147893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94-4071-899D-6E3F78057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0622696"/>
        <c:axId val="150625048"/>
      </c:barChart>
      <c:catAx>
        <c:axId val="150622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625048"/>
        <c:crosses val="autoZero"/>
        <c:auto val="1"/>
        <c:lblAlgn val="ctr"/>
        <c:lblOffset val="100"/>
        <c:noMultiLvlLbl val="0"/>
      </c:catAx>
      <c:valAx>
        <c:axId val="15062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P&amp;T Costs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6226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161925</xdr:colOff>
      <xdr:row>21</xdr:row>
      <xdr:rowOff>161925</xdr:rowOff>
    </xdr:from>
    <xdr:to>
      <xdr:col>31</xdr:col>
      <xdr:colOff>34513</xdr:colOff>
      <xdr:row>56</xdr:row>
      <xdr:rowOff>70036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0E7C848-F008-4F8C-9F32-98E3945E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6750" y="4543425"/>
          <a:ext cx="9788113" cy="6575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194310</xdr:colOff>
      <xdr:row>9</xdr:row>
      <xdr:rowOff>156210</xdr:rowOff>
    </xdr:from>
    <xdr:to>
      <xdr:col>11</xdr:col>
      <xdr:colOff>502920</xdr:colOff>
      <xdr:row>17</xdr:row>
      <xdr:rowOff>165735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184C6632-8843-4F70-8952-1E5D80BE2C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524</xdr:row>
      <xdr:rowOff>190498</xdr:rowOff>
    </xdr:from>
    <xdr:to>
      <xdr:col>6</xdr:col>
      <xdr:colOff>173466</xdr:colOff>
      <xdr:row>2267</xdr:row>
      <xdr:rowOff>143433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0F244FD-6034-4E5F-B2BC-450597EC9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5" y="5625351"/>
          <a:ext cx="9788113" cy="65756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egen.sharepoint.com/REGULATN/PA&amp;D/DSMRecov/2001/RECOV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egen.sharepoint.com/egnyte/Consulting/Client%20Work/UT%20OCS/Cost%20of%20Service%20and%20System%20Cost%20Allocation/Project%20Work/Testimony/Exhibits/COS%20UT%20GRC%20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egen.sharepoint.com/REGULATN/PA&amp;D/CASES/Wy0902/EAST%20Blocking%209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egen.sharepoint.com/egnyte/Consulting/Client%20Work/UT%20OCS/Cost%20of%20Service%20and%20System%20Cost%20Allocation/Project%20Work/CCOS%20Model%20+%20Workpapers/RMP%20Workpaper%20RMM%20%202-%20Pricing/UT%20Pricing%20Model%20GRC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Production Summary"/>
      <sheetName val="Transmission Summary"/>
      <sheetName val="Distribution Summary"/>
      <sheetName val="Retail Summary"/>
      <sheetName val="Misc Summary"/>
      <sheetName val="P+T+D+R+M"/>
      <sheetName val="Production"/>
      <sheetName val="Transmission"/>
      <sheetName val="Distribution"/>
      <sheetName val="Retail"/>
      <sheetName val="Misc"/>
      <sheetName val="Production-Demand Variable"/>
      <sheetName val="Production-Energy Variable"/>
      <sheetName val="Production-Demand Fixed"/>
      <sheetName val="Production-Energy Fixed"/>
      <sheetName val="Transmission-Demand Variable"/>
      <sheetName val="Transmission-Energy Variable"/>
      <sheetName val="Transmission-Demand Fixed"/>
      <sheetName val="Transmission-Energy Fixed"/>
      <sheetName val="Dist-Subs"/>
      <sheetName val="Dist-P&amp;C"/>
      <sheetName val="Dist-Xfmr"/>
      <sheetName val="Dist-Service"/>
      <sheetName val="Dist-Meter"/>
      <sheetName val="JAM Download"/>
      <sheetName val="Func Factors"/>
      <sheetName val="Func Allocation Options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Sch 32 COS Analysis"/>
      <sheetName val="TransInvest"/>
      <sheetName val="DistInvest"/>
      <sheetName val="Error Check"/>
    </sheetNames>
    <sheetDataSet>
      <sheetData sheetId="0">
        <row r="4">
          <cell r="C4" t="str">
            <v>Rocky Mountain Power</v>
          </cell>
        </row>
        <row r="5">
          <cell r="C5" t="str">
            <v>State of Utah</v>
          </cell>
        </row>
        <row r="6">
          <cell r="C6" t="str">
            <v>12 Months Ended Dec 2021</v>
          </cell>
          <cell r="L6">
            <v>7.7030070290040428E-2</v>
          </cell>
        </row>
        <row r="7">
          <cell r="C7" t="str">
            <v>2020 Protocol (Non Wgt)</v>
          </cell>
        </row>
        <row r="11">
          <cell r="S11">
            <v>1</v>
          </cell>
        </row>
        <row r="16">
          <cell r="H16">
            <v>0.37950999999999996</v>
          </cell>
        </row>
        <row r="18">
          <cell r="H18">
            <v>0.21</v>
          </cell>
        </row>
        <row r="19">
          <cell r="H19">
            <v>4.5400000000000003E-2</v>
          </cell>
          <cell r="M19">
            <v>2.2279919999999998E-2</v>
          </cell>
        </row>
        <row r="20">
          <cell r="H20">
            <v>0.75035997773268259</v>
          </cell>
          <cell r="M20">
            <v>6.7500000000000006E-6</v>
          </cell>
        </row>
        <row r="21">
          <cell r="K21">
            <v>0.53669999999999995</v>
          </cell>
        </row>
        <row r="22">
          <cell r="H22">
            <v>4.0683815327182842</v>
          </cell>
        </row>
        <row r="23">
          <cell r="H23">
            <v>-27751335.520868391</v>
          </cell>
        </row>
      </sheetData>
      <sheetData sheetId="1"/>
      <sheetData sheetId="2"/>
      <sheetData sheetId="3"/>
      <sheetData sheetId="4"/>
      <sheetData sheetId="5">
        <row r="59">
          <cell r="F59">
            <v>5.6357604475278253E-2</v>
          </cell>
          <cell r="G59">
            <v>8.2020099439159791E-2</v>
          </cell>
          <cell r="H59">
            <v>7.8211925467174342E-2</v>
          </cell>
          <cell r="I59">
            <v>0.14801867864076429</v>
          </cell>
          <cell r="J59">
            <v>6.2596212964216191E-2</v>
          </cell>
          <cell r="K59">
            <v>6.7346419011661135E-2</v>
          </cell>
          <cell r="L59">
            <v>8.750222466242473E-2</v>
          </cell>
          <cell r="M59">
            <v>0.18734677978999126</v>
          </cell>
          <cell r="N59">
            <v>8.6072134543170364E-2</v>
          </cell>
          <cell r="O59">
            <v>4.8124327013229551E-2</v>
          </cell>
          <cell r="P59">
            <v>7.6479042302476777E-2</v>
          </cell>
        </row>
      </sheetData>
      <sheetData sheetId="6"/>
      <sheetData sheetId="7"/>
      <sheetData sheetId="8"/>
      <sheetData sheetId="9"/>
      <sheetData sheetId="10"/>
      <sheetData sheetId="11">
        <row r="10">
          <cell r="H10" t="str">
            <v>Utah
Jurisdiction
Normalized</v>
          </cell>
          <cell r="I10" t="str">
            <v>Residential
Sch 1</v>
          </cell>
          <cell r="J10" t="str">
            <v>General
Large Dist.
Sch 6</v>
          </cell>
          <cell r="K10" t="str">
            <v>General
+1 MW
Sch 8</v>
          </cell>
          <cell r="L10" t="str">
            <v>Street &amp; Area
Lighting
Sch. 7,11,12</v>
          </cell>
          <cell r="M10" t="str">
            <v>General
Trans
Sch 9</v>
          </cell>
          <cell r="N10" t="str">
            <v>Irrigation
Sch 10</v>
          </cell>
          <cell r="O10" t="str">
            <v>Traffic
Signals
Sch 15</v>
          </cell>
          <cell r="P10" t="str">
            <v>Outdoor
Lighting
Sch 15</v>
          </cell>
          <cell r="Q10" t="str">
            <v>General
Small Dist.
Sch 23</v>
          </cell>
          <cell r="R10" t="str">
            <v>Industrial
Cust 1</v>
          </cell>
          <cell r="S10" t="str">
            <v>Industrial
Cust 2</v>
          </cell>
        </row>
        <row r="15">
          <cell r="H15">
            <v>1146681175.4993041</v>
          </cell>
        </row>
        <row r="16">
          <cell r="H16">
            <v>433070424.04389387</v>
          </cell>
        </row>
        <row r="17">
          <cell r="H17">
            <v>7341100.8115204154</v>
          </cell>
        </row>
        <row r="18">
          <cell r="H18">
            <v>86016982.977037191</v>
          </cell>
        </row>
        <row r="19">
          <cell r="H19">
            <v>-70674667.589960188</v>
          </cell>
        </row>
        <row r="20">
          <cell r="H20">
            <v>3273601.4050274198</v>
          </cell>
        </row>
        <row r="21">
          <cell r="H21">
            <v>52040814.812553838</v>
          </cell>
        </row>
        <row r="22">
          <cell r="H22">
            <v>-1117293.7135367221</v>
          </cell>
        </row>
        <row r="23">
          <cell r="H23">
            <v>212019.94862787085</v>
          </cell>
        </row>
        <row r="31">
          <cell r="H31" t="e">
            <v>#DIV/0!</v>
          </cell>
        </row>
        <row r="32">
          <cell r="H32">
            <v>6357563.9663493531</v>
          </cell>
        </row>
        <row r="33">
          <cell r="H33">
            <v>12824731.739600342</v>
          </cell>
        </row>
        <row r="34">
          <cell r="H34">
            <v>15224593.470853345</v>
          </cell>
        </row>
        <row r="35">
          <cell r="H35">
            <v>16466050.790897198</v>
          </cell>
        </row>
        <row r="36">
          <cell r="H36">
            <v>74344484.222343683</v>
          </cell>
        </row>
        <row r="37">
          <cell r="H37">
            <v>101311137.83847035</v>
          </cell>
        </row>
        <row r="38">
          <cell r="H38">
            <v>259347662.0860596</v>
          </cell>
        </row>
        <row r="39">
          <cell r="H39">
            <v>21850515.965180311</v>
          </cell>
        </row>
        <row r="40">
          <cell r="H40">
            <v>-0.52870369694276398</v>
          </cell>
        </row>
        <row r="41">
          <cell r="H41">
            <v>0</v>
          </cell>
        </row>
        <row r="46">
          <cell r="H46">
            <v>-4170493279.7150683</v>
          </cell>
        </row>
        <row r="47">
          <cell r="H47">
            <v>-276490019.48203409</v>
          </cell>
        </row>
        <row r="48">
          <cell r="H48">
            <v>-1177551784.8733327</v>
          </cell>
        </row>
        <row r="49">
          <cell r="H49">
            <v>-84977.084561841402</v>
          </cell>
        </row>
        <row r="50">
          <cell r="H50">
            <v>-38042159.690947056</v>
          </cell>
        </row>
        <row r="51">
          <cell r="H51">
            <v>-16275584.48076923</v>
          </cell>
        </row>
        <row r="52">
          <cell r="H52">
            <v>-788334069.90868449</v>
          </cell>
        </row>
        <row r="59">
          <cell r="H59">
            <v>6.7805240282880597E-2</v>
          </cell>
        </row>
        <row r="61">
          <cell r="H61">
            <v>8.4811943884629412E-2</v>
          </cell>
        </row>
        <row r="79">
          <cell r="H79" t="e">
            <v>#DIV/0!</v>
          </cell>
        </row>
        <row r="82">
          <cell r="H82">
            <v>528297642.3762911</v>
          </cell>
        </row>
        <row r="83">
          <cell r="H83">
            <v>1146681175.4993043</v>
          </cell>
        </row>
        <row r="85">
          <cell r="H85">
            <v>433070424.04389369</v>
          </cell>
        </row>
        <row r="86">
          <cell r="H86">
            <v>7341100.8115204135</v>
          </cell>
        </row>
        <row r="87">
          <cell r="H87">
            <v>86016982.977037191</v>
          </cell>
        </row>
        <row r="88">
          <cell r="H88">
            <v>-70674667.589960188</v>
          </cell>
        </row>
        <row r="90">
          <cell r="H90">
            <v>3273601.4050274193</v>
          </cell>
        </row>
        <row r="92">
          <cell r="H92">
            <v>52040814.812553845</v>
          </cell>
        </row>
        <row r="93">
          <cell r="H93">
            <v>-1117293.7135367219</v>
          </cell>
        </row>
        <row r="94">
          <cell r="H94">
            <v>212019.94862787088</v>
          </cell>
        </row>
        <row r="97">
          <cell r="H97" t="e">
            <v>#VALUE!</v>
          </cell>
        </row>
        <row r="99">
          <cell r="H99">
            <v>1895285918.2844007</v>
          </cell>
        </row>
        <row r="100">
          <cell r="H100">
            <v>1895285918.2844</v>
          </cell>
        </row>
        <row r="137">
          <cell r="H137">
            <v>1895285918.2844002</v>
          </cell>
        </row>
        <row r="141">
          <cell r="H141">
            <v>13881155.484973999</v>
          </cell>
        </row>
        <row r="148">
          <cell r="H148">
            <v>98331705.216135532</v>
          </cell>
        </row>
        <row r="153">
          <cell r="H153">
            <v>101601243.09654437</v>
          </cell>
        </row>
        <row r="155">
          <cell r="H155" t="e">
            <v>#VALUE!</v>
          </cell>
        </row>
        <row r="184">
          <cell r="H184" t="e">
            <v>#VALUE!</v>
          </cell>
        </row>
      </sheetData>
      <sheetData sheetId="12">
        <row r="15">
          <cell r="I15">
            <v>290854156.0855006</v>
          </cell>
          <cell r="J15">
            <v>239231338.65290576</v>
          </cell>
          <cell r="K15">
            <v>73476057.899156228</v>
          </cell>
          <cell r="L15">
            <v>1172145.9706861116</v>
          </cell>
          <cell r="M15">
            <v>169385964.72423205</v>
          </cell>
          <cell r="N15">
            <v>7854789.6761991708</v>
          </cell>
          <cell r="O15">
            <v>23175.880282724422</v>
          </cell>
          <cell r="P15">
            <v>208580.35406528189</v>
          </cell>
          <cell r="Q15">
            <v>54811136.636642165</v>
          </cell>
          <cell r="R15">
            <v>21027294.792901415</v>
          </cell>
          <cell r="S15">
            <v>20075108.712254412</v>
          </cell>
        </row>
        <row r="16">
          <cell r="I16">
            <v>97277780.453164741</v>
          </cell>
          <cell r="J16">
            <v>73880041.824171066</v>
          </cell>
          <cell r="K16">
            <v>22073524.917650905</v>
          </cell>
          <cell r="L16">
            <v>810700.73079341114</v>
          </cell>
          <cell r="M16">
            <v>48660722.415088803</v>
          </cell>
          <cell r="N16">
            <v>2789065.3728528689</v>
          </cell>
          <cell r="O16">
            <v>596857.87052716315</v>
          </cell>
          <cell r="P16">
            <v>618900.06577122153</v>
          </cell>
          <cell r="Q16">
            <v>17578098.799253684</v>
          </cell>
          <cell r="R16">
            <v>6520410.2357231341</v>
          </cell>
          <cell r="S16">
            <v>5095526.1461844724</v>
          </cell>
        </row>
        <row r="17">
          <cell r="I17">
            <v>1515279.806368513</v>
          </cell>
          <cell r="J17">
            <v>1736549.0219033998</v>
          </cell>
          <cell r="K17">
            <v>686781.28532937798</v>
          </cell>
          <cell r="L17">
            <v>193825.24826671975</v>
          </cell>
          <cell r="M17">
            <v>1317350.0711103925</v>
          </cell>
          <cell r="N17">
            <v>227979.02703240456</v>
          </cell>
          <cell r="O17">
            <v>193920.57038036693</v>
          </cell>
          <cell r="P17">
            <v>195376.02519236703</v>
          </cell>
          <cell r="Q17">
            <v>465076.26440646406</v>
          </cell>
          <cell r="R17">
            <v>334503.00667572708</v>
          </cell>
          <cell r="S17">
            <v>301053.76593529503</v>
          </cell>
        </row>
        <row r="18">
          <cell r="I18">
            <v>3801042.7501543728</v>
          </cell>
          <cell r="J18">
            <v>3801042.7501543728</v>
          </cell>
          <cell r="K18">
            <v>3801042.7501543728</v>
          </cell>
          <cell r="L18">
            <v>3801042.7501543728</v>
          </cell>
          <cell r="M18">
            <v>3801042.7501543728</v>
          </cell>
          <cell r="N18">
            <v>3801042.7501543728</v>
          </cell>
          <cell r="O18">
            <v>3801042.7501543728</v>
          </cell>
          <cell r="P18">
            <v>3801042.7501543728</v>
          </cell>
          <cell r="Q18">
            <v>3801042.7501543728</v>
          </cell>
          <cell r="R18">
            <v>3801042.7501543728</v>
          </cell>
          <cell r="S18">
            <v>3801042.7501543728</v>
          </cell>
        </row>
        <row r="19">
          <cell r="I19">
            <v>-50537213.081567459</v>
          </cell>
          <cell r="J19">
            <v>-32221722.633586213</v>
          </cell>
          <cell r="K19">
            <v>-9721310.8528140113</v>
          </cell>
          <cell r="L19">
            <v>-61931.839925641252</v>
          </cell>
          <cell r="M19">
            <v>-24136469.034252331</v>
          </cell>
          <cell r="N19">
            <v>-1102234.1410709869</v>
          </cell>
          <cell r="O19">
            <v>-32061.089219590896</v>
          </cell>
          <cell r="P19">
            <v>-8283.938938573694</v>
          </cell>
          <cell r="Q19">
            <v>-7271612.5962162595</v>
          </cell>
          <cell r="R19">
            <v>-3289726.2445950517</v>
          </cell>
          <cell r="S19">
            <v>-2075827.4513354786</v>
          </cell>
        </row>
        <row r="20">
          <cell r="I20">
            <v>-4540641.4141123239</v>
          </cell>
          <cell r="J20">
            <v>-2062463.3185020045</v>
          </cell>
          <cell r="K20">
            <v>-663628.0194230401</v>
          </cell>
          <cell r="L20">
            <v>6672.9548960745369</v>
          </cell>
          <cell r="M20">
            <v>-2031071.8006241859</v>
          </cell>
          <cell r="N20">
            <v>-87753.558707716409</v>
          </cell>
          <cell r="O20">
            <v>-1819.3916757620241</v>
          </cell>
          <cell r="P20">
            <v>5137.7837632844648</v>
          </cell>
          <cell r="Q20">
            <v>-429607.61623158486</v>
          </cell>
          <cell r="R20">
            <v>-316899.76089911582</v>
          </cell>
          <cell r="S20">
            <v>-143683.39330481028</v>
          </cell>
        </row>
        <row r="21">
          <cell r="I21">
            <v>3310769.7710456243</v>
          </cell>
          <cell r="J21">
            <v>3310769.7710456243</v>
          </cell>
          <cell r="K21">
            <v>3310769.7710456243</v>
          </cell>
          <cell r="L21">
            <v>3310769.7710456243</v>
          </cell>
          <cell r="M21">
            <v>3310769.7710456243</v>
          </cell>
          <cell r="N21">
            <v>3310769.7710456243</v>
          </cell>
          <cell r="O21">
            <v>3310769.7710456243</v>
          </cell>
          <cell r="P21">
            <v>3310769.7710456243</v>
          </cell>
          <cell r="Q21">
            <v>3310769.7710456243</v>
          </cell>
          <cell r="R21">
            <v>3310769.7710456243</v>
          </cell>
          <cell r="S21">
            <v>3310769.7710456243</v>
          </cell>
        </row>
        <row r="22">
          <cell r="I22">
            <v>-47557.737199914118</v>
          </cell>
          <cell r="J22">
            <v>-47557.737199914118</v>
          </cell>
          <cell r="K22">
            <v>-47557.737199914118</v>
          </cell>
          <cell r="L22">
            <v>-47557.737199914118</v>
          </cell>
          <cell r="M22">
            <v>-47557.737199914118</v>
          </cell>
          <cell r="N22">
            <v>-47557.737199914118</v>
          </cell>
          <cell r="O22">
            <v>-47557.737199914118</v>
          </cell>
          <cell r="P22">
            <v>-47557.737199914118</v>
          </cell>
          <cell r="Q22">
            <v>-47557.737199914118</v>
          </cell>
          <cell r="R22">
            <v>-47557.737199914118</v>
          </cell>
          <cell r="S22">
            <v>-47557.737199914118</v>
          </cell>
        </row>
        <row r="23">
          <cell r="I23">
            <v>-167652.56655368014</v>
          </cell>
          <cell r="J23">
            <v>-127110.03030923659</v>
          </cell>
          <cell r="K23">
            <v>-37344.622002649769</v>
          </cell>
          <cell r="L23">
            <v>-502.6341644493686</v>
          </cell>
          <cell r="M23">
            <v>-83411.850537865917</v>
          </cell>
          <cell r="N23">
            <v>-3930.5387893963334</v>
          </cell>
          <cell r="O23">
            <v>-132.13072719205044</v>
          </cell>
          <cell r="P23">
            <v>-170.31762291276257</v>
          </cell>
          <cell r="Q23">
            <v>-29555.588331540283</v>
          </cell>
          <cell r="R23">
            <v>-10395.797027779459</v>
          </cell>
          <cell r="S23">
            <v>-7926.7136494618399</v>
          </cell>
        </row>
        <row r="31"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</row>
        <row r="32">
          <cell r="I32">
            <v>1312565.8436043197</v>
          </cell>
          <cell r="J32">
            <v>972514.77916679694</v>
          </cell>
          <cell r="K32">
            <v>219685.83669535353</v>
          </cell>
          <cell r="L32">
            <v>-89287.54386627175</v>
          </cell>
          <cell r="M32">
            <v>606017.70677390683</v>
          </cell>
          <cell r="N32">
            <v>-60539.534184907476</v>
          </cell>
          <cell r="O32">
            <v>-92394.099459063524</v>
          </cell>
          <cell r="P32">
            <v>-92074.017909261092</v>
          </cell>
          <cell r="Q32">
            <v>154368.74474899989</v>
          </cell>
          <cell r="R32">
            <v>-6319.7367421312374</v>
          </cell>
          <cell r="S32">
            <v>-27032.592378473171</v>
          </cell>
        </row>
        <row r="33">
          <cell r="I33">
            <v>4593048.9344133884</v>
          </cell>
          <cell r="J33">
            <v>3482241.2446819805</v>
          </cell>
          <cell r="K33">
            <v>1023057.1226358488</v>
          </cell>
          <cell r="L33">
            <v>13767.510154075382</v>
          </cell>
          <cell r="M33">
            <v>2285045.2678028438</v>
          </cell>
          <cell r="N33">
            <v>107675.49503673846</v>
          </cell>
          <cell r="O33">
            <v>3619.6641334809501</v>
          </cell>
          <cell r="P33">
            <v>4665.2395897725</v>
          </cell>
          <cell r="Q33">
            <v>809692.90886720316</v>
          </cell>
          <cell r="R33">
            <v>284789.38831255469</v>
          </cell>
          <cell r="S33">
            <v>217128.96397245582</v>
          </cell>
        </row>
        <row r="34">
          <cell r="I34">
            <v>622212.71597194136</v>
          </cell>
          <cell r="J34">
            <v>622212.71597194136</v>
          </cell>
          <cell r="K34">
            <v>622212.71597194136</v>
          </cell>
          <cell r="L34">
            <v>622212.71597194136</v>
          </cell>
          <cell r="M34">
            <v>622212.71597194136</v>
          </cell>
          <cell r="N34">
            <v>622212.71597194136</v>
          </cell>
          <cell r="O34">
            <v>622212.71597194136</v>
          </cell>
          <cell r="P34">
            <v>622212.71597194136</v>
          </cell>
          <cell r="Q34">
            <v>622212.71597194136</v>
          </cell>
          <cell r="R34">
            <v>622212.71597194136</v>
          </cell>
          <cell r="S34">
            <v>622212.71597194136</v>
          </cell>
        </row>
        <row r="35">
          <cell r="I35">
            <v>583595.76920133294</v>
          </cell>
          <cell r="J35">
            <v>583555.17753693822</v>
          </cell>
          <cell r="K35">
            <v>583268.74614622258</v>
          </cell>
          <cell r="L35">
            <v>583134.87661985517</v>
          </cell>
          <cell r="M35">
            <v>583457.12864670146</v>
          </cell>
          <cell r="N35">
            <v>583147.16190715227</v>
          </cell>
          <cell r="O35">
            <v>583131.92107114056</v>
          </cell>
          <cell r="P35">
            <v>583132.48155791394</v>
          </cell>
          <cell r="Q35">
            <v>583227.54084822314</v>
          </cell>
          <cell r="R35">
            <v>583172.50198525772</v>
          </cell>
          <cell r="S35">
            <v>583178.38853277813</v>
          </cell>
        </row>
        <row r="36">
          <cell r="I36">
            <v>22181777.623812795</v>
          </cell>
          <cell r="J36">
            <v>20242860.64608898</v>
          </cell>
          <cell r="K36">
            <v>6561069.2070521209</v>
          </cell>
          <cell r="L36">
            <v>166606.17272030748</v>
          </cell>
          <cell r="M36">
            <v>15559419.827341128</v>
          </cell>
          <cell r="N36">
            <v>753429.90788331046</v>
          </cell>
          <cell r="O36">
            <v>25430.301599588911</v>
          </cell>
          <cell r="P36">
            <v>52202.727340676051</v>
          </cell>
          <cell r="Q36">
            <v>4592841.1716965484</v>
          </cell>
          <cell r="R36">
            <v>1963833.7774493771</v>
          </cell>
          <cell r="S36">
            <v>2245012.8593588509</v>
          </cell>
        </row>
        <row r="37">
          <cell r="I37">
            <v>7635582.0931000207</v>
          </cell>
          <cell r="J37">
            <v>7635582.0931000207</v>
          </cell>
          <cell r="K37">
            <v>7635582.0931000207</v>
          </cell>
          <cell r="L37">
            <v>7635582.0931000207</v>
          </cell>
          <cell r="M37">
            <v>7635582.0931000207</v>
          </cell>
          <cell r="N37">
            <v>7635582.0931000207</v>
          </cell>
          <cell r="O37">
            <v>7635582.0931000207</v>
          </cell>
          <cell r="P37">
            <v>7635582.0931000207</v>
          </cell>
          <cell r="Q37">
            <v>7635582.0931000207</v>
          </cell>
          <cell r="R37">
            <v>7635582.0931000207</v>
          </cell>
          <cell r="S37">
            <v>7635582.0931000207</v>
          </cell>
        </row>
        <row r="38">
          <cell r="I38">
            <v>25419978.857321568</v>
          </cell>
          <cell r="J38">
            <v>24098376.010591879</v>
          </cell>
          <cell r="K38">
            <v>14772605.633656887</v>
          </cell>
          <cell r="L38">
            <v>10414017.490598964</v>
          </cell>
          <cell r="M38">
            <v>20906053.29143475</v>
          </cell>
          <cell r="N38">
            <v>10814007.757242782</v>
          </cell>
          <cell r="O38">
            <v>10317789.320282089</v>
          </cell>
          <cell r="P38">
            <v>10336037.91703986</v>
          </cell>
          <cell r="Q38">
            <v>13431023.810183037</v>
          </cell>
          <cell r="R38">
            <v>11639042.154326189</v>
          </cell>
          <cell r="S38">
            <v>11830699.187279014</v>
          </cell>
        </row>
        <row r="39">
          <cell r="I39">
            <v>3738043.302581972</v>
          </cell>
          <cell r="J39">
            <v>3184459.0936622703</v>
          </cell>
          <cell r="K39">
            <v>980493.36846763012</v>
          </cell>
          <cell r="L39">
            <v>20489.765337777477</v>
          </cell>
          <cell r="M39">
            <v>2226881.0859824629</v>
          </cell>
          <cell r="N39">
            <v>107241.86816811658</v>
          </cell>
          <cell r="O39">
            <v>3683.8935007428749</v>
          </cell>
          <cell r="P39">
            <v>6731.9236038876552</v>
          </cell>
          <cell r="Q39">
            <v>735051.30099035543</v>
          </cell>
          <cell r="R39">
            <v>275643.06275156274</v>
          </cell>
          <cell r="S39">
            <v>275361.71541269706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6">
          <cell r="I46">
            <v>-716188997.0963316</v>
          </cell>
          <cell r="J46">
            <v>-544062239.29189205</v>
          </cell>
          <cell r="K46">
            <v>-162896511.74395189</v>
          </cell>
          <cell r="L46">
            <v>-6451577.0829629665</v>
          </cell>
          <cell r="M46">
            <v>-358521600.8063221</v>
          </cell>
          <cell r="N46">
            <v>-21007697.927257583</v>
          </cell>
          <cell r="O46">
            <v>-4877796.175272312</v>
          </cell>
          <cell r="P46">
            <v>-5040078.9286070094</v>
          </cell>
          <cell r="Q46">
            <v>-129817465.21268846</v>
          </cell>
          <cell r="R46">
            <v>-48462171.374502413</v>
          </cell>
          <cell r="S46">
            <v>-37981983.428366125</v>
          </cell>
        </row>
        <row r="47">
          <cell r="I47">
            <v>-11118567.720264459</v>
          </cell>
          <cell r="J47">
            <v>-10974199.893033519</v>
          </cell>
          <cell r="K47">
            <v>-10692616.634915976</v>
          </cell>
          <cell r="L47">
            <v>-10580206.268005166</v>
          </cell>
          <cell r="M47">
            <v>-10829109.593750935</v>
          </cell>
          <cell r="N47">
            <v>-10590698.308574602</v>
          </cell>
          <cell r="O47">
            <v>-10579387.435508838</v>
          </cell>
          <cell r="P47">
            <v>-10579422.28370207</v>
          </cell>
          <cell r="Q47">
            <v>-10671349.723965952</v>
          </cell>
          <cell r="R47">
            <v>-10610066.947882947</v>
          </cell>
          <cell r="S47">
            <v>-10599656.194610214</v>
          </cell>
        </row>
        <row r="48">
          <cell r="I48">
            <v>-48326126.066971362</v>
          </cell>
          <cell r="J48">
            <v>-47872556.576915585</v>
          </cell>
          <cell r="K48">
            <v>-46896762.563024238</v>
          </cell>
          <cell r="L48">
            <v>-46498633.459417768</v>
          </cell>
          <cell r="M48">
            <v>-47391544.189653099</v>
          </cell>
          <cell r="N48">
            <v>-46535701.421760902</v>
          </cell>
          <cell r="O48">
            <v>-46494862.633436322</v>
          </cell>
          <cell r="P48">
            <v>-46495214.240937382</v>
          </cell>
          <cell r="Q48">
            <v>-46814459.1840351</v>
          </cell>
          <cell r="R48">
            <v>-46605300.045104809</v>
          </cell>
          <cell r="S48">
            <v>-46576467.079316124</v>
          </cell>
        </row>
        <row r="49">
          <cell r="I49">
            <v>-3617.0595132182375</v>
          </cell>
          <cell r="J49">
            <v>-3617.0595132182375</v>
          </cell>
          <cell r="K49">
            <v>-3617.0595132182375</v>
          </cell>
          <cell r="L49">
            <v>-3617.0595132182375</v>
          </cell>
          <cell r="M49">
            <v>-3617.0595132182375</v>
          </cell>
          <cell r="N49">
            <v>-3617.0595132182375</v>
          </cell>
          <cell r="O49">
            <v>-3617.0595132182375</v>
          </cell>
          <cell r="P49">
            <v>-3617.0595132182375</v>
          </cell>
          <cell r="Q49">
            <v>-3617.0595132182375</v>
          </cell>
          <cell r="R49">
            <v>-3617.0595132182375</v>
          </cell>
          <cell r="S49">
            <v>-3617.0595132182375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I52">
            <v>-89137569.706360012</v>
          </cell>
          <cell r="J52">
            <v>-84793459.363951489</v>
          </cell>
          <cell r="K52">
            <v>-68836174.949482098</v>
          </cell>
          <cell r="L52">
            <v>-61760877.675069466</v>
          </cell>
          <cell r="M52">
            <v>-78360120.687326029</v>
          </cell>
          <cell r="N52">
            <v>-62413692.417776071</v>
          </cell>
          <cell r="O52">
            <v>-61637825.197600812</v>
          </cell>
          <cell r="P52">
            <v>-61658759.582693771</v>
          </cell>
          <cell r="Q52">
            <v>-66924214.062917382</v>
          </cell>
          <cell r="R52">
            <v>-63714901.602705017</v>
          </cell>
          <cell r="S52">
            <v>-63719906.296590403</v>
          </cell>
        </row>
        <row r="97">
          <cell r="H97" t="e">
            <v>#VALUE!</v>
          </cell>
          <cell r="I97">
            <v>-64421461.478401653</v>
          </cell>
          <cell r="J97">
            <v>-50122131.884724677</v>
          </cell>
          <cell r="K97">
            <v>-14873549.666848054</v>
          </cell>
          <cell r="L97">
            <v>-221671.7646000064</v>
          </cell>
          <cell r="M97">
            <v>-33330127.696447533</v>
          </cell>
          <cell r="N97">
            <v>-1576191.662403581</v>
          </cell>
          <cell r="O97">
            <v>-53268.692358364155</v>
          </cell>
          <cell r="P97">
            <v>-75680.195880809159</v>
          </cell>
          <cell r="Q97">
            <v>-11631471.935695343</v>
          </cell>
          <cell r="R97">
            <v>-4144398.1598415128</v>
          </cell>
          <cell r="S97">
            <v>-3379646.8829912785</v>
          </cell>
        </row>
      </sheetData>
      <sheetData sheetId="13"/>
      <sheetData sheetId="14"/>
      <sheetData sheetId="15"/>
      <sheetData sheetId="16"/>
      <sheetData sheetId="17">
        <row r="12">
          <cell r="H12">
            <v>97766002.99455604</v>
          </cell>
          <cell r="I12">
            <v>35013912.570930332</v>
          </cell>
          <cell r="J12">
            <v>26545959.390644882</v>
          </cell>
          <cell r="K12">
            <v>7799009.5813368782</v>
          </cell>
          <cell r="L12">
            <v>104953.02874794163</v>
          </cell>
          <cell r="M12">
            <v>17419447.597870052</v>
          </cell>
          <cell r="N12">
            <v>820836.09887111199</v>
          </cell>
          <cell r="O12">
            <v>27593.566999960793</v>
          </cell>
          <cell r="P12">
            <v>35564.239234389861</v>
          </cell>
          <cell r="Q12">
            <v>6172483.0554193454</v>
          </cell>
          <cell r="R12">
            <v>2171017.7457053508</v>
          </cell>
          <cell r="S12">
            <v>1655226.1187957977</v>
          </cell>
        </row>
        <row r="15">
          <cell r="I15">
            <v>65331836.484943196</v>
          </cell>
          <cell r="J15">
            <v>49531633.310966268</v>
          </cell>
          <cell r="K15">
            <v>14552033.214803562</v>
          </cell>
          <cell r="L15">
            <v>195829.98897566152</v>
          </cell>
          <cell r="M15">
            <v>32502637.339276485</v>
          </cell>
          <cell r="N15">
            <v>1531583.4722483649</v>
          </cell>
          <cell r="O15">
            <v>51486.345709746645</v>
          </cell>
          <cell r="P15">
            <v>66358.681214666212</v>
          </cell>
          <cell r="Q15">
            <v>11517126.309886837</v>
          </cell>
          <cell r="R15">
            <v>4050863.384119181</v>
          </cell>
          <cell r="S15">
            <v>3088456.9646339561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I19">
            <v>-24755913.745756656</v>
          </cell>
          <cell r="J19">
            <v>-19226414.729014128</v>
          </cell>
          <cell r="K19">
            <v>-6984821.2375872452</v>
          </cell>
          <cell r="L19">
            <v>-1960669.9183108527</v>
          </cell>
          <cell r="M19">
            <v>-13266882.725232281</v>
          </cell>
          <cell r="N19">
            <v>-2428135.2724609626</v>
          </cell>
          <cell r="O19">
            <v>-1910154.8695660071</v>
          </cell>
          <cell r="P19">
            <v>-1915359.648494835</v>
          </cell>
          <cell r="Q19">
            <v>-5922713.7088510683</v>
          </cell>
          <cell r="R19">
            <v>-3309792.0234660562</v>
          </cell>
          <cell r="S19">
            <v>-2972984.6234817952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31"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97">
          <cell r="H97" t="e">
            <v>#VALUE!</v>
          </cell>
          <cell r="I97">
            <v>-28370073.634407312</v>
          </cell>
          <cell r="J97">
            <v>-21508902.242300052</v>
          </cell>
          <cell r="K97">
            <v>-6319158.8672004398</v>
          </cell>
          <cell r="L97">
            <v>-85038.344335308779</v>
          </cell>
          <cell r="M97">
            <v>-14114132.775683172</v>
          </cell>
          <cell r="N97">
            <v>-665083.64409657114</v>
          </cell>
          <cell r="O97">
            <v>-22357.727832872097</v>
          </cell>
          <cell r="P97">
            <v>-28815.976614649706</v>
          </cell>
          <cell r="Q97">
            <v>-5001263.3816525638</v>
          </cell>
          <cell r="R97">
            <v>-1759070.289059937</v>
          </cell>
          <cell r="S97">
            <v>-1341149.3724588144</v>
          </cell>
        </row>
      </sheetData>
      <sheetData sheetId="18">
        <row r="12">
          <cell r="H12">
            <v>443965905.27642524</v>
          </cell>
          <cell r="I12">
            <v>134411793.9475292</v>
          </cell>
          <cell r="J12">
            <v>120860353.54149249</v>
          </cell>
          <cell r="K12">
            <v>38904643.314875342</v>
          </cell>
          <cell r="L12">
            <v>956881.74821290432</v>
          </cell>
          <cell r="M12">
            <v>91902864.992784709</v>
          </cell>
          <cell r="N12">
            <v>4442635.7000258965</v>
          </cell>
          <cell r="O12">
            <v>149913.70477229505</v>
          </cell>
          <cell r="P12">
            <v>300712.94475435128</v>
          </cell>
          <cell r="Q12">
            <v>27471488.863498613</v>
          </cell>
          <cell r="R12">
            <v>11590336.369349573</v>
          </cell>
          <cell r="S12">
            <v>12974280.149129771</v>
          </cell>
        </row>
        <row r="15">
          <cell r="I15">
            <v>144517768.5855335</v>
          </cell>
          <cell r="J15">
            <v>128522244.84826629</v>
          </cell>
          <cell r="K15">
            <v>41155651.19269757</v>
          </cell>
          <cell r="L15">
            <v>987174.0682888109</v>
          </cell>
          <cell r="M15">
            <v>96930594.906586856</v>
          </cell>
          <cell r="N15">
            <v>4679551.4911516476</v>
          </cell>
          <cell r="O15">
            <v>157877.96434222365</v>
          </cell>
          <cell r="P15">
            <v>310977.75874777674</v>
          </cell>
          <cell r="Q15">
            <v>29253036.614987776</v>
          </cell>
          <cell r="R15">
            <v>12216951.582154183</v>
          </cell>
          <cell r="S15">
            <v>13452023.764409157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I19">
            <v>-8251971.248585552</v>
          </cell>
          <cell r="J19">
            <v>-6408804.9096713765</v>
          </cell>
          <cell r="K19">
            <v>-2328273.7458624151</v>
          </cell>
          <cell r="L19">
            <v>-653556.63943695091</v>
          </cell>
          <cell r="M19">
            <v>-4422294.2417440936</v>
          </cell>
          <cell r="N19">
            <v>-809378.42415365414</v>
          </cell>
          <cell r="O19">
            <v>-636718.28985533572</v>
          </cell>
          <cell r="P19">
            <v>-638453.21616494504</v>
          </cell>
          <cell r="Q19">
            <v>-1974237.9029503562</v>
          </cell>
          <cell r="R19">
            <v>-1103264.0078220188</v>
          </cell>
          <cell r="S19">
            <v>-990994.87449393165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31"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97">
          <cell r="H97" t="e">
            <v>#VALUE!</v>
          </cell>
          <cell r="I97">
            <v>-9456691.2114691045</v>
          </cell>
          <cell r="J97">
            <v>-7169634.0807666844</v>
          </cell>
          <cell r="K97">
            <v>-2106386.2890668134</v>
          </cell>
          <cell r="L97">
            <v>-28346.114778436262</v>
          </cell>
          <cell r="M97">
            <v>-4704710.925227724</v>
          </cell>
          <cell r="N97">
            <v>-221694.54803219039</v>
          </cell>
          <cell r="O97">
            <v>-7452.5759442907001</v>
          </cell>
          <cell r="P97">
            <v>-9605.3255382165698</v>
          </cell>
          <cell r="Q97">
            <v>-1667087.7938841877</v>
          </cell>
          <cell r="R97">
            <v>-586356.763019979</v>
          </cell>
          <cell r="S97">
            <v>-447049.79081960476</v>
          </cell>
        </row>
      </sheetData>
      <sheetData sheetId="19">
        <row r="12">
          <cell r="H12">
            <v>621678356.30901647</v>
          </cell>
          <cell r="I12">
            <v>205490094.11216292</v>
          </cell>
          <cell r="J12">
            <v>182976398.46716052</v>
          </cell>
          <cell r="K12">
            <v>52646823.831450075</v>
          </cell>
          <cell r="L12">
            <v>948150.88323706482</v>
          </cell>
          <cell r="M12">
            <v>107199853.65927777</v>
          </cell>
          <cell r="N12">
            <v>5176375.9218180124</v>
          </cell>
          <cell r="O12">
            <v>195187.92244042622</v>
          </cell>
          <cell r="P12">
            <v>391104.0698746157</v>
          </cell>
          <cell r="Q12">
            <v>43424282.377473101</v>
          </cell>
          <cell r="R12">
            <v>12138842.522588655</v>
          </cell>
          <cell r="S12">
            <v>11091242.541533347</v>
          </cell>
        </row>
        <row r="15">
          <cell r="I15">
            <v>61339641.729405724</v>
          </cell>
          <cell r="J15">
            <v>46418081.401967071</v>
          </cell>
          <cell r="K15">
            <v>13499678.554873295</v>
          </cell>
          <cell r="L15">
            <v>-3740.43354040134</v>
          </cell>
          <cell r="M15">
            <v>30375759.632596221</v>
          </cell>
          <cell r="N15">
            <v>1252652.9671882843</v>
          </cell>
          <cell r="O15">
            <v>-138969.24062979344</v>
          </cell>
          <cell r="P15">
            <v>-125187.43086055899</v>
          </cell>
          <cell r="Q15">
            <v>10652111.639736187</v>
          </cell>
          <cell r="R15">
            <v>3621510.8170707687</v>
          </cell>
          <cell r="S15">
            <v>2710303.0423867353</v>
          </cell>
        </row>
        <row r="16">
          <cell r="I16">
            <v>72946005.212244809</v>
          </cell>
          <cell r="J16">
            <v>55398779.021288916</v>
          </cell>
          <cell r="K16">
            <v>16551496.603587164</v>
          </cell>
          <cell r="L16">
            <v>607932.93715069583</v>
          </cell>
          <cell r="M16">
            <v>36486892.836669296</v>
          </cell>
          <cell r="N16">
            <v>2091380.2224961901</v>
          </cell>
          <cell r="O16">
            <v>447629.26701908337</v>
          </cell>
          <cell r="P16">
            <v>464146.03153274639</v>
          </cell>
          <cell r="Q16">
            <v>13181021.088640764</v>
          </cell>
          <cell r="R16">
            <v>4889216.045565662</v>
          </cell>
          <cell r="S16">
            <v>3820396.6801191987</v>
          </cell>
        </row>
        <row r="17">
          <cell r="I17">
            <v>1136459.8547763848</v>
          </cell>
          <cell r="J17">
            <v>1302411.76642755</v>
          </cell>
          <cell r="K17">
            <v>515085.96399703319</v>
          </cell>
          <cell r="L17">
            <v>145368.93620003975</v>
          </cell>
          <cell r="M17">
            <v>988012.55333279422</v>
          </cell>
          <cell r="N17">
            <v>170984.27027430368</v>
          </cell>
          <cell r="O17">
            <v>145440.42778527533</v>
          </cell>
          <cell r="P17">
            <v>146532.0188942753</v>
          </cell>
          <cell r="Q17">
            <v>348807.19830484805</v>
          </cell>
          <cell r="R17">
            <v>250877.25500679552</v>
          </cell>
          <cell r="S17">
            <v>225790.32445147145</v>
          </cell>
        </row>
        <row r="18">
          <cell r="I18">
            <v>2850782.0626157792</v>
          </cell>
          <cell r="J18">
            <v>2850782.0626157792</v>
          </cell>
          <cell r="K18">
            <v>2850782.0626157792</v>
          </cell>
          <cell r="L18">
            <v>2850782.0626157792</v>
          </cell>
          <cell r="M18">
            <v>2850782.0626157792</v>
          </cell>
          <cell r="N18">
            <v>2850782.0626157792</v>
          </cell>
          <cell r="O18">
            <v>2850782.0626157792</v>
          </cell>
          <cell r="P18">
            <v>2850782.0626157792</v>
          </cell>
          <cell r="Q18">
            <v>2850782.0626157792</v>
          </cell>
          <cell r="R18">
            <v>2850782.0626157792</v>
          </cell>
          <cell r="S18">
            <v>2850782.0626157792</v>
          </cell>
        </row>
        <row r="19">
          <cell r="I19">
            <v>-6138671.8842321718</v>
          </cell>
          <cell r="J19">
            <v>650977.65603213012</v>
          </cell>
          <cell r="K19">
            <v>-41547.1182219279</v>
          </cell>
          <cell r="L19">
            <v>56351.797193528633</v>
          </cell>
          <cell r="M19">
            <v>-2215678.0346451374</v>
          </cell>
          <cell r="N19">
            <v>-74087.010693591466</v>
          </cell>
          <cell r="O19">
            <v>1846.0174281754907</v>
          </cell>
          <cell r="P19">
            <v>30032.618866308498</v>
          </cell>
          <cell r="Q19">
            <v>346587.7470976935</v>
          </cell>
          <cell r="R19">
            <v>-521226.20104600413</v>
          </cell>
          <cell r="S19">
            <v>-32851.895979568653</v>
          </cell>
        </row>
        <row r="20">
          <cell r="I20">
            <v>-3077930.9713569051</v>
          </cell>
          <cell r="J20">
            <v>-1132041.7598507418</v>
          </cell>
          <cell r="K20">
            <v>-385297.34964827116</v>
          </cell>
          <cell r="L20">
            <v>7705.1079976812043</v>
          </cell>
          <cell r="M20">
            <v>-1341336.965392614</v>
          </cell>
          <cell r="N20">
            <v>-56339.290494522997</v>
          </cell>
          <cell r="O20">
            <v>-911.81299079655435</v>
          </cell>
          <cell r="P20">
            <v>5087.8681242815819</v>
          </cell>
          <cell r="Q20">
            <v>-219012.70754160758</v>
          </cell>
          <cell r="R20">
            <v>-222677.17959313077</v>
          </cell>
          <cell r="S20">
            <v>-87201.610758100243</v>
          </cell>
        </row>
        <row r="21">
          <cell r="I21">
            <v>2483077.328284218</v>
          </cell>
          <cell r="J21">
            <v>2483077.328284218</v>
          </cell>
          <cell r="K21">
            <v>2483077.328284218</v>
          </cell>
          <cell r="L21">
            <v>2483077.328284218</v>
          </cell>
          <cell r="M21">
            <v>2483077.328284218</v>
          </cell>
          <cell r="N21">
            <v>2483077.328284218</v>
          </cell>
          <cell r="O21">
            <v>2483077.328284218</v>
          </cell>
          <cell r="P21">
            <v>2483077.328284218</v>
          </cell>
          <cell r="Q21">
            <v>2483077.328284218</v>
          </cell>
          <cell r="R21">
            <v>2483077.328284218</v>
          </cell>
          <cell r="S21">
            <v>2483077.328284218</v>
          </cell>
        </row>
        <row r="22">
          <cell r="I22">
            <v>-35668.302899935588</v>
          </cell>
          <cell r="J22">
            <v>-35668.302899935588</v>
          </cell>
          <cell r="K22">
            <v>-35668.302899935588</v>
          </cell>
          <cell r="L22">
            <v>-35668.302899935588</v>
          </cell>
          <cell r="M22">
            <v>-35668.302899935588</v>
          </cell>
          <cell r="N22">
            <v>-35668.302899935588</v>
          </cell>
          <cell r="O22">
            <v>-35668.302899935588</v>
          </cell>
          <cell r="P22">
            <v>-35668.302899935588</v>
          </cell>
          <cell r="Q22">
            <v>-35668.302899935588</v>
          </cell>
          <cell r="R22">
            <v>-35668.302899935588</v>
          </cell>
          <cell r="S22">
            <v>-35668.302899935588</v>
          </cell>
        </row>
        <row r="23">
          <cell r="I23">
            <v>-125739.42491526013</v>
          </cell>
          <cell r="J23">
            <v>-95332.522731927456</v>
          </cell>
          <cell r="K23">
            <v>-28008.466501987328</v>
          </cell>
          <cell r="L23">
            <v>-376.97562333702649</v>
          </cell>
          <cell r="M23">
            <v>-62558.887903399445</v>
          </cell>
          <cell r="N23">
            <v>-2947.9040920472503</v>
          </cell>
          <cell r="O23">
            <v>-99.09804539403784</v>
          </cell>
          <cell r="P23">
            <v>-127.73821718457194</v>
          </cell>
          <cell r="Q23">
            <v>-22166.691248655217</v>
          </cell>
          <cell r="R23">
            <v>-7796.8477708345954</v>
          </cell>
          <cell r="S23">
            <v>-5945.0352370963801</v>
          </cell>
        </row>
        <row r="31"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</row>
        <row r="32">
          <cell r="I32">
            <v>984424.38270323968</v>
          </cell>
          <cell r="J32">
            <v>729386.08437509765</v>
          </cell>
          <cell r="K32">
            <v>164764.37752151513</v>
          </cell>
          <cell r="L32">
            <v>-66965.657899703816</v>
          </cell>
          <cell r="M32">
            <v>454513.28008043009</v>
          </cell>
          <cell r="N32">
            <v>-45404.650638680614</v>
          </cell>
          <cell r="O32">
            <v>-69295.57459429765</v>
          </cell>
          <cell r="P32">
            <v>-69055.51343194583</v>
          </cell>
          <cell r="Q32">
            <v>115776.55856174989</v>
          </cell>
          <cell r="R32">
            <v>-4739.8025565984426</v>
          </cell>
          <cell r="S32">
            <v>-20274.444283854886</v>
          </cell>
        </row>
        <row r="33">
          <cell r="I33">
            <v>3444786.7008100413</v>
          </cell>
          <cell r="J33">
            <v>2611680.9335114844</v>
          </cell>
          <cell r="K33">
            <v>767292.84197688615</v>
          </cell>
          <cell r="L33">
            <v>10325.632615556533</v>
          </cell>
          <cell r="M33">
            <v>1713783.9508521324</v>
          </cell>
          <cell r="N33">
            <v>80756.621277553786</v>
          </cell>
          <cell r="O33">
            <v>2714.7481001107117</v>
          </cell>
          <cell r="P33">
            <v>3498.9296923293732</v>
          </cell>
          <cell r="Q33">
            <v>607269.68165040249</v>
          </cell>
          <cell r="R33">
            <v>213592.04123441596</v>
          </cell>
          <cell r="S33">
            <v>162846.72297934175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I35">
            <v>437696.82690099964</v>
          </cell>
          <cell r="J35">
            <v>437666.38315270364</v>
          </cell>
          <cell r="K35">
            <v>437451.55960966699</v>
          </cell>
          <cell r="L35">
            <v>437351.15746489132</v>
          </cell>
          <cell r="M35">
            <v>437592.84648502606</v>
          </cell>
          <cell r="N35">
            <v>437360.3714303642</v>
          </cell>
          <cell r="O35">
            <v>437348.94080335542</v>
          </cell>
          <cell r="P35">
            <v>437349.36116843548</v>
          </cell>
          <cell r="Q35">
            <v>437420.65563616739</v>
          </cell>
          <cell r="R35">
            <v>437379.37648894324</v>
          </cell>
          <cell r="S35">
            <v>437383.79139958363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I37">
            <v>5726686.569825015</v>
          </cell>
          <cell r="J37">
            <v>5726686.569825015</v>
          </cell>
          <cell r="K37">
            <v>5726686.569825015</v>
          </cell>
          <cell r="L37">
            <v>5726686.569825015</v>
          </cell>
          <cell r="M37">
            <v>5726686.569825015</v>
          </cell>
          <cell r="N37">
            <v>5726686.569825015</v>
          </cell>
          <cell r="O37">
            <v>5726686.569825015</v>
          </cell>
          <cell r="P37">
            <v>5726686.569825015</v>
          </cell>
          <cell r="Q37">
            <v>5726686.569825015</v>
          </cell>
          <cell r="R37">
            <v>5726686.569825015</v>
          </cell>
          <cell r="S37">
            <v>5726686.569825015</v>
          </cell>
        </row>
        <row r="38">
          <cell r="I38">
            <v>19064984.142991178</v>
          </cell>
          <cell r="J38">
            <v>18073782.00794391</v>
          </cell>
          <cell r="K38">
            <v>11079454.225242665</v>
          </cell>
          <cell r="L38">
            <v>7810513.1179492213</v>
          </cell>
          <cell r="M38">
            <v>15679539.968576061</v>
          </cell>
          <cell r="N38">
            <v>8110505.8179320861</v>
          </cell>
          <cell r="O38">
            <v>7738341.990211566</v>
          </cell>
          <cell r="P38">
            <v>7752028.437779895</v>
          </cell>
          <cell r="Q38">
            <v>10073267.857637279</v>
          </cell>
          <cell r="R38">
            <v>8729281.6157446429</v>
          </cell>
          <cell r="S38">
            <v>8873024.39045926</v>
          </cell>
        </row>
        <row r="39">
          <cell r="I39">
            <v>1803766.4513055088</v>
          </cell>
          <cell r="J39">
            <v>1482963.4856542</v>
          </cell>
          <cell r="K39">
            <v>440590.75426392944</v>
          </cell>
          <cell r="L39">
            <v>7872.6316424601664</v>
          </cell>
          <cell r="M39">
            <v>965989.44774372876</v>
          </cell>
          <cell r="N39">
            <v>46373.600330045891</v>
          </cell>
          <cell r="O39">
            <v>1621.3989361785311</v>
          </cell>
          <cell r="P39">
            <v>2724.0760652795598</v>
          </cell>
          <cell r="Q39">
            <v>346417.40395409829</v>
          </cell>
          <cell r="R39">
            <v>117374.18218670074</v>
          </cell>
          <cell r="S39">
            <v>104575.19418956278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6">
          <cell r="I46">
            <v>-536965599.22772253</v>
          </cell>
          <cell r="J46">
            <v>-407885928.08494657</v>
          </cell>
          <cell r="K46">
            <v>-122120281.44092138</v>
          </cell>
          <cell r="L46">
            <v>-4837359.7693326157</v>
          </cell>
          <cell r="M46">
            <v>-268767641.07850736</v>
          </cell>
          <cell r="N46">
            <v>-15749790.353303393</v>
          </cell>
          <cell r="O46">
            <v>-3658145.1858770535</v>
          </cell>
          <cell r="P46">
            <v>-3779644.6473056152</v>
          </cell>
          <cell r="Q46">
            <v>-97326626.516230419</v>
          </cell>
          <cell r="R46">
            <v>-36331033.452536047</v>
          </cell>
          <cell r="S46">
            <v>-28468659.610568471</v>
          </cell>
        </row>
        <row r="47">
          <cell r="I47">
            <v>-8446255.7164081577</v>
          </cell>
          <cell r="J47">
            <v>-8328598.0994146215</v>
          </cell>
          <cell r="K47">
            <v>-8051209.2137926472</v>
          </cell>
          <cell r="L47">
            <v>-7935960.8504715795</v>
          </cell>
          <cell r="M47">
            <v>-8197118.8296965193</v>
          </cell>
          <cell r="N47">
            <v>-7946669.3173613865</v>
          </cell>
          <cell r="O47">
            <v>-7934663.6250383202</v>
          </cell>
          <cell r="P47">
            <v>-7934819.3036630191</v>
          </cell>
          <cell r="Q47">
            <v>-8025735.4579710523</v>
          </cell>
          <cell r="R47">
            <v>-7967052.5212318171</v>
          </cell>
          <cell r="S47">
            <v>-7960604.9843027899</v>
          </cell>
        </row>
        <row r="48">
          <cell r="I48">
            <v>-36244594.550228514</v>
          </cell>
          <cell r="J48">
            <v>-35904417.432686679</v>
          </cell>
          <cell r="K48">
            <v>-35172571.922268167</v>
          </cell>
          <cell r="L48">
            <v>-34873975.09456332</v>
          </cell>
          <cell r="M48">
            <v>-35543658.142239816</v>
          </cell>
          <cell r="N48">
            <v>-34901776.066320673</v>
          </cell>
          <cell r="O48">
            <v>-34871146.975077234</v>
          </cell>
          <cell r="P48">
            <v>-34871410.680703036</v>
          </cell>
          <cell r="Q48">
            <v>-35110844.388026327</v>
          </cell>
          <cell r="R48">
            <v>-34953975.033828601</v>
          </cell>
          <cell r="S48">
            <v>-34932350.30948709</v>
          </cell>
        </row>
        <row r="49">
          <cell r="I49">
            <v>-2712.7946349136778</v>
          </cell>
          <cell r="J49">
            <v>-2712.7946349136778</v>
          </cell>
          <cell r="K49">
            <v>-2712.7946349136778</v>
          </cell>
          <cell r="L49">
            <v>-2712.7946349136778</v>
          </cell>
          <cell r="M49">
            <v>-2712.7946349136778</v>
          </cell>
          <cell r="N49">
            <v>-2712.7946349136778</v>
          </cell>
          <cell r="O49">
            <v>-2712.7946349136778</v>
          </cell>
          <cell r="P49">
            <v>-2712.7946349136778</v>
          </cell>
          <cell r="Q49">
            <v>-2712.7946349136778</v>
          </cell>
          <cell r="R49">
            <v>-2712.7946349136778</v>
          </cell>
          <cell r="S49">
            <v>-2712.7946349136778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I52">
            <v>-21334474.710981768</v>
          </cell>
          <cell r="J52">
            <v>-18076391.954175368</v>
          </cell>
          <cell r="K52">
            <v>-6108428.6433233414</v>
          </cell>
          <cell r="L52">
            <v>-801955.68751385657</v>
          </cell>
          <cell r="M52">
            <v>-13251387.946706275</v>
          </cell>
          <cell r="N52">
            <v>-1291566.7445438057</v>
          </cell>
          <cell r="O52">
            <v>-709666.32941236731</v>
          </cell>
          <cell r="P52">
            <v>-725367.11823209119</v>
          </cell>
          <cell r="Q52">
            <v>-4674457.9783997983</v>
          </cell>
          <cell r="R52">
            <v>-2267473.633240521</v>
          </cell>
          <cell r="S52">
            <v>-2271227.1536545539</v>
          </cell>
        </row>
        <row r="97">
          <cell r="H97" t="e">
            <v>#VALUE!</v>
          </cell>
          <cell r="I97">
            <v>-14813973.861420816</v>
          </cell>
          <cell r="J97">
            <v>-11871634.436501939</v>
          </cell>
          <cell r="K97">
            <v>-3561815.892484697</v>
          </cell>
          <cell r="L97">
            <v>-58689.686955057135</v>
          </cell>
          <cell r="M97">
            <v>-8010164.3367373189</v>
          </cell>
          <cell r="N97">
            <v>-380261.20204864221</v>
          </cell>
          <cell r="O97">
            <v>-12924.408007702354</v>
          </cell>
          <cell r="P97">
            <v>-20169.909775899021</v>
          </cell>
          <cell r="Q97">
            <v>-2748921.1173274159</v>
          </cell>
          <cell r="R97">
            <v>-993523.05870001577</v>
          </cell>
          <cell r="S97">
            <v>-867419.8809649921</v>
          </cell>
        </row>
      </sheetData>
      <sheetData sheetId="20">
        <row r="12">
          <cell r="H12">
            <v>158689122.29750416</v>
          </cell>
          <cell r="I12">
            <v>53937179.492462061</v>
          </cell>
          <cell r="J12">
            <v>45115876.394068934</v>
          </cell>
          <cell r="K12">
            <v>13171185.085950388</v>
          </cell>
          <cell r="L12">
            <v>223437.4260121258</v>
          </cell>
          <cell r="M12">
            <v>27999524.038625579</v>
          </cell>
          <cell r="N12">
            <v>1334863.2550627561</v>
          </cell>
          <cell r="O12">
            <v>47992.6832239547</v>
          </cell>
          <cell r="P12">
            <v>89538.24261380182</v>
          </cell>
          <cell r="Q12">
            <v>10583472.219008533</v>
          </cell>
          <cell r="R12">
            <v>3308378.5474332455</v>
          </cell>
          <cell r="S12">
            <v>2877674.91304276</v>
          </cell>
        </row>
        <row r="15">
          <cell r="I15">
            <v>19664909.285618134</v>
          </cell>
          <cell r="J15">
            <v>14759379.091706201</v>
          </cell>
          <cell r="K15">
            <v>4268694.9367817938</v>
          </cell>
          <cell r="L15">
            <v>-7117.653037958793</v>
          </cell>
          <cell r="M15">
            <v>9576972.8457724862</v>
          </cell>
          <cell r="N15">
            <v>391001.7456108749</v>
          </cell>
          <cell r="O15">
            <v>-47219.189139452195</v>
          </cell>
          <cell r="P15">
            <v>-43568.655036601704</v>
          </cell>
          <cell r="Q15">
            <v>3388862.0720313694</v>
          </cell>
          <cell r="R15">
            <v>1137969.0095572833</v>
          </cell>
          <cell r="S15">
            <v>824324.94082456094</v>
          </cell>
        </row>
        <row r="16">
          <cell r="I16">
            <v>24331775.24091994</v>
          </cell>
          <cell r="J16">
            <v>18481262.802882157</v>
          </cell>
          <cell r="K16">
            <v>5522028.3140637409</v>
          </cell>
          <cell r="L16">
            <v>202767.79364271526</v>
          </cell>
          <cell r="M16">
            <v>12173829.578419503</v>
          </cell>
          <cell r="N16">
            <v>697685.15035667841</v>
          </cell>
          <cell r="O16">
            <v>149228.6035080798</v>
          </cell>
          <cell r="P16">
            <v>154754.03423847514</v>
          </cell>
          <cell r="Q16">
            <v>4397077.7106129164</v>
          </cell>
          <cell r="R16">
            <v>1631194.1901574717</v>
          </cell>
          <cell r="S16">
            <v>1275129.4660652729</v>
          </cell>
        </row>
        <row r="17">
          <cell r="I17">
            <v>378819.95159212826</v>
          </cell>
          <cell r="J17">
            <v>434137.25547584996</v>
          </cell>
          <cell r="K17">
            <v>171695.32133234449</v>
          </cell>
          <cell r="L17">
            <v>48456.312066679937</v>
          </cell>
          <cell r="M17">
            <v>329337.51777759811</v>
          </cell>
          <cell r="N17">
            <v>56994.756758101139</v>
          </cell>
          <cell r="O17">
            <v>48480.142595091733</v>
          </cell>
          <cell r="P17">
            <v>48844.006298091757</v>
          </cell>
          <cell r="Q17">
            <v>116269.06610161602</v>
          </cell>
          <cell r="R17">
            <v>83625.751668931771</v>
          </cell>
          <cell r="S17">
            <v>75263.441483823757</v>
          </cell>
        </row>
        <row r="18">
          <cell r="I18">
            <v>950260.68753859319</v>
          </cell>
          <cell r="J18">
            <v>950260.68753859319</v>
          </cell>
          <cell r="K18">
            <v>950260.68753859319</v>
          </cell>
          <cell r="L18">
            <v>950260.68753859319</v>
          </cell>
          <cell r="M18">
            <v>950260.68753859319</v>
          </cell>
          <cell r="N18">
            <v>950260.68753859319</v>
          </cell>
          <cell r="O18">
            <v>950260.68753859319</v>
          </cell>
          <cell r="P18">
            <v>950260.68753859319</v>
          </cell>
          <cell r="Q18">
            <v>950260.68753859319</v>
          </cell>
          <cell r="R18">
            <v>950260.68753859319</v>
          </cell>
          <cell r="S18">
            <v>950260.68753859319</v>
          </cell>
        </row>
        <row r="19">
          <cell r="I19">
            <v>-3974642.6453181379</v>
          </cell>
          <cell r="J19">
            <v>-2225135.0625231555</v>
          </cell>
          <cell r="K19">
            <v>-675732.22330316983</v>
          </cell>
          <cell r="L19">
            <v>2885.6431844567205</v>
          </cell>
          <cell r="M19">
            <v>-1809871.344398614</v>
          </cell>
          <cell r="N19">
            <v>-80483.965874391302</v>
          </cell>
          <cell r="O19">
            <v>-2050.0683680519242</v>
          </cell>
          <cell r="P19">
            <v>2742.6981688195915</v>
          </cell>
          <cell r="Q19">
            <v>-492009.33735729184</v>
          </cell>
          <cell r="R19">
            <v>-262039.19233060637</v>
          </cell>
          <cell r="S19">
            <v>-132001.09423836431</v>
          </cell>
        </row>
        <row r="20">
          <cell r="I20">
            <v>-1462710.4427554172</v>
          </cell>
          <cell r="J20">
            <v>-930421.55865126278</v>
          </cell>
          <cell r="K20">
            <v>-278330.66977476887</v>
          </cell>
          <cell r="L20">
            <v>-1032.1531016066476</v>
          </cell>
          <cell r="M20">
            <v>-689734.83523157309</v>
          </cell>
          <cell r="N20">
            <v>-31414.268213193427</v>
          </cell>
          <cell r="O20">
            <v>-907.57868496546666</v>
          </cell>
          <cell r="P20">
            <v>49.91563900288002</v>
          </cell>
          <cell r="Q20">
            <v>-210594.90868997641</v>
          </cell>
          <cell r="R20">
            <v>-94222.58130598464</v>
          </cell>
          <cell r="S20">
            <v>-56481.782546709721</v>
          </cell>
        </row>
        <row r="21">
          <cell r="I21">
            <v>827692.44276140607</v>
          </cell>
          <cell r="J21">
            <v>827692.44276140607</v>
          </cell>
          <cell r="K21">
            <v>827692.44276140607</v>
          </cell>
          <cell r="L21">
            <v>827692.44276140607</v>
          </cell>
          <cell r="M21">
            <v>827692.44276140607</v>
          </cell>
          <cell r="N21">
            <v>827692.44276140607</v>
          </cell>
          <cell r="O21">
            <v>827692.44276140607</v>
          </cell>
          <cell r="P21">
            <v>827692.44276140607</v>
          </cell>
          <cell r="Q21">
            <v>827692.44276140607</v>
          </cell>
          <cell r="R21">
            <v>827692.44276140607</v>
          </cell>
          <cell r="S21">
            <v>827692.44276140607</v>
          </cell>
        </row>
        <row r="22">
          <cell r="I22">
            <v>-11889.434299978529</v>
          </cell>
          <cell r="J22">
            <v>-11889.434299978529</v>
          </cell>
          <cell r="K22">
            <v>-11889.434299978529</v>
          </cell>
          <cell r="L22">
            <v>-11889.434299978529</v>
          </cell>
          <cell r="M22">
            <v>-11889.434299978529</v>
          </cell>
          <cell r="N22">
            <v>-11889.434299978529</v>
          </cell>
          <cell r="O22">
            <v>-11889.434299978529</v>
          </cell>
          <cell r="P22">
            <v>-11889.434299978529</v>
          </cell>
          <cell r="Q22">
            <v>-11889.434299978529</v>
          </cell>
          <cell r="R22">
            <v>-11889.434299978529</v>
          </cell>
          <cell r="S22">
            <v>-11889.434299978529</v>
          </cell>
        </row>
        <row r="23">
          <cell r="I23">
            <v>-41913.141638420035</v>
          </cell>
          <cell r="J23">
            <v>-31777.507577309148</v>
          </cell>
          <cell r="K23">
            <v>-9336.1555006624421</v>
          </cell>
          <cell r="L23">
            <v>-125.65854111234215</v>
          </cell>
          <cell r="M23">
            <v>-20852.962634466479</v>
          </cell>
          <cell r="N23">
            <v>-982.63469734908335</v>
          </cell>
          <cell r="O23">
            <v>-33.032681798012611</v>
          </cell>
          <cell r="P23">
            <v>-42.579405728190643</v>
          </cell>
          <cell r="Q23">
            <v>-7388.8970828850706</v>
          </cell>
          <cell r="R23">
            <v>-2598.9492569448648</v>
          </cell>
          <cell r="S23">
            <v>-1981.67841236546</v>
          </cell>
        </row>
        <row r="31"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 t="e">
            <v>#DIV/0!</v>
          </cell>
          <cell r="Q31" t="e">
            <v>#DIV/0!</v>
          </cell>
          <cell r="R31" t="e">
            <v>#DIV/0!</v>
          </cell>
          <cell r="S31" t="e">
            <v>#DIV/0!</v>
          </cell>
        </row>
        <row r="32">
          <cell r="I32">
            <v>328141.46090107993</v>
          </cell>
          <cell r="J32">
            <v>243128.69479169924</v>
          </cell>
          <cell r="K32">
            <v>54921.459173838382</v>
          </cell>
          <cell r="L32">
            <v>-22321.885966567937</v>
          </cell>
          <cell r="M32">
            <v>151504.42669347671</v>
          </cell>
          <cell r="N32">
            <v>-15134.883546226869</v>
          </cell>
          <cell r="O32">
            <v>-23098.524864765881</v>
          </cell>
          <cell r="P32">
            <v>-23018.504477315273</v>
          </cell>
          <cell r="Q32">
            <v>38592.186187249972</v>
          </cell>
          <cell r="R32">
            <v>-1579.9341855328094</v>
          </cell>
          <cell r="S32">
            <v>-6758.1480946182928</v>
          </cell>
        </row>
        <row r="33">
          <cell r="I33">
            <v>1148262.2336033471</v>
          </cell>
          <cell r="J33">
            <v>870560.31117049512</v>
          </cell>
          <cell r="K33">
            <v>255764.28065896221</v>
          </cell>
          <cell r="L33">
            <v>3441.8775385188455</v>
          </cell>
          <cell r="M33">
            <v>571261.31695071096</v>
          </cell>
          <cell r="N33">
            <v>26918.873759184615</v>
          </cell>
          <cell r="O33">
            <v>904.91603337023753</v>
          </cell>
          <cell r="P33">
            <v>1166.309897443125</v>
          </cell>
          <cell r="Q33">
            <v>202423.22721680079</v>
          </cell>
          <cell r="R33">
            <v>71197.347078138671</v>
          </cell>
          <cell r="S33">
            <v>54282.240993113955</v>
          </cell>
        </row>
        <row r="34">
          <cell r="I34">
            <v>622212.71597194136</v>
          </cell>
          <cell r="J34">
            <v>622212.71597194136</v>
          </cell>
          <cell r="K34">
            <v>622212.71597194136</v>
          </cell>
          <cell r="L34">
            <v>622212.71597194136</v>
          </cell>
          <cell r="M34">
            <v>622212.71597194136</v>
          </cell>
          <cell r="N34">
            <v>622212.71597194136</v>
          </cell>
          <cell r="O34">
            <v>622212.71597194136</v>
          </cell>
          <cell r="P34">
            <v>622212.71597194136</v>
          </cell>
          <cell r="Q34">
            <v>622212.71597194136</v>
          </cell>
          <cell r="R34">
            <v>622212.71597194136</v>
          </cell>
          <cell r="S34">
            <v>622212.71597194136</v>
          </cell>
        </row>
        <row r="35">
          <cell r="I35">
            <v>145898.94230033323</v>
          </cell>
          <cell r="J35">
            <v>145888.79438423456</v>
          </cell>
          <cell r="K35">
            <v>145817.18653655564</v>
          </cell>
          <cell r="L35">
            <v>145783.71915496379</v>
          </cell>
          <cell r="M35">
            <v>145864.28216167536</v>
          </cell>
          <cell r="N35">
            <v>145786.79047678807</v>
          </cell>
          <cell r="O35">
            <v>145782.98026778514</v>
          </cell>
          <cell r="P35">
            <v>145783.12038947848</v>
          </cell>
          <cell r="Q35">
            <v>145806.88521205579</v>
          </cell>
          <cell r="R35">
            <v>145793.12549631443</v>
          </cell>
          <cell r="S35">
            <v>145794.59713319453</v>
          </cell>
        </row>
        <row r="36">
          <cell r="I36">
            <v>22181777.623812795</v>
          </cell>
          <cell r="J36">
            <v>20242860.64608898</v>
          </cell>
          <cell r="K36">
            <v>6561069.2070521209</v>
          </cell>
          <cell r="L36">
            <v>166606.17272030748</v>
          </cell>
          <cell r="M36">
            <v>15559419.827341128</v>
          </cell>
          <cell r="N36">
            <v>753429.90788331046</v>
          </cell>
          <cell r="O36">
            <v>25430.301599588911</v>
          </cell>
          <cell r="P36">
            <v>52202.727340676051</v>
          </cell>
          <cell r="Q36">
            <v>4592841.1716965484</v>
          </cell>
          <cell r="R36">
            <v>1963833.7774493771</v>
          </cell>
          <cell r="S36">
            <v>2245012.8593588509</v>
          </cell>
        </row>
        <row r="37">
          <cell r="I37">
            <v>1908895.5232750052</v>
          </cell>
          <cell r="J37">
            <v>1908895.5232750052</v>
          </cell>
          <cell r="K37">
            <v>1908895.5232750052</v>
          </cell>
          <cell r="L37">
            <v>1908895.5232750052</v>
          </cell>
          <cell r="M37">
            <v>1908895.5232750052</v>
          </cell>
          <cell r="N37">
            <v>1908895.5232750052</v>
          </cell>
          <cell r="O37">
            <v>1908895.5232750052</v>
          </cell>
          <cell r="P37">
            <v>1908895.5232750052</v>
          </cell>
          <cell r="Q37">
            <v>1908895.5232750052</v>
          </cell>
          <cell r="R37">
            <v>1908895.5232750052</v>
          </cell>
          <cell r="S37">
            <v>1908895.5232750052</v>
          </cell>
        </row>
        <row r="38">
          <cell r="I38">
            <v>6354994.714330392</v>
          </cell>
          <cell r="J38">
            <v>6024594.0026479699</v>
          </cell>
          <cell r="K38">
            <v>3693151.4084142218</v>
          </cell>
          <cell r="L38">
            <v>2603504.3726497409</v>
          </cell>
          <cell r="M38">
            <v>5226513.3228586875</v>
          </cell>
          <cell r="N38">
            <v>2703501.9393106955</v>
          </cell>
          <cell r="O38">
            <v>2579447.3300705221</v>
          </cell>
          <cell r="P38">
            <v>2584009.479259965</v>
          </cell>
          <cell r="Q38">
            <v>3357755.9525457593</v>
          </cell>
          <cell r="R38">
            <v>2909760.5385815473</v>
          </cell>
          <cell r="S38">
            <v>2957674.7968197535</v>
          </cell>
        </row>
        <row r="39">
          <cell r="I39">
            <v>1934276.8512764634</v>
          </cell>
          <cell r="J39">
            <v>1701495.6080080711</v>
          </cell>
          <cell r="K39">
            <v>539902.61420370056</v>
          </cell>
          <cell r="L39">
            <v>12617.133695317316</v>
          </cell>
          <cell r="M39">
            <v>1260891.6382387334</v>
          </cell>
          <cell r="N39">
            <v>60868.267838070693</v>
          </cell>
          <cell r="O39">
            <v>2062.4945645643438</v>
          </cell>
          <cell r="P39">
            <v>4007.8475386080954</v>
          </cell>
          <cell r="Q39">
            <v>388633.8970362572</v>
          </cell>
          <cell r="R39">
            <v>158268.88056486196</v>
          </cell>
          <cell r="S39">
            <v>170786.52122313424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6">
          <cell r="I46">
            <v>-179223397.8686091</v>
          </cell>
          <cell r="J46">
            <v>-136176311.20694551</v>
          </cell>
          <cell r="K46">
            <v>-40776230.303030483</v>
          </cell>
          <cell r="L46">
            <v>-1614217.3136303504</v>
          </cell>
          <cell r="M46">
            <v>-89753959.727814645</v>
          </cell>
          <cell r="N46">
            <v>-5257907.5739541873</v>
          </cell>
          <cell r="O46">
            <v>-1219650.9893952592</v>
          </cell>
          <cell r="P46">
            <v>-1260434.2813013941</v>
          </cell>
          <cell r="Q46">
            <v>-32490838.69645803</v>
          </cell>
          <cell r="R46">
            <v>-12131137.921966368</v>
          </cell>
          <cell r="S46">
            <v>-9513323.8177976552</v>
          </cell>
        </row>
        <row r="47">
          <cell r="I47">
            <v>-2672312.0038563032</v>
          </cell>
          <cell r="J47">
            <v>-2645601.7936188988</v>
          </cell>
          <cell r="K47">
            <v>-2641407.4211233305</v>
          </cell>
          <cell r="L47">
            <v>-2644245.4175335877</v>
          </cell>
          <cell r="M47">
            <v>-2631990.7640544185</v>
          </cell>
          <cell r="N47">
            <v>-2644028.9912132174</v>
          </cell>
          <cell r="O47">
            <v>-2644723.8104705187</v>
          </cell>
          <cell r="P47">
            <v>-2644602.9800390494</v>
          </cell>
          <cell r="Q47">
            <v>-2645614.2659949022</v>
          </cell>
          <cell r="R47">
            <v>-2643014.4266511304</v>
          </cell>
          <cell r="S47">
            <v>-2639051.2103074254</v>
          </cell>
        </row>
        <row r="48">
          <cell r="I48">
            <v>-12081531.51674284</v>
          </cell>
          <cell r="J48">
            <v>-11968139.144228896</v>
          </cell>
          <cell r="K48">
            <v>-11724190.640756059</v>
          </cell>
          <cell r="L48">
            <v>-11624658.364854442</v>
          </cell>
          <cell r="M48">
            <v>-11847886.047413275</v>
          </cell>
          <cell r="N48">
            <v>-11633925.355440225</v>
          </cell>
          <cell r="O48">
            <v>-11623715.658359081</v>
          </cell>
          <cell r="P48">
            <v>-11623803.560234345</v>
          </cell>
          <cell r="Q48">
            <v>-11703614.796008775</v>
          </cell>
          <cell r="R48">
            <v>-11651325.011276202</v>
          </cell>
          <cell r="S48">
            <v>-11644116.769829031</v>
          </cell>
        </row>
        <row r="49">
          <cell r="I49">
            <v>-904.26487830455937</v>
          </cell>
          <cell r="J49">
            <v>-904.26487830455937</v>
          </cell>
          <cell r="K49">
            <v>-904.26487830455937</v>
          </cell>
          <cell r="L49">
            <v>-904.26487830455937</v>
          </cell>
          <cell r="M49">
            <v>-904.26487830455937</v>
          </cell>
          <cell r="N49">
            <v>-904.26487830455937</v>
          </cell>
          <cell r="O49">
            <v>-904.26487830455937</v>
          </cell>
          <cell r="P49">
            <v>-904.26487830455937</v>
          </cell>
          <cell r="Q49">
            <v>-904.26487830455937</v>
          </cell>
          <cell r="R49">
            <v>-904.26487830455937</v>
          </cell>
          <cell r="S49">
            <v>-904.26487830455937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I52">
            <v>-67803094.995378241</v>
          </cell>
          <cell r="J52">
            <v>-66717067.409776106</v>
          </cell>
          <cell r="K52">
            <v>-62727746.306158774</v>
          </cell>
          <cell r="L52">
            <v>-60958921.987555608</v>
          </cell>
          <cell r="M52">
            <v>-65108732.740619741</v>
          </cell>
          <cell r="N52">
            <v>-61122125.67323225</v>
          </cell>
          <cell r="O52">
            <v>-60928158.868188448</v>
          </cell>
          <cell r="P52">
            <v>-60933392.464461692</v>
          </cell>
          <cell r="Q52">
            <v>-62249756.084517591</v>
          </cell>
          <cell r="R52">
            <v>-61447427.969464496</v>
          </cell>
          <cell r="S52">
            <v>-61448679.142935842</v>
          </cell>
        </row>
        <row r="97">
          <cell r="H97" t="e">
            <v>#VALUE!</v>
          </cell>
          <cell r="I97">
            <v>-11780722.77110441</v>
          </cell>
          <cell r="J97">
            <v>-9571961.1251559984</v>
          </cell>
          <cell r="K97">
            <v>-2886188.6180961034</v>
          </cell>
          <cell r="L97">
            <v>-49597.6185312042</v>
          </cell>
          <cell r="M97">
            <v>-6501119.6587993195</v>
          </cell>
          <cell r="N97">
            <v>-309152.26822617708</v>
          </cell>
          <cell r="O97">
            <v>-10533.980573498993</v>
          </cell>
          <cell r="P97">
            <v>-17088.983952043847</v>
          </cell>
          <cell r="Q97">
            <v>-2214199.642831177</v>
          </cell>
          <cell r="R97">
            <v>-805448.04906158138</v>
          </cell>
          <cell r="S97">
            <v>-724027.83874786773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6">
          <cell r="R6" t="str">
            <v>440.NA</v>
          </cell>
          <cell r="S6">
            <v>0</v>
          </cell>
        </row>
        <row r="7">
          <cell r="R7" t="str">
            <v>440.S</v>
          </cell>
          <cell r="S7">
            <v>754492620.15740013</v>
          </cell>
        </row>
        <row r="8">
          <cell r="R8" t="str">
            <v>440.NA1</v>
          </cell>
          <cell r="S8">
            <v>0</v>
          </cell>
        </row>
        <row r="9">
          <cell r="R9" t="str">
            <v>440.NA2</v>
          </cell>
          <cell r="S9">
            <v>754492620.15740013</v>
          </cell>
        </row>
        <row r="10">
          <cell r="R10" t="str">
            <v>440.NA3</v>
          </cell>
          <cell r="S10">
            <v>0</v>
          </cell>
        </row>
        <row r="11">
          <cell r="R11" t="str">
            <v>442.NA</v>
          </cell>
          <cell r="S11">
            <v>0</v>
          </cell>
        </row>
        <row r="12">
          <cell r="R12" t="str">
            <v>442.S</v>
          </cell>
          <cell r="S12">
            <v>1240596131.3504443</v>
          </cell>
        </row>
        <row r="13">
          <cell r="R13" t="str">
            <v>442.SE</v>
          </cell>
          <cell r="S13">
            <v>0</v>
          </cell>
        </row>
        <row r="14">
          <cell r="R14" t="str">
            <v>442.SG</v>
          </cell>
          <cell r="S14">
            <v>0</v>
          </cell>
        </row>
        <row r="15">
          <cell r="R15" t="str">
            <v>442.NA1</v>
          </cell>
          <cell r="S15">
            <v>0</v>
          </cell>
        </row>
        <row r="16">
          <cell r="R16" t="str">
            <v>442.NA2</v>
          </cell>
          <cell r="S16">
            <v>0</v>
          </cell>
        </row>
        <row r="17">
          <cell r="R17" t="str">
            <v>442.NA3</v>
          </cell>
          <cell r="S17">
            <v>1240596131.3504443</v>
          </cell>
        </row>
        <row r="18">
          <cell r="R18" t="str">
            <v>442.NA4</v>
          </cell>
          <cell r="S18">
            <v>0</v>
          </cell>
        </row>
        <row r="19">
          <cell r="R19" t="str">
            <v>444.NA</v>
          </cell>
          <cell r="S19">
            <v>0</v>
          </cell>
        </row>
        <row r="20">
          <cell r="R20" t="str">
            <v>444.S</v>
          </cell>
          <cell r="S20">
            <v>6607193.900700001</v>
          </cell>
        </row>
        <row r="21">
          <cell r="R21" t="str">
            <v>444.SO</v>
          </cell>
          <cell r="S21">
            <v>0</v>
          </cell>
        </row>
        <row r="22">
          <cell r="R22" t="str">
            <v>444.NA1</v>
          </cell>
          <cell r="S22">
            <v>6607193.900700001</v>
          </cell>
        </row>
        <row r="23">
          <cell r="R23" t="str">
            <v>444.NA2</v>
          </cell>
          <cell r="S23">
            <v>0</v>
          </cell>
        </row>
        <row r="24">
          <cell r="R24" t="str">
            <v>445.NA</v>
          </cell>
          <cell r="S24">
            <v>0</v>
          </cell>
        </row>
        <row r="25">
          <cell r="R25" t="str">
            <v>445.S</v>
          </cell>
          <cell r="S25">
            <v>0</v>
          </cell>
        </row>
        <row r="26">
          <cell r="R26" t="str">
            <v>445.NA1</v>
          </cell>
          <cell r="S26">
            <v>0</v>
          </cell>
        </row>
        <row r="27">
          <cell r="R27" t="str">
            <v>445.NA2</v>
          </cell>
          <cell r="S27">
            <v>0</v>
          </cell>
        </row>
        <row r="28">
          <cell r="R28" t="str">
            <v>445.NA3</v>
          </cell>
          <cell r="S28">
            <v>0</v>
          </cell>
        </row>
        <row r="29">
          <cell r="R29" t="str">
            <v>448.NA</v>
          </cell>
          <cell r="S29">
            <v>0</v>
          </cell>
        </row>
        <row r="30">
          <cell r="R30" t="str">
            <v>448.S</v>
          </cell>
          <cell r="S30">
            <v>0</v>
          </cell>
        </row>
        <row r="31">
          <cell r="R31" t="str">
            <v>448.SO</v>
          </cell>
          <cell r="S31">
            <v>0</v>
          </cell>
        </row>
        <row r="32">
          <cell r="R32" t="str">
            <v>448.NA1</v>
          </cell>
          <cell r="S32">
            <v>0</v>
          </cell>
        </row>
        <row r="33">
          <cell r="R33" t="str">
            <v>448.NA2</v>
          </cell>
          <cell r="S33">
            <v>0</v>
          </cell>
        </row>
        <row r="34">
          <cell r="R34" t="str">
            <v>Total Sales to Ultimate Customers.NA</v>
          </cell>
          <cell r="S34">
            <v>2001695945.4085445</v>
          </cell>
        </row>
        <row r="35">
          <cell r="R35" t="str">
            <v>Total Sales to Ultimate Customers.NA1</v>
          </cell>
          <cell r="S35">
            <v>0</v>
          </cell>
        </row>
        <row r="36">
          <cell r="R36" t="str">
            <v>Total Sales to Ultimate Customers.NA2</v>
          </cell>
          <cell r="S36">
            <v>0</v>
          </cell>
        </row>
        <row r="37">
          <cell r="R37" t="str">
            <v>Total Sales to Ultimate Customers.NA3</v>
          </cell>
          <cell r="S37">
            <v>0</v>
          </cell>
        </row>
        <row r="38">
          <cell r="R38" t="str">
            <v>447.NA</v>
          </cell>
          <cell r="S38">
            <v>0</v>
          </cell>
        </row>
        <row r="39">
          <cell r="R39" t="str">
            <v>447.S</v>
          </cell>
          <cell r="S39">
            <v>13881155.484973999</v>
          </cell>
        </row>
        <row r="40">
          <cell r="R40" t="str">
            <v>447.NA1</v>
          </cell>
          <cell r="S40">
            <v>13881155.484973999</v>
          </cell>
        </row>
        <row r="41">
          <cell r="R41" t="str">
            <v>447.NA2</v>
          </cell>
          <cell r="S41">
            <v>0</v>
          </cell>
        </row>
        <row r="42">
          <cell r="R42" t="str">
            <v>447NPC.NA</v>
          </cell>
          <cell r="S42">
            <v>0</v>
          </cell>
        </row>
        <row r="43">
          <cell r="R43" t="str">
            <v>447NPC.SG</v>
          </cell>
          <cell r="S43">
            <v>98331705.216135547</v>
          </cell>
        </row>
        <row r="44">
          <cell r="R44" t="str">
            <v>447NPC.SE</v>
          </cell>
          <cell r="S44">
            <v>0</v>
          </cell>
        </row>
        <row r="45">
          <cell r="R45" t="str">
            <v>447NPC.SG1</v>
          </cell>
          <cell r="S45">
            <v>0</v>
          </cell>
        </row>
        <row r="46">
          <cell r="R46" t="str">
            <v>447NPC.NA1</v>
          </cell>
          <cell r="S46">
            <v>98331705.216135547</v>
          </cell>
        </row>
        <row r="47">
          <cell r="R47" t="str">
            <v>447NPC.NA2</v>
          </cell>
          <cell r="S47">
            <v>0</v>
          </cell>
        </row>
        <row r="48">
          <cell r="R48" t="str">
            <v>447NPC.NA3</v>
          </cell>
          <cell r="S48">
            <v>112212860.70110954</v>
          </cell>
        </row>
        <row r="49">
          <cell r="R49" t="str">
            <v>447NPC.NA4</v>
          </cell>
          <cell r="S49">
            <v>0</v>
          </cell>
        </row>
        <row r="50">
          <cell r="R50" t="str">
            <v>449.NA</v>
          </cell>
          <cell r="S50">
            <v>0</v>
          </cell>
        </row>
        <row r="51">
          <cell r="R51" t="str">
            <v>449.S</v>
          </cell>
          <cell r="S51">
            <v>0</v>
          </cell>
        </row>
        <row r="52">
          <cell r="R52" t="str">
            <v>449.SG</v>
          </cell>
          <cell r="S52">
            <v>0</v>
          </cell>
        </row>
        <row r="53">
          <cell r="R53" t="str">
            <v>449.NA1</v>
          </cell>
          <cell r="S53">
            <v>0</v>
          </cell>
        </row>
        <row r="54">
          <cell r="R54" t="str">
            <v>449.NA2</v>
          </cell>
          <cell r="S54">
            <v>0</v>
          </cell>
        </row>
        <row r="55">
          <cell r="R55" t="str">
            <v>449.NA3</v>
          </cell>
          <cell r="S55">
            <v>0</v>
          </cell>
        </row>
        <row r="56">
          <cell r="R56" t="str">
            <v>449.NA4</v>
          </cell>
          <cell r="S56">
            <v>0</v>
          </cell>
        </row>
        <row r="57">
          <cell r="R57" t="str">
            <v>Total Sales from Electricity.NA</v>
          </cell>
          <cell r="S57">
            <v>2113908806.1096542</v>
          </cell>
        </row>
        <row r="58">
          <cell r="R58" t="str">
            <v>450.NA</v>
          </cell>
          <cell r="S58">
            <v>0</v>
          </cell>
        </row>
        <row r="59">
          <cell r="R59" t="str">
            <v>450.S</v>
          </cell>
          <cell r="S59">
            <v>3311424.15</v>
          </cell>
        </row>
        <row r="60">
          <cell r="R60" t="str">
            <v>450.SO</v>
          </cell>
          <cell r="S60">
            <v>0</v>
          </cell>
        </row>
        <row r="61">
          <cell r="R61" t="str">
            <v>450.NA1</v>
          </cell>
          <cell r="S61">
            <v>3311424.15</v>
          </cell>
        </row>
        <row r="62">
          <cell r="R62" t="str">
            <v>450.NA2</v>
          </cell>
          <cell r="S62">
            <v>0</v>
          </cell>
        </row>
        <row r="63">
          <cell r="R63" t="str">
            <v>451.NA</v>
          </cell>
          <cell r="S63">
            <v>0</v>
          </cell>
        </row>
        <row r="64">
          <cell r="R64" t="str">
            <v>451.S</v>
          </cell>
          <cell r="S64">
            <v>1594179.9576694695</v>
          </cell>
        </row>
        <row r="65">
          <cell r="R65" t="str">
            <v>451.SG</v>
          </cell>
          <cell r="S65">
            <v>0</v>
          </cell>
        </row>
        <row r="66">
          <cell r="R66" t="str">
            <v>451.SO</v>
          </cell>
          <cell r="S66">
            <v>12548.948286113678</v>
          </cell>
        </row>
        <row r="67">
          <cell r="R67" t="str">
            <v>451.NA1</v>
          </cell>
          <cell r="S67">
            <v>1606728.9059555833</v>
          </cell>
        </row>
        <row r="68">
          <cell r="R68" t="str">
            <v>451.NA2</v>
          </cell>
          <cell r="S68">
            <v>0</v>
          </cell>
        </row>
        <row r="69">
          <cell r="R69" t="str">
            <v>453.NA</v>
          </cell>
          <cell r="S69">
            <v>0</v>
          </cell>
        </row>
        <row r="70">
          <cell r="R70" t="str">
            <v>453.SG</v>
          </cell>
          <cell r="S70">
            <v>23608.252343560944</v>
          </cell>
        </row>
        <row r="71">
          <cell r="R71" t="str">
            <v>453.NA1</v>
          </cell>
          <cell r="S71">
            <v>23608.252343560944</v>
          </cell>
        </row>
        <row r="72">
          <cell r="R72" t="str">
            <v>453.NA2</v>
          </cell>
          <cell r="S72">
            <v>0</v>
          </cell>
        </row>
        <row r="73">
          <cell r="R73" t="str">
            <v>454.NA</v>
          </cell>
          <cell r="S73">
            <v>0</v>
          </cell>
        </row>
        <row r="74">
          <cell r="R74" t="str">
            <v>454.S</v>
          </cell>
          <cell r="S74">
            <v>3974672.44</v>
          </cell>
        </row>
        <row r="75">
          <cell r="R75" t="str">
            <v>454.SG</v>
          </cell>
          <cell r="S75">
            <v>2380120.7947359825</v>
          </cell>
        </row>
        <row r="76">
          <cell r="R76" t="str">
            <v>454.SG1</v>
          </cell>
          <cell r="S76">
            <v>0</v>
          </cell>
        </row>
        <row r="77">
          <cell r="R77" t="str">
            <v>454.SO</v>
          </cell>
          <cell r="S77">
            <v>1144092.0353389741</v>
          </cell>
        </row>
        <row r="78">
          <cell r="R78" t="str">
            <v>454.NA1</v>
          </cell>
          <cell r="S78">
            <v>7498885.2700749561</v>
          </cell>
        </row>
        <row r="79">
          <cell r="R79" t="str">
            <v>454.NA2</v>
          </cell>
          <cell r="S79">
            <v>0</v>
          </cell>
        </row>
        <row r="80">
          <cell r="R80" t="str">
            <v>454.NA3</v>
          </cell>
          <cell r="S80">
            <v>0</v>
          </cell>
        </row>
        <row r="81">
          <cell r="R81" t="str">
            <v>454.NA4</v>
          </cell>
          <cell r="S81">
            <v>0</v>
          </cell>
        </row>
        <row r="82">
          <cell r="R82" t="str">
            <v>456.NA</v>
          </cell>
          <cell r="S82">
            <v>0</v>
          </cell>
        </row>
        <row r="83">
          <cell r="R83" t="str">
            <v>456.S</v>
          </cell>
          <cell r="S83">
            <v>-4613388.3097177828</v>
          </cell>
        </row>
        <row r="84">
          <cell r="R84" t="str">
            <v>456.CN</v>
          </cell>
          <cell r="S84">
            <v>0</v>
          </cell>
        </row>
        <row r="85">
          <cell r="R85" t="str">
            <v>456.SE</v>
          </cell>
          <cell r="S85">
            <v>6312007.8808473423</v>
          </cell>
        </row>
        <row r="86">
          <cell r="R86" t="str">
            <v>456.SO</v>
          </cell>
          <cell r="S86">
            <v>1931179.866175293</v>
          </cell>
        </row>
        <row r="87">
          <cell r="R87" t="str">
            <v>456.SG</v>
          </cell>
          <cell r="S87">
            <v>57454348.666026466</v>
          </cell>
        </row>
        <row r="88">
          <cell r="R88" t="str">
            <v>456.NA1</v>
          </cell>
          <cell r="S88">
            <v>0</v>
          </cell>
        </row>
        <row r="89">
          <cell r="R89" t="str">
            <v>456.NA2</v>
          </cell>
          <cell r="S89">
            <v>0</v>
          </cell>
        </row>
        <row r="90">
          <cell r="R90" t="str">
            <v>456.NA3</v>
          </cell>
          <cell r="S90">
            <v>61084148.10333132</v>
          </cell>
        </row>
        <row r="91">
          <cell r="R91" t="str">
            <v>456.NA4</v>
          </cell>
          <cell r="S91">
            <v>0</v>
          </cell>
        </row>
        <row r="92">
          <cell r="R92" t="str">
            <v>Total Other Electric Revenues.NA</v>
          </cell>
          <cell r="S92">
            <v>73524794.681705415</v>
          </cell>
        </row>
        <row r="93">
          <cell r="R93" t="str">
            <v>Total Other Electric Revenues.NA1</v>
          </cell>
          <cell r="S93">
            <v>0</v>
          </cell>
        </row>
        <row r="94">
          <cell r="R94" t="str">
            <v>Total Electric Operating Revenues.NA</v>
          </cell>
          <cell r="S94">
            <v>2187433600.7913594</v>
          </cell>
        </row>
        <row r="95">
          <cell r="R95" t="str">
            <v>Total Electric Operating Revenues.NA1</v>
          </cell>
          <cell r="S95">
            <v>0</v>
          </cell>
        </row>
        <row r="96">
          <cell r="R96" t="str">
            <v>Summary of Revenues by Factor.NA</v>
          </cell>
          <cell r="S96">
            <v>0</v>
          </cell>
        </row>
        <row r="97">
          <cell r="R97" t="str">
            <v>Summary of Revenues by Factor.NA1</v>
          </cell>
          <cell r="S97">
            <v>2019843989.1314702</v>
          </cell>
        </row>
        <row r="98">
          <cell r="R98" t="str">
            <v>Summary of Revenues by Factor.NA2</v>
          </cell>
          <cell r="S98">
            <v>0</v>
          </cell>
        </row>
        <row r="99">
          <cell r="R99" t="str">
            <v>Summary of Revenues by Factor.NA3</v>
          </cell>
          <cell r="S99">
            <v>6312007.8808473423</v>
          </cell>
        </row>
        <row r="100">
          <cell r="R100" t="str">
            <v>Summary of Revenues by Factor.NA4</v>
          </cell>
          <cell r="S100">
            <v>3087820.8498003809</v>
          </cell>
        </row>
        <row r="101">
          <cell r="R101" t="str">
            <v>Summary of Revenues by Factor.NA5</v>
          </cell>
          <cell r="S101">
            <v>158189782.92924157</v>
          </cell>
        </row>
        <row r="102">
          <cell r="R102" t="str">
            <v>Summary of Revenues by Factor.NA6</v>
          </cell>
          <cell r="S102">
            <v>0</v>
          </cell>
        </row>
        <row r="103">
          <cell r="R103" t="str">
            <v>Summary of Revenues by Factor.NA7</v>
          </cell>
          <cell r="S103">
            <v>0</v>
          </cell>
        </row>
        <row r="104">
          <cell r="R104" t="str">
            <v>Total Electric Operating Revenues.NA2</v>
          </cell>
          <cell r="S104">
            <v>2187433600.7913594</v>
          </cell>
        </row>
        <row r="105">
          <cell r="R105" t="str">
            <v>Miscellaneous Revenues.NA</v>
          </cell>
          <cell r="S105">
            <v>0</v>
          </cell>
        </row>
        <row r="106">
          <cell r="R106" t="str">
            <v>41160.NA</v>
          </cell>
          <cell r="S106">
            <v>0</v>
          </cell>
        </row>
        <row r="107">
          <cell r="R107" t="str">
            <v>41160.S</v>
          </cell>
          <cell r="S107">
            <v>0</v>
          </cell>
        </row>
        <row r="108">
          <cell r="R108" t="str">
            <v>41160.SG</v>
          </cell>
          <cell r="S108">
            <v>0</v>
          </cell>
        </row>
        <row r="109">
          <cell r="R109" t="str">
            <v>41160.SO</v>
          </cell>
          <cell r="S109">
            <v>0</v>
          </cell>
        </row>
        <row r="110">
          <cell r="R110" t="str">
            <v>41160.SG1</v>
          </cell>
          <cell r="S110">
            <v>0</v>
          </cell>
        </row>
        <row r="111">
          <cell r="R111" t="str">
            <v>41160.SG2</v>
          </cell>
          <cell r="S111">
            <v>0</v>
          </cell>
        </row>
        <row r="112">
          <cell r="R112" t="str">
            <v>41160.NA1</v>
          </cell>
          <cell r="S112">
            <v>0</v>
          </cell>
        </row>
        <row r="113">
          <cell r="R113" t="str">
            <v>41160.NA2</v>
          </cell>
          <cell r="S113">
            <v>0</v>
          </cell>
        </row>
        <row r="114">
          <cell r="R114" t="str">
            <v>41170.NA</v>
          </cell>
          <cell r="S114">
            <v>0</v>
          </cell>
        </row>
        <row r="115">
          <cell r="R115" t="str">
            <v>41170.S</v>
          </cell>
          <cell r="S115">
            <v>0</v>
          </cell>
        </row>
        <row r="116">
          <cell r="R116" t="str">
            <v>41170.SG</v>
          </cell>
          <cell r="S116">
            <v>0</v>
          </cell>
        </row>
        <row r="117">
          <cell r="R117" t="str">
            <v>41170.NA1</v>
          </cell>
          <cell r="S117">
            <v>0</v>
          </cell>
        </row>
        <row r="118">
          <cell r="R118" t="str">
            <v>41170.NA2</v>
          </cell>
          <cell r="S118">
            <v>0</v>
          </cell>
        </row>
        <row r="119">
          <cell r="R119" t="str">
            <v>4118.NA</v>
          </cell>
          <cell r="S119">
            <v>0</v>
          </cell>
        </row>
        <row r="120">
          <cell r="R120" t="str">
            <v>4118.S</v>
          </cell>
          <cell r="S120">
            <v>0</v>
          </cell>
        </row>
        <row r="121">
          <cell r="R121" t="str">
            <v>4118.SE</v>
          </cell>
          <cell r="S121">
            <v>-75.162324787912183</v>
          </cell>
        </row>
        <row r="122">
          <cell r="R122" t="str">
            <v>4118.NA1</v>
          </cell>
          <cell r="S122">
            <v>-75.162324787912183</v>
          </cell>
        </row>
        <row r="123">
          <cell r="R123" t="str">
            <v>4118.NA2</v>
          </cell>
          <cell r="S123">
            <v>0</v>
          </cell>
        </row>
        <row r="124">
          <cell r="R124" t="str">
            <v>41181.NA</v>
          </cell>
          <cell r="S124">
            <v>0</v>
          </cell>
        </row>
        <row r="125">
          <cell r="R125" t="str">
            <v>41181.SE</v>
          </cell>
          <cell r="S125">
            <v>0</v>
          </cell>
        </row>
        <row r="126">
          <cell r="R126" t="str">
            <v>41181.NA1</v>
          </cell>
          <cell r="S126">
            <v>0</v>
          </cell>
        </row>
        <row r="127">
          <cell r="R127" t="str">
            <v>41181.NA2</v>
          </cell>
          <cell r="S127">
            <v>0</v>
          </cell>
        </row>
        <row r="128">
          <cell r="R128" t="str">
            <v>4194.NA</v>
          </cell>
          <cell r="S128">
            <v>0</v>
          </cell>
        </row>
        <row r="129">
          <cell r="R129" t="str">
            <v>4194.SG</v>
          </cell>
          <cell r="S129">
            <v>0</v>
          </cell>
        </row>
        <row r="130">
          <cell r="R130" t="str">
            <v>4194.NA1</v>
          </cell>
          <cell r="S130">
            <v>0</v>
          </cell>
        </row>
        <row r="131">
          <cell r="R131" t="str">
            <v>4194.NA2</v>
          </cell>
          <cell r="S131">
            <v>0</v>
          </cell>
        </row>
        <row r="132">
          <cell r="R132" t="str">
            <v>421.NA</v>
          </cell>
          <cell r="S132">
            <v>0</v>
          </cell>
        </row>
        <row r="133">
          <cell r="R133" t="str">
            <v>421.S</v>
          </cell>
          <cell r="S133">
            <v>-91.02</v>
          </cell>
        </row>
        <row r="134">
          <cell r="R134" t="str">
            <v>421.SG</v>
          </cell>
          <cell r="S134">
            <v>0</v>
          </cell>
        </row>
        <row r="135">
          <cell r="R135" t="str">
            <v>421.SG1</v>
          </cell>
          <cell r="S135">
            <v>0</v>
          </cell>
        </row>
        <row r="136">
          <cell r="R136" t="str">
            <v>421.CN</v>
          </cell>
          <cell r="S136">
            <v>0</v>
          </cell>
        </row>
        <row r="137">
          <cell r="R137" t="str">
            <v>421.SO</v>
          </cell>
          <cell r="S137">
            <v>-1677.3015549207457</v>
          </cell>
        </row>
        <row r="138">
          <cell r="R138" t="str">
            <v>421.SG2</v>
          </cell>
          <cell r="S138">
            <v>-467272.28749242058</v>
          </cell>
        </row>
        <row r="139">
          <cell r="R139" t="str">
            <v>421.NA1</v>
          </cell>
          <cell r="S139">
            <v>-469040.60904734134</v>
          </cell>
        </row>
        <row r="140">
          <cell r="R140" t="str">
            <v>421.NA2</v>
          </cell>
          <cell r="S140">
            <v>0</v>
          </cell>
        </row>
        <row r="141">
          <cell r="R141" t="str">
            <v>Total Miscellaneous Revenues.NA</v>
          </cell>
          <cell r="S141">
            <v>-469115.77137212927</v>
          </cell>
        </row>
        <row r="142">
          <cell r="R142" t="str">
            <v>Miscellaneous Expenses.NA</v>
          </cell>
          <cell r="S142">
            <v>0</v>
          </cell>
        </row>
        <row r="143">
          <cell r="R143" t="str">
            <v>4311.NA</v>
          </cell>
          <cell r="S143">
            <v>0</v>
          </cell>
        </row>
        <row r="144">
          <cell r="R144" t="str">
            <v>4311.S</v>
          </cell>
          <cell r="S144">
            <v>681135.72</v>
          </cell>
        </row>
        <row r="145">
          <cell r="R145" t="str">
            <v>4311.NA1</v>
          </cell>
          <cell r="S145">
            <v>681135.72</v>
          </cell>
        </row>
        <row r="146">
          <cell r="R146" t="str">
            <v>Total Miscellaneous Expenses.NA</v>
          </cell>
          <cell r="S146">
            <v>681135.72</v>
          </cell>
        </row>
        <row r="147">
          <cell r="R147" t="str">
            <v>Total Miscellaneous Expenses.NA1</v>
          </cell>
          <cell r="S147">
            <v>0</v>
          </cell>
        </row>
        <row r="148">
          <cell r="R148" t="str">
            <v>Net Misc Revenue and Expense.NA</v>
          </cell>
          <cell r="S148">
            <v>212019.9486278707</v>
          </cell>
        </row>
        <row r="149">
          <cell r="R149" t="str">
            <v>Net Misc Revenue and Expense.NA1</v>
          </cell>
          <cell r="S149">
            <v>0</v>
          </cell>
        </row>
        <row r="150">
          <cell r="R150" t="str">
            <v>500.NA</v>
          </cell>
          <cell r="S150">
            <v>0</v>
          </cell>
        </row>
        <row r="151">
          <cell r="R151" t="str">
            <v>500.SG</v>
          </cell>
          <cell r="S151">
            <v>7543208.386775272</v>
          </cell>
        </row>
        <row r="152">
          <cell r="R152" t="str">
            <v>500.SG1</v>
          </cell>
          <cell r="S152">
            <v>1060549.7298314723</v>
          </cell>
        </row>
        <row r="153">
          <cell r="R153" t="str">
            <v>500.SG2</v>
          </cell>
          <cell r="S153">
            <v>0</v>
          </cell>
        </row>
        <row r="154">
          <cell r="R154" t="str">
            <v>500.NA1</v>
          </cell>
          <cell r="S154">
            <v>8603758.116606744</v>
          </cell>
        </row>
        <row r="155">
          <cell r="R155" t="str">
            <v>500.NA2</v>
          </cell>
          <cell r="S155">
            <v>0</v>
          </cell>
        </row>
        <row r="156">
          <cell r="R156" t="str">
            <v>501.NA</v>
          </cell>
          <cell r="S156">
            <v>0</v>
          </cell>
        </row>
        <row r="157">
          <cell r="R157" t="str">
            <v>501.S</v>
          </cell>
          <cell r="S157">
            <v>0</v>
          </cell>
        </row>
        <row r="158">
          <cell r="R158" t="str">
            <v>501.SE</v>
          </cell>
          <cell r="S158">
            <v>6807366.321144253</v>
          </cell>
        </row>
        <row r="159">
          <cell r="R159" t="str">
            <v>501.SE1</v>
          </cell>
          <cell r="S159">
            <v>0</v>
          </cell>
        </row>
        <row r="160">
          <cell r="R160" t="str">
            <v>501.SE2</v>
          </cell>
          <cell r="S160">
            <v>0</v>
          </cell>
        </row>
        <row r="161">
          <cell r="R161" t="str">
            <v>501.SE3</v>
          </cell>
          <cell r="S161">
            <v>1279410.7489504511</v>
          </cell>
        </row>
        <row r="162">
          <cell r="R162" t="str">
            <v>501.NA1</v>
          </cell>
          <cell r="S162">
            <v>8086777.0700947046</v>
          </cell>
        </row>
        <row r="163">
          <cell r="R163" t="str">
            <v>501.NA2</v>
          </cell>
          <cell r="S163">
            <v>0</v>
          </cell>
        </row>
        <row r="164">
          <cell r="R164" t="str">
            <v>501NPC.NA</v>
          </cell>
          <cell r="S164">
            <v>0</v>
          </cell>
        </row>
        <row r="165">
          <cell r="R165" t="str">
            <v>501NPC.S</v>
          </cell>
          <cell r="S165">
            <v>0</v>
          </cell>
        </row>
        <row r="166">
          <cell r="R166" t="str">
            <v>501NPC.SE</v>
          </cell>
          <cell r="S166">
            <v>243279280.32286686</v>
          </cell>
        </row>
        <row r="167">
          <cell r="R167" t="str">
            <v>501NPC.SE1</v>
          </cell>
          <cell r="S167">
            <v>0</v>
          </cell>
        </row>
        <row r="168">
          <cell r="R168" t="str">
            <v>501NPC.SE2</v>
          </cell>
          <cell r="S168">
            <v>0</v>
          </cell>
        </row>
        <row r="169">
          <cell r="R169" t="str">
            <v>501NPC.SE3</v>
          </cell>
          <cell r="S169">
            <v>16734711.768136023</v>
          </cell>
        </row>
        <row r="170">
          <cell r="R170" t="str">
            <v>501NPC.NA1</v>
          </cell>
          <cell r="S170">
            <v>260013992.09100288</v>
          </cell>
        </row>
        <row r="171">
          <cell r="R171" t="str">
            <v>501NPC.NA2</v>
          </cell>
          <cell r="S171">
            <v>0</v>
          </cell>
        </row>
        <row r="172">
          <cell r="R172" t="str">
            <v>501NPC.NA3</v>
          </cell>
          <cell r="S172">
            <v>268100769.16109759</v>
          </cell>
        </row>
        <row r="173">
          <cell r="R173" t="str">
            <v>501NPC.NA4</v>
          </cell>
          <cell r="S173">
            <v>0</v>
          </cell>
        </row>
        <row r="174">
          <cell r="R174" t="str">
            <v>502.NA</v>
          </cell>
          <cell r="S174">
            <v>0</v>
          </cell>
        </row>
        <row r="175">
          <cell r="R175" t="str">
            <v>502.SG</v>
          </cell>
          <cell r="S175">
            <v>33499308.807423498</v>
          </cell>
        </row>
        <row r="176">
          <cell r="R176" t="str">
            <v>502.SG1</v>
          </cell>
          <cell r="S176">
            <v>3272715.3934691902</v>
          </cell>
        </row>
        <row r="177">
          <cell r="R177" t="str">
            <v>502.SG2</v>
          </cell>
          <cell r="S177">
            <v>0</v>
          </cell>
        </row>
        <row r="178">
          <cell r="R178" t="str">
            <v>502.NA1</v>
          </cell>
          <cell r="S178">
            <v>36772024.200892687</v>
          </cell>
        </row>
        <row r="179">
          <cell r="R179" t="str">
            <v>502.NA2</v>
          </cell>
          <cell r="S179">
            <v>0</v>
          </cell>
        </row>
        <row r="180">
          <cell r="R180" t="str">
            <v>503.NA</v>
          </cell>
          <cell r="S180">
            <v>0</v>
          </cell>
        </row>
        <row r="181">
          <cell r="R181" t="str">
            <v>503.SE</v>
          </cell>
          <cell r="S181">
            <v>4067.6341991875697</v>
          </cell>
        </row>
        <row r="182">
          <cell r="R182" t="str">
            <v>503.NA1</v>
          </cell>
          <cell r="S182">
            <v>4067.6341991875697</v>
          </cell>
        </row>
        <row r="183">
          <cell r="R183" t="str">
            <v>503.NA2</v>
          </cell>
          <cell r="S183">
            <v>0</v>
          </cell>
        </row>
        <row r="184">
          <cell r="R184" t="str">
            <v>503NPC.NA</v>
          </cell>
          <cell r="S184">
            <v>0</v>
          </cell>
        </row>
        <row r="185">
          <cell r="R185" t="str">
            <v>503NPC.SE</v>
          </cell>
          <cell r="S185">
            <v>1949954.176128506</v>
          </cell>
        </row>
        <row r="186">
          <cell r="R186" t="str">
            <v>503NPC.NA1</v>
          </cell>
          <cell r="S186">
            <v>1949954.176128506</v>
          </cell>
        </row>
        <row r="187">
          <cell r="R187" t="str">
            <v>503NPC.NA2</v>
          </cell>
          <cell r="S187">
            <v>0</v>
          </cell>
        </row>
        <row r="188">
          <cell r="R188" t="str">
            <v>505.NA</v>
          </cell>
          <cell r="S188">
            <v>0</v>
          </cell>
        </row>
        <row r="189">
          <cell r="R189" t="str">
            <v>505.SG</v>
          </cell>
          <cell r="S189">
            <v>549832.84760811017</v>
          </cell>
        </row>
        <row r="190">
          <cell r="R190" t="str">
            <v>505.SG1</v>
          </cell>
          <cell r="S190">
            <v>139083.39878921871</v>
          </cell>
        </row>
        <row r="191">
          <cell r="R191" t="str">
            <v>505.SG2</v>
          </cell>
          <cell r="S191">
            <v>0</v>
          </cell>
        </row>
        <row r="192">
          <cell r="R192" t="str">
            <v>505.NA1</v>
          </cell>
          <cell r="S192">
            <v>688916.24639732891</v>
          </cell>
        </row>
        <row r="193">
          <cell r="R193" t="str">
            <v>505.NA2</v>
          </cell>
          <cell r="S193">
            <v>0</v>
          </cell>
        </row>
        <row r="194">
          <cell r="R194" t="str">
            <v>506.NA</v>
          </cell>
          <cell r="S194" t="str">
            <v xml:space="preserve"> </v>
          </cell>
        </row>
        <row r="195">
          <cell r="R195" t="str">
            <v>506.S</v>
          </cell>
          <cell r="S195">
            <v>0</v>
          </cell>
        </row>
        <row r="196">
          <cell r="R196" t="str">
            <v>506.SG</v>
          </cell>
          <cell r="S196">
            <v>12384343.680749115</v>
          </cell>
        </row>
        <row r="197">
          <cell r="R197" t="str">
            <v>506.SG1</v>
          </cell>
          <cell r="S197">
            <v>-10714933.280187378</v>
          </cell>
        </row>
        <row r="198">
          <cell r="R198" t="str">
            <v>506.SG2</v>
          </cell>
          <cell r="S198">
            <v>922799.43411351659</v>
          </cell>
        </row>
        <row r="199">
          <cell r="R199" t="str">
            <v>506.NA1</v>
          </cell>
          <cell r="S199">
            <v>2592209.8346752534</v>
          </cell>
        </row>
        <row r="200">
          <cell r="R200" t="str">
            <v>506.NA2</v>
          </cell>
          <cell r="S200">
            <v>0</v>
          </cell>
        </row>
        <row r="201">
          <cell r="R201" t="str">
            <v>507.NA</v>
          </cell>
          <cell r="S201">
            <v>0</v>
          </cell>
        </row>
        <row r="202">
          <cell r="R202" t="str">
            <v>507.SG</v>
          </cell>
          <cell r="S202">
            <v>221368.37937197686</v>
          </cell>
        </row>
        <row r="203">
          <cell r="R203" t="str">
            <v>507.SG1</v>
          </cell>
          <cell r="S203">
            <v>0</v>
          </cell>
        </row>
        <row r="204">
          <cell r="R204" t="str">
            <v>507.NA1</v>
          </cell>
          <cell r="S204">
            <v>221368.37937197686</v>
          </cell>
        </row>
        <row r="205">
          <cell r="R205" t="str">
            <v>507.NA2</v>
          </cell>
          <cell r="S205">
            <v>0</v>
          </cell>
        </row>
        <row r="206">
          <cell r="R206" t="str">
            <v>510.NA</v>
          </cell>
          <cell r="S206">
            <v>0</v>
          </cell>
        </row>
        <row r="207">
          <cell r="R207" t="str">
            <v>510.SG</v>
          </cell>
          <cell r="S207">
            <v>2305940.7207770292</v>
          </cell>
        </row>
        <row r="208">
          <cell r="R208" t="str">
            <v>510.SG1</v>
          </cell>
          <cell r="S208">
            <v>0</v>
          </cell>
        </row>
        <row r="209">
          <cell r="R209" t="str">
            <v>510.SG2</v>
          </cell>
          <cell r="S209">
            <v>-1619543.503294508</v>
          </cell>
        </row>
        <row r="210">
          <cell r="R210" t="str">
            <v>510.NA1</v>
          </cell>
          <cell r="S210">
            <v>686397.2174825212</v>
          </cell>
        </row>
        <row r="211">
          <cell r="R211" t="str">
            <v>510.NA2</v>
          </cell>
          <cell r="S211">
            <v>0</v>
          </cell>
        </row>
        <row r="212">
          <cell r="R212" t="str">
            <v>510.NA3</v>
          </cell>
          <cell r="S212">
            <v>0</v>
          </cell>
        </row>
        <row r="213">
          <cell r="R213" t="str">
            <v>510.NA4</v>
          </cell>
          <cell r="S213">
            <v>0</v>
          </cell>
        </row>
        <row r="214">
          <cell r="R214" t="str">
            <v>511.NA</v>
          </cell>
          <cell r="S214">
            <v>0</v>
          </cell>
        </row>
        <row r="215">
          <cell r="R215" t="str">
            <v>511.SG</v>
          </cell>
          <cell r="S215">
            <v>10720627.75186976</v>
          </cell>
        </row>
        <row r="216">
          <cell r="R216" t="str">
            <v>511.SG1</v>
          </cell>
          <cell r="S216">
            <v>1960061.0824060186</v>
          </cell>
        </row>
        <row r="217">
          <cell r="R217" t="str">
            <v>511.SG2</v>
          </cell>
          <cell r="S217">
            <v>0</v>
          </cell>
        </row>
        <row r="218">
          <cell r="R218" t="str">
            <v>511.NA1</v>
          </cell>
          <cell r="S218">
            <v>12680688.834275778</v>
          </cell>
        </row>
        <row r="219">
          <cell r="R219" t="str">
            <v>511.NA2</v>
          </cell>
          <cell r="S219">
            <v>0</v>
          </cell>
        </row>
        <row r="220">
          <cell r="R220" t="str">
            <v>512.NA</v>
          </cell>
          <cell r="S220">
            <v>0</v>
          </cell>
        </row>
        <row r="221">
          <cell r="R221" t="str">
            <v>512.SG</v>
          </cell>
          <cell r="S221">
            <v>38801284.97698766</v>
          </cell>
        </row>
        <row r="222">
          <cell r="R222" t="str">
            <v>512.SG1</v>
          </cell>
          <cell r="S222">
            <v>2176152.7367173596</v>
          </cell>
        </row>
        <row r="223">
          <cell r="R223" t="str">
            <v>512.SG2</v>
          </cell>
          <cell r="S223">
            <v>0</v>
          </cell>
        </row>
        <row r="224">
          <cell r="R224" t="str">
            <v>512.NA1</v>
          </cell>
          <cell r="S224">
            <v>40977437.713705018</v>
          </cell>
        </row>
        <row r="225">
          <cell r="R225" t="str">
            <v>512.NA2</v>
          </cell>
          <cell r="S225">
            <v>0</v>
          </cell>
        </row>
        <row r="226">
          <cell r="R226" t="str">
            <v>513.NA</v>
          </cell>
          <cell r="S226">
            <v>0</v>
          </cell>
        </row>
        <row r="227">
          <cell r="R227" t="str">
            <v>513.SG</v>
          </cell>
          <cell r="S227">
            <v>17686990.106663641</v>
          </cell>
        </row>
        <row r="228">
          <cell r="R228" t="str">
            <v>513.SG1</v>
          </cell>
          <cell r="S228">
            <v>473277.89647205244</v>
          </cell>
        </row>
        <row r="229">
          <cell r="R229" t="str">
            <v>513.SG2</v>
          </cell>
          <cell r="S229">
            <v>0</v>
          </cell>
        </row>
        <row r="230">
          <cell r="R230" t="str">
            <v>513.NA1</v>
          </cell>
          <cell r="S230">
            <v>18160268.003135692</v>
          </cell>
        </row>
        <row r="231">
          <cell r="R231" t="str">
            <v>513.NA2</v>
          </cell>
          <cell r="S231">
            <v>0</v>
          </cell>
        </row>
        <row r="232">
          <cell r="R232" t="str">
            <v>514.NA</v>
          </cell>
          <cell r="S232">
            <v>0</v>
          </cell>
        </row>
        <row r="233">
          <cell r="R233" t="str">
            <v>514.SG</v>
          </cell>
          <cell r="S233">
            <v>4107884.9383990322</v>
          </cell>
        </row>
        <row r="234">
          <cell r="R234" t="str">
            <v>514.SG1</v>
          </cell>
          <cell r="S234">
            <v>627434.94822544022</v>
          </cell>
        </row>
        <row r="235">
          <cell r="R235" t="str">
            <v>514.SG2</v>
          </cell>
          <cell r="S235">
            <v>0</v>
          </cell>
        </row>
        <row r="236">
          <cell r="R236" t="str">
            <v>514.NA1</v>
          </cell>
          <cell r="S236">
            <v>4735319.8866244722</v>
          </cell>
        </row>
        <row r="237">
          <cell r="R237" t="str">
            <v>514.NA2</v>
          </cell>
          <cell r="S237">
            <v>0</v>
          </cell>
        </row>
        <row r="238">
          <cell r="R238" t="str">
            <v>Total Steam Power Generation.NA</v>
          </cell>
          <cell r="S238">
            <v>396173179.40459269</v>
          </cell>
        </row>
        <row r="239">
          <cell r="R239" t="str">
            <v>517.NA</v>
          </cell>
          <cell r="S239">
            <v>0</v>
          </cell>
        </row>
        <row r="240">
          <cell r="R240" t="str">
            <v>517.SG</v>
          </cell>
          <cell r="S240">
            <v>0</v>
          </cell>
        </row>
        <row r="241">
          <cell r="R241" t="str">
            <v>517.NA1</v>
          </cell>
          <cell r="S241">
            <v>0</v>
          </cell>
        </row>
        <row r="242">
          <cell r="R242" t="str">
            <v>517.NA2</v>
          </cell>
          <cell r="S242">
            <v>0</v>
          </cell>
        </row>
        <row r="243">
          <cell r="R243" t="str">
            <v>518.NA</v>
          </cell>
          <cell r="S243">
            <v>0</v>
          </cell>
        </row>
        <row r="244">
          <cell r="R244" t="str">
            <v>518.SE</v>
          </cell>
          <cell r="S244">
            <v>0</v>
          </cell>
        </row>
        <row r="245">
          <cell r="R245" t="str">
            <v>518.NA1</v>
          </cell>
          <cell r="S245">
            <v>0</v>
          </cell>
        </row>
        <row r="246">
          <cell r="R246" t="str">
            <v>518.NA2</v>
          </cell>
          <cell r="S246">
            <v>0</v>
          </cell>
        </row>
        <row r="247">
          <cell r="R247" t="str">
            <v>518.NA3</v>
          </cell>
          <cell r="S247">
            <v>0</v>
          </cell>
        </row>
        <row r="248">
          <cell r="R248" t="str">
            <v>519.NA</v>
          </cell>
          <cell r="S248">
            <v>0</v>
          </cell>
        </row>
        <row r="249">
          <cell r="R249" t="str">
            <v>519.SG</v>
          </cell>
          <cell r="S249">
            <v>0</v>
          </cell>
        </row>
        <row r="250">
          <cell r="R250" t="str">
            <v>519.NA1</v>
          </cell>
          <cell r="S250">
            <v>0</v>
          </cell>
        </row>
        <row r="251">
          <cell r="R251" t="str">
            <v>519.NA2</v>
          </cell>
          <cell r="S251">
            <v>0</v>
          </cell>
        </row>
        <row r="252">
          <cell r="R252" t="str">
            <v>520.NA</v>
          </cell>
          <cell r="S252">
            <v>0</v>
          </cell>
        </row>
        <row r="253">
          <cell r="R253" t="str">
            <v>520.SG</v>
          </cell>
          <cell r="S253">
            <v>0</v>
          </cell>
        </row>
        <row r="254">
          <cell r="R254" t="str">
            <v>520.NA1</v>
          </cell>
          <cell r="S254">
            <v>0</v>
          </cell>
        </row>
        <row r="255">
          <cell r="R255" t="str">
            <v>520.NA2</v>
          </cell>
          <cell r="S255">
            <v>0</v>
          </cell>
        </row>
        <row r="256">
          <cell r="R256" t="str">
            <v>520.NA3</v>
          </cell>
          <cell r="S256">
            <v>0</v>
          </cell>
        </row>
        <row r="257">
          <cell r="R257" t="str">
            <v>520.NA4</v>
          </cell>
          <cell r="S257">
            <v>0</v>
          </cell>
        </row>
        <row r="258">
          <cell r="R258" t="str">
            <v>523.NA</v>
          </cell>
          <cell r="S258">
            <v>0</v>
          </cell>
        </row>
        <row r="259">
          <cell r="R259" t="str">
            <v>523.SG</v>
          </cell>
          <cell r="S259">
            <v>0</v>
          </cell>
        </row>
        <row r="260">
          <cell r="R260" t="str">
            <v>523.NA1</v>
          </cell>
          <cell r="S260">
            <v>0</v>
          </cell>
        </row>
        <row r="261">
          <cell r="R261" t="str">
            <v>523.NA2</v>
          </cell>
          <cell r="S261">
            <v>0</v>
          </cell>
        </row>
        <row r="262">
          <cell r="R262" t="str">
            <v>524.NA</v>
          </cell>
          <cell r="S262">
            <v>0</v>
          </cell>
        </row>
        <row r="263">
          <cell r="R263" t="str">
            <v>524.SG</v>
          </cell>
          <cell r="S263">
            <v>0</v>
          </cell>
        </row>
        <row r="264">
          <cell r="R264" t="str">
            <v>524.NA1</v>
          </cell>
          <cell r="S264">
            <v>0</v>
          </cell>
        </row>
        <row r="265">
          <cell r="R265" t="str">
            <v>524.NA2</v>
          </cell>
          <cell r="S265">
            <v>0</v>
          </cell>
        </row>
        <row r="266">
          <cell r="R266" t="str">
            <v>528.NA</v>
          </cell>
          <cell r="S266">
            <v>0</v>
          </cell>
        </row>
        <row r="267">
          <cell r="R267" t="str">
            <v>528.SG</v>
          </cell>
          <cell r="S267">
            <v>0</v>
          </cell>
        </row>
        <row r="268">
          <cell r="R268" t="str">
            <v>528.NA1</v>
          </cell>
          <cell r="S268">
            <v>0</v>
          </cell>
        </row>
        <row r="269">
          <cell r="R269" t="str">
            <v>528.NA2</v>
          </cell>
          <cell r="S269">
            <v>0</v>
          </cell>
        </row>
        <row r="270">
          <cell r="R270" t="str">
            <v>529.NA</v>
          </cell>
          <cell r="S270">
            <v>0</v>
          </cell>
        </row>
        <row r="271">
          <cell r="R271" t="str">
            <v>529.SG</v>
          </cell>
          <cell r="S271">
            <v>0</v>
          </cell>
        </row>
        <row r="272">
          <cell r="R272" t="str">
            <v>529.NA1</v>
          </cell>
          <cell r="S272">
            <v>0</v>
          </cell>
        </row>
        <row r="273">
          <cell r="R273" t="str">
            <v>529.NA2</v>
          </cell>
          <cell r="S273">
            <v>0</v>
          </cell>
        </row>
        <row r="274">
          <cell r="R274" t="str">
            <v>530.NA</v>
          </cell>
          <cell r="S274">
            <v>0</v>
          </cell>
        </row>
        <row r="275">
          <cell r="R275" t="str">
            <v>530.SG</v>
          </cell>
          <cell r="S275">
            <v>0</v>
          </cell>
        </row>
        <row r="276">
          <cell r="R276" t="str">
            <v>530.NA1</v>
          </cell>
          <cell r="S276">
            <v>0</v>
          </cell>
        </row>
        <row r="277">
          <cell r="R277" t="str">
            <v>530.NA2</v>
          </cell>
          <cell r="S277">
            <v>0</v>
          </cell>
        </row>
        <row r="278">
          <cell r="R278" t="str">
            <v>531.NA</v>
          </cell>
          <cell r="S278">
            <v>0</v>
          </cell>
        </row>
        <row r="279">
          <cell r="R279" t="str">
            <v>531.SG</v>
          </cell>
          <cell r="S279">
            <v>0</v>
          </cell>
        </row>
        <row r="280">
          <cell r="R280" t="str">
            <v>531.NA1</v>
          </cell>
          <cell r="S280">
            <v>0</v>
          </cell>
        </row>
        <row r="281">
          <cell r="R281" t="str">
            <v>531.NA2</v>
          </cell>
          <cell r="S281">
            <v>0</v>
          </cell>
        </row>
        <row r="282">
          <cell r="R282" t="str">
            <v>532.NA</v>
          </cell>
          <cell r="S282">
            <v>0</v>
          </cell>
        </row>
        <row r="283">
          <cell r="R283" t="str">
            <v>532.SG</v>
          </cell>
          <cell r="S283">
            <v>0</v>
          </cell>
        </row>
        <row r="284">
          <cell r="R284" t="str">
            <v>532.NA1</v>
          </cell>
          <cell r="S284">
            <v>0</v>
          </cell>
        </row>
        <row r="285">
          <cell r="R285" t="str">
            <v>532.NA2</v>
          </cell>
          <cell r="S285">
            <v>0</v>
          </cell>
        </row>
        <row r="286">
          <cell r="R286" t="str">
            <v>Total Nuclear Power Generation.NA</v>
          </cell>
          <cell r="S286">
            <v>0</v>
          </cell>
        </row>
        <row r="287">
          <cell r="R287" t="str">
            <v>Total Nuclear Power Generation.NA1</v>
          </cell>
          <cell r="S287">
            <v>0</v>
          </cell>
        </row>
        <row r="288">
          <cell r="R288" t="str">
            <v>535.NA</v>
          </cell>
          <cell r="S288">
            <v>0</v>
          </cell>
        </row>
        <row r="289">
          <cell r="R289" t="str">
            <v>535.SG</v>
          </cell>
          <cell r="S289">
            <v>0</v>
          </cell>
        </row>
        <row r="290">
          <cell r="R290" t="str">
            <v>535.SG1</v>
          </cell>
          <cell r="S290">
            <v>0</v>
          </cell>
        </row>
        <row r="291">
          <cell r="R291" t="str">
            <v>535.SG2</v>
          </cell>
          <cell r="S291">
            <v>3861681.6808473845</v>
          </cell>
        </row>
        <row r="292">
          <cell r="R292" t="str">
            <v>535.SG3</v>
          </cell>
          <cell r="S292">
            <v>809889.99338177184</v>
          </cell>
        </row>
        <row r="293">
          <cell r="R293" t="str">
            <v>535.NA1</v>
          </cell>
          <cell r="S293">
            <v>0</v>
          </cell>
        </row>
        <row r="294">
          <cell r="R294" t="str">
            <v>535.NA2</v>
          </cell>
          <cell r="S294">
            <v>4671571.6742291562</v>
          </cell>
        </row>
        <row r="295">
          <cell r="R295" t="str">
            <v>535.NA3</v>
          </cell>
          <cell r="S295">
            <v>0</v>
          </cell>
        </row>
        <row r="296">
          <cell r="R296" t="str">
            <v>536.NA</v>
          </cell>
          <cell r="S296">
            <v>0</v>
          </cell>
        </row>
        <row r="297">
          <cell r="R297" t="str">
            <v>536.DGP</v>
          </cell>
          <cell r="S297">
            <v>0</v>
          </cell>
        </row>
        <row r="298">
          <cell r="R298" t="str">
            <v>536.SG</v>
          </cell>
          <cell r="S298">
            <v>17115.634555691518</v>
          </cell>
        </row>
        <row r="299">
          <cell r="R299" t="str">
            <v>536.SG1</v>
          </cell>
          <cell r="S299">
            <v>0</v>
          </cell>
        </row>
        <row r="300">
          <cell r="R300" t="str">
            <v>536.NA1</v>
          </cell>
          <cell r="S300">
            <v>0</v>
          </cell>
        </row>
        <row r="301">
          <cell r="R301" t="str">
            <v>536.NA2</v>
          </cell>
          <cell r="S301">
            <v>17115.634555691518</v>
          </cell>
        </row>
        <row r="302">
          <cell r="R302" t="str">
            <v>536.NA3</v>
          </cell>
          <cell r="S302">
            <v>0</v>
          </cell>
        </row>
        <row r="303">
          <cell r="R303" t="str">
            <v>537.NA</v>
          </cell>
          <cell r="S303">
            <v>0</v>
          </cell>
        </row>
        <row r="304">
          <cell r="R304" t="str">
            <v>537.SG</v>
          </cell>
          <cell r="S304">
            <v>0</v>
          </cell>
        </row>
        <row r="305">
          <cell r="R305" t="str">
            <v>537.SG1</v>
          </cell>
          <cell r="S305">
            <v>1661687.5257040125</v>
          </cell>
        </row>
        <row r="306">
          <cell r="R306" t="str">
            <v>537.SG2</v>
          </cell>
          <cell r="S306">
            <v>137506.25630951679</v>
          </cell>
        </row>
        <row r="307">
          <cell r="R307" t="str">
            <v>537.NA1</v>
          </cell>
          <cell r="S307">
            <v>0</v>
          </cell>
        </row>
        <row r="308">
          <cell r="R308" t="str">
            <v>537.NA2</v>
          </cell>
          <cell r="S308">
            <v>1799193.7820135292</v>
          </cell>
        </row>
        <row r="309">
          <cell r="R309" t="str">
            <v>537.NA3</v>
          </cell>
          <cell r="S309">
            <v>0</v>
          </cell>
        </row>
        <row r="310">
          <cell r="R310" t="str">
            <v>538.NA</v>
          </cell>
          <cell r="S310">
            <v>0</v>
          </cell>
        </row>
        <row r="311">
          <cell r="R311" t="str">
            <v>538.DGP</v>
          </cell>
          <cell r="S311">
            <v>0</v>
          </cell>
        </row>
        <row r="312">
          <cell r="R312" t="str">
            <v>538.SG</v>
          </cell>
          <cell r="S312">
            <v>0</v>
          </cell>
        </row>
        <row r="313">
          <cell r="R313" t="str">
            <v>538.SG1</v>
          </cell>
          <cell r="S313">
            <v>0</v>
          </cell>
        </row>
        <row r="314">
          <cell r="R314" t="str">
            <v>538.NA1</v>
          </cell>
          <cell r="S314">
            <v>0</v>
          </cell>
        </row>
        <row r="315">
          <cell r="R315" t="str">
            <v>538.NA2</v>
          </cell>
          <cell r="S315">
            <v>0</v>
          </cell>
        </row>
        <row r="316">
          <cell r="R316" t="str">
            <v>538.NA3</v>
          </cell>
          <cell r="S316">
            <v>0</v>
          </cell>
        </row>
        <row r="317">
          <cell r="R317" t="str">
            <v>539.NA</v>
          </cell>
          <cell r="S317">
            <v>0</v>
          </cell>
        </row>
        <row r="318">
          <cell r="R318" t="str">
            <v>539.SG</v>
          </cell>
          <cell r="S318">
            <v>0</v>
          </cell>
        </row>
        <row r="319">
          <cell r="R319" t="str">
            <v>539.SG1</v>
          </cell>
          <cell r="S319">
            <v>5527197.1289351489</v>
          </cell>
        </row>
        <row r="320">
          <cell r="R320" t="str">
            <v>539.SG2</v>
          </cell>
          <cell r="S320">
            <v>3796255.5284661357</v>
          </cell>
        </row>
        <row r="321">
          <cell r="R321" t="str">
            <v>539.NA1</v>
          </cell>
          <cell r="S321">
            <v>0</v>
          </cell>
        </row>
        <row r="322">
          <cell r="R322" t="str">
            <v>539.NA2</v>
          </cell>
          <cell r="S322">
            <v>0</v>
          </cell>
        </row>
        <row r="323">
          <cell r="R323" t="str">
            <v>539.NA3</v>
          </cell>
          <cell r="S323">
            <v>9323452.6574012842</v>
          </cell>
        </row>
        <row r="324">
          <cell r="R324" t="str">
            <v>539.NA4</v>
          </cell>
          <cell r="S324">
            <v>0</v>
          </cell>
        </row>
        <row r="325">
          <cell r="R325" t="str">
            <v>540.NA</v>
          </cell>
          <cell r="S325">
            <v>0</v>
          </cell>
        </row>
        <row r="326">
          <cell r="R326" t="str">
            <v>540.DGP</v>
          </cell>
          <cell r="S326">
            <v>0</v>
          </cell>
        </row>
        <row r="327">
          <cell r="R327" t="str">
            <v>540.SG</v>
          </cell>
          <cell r="S327">
            <v>712132.47365567216</v>
          </cell>
        </row>
        <row r="328">
          <cell r="R328" t="str">
            <v>540.SG1</v>
          </cell>
          <cell r="S328">
            <v>25092.443872579675</v>
          </cell>
        </row>
        <row r="329">
          <cell r="R329" t="str">
            <v>540.NA1</v>
          </cell>
          <cell r="S329">
            <v>0</v>
          </cell>
        </row>
        <row r="330">
          <cell r="R330" t="str">
            <v>540.NA2</v>
          </cell>
          <cell r="S330">
            <v>737224.91752825188</v>
          </cell>
        </row>
        <row r="331">
          <cell r="R331" t="str">
            <v>540.NA3</v>
          </cell>
          <cell r="S331">
            <v>0</v>
          </cell>
        </row>
        <row r="332">
          <cell r="R332" t="str">
            <v>541.NA</v>
          </cell>
          <cell r="S332">
            <v>0</v>
          </cell>
        </row>
        <row r="333">
          <cell r="R333" t="str">
            <v>541.DGP</v>
          </cell>
          <cell r="S333">
            <v>0</v>
          </cell>
        </row>
        <row r="334">
          <cell r="R334" t="str">
            <v>541.SG</v>
          </cell>
          <cell r="S334">
            <v>170.98436257296871</v>
          </cell>
        </row>
        <row r="335">
          <cell r="R335" t="str">
            <v>541.SG1</v>
          </cell>
          <cell r="S335">
            <v>0</v>
          </cell>
        </row>
        <row r="336">
          <cell r="R336" t="str">
            <v>541.NA1</v>
          </cell>
          <cell r="S336">
            <v>0</v>
          </cell>
        </row>
        <row r="337">
          <cell r="R337" t="str">
            <v>541.NA2</v>
          </cell>
          <cell r="S337">
            <v>170.98436257296871</v>
          </cell>
        </row>
        <row r="338">
          <cell r="R338" t="str">
            <v>541.NA3</v>
          </cell>
          <cell r="S338">
            <v>0</v>
          </cell>
        </row>
        <row r="339">
          <cell r="R339" t="str">
            <v>542.NA</v>
          </cell>
          <cell r="S339">
            <v>0</v>
          </cell>
        </row>
        <row r="340">
          <cell r="R340" t="str">
            <v>542.SG</v>
          </cell>
          <cell r="S340">
            <v>0</v>
          </cell>
        </row>
        <row r="341">
          <cell r="R341" t="str">
            <v>542.SG1</v>
          </cell>
          <cell r="S341">
            <v>289776.68886911392</v>
          </cell>
        </row>
        <row r="342">
          <cell r="R342" t="str">
            <v>542.SG2</v>
          </cell>
          <cell r="S342">
            <v>9794.4264500824665</v>
          </cell>
        </row>
        <row r="343">
          <cell r="R343" t="str">
            <v>542.NA1</v>
          </cell>
          <cell r="S343">
            <v>0</v>
          </cell>
        </row>
        <row r="344">
          <cell r="R344" t="str">
            <v>542.NA2</v>
          </cell>
          <cell r="S344">
            <v>299571.11531919637</v>
          </cell>
        </row>
        <row r="345">
          <cell r="R345" t="str">
            <v>542.NA3</v>
          </cell>
          <cell r="S345">
            <v>0</v>
          </cell>
        </row>
        <row r="346">
          <cell r="R346" t="str">
            <v>542.NA4</v>
          </cell>
          <cell r="S346">
            <v>0</v>
          </cell>
        </row>
        <row r="347">
          <cell r="R347" t="str">
            <v>542.NA5</v>
          </cell>
          <cell r="S347">
            <v>0</v>
          </cell>
        </row>
        <row r="348">
          <cell r="R348" t="str">
            <v>542.NA6</v>
          </cell>
          <cell r="S348">
            <v>0</v>
          </cell>
        </row>
        <row r="349">
          <cell r="R349" t="str">
            <v>543.NA</v>
          </cell>
          <cell r="S349">
            <v>0</v>
          </cell>
        </row>
        <row r="350">
          <cell r="R350" t="str">
            <v>543.SG</v>
          </cell>
          <cell r="S350">
            <v>0</v>
          </cell>
        </row>
        <row r="351">
          <cell r="R351" t="str">
            <v>543.SG1</v>
          </cell>
          <cell r="S351">
            <v>506206.5232588934</v>
          </cell>
        </row>
        <row r="352">
          <cell r="R352" t="str">
            <v>543.SG2</v>
          </cell>
          <cell r="S352">
            <v>314276.24770706089</v>
          </cell>
        </row>
        <row r="353">
          <cell r="R353" t="str">
            <v>543.NA1</v>
          </cell>
          <cell r="S353">
            <v>0</v>
          </cell>
        </row>
        <row r="354">
          <cell r="R354" t="str">
            <v>543.NA2</v>
          </cell>
          <cell r="S354">
            <v>820482.77096595429</v>
          </cell>
        </row>
        <row r="355">
          <cell r="R355" t="str">
            <v>543.NA3</v>
          </cell>
          <cell r="S355">
            <v>0</v>
          </cell>
        </row>
        <row r="356">
          <cell r="R356" t="str">
            <v>544.NA</v>
          </cell>
          <cell r="S356">
            <v>0</v>
          </cell>
        </row>
        <row r="357">
          <cell r="R357" t="str">
            <v>544.SG</v>
          </cell>
          <cell r="S357">
            <v>0</v>
          </cell>
        </row>
        <row r="358">
          <cell r="R358" t="str">
            <v>544.SG1</v>
          </cell>
          <cell r="S358">
            <v>760418.61829962197</v>
          </cell>
        </row>
        <row r="359">
          <cell r="R359" t="str">
            <v>544.SG2</v>
          </cell>
          <cell r="S359">
            <v>184545.31394755279</v>
          </cell>
        </row>
        <row r="360">
          <cell r="R360" t="str">
            <v>544.NA1</v>
          </cell>
          <cell r="S360">
            <v>0</v>
          </cell>
        </row>
        <row r="361">
          <cell r="R361" t="str">
            <v>544.NA2</v>
          </cell>
          <cell r="S361">
            <v>944963.93224717479</v>
          </cell>
        </row>
        <row r="362">
          <cell r="R362" t="str">
            <v>544.NA3</v>
          </cell>
          <cell r="S362">
            <v>0</v>
          </cell>
        </row>
        <row r="363">
          <cell r="R363" t="str">
            <v>545.NA</v>
          </cell>
          <cell r="S363">
            <v>0</v>
          </cell>
        </row>
        <row r="364">
          <cell r="R364" t="str">
            <v>545.SG</v>
          </cell>
          <cell r="S364">
            <v>0</v>
          </cell>
        </row>
        <row r="365">
          <cell r="R365" t="str">
            <v>545.SG1</v>
          </cell>
          <cell r="S365">
            <v>0</v>
          </cell>
        </row>
        <row r="366">
          <cell r="R366" t="str">
            <v>545.SG2</v>
          </cell>
          <cell r="S366">
            <v>1694321.6733112973</v>
          </cell>
        </row>
        <row r="367">
          <cell r="R367" t="str">
            <v>545.SG3</v>
          </cell>
          <cell r="S367">
            <v>309216.39945105312</v>
          </cell>
        </row>
        <row r="368">
          <cell r="R368" t="str">
            <v>545.NA1</v>
          </cell>
          <cell r="S368">
            <v>0</v>
          </cell>
        </row>
        <row r="369">
          <cell r="R369" t="str">
            <v>545.NA2</v>
          </cell>
          <cell r="S369">
            <v>2003538.0727623506</v>
          </cell>
        </row>
        <row r="370">
          <cell r="R370" t="str">
            <v>545.NA3</v>
          </cell>
          <cell r="S370">
            <v>0</v>
          </cell>
        </row>
        <row r="371">
          <cell r="R371" t="str">
            <v>Total Hydraulic Power Generation .NA</v>
          </cell>
          <cell r="S371">
            <v>20617285.541385163</v>
          </cell>
        </row>
        <row r="372">
          <cell r="R372" t="str">
            <v>Total Hydraulic Power Generation .NA1</v>
          </cell>
          <cell r="S372">
            <v>0</v>
          </cell>
        </row>
        <row r="373">
          <cell r="R373" t="str">
            <v>546.NA</v>
          </cell>
          <cell r="S373">
            <v>0</v>
          </cell>
        </row>
        <row r="374">
          <cell r="R374" t="str">
            <v>546.SG</v>
          </cell>
          <cell r="S374">
            <v>157197.70852453299</v>
          </cell>
        </row>
        <row r="375">
          <cell r="R375" t="str">
            <v>546.SG1</v>
          </cell>
          <cell r="S375">
            <v>0</v>
          </cell>
        </row>
        <row r="376">
          <cell r="R376" t="str">
            <v>546.SG2</v>
          </cell>
          <cell r="S376">
            <v>0</v>
          </cell>
        </row>
        <row r="377">
          <cell r="R377" t="str">
            <v>546.NA1</v>
          </cell>
          <cell r="S377">
            <v>157197.70852453299</v>
          </cell>
        </row>
        <row r="378">
          <cell r="R378" t="str">
            <v>546.NA2</v>
          </cell>
          <cell r="S378">
            <v>0</v>
          </cell>
        </row>
        <row r="379">
          <cell r="R379" t="str">
            <v>547.NA</v>
          </cell>
          <cell r="S379">
            <v>0</v>
          </cell>
        </row>
        <row r="380">
          <cell r="R380" t="str">
            <v>547.SE</v>
          </cell>
          <cell r="S380">
            <v>0</v>
          </cell>
        </row>
        <row r="381">
          <cell r="R381" t="str">
            <v>547.SE1</v>
          </cell>
          <cell r="S381">
            <v>0</v>
          </cell>
        </row>
        <row r="382">
          <cell r="R382" t="str">
            <v>547.NA1</v>
          </cell>
          <cell r="S382">
            <v>0</v>
          </cell>
        </row>
        <row r="383">
          <cell r="R383" t="str">
            <v>547.NA2</v>
          </cell>
          <cell r="S383">
            <v>0</v>
          </cell>
        </row>
        <row r="384">
          <cell r="R384" t="str">
            <v>547NPC.NA</v>
          </cell>
          <cell r="S384">
            <v>0</v>
          </cell>
        </row>
        <row r="385">
          <cell r="R385" t="str">
            <v>547NPC.SE</v>
          </cell>
          <cell r="S385">
            <v>127008163.72916605</v>
          </cell>
        </row>
        <row r="386">
          <cell r="R386" t="str">
            <v>547NPC.SE1</v>
          </cell>
          <cell r="S386">
            <v>503183.6132682442</v>
          </cell>
        </row>
        <row r="387">
          <cell r="R387" t="str">
            <v>547NPC.NA1</v>
          </cell>
          <cell r="S387">
            <v>127511347.34243429</v>
          </cell>
        </row>
        <row r="388">
          <cell r="R388" t="str">
            <v>547NPC.NA2</v>
          </cell>
          <cell r="S388">
            <v>0</v>
          </cell>
        </row>
        <row r="389">
          <cell r="R389" t="str">
            <v>548.NA</v>
          </cell>
          <cell r="S389">
            <v>0</v>
          </cell>
        </row>
        <row r="390">
          <cell r="R390" t="str">
            <v>548.SG</v>
          </cell>
          <cell r="S390">
            <v>7548615.3682003217</v>
          </cell>
        </row>
        <row r="391">
          <cell r="R391" t="str">
            <v>548.SG1</v>
          </cell>
          <cell r="S391">
            <v>345266.1174170897</v>
          </cell>
        </row>
        <row r="392">
          <cell r="R392" t="str">
            <v>548.SG2</v>
          </cell>
          <cell r="S392">
            <v>0</v>
          </cell>
        </row>
        <row r="393">
          <cell r="R393" t="str">
            <v>548.NA1</v>
          </cell>
          <cell r="S393">
            <v>7893881.4856174113</v>
          </cell>
        </row>
        <row r="394">
          <cell r="R394" t="str">
            <v>548.NA2</v>
          </cell>
          <cell r="S394">
            <v>0</v>
          </cell>
        </row>
        <row r="395">
          <cell r="R395" t="str">
            <v>549.NA</v>
          </cell>
          <cell r="S395">
            <v>0</v>
          </cell>
        </row>
        <row r="396">
          <cell r="R396" t="str">
            <v>549.S</v>
          </cell>
          <cell r="S396">
            <v>0</v>
          </cell>
        </row>
        <row r="397">
          <cell r="R397" t="str">
            <v>549.SG</v>
          </cell>
          <cell r="S397">
            <v>2119757.8845929741</v>
          </cell>
        </row>
        <row r="398">
          <cell r="R398" t="str">
            <v>549.SG1</v>
          </cell>
          <cell r="S398">
            <v>1470160.9376368267</v>
          </cell>
        </row>
        <row r="399">
          <cell r="R399" t="str">
            <v>549.SG2</v>
          </cell>
          <cell r="S399">
            <v>8771842.2377434224</v>
          </cell>
        </row>
        <row r="400">
          <cell r="R400" t="str">
            <v>549.SG3</v>
          </cell>
          <cell r="S400">
            <v>0</v>
          </cell>
        </row>
        <row r="401">
          <cell r="R401" t="str">
            <v>549.NA1</v>
          </cell>
          <cell r="S401">
            <v>12361761.059973223</v>
          </cell>
        </row>
        <row r="402">
          <cell r="R402" t="str">
            <v>549.NA2</v>
          </cell>
          <cell r="S402">
            <v>0</v>
          </cell>
        </row>
        <row r="403">
          <cell r="R403" t="str">
            <v>549.NA3</v>
          </cell>
          <cell r="S403">
            <v>0</v>
          </cell>
        </row>
        <row r="404">
          <cell r="R404" t="str">
            <v>549.NA4</v>
          </cell>
          <cell r="S404">
            <v>0</v>
          </cell>
        </row>
        <row r="405">
          <cell r="R405" t="str">
            <v>549.NA5</v>
          </cell>
          <cell r="S405">
            <v>0</v>
          </cell>
        </row>
        <row r="406">
          <cell r="R406" t="str">
            <v>550.NA</v>
          </cell>
          <cell r="S406">
            <v>0</v>
          </cell>
        </row>
        <row r="407">
          <cell r="R407" t="str">
            <v>550.S</v>
          </cell>
          <cell r="S407">
            <v>0</v>
          </cell>
        </row>
        <row r="408">
          <cell r="R408" t="str">
            <v>550.SG</v>
          </cell>
          <cell r="S408">
            <v>15807.991838212463</v>
          </cell>
        </row>
        <row r="409">
          <cell r="R409" t="str">
            <v>550.SG1</v>
          </cell>
          <cell r="S409">
            <v>1241949.7225046735</v>
          </cell>
        </row>
        <row r="410">
          <cell r="R410" t="str">
            <v>550.NA1</v>
          </cell>
          <cell r="S410">
            <v>1257757.7143428859</v>
          </cell>
        </row>
        <row r="411">
          <cell r="R411" t="str">
            <v>550.NA2</v>
          </cell>
          <cell r="S411">
            <v>0</v>
          </cell>
        </row>
        <row r="412">
          <cell r="R412" t="str">
            <v>551.NA</v>
          </cell>
          <cell r="S412">
            <v>0</v>
          </cell>
        </row>
        <row r="413">
          <cell r="R413" t="str">
            <v>551.SG</v>
          </cell>
          <cell r="S413">
            <v>0</v>
          </cell>
        </row>
        <row r="414">
          <cell r="R414" t="str">
            <v>551.NA1</v>
          </cell>
          <cell r="S414">
            <v>0</v>
          </cell>
        </row>
        <row r="415">
          <cell r="R415" t="str">
            <v>551.NA2</v>
          </cell>
          <cell r="S415">
            <v>0</v>
          </cell>
        </row>
        <row r="416">
          <cell r="R416" t="str">
            <v>552.NA</v>
          </cell>
          <cell r="S416">
            <v>0</v>
          </cell>
        </row>
        <row r="417">
          <cell r="R417" t="str">
            <v>552.SG</v>
          </cell>
          <cell r="S417">
            <v>1069822.2784201989</v>
          </cell>
        </row>
        <row r="418">
          <cell r="R418" t="str">
            <v>552.SG1</v>
          </cell>
          <cell r="S418">
            <v>27522.689446783639</v>
          </cell>
        </row>
        <row r="419">
          <cell r="R419" t="str">
            <v>552.SG2</v>
          </cell>
          <cell r="S419">
            <v>0</v>
          </cell>
        </row>
        <row r="420">
          <cell r="R420" t="str">
            <v>552.NA1</v>
          </cell>
          <cell r="S420">
            <v>1097344.9678669826</v>
          </cell>
        </row>
        <row r="421">
          <cell r="R421" t="str">
            <v>552.NA2</v>
          </cell>
          <cell r="S421">
            <v>0</v>
          </cell>
        </row>
        <row r="422">
          <cell r="R422" t="str">
            <v>553.NA</v>
          </cell>
          <cell r="S422">
            <v>0</v>
          </cell>
        </row>
        <row r="423">
          <cell r="R423" t="str">
            <v>553.SG</v>
          </cell>
          <cell r="S423">
            <v>1964819.5755768055</v>
          </cell>
        </row>
        <row r="424">
          <cell r="R424" t="str">
            <v>553.SG1</v>
          </cell>
          <cell r="S424">
            <v>3451335.6854866832</v>
          </cell>
        </row>
        <row r="425">
          <cell r="R425" t="str">
            <v>553.SG2</v>
          </cell>
          <cell r="S425">
            <v>0</v>
          </cell>
        </row>
        <row r="426">
          <cell r="R426" t="str">
            <v>553.SG3</v>
          </cell>
          <cell r="S426">
            <v>374929.38260956365</v>
          </cell>
        </row>
        <row r="427">
          <cell r="R427" t="str">
            <v>553.NA1</v>
          </cell>
          <cell r="S427">
            <v>5791084.6436730521</v>
          </cell>
        </row>
        <row r="428">
          <cell r="R428" t="str">
            <v>553.NA2</v>
          </cell>
          <cell r="S428">
            <v>0</v>
          </cell>
        </row>
        <row r="429">
          <cell r="R429" t="str">
            <v>554.NA</v>
          </cell>
          <cell r="S429">
            <v>0</v>
          </cell>
        </row>
        <row r="430">
          <cell r="R430" t="str">
            <v>554.SG</v>
          </cell>
          <cell r="S430">
            <v>848291.44596889429</v>
          </cell>
        </row>
        <row r="431">
          <cell r="R431" t="str">
            <v>554.SG1</v>
          </cell>
          <cell r="S431">
            <v>442915.65548246523</v>
          </cell>
        </row>
        <row r="432">
          <cell r="R432" t="str">
            <v>554.SG2</v>
          </cell>
          <cell r="S432">
            <v>57616.378959035414</v>
          </cell>
        </row>
        <row r="433">
          <cell r="R433" t="str">
            <v>554.SG3</v>
          </cell>
          <cell r="S433">
            <v>0</v>
          </cell>
        </row>
        <row r="434">
          <cell r="R434" t="str">
            <v>554.NA1</v>
          </cell>
          <cell r="S434">
            <v>1348823.480410395</v>
          </cell>
        </row>
        <row r="435">
          <cell r="R435" t="str">
            <v>554.NA2</v>
          </cell>
          <cell r="S435">
            <v>0</v>
          </cell>
        </row>
        <row r="436">
          <cell r="R436" t="str">
            <v>Total Other Power Generation.NA</v>
          </cell>
          <cell r="S436">
            <v>157419198.40284279</v>
          </cell>
        </row>
        <row r="437">
          <cell r="R437" t="str">
            <v>Total Other Power Generation.NA1</v>
          </cell>
          <cell r="S437">
            <v>0</v>
          </cell>
        </row>
        <row r="438">
          <cell r="R438" t="str">
            <v>Total Other Power Generation.NA2</v>
          </cell>
          <cell r="S438">
            <v>0</v>
          </cell>
        </row>
        <row r="439">
          <cell r="R439" t="str">
            <v>555.NA</v>
          </cell>
          <cell r="S439">
            <v>0</v>
          </cell>
        </row>
        <row r="440">
          <cell r="R440" t="str">
            <v>555.S</v>
          </cell>
          <cell r="S440">
            <v>0</v>
          </cell>
        </row>
        <row r="441">
          <cell r="R441" t="str">
            <v>555.NA1</v>
          </cell>
          <cell r="S441">
            <v>0</v>
          </cell>
        </row>
        <row r="442">
          <cell r="R442" t="str">
            <v>555.NA2</v>
          </cell>
          <cell r="S442">
            <v>0</v>
          </cell>
        </row>
        <row r="443">
          <cell r="R443" t="str">
            <v>555NPC.NA</v>
          </cell>
          <cell r="S443">
            <v>0</v>
          </cell>
        </row>
        <row r="444">
          <cell r="R444" t="str">
            <v>555NPC.S</v>
          </cell>
          <cell r="S444">
            <v>1570674.4668279244</v>
          </cell>
        </row>
        <row r="445">
          <cell r="R445" t="str">
            <v>555NPC.SE</v>
          </cell>
          <cell r="S445">
            <v>21901944.002007402</v>
          </cell>
        </row>
        <row r="446">
          <cell r="R446" t="str">
            <v>555NPC.SG</v>
          </cell>
          <cell r="S446">
            <v>241655786.19554266</v>
          </cell>
        </row>
        <row r="447">
          <cell r="R447" t="str">
            <v>555NPC.DGP</v>
          </cell>
          <cell r="S447">
            <v>0</v>
          </cell>
        </row>
        <row r="448">
          <cell r="R448" t="str">
            <v>555NPC.NA1</v>
          </cell>
          <cell r="S448">
            <v>265128404.66437799</v>
          </cell>
        </row>
        <row r="449">
          <cell r="R449" t="str">
            <v>555NPC.NA2</v>
          </cell>
          <cell r="S449">
            <v>0</v>
          </cell>
        </row>
        <row r="450">
          <cell r="R450" t="str">
            <v>555NPC.NA3</v>
          </cell>
          <cell r="S450">
            <v>265128404.66437799</v>
          </cell>
        </row>
        <row r="451">
          <cell r="R451" t="str">
            <v>555NPC.NA4</v>
          </cell>
          <cell r="S451">
            <v>0</v>
          </cell>
        </row>
        <row r="452">
          <cell r="R452" t="str">
            <v>556.NA</v>
          </cell>
          <cell r="S452">
            <v>0</v>
          </cell>
        </row>
        <row r="453">
          <cell r="R453" t="str">
            <v>556.SG</v>
          </cell>
          <cell r="S453">
            <v>360128.5902025082</v>
          </cell>
        </row>
        <row r="454">
          <cell r="R454" t="str">
            <v>556.NA1</v>
          </cell>
          <cell r="S454">
            <v>0</v>
          </cell>
        </row>
        <row r="455">
          <cell r="R455" t="str">
            <v>556.NA2</v>
          </cell>
          <cell r="S455">
            <v>360128.5902025082</v>
          </cell>
        </row>
        <row r="456">
          <cell r="R456" t="str">
            <v>556.NA3</v>
          </cell>
          <cell r="S456">
            <v>0</v>
          </cell>
        </row>
        <row r="457">
          <cell r="R457" t="str">
            <v>556.NA4</v>
          </cell>
          <cell r="S457">
            <v>0</v>
          </cell>
        </row>
        <row r="458">
          <cell r="R458" t="str">
            <v>556.NA5</v>
          </cell>
          <cell r="S458">
            <v>0</v>
          </cell>
        </row>
        <row r="459">
          <cell r="R459" t="str">
            <v>557.NA</v>
          </cell>
          <cell r="S459">
            <v>0</v>
          </cell>
        </row>
        <row r="460">
          <cell r="R460" t="str">
            <v>557.S</v>
          </cell>
          <cell r="S460">
            <v>35000.04</v>
          </cell>
        </row>
        <row r="461">
          <cell r="R461" t="str">
            <v>557.SG</v>
          </cell>
          <cell r="S461">
            <v>19194113.836702969</v>
          </cell>
        </row>
        <row r="462">
          <cell r="R462" t="str">
            <v>557.SGCT</v>
          </cell>
          <cell r="S462">
            <v>0</v>
          </cell>
        </row>
        <row r="463">
          <cell r="R463" t="str">
            <v>557.SE</v>
          </cell>
          <cell r="S463">
            <v>4349.4465176634585</v>
          </cell>
        </row>
        <row r="464">
          <cell r="R464" t="str">
            <v>557.SG1</v>
          </cell>
          <cell r="S464">
            <v>0</v>
          </cell>
        </row>
        <row r="465">
          <cell r="R465" t="str">
            <v>557.TROJP</v>
          </cell>
          <cell r="S465">
            <v>0</v>
          </cell>
        </row>
        <row r="466">
          <cell r="R466" t="str">
            <v>557.NA1</v>
          </cell>
          <cell r="S466">
            <v>0</v>
          </cell>
        </row>
        <row r="467">
          <cell r="R467" t="str">
            <v>557.NA2</v>
          </cell>
          <cell r="S467">
            <v>19233463.323220633</v>
          </cell>
        </row>
        <row r="468">
          <cell r="R468" t="str">
            <v>557.NA3</v>
          </cell>
          <cell r="S468">
            <v>0</v>
          </cell>
        </row>
        <row r="469">
          <cell r="R469" t="str">
            <v>Embedded Cost Differentials.NA</v>
          </cell>
          <cell r="S469">
            <v>0</v>
          </cell>
        </row>
        <row r="470">
          <cell r="R470" t="str">
            <v>Company Owned Hydro.DGP</v>
          </cell>
          <cell r="S470">
            <v>0</v>
          </cell>
        </row>
        <row r="471">
          <cell r="R471" t="str">
            <v>Company Owned Hydro.SG</v>
          </cell>
          <cell r="S471">
            <v>0</v>
          </cell>
        </row>
        <row r="472">
          <cell r="R472" t="str">
            <v>Mid-C Contract.MC</v>
          </cell>
          <cell r="S472">
            <v>0</v>
          </cell>
        </row>
        <row r="473">
          <cell r="R473" t="str">
            <v>Mid-C Contract.SG</v>
          </cell>
          <cell r="S473">
            <v>0</v>
          </cell>
        </row>
        <row r="474">
          <cell r="R474" t="str">
            <v>Existing QF Contracts.S</v>
          </cell>
          <cell r="S474">
            <v>0</v>
          </cell>
        </row>
        <row r="475">
          <cell r="R475" t="str">
            <v>Existing QF Contracts.SG</v>
          </cell>
          <cell r="S475">
            <v>0</v>
          </cell>
        </row>
        <row r="476">
          <cell r="R476" t="str">
            <v>Existing QF Contracts.NA</v>
          </cell>
          <cell r="S476">
            <v>0</v>
          </cell>
        </row>
        <row r="477">
          <cell r="R477" t="str">
            <v>Existing QF Contracts.NA1</v>
          </cell>
          <cell r="S477">
            <v>0</v>
          </cell>
        </row>
        <row r="478">
          <cell r="R478" t="str">
            <v>Existing QF Contracts.NA2</v>
          </cell>
          <cell r="S478">
            <v>0</v>
          </cell>
        </row>
        <row r="479">
          <cell r="R479" t="str">
            <v>Existing QF Contracts.NA3</v>
          </cell>
          <cell r="S479">
            <v>0</v>
          </cell>
        </row>
        <row r="480">
          <cell r="R480" t="str">
            <v>Existing QF Contracts.NA4</v>
          </cell>
          <cell r="S480">
            <v>0</v>
          </cell>
        </row>
        <row r="481">
          <cell r="R481" t="str">
            <v>Existing QF Contracts.NA5</v>
          </cell>
          <cell r="S481">
            <v>0</v>
          </cell>
        </row>
        <row r="482">
          <cell r="R482" t="str">
            <v>2020 Protocol Adjustment.NA</v>
          </cell>
          <cell r="S482">
            <v>0</v>
          </cell>
        </row>
        <row r="483">
          <cell r="R483" t="str">
            <v xml:space="preserve">  Baseline ECD.S</v>
          </cell>
          <cell r="S483">
            <v>0</v>
          </cell>
        </row>
        <row r="484">
          <cell r="R484" t="str">
            <v xml:space="preserve">  WY QF Adjustment.S</v>
          </cell>
          <cell r="S484">
            <v>0</v>
          </cell>
        </row>
        <row r="485">
          <cell r="R485" t="str">
            <v>2020 Protocol Adjustment.NA1</v>
          </cell>
          <cell r="S485">
            <v>0</v>
          </cell>
        </row>
        <row r="486">
          <cell r="R486" t="str">
            <v>2020 Protocol Adjustment.NA2</v>
          </cell>
          <cell r="S486">
            <v>0</v>
          </cell>
        </row>
        <row r="487">
          <cell r="R487" t="str">
            <v>Total Other Power Supply.NA</v>
          </cell>
          <cell r="S487">
            <v>284721996.57780111</v>
          </cell>
        </row>
        <row r="488">
          <cell r="R488" t="str">
            <v>Total Other Power Supply.NA1</v>
          </cell>
          <cell r="S488">
            <v>0</v>
          </cell>
        </row>
        <row r="489">
          <cell r="R489" t="str">
            <v>Total Production Expense.NA</v>
          </cell>
          <cell r="S489">
            <v>858931659.92662168</v>
          </cell>
        </row>
        <row r="490">
          <cell r="R490" t="str">
            <v>Total Production Expense.NA1</v>
          </cell>
          <cell r="S490">
            <v>0</v>
          </cell>
        </row>
        <row r="491">
          <cell r="R491" t="str">
            <v>Total Production Expense.NA2</v>
          </cell>
          <cell r="S491">
            <v>0</v>
          </cell>
        </row>
        <row r="492">
          <cell r="R492" t="str">
            <v>Summary of Production Expense by Factor.NA</v>
          </cell>
          <cell r="S492">
            <v>0</v>
          </cell>
        </row>
        <row r="493">
          <cell r="R493" t="str">
            <v>Summary of Production Expense by Factor.NA1</v>
          </cell>
          <cell r="S493">
            <v>1605674.5068279244</v>
          </cell>
        </row>
        <row r="494">
          <cell r="R494" t="str">
            <v>Summary of Production Expense by Factor.NA2</v>
          </cell>
          <cell r="S494">
            <v>437853553.65740931</v>
          </cell>
        </row>
        <row r="495">
          <cell r="R495" t="str">
            <v>Summary of Production Expense by Factor.NA3</v>
          </cell>
          <cell r="S495">
            <v>419472431.76238465</v>
          </cell>
        </row>
        <row r="496">
          <cell r="R496" t="str">
            <v>Summary of Production Expense by Factor.NA4</v>
          </cell>
          <cell r="S496">
            <v>0</v>
          </cell>
        </row>
        <row r="497">
          <cell r="R497" t="str">
            <v>Summary of Production Expense by Factor.NA5</v>
          </cell>
          <cell r="S497">
            <v>0</v>
          </cell>
        </row>
        <row r="498">
          <cell r="R498" t="str">
            <v>Summary of Production Expense by Factor.NA6</v>
          </cell>
          <cell r="S498">
            <v>0</v>
          </cell>
        </row>
        <row r="499">
          <cell r="R499" t="str">
            <v>Summary of Production Expense by Factor.NA7</v>
          </cell>
          <cell r="S499">
            <v>0</v>
          </cell>
        </row>
        <row r="500">
          <cell r="R500" t="str">
            <v>Summary of Production Expense by Factor.NA8</v>
          </cell>
          <cell r="S500">
            <v>0</v>
          </cell>
        </row>
        <row r="501">
          <cell r="R501" t="str">
            <v>Summary of Production Expense by Factor.NA9</v>
          </cell>
          <cell r="S501">
            <v>0</v>
          </cell>
        </row>
        <row r="502">
          <cell r="R502" t="str">
            <v>Summary of Production Expense by Factor.NA10</v>
          </cell>
          <cell r="S502">
            <v>0</v>
          </cell>
        </row>
        <row r="503">
          <cell r="R503" t="str">
            <v>Summary of Production Expense by Factor.NA11</v>
          </cell>
          <cell r="S503">
            <v>0</v>
          </cell>
        </row>
        <row r="504">
          <cell r="R504" t="str">
            <v>Summary of Production Expense by Factor.NA12</v>
          </cell>
          <cell r="S504">
            <v>0</v>
          </cell>
        </row>
        <row r="505">
          <cell r="R505" t="str">
            <v>Summary of Production Expense by Factor.NA13</v>
          </cell>
          <cell r="S505">
            <v>0</v>
          </cell>
        </row>
        <row r="506">
          <cell r="R506" t="str">
            <v>Summary of Production Expense by Factor.NA14</v>
          </cell>
          <cell r="S506">
            <v>0</v>
          </cell>
        </row>
        <row r="507">
          <cell r="R507" t="str">
            <v>Summary of Production Expense by Factor.NA15</v>
          </cell>
          <cell r="S507">
            <v>0</v>
          </cell>
        </row>
        <row r="508">
          <cell r="R508" t="str">
            <v>Summary of Production Expense by Factor.NA16</v>
          </cell>
          <cell r="S508">
            <v>0</v>
          </cell>
        </row>
        <row r="509">
          <cell r="R509" t="str">
            <v>Summary of Production Expense by Factor.NA17</v>
          </cell>
          <cell r="S509">
            <v>0</v>
          </cell>
        </row>
        <row r="510">
          <cell r="R510" t="str">
            <v>Summary of Production Expense by Factor.NA18</v>
          </cell>
          <cell r="S510">
            <v>0</v>
          </cell>
        </row>
        <row r="511">
          <cell r="R511" t="str">
            <v>Total Production Expense by Factor.NA</v>
          </cell>
          <cell r="S511">
            <v>858931659.92662191</v>
          </cell>
        </row>
        <row r="512">
          <cell r="R512" t="str">
            <v>560.NA</v>
          </cell>
          <cell r="S512">
            <v>0</v>
          </cell>
        </row>
        <row r="513">
          <cell r="R513" t="str">
            <v>560.SG</v>
          </cell>
          <cell r="S513">
            <v>3585041.0593648874</v>
          </cell>
        </row>
        <row r="514">
          <cell r="R514" t="str">
            <v>560.SG1</v>
          </cell>
          <cell r="S514">
            <v>-47964.711589621242</v>
          </cell>
        </row>
        <row r="515">
          <cell r="R515" t="str">
            <v>560.NA1</v>
          </cell>
          <cell r="S515">
            <v>0</v>
          </cell>
        </row>
        <row r="516">
          <cell r="R516" t="str">
            <v>560.NA2</v>
          </cell>
          <cell r="S516">
            <v>3537076.347775266</v>
          </cell>
        </row>
        <row r="517">
          <cell r="R517" t="str">
            <v>560.NA3</v>
          </cell>
          <cell r="S517">
            <v>0</v>
          </cell>
        </row>
        <row r="518">
          <cell r="R518" t="str">
            <v>561.NA</v>
          </cell>
          <cell r="S518">
            <v>0</v>
          </cell>
        </row>
        <row r="519">
          <cell r="R519" t="str">
            <v>561.SG</v>
          </cell>
          <cell r="S519">
            <v>9486325.9279093426</v>
          </cell>
        </row>
        <row r="520">
          <cell r="R520" t="str">
            <v>561.NA1</v>
          </cell>
          <cell r="S520">
            <v>0</v>
          </cell>
        </row>
        <row r="521">
          <cell r="R521" t="str">
            <v>561.NA2</v>
          </cell>
          <cell r="S521">
            <v>9486325.9279093426</v>
          </cell>
        </row>
        <row r="522">
          <cell r="R522" t="str">
            <v>562.NA</v>
          </cell>
          <cell r="S522">
            <v>0</v>
          </cell>
        </row>
        <row r="523">
          <cell r="R523" t="str">
            <v>562.SG</v>
          </cell>
          <cell r="S523">
            <v>1467788.5340357069</v>
          </cell>
        </row>
        <row r="524">
          <cell r="R524" t="str">
            <v>562.NA1</v>
          </cell>
          <cell r="S524">
            <v>0</v>
          </cell>
        </row>
        <row r="525">
          <cell r="R525" t="str">
            <v>562.NA2</v>
          </cell>
          <cell r="S525">
            <v>1467788.5340357069</v>
          </cell>
        </row>
        <row r="526">
          <cell r="R526" t="str">
            <v>562.NA3</v>
          </cell>
          <cell r="S526">
            <v>0</v>
          </cell>
        </row>
        <row r="527">
          <cell r="R527" t="str">
            <v>563.NA</v>
          </cell>
          <cell r="S527">
            <v>0</v>
          </cell>
        </row>
        <row r="528">
          <cell r="R528" t="str">
            <v>563.SG</v>
          </cell>
          <cell r="S528">
            <v>505142.32103497547</v>
          </cell>
        </row>
        <row r="529">
          <cell r="R529" t="str">
            <v>563.NA1</v>
          </cell>
          <cell r="S529">
            <v>0</v>
          </cell>
        </row>
        <row r="530">
          <cell r="R530" t="str">
            <v>563.NA2</v>
          </cell>
          <cell r="S530">
            <v>505142.32103497547</v>
          </cell>
        </row>
        <row r="531">
          <cell r="R531" t="str">
            <v>563.NA3</v>
          </cell>
          <cell r="S531">
            <v>0</v>
          </cell>
        </row>
        <row r="532">
          <cell r="R532" t="str">
            <v>564.NA</v>
          </cell>
          <cell r="S532">
            <v>0</v>
          </cell>
        </row>
        <row r="533">
          <cell r="R533" t="str">
            <v>564.SG</v>
          </cell>
          <cell r="S533">
            <v>0</v>
          </cell>
        </row>
        <row r="534">
          <cell r="R534" t="str">
            <v>564.NA1</v>
          </cell>
          <cell r="S534">
            <v>0</v>
          </cell>
        </row>
        <row r="535">
          <cell r="R535" t="str">
            <v>564.NA2</v>
          </cell>
          <cell r="S535">
            <v>0</v>
          </cell>
        </row>
        <row r="536">
          <cell r="R536" t="str">
            <v>564.NA3</v>
          </cell>
          <cell r="S536">
            <v>0</v>
          </cell>
        </row>
        <row r="537">
          <cell r="R537" t="str">
            <v>565.NA</v>
          </cell>
          <cell r="S537">
            <v>0</v>
          </cell>
        </row>
        <row r="538">
          <cell r="R538" t="str">
            <v>565.SG</v>
          </cell>
          <cell r="S538">
            <v>0</v>
          </cell>
        </row>
        <row r="539">
          <cell r="R539" t="str">
            <v>565.SE</v>
          </cell>
          <cell r="S539">
            <v>0</v>
          </cell>
        </row>
        <row r="540">
          <cell r="R540" t="str">
            <v>565.NA1</v>
          </cell>
          <cell r="S540">
            <v>0</v>
          </cell>
        </row>
        <row r="541">
          <cell r="R541" t="str">
            <v>565.NA2</v>
          </cell>
          <cell r="S541">
            <v>0</v>
          </cell>
        </row>
        <row r="542">
          <cell r="R542" t="str">
            <v>565NPC.NA</v>
          </cell>
          <cell r="S542">
            <v>0</v>
          </cell>
        </row>
        <row r="543">
          <cell r="R543" t="str">
            <v>565NPC.SG</v>
          </cell>
          <cell r="S543">
            <v>61496214.081275858</v>
          </cell>
        </row>
        <row r="544">
          <cell r="R544" t="str">
            <v>565NPC.SE</v>
          </cell>
          <cell r="S544">
            <v>3025730.1199932024</v>
          </cell>
        </row>
        <row r="545">
          <cell r="R545" t="str">
            <v>565NPC.NA1</v>
          </cell>
          <cell r="S545">
            <v>64521944.20126906</v>
          </cell>
        </row>
        <row r="546">
          <cell r="R546" t="str">
            <v>565NPC.NA2</v>
          </cell>
          <cell r="S546">
            <v>0</v>
          </cell>
        </row>
        <row r="547">
          <cell r="R547" t="str">
            <v>565NPC.NA3</v>
          </cell>
          <cell r="S547">
            <v>64521944.20126906</v>
          </cell>
        </row>
        <row r="548">
          <cell r="R548" t="str">
            <v>565NPC.NA4</v>
          </cell>
          <cell r="S548">
            <v>0</v>
          </cell>
        </row>
        <row r="549">
          <cell r="R549" t="str">
            <v>566.NA</v>
          </cell>
          <cell r="S549">
            <v>0</v>
          </cell>
        </row>
        <row r="550">
          <cell r="R550" t="str">
            <v>566.SG</v>
          </cell>
          <cell r="S550">
            <v>1337506.7808581977</v>
          </cell>
        </row>
        <row r="551">
          <cell r="R551" t="str">
            <v>566.NA1</v>
          </cell>
          <cell r="S551">
            <v>0</v>
          </cell>
        </row>
        <row r="552">
          <cell r="R552" t="str">
            <v>566.NA2</v>
          </cell>
          <cell r="S552">
            <v>1337506.7808581977</v>
          </cell>
        </row>
        <row r="553">
          <cell r="R553" t="str">
            <v>566.NA3</v>
          </cell>
          <cell r="S553">
            <v>0</v>
          </cell>
        </row>
        <row r="554">
          <cell r="R554" t="str">
            <v>567.NA</v>
          </cell>
          <cell r="S554">
            <v>0</v>
          </cell>
        </row>
        <row r="555">
          <cell r="R555" t="str">
            <v>567.SG</v>
          </cell>
          <cell r="S555">
            <v>1003804.0341276462</v>
          </cell>
        </row>
        <row r="556">
          <cell r="R556" t="str">
            <v>567.NA1</v>
          </cell>
          <cell r="S556">
            <v>0</v>
          </cell>
        </row>
        <row r="557">
          <cell r="R557" t="str">
            <v>567.NA2</v>
          </cell>
          <cell r="S557">
            <v>1003804.0341276462</v>
          </cell>
        </row>
        <row r="558">
          <cell r="R558" t="str">
            <v>567.NA3</v>
          </cell>
          <cell r="S558">
            <v>0</v>
          </cell>
        </row>
        <row r="559">
          <cell r="R559" t="str">
            <v>568.NA</v>
          </cell>
          <cell r="S559">
            <v>0</v>
          </cell>
        </row>
        <row r="560">
          <cell r="R560" t="str">
            <v>568.SG</v>
          </cell>
          <cell r="S560">
            <v>623702.49414208345</v>
          </cell>
        </row>
        <row r="561">
          <cell r="R561" t="str">
            <v>568.NA1</v>
          </cell>
          <cell r="S561">
            <v>0</v>
          </cell>
        </row>
        <row r="562">
          <cell r="R562" t="str">
            <v>568.NA2</v>
          </cell>
          <cell r="S562">
            <v>623702.49414208345</v>
          </cell>
        </row>
        <row r="563">
          <cell r="R563" t="str">
            <v>568.NA3</v>
          </cell>
          <cell r="S563">
            <v>0</v>
          </cell>
        </row>
        <row r="564">
          <cell r="R564" t="str">
            <v>569.NA</v>
          </cell>
          <cell r="S564">
            <v>0</v>
          </cell>
        </row>
        <row r="565">
          <cell r="R565" t="str">
            <v>569.SG</v>
          </cell>
          <cell r="S565">
            <v>2704792.9847365902</v>
          </cell>
        </row>
        <row r="566">
          <cell r="R566" t="str">
            <v>569.NA1</v>
          </cell>
          <cell r="S566">
            <v>0</v>
          </cell>
        </row>
        <row r="567">
          <cell r="R567" t="str">
            <v>569.NA2</v>
          </cell>
          <cell r="S567">
            <v>2704792.9847365902</v>
          </cell>
        </row>
        <row r="568">
          <cell r="R568" t="str">
            <v>569.NA3</v>
          </cell>
          <cell r="S568">
            <v>0</v>
          </cell>
        </row>
        <row r="569">
          <cell r="R569" t="str">
            <v>570.NA</v>
          </cell>
          <cell r="S569">
            <v>0</v>
          </cell>
        </row>
        <row r="570">
          <cell r="R570" t="str">
            <v>570.SG</v>
          </cell>
          <cell r="S570">
            <v>5541223.1905785929</v>
          </cell>
        </row>
        <row r="571">
          <cell r="R571" t="str">
            <v>570.NA1</v>
          </cell>
          <cell r="S571">
            <v>0</v>
          </cell>
        </row>
        <row r="572">
          <cell r="R572" t="str">
            <v>570.NA2</v>
          </cell>
          <cell r="S572">
            <v>5541223.1905785929</v>
          </cell>
        </row>
        <row r="573">
          <cell r="R573" t="str">
            <v>570.NA3</v>
          </cell>
          <cell r="S573">
            <v>0</v>
          </cell>
        </row>
        <row r="574">
          <cell r="R574" t="str">
            <v>571.NA</v>
          </cell>
          <cell r="S574">
            <v>0</v>
          </cell>
        </row>
        <row r="575">
          <cell r="R575" t="str">
            <v>571.SG</v>
          </cell>
          <cell r="S575">
            <v>7393465.0071550207</v>
          </cell>
        </row>
        <row r="576">
          <cell r="R576" t="str">
            <v>571.SG1</v>
          </cell>
          <cell r="S576">
            <v>0</v>
          </cell>
        </row>
        <row r="577">
          <cell r="R577" t="str">
            <v>571.NA1</v>
          </cell>
          <cell r="S577">
            <v>0</v>
          </cell>
        </row>
        <row r="578">
          <cell r="R578" t="str">
            <v>571.NA2</v>
          </cell>
          <cell r="S578">
            <v>7393465.0071550207</v>
          </cell>
        </row>
        <row r="579">
          <cell r="R579" t="str">
            <v>571.NA3</v>
          </cell>
          <cell r="S579">
            <v>0</v>
          </cell>
        </row>
        <row r="580">
          <cell r="R580" t="str">
            <v>572.NA</v>
          </cell>
          <cell r="S580">
            <v>0</v>
          </cell>
        </row>
        <row r="581">
          <cell r="R581" t="str">
            <v>572.SG</v>
          </cell>
          <cell r="S581">
            <v>26707.835519230008</v>
          </cell>
        </row>
        <row r="582">
          <cell r="R582" t="str">
            <v>572.NA1</v>
          </cell>
          <cell r="S582">
            <v>0</v>
          </cell>
        </row>
        <row r="583">
          <cell r="R583" t="str">
            <v>572.NA2</v>
          </cell>
          <cell r="S583">
            <v>26707.835519230008</v>
          </cell>
        </row>
        <row r="584">
          <cell r="R584" t="str">
            <v>572.NA3</v>
          </cell>
          <cell r="S584">
            <v>0</v>
          </cell>
        </row>
        <row r="585">
          <cell r="R585" t="str">
            <v>573.NA</v>
          </cell>
          <cell r="S585">
            <v>0</v>
          </cell>
        </row>
        <row r="586">
          <cell r="R586" t="str">
            <v>573.SG</v>
          </cell>
          <cell r="S586">
            <v>68435.480662651244</v>
          </cell>
        </row>
        <row r="587">
          <cell r="R587" t="str">
            <v>573.NA1</v>
          </cell>
          <cell r="S587">
            <v>0</v>
          </cell>
        </row>
        <row r="588">
          <cell r="R588" t="str">
            <v>573.NA2</v>
          </cell>
          <cell r="S588">
            <v>68435.480662651244</v>
          </cell>
        </row>
        <row r="589">
          <cell r="R589" t="str">
            <v>573.NA3</v>
          </cell>
          <cell r="S589">
            <v>0</v>
          </cell>
        </row>
        <row r="590">
          <cell r="R590" t="str">
            <v>Total Transmission Expense.NA</v>
          </cell>
          <cell r="S590">
            <v>98217915.139804378</v>
          </cell>
        </row>
        <row r="591">
          <cell r="R591" t="str">
            <v>Total Transmission Expense.NA1</v>
          </cell>
          <cell r="S591">
            <v>0</v>
          </cell>
        </row>
        <row r="592">
          <cell r="R592" t="str">
            <v>Summary of Transmission Expense by Factor.NA</v>
          </cell>
          <cell r="S592">
            <v>0</v>
          </cell>
        </row>
        <row r="593">
          <cell r="R593" t="str">
            <v>Summary of Transmission Expense by Factor.NA1</v>
          </cell>
          <cell r="S593">
            <v>3025730.1199932024</v>
          </cell>
        </row>
        <row r="594">
          <cell r="R594" t="str">
            <v>Summary of Transmission Expense by Factor.NA2</v>
          </cell>
          <cell r="S594">
            <v>95192185.019811168</v>
          </cell>
        </row>
        <row r="595">
          <cell r="R595" t="str">
            <v>Summary of Transmission Expense by Factor.NA3</v>
          </cell>
          <cell r="S595">
            <v>0</v>
          </cell>
        </row>
        <row r="596">
          <cell r="R596" t="str">
            <v>Total Transmission Expense by Factor.NA</v>
          </cell>
          <cell r="S596">
            <v>98217915.139804363</v>
          </cell>
        </row>
        <row r="597">
          <cell r="R597" t="str">
            <v>580.NA</v>
          </cell>
          <cell r="S597">
            <v>0</v>
          </cell>
        </row>
        <row r="598">
          <cell r="R598" t="str">
            <v>580.S</v>
          </cell>
          <cell r="S598">
            <v>399609.73634737759</v>
          </cell>
        </row>
        <row r="599">
          <cell r="R599" t="str">
            <v>580.SNPD</v>
          </cell>
          <cell r="S599">
            <v>4433635.7703131065</v>
          </cell>
        </row>
        <row r="600">
          <cell r="R600" t="str">
            <v>580.NA1</v>
          </cell>
          <cell r="S600">
            <v>4833245.5066604838</v>
          </cell>
        </row>
        <row r="601">
          <cell r="R601" t="str">
            <v>580.NA2</v>
          </cell>
          <cell r="S601">
            <v>0</v>
          </cell>
        </row>
        <row r="602">
          <cell r="R602" t="str">
            <v>581.NA</v>
          </cell>
          <cell r="S602">
            <v>0</v>
          </cell>
        </row>
        <row r="603">
          <cell r="R603" t="str">
            <v>581.S</v>
          </cell>
          <cell r="S603">
            <v>0</v>
          </cell>
        </row>
        <row r="604">
          <cell r="R604" t="str">
            <v>581.SNPD</v>
          </cell>
          <cell r="S604">
            <v>6510079.0401218943</v>
          </cell>
        </row>
        <row r="605">
          <cell r="R605" t="str">
            <v>581.NA1</v>
          </cell>
          <cell r="S605">
            <v>6510079.0401218943</v>
          </cell>
        </row>
        <row r="606">
          <cell r="R606" t="str">
            <v>581.NA2</v>
          </cell>
          <cell r="S606">
            <v>0</v>
          </cell>
        </row>
        <row r="607">
          <cell r="R607" t="str">
            <v>582.NA</v>
          </cell>
          <cell r="S607">
            <v>0</v>
          </cell>
        </row>
        <row r="608">
          <cell r="R608" t="str">
            <v>582.S</v>
          </cell>
          <cell r="S608">
            <v>2288693.8384738592</v>
          </cell>
        </row>
        <row r="609">
          <cell r="R609" t="str">
            <v>582.SNPD</v>
          </cell>
          <cell r="S609">
            <v>1682.1682079636903</v>
          </cell>
        </row>
        <row r="610">
          <cell r="R610" t="str">
            <v>582.NA1</v>
          </cell>
          <cell r="S610">
            <v>2290376.0066818227</v>
          </cell>
        </row>
        <row r="611">
          <cell r="R611" t="str">
            <v>582.NA2</v>
          </cell>
          <cell r="S611">
            <v>0</v>
          </cell>
        </row>
        <row r="612">
          <cell r="R612" t="str">
            <v>583.NA</v>
          </cell>
          <cell r="S612">
            <v>0</v>
          </cell>
        </row>
        <row r="613">
          <cell r="R613" t="str">
            <v>583.S</v>
          </cell>
          <cell r="S613">
            <v>7094076.5769975279</v>
          </cell>
        </row>
        <row r="614">
          <cell r="R614" t="str">
            <v>583.SNPD</v>
          </cell>
          <cell r="S614">
            <v>87.111797172991857</v>
          </cell>
        </row>
        <row r="615">
          <cell r="R615" t="str">
            <v>583.NA1</v>
          </cell>
          <cell r="S615">
            <v>7094163.6887947004</v>
          </cell>
        </row>
        <row r="616">
          <cell r="R616" t="str">
            <v>583.NA2</v>
          </cell>
          <cell r="S616">
            <v>0</v>
          </cell>
        </row>
        <row r="617">
          <cell r="R617" t="str">
            <v>584.NA</v>
          </cell>
          <cell r="S617">
            <v>0</v>
          </cell>
        </row>
        <row r="618">
          <cell r="R618" t="str">
            <v>584.S</v>
          </cell>
          <cell r="S618">
            <v>133.01885371544495</v>
          </cell>
        </row>
        <row r="619">
          <cell r="R619" t="str">
            <v>584.SNPD</v>
          </cell>
          <cell r="S619">
            <v>0</v>
          </cell>
        </row>
        <row r="620">
          <cell r="R620" t="str">
            <v>584.NA1</v>
          </cell>
          <cell r="S620">
            <v>133.01885371544495</v>
          </cell>
        </row>
        <row r="621">
          <cell r="R621" t="str">
            <v>584.NA2</v>
          </cell>
          <cell r="S621">
            <v>0</v>
          </cell>
        </row>
        <row r="622">
          <cell r="R622" t="str">
            <v>585.NA</v>
          </cell>
          <cell r="S622">
            <v>0</v>
          </cell>
        </row>
        <row r="623">
          <cell r="R623" t="str">
            <v>585.S</v>
          </cell>
          <cell r="S623">
            <v>0</v>
          </cell>
        </row>
        <row r="624">
          <cell r="R624" t="str">
            <v>585.SNPD</v>
          </cell>
          <cell r="S624">
            <v>119335.88279137958</v>
          </cell>
        </row>
        <row r="625">
          <cell r="R625" t="str">
            <v>585.NA1</v>
          </cell>
          <cell r="S625">
            <v>119335.88279137958</v>
          </cell>
        </row>
        <row r="626">
          <cell r="R626" t="str">
            <v>585.NA2</v>
          </cell>
          <cell r="S626">
            <v>0</v>
          </cell>
        </row>
        <row r="627">
          <cell r="R627" t="str">
            <v>586.NA</v>
          </cell>
          <cell r="S627">
            <v>0</v>
          </cell>
        </row>
        <row r="628">
          <cell r="R628" t="str">
            <v>586.S</v>
          </cell>
          <cell r="S628">
            <v>877471.36080827937</v>
          </cell>
        </row>
        <row r="629">
          <cell r="R629" t="str">
            <v>586.SNPD</v>
          </cell>
          <cell r="S629">
            <v>6194.5686905880302</v>
          </cell>
        </row>
        <row r="630">
          <cell r="R630" t="str">
            <v>586.NA1</v>
          </cell>
          <cell r="S630">
            <v>883665.92949886736</v>
          </cell>
        </row>
        <row r="631">
          <cell r="R631" t="str">
            <v>586.NA2</v>
          </cell>
          <cell r="S631">
            <v>0</v>
          </cell>
        </row>
        <row r="632">
          <cell r="R632" t="str">
            <v>587.NA</v>
          </cell>
          <cell r="S632">
            <v>0</v>
          </cell>
        </row>
        <row r="633">
          <cell r="R633" t="str">
            <v>587.S</v>
          </cell>
          <cell r="S633">
            <v>6014811.7596941069</v>
          </cell>
        </row>
        <row r="634">
          <cell r="R634" t="str">
            <v>587.SNPD</v>
          </cell>
          <cell r="S634">
            <v>0</v>
          </cell>
        </row>
        <row r="635">
          <cell r="R635" t="str">
            <v>587.NA1</v>
          </cell>
          <cell r="S635">
            <v>6014811.7596941069</v>
          </cell>
        </row>
        <row r="636">
          <cell r="R636" t="str">
            <v>587.NA2</v>
          </cell>
          <cell r="S636">
            <v>0</v>
          </cell>
        </row>
        <row r="637">
          <cell r="R637" t="str">
            <v>588.NA</v>
          </cell>
          <cell r="S637">
            <v>0</v>
          </cell>
        </row>
        <row r="638">
          <cell r="R638" t="str">
            <v>588.S</v>
          </cell>
          <cell r="S638">
            <v>-129914.36678463958</v>
          </cell>
        </row>
        <row r="639">
          <cell r="R639" t="str">
            <v>588.SNPD</v>
          </cell>
          <cell r="S639">
            <v>604899.5176502855</v>
          </cell>
        </row>
        <row r="640">
          <cell r="R640" t="str">
            <v>588.NA1</v>
          </cell>
          <cell r="S640">
            <v>474985.1508656459</v>
          </cell>
        </row>
        <row r="641">
          <cell r="R641" t="str">
            <v>588.NA2</v>
          </cell>
          <cell r="S641">
            <v>0</v>
          </cell>
        </row>
        <row r="642">
          <cell r="R642" t="str">
            <v>589.NA</v>
          </cell>
          <cell r="S642">
            <v>0</v>
          </cell>
        </row>
        <row r="643">
          <cell r="R643" t="str">
            <v>589.S</v>
          </cell>
          <cell r="S643">
            <v>510671.71039990516</v>
          </cell>
        </row>
        <row r="644">
          <cell r="R644" t="str">
            <v>589.SNPD</v>
          </cell>
          <cell r="S644">
            <v>1377.0965772855336</v>
          </cell>
        </row>
        <row r="645">
          <cell r="R645" t="str">
            <v>589.NA1</v>
          </cell>
          <cell r="S645">
            <v>512048.80697719072</v>
          </cell>
        </row>
        <row r="646">
          <cell r="R646" t="str">
            <v>589.NA2</v>
          </cell>
          <cell r="S646">
            <v>0</v>
          </cell>
        </row>
        <row r="647">
          <cell r="R647" t="str">
            <v>590.NA</v>
          </cell>
          <cell r="S647">
            <v>0</v>
          </cell>
        </row>
        <row r="648">
          <cell r="R648" t="str">
            <v>590.S</v>
          </cell>
          <cell r="S648">
            <v>1554347.7505993191</v>
          </cell>
        </row>
        <row r="649">
          <cell r="R649" t="str">
            <v>590.SNPD</v>
          </cell>
          <cell r="S649">
            <v>1603265.491596702</v>
          </cell>
        </row>
        <row r="650">
          <cell r="R650" t="str">
            <v>590.NA1</v>
          </cell>
          <cell r="S650">
            <v>3157613.2421960211</v>
          </cell>
        </row>
        <row r="651">
          <cell r="R651" t="str">
            <v>590.NA2</v>
          </cell>
          <cell r="S651">
            <v>0</v>
          </cell>
        </row>
        <row r="652">
          <cell r="R652" t="str">
            <v>591.NA</v>
          </cell>
          <cell r="S652">
            <v>0</v>
          </cell>
        </row>
        <row r="653">
          <cell r="R653" t="str">
            <v>591.S</v>
          </cell>
          <cell r="S653">
            <v>1018133.9306164439</v>
          </cell>
        </row>
        <row r="654">
          <cell r="R654" t="str">
            <v>591.SNPD</v>
          </cell>
          <cell r="S654">
            <v>61978.334798206037</v>
          </cell>
        </row>
        <row r="655">
          <cell r="R655" t="str">
            <v>591.NA1</v>
          </cell>
          <cell r="S655">
            <v>1080112.2654146499</v>
          </cell>
        </row>
        <row r="656">
          <cell r="R656" t="str">
            <v>591.NA2</v>
          </cell>
          <cell r="S656">
            <v>0</v>
          </cell>
        </row>
        <row r="657">
          <cell r="R657" t="str">
            <v>592.NA</v>
          </cell>
          <cell r="S657">
            <v>0</v>
          </cell>
        </row>
        <row r="658">
          <cell r="R658" t="str">
            <v>592.S</v>
          </cell>
          <cell r="S658">
            <v>3274745.134976998</v>
          </cell>
        </row>
        <row r="659">
          <cell r="R659" t="str">
            <v>592.SNPD</v>
          </cell>
          <cell r="S659">
            <v>963139.47830412863</v>
          </cell>
        </row>
        <row r="660">
          <cell r="R660" t="str">
            <v>592.NA1</v>
          </cell>
          <cell r="S660">
            <v>4237884.6132811271</v>
          </cell>
        </row>
        <row r="661">
          <cell r="R661" t="str">
            <v>593.NA</v>
          </cell>
          <cell r="S661">
            <v>0</v>
          </cell>
        </row>
        <row r="662">
          <cell r="R662" t="str">
            <v>593.S</v>
          </cell>
          <cell r="S662">
            <v>32553259.950473353</v>
          </cell>
        </row>
        <row r="663">
          <cell r="R663" t="str">
            <v>593.SNPD</v>
          </cell>
          <cell r="S663">
            <v>1165069.82384397</v>
          </cell>
        </row>
        <row r="664">
          <cell r="R664" t="str">
            <v>593.NA1</v>
          </cell>
          <cell r="S664">
            <v>33718329.774317324</v>
          </cell>
        </row>
        <row r="665">
          <cell r="R665" t="str">
            <v>593.NA2</v>
          </cell>
          <cell r="S665">
            <v>0</v>
          </cell>
        </row>
        <row r="666">
          <cell r="R666" t="str">
            <v>594.NA</v>
          </cell>
          <cell r="S666">
            <v>0</v>
          </cell>
        </row>
        <row r="667">
          <cell r="R667" t="str">
            <v>594.S</v>
          </cell>
          <cell r="S667">
            <v>16736207.284497809</v>
          </cell>
        </row>
        <row r="668">
          <cell r="R668" t="str">
            <v>594.SNPD</v>
          </cell>
          <cell r="S668">
            <v>5153.4375983255259</v>
          </cell>
        </row>
        <row r="669">
          <cell r="R669" t="str">
            <v>594.NA1</v>
          </cell>
          <cell r="S669">
            <v>16741360.722096134</v>
          </cell>
        </row>
        <row r="670">
          <cell r="R670" t="str">
            <v>594.NA2</v>
          </cell>
          <cell r="S670">
            <v>0</v>
          </cell>
        </row>
        <row r="671">
          <cell r="R671" t="str">
            <v>595.NA</v>
          </cell>
          <cell r="S671">
            <v>0</v>
          </cell>
        </row>
        <row r="672">
          <cell r="R672" t="str">
            <v>595.S</v>
          </cell>
          <cell r="S672">
            <v>0</v>
          </cell>
        </row>
        <row r="673">
          <cell r="R673" t="str">
            <v>595.SNPD</v>
          </cell>
          <cell r="S673">
            <v>529384.40563672804</v>
          </cell>
        </row>
        <row r="674">
          <cell r="R674" t="str">
            <v>595.NA1</v>
          </cell>
          <cell r="S674">
            <v>529384.40563672804</v>
          </cell>
        </row>
        <row r="675">
          <cell r="R675" t="str">
            <v>595.NA2</v>
          </cell>
          <cell r="S675">
            <v>0</v>
          </cell>
        </row>
        <row r="676">
          <cell r="R676" t="str">
            <v>596.NA</v>
          </cell>
          <cell r="S676">
            <v>0</v>
          </cell>
        </row>
        <row r="677">
          <cell r="R677" t="str">
            <v>596.S</v>
          </cell>
          <cell r="S677">
            <v>935755.71282365476</v>
          </cell>
        </row>
        <row r="678">
          <cell r="R678" t="str">
            <v>596.SNPD</v>
          </cell>
          <cell r="S678">
            <v>0</v>
          </cell>
        </row>
        <row r="679">
          <cell r="R679" t="str">
            <v>596.NA1</v>
          </cell>
          <cell r="S679">
            <v>935755.71282365476</v>
          </cell>
        </row>
        <row r="680">
          <cell r="R680" t="str">
            <v>596.NA2</v>
          </cell>
          <cell r="S680">
            <v>0</v>
          </cell>
        </row>
        <row r="681">
          <cell r="R681" t="str">
            <v>597.NA</v>
          </cell>
          <cell r="S681">
            <v>0</v>
          </cell>
        </row>
        <row r="682">
          <cell r="R682" t="str">
            <v>597.S</v>
          </cell>
          <cell r="S682">
            <v>258605.45331441221</v>
          </cell>
        </row>
        <row r="683">
          <cell r="R683" t="str">
            <v>597.SNPD</v>
          </cell>
          <cell r="S683">
            <v>-52904.939597915225</v>
          </cell>
        </row>
        <row r="684">
          <cell r="R684" t="str">
            <v>597.NA1</v>
          </cell>
          <cell r="S684">
            <v>205700.51371649699</v>
          </cell>
        </row>
        <row r="685">
          <cell r="R685" t="str">
            <v>597.NA2</v>
          </cell>
          <cell r="S685">
            <v>0</v>
          </cell>
        </row>
        <row r="686">
          <cell r="R686" t="str">
            <v>598.NA</v>
          </cell>
          <cell r="S686">
            <v>0</v>
          </cell>
        </row>
        <row r="687">
          <cell r="R687" t="str">
            <v>598.S</v>
          </cell>
          <cell r="S687">
            <v>647140.52904922958</v>
          </cell>
        </row>
        <row r="688">
          <cell r="R688" t="str">
            <v>598.SNPD</v>
          </cell>
          <cell r="S688">
            <v>2247440.5929408213</v>
          </cell>
        </row>
        <row r="689">
          <cell r="R689" t="str">
            <v>598.NA1</v>
          </cell>
          <cell r="S689">
            <v>2894581.1219900511</v>
          </cell>
        </row>
        <row r="690">
          <cell r="R690" t="str">
            <v>598.NA2</v>
          </cell>
          <cell r="S690">
            <v>0</v>
          </cell>
        </row>
        <row r="691">
          <cell r="R691" t="str">
            <v>Total Distribution Expense.NA</v>
          </cell>
          <cell r="S691">
            <v>92233567.162412003</v>
          </cell>
        </row>
        <row r="692">
          <cell r="R692" t="str">
            <v>Total Distribution Expense.NA1</v>
          </cell>
          <cell r="S692">
            <v>0</v>
          </cell>
        </row>
        <row r="693">
          <cell r="R693" t="str">
            <v>Total Distribution Expense.NA2</v>
          </cell>
          <cell r="S693">
            <v>0</v>
          </cell>
        </row>
        <row r="694">
          <cell r="R694" t="str">
            <v>Summary of Distribution Expense by Factor.NA</v>
          </cell>
          <cell r="S694">
            <v>0</v>
          </cell>
        </row>
        <row r="695">
          <cell r="R695" t="str">
            <v>Summary of Distribution Expense by Factor.NA1</v>
          </cell>
          <cell r="S695">
            <v>74033749.38114135</v>
          </cell>
        </row>
        <row r="696">
          <cell r="R696" t="str">
            <v>Summary of Distribution Expense by Factor.NA2</v>
          </cell>
          <cell r="S696">
            <v>18199817.781270642</v>
          </cell>
        </row>
        <row r="697">
          <cell r="R697" t="str">
            <v>Summary of Distribution Expense by Factor.NA3</v>
          </cell>
          <cell r="S697">
            <v>0</v>
          </cell>
        </row>
        <row r="698">
          <cell r="R698" t="str">
            <v>Total Distribution Expense by Factor.NA</v>
          </cell>
          <cell r="S698">
            <v>92233567.162411988</v>
          </cell>
        </row>
        <row r="699">
          <cell r="R699" t="str">
            <v>Total Distribution Expense by Factor.NA1</v>
          </cell>
          <cell r="S699">
            <v>0</v>
          </cell>
        </row>
        <row r="700">
          <cell r="R700" t="str">
            <v>901.NA</v>
          </cell>
          <cell r="S700">
            <v>0</v>
          </cell>
        </row>
        <row r="701">
          <cell r="R701" t="str">
            <v>901.S</v>
          </cell>
          <cell r="S701">
            <v>0</v>
          </cell>
        </row>
        <row r="702">
          <cell r="R702" t="str">
            <v>901.CN</v>
          </cell>
          <cell r="S702">
            <v>1184751.1541556783</v>
          </cell>
        </row>
        <row r="703">
          <cell r="R703" t="str">
            <v>901.NA1</v>
          </cell>
          <cell r="S703">
            <v>1184751.1541556783</v>
          </cell>
        </row>
        <row r="704">
          <cell r="R704" t="str">
            <v>901.NA2</v>
          </cell>
          <cell r="S704">
            <v>0</v>
          </cell>
        </row>
        <row r="705">
          <cell r="R705" t="str">
            <v>902.NA</v>
          </cell>
          <cell r="S705">
            <v>0</v>
          </cell>
        </row>
        <row r="706">
          <cell r="R706" t="str">
            <v>902.S</v>
          </cell>
          <cell r="S706">
            <v>5142173.0206209216</v>
          </cell>
        </row>
        <row r="707">
          <cell r="R707" t="str">
            <v>902.CN</v>
          </cell>
          <cell r="S707">
            <v>331137.53996683104</v>
          </cell>
        </row>
        <row r="708">
          <cell r="R708" t="str">
            <v>902.NA1</v>
          </cell>
          <cell r="S708">
            <v>5473310.5605877526</v>
          </cell>
        </row>
        <row r="709">
          <cell r="R709" t="str">
            <v>902.NA2</v>
          </cell>
          <cell r="S709">
            <v>0</v>
          </cell>
        </row>
        <row r="710">
          <cell r="R710" t="str">
            <v>903.NA</v>
          </cell>
          <cell r="S710">
            <v>0</v>
          </cell>
        </row>
        <row r="711">
          <cell r="R711" t="str">
            <v>903.S</v>
          </cell>
          <cell r="S711">
            <v>3210093.2240490783</v>
          </cell>
        </row>
        <row r="712">
          <cell r="R712" t="str">
            <v>903.CN</v>
          </cell>
          <cell r="S712">
            <v>21060452.777321853</v>
          </cell>
        </row>
        <row r="713">
          <cell r="R713" t="str">
            <v>903.NA1</v>
          </cell>
          <cell r="S713">
            <v>24270546.001370929</v>
          </cell>
        </row>
        <row r="714">
          <cell r="R714" t="str">
            <v>903.NA2</v>
          </cell>
          <cell r="S714">
            <v>0</v>
          </cell>
        </row>
        <row r="715">
          <cell r="R715" t="str">
            <v>904.NA</v>
          </cell>
          <cell r="S715">
            <v>0</v>
          </cell>
        </row>
        <row r="716">
          <cell r="R716" t="str">
            <v>904.S</v>
          </cell>
          <cell r="S716">
            <v>4012289.805374878</v>
          </cell>
        </row>
        <row r="717">
          <cell r="R717" t="str">
            <v>904.SG</v>
          </cell>
          <cell r="S717">
            <v>0</v>
          </cell>
        </row>
        <row r="718">
          <cell r="R718" t="str">
            <v>904.CN</v>
          </cell>
          <cell r="S718">
            <v>486995.40765856463</v>
          </cell>
        </row>
        <row r="719">
          <cell r="R719" t="str">
            <v>904.NA1</v>
          </cell>
          <cell r="S719">
            <v>4499285.2130334424</v>
          </cell>
        </row>
        <row r="720">
          <cell r="R720" t="str">
            <v>904.NA2</v>
          </cell>
          <cell r="S720">
            <v>0</v>
          </cell>
        </row>
        <row r="721">
          <cell r="R721" t="str">
            <v>905.NA</v>
          </cell>
          <cell r="S721">
            <v>0</v>
          </cell>
        </row>
        <row r="722">
          <cell r="R722" t="str">
            <v>905.S</v>
          </cell>
          <cell r="S722">
            <v>340035.06694991991</v>
          </cell>
        </row>
        <row r="723">
          <cell r="R723" t="str">
            <v>905.CN</v>
          </cell>
          <cell r="S723">
            <v>8842.0379197506863</v>
          </cell>
        </row>
        <row r="724">
          <cell r="R724" t="str">
            <v>905.NA1</v>
          </cell>
          <cell r="S724">
            <v>348877.10486967058</v>
          </cell>
        </row>
        <row r="725">
          <cell r="R725" t="str">
            <v>905.NA2</v>
          </cell>
          <cell r="S725">
            <v>0</v>
          </cell>
        </row>
        <row r="726">
          <cell r="R726" t="str">
            <v>Total Customer Accounts Expense.NA</v>
          </cell>
          <cell r="S726">
            <v>35776770.034017473</v>
          </cell>
        </row>
        <row r="727">
          <cell r="R727" t="str">
            <v>Total Customer Accounts Expense.NA1</v>
          </cell>
          <cell r="S727">
            <v>0</v>
          </cell>
        </row>
        <row r="728">
          <cell r="R728" t="str">
            <v>Summary of Customer Accts Exp by Factor.NA</v>
          </cell>
          <cell r="S728">
            <v>0</v>
          </cell>
        </row>
        <row r="729">
          <cell r="R729" t="str">
            <v>Summary of Customer Accts Exp by Factor.NA1</v>
          </cell>
          <cell r="S729">
            <v>12704591.116994798</v>
          </cell>
        </row>
        <row r="730">
          <cell r="R730" t="str">
            <v>Summary of Customer Accts Exp by Factor.NA2</v>
          </cell>
          <cell r="S730">
            <v>23072178.917022679</v>
          </cell>
        </row>
        <row r="731">
          <cell r="R731" t="str">
            <v>Summary of Customer Accts Exp by Factor.NA3</v>
          </cell>
          <cell r="S731">
            <v>0</v>
          </cell>
        </row>
        <row r="732">
          <cell r="R732" t="str">
            <v>Total Customer Accounts Expense by Factor.NA</v>
          </cell>
          <cell r="S732">
            <v>35776770.034017473</v>
          </cell>
        </row>
        <row r="733">
          <cell r="R733" t="str">
            <v>Total Customer Accounts Expense by Factor.NA1</v>
          </cell>
          <cell r="S733">
            <v>0</v>
          </cell>
        </row>
        <row r="734">
          <cell r="R734" t="str">
            <v>907.NA</v>
          </cell>
          <cell r="S734">
            <v>0</v>
          </cell>
        </row>
        <row r="735">
          <cell r="R735" t="str">
            <v>907.S</v>
          </cell>
          <cell r="S735">
            <v>0</v>
          </cell>
        </row>
        <row r="736">
          <cell r="R736" t="str">
            <v>907.CN</v>
          </cell>
          <cell r="S736">
            <v>2935.2258426280159</v>
          </cell>
        </row>
        <row r="737">
          <cell r="R737" t="str">
            <v>907.NA1</v>
          </cell>
          <cell r="S737">
            <v>2935.2258426280159</v>
          </cell>
        </row>
        <row r="738">
          <cell r="R738" t="str">
            <v>907.NA2</v>
          </cell>
          <cell r="S738">
            <v>0</v>
          </cell>
        </row>
        <row r="739">
          <cell r="R739" t="str">
            <v>908.NA</v>
          </cell>
          <cell r="S739">
            <v>0</v>
          </cell>
        </row>
        <row r="740">
          <cell r="R740" t="str">
            <v>908.S</v>
          </cell>
          <cell r="S740">
            <v>2923216.5243389346</v>
          </cell>
        </row>
        <row r="741">
          <cell r="R741" t="str">
            <v>908.CN</v>
          </cell>
          <cell r="S741">
            <v>1409259.8513561306</v>
          </cell>
        </row>
        <row r="742">
          <cell r="R742" t="str">
            <v>908.NA1</v>
          </cell>
          <cell r="S742">
            <v>0</v>
          </cell>
        </row>
        <row r="743">
          <cell r="R743" t="str">
            <v>908.NA2</v>
          </cell>
          <cell r="S743">
            <v>0</v>
          </cell>
        </row>
        <row r="744">
          <cell r="R744" t="str">
            <v>908.NA3</v>
          </cell>
          <cell r="S744">
            <v>4332476.3756950647</v>
          </cell>
        </row>
        <row r="745">
          <cell r="R745" t="str">
            <v>908.NA4</v>
          </cell>
          <cell r="S745">
            <v>0</v>
          </cell>
        </row>
        <row r="746">
          <cell r="R746" t="str">
            <v>909.NA</v>
          </cell>
          <cell r="S746">
            <v>0</v>
          </cell>
        </row>
        <row r="747">
          <cell r="R747" t="str">
            <v>909.S</v>
          </cell>
          <cell r="S747">
            <v>1221628.2339450682</v>
          </cell>
        </row>
        <row r="748">
          <cell r="R748" t="str">
            <v>909.CN</v>
          </cell>
          <cell r="S748">
            <v>1446799.2482582519</v>
          </cell>
        </row>
        <row r="749">
          <cell r="R749" t="str">
            <v>909.NA1</v>
          </cell>
          <cell r="S749">
            <v>2668427.4822033201</v>
          </cell>
        </row>
        <row r="750">
          <cell r="R750" t="str">
            <v>909.NA2</v>
          </cell>
          <cell r="S750">
            <v>0</v>
          </cell>
        </row>
        <row r="751">
          <cell r="R751" t="str">
            <v>910.NA</v>
          </cell>
          <cell r="S751">
            <v>0</v>
          </cell>
        </row>
        <row r="752">
          <cell r="R752" t="str">
            <v>910.S</v>
          </cell>
          <cell r="S752">
            <v>0</v>
          </cell>
        </row>
        <row r="753">
          <cell r="R753" t="str">
            <v>910.CN</v>
          </cell>
          <cell r="S753">
            <v>2335.8259316016965</v>
          </cell>
        </row>
        <row r="754">
          <cell r="R754" t="str">
            <v>910.NA1</v>
          </cell>
          <cell r="S754">
            <v>0</v>
          </cell>
        </row>
        <row r="755">
          <cell r="R755" t="str">
            <v>910.NA2</v>
          </cell>
          <cell r="S755">
            <v>2335.8259316016965</v>
          </cell>
        </row>
        <row r="756">
          <cell r="R756" t="str">
            <v>910.NA3</v>
          </cell>
          <cell r="S756">
            <v>0</v>
          </cell>
        </row>
        <row r="757">
          <cell r="R757" t="str">
            <v>Total Customer Service Expense.NA</v>
          </cell>
          <cell r="S757">
            <v>7006174.9096726151</v>
          </cell>
        </row>
        <row r="758">
          <cell r="R758" t="str">
            <v>Total Customer Service Expense.NA1</v>
          </cell>
          <cell r="S758">
            <v>0</v>
          </cell>
        </row>
        <row r="759">
          <cell r="R759" t="str">
            <v>Total Customer Service Expense.NA2</v>
          </cell>
          <cell r="S759">
            <v>0</v>
          </cell>
        </row>
        <row r="760">
          <cell r="R760" t="str">
            <v>Summary of Customer Service Exp by Factor.NA</v>
          </cell>
          <cell r="S760">
            <v>0</v>
          </cell>
        </row>
        <row r="761">
          <cell r="R761" t="str">
            <v>Summary of Customer Service Exp by Factor.NA1</v>
          </cell>
          <cell r="S761">
            <v>4144844.7582840025</v>
          </cell>
        </row>
        <row r="762">
          <cell r="R762" t="str">
            <v>Summary of Customer Service Exp by Factor.NA2</v>
          </cell>
          <cell r="S762">
            <v>2861330.1513886121</v>
          </cell>
        </row>
        <row r="763">
          <cell r="R763" t="str">
            <v>Summary of Customer Service Exp by Factor.NA3</v>
          </cell>
          <cell r="S763">
            <v>0</v>
          </cell>
        </row>
        <row r="764">
          <cell r="R764" t="str">
            <v>Total Customer Service Expense by Factor.NA</v>
          </cell>
          <cell r="S764">
            <v>7006174.9096726142</v>
          </cell>
        </row>
        <row r="765">
          <cell r="R765" t="str">
            <v>Total Customer Service Expense by Factor.NA1</v>
          </cell>
          <cell r="S765">
            <v>0</v>
          </cell>
        </row>
        <row r="766">
          <cell r="R766" t="str">
            <v>Total Customer Service Expense by Factor.NA2</v>
          </cell>
          <cell r="S766">
            <v>0</v>
          </cell>
        </row>
        <row r="767">
          <cell r="R767" t="str">
            <v>911.NA</v>
          </cell>
          <cell r="S767">
            <v>0</v>
          </cell>
        </row>
        <row r="768">
          <cell r="R768" t="str">
            <v>911.S</v>
          </cell>
          <cell r="S768">
            <v>0</v>
          </cell>
        </row>
        <row r="769">
          <cell r="R769" t="str">
            <v>911.CN</v>
          </cell>
          <cell r="S769">
            <v>0</v>
          </cell>
        </row>
        <row r="770">
          <cell r="R770" t="str">
            <v>911.NA1</v>
          </cell>
          <cell r="S770">
            <v>0</v>
          </cell>
        </row>
        <row r="771">
          <cell r="R771" t="str">
            <v>911.NA2</v>
          </cell>
          <cell r="S771">
            <v>0</v>
          </cell>
        </row>
        <row r="772">
          <cell r="R772" t="str">
            <v>912.NA</v>
          </cell>
          <cell r="S772">
            <v>0</v>
          </cell>
        </row>
        <row r="773">
          <cell r="R773" t="str">
            <v>912.S</v>
          </cell>
          <cell r="S773">
            <v>0</v>
          </cell>
        </row>
        <row r="774">
          <cell r="R774" t="str">
            <v>912.CN</v>
          </cell>
          <cell r="S774">
            <v>0</v>
          </cell>
        </row>
        <row r="775">
          <cell r="R775" t="str">
            <v>912.NA1</v>
          </cell>
          <cell r="S775">
            <v>0</v>
          </cell>
        </row>
        <row r="776">
          <cell r="R776" t="str">
            <v>912.NA2</v>
          </cell>
          <cell r="S776">
            <v>0</v>
          </cell>
        </row>
        <row r="777">
          <cell r="R777" t="str">
            <v>913.NA</v>
          </cell>
          <cell r="S777">
            <v>0</v>
          </cell>
        </row>
        <row r="778">
          <cell r="R778" t="str">
            <v>913.S</v>
          </cell>
          <cell r="S778">
            <v>0</v>
          </cell>
        </row>
        <row r="779">
          <cell r="R779" t="str">
            <v>913.CN</v>
          </cell>
          <cell r="S779">
            <v>0</v>
          </cell>
        </row>
        <row r="780">
          <cell r="R780" t="str">
            <v>913.NA1</v>
          </cell>
          <cell r="S780">
            <v>0</v>
          </cell>
        </row>
        <row r="781">
          <cell r="R781" t="str">
            <v>913.NA2</v>
          </cell>
          <cell r="S781">
            <v>0</v>
          </cell>
        </row>
        <row r="782">
          <cell r="R782" t="str">
            <v>916.NA</v>
          </cell>
          <cell r="S782">
            <v>0</v>
          </cell>
        </row>
        <row r="783">
          <cell r="R783" t="str">
            <v>916.S</v>
          </cell>
          <cell r="S783">
            <v>0</v>
          </cell>
        </row>
        <row r="784">
          <cell r="R784" t="str">
            <v>916.CN</v>
          </cell>
          <cell r="S784">
            <v>0</v>
          </cell>
        </row>
        <row r="785">
          <cell r="R785" t="str">
            <v>916.NA1</v>
          </cell>
          <cell r="S785">
            <v>0</v>
          </cell>
        </row>
        <row r="786">
          <cell r="R786" t="str">
            <v>916.NA2</v>
          </cell>
          <cell r="S786">
            <v>0</v>
          </cell>
        </row>
        <row r="787">
          <cell r="R787" t="str">
            <v>Total Sales Expense.NA</v>
          </cell>
          <cell r="S787">
            <v>0</v>
          </cell>
        </row>
        <row r="788">
          <cell r="R788" t="str">
            <v>Total Sales Expense.NA1</v>
          </cell>
          <cell r="S788">
            <v>0</v>
          </cell>
        </row>
        <row r="789">
          <cell r="R789" t="str">
            <v>Total Sales Expense.NA2</v>
          </cell>
          <cell r="S789">
            <v>0</v>
          </cell>
        </row>
        <row r="790">
          <cell r="R790" t="str">
            <v>Total Sales Expense by Factor.NA</v>
          </cell>
          <cell r="S790">
            <v>0</v>
          </cell>
        </row>
        <row r="791">
          <cell r="R791" t="str">
            <v>Total Sales Expense by Factor.NA1</v>
          </cell>
          <cell r="S791">
            <v>0</v>
          </cell>
        </row>
        <row r="792">
          <cell r="R792" t="str">
            <v>Total Sales Expense by Factor.NA2</v>
          </cell>
          <cell r="S792">
            <v>0</v>
          </cell>
        </row>
        <row r="793">
          <cell r="R793" t="str">
            <v>Total Sales Expense by Factor.NA3</v>
          </cell>
          <cell r="S793">
            <v>0</v>
          </cell>
        </row>
        <row r="794">
          <cell r="R794" t="str">
            <v>Total Sales Expense by Factor.NA4</v>
          </cell>
          <cell r="S794">
            <v>0</v>
          </cell>
        </row>
        <row r="795">
          <cell r="R795" t="str">
            <v>Total Customer Service Exp Including Sales.NA</v>
          </cell>
          <cell r="S795">
            <v>7006174.9096726142</v>
          </cell>
        </row>
        <row r="796">
          <cell r="R796" t="str">
            <v>920.NA</v>
          </cell>
          <cell r="S796">
            <v>0</v>
          </cell>
        </row>
        <row r="797">
          <cell r="R797" t="str">
            <v>920.S</v>
          </cell>
          <cell r="S797">
            <v>374.23840605010184</v>
          </cell>
        </row>
        <row r="798">
          <cell r="R798" t="str">
            <v>920.CN</v>
          </cell>
          <cell r="S798">
            <v>0</v>
          </cell>
        </row>
        <row r="799">
          <cell r="R799" t="str">
            <v>920.SO</v>
          </cell>
          <cell r="S799">
            <v>37007379.047685526</v>
          </cell>
        </row>
        <row r="800">
          <cell r="R800" t="str">
            <v>920.NA1</v>
          </cell>
          <cell r="S800">
            <v>37007753.286091574</v>
          </cell>
        </row>
        <row r="801">
          <cell r="R801" t="str">
            <v>920.NA2</v>
          </cell>
          <cell r="S801">
            <v>0</v>
          </cell>
        </row>
        <row r="802">
          <cell r="R802" t="str">
            <v>921.NA</v>
          </cell>
          <cell r="S802">
            <v>0</v>
          </cell>
        </row>
        <row r="803">
          <cell r="R803" t="str">
            <v>921.S</v>
          </cell>
          <cell r="S803">
            <v>126825.87725923794</v>
          </cell>
        </row>
        <row r="804">
          <cell r="R804" t="str">
            <v>921.CN</v>
          </cell>
          <cell r="S804">
            <v>42636.615307958928</v>
          </cell>
        </row>
        <row r="805">
          <cell r="R805" t="str">
            <v>921.SO</v>
          </cell>
          <cell r="S805">
            <v>4820780.8865189394</v>
          </cell>
        </row>
        <row r="806">
          <cell r="R806" t="str">
            <v>921.NA1</v>
          </cell>
          <cell r="S806">
            <v>4990243.3790861359</v>
          </cell>
        </row>
        <row r="807">
          <cell r="R807" t="str">
            <v>921.NA2</v>
          </cell>
          <cell r="S807">
            <v>0</v>
          </cell>
        </row>
        <row r="808">
          <cell r="R808" t="str">
            <v>922.NA</v>
          </cell>
          <cell r="S808">
            <v>0</v>
          </cell>
        </row>
        <row r="809">
          <cell r="R809" t="str">
            <v>922.S</v>
          </cell>
          <cell r="S809">
            <v>0</v>
          </cell>
        </row>
        <row r="810">
          <cell r="R810" t="str">
            <v>922.CN</v>
          </cell>
          <cell r="S810">
            <v>0</v>
          </cell>
        </row>
        <row r="811">
          <cell r="R811" t="str">
            <v>922.SO</v>
          </cell>
          <cell r="S811">
            <v>-16390359.103200486</v>
          </cell>
        </row>
        <row r="812">
          <cell r="R812" t="str">
            <v>922.NA1</v>
          </cell>
          <cell r="S812">
            <v>-16390359.103200486</v>
          </cell>
        </row>
        <row r="813">
          <cell r="R813" t="str">
            <v>922.NA2</v>
          </cell>
          <cell r="S813">
            <v>0</v>
          </cell>
        </row>
        <row r="814">
          <cell r="R814" t="str">
            <v>923.NA</v>
          </cell>
          <cell r="S814">
            <v>0</v>
          </cell>
        </row>
        <row r="815">
          <cell r="R815" t="str">
            <v>923.S</v>
          </cell>
          <cell r="S815">
            <v>1303525.3144652946</v>
          </cell>
        </row>
        <row r="816">
          <cell r="R816" t="str">
            <v>923.CN</v>
          </cell>
          <cell r="S816">
            <v>0</v>
          </cell>
        </row>
        <row r="817">
          <cell r="R817" t="str">
            <v>923.SO</v>
          </cell>
          <cell r="S817">
            <v>9221317.8773319554</v>
          </cell>
        </row>
        <row r="818">
          <cell r="R818" t="str">
            <v>923.NA1</v>
          </cell>
          <cell r="S818">
            <v>10524843.191797249</v>
          </cell>
        </row>
        <row r="819">
          <cell r="R819" t="str">
            <v>923.NA2</v>
          </cell>
          <cell r="S819">
            <v>0</v>
          </cell>
        </row>
        <row r="820">
          <cell r="R820" t="str">
            <v>924.NA</v>
          </cell>
          <cell r="S820">
            <v>0</v>
          </cell>
        </row>
        <row r="821">
          <cell r="R821" t="str">
            <v>924.S</v>
          </cell>
          <cell r="S821">
            <v>473610.41586096445</v>
          </cell>
        </row>
        <row r="822">
          <cell r="R822" t="str">
            <v>924.SG</v>
          </cell>
          <cell r="S822">
            <v>0</v>
          </cell>
        </row>
        <row r="823">
          <cell r="R823" t="str">
            <v>924.SO</v>
          </cell>
          <cell r="S823">
            <v>1423473.0223365107</v>
          </cell>
        </row>
        <row r="824">
          <cell r="R824" t="str">
            <v>924.NA1</v>
          </cell>
          <cell r="S824">
            <v>1897083.4381974752</v>
          </cell>
        </row>
        <row r="825">
          <cell r="R825" t="str">
            <v>924.NA2</v>
          </cell>
          <cell r="S825">
            <v>0</v>
          </cell>
        </row>
        <row r="826">
          <cell r="R826" t="str">
            <v>925.NA</v>
          </cell>
          <cell r="S826">
            <v>0</v>
          </cell>
        </row>
        <row r="827">
          <cell r="R827" t="str">
            <v>925.S</v>
          </cell>
          <cell r="S827">
            <v>0</v>
          </cell>
        </row>
        <row r="828">
          <cell r="R828" t="str">
            <v>925.SO</v>
          </cell>
          <cell r="S828">
            <v>5766697.0482084891</v>
          </cell>
        </row>
        <row r="829">
          <cell r="R829" t="str">
            <v>925.NA1</v>
          </cell>
          <cell r="S829">
            <v>5766697.0482084891</v>
          </cell>
        </row>
        <row r="830">
          <cell r="R830" t="str">
            <v>925.NA2</v>
          </cell>
          <cell r="S830">
            <v>0</v>
          </cell>
        </row>
        <row r="831">
          <cell r="R831" t="str">
            <v>926.NA</v>
          </cell>
          <cell r="S831">
            <v>0</v>
          </cell>
        </row>
        <row r="832">
          <cell r="R832" t="str">
            <v>926.S</v>
          </cell>
          <cell r="S832">
            <v>0</v>
          </cell>
        </row>
        <row r="833">
          <cell r="R833" t="str">
            <v>926.CN</v>
          </cell>
          <cell r="S833">
            <v>0</v>
          </cell>
        </row>
        <row r="834">
          <cell r="R834" t="str">
            <v>926.SO</v>
          </cell>
          <cell r="S834">
            <v>47436031.141270578</v>
          </cell>
        </row>
        <row r="835">
          <cell r="R835" t="str">
            <v>926.NA1</v>
          </cell>
          <cell r="S835">
            <v>47436031.141270578</v>
          </cell>
        </row>
        <row r="836">
          <cell r="R836" t="str">
            <v>926.NA2</v>
          </cell>
          <cell r="S836">
            <v>0</v>
          </cell>
        </row>
        <row r="837">
          <cell r="R837" t="str">
            <v>927.NA</v>
          </cell>
          <cell r="S837">
            <v>0</v>
          </cell>
        </row>
        <row r="838">
          <cell r="R838" t="str">
            <v>927.S</v>
          </cell>
          <cell r="S838">
            <v>0</v>
          </cell>
        </row>
        <row r="839">
          <cell r="R839" t="str">
            <v>927.SO</v>
          </cell>
          <cell r="S839">
            <v>0</v>
          </cell>
        </row>
        <row r="840">
          <cell r="R840" t="str">
            <v>927.NA1</v>
          </cell>
          <cell r="S840">
            <v>0</v>
          </cell>
        </row>
        <row r="841">
          <cell r="R841" t="str">
            <v>927.NA2</v>
          </cell>
          <cell r="S841">
            <v>0</v>
          </cell>
        </row>
        <row r="842">
          <cell r="R842" t="str">
            <v>928.NA</v>
          </cell>
          <cell r="S842">
            <v>0</v>
          </cell>
        </row>
        <row r="843">
          <cell r="R843" t="str">
            <v>928.S</v>
          </cell>
          <cell r="S843">
            <v>6690523.73830132</v>
          </cell>
        </row>
        <row r="844">
          <cell r="R844" t="str">
            <v>928.SE</v>
          </cell>
          <cell r="S844">
            <v>0</v>
          </cell>
        </row>
        <row r="845">
          <cell r="R845" t="str">
            <v>928.SO</v>
          </cell>
          <cell r="S845">
            <v>2481502.0287751411</v>
          </cell>
        </row>
        <row r="846">
          <cell r="R846" t="str">
            <v>928.SG</v>
          </cell>
          <cell r="S846">
            <v>2323488.2006490258</v>
          </cell>
        </row>
        <row r="847">
          <cell r="R847" t="str">
            <v>928.NA1</v>
          </cell>
          <cell r="S847">
            <v>11495513.967725486</v>
          </cell>
        </row>
        <row r="848">
          <cell r="R848" t="str">
            <v>928.NA2</v>
          </cell>
          <cell r="S848">
            <v>0</v>
          </cell>
        </row>
        <row r="849">
          <cell r="R849" t="str">
            <v>929.NA</v>
          </cell>
          <cell r="S849">
            <v>0</v>
          </cell>
        </row>
        <row r="850">
          <cell r="R850" t="str">
            <v>929.S</v>
          </cell>
          <cell r="S850">
            <v>0</v>
          </cell>
        </row>
        <row r="851">
          <cell r="R851" t="str">
            <v>929.SO</v>
          </cell>
          <cell r="S851">
            <v>-59880015.079068385</v>
          </cell>
        </row>
        <row r="852">
          <cell r="R852" t="str">
            <v>929.NA1</v>
          </cell>
          <cell r="S852">
            <v>-59880015.079068385</v>
          </cell>
        </row>
        <row r="853">
          <cell r="R853" t="str">
            <v>929.NA2</v>
          </cell>
          <cell r="S853">
            <v>0</v>
          </cell>
        </row>
        <row r="854">
          <cell r="R854" t="str">
            <v>930.NA</v>
          </cell>
          <cell r="S854">
            <v>0</v>
          </cell>
        </row>
        <row r="855">
          <cell r="R855" t="str">
            <v>930.S</v>
          </cell>
          <cell r="S855">
            <v>20304.774016738837</v>
          </cell>
        </row>
        <row r="856">
          <cell r="R856" t="str">
            <v>930.CN</v>
          </cell>
          <cell r="S856">
            <v>0</v>
          </cell>
        </row>
        <row r="857">
          <cell r="R857" t="str">
            <v>930.SG</v>
          </cell>
          <cell r="S857">
            <v>0</v>
          </cell>
        </row>
        <row r="858">
          <cell r="R858" t="str">
            <v>930.SO</v>
          </cell>
          <cell r="S858">
            <v>995389.05453517986</v>
          </cell>
        </row>
        <row r="859">
          <cell r="R859" t="str">
            <v>930.NA1</v>
          </cell>
          <cell r="S859">
            <v>1015693.8285519187</v>
          </cell>
        </row>
        <row r="860">
          <cell r="R860" t="str">
            <v>930.NA2</v>
          </cell>
          <cell r="S860">
            <v>0</v>
          </cell>
        </row>
        <row r="861">
          <cell r="R861" t="str">
            <v>931.NA</v>
          </cell>
          <cell r="S861">
            <v>0</v>
          </cell>
        </row>
        <row r="862">
          <cell r="R862" t="str">
            <v>931.S</v>
          </cell>
          <cell r="S862">
            <v>10358.606744688901</v>
          </cell>
        </row>
        <row r="863">
          <cell r="R863" t="str">
            <v>931.SO</v>
          </cell>
          <cell r="S863">
            <v>988644.96188149962</v>
          </cell>
        </row>
        <row r="864">
          <cell r="R864" t="str">
            <v>931.NA1</v>
          </cell>
          <cell r="S864">
            <v>999003.56862618856</v>
          </cell>
        </row>
        <row r="865">
          <cell r="R865" t="str">
            <v>931.NA2</v>
          </cell>
          <cell r="S865">
            <v>0</v>
          </cell>
        </row>
        <row r="866">
          <cell r="R866" t="str">
            <v>935.NA</v>
          </cell>
          <cell r="S866">
            <v>0</v>
          </cell>
        </row>
        <row r="867">
          <cell r="R867" t="str">
            <v>935.S</v>
          </cell>
          <cell r="S867">
            <v>98105.058065315985</v>
          </cell>
        </row>
        <row r="868">
          <cell r="R868" t="str">
            <v>935.CN</v>
          </cell>
          <cell r="S868">
            <v>24289.949023621357</v>
          </cell>
        </row>
        <row r="869">
          <cell r="R869" t="str">
            <v>935.SO</v>
          </cell>
          <cell r="S869">
            <v>10631086.338817263</v>
          </cell>
        </row>
        <row r="870">
          <cell r="R870" t="str">
            <v>935.NA1</v>
          </cell>
          <cell r="S870">
            <v>10753481.3459062</v>
          </cell>
        </row>
        <row r="871">
          <cell r="R871" t="str">
            <v>935.NA2</v>
          </cell>
          <cell r="S871">
            <v>0</v>
          </cell>
        </row>
        <row r="872">
          <cell r="R872" t="str">
            <v>Total Administrative &amp; General Expense.NA</v>
          </cell>
          <cell r="S872">
            <v>55615970.013192415</v>
          </cell>
        </row>
        <row r="873">
          <cell r="R873" t="str">
            <v>Total Administrative &amp; General Expense.NA1</v>
          </cell>
          <cell r="S873">
            <v>0</v>
          </cell>
        </row>
        <row r="874">
          <cell r="R874" t="str">
            <v>Summary of A&amp;G Expense by Factor.NA</v>
          </cell>
          <cell r="S874">
            <v>0</v>
          </cell>
        </row>
        <row r="875">
          <cell r="R875" t="str">
            <v>Summary of A&amp;G Expense by Factor.NA1</v>
          </cell>
          <cell r="S875">
            <v>8723628.0231196079</v>
          </cell>
        </row>
        <row r="876">
          <cell r="R876" t="str">
            <v>Summary of A&amp;G Expense by Factor.NA2</v>
          </cell>
          <cell r="S876">
            <v>0</v>
          </cell>
        </row>
        <row r="877">
          <cell r="R877" t="str">
            <v>Summary of A&amp;G Expense by Factor.NA3</v>
          </cell>
          <cell r="S877">
            <v>44501927.22509221</v>
          </cell>
        </row>
        <row r="878">
          <cell r="R878" t="str">
            <v>Summary of A&amp;G Expense by Factor.NA4</v>
          </cell>
          <cell r="S878">
            <v>2323488.2006490258</v>
          </cell>
        </row>
        <row r="879">
          <cell r="R879" t="str">
            <v>Summary of A&amp;G Expense by Factor.NA5</v>
          </cell>
          <cell r="S879">
            <v>66926.564331580288</v>
          </cell>
        </row>
        <row r="880">
          <cell r="R880" t="str">
            <v>Total A&amp;G Expense by Factor.NA</v>
          </cell>
          <cell r="S880">
            <v>55615970.013192423</v>
          </cell>
        </row>
        <row r="881">
          <cell r="R881" t="str">
            <v>Total A&amp;G Expense by Factor.NA1</v>
          </cell>
          <cell r="S881">
            <v>0</v>
          </cell>
        </row>
        <row r="882">
          <cell r="R882" t="str">
            <v>Total O&amp;M Expense.NA</v>
          </cell>
          <cell r="S882">
            <v>1147782057.1857204</v>
          </cell>
        </row>
        <row r="883">
          <cell r="R883" t="str">
            <v>403SP.NA</v>
          </cell>
          <cell r="S883">
            <v>0</v>
          </cell>
        </row>
        <row r="884">
          <cell r="R884" t="str">
            <v>403SP.SG</v>
          </cell>
          <cell r="S884">
            <v>22266195.409831587</v>
          </cell>
        </row>
        <row r="885">
          <cell r="R885" t="str">
            <v>403SP.SG1</v>
          </cell>
          <cell r="S885">
            <v>16552133.74401651</v>
          </cell>
        </row>
        <row r="886">
          <cell r="R886" t="str">
            <v>403SP.SG2</v>
          </cell>
          <cell r="S886">
            <v>107257149.69320355</v>
          </cell>
        </row>
        <row r="887">
          <cell r="R887" t="str">
            <v>403SP.SG3</v>
          </cell>
          <cell r="S887">
            <v>0</v>
          </cell>
        </row>
        <row r="888">
          <cell r="R888" t="str">
            <v>403SP.NA1</v>
          </cell>
          <cell r="S888">
            <v>146075478.84705165</v>
          </cell>
        </row>
        <row r="889">
          <cell r="R889" t="str">
            <v>403SP.NA2</v>
          </cell>
          <cell r="S889">
            <v>0</v>
          </cell>
        </row>
        <row r="890">
          <cell r="R890" t="str">
            <v>403NP.NA</v>
          </cell>
          <cell r="S890">
            <v>0</v>
          </cell>
        </row>
        <row r="891">
          <cell r="R891" t="str">
            <v>403NP.SG</v>
          </cell>
          <cell r="S891">
            <v>0</v>
          </cell>
        </row>
        <row r="892">
          <cell r="R892" t="str">
            <v>403NP.NA1</v>
          </cell>
          <cell r="S892">
            <v>0</v>
          </cell>
        </row>
        <row r="893">
          <cell r="R893" t="str">
            <v>403NP.NA2</v>
          </cell>
          <cell r="S893">
            <v>0</v>
          </cell>
        </row>
        <row r="894">
          <cell r="R894" t="str">
            <v>403HP.NA</v>
          </cell>
          <cell r="S894">
            <v>0</v>
          </cell>
        </row>
        <row r="895">
          <cell r="R895" t="str">
            <v>403HP.SG</v>
          </cell>
          <cell r="S895">
            <v>1785928.5564814713</v>
          </cell>
        </row>
        <row r="896">
          <cell r="R896" t="str">
            <v>403HP.SG1</v>
          </cell>
          <cell r="S896">
            <v>570583.03293701122</v>
          </cell>
        </row>
        <row r="897">
          <cell r="R897" t="str">
            <v>403HP.SG2</v>
          </cell>
          <cell r="S897">
            <v>11284759.397300065</v>
          </cell>
        </row>
        <row r="898">
          <cell r="R898" t="str">
            <v>403HP.SG3</v>
          </cell>
          <cell r="S898">
            <v>3206149.4435971766</v>
          </cell>
        </row>
        <row r="899">
          <cell r="R899" t="str">
            <v>403HP.NA1</v>
          </cell>
          <cell r="S899">
            <v>16847420.430315722</v>
          </cell>
        </row>
        <row r="900">
          <cell r="R900" t="str">
            <v>403HP.NA2</v>
          </cell>
          <cell r="S900">
            <v>0</v>
          </cell>
        </row>
        <row r="901">
          <cell r="R901" t="str">
            <v>403OP.NA</v>
          </cell>
          <cell r="S901">
            <v>0</v>
          </cell>
        </row>
        <row r="902">
          <cell r="R902" t="str">
            <v>403OP.SG</v>
          </cell>
          <cell r="S902">
            <v>0</v>
          </cell>
        </row>
        <row r="903">
          <cell r="R903" t="str">
            <v>403OP.SG1</v>
          </cell>
          <cell r="S903">
            <v>30295351.143835124</v>
          </cell>
        </row>
        <row r="904">
          <cell r="R904" t="str">
            <v>403OP.SG2</v>
          </cell>
          <cell r="S904">
            <v>1825349.5730723783</v>
          </cell>
        </row>
        <row r="905">
          <cell r="R905" t="str">
            <v>403OP.SG3</v>
          </cell>
          <cell r="S905">
            <v>75049688.235595405</v>
          </cell>
        </row>
        <row r="906">
          <cell r="R906" t="str">
            <v>403OP.NA1</v>
          </cell>
          <cell r="S906">
            <v>107170388.95250291</v>
          </cell>
        </row>
        <row r="907">
          <cell r="R907" t="str">
            <v>403OP.NA2</v>
          </cell>
          <cell r="S907">
            <v>0</v>
          </cell>
        </row>
        <row r="908">
          <cell r="R908" t="str">
            <v>403TP.NA</v>
          </cell>
          <cell r="S908">
            <v>0</v>
          </cell>
        </row>
        <row r="909">
          <cell r="R909" t="str">
            <v>403TP.SG</v>
          </cell>
          <cell r="S909">
            <v>3588829.5481293229</v>
          </cell>
        </row>
        <row r="910">
          <cell r="R910" t="str">
            <v>403TP.SG1</v>
          </cell>
          <cell r="S910">
            <v>4554622.9470309457</v>
          </cell>
        </row>
        <row r="911">
          <cell r="R911" t="str">
            <v>403TP.SG2</v>
          </cell>
          <cell r="S911">
            <v>49586421.450521439</v>
          </cell>
        </row>
        <row r="912">
          <cell r="R912" t="str">
            <v>403TP.NA1</v>
          </cell>
          <cell r="S912">
            <v>57729873.945681706</v>
          </cell>
        </row>
        <row r="913">
          <cell r="R913" t="str">
            <v>403TP.NA2</v>
          </cell>
          <cell r="S913">
            <v>0</v>
          </cell>
        </row>
        <row r="914">
          <cell r="R914" t="str">
            <v>403TP.NA3</v>
          </cell>
          <cell r="S914">
            <v>0</v>
          </cell>
        </row>
        <row r="915">
          <cell r="R915" t="str">
            <v>403TP.NA4</v>
          </cell>
          <cell r="S915">
            <v>0</v>
          </cell>
        </row>
        <row r="916">
          <cell r="R916" t="str">
            <v>403.NA</v>
          </cell>
          <cell r="S916">
            <v>0</v>
          </cell>
        </row>
        <row r="917">
          <cell r="R917" t="str">
            <v>360.S</v>
          </cell>
          <cell r="S917">
            <v>454944.60411341081</v>
          </cell>
        </row>
        <row r="918">
          <cell r="R918" t="str">
            <v>361.S</v>
          </cell>
          <cell r="S918">
            <v>1476319.2392824145</v>
          </cell>
        </row>
        <row r="919">
          <cell r="R919" t="str">
            <v>362.S</v>
          </cell>
          <cell r="S919">
            <v>-6658820.0596647831</v>
          </cell>
        </row>
        <row r="920">
          <cell r="R920" t="str">
            <v>363.S</v>
          </cell>
          <cell r="S920">
            <v>0</v>
          </cell>
        </row>
        <row r="921">
          <cell r="R921" t="str">
            <v>364.S</v>
          </cell>
          <cell r="S921">
            <v>19556766.896934535</v>
          </cell>
        </row>
        <row r="922">
          <cell r="R922" t="str">
            <v>365.S</v>
          </cell>
          <cell r="S922">
            <v>10145311.083392214</v>
          </cell>
        </row>
        <row r="923">
          <cell r="R923" t="str">
            <v>366.S</v>
          </cell>
          <cell r="S923">
            <v>6983329.2265663324</v>
          </cell>
        </row>
        <row r="924">
          <cell r="R924" t="str">
            <v>367.S</v>
          </cell>
          <cell r="S924">
            <v>18223830.243000098</v>
          </cell>
        </row>
        <row r="925">
          <cell r="R925" t="str">
            <v>368.S</v>
          </cell>
          <cell r="S925">
            <v>18972458.074995648</v>
          </cell>
        </row>
        <row r="926">
          <cell r="R926" t="str">
            <v>369.S</v>
          </cell>
          <cell r="S926">
            <v>11158195.742991142</v>
          </cell>
        </row>
        <row r="927">
          <cell r="R927" t="str">
            <v>370.S</v>
          </cell>
          <cell r="S927">
            <v>4629473.5838977695</v>
          </cell>
        </row>
        <row r="928">
          <cell r="R928" t="str">
            <v>371.S</v>
          </cell>
          <cell r="S928">
            <v>306730.30953052407</v>
          </cell>
        </row>
        <row r="929">
          <cell r="R929" t="str">
            <v>372.S</v>
          </cell>
          <cell r="S929">
            <v>0</v>
          </cell>
        </row>
        <row r="930">
          <cell r="R930" t="str">
            <v>373.S</v>
          </cell>
          <cell r="S930">
            <v>1310013.9099323899</v>
          </cell>
        </row>
        <row r="931">
          <cell r="R931" t="str">
            <v>373.NA</v>
          </cell>
          <cell r="S931">
            <v>86558552.854971692</v>
          </cell>
        </row>
        <row r="932">
          <cell r="R932" t="str">
            <v>373.NA1</v>
          </cell>
          <cell r="S932">
            <v>0</v>
          </cell>
        </row>
        <row r="933">
          <cell r="R933" t="str">
            <v>403GP.NA</v>
          </cell>
          <cell r="S933">
            <v>0</v>
          </cell>
        </row>
        <row r="934">
          <cell r="R934" t="str">
            <v>403GP.S</v>
          </cell>
          <cell r="S934">
            <v>6570185.2048640316</v>
          </cell>
        </row>
        <row r="935">
          <cell r="R935" t="str">
            <v>403GP.SG</v>
          </cell>
          <cell r="S935">
            <v>9353.9876425284419</v>
          </cell>
        </row>
        <row r="936">
          <cell r="R936" t="str">
            <v>403GP.SG1</v>
          </cell>
          <cell r="S936">
            <v>33400.797171819111</v>
          </cell>
        </row>
        <row r="937">
          <cell r="R937" t="str">
            <v>403GP.SE</v>
          </cell>
          <cell r="S937">
            <v>55100.902762106343</v>
          </cell>
        </row>
        <row r="938">
          <cell r="R938" t="str">
            <v>403GP.CN</v>
          </cell>
          <cell r="S938">
            <v>447813.78304281452</v>
          </cell>
        </row>
        <row r="939">
          <cell r="R939" t="str">
            <v>403GP.SG2</v>
          </cell>
          <cell r="S939">
            <v>4610957.2382902121</v>
          </cell>
        </row>
        <row r="940">
          <cell r="R940" t="str">
            <v>403GP.SO</v>
          </cell>
          <cell r="S940">
            <v>8088553.0652025212</v>
          </cell>
        </row>
        <row r="941">
          <cell r="R941" t="str">
            <v>403GP.SG3</v>
          </cell>
          <cell r="S941">
            <v>3910.5091896058407</v>
          </cell>
        </row>
        <row r="942">
          <cell r="R942" t="str">
            <v>403GP.SG4</v>
          </cell>
          <cell r="S942">
            <v>60355.261506696756</v>
          </cell>
        </row>
        <row r="943">
          <cell r="R943" t="str">
            <v>403GP.NA1</v>
          </cell>
          <cell r="S943">
            <v>19879630.749672335</v>
          </cell>
        </row>
        <row r="944">
          <cell r="R944" t="str">
            <v>403GP.NA2</v>
          </cell>
          <cell r="S944">
            <v>0</v>
          </cell>
        </row>
        <row r="945">
          <cell r="R945" t="str">
            <v>403GV0.NA</v>
          </cell>
          <cell r="S945">
            <v>0</v>
          </cell>
        </row>
        <row r="946">
          <cell r="R946" t="str">
            <v>403GV0.SG</v>
          </cell>
          <cell r="S946">
            <v>0</v>
          </cell>
        </row>
        <row r="947">
          <cell r="R947" t="str">
            <v>403GV0.NA1</v>
          </cell>
          <cell r="S947">
            <v>0</v>
          </cell>
        </row>
        <row r="948">
          <cell r="R948" t="str">
            <v>403GV0.NA2</v>
          </cell>
          <cell r="S948">
            <v>0</v>
          </cell>
        </row>
        <row r="949">
          <cell r="R949" t="str">
            <v>403MP.NA</v>
          </cell>
          <cell r="S949">
            <v>0</v>
          </cell>
        </row>
        <row r="950">
          <cell r="R950" t="str">
            <v>403MP.SE</v>
          </cell>
          <cell r="S950">
            <v>0</v>
          </cell>
        </row>
        <row r="951">
          <cell r="R951" t="str">
            <v>403MP.NA1</v>
          </cell>
          <cell r="S951">
            <v>0</v>
          </cell>
        </row>
        <row r="952">
          <cell r="R952" t="str">
            <v>403MP.NA2</v>
          </cell>
          <cell r="S952">
            <v>0</v>
          </cell>
        </row>
        <row r="953">
          <cell r="R953" t="str">
            <v>403EP.NA</v>
          </cell>
          <cell r="S953">
            <v>0</v>
          </cell>
        </row>
        <row r="954">
          <cell r="R954" t="str">
            <v>403EP.SG</v>
          </cell>
          <cell r="S954">
            <v>0</v>
          </cell>
        </row>
        <row r="955">
          <cell r="R955" t="str">
            <v>403EP.SG1</v>
          </cell>
          <cell r="S955">
            <v>0</v>
          </cell>
        </row>
        <row r="956">
          <cell r="R956" t="str">
            <v>403EP.NA1</v>
          </cell>
          <cell r="S956">
            <v>0</v>
          </cell>
        </row>
        <row r="957">
          <cell r="R957" t="str">
            <v>4031.NA</v>
          </cell>
          <cell r="S957">
            <v>0</v>
          </cell>
        </row>
        <row r="958">
          <cell r="R958" t="str">
            <v>4031.S</v>
          </cell>
          <cell r="S958">
            <v>0</v>
          </cell>
        </row>
        <row r="959">
          <cell r="R959" t="str">
            <v>4031.NA1</v>
          </cell>
          <cell r="S959">
            <v>0</v>
          </cell>
        </row>
        <row r="960">
          <cell r="R960" t="str">
            <v>4031.NA2</v>
          </cell>
          <cell r="S960">
            <v>0</v>
          </cell>
        </row>
        <row r="961">
          <cell r="R961" t="str">
            <v>4031.NA3</v>
          </cell>
          <cell r="S961">
            <v>0</v>
          </cell>
        </row>
        <row r="962">
          <cell r="R962" t="str">
            <v>Total Depreciation Expense.NA</v>
          </cell>
          <cell r="S962">
            <v>434261345.78019589</v>
          </cell>
        </row>
        <row r="963">
          <cell r="R963" t="str">
            <v>Total Depreciation Expense.NA1</v>
          </cell>
          <cell r="S963">
            <v>0</v>
          </cell>
        </row>
        <row r="964">
          <cell r="R964" t="str">
            <v>Summary.NA</v>
          </cell>
          <cell r="S964">
            <v>93128738.059835717</v>
          </cell>
        </row>
        <row r="965">
          <cell r="R965" t="str">
            <v>Summary.NA1</v>
          </cell>
          <cell r="S965">
            <v>0</v>
          </cell>
        </row>
        <row r="966">
          <cell r="R966" t="str">
            <v>Summary.NA2</v>
          </cell>
          <cell r="S966">
            <v>0</v>
          </cell>
        </row>
        <row r="967">
          <cell r="R967" t="str">
            <v>Summary.NA3</v>
          </cell>
          <cell r="S967">
            <v>332541139.96935284</v>
          </cell>
        </row>
        <row r="968">
          <cell r="R968" t="str">
            <v>Summary.NA4</v>
          </cell>
          <cell r="S968">
            <v>8088553.0652025212</v>
          </cell>
        </row>
        <row r="969">
          <cell r="R969" t="str">
            <v>Summary.NA5</v>
          </cell>
          <cell r="S969">
            <v>447813.78304281452</v>
          </cell>
        </row>
        <row r="970">
          <cell r="R970" t="str">
            <v>Summary.NA6</v>
          </cell>
          <cell r="S970">
            <v>55100.902762106343</v>
          </cell>
        </row>
        <row r="971">
          <cell r="R971" t="str">
            <v>Summary.NA7</v>
          </cell>
          <cell r="S971">
            <v>0</v>
          </cell>
        </row>
        <row r="972">
          <cell r="R972" t="str">
            <v>Summary.NA8</v>
          </cell>
          <cell r="S972">
            <v>0</v>
          </cell>
        </row>
        <row r="973">
          <cell r="R973" t="str">
            <v>Total Depreciation Expense By Factor.NA</v>
          </cell>
          <cell r="S973">
            <v>434261345.78019601</v>
          </cell>
        </row>
        <row r="974">
          <cell r="R974" t="str">
            <v>Total Depreciation Expense By Factor.NA1</v>
          </cell>
          <cell r="S974">
            <v>0</v>
          </cell>
        </row>
        <row r="975">
          <cell r="R975" t="str">
            <v>404GP.NA</v>
          </cell>
          <cell r="S975">
            <v>0</v>
          </cell>
        </row>
        <row r="976">
          <cell r="R976" t="str">
            <v>404GP.S</v>
          </cell>
          <cell r="S976">
            <v>10812.370000000003</v>
          </cell>
        </row>
        <row r="977">
          <cell r="R977" t="str">
            <v>404GP.SG</v>
          </cell>
          <cell r="S977">
            <v>0</v>
          </cell>
        </row>
        <row r="978">
          <cell r="R978" t="str">
            <v>404GP.SO</v>
          </cell>
          <cell r="S978">
            <v>124246.70583387029</v>
          </cell>
        </row>
        <row r="979">
          <cell r="R979" t="str">
            <v>404GP.SG1</v>
          </cell>
          <cell r="S979">
            <v>0</v>
          </cell>
        </row>
        <row r="980">
          <cell r="R980" t="str">
            <v>404GP.CN</v>
          </cell>
          <cell r="S980">
            <v>0</v>
          </cell>
        </row>
        <row r="981">
          <cell r="R981" t="str">
            <v>404GP.SG2</v>
          </cell>
          <cell r="S981">
            <v>0</v>
          </cell>
        </row>
        <row r="982">
          <cell r="R982" t="str">
            <v>404GP.NA1</v>
          </cell>
          <cell r="S982">
            <v>135059.0758338703</v>
          </cell>
        </row>
        <row r="983">
          <cell r="R983" t="str">
            <v>404GP.NA2</v>
          </cell>
          <cell r="S983">
            <v>0</v>
          </cell>
        </row>
        <row r="984">
          <cell r="R984" t="str">
            <v>404SP.NA</v>
          </cell>
          <cell r="S984">
            <v>0</v>
          </cell>
        </row>
        <row r="985">
          <cell r="R985" t="str">
            <v>404SP.SG</v>
          </cell>
          <cell r="S985">
            <v>0</v>
          </cell>
        </row>
        <row r="986">
          <cell r="R986" t="str">
            <v>404SP.SG1</v>
          </cell>
          <cell r="S986">
            <v>0</v>
          </cell>
        </row>
        <row r="987">
          <cell r="R987" t="str">
            <v>404SP.NA1</v>
          </cell>
          <cell r="S987">
            <v>0</v>
          </cell>
        </row>
        <row r="988">
          <cell r="R988" t="str">
            <v>404SP.NA2</v>
          </cell>
          <cell r="S988">
            <v>0</v>
          </cell>
        </row>
        <row r="989">
          <cell r="R989" t="str">
            <v>404IP.NA</v>
          </cell>
          <cell r="S989">
            <v>0</v>
          </cell>
        </row>
        <row r="990">
          <cell r="R990" t="str">
            <v>404IP.S</v>
          </cell>
          <cell r="S990">
            <v>4307859.5864969734</v>
          </cell>
        </row>
        <row r="991">
          <cell r="R991" t="str">
            <v>404IP.SE</v>
          </cell>
          <cell r="S991">
            <v>0</v>
          </cell>
        </row>
        <row r="992">
          <cell r="R992" t="str">
            <v>404IP.SG</v>
          </cell>
          <cell r="S992">
            <v>3055607.9026662065</v>
          </cell>
        </row>
        <row r="993">
          <cell r="R993" t="str">
            <v>404IP.SO</v>
          </cell>
          <cell r="S993">
            <v>8724893.8442078028</v>
          </cell>
        </row>
        <row r="994">
          <cell r="R994" t="str">
            <v>404IP.CN</v>
          </cell>
          <cell r="S994">
            <v>5727922.4478477528</v>
          </cell>
        </row>
        <row r="995">
          <cell r="R995" t="str">
            <v>404IP.SG1</v>
          </cell>
          <cell r="S995">
            <v>1153107.1116167023</v>
          </cell>
        </row>
        <row r="996">
          <cell r="R996" t="str">
            <v>404IP.SG2</v>
          </cell>
          <cell r="S996">
            <v>130582.91575090156</v>
          </cell>
        </row>
        <row r="997">
          <cell r="R997" t="str">
            <v>404IP.SG3</v>
          </cell>
          <cell r="S997">
            <v>0</v>
          </cell>
        </row>
        <row r="998">
          <cell r="R998" t="str">
            <v>404IP.SG4</v>
          </cell>
          <cell r="S998">
            <v>0</v>
          </cell>
        </row>
        <row r="999">
          <cell r="R999" t="str">
            <v>404IP.SG5</v>
          </cell>
          <cell r="S999">
            <v>0</v>
          </cell>
        </row>
        <row r="1000">
          <cell r="R1000" t="str">
            <v>404IP.SG6</v>
          </cell>
          <cell r="S1000">
            <v>7105.793937103409</v>
          </cell>
        </row>
        <row r="1001">
          <cell r="R1001" t="str">
            <v>404IP.NA1</v>
          </cell>
          <cell r="S1001">
            <v>23107079.602523442</v>
          </cell>
        </row>
        <row r="1002">
          <cell r="R1002" t="str">
            <v>404IP.NA2</v>
          </cell>
          <cell r="S1002">
            <v>0</v>
          </cell>
        </row>
        <row r="1003">
          <cell r="R1003" t="str">
            <v>404MP.NA</v>
          </cell>
          <cell r="S1003">
            <v>0</v>
          </cell>
        </row>
        <row r="1004">
          <cell r="R1004" t="str">
            <v>404MP.SE</v>
          </cell>
          <cell r="S1004">
            <v>0</v>
          </cell>
        </row>
        <row r="1005">
          <cell r="R1005" t="str">
            <v>404MP.NA1</v>
          </cell>
          <cell r="S1005">
            <v>0</v>
          </cell>
        </row>
        <row r="1006">
          <cell r="R1006" t="str">
            <v>404MP.NA2</v>
          </cell>
          <cell r="S1006">
            <v>0</v>
          </cell>
        </row>
        <row r="1007">
          <cell r="R1007" t="str">
            <v>404OP.NA</v>
          </cell>
          <cell r="S1007">
            <v>0</v>
          </cell>
        </row>
        <row r="1008">
          <cell r="R1008" t="str">
            <v>404OP.SG</v>
          </cell>
          <cell r="S1008">
            <v>0</v>
          </cell>
        </row>
        <row r="1009">
          <cell r="R1009" t="str">
            <v>404OP.NA1</v>
          </cell>
          <cell r="S1009">
            <v>0</v>
          </cell>
        </row>
        <row r="1010">
          <cell r="R1010" t="str">
            <v>404OP.NA2</v>
          </cell>
          <cell r="S1010">
            <v>0</v>
          </cell>
        </row>
        <row r="1011">
          <cell r="R1011" t="str">
            <v>404OP.NA3</v>
          </cell>
          <cell r="S1011">
            <v>0</v>
          </cell>
        </row>
        <row r="1012">
          <cell r="R1012" t="str">
            <v>404HP.NA</v>
          </cell>
          <cell r="S1012">
            <v>0</v>
          </cell>
        </row>
        <row r="1013">
          <cell r="R1013" t="str">
            <v>404HP.SG</v>
          </cell>
          <cell r="S1013">
            <v>137138.31858536947</v>
          </cell>
        </row>
        <row r="1014">
          <cell r="R1014" t="str">
            <v>404HP.SG1</v>
          </cell>
          <cell r="S1014">
            <v>0</v>
          </cell>
        </row>
        <row r="1015">
          <cell r="R1015" t="str">
            <v>404HP.SG2</v>
          </cell>
          <cell r="S1015">
            <v>0</v>
          </cell>
        </row>
        <row r="1016">
          <cell r="R1016" t="str">
            <v>404HP.NA1</v>
          </cell>
          <cell r="S1016">
            <v>137138.31858536947</v>
          </cell>
        </row>
        <row r="1017">
          <cell r="R1017" t="str">
            <v>404HP.NA2</v>
          </cell>
          <cell r="S1017">
            <v>0</v>
          </cell>
        </row>
        <row r="1018">
          <cell r="R1018" t="str">
            <v>Total Amortization of Limited Term Plant.NA</v>
          </cell>
          <cell r="S1018">
            <v>23379276.99694268</v>
          </cell>
        </row>
        <row r="1019">
          <cell r="R1019" t="str">
            <v>Total Amortization of Limited Term Plant.NA1</v>
          </cell>
          <cell r="S1019">
            <v>0</v>
          </cell>
        </row>
        <row r="1020">
          <cell r="R1020" t="str">
            <v>Total Amortization of Limited Term Plant.NA2</v>
          </cell>
          <cell r="S1020">
            <v>0</v>
          </cell>
        </row>
        <row r="1021">
          <cell r="R1021" t="str">
            <v>405.NA</v>
          </cell>
          <cell r="S1021">
            <v>0</v>
          </cell>
        </row>
        <row r="1022">
          <cell r="R1022" t="str">
            <v>405.S</v>
          </cell>
          <cell r="S1022">
            <v>0</v>
          </cell>
        </row>
        <row r="1023">
          <cell r="R1023" t="str">
            <v>405.NA1</v>
          </cell>
          <cell r="S1023">
            <v>0</v>
          </cell>
        </row>
        <row r="1024">
          <cell r="R1024" t="str">
            <v>405.NA2</v>
          </cell>
          <cell r="S1024">
            <v>0</v>
          </cell>
        </row>
        <row r="1025">
          <cell r="R1025" t="str">
            <v>405.NA3</v>
          </cell>
          <cell r="S1025">
            <v>0</v>
          </cell>
        </row>
        <row r="1026">
          <cell r="R1026" t="str">
            <v>406.NA</v>
          </cell>
          <cell r="S1026">
            <v>0</v>
          </cell>
        </row>
        <row r="1027">
          <cell r="R1027" t="str">
            <v>406.S</v>
          </cell>
          <cell r="S1027">
            <v>301635.48</v>
          </cell>
        </row>
        <row r="1028">
          <cell r="R1028" t="str">
            <v>406.SG</v>
          </cell>
          <cell r="S1028">
            <v>0</v>
          </cell>
        </row>
        <row r="1029">
          <cell r="R1029" t="str">
            <v>406.SG1</v>
          </cell>
          <cell r="S1029">
            <v>0</v>
          </cell>
        </row>
        <row r="1030">
          <cell r="R1030" t="str">
            <v>406.SG2</v>
          </cell>
          <cell r="S1030">
            <v>2103766.5165079413</v>
          </cell>
        </row>
        <row r="1031">
          <cell r="R1031" t="str">
            <v>406.SO</v>
          </cell>
          <cell r="S1031">
            <v>0</v>
          </cell>
        </row>
        <row r="1032">
          <cell r="R1032" t="str">
            <v>406.NA1</v>
          </cell>
          <cell r="S1032">
            <v>2405401.9965079413</v>
          </cell>
        </row>
        <row r="1033">
          <cell r="R1033" t="str">
            <v>407.NA</v>
          </cell>
          <cell r="S1033">
            <v>0</v>
          </cell>
        </row>
        <row r="1034">
          <cell r="R1034" t="str">
            <v>407.S</v>
          </cell>
          <cell r="S1034">
            <v>-36226334.745688066</v>
          </cell>
        </row>
        <row r="1035">
          <cell r="R1035" t="str">
            <v>407.SO</v>
          </cell>
          <cell r="S1035">
            <v>0</v>
          </cell>
        </row>
        <row r="1036">
          <cell r="R1036" t="str">
            <v>407.SG-P</v>
          </cell>
          <cell r="S1036">
            <v>0</v>
          </cell>
        </row>
        <row r="1037">
          <cell r="R1037" t="str">
            <v>407.SE</v>
          </cell>
          <cell r="S1037">
            <v>0</v>
          </cell>
        </row>
        <row r="1038">
          <cell r="R1038" t="str">
            <v>407.SG</v>
          </cell>
          <cell r="S1038">
            <v>17782756.563757867</v>
          </cell>
        </row>
        <row r="1039">
          <cell r="R1039" t="str">
            <v>407.TROJP</v>
          </cell>
          <cell r="S1039">
            <v>0</v>
          </cell>
        </row>
        <row r="1040">
          <cell r="R1040" t="str">
            <v>407.NA1</v>
          </cell>
          <cell r="S1040">
            <v>-18443578.181930199</v>
          </cell>
        </row>
        <row r="1041">
          <cell r="R1041" t="str">
            <v>407.NA2</v>
          </cell>
          <cell r="S1041">
            <v>0</v>
          </cell>
        </row>
        <row r="1042">
          <cell r="R1042" t="str">
            <v>Total Amortization Expense.NA</v>
          </cell>
          <cell r="S1042">
            <v>7341100.8115204237</v>
          </cell>
        </row>
        <row r="1043">
          <cell r="R1043" t="str">
            <v>Total Amortization Expense.NA1</v>
          </cell>
          <cell r="S1043">
            <v>0</v>
          </cell>
        </row>
        <row r="1044">
          <cell r="R1044" t="str">
            <v>Total Amortization Expense.NA2</v>
          </cell>
          <cell r="S1044">
            <v>0</v>
          </cell>
        </row>
        <row r="1045">
          <cell r="R1045" t="str">
            <v>Total Amortization Expense.NA3</v>
          </cell>
          <cell r="S1045">
            <v>0</v>
          </cell>
        </row>
        <row r="1046">
          <cell r="R1046" t="str">
            <v>Summary of Amortization Expense by Factor.NA</v>
          </cell>
          <cell r="S1046">
            <v>0</v>
          </cell>
        </row>
        <row r="1047">
          <cell r="R1047" t="str">
            <v>Summary of Amortization Expense by Factor.NA1</v>
          </cell>
          <cell r="S1047">
            <v>-31606027.309191093</v>
          </cell>
        </row>
        <row r="1048">
          <cell r="R1048" t="str">
            <v>Summary of Amortization Expense by Factor.NA2</v>
          </cell>
          <cell r="S1048">
            <v>0</v>
          </cell>
        </row>
        <row r="1049">
          <cell r="R1049" t="str">
            <v>Summary of Amortization Expense by Factor.NA3</v>
          </cell>
          <cell r="S1049">
            <v>0</v>
          </cell>
        </row>
        <row r="1050">
          <cell r="R1050" t="str">
            <v>Summary of Amortization Expense by Factor.NA4</v>
          </cell>
          <cell r="S1050">
            <v>0</v>
          </cell>
        </row>
        <row r="1051">
          <cell r="R1051" t="str">
            <v>Summary of Amortization Expense by Factor.NA5</v>
          </cell>
          <cell r="S1051">
            <v>0</v>
          </cell>
        </row>
        <row r="1052">
          <cell r="R1052" t="str">
            <v>Summary of Amortization Expense by Factor.NA6</v>
          </cell>
          <cell r="S1052">
            <v>8849140.5500416737</v>
          </cell>
        </row>
        <row r="1053">
          <cell r="R1053" t="str">
            <v>Summary of Amortization Expense by Factor.NA7</v>
          </cell>
          <cell r="S1053">
            <v>0</v>
          </cell>
        </row>
        <row r="1054">
          <cell r="R1054" t="str">
            <v>Summary of Amortization Expense by Factor.NA8</v>
          </cell>
          <cell r="S1054">
            <v>0</v>
          </cell>
        </row>
        <row r="1055">
          <cell r="R1055" t="str">
            <v>Summary of Amortization Expense by Factor.NA9</v>
          </cell>
          <cell r="S1055">
            <v>5727922.4478477528</v>
          </cell>
        </row>
        <row r="1056">
          <cell r="R1056" t="str">
            <v>Summary of Amortization Expense by Factor.NA10</v>
          </cell>
          <cell r="S1056">
            <v>24370065.122822091</v>
          </cell>
        </row>
        <row r="1057">
          <cell r="R1057" t="str">
            <v>Total Amortization Expense by Factor.NA</v>
          </cell>
          <cell r="S1057">
            <v>7341100.8115204275</v>
          </cell>
        </row>
        <row r="1058">
          <cell r="R1058" t="str">
            <v>408.NA</v>
          </cell>
          <cell r="S1058">
            <v>0</v>
          </cell>
        </row>
        <row r="1059">
          <cell r="R1059" t="str">
            <v>408.S</v>
          </cell>
          <cell r="S1059">
            <v>0</v>
          </cell>
        </row>
        <row r="1060">
          <cell r="R1060" t="str">
            <v>408.GPS</v>
          </cell>
          <cell r="S1060">
            <v>79231763.589271992</v>
          </cell>
        </row>
        <row r="1061">
          <cell r="R1061" t="str">
            <v>408.SO</v>
          </cell>
          <cell r="S1061">
            <v>5377722.2811695607</v>
          </cell>
        </row>
        <row r="1062">
          <cell r="R1062" t="str">
            <v>408.SE</v>
          </cell>
          <cell r="S1062">
            <v>391381.04688054975</v>
          </cell>
        </row>
        <row r="1063">
          <cell r="R1063" t="str">
            <v>408.SG</v>
          </cell>
          <cell r="S1063">
            <v>1016116.0597150666</v>
          </cell>
        </row>
        <row r="1064">
          <cell r="R1064" t="str">
            <v>408.OPRV-ID</v>
          </cell>
          <cell r="S1064">
            <v>0</v>
          </cell>
        </row>
        <row r="1065">
          <cell r="R1065" t="str">
            <v>408.EXCTAX</v>
          </cell>
          <cell r="S1065">
            <v>0</v>
          </cell>
        </row>
        <row r="1066">
          <cell r="R1066" t="str">
            <v>408.SG1</v>
          </cell>
          <cell r="S1066">
            <v>0</v>
          </cell>
        </row>
        <row r="1067">
          <cell r="R1067" t="str">
            <v>408.NA1</v>
          </cell>
          <cell r="S1067">
            <v>0</v>
          </cell>
        </row>
        <row r="1068">
          <cell r="R1068" t="str">
            <v>408.NA2</v>
          </cell>
          <cell r="S1068">
            <v>0</v>
          </cell>
        </row>
        <row r="1069">
          <cell r="R1069" t="str">
            <v>408.NA3</v>
          </cell>
          <cell r="S1069">
            <v>0</v>
          </cell>
        </row>
        <row r="1070">
          <cell r="R1070" t="str">
            <v>Total Taxes Other Than Income.NA</v>
          </cell>
          <cell r="S1070">
            <v>86016982.977037162</v>
          </cell>
        </row>
        <row r="1071">
          <cell r="R1071" t="str">
            <v>Total Taxes Other Than Income.NA1</v>
          </cell>
          <cell r="S1071">
            <v>0</v>
          </cell>
        </row>
        <row r="1072">
          <cell r="R1072" t="str">
            <v>Total Taxes Other Than Income.NA2</v>
          </cell>
          <cell r="S1072">
            <v>0</v>
          </cell>
        </row>
        <row r="1073">
          <cell r="R1073" t="str">
            <v>41140.NA</v>
          </cell>
          <cell r="S1073">
            <v>0</v>
          </cell>
        </row>
        <row r="1074">
          <cell r="R1074" t="str">
            <v>41140.DGU</v>
          </cell>
          <cell r="S1074">
            <v>-1117293.7135367221</v>
          </cell>
        </row>
        <row r="1075">
          <cell r="R1075" t="str">
            <v>41140.NA1</v>
          </cell>
          <cell r="S1075">
            <v>0</v>
          </cell>
        </row>
        <row r="1076">
          <cell r="R1076" t="str">
            <v>41140.NA2</v>
          </cell>
          <cell r="S1076">
            <v>-1117293.7135367221</v>
          </cell>
        </row>
        <row r="1077">
          <cell r="R1077" t="str">
            <v>41140.NA3</v>
          </cell>
          <cell r="S1077">
            <v>0</v>
          </cell>
        </row>
        <row r="1078">
          <cell r="R1078" t="str">
            <v>41141.NA</v>
          </cell>
          <cell r="S1078">
            <v>0</v>
          </cell>
        </row>
        <row r="1079">
          <cell r="R1079" t="str">
            <v>41141.DGU</v>
          </cell>
          <cell r="S1079">
            <v>0</v>
          </cell>
        </row>
        <row r="1080">
          <cell r="R1080" t="str">
            <v>41141.NA1</v>
          </cell>
          <cell r="S1080">
            <v>0</v>
          </cell>
        </row>
        <row r="1081">
          <cell r="R1081" t="str">
            <v>41141.NA2</v>
          </cell>
          <cell r="S1081">
            <v>0</v>
          </cell>
        </row>
        <row r="1082">
          <cell r="R1082" t="str">
            <v>41141.NA3</v>
          </cell>
          <cell r="S1082">
            <v>0</v>
          </cell>
        </row>
        <row r="1083">
          <cell r="R1083" t="str">
            <v>Total Deferred ITC.NA</v>
          </cell>
          <cell r="S1083">
            <v>-1117293.7135367221</v>
          </cell>
        </row>
        <row r="1084">
          <cell r="R1084" t="str">
            <v>Total Deferred ITC.NA1</v>
          </cell>
          <cell r="S1084">
            <v>0</v>
          </cell>
        </row>
        <row r="1085">
          <cell r="R1085" t="str">
            <v>Total Deferred ITC.NA2</v>
          </cell>
          <cell r="S1085">
            <v>0</v>
          </cell>
        </row>
        <row r="1086">
          <cell r="R1086" t="str">
            <v>427.NA</v>
          </cell>
          <cell r="S1086">
            <v>0</v>
          </cell>
        </row>
        <row r="1087">
          <cell r="R1087" t="str">
            <v>427.S</v>
          </cell>
          <cell r="S1087">
            <v>173591733.60657385</v>
          </cell>
        </row>
        <row r="1088">
          <cell r="R1088" t="str">
            <v>427.SNP</v>
          </cell>
          <cell r="S1088">
            <v>0</v>
          </cell>
        </row>
        <row r="1089">
          <cell r="R1089" t="str">
            <v>427.NA1</v>
          </cell>
          <cell r="S1089">
            <v>173591733.60657385</v>
          </cell>
        </row>
        <row r="1090">
          <cell r="R1090" t="str">
            <v>427.NA2</v>
          </cell>
          <cell r="S1090">
            <v>0</v>
          </cell>
        </row>
        <row r="1091">
          <cell r="R1091" t="str">
            <v>428.NA</v>
          </cell>
          <cell r="S1091">
            <v>0</v>
          </cell>
        </row>
        <row r="1092">
          <cell r="R1092" t="str">
            <v>428.SNP</v>
          </cell>
          <cell r="S1092">
            <v>1985048.3129876188</v>
          </cell>
        </row>
        <row r="1093">
          <cell r="R1093" t="str">
            <v>428.NA1</v>
          </cell>
          <cell r="S1093">
            <v>1985048.3129876188</v>
          </cell>
        </row>
        <row r="1094">
          <cell r="R1094" t="str">
            <v>428.NA2</v>
          </cell>
          <cell r="S1094">
            <v>0</v>
          </cell>
        </row>
        <row r="1095">
          <cell r="R1095" t="str">
            <v>429.NA</v>
          </cell>
          <cell r="S1095">
            <v>0</v>
          </cell>
        </row>
        <row r="1096">
          <cell r="R1096" t="str">
            <v>429.SNP</v>
          </cell>
          <cell r="S1096">
            <v>-4889.8887519795162</v>
          </cell>
        </row>
        <row r="1097">
          <cell r="R1097" t="str">
            <v>429.NA1</v>
          </cell>
          <cell r="S1097">
            <v>-4889.8887519795162</v>
          </cell>
        </row>
        <row r="1098">
          <cell r="R1098" t="str">
            <v>429.NA2</v>
          </cell>
          <cell r="S1098">
            <v>0</v>
          </cell>
        </row>
        <row r="1099">
          <cell r="R1099" t="str">
            <v>431.NA</v>
          </cell>
          <cell r="S1099">
            <v>0</v>
          </cell>
        </row>
        <row r="1100">
          <cell r="R1100" t="str">
            <v>431.OTH</v>
          </cell>
          <cell r="S1100">
            <v>0</v>
          </cell>
        </row>
        <row r="1101">
          <cell r="R1101" t="str">
            <v>431.SO</v>
          </cell>
          <cell r="S1101">
            <v>0</v>
          </cell>
        </row>
        <row r="1102">
          <cell r="R1102" t="str">
            <v>431.SNP</v>
          </cell>
          <cell r="S1102">
            <v>10919883.527237136</v>
          </cell>
        </row>
        <row r="1103">
          <cell r="R1103" t="str">
            <v>431.NA1</v>
          </cell>
          <cell r="S1103">
            <v>10919883.527237136</v>
          </cell>
        </row>
        <row r="1104">
          <cell r="R1104" t="str">
            <v>431.NA2</v>
          </cell>
          <cell r="S1104">
            <v>0</v>
          </cell>
        </row>
        <row r="1105">
          <cell r="R1105" t="str">
            <v>432.NA</v>
          </cell>
          <cell r="S1105">
            <v>0</v>
          </cell>
        </row>
        <row r="1106">
          <cell r="R1106" t="str">
            <v>432.SNP</v>
          </cell>
          <cell r="S1106">
            <v>-16091838.637547409</v>
          </cell>
        </row>
        <row r="1107">
          <cell r="R1107" t="str">
            <v>432.NA1</v>
          </cell>
          <cell r="S1107">
            <v>-16091838.637547409</v>
          </cell>
        </row>
        <row r="1108">
          <cell r="R1108" t="str">
            <v>432.NA2</v>
          </cell>
          <cell r="S1108">
            <v>0</v>
          </cell>
        </row>
        <row r="1109">
          <cell r="R1109" t="str">
            <v>432.NA3</v>
          </cell>
          <cell r="S1109">
            <v>170399936.92049924</v>
          </cell>
        </row>
        <row r="1110">
          <cell r="R1110" t="str">
            <v>432.NA4</v>
          </cell>
          <cell r="S1110">
            <v>0</v>
          </cell>
        </row>
        <row r="1111">
          <cell r="R1111" t="str">
            <v>432.NA5</v>
          </cell>
          <cell r="S1111">
            <v>0</v>
          </cell>
        </row>
        <row r="1112">
          <cell r="R1112" t="str">
            <v>432.NUTIL</v>
          </cell>
          <cell r="S1112">
            <v>0</v>
          </cell>
        </row>
        <row r="1113">
          <cell r="R1113" t="str">
            <v>432.NUTIL1</v>
          </cell>
          <cell r="S1113">
            <v>0</v>
          </cell>
        </row>
        <row r="1114">
          <cell r="R1114" t="str">
            <v>432.NUTIL2</v>
          </cell>
          <cell r="S1114">
            <v>0</v>
          </cell>
        </row>
        <row r="1115">
          <cell r="R1115" t="str">
            <v>432.NUTIL3</v>
          </cell>
          <cell r="S1115">
            <v>0</v>
          </cell>
        </row>
        <row r="1116">
          <cell r="R1116" t="str">
            <v>432.NA6</v>
          </cell>
          <cell r="S1116">
            <v>0</v>
          </cell>
        </row>
        <row r="1117">
          <cell r="R1117" t="str">
            <v>432.NA7</v>
          </cell>
          <cell r="S1117">
            <v>0</v>
          </cell>
        </row>
        <row r="1118">
          <cell r="R1118" t="str">
            <v>432.NA8</v>
          </cell>
          <cell r="S1118">
            <v>0</v>
          </cell>
        </row>
        <row r="1119">
          <cell r="R1119" t="str">
            <v>432.NA9</v>
          </cell>
          <cell r="S1119">
            <v>170399936.92049924</v>
          </cell>
        </row>
        <row r="1120">
          <cell r="R1120" t="str">
            <v>432.NA10</v>
          </cell>
          <cell r="S1120">
            <v>0</v>
          </cell>
        </row>
        <row r="1121">
          <cell r="R1121" t="str">
            <v>432.NA11</v>
          </cell>
          <cell r="S1121">
            <v>0</v>
          </cell>
        </row>
        <row r="1122">
          <cell r="R1122" t="str">
            <v>419.NA</v>
          </cell>
          <cell r="S1122">
            <v>0</v>
          </cell>
        </row>
        <row r="1123">
          <cell r="R1123" t="str">
            <v>419.S</v>
          </cell>
          <cell r="S1123">
            <v>0</v>
          </cell>
        </row>
        <row r="1124">
          <cell r="R1124" t="str">
            <v>419.SNP</v>
          </cell>
          <cell r="S1124">
            <v>-20327471.283515412</v>
          </cell>
        </row>
        <row r="1125">
          <cell r="R1125" t="str">
            <v>419.NA1</v>
          </cell>
          <cell r="S1125">
            <v>-20327471.283515412</v>
          </cell>
        </row>
        <row r="1126">
          <cell r="R1126" t="str">
            <v>419.NA2</v>
          </cell>
          <cell r="S1126">
            <v>0</v>
          </cell>
        </row>
        <row r="1127">
          <cell r="R1127" t="str">
            <v>419.NA3</v>
          </cell>
          <cell r="S1127">
            <v>0</v>
          </cell>
        </row>
        <row r="1128">
          <cell r="R1128" t="str">
            <v>41010.NA</v>
          </cell>
          <cell r="S1128">
            <v>0</v>
          </cell>
        </row>
        <row r="1129">
          <cell r="R1129" t="str">
            <v>41010.S</v>
          </cell>
          <cell r="S1129">
            <v>-40084</v>
          </cell>
        </row>
        <row r="1130">
          <cell r="R1130" t="str">
            <v>41010.TROJD</v>
          </cell>
          <cell r="S1130">
            <v>0</v>
          </cell>
        </row>
        <row r="1131">
          <cell r="R1131" t="str">
            <v>41010.SG</v>
          </cell>
          <cell r="S1131">
            <v>40793.600318279277</v>
          </cell>
        </row>
        <row r="1132">
          <cell r="R1132" t="str">
            <v>41010.SO</v>
          </cell>
          <cell r="S1132">
            <v>2572292.0469958582</v>
          </cell>
        </row>
        <row r="1133">
          <cell r="R1133" t="str">
            <v>41010.SNP</v>
          </cell>
          <cell r="S1133">
            <v>7686341.6684461394</v>
          </cell>
        </row>
        <row r="1134">
          <cell r="R1134" t="str">
            <v>41010.SE</v>
          </cell>
          <cell r="S1134">
            <v>20309.782777832017</v>
          </cell>
        </row>
        <row r="1135">
          <cell r="R1135" t="str">
            <v>41010.SG1</v>
          </cell>
          <cell r="S1135">
            <v>93068927.221225142</v>
          </cell>
        </row>
        <row r="1136">
          <cell r="R1136" t="str">
            <v>41010.GPS</v>
          </cell>
          <cell r="S1136">
            <v>4404652.7834354443</v>
          </cell>
        </row>
        <row r="1137">
          <cell r="R1137" t="str">
            <v>41010.DITEXP</v>
          </cell>
          <cell r="S1137">
            <v>0</v>
          </cell>
        </row>
        <row r="1138">
          <cell r="R1138" t="str">
            <v>41010.BADDEBT</v>
          </cell>
          <cell r="S1138">
            <v>0</v>
          </cell>
        </row>
        <row r="1139">
          <cell r="R1139" t="str">
            <v>41010.CN</v>
          </cell>
          <cell r="S1139">
            <v>0</v>
          </cell>
        </row>
        <row r="1140">
          <cell r="R1140" t="str">
            <v>41010.IBT</v>
          </cell>
          <cell r="S1140">
            <v>0</v>
          </cell>
        </row>
        <row r="1141">
          <cell r="R1141" t="str">
            <v>41010.CIAC</v>
          </cell>
          <cell r="S1141">
            <v>0</v>
          </cell>
        </row>
        <row r="1142">
          <cell r="R1142" t="str">
            <v>41010.SCHMDEXP</v>
          </cell>
          <cell r="S1142">
            <v>0</v>
          </cell>
        </row>
        <row r="1143">
          <cell r="R1143" t="str">
            <v>41010.TAXDEPR</v>
          </cell>
          <cell r="S1143">
            <v>91578922.506882116</v>
          </cell>
        </row>
        <row r="1144">
          <cell r="R1144" t="str">
            <v>41010.SNPD</v>
          </cell>
          <cell r="S1144">
            <v>0.48488009101542923</v>
          </cell>
        </row>
        <row r="1145">
          <cell r="R1145" t="str">
            <v>41010.NA1</v>
          </cell>
          <cell r="S1145">
            <v>199332156.09496093</v>
          </cell>
        </row>
        <row r="1146">
          <cell r="R1146" t="str">
            <v>41010.NA2</v>
          </cell>
          <cell r="S1146">
            <v>0</v>
          </cell>
        </row>
        <row r="1147">
          <cell r="R1147" t="str">
            <v>41010.NA3</v>
          </cell>
          <cell r="S1147">
            <v>0</v>
          </cell>
        </row>
        <row r="1148">
          <cell r="R1148" t="str">
            <v>41010.NA4</v>
          </cell>
          <cell r="S1148">
            <v>0</v>
          </cell>
        </row>
        <row r="1149">
          <cell r="R1149" t="str">
            <v>41110.NA</v>
          </cell>
          <cell r="S1149">
            <v>0</v>
          </cell>
        </row>
        <row r="1150">
          <cell r="R1150" t="str">
            <v>41110.S</v>
          </cell>
          <cell r="S1150">
            <v>-11431072.546151225</v>
          </cell>
        </row>
        <row r="1151">
          <cell r="R1151" t="str">
            <v>41110.SE</v>
          </cell>
          <cell r="S1151">
            <v>-154556.64918504684</v>
          </cell>
        </row>
        <row r="1152">
          <cell r="R1152" t="str">
            <v>41110.SG</v>
          </cell>
          <cell r="S1152">
            <v>-153455.3539356984</v>
          </cell>
        </row>
        <row r="1153">
          <cell r="R1153" t="str">
            <v>41110.SNP</v>
          </cell>
          <cell r="S1153">
            <v>-4561290.2005057335</v>
          </cell>
        </row>
        <row r="1154">
          <cell r="R1154" t="str">
            <v>41110.SG1</v>
          </cell>
          <cell r="S1154">
            <v>-16537107.416789379</v>
          </cell>
        </row>
        <row r="1155">
          <cell r="R1155" t="str">
            <v>41110.GPS</v>
          </cell>
          <cell r="S1155">
            <v>0</v>
          </cell>
        </row>
        <row r="1156">
          <cell r="R1156" t="str">
            <v>41110.SO</v>
          </cell>
          <cell r="S1156">
            <v>-1882776.7849225141</v>
          </cell>
        </row>
        <row r="1157">
          <cell r="R1157" t="str">
            <v>41110.SNPD</v>
          </cell>
          <cell r="S1157">
            <v>0</v>
          </cell>
        </row>
        <row r="1158">
          <cell r="R1158" t="str">
            <v>41110.BADDEBT</v>
          </cell>
          <cell r="S1158">
            <v>-4.275585419866258E-6</v>
          </cell>
        </row>
        <row r="1159">
          <cell r="R1159" t="str">
            <v>41110.SGCT</v>
          </cell>
          <cell r="S1159">
            <v>0</v>
          </cell>
        </row>
        <row r="1160">
          <cell r="R1160" t="str">
            <v>41110.DITEXP</v>
          </cell>
          <cell r="S1160">
            <v>0</v>
          </cell>
        </row>
        <row r="1161">
          <cell r="R1161" t="str">
            <v>41110.TROJD</v>
          </cell>
          <cell r="S1161">
            <v>-0.43882875731651172</v>
          </cell>
        </row>
        <row r="1162">
          <cell r="R1162" t="str">
            <v>41110.IBT</v>
          </cell>
          <cell r="S1162">
            <v>0</v>
          </cell>
        </row>
        <row r="1163">
          <cell r="R1163" t="str">
            <v>41110.CIAC</v>
          </cell>
          <cell r="S1163">
            <v>-7332725.2452044925</v>
          </cell>
        </row>
        <row r="1164">
          <cell r="R1164" t="str">
            <v>41110.SCHMDEXP</v>
          </cell>
          <cell r="S1164">
            <v>-105238356.64687996</v>
          </cell>
        </row>
        <row r="1165">
          <cell r="R1165" t="str">
            <v>41110.TAXDEPR</v>
          </cell>
          <cell r="S1165">
            <v>0</v>
          </cell>
        </row>
        <row r="1166">
          <cell r="R1166" t="str">
            <v>41110.NA1</v>
          </cell>
          <cell r="S1166">
            <v>-147291341.28240708</v>
          </cell>
        </row>
        <row r="1167">
          <cell r="R1167" t="str">
            <v>41110.NA2</v>
          </cell>
          <cell r="S1167">
            <v>0</v>
          </cell>
        </row>
        <row r="1168">
          <cell r="R1168" t="str">
            <v>Total Deferred Income Taxes.NA</v>
          </cell>
          <cell r="S1168">
            <v>52040814.812553868</v>
          </cell>
        </row>
        <row r="1169">
          <cell r="R1169" t="str">
            <v>SCHMAF.NA</v>
          </cell>
          <cell r="S1169">
            <v>0</v>
          </cell>
        </row>
        <row r="1170">
          <cell r="R1170" t="str">
            <v>SCHMAF.S</v>
          </cell>
          <cell r="S1170">
            <v>0</v>
          </cell>
        </row>
        <row r="1171">
          <cell r="R1171" t="str">
            <v>SCHMAF.SNP</v>
          </cell>
          <cell r="S1171">
            <v>0</v>
          </cell>
        </row>
        <row r="1172">
          <cell r="R1172" t="str">
            <v>SCHMAF.SO</v>
          </cell>
          <cell r="S1172">
            <v>0</v>
          </cell>
        </row>
        <row r="1173">
          <cell r="R1173" t="str">
            <v>SCHMAF.SE</v>
          </cell>
          <cell r="S1173">
            <v>0</v>
          </cell>
        </row>
        <row r="1174">
          <cell r="R1174" t="str">
            <v>SCHMAF.TROJP</v>
          </cell>
          <cell r="S1174">
            <v>0</v>
          </cell>
        </row>
        <row r="1175">
          <cell r="R1175" t="str">
            <v>SCHMAF.SG</v>
          </cell>
          <cell r="S1175">
            <v>0</v>
          </cell>
        </row>
        <row r="1176">
          <cell r="R1176" t="str">
            <v>SCHMAF.NA1</v>
          </cell>
          <cell r="S1176">
            <v>0</v>
          </cell>
        </row>
        <row r="1177">
          <cell r="R1177" t="str">
            <v>SCHMAF.NA2</v>
          </cell>
          <cell r="S1177">
            <v>0</v>
          </cell>
        </row>
        <row r="1178">
          <cell r="R1178" t="str">
            <v>SCHMAP.NA</v>
          </cell>
          <cell r="S1178">
            <v>0</v>
          </cell>
        </row>
        <row r="1179">
          <cell r="R1179" t="str">
            <v>SCHMAP.S</v>
          </cell>
          <cell r="S1179">
            <v>0</v>
          </cell>
        </row>
        <row r="1180">
          <cell r="R1180" t="str">
            <v>SCHMAP.SE</v>
          </cell>
          <cell r="S1180">
            <v>19926.297104811085</v>
          </cell>
        </row>
        <row r="1181">
          <cell r="R1181" t="str">
            <v>SCHMAP.SNP</v>
          </cell>
          <cell r="S1181">
            <v>0</v>
          </cell>
        </row>
        <row r="1182">
          <cell r="R1182" t="str">
            <v>SCHMAP.SO</v>
          </cell>
          <cell r="S1182">
            <v>1415990.2770410578</v>
          </cell>
        </row>
        <row r="1183">
          <cell r="R1183" t="str">
            <v>SCHMAP.SG</v>
          </cell>
          <cell r="S1183">
            <v>0</v>
          </cell>
        </row>
        <row r="1184">
          <cell r="R1184" t="str">
            <v>SCHMAP.SCHMDEXP</v>
          </cell>
          <cell r="S1184">
            <v>43189.696553675523</v>
          </cell>
        </row>
        <row r="1185">
          <cell r="R1185" t="str">
            <v>SCHMAP.NA1</v>
          </cell>
          <cell r="S1185">
            <v>1479106.2706995443</v>
          </cell>
        </row>
        <row r="1186">
          <cell r="R1186" t="str">
            <v>SCHMAP.NA2</v>
          </cell>
          <cell r="S1186">
            <v>0</v>
          </cell>
        </row>
        <row r="1187">
          <cell r="R1187" t="str">
            <v>SCHMAT.NA</v>
          </cell>
          <cell r="S1187">
            <v>0</v>
          </cell>
        </row>
        <row r="1188">
          <cell r="R1188" t="str">
            <v>SCHMAT.S</v>
          </cell>
          <cell r="S1188">
            <v>-32085951.336418375</v>
          </cell>
        </row>
        <row r="1189">
          <cell r="R1189" t="str">
            <v>SCHMAT.SGCT</v>
          </cell>
          <cell r="S1189">
            <v>0</v>
          </cell>
        </row>
        <row r="1190">
          <cell r="R1190" t="str">
            <v>SCHMAT.CIAC</v>
          </cell>
          <cell r="S1190">
            <v>29824072.346832931</v>
          </cell>
        </row>
        <row r="1191">
          <cell r="R1191" t="str">
            <v>SCHMAT.SNP</v>
          </cell>
          <cell r="S1191">
            <v>18551935.992707681</v>
          </cell>
        </row>
        <row r="1192">
          <cell r="R1192" t="str">
            <v>SCHMAT.TROJD</v>
          </cell>
          <cell r="S1192">
            <v>2.1941437867102745E-2</v>
          </cell>
        </row>
        <row r="1193">
          <cell r="R1193" t="str">
            <v>SCHMAT.SG</v>
          </cell>
          <cell r="S1193">
            <v>0</v>
          </cell>
        </row>
        <row r="1194">
          <cell r="R1194" t="str">
            <v>SCHMAT.SE</v>
          </cell>
          <cell r="S1194">
            <v>628621.31752833759</v>
          </cell>
        </row>
        <row r="1195">
          <cell r="R1195" t="str">
            <v>SCHMAT.SG1</v>
          </cell>
          <cell r="S1195">
            <v>68771965.193991825</v>
          </cell>
        </row>
        <row r="1196">
          <cell r="R1196" t="str">
            <v>SCHMAT.GPS</v>
          </cell>
          <cell r="S1196">
            <v>-0.10486684897631046</v>
          </cell>
        </row>
        <row r="1197">
          <cell r="R1197" t="str">
            <v>SCHMAT.SO</v>
          </cell>
          <cell r="S1197">
            <v>7657737.1806174172</v>
          </cell>
        </row>
        <row r="1198">
          <cell r="R1198" t="str">
            <v>SCHMAT.SNPD</v>
          </cell>
          <cell r="S1198">
            <v>0.10667362012274198</v>
          </cell>
        </row>
        <row r="1199">
          <cell r="R1199" t="str">
            <v>SCHMAT.BADDEBT</v>
          </cell>
          <cell r="S1199">
            <v>-3.6659927987817496E-2</v>
          </cell>
        </row>
        <row r="1200">
          <cell r="R1200" t="str">
            <v>SCHMAT.TAXDEPR</v>
          </cell>
          <cell r="S1200">
            <v>0</v>
          </cell>
        </row>
        <row r="1201">
          <cell r="R1201" t="str">
            <v>SCHMAT.SCHMDEXP</v>
          </cell>
          <cell r="S1201">
            <v>428031353.79964519</v>
          </cell>
        </row>
        <row r="1202">
          <cell r="R1202" t="str">
            <v>SCHMAT.NA1</v>
          </cell>
          <cell r="S1202">
            <v>521379734.48199332</v>
          </cell>
        </row>
        <row r="1203">
          <cell r="R1203" t="str">
            <v>SCHMAT.NA2</v>
          </cell>
          <cell r="S1203">
            <v>0</v>
          </cell>
        </row>
        <row r="1204">
          <cell r="R1204" t="str">
            <v>TOTAL SCHEDULE - M ADDITIONS.NA</v>
          </cell>
          <cell r="S1204">
            <v>522858840.75269282</v>
          </cell>
        </row>
        <row r="1205">
          <cell r="R1205" t="str">
            <v>TOTAL SCHEDULE - M ADDITIONS.NA1</v>
          </cell>
          <cell r="S1205">
            <v>0</v>
          </cell>
        </row>
        <row r="1206">
          <cell r="R1206" t="str">
            <v>SCHMDF.NA</v>
          </cell>
          <cell r="S1206">
            <v>0</v>
          </cell>
        </row>
        <row r="1207">
          <cell r="R1207" t="str">
            <v>SCHMDF.S</v>
          </cell>
          <cell r="S1207">
            <v>0</v>
          </cell>
        </row>
        <row r="1208">
          <cell r="R1208" t="str">
            <v>SCHMDF.DGP</v>
          </cell>
          <cell r="S1208">
            <v>0</v>
          </cell>
        </row>
        <row r="1209">
          <cell r="R1209" t="str">
            <v>SCHMDF.DGU</v>
          </cell>
          <cell r="S1209">
            <v>0</v>
          </cell>
        </row>
        <row r="1210">
          <cell r="R1210" t="str">
            <v>SCHMDF.NA1</v>
          </cell>
          <cell r="S1210">
            <v>0</v>
          </cell>
        </row>
        <row r="1211">
          <cell r="R1211" t="str">
            <v>SCHMDP.NA</v>
          </cell>
          <cell r="S1211">
            <v>0</v>
          </cell>
        </row>
        <row r="1212">
          <cell r="R1212" t="str">
            <v>SCHMDP.S</v>
          </cell>
          <cell r="S1212">
            <v>0</v>
          </cell>
        </row>
        <row r="1213">
          <cell r="R1213" t="str">
            <v>SCHMDP.SE</v>
          </cell>
          <cell r="S1213">
            <v>1717905.6903616358</v>
          </cell>
        </row>
        <row r="1214">
          <cell r="R1214" t="str">
            <v>SCHMDP.SNP</v>
          </cell>
          <cell r="S1214">
            <v>47868.328288966724</v>
          </cell>
        </row>
        <row r="1215">
          <cell r="R1215" t="str">
            <v>SCHMDP.SCHMDEXP</v>
          </cell>
          <cell r="S1215">
            <v>0</v>
          </cell>
        </row>
        <row r="1216">
          <cell r="R1216" t="str">
            <v>SCHMDP.SG</v>
          </cell>
          <cell r="S1216">
            <v>0</v>
          </cell>
        </row>
        <row r="1217">
          <cell r="R1217" t="str">
            <v>SCHMDP.SO</v>
          </cell>
          <cell r="S1217">
            <v>0</v>
          </cell>
        </row>
        <row r="1218">
          <cell r="R1218" t="str">
            <v>SCHMDP.NA1</v>
          </cell>
          <cell r="S1218">
            <v>1765774.0186506025</v>
          </cell>
        </row>
        <row r="1219">
          <cell r="R1219" t="str">
            <v>SCHMDP.NA2</v>
          </cell>
          <cell r="S1219">
            <v>0</v>
          </cell>
        </row>
        <row r="1220">
          <cell r="R1220" t="str">
            <v>SCHMDT.NA</v>
          </cell>
          <cell r="S1220">
            <v>0</v>
          </cell>
        </row>
        <row r="1221">
          <cell r="R1221" t="str">
            <v>SCHMDT.S</v>
          </cell>
          <cell r="S1221">
            <v>-163043.06999999983</v>
          </cell>
        </row>
        <row r="1222">
          <cell r="R1222" t="str">
            <v>SCHMDT.BADDEBT</v>
          </cell>
          <cell r="S1222">
            <v>0</v>
          </cell>
        </row>
        <row r="1223">
          <cell r="R1223" t="str">
            <v>SCHMDT.SNP</v>
          </cell>
          <cell r="S1223">
            <v>31262324.007499892</v>
          </cell>
        </row>
        <row r="1224">
          <cell r="R1224" t="str">
            <v>SCHMDT.CN</v>
          </cell>
          <cell r="S1224">
            <v>0</v>
          </cell>
        </row>
        <row r="1225">
          <cell r="R1225" t="str">
            <v>SCHMDT.SG</v>
          </cell>
          <cell r="S1225">
            <v>165919.51517533485</v>
          </cell>
        </row>
        <row r="1226">
          <cell r="R1226" t="str">
            <v>SCHMDT.DGP</v>
          </cell>
          <cell r="S1226">
            <v>0</v>
          </cell>
        </row>
        <row r="1227">
          <cell r="R1227" t="str">
            <v>SCHMDT.SE</v>
          </cell>
          <cell r="S1227">
            <v>82607.682871035082</v>
          </cell>
        </row>
        <row r="1228">
          <cell r="R1228" t="str">
            <v>SCHMDT.SG1</v>
          </cell>
          <cell r="S1228">
            <v>378535171.48847342</v>
          </cell>
        </row>
        <row r="1229">
          <cell r="R1229" t="str">
            <v>SCHMDT.GPS</v>
          </cell>
          <cell r="S1229">
            <v>17914852.916707397</v>
          </cell>
        </row>
        <row r="1230">
          <cell r="R1230" t="str">
            <v>SCHMDT.SO</v>
          </cell>
          <cell r="S1230">
            <v>10462173.495535385</v>
          </cell>
        </row>
        <row r="1231">
          <cell r="R1231" t="str">
            <v>SCHMDT.TAXDEPR</v>
          </cell>
          <cell r="S1231">
            <v>372474934.21576387</v>
          </cell>
        </row>
        <row r="1232">
          <cell r="R1232" t="str">
            <v>SCHMDT.SNPD</v>
          </cell>
          <cell r="S1232">
            <v>0.31517205911487101</v>
          </cell>
        </row>
        <row r="1233">
          <cell r="R1233" t="str">
            <v>SCHMDT.NA1</v>
          </cell>
          <cell r="S1233">
            <v>810734940.5671984</v>
          </cell>
        </row>
        <row r="1234">
          <cell r="R1234" t="str">
            <v>SCHMDT.NA2</v>
          </cell>
          <cell r="S1234">
            <v>0</v>
          </cell>
        </row>
        <row r="1235">
          <cell r="R1235" t="str">
            <v>TOTAL SCHEDULE - M DEDUCTIONS.NA</v>
          </cell>
          <cell r="S1235">
            <v>812500714.58584893</v>
          </cell>
        </row>
        <row r="1236">
          <cell r="R1236" t="str">
            <v>TOTAL SCHEDULE - M DEDUCTIONS.NA1</v>
          </cell>
          <cell r="S1236">
            <v>0</v>
          </cell>
        </row>
        <row r="1237">
          <cell r="R1237" t="str">
            <v>TOTAL SCHEDULE - M ADJUSTMENTS.NA</v>
          </cell>
          <cell r="S1237">
            <v>-289641873.83315611</v>
          </cell>
        </row>
        <row r="1238">
          <cell r="R1238" t="str">
            <v>TOTAL SCHEDULE - M ADJUSTMENTS.NA1</v>
          </cell>
          <cell r="S1238">
            <v>0</v>
          </cell>
        </row>
        <row r="1239">
          <cell r="R1239" t="str">
            <v>TOTAL SCHEDULE - M ADJUSTMENTS.NA2</v>
          </cell>
          <cell r="S1239">
            <v>0</v>
          </cell>
        </row>
        <row r="1240">
          <cell r="R1240" t="str">
            <v>TOTAL SCHEDULE - M ADJUSTMENTS.NA3</v>
          </cell>
          <cell r="S1240">
            <v>0</v>
          </cell>
        </row>
        <row r="1241">
          <cell r="R1241" t="str">
            <v>40911.NA</v>
          </cell>
          <cell r="S1241">
            <v>0</v>
          </cell>
        </row>
        <row r="1242">
          <cell r="R1242" t="str">
            <v xml:space="preserve">40911. </v>
          </cell>
          <cell r="S1242">
            <v>3273601.2596625434</v>
          </cell>
        </row>
        <row r="1243">
          <cell r="R1243" t="str">
            <v>40911.IBT</v>
          </cell>
          <cell r="S1243">
            <v>0</v>
          </cell>
        </row>
        <row r="1244">
          <cell r="R1244" t="str">
            <v>40911.SG</v>
          </cell>
          <cell r="S1244">
            <v>0</v>
          </cell>
        </row>
        <row r="1245">
          <cell r="R1245" t="str">
            <v>40911.IBT1</v>
          </cell>
          <cell r="S1245">
            <v>0</v>
          </cell>
        </row>
        <row r="1246">
          <cell r="R1246" t="str">
            <v>Total State Tax Expense.NA</v>
          </cell>
          <cell r="S1246">
            <v>3273601.2596625434</v>
          </cell>
        </row>
        <row r="1247">
          <cell r="R1247" t="str">
            <v>Total State Tax Expense.NA1</v>
          </cell>
          <cell r="S1247">
            <v>0</v>
          </cell>
        </row>
        <row r="1248">
          <cell r="R1248" t="str">
            <v>Total State Tax Expense.NA2</v>
          </cell>
          <cell r="S1248">
            <v>0</v>
          </cell>
        </row>
        <row r="1249">
          <cell r="R1249" t="str">
            <v>Calculation of Taxable Income:.NA</v>
          </cell>
          <cell r="S1249">
            <v>0</v>
          </cell>
        </row>
        <row r="1250">
          <cell r="R1250" t="str">
            <v>Calculation of Taxable Income:.NA1</v>
          </cell>
          <cell r="S1250">
            <v>2187433600.7913594</v>
          </cell>
        </row>
        <row r="1251">
          <cell r="R1251" t="str">
            <v>Calculation of Taxable Income:.NA2</v>
          </cell>
          <cell r="S1251">
            <v>0</v>
          </cell>
        </row>
        <row r="1252">
          <cell r="R1252" t="str">
            <v>Calculation of Taxable Income:.NA3</v>
          </cell>
          <cell r="S1252">
            <v>1147782057.1857204</v>
          </cell>
        </row>
        <row r="1253">
          <cell r="R1253" t="str">
            <v>Calculation of Taxable Income:.NA4</v>
          </cell>
          <cell r="S1253">
            <v>434261345.78019589</v>
          </cell>
        </row>
        <row r="1254">
          <cell r="R1254" t="str">
            <v>Calculation of Taxable Income:.NA5</v>
          </cell>
          <cell r="S1254">
            <v>7341100.8115204237</v>
          </cell>
        </row>
        <row r="1255">
          <cell r="R1255" t="str">
            <v>Calculation of Taxable Income:.NA6</v>
          </cell>
          <cell r="S1255">
            <v>86016982.977037162</v>
          </cell>
        </row>
        <row r="1256">
          <cell r="R1256" t="str">
            <v>Calculation of Taxable Income:.NA7</v>
          </cell>
          <cell r="S1256">
            <v>-20327471.283515412</v>
          </cell>
        </row>
        <row r="1257">
          <cell r="R1257" t="str">
            <v>Calculation of Taxable Income:.NA8</v>
          </cell>
          <cell r="S1257">
            <v>212019.9486278707</v>
          </cell>
        </row>
        <row r="1258">
          <cell r="R1258" t="str">
            <v>Calculation of Taxable Income:.NA9</v>
          </cell>
          <cell r="S1258">
            <v>1655286035.4195864</v>
          </cell>
        </row>
        <row r="1259">
          <cell r="R1259" t="str">
            <v>Calculation of Taxable Income:.NA10</v>
          </cell>
          <cell r="S1259">
            <v>0</v>
          </cell>
        </row>
        <row r="1260">
          <cell r="R1260" t="str">
            <v>Calculation of Taxable Income:.NA11</v>
          </cell>
          <cell r="S1260">
            <v>170399936.92049924</v>
          </cell>
        </row>
        <row r="1261">
          <cell r="R1261" t="str">
            <v>Calculation of Taxable Income:.NA12</v>
          </cell>
          <cell r="S1261">
            <v>0</v>
          </cell>
        </row>
        <row r="1262">
          <cell r="R1262" t="str">
            <v>Calculation of Taxable Income:.NA13</v>
          </cell>
          <cell r="S1262">
            <v>-289641873.83315611</v>
          </cell>
        </row>
        <row r="1263">
          <cell r="R1263" t="str">
            <v>Calculation of Taxable Income:.NA14</v>
          </cell>
          <cell r="S1263">
            <v>0</v>
          </cell>
        </row>
        <row r="1264">
          <cell r="R1264" t="str">
            <v>Calculation of Taxable Income:.NA15</v>
          </cell>
          <cell r="S1264">
            <v>72105754.61811769</v>
          </cell>
        </row>
        <row r="1265">
          <cell r="R1265" t="str">
            <v>Calculation of Taxable Income:.NA16</v>
          </cell>
          <cell r="S1265">
            <v>0</v>
          </cell>
        </row>
        <row r="1266">
          <cell r="R1266" t="str">
            <v>Calculation of Taxable Income:.NA17</v>
          </cell>
          <cell r="S1266">
            <v>3273601.2596625434</v>
          </cell>
        </row>
        <row r="1267">
          <cell r="R1267" t="str">
            <v>Calculation of Taxable Income:.NA18</v>
          </cell>
          <cell r="S1267">
            <v>0</v>
          </cell>
        </row>
        <row r="1268">
          <cell r="R1268" t="str">
            <v>Total Taxable Income.NA</v>
          </cell>
          <cell r="S1268">
            <v>68832153.358455151</v>
          </cell>
        </row>
        <row r="1269">
          <cell r="R1269" t="str">
            <v>Total Taxable Income.NA1</v>
          </cell>
          <cell r="S1269">
            <v>0</v>
          </cell>
        </row>
        <row r="1270">
          <cell r="R1270" t="str">
            <v>Tax Rate.NA</v>
          </cell>
          <cell r="S1270">
            <v>0.21</v>
          </cell>
        </row>
        <row r="1271">
          <cell r="R1271" t="str">
            <v>Tax Rate.NA1</v>
          </cell>
          <cell r="S1271">
            <v>0</v>
          </cell>
        </row>
        <row r="1272">
          <cell r="R1272" t="str">
            <v>Federal Income Tax - Calculated.NA</v>
          </cell>
          <cell r="S1272">
            <v>14454752.205275582</v>
          </cell>
        </row>
        <row r="1273">
          <cell r="R1273" t="str">
            <v>Federal Income Tax - Calculated.NA1</v>
          </cell>
          <cell r="S1273">
            <v>0</v>
          </cell>
        </row>
        <row r="1274">
          <cell r="R1274" t="str">
            <v>Adjustments to Calculated Tax:.NA</v>
          </cell>
          <cell r="S1274">
            <v>0</v>
          </cell>
        </row>
        <row r="1275">
          <cell r="R1275" t="str">
            <v>40910.SE</v>
          </cell>
          <cell r="S1275">
            <v>-7804.1177098662856</v>
          </cell>
        </row>
        <row r="1276">
          <cell r="R1276" t="str">
            <v>40910.SG</v>
          </cell>
          <cell r="S1276">
            <v>-85120454.482094124</v>
          </cell>
        </row>
        <row r="1277">
          <cell r="R1277" t="str">
            <v>40910.SO</v>
          </cell>
          <cell r="S1277">
            <v>-1161.8372976617911</v>
          </cell>
        </row>
        <row r="1278">
          <cell r="R1278" t="str">
            <v>40910.S</v>
          </cell>
          <cell r="S1278">
            <v>0</v>
          </cell>
        </row>
        <row r="1279">
          <cell r="R1279" t="str">
            <v>Federal Income Tax Expense.NA</v>
          </cell>
          <cell r="S1279">
            <v>-70674668.231826067</v>
          </cell>
        </row>
        <row r="1280">
          <cell r="R1280" t="str">
            <v>Federal Income Tax Expense.NA1</v>
          </cell>
          <cell r="S1280">
            <v>0</v>
          </cell>
        </row>
        <row r="1281">
          <cell r="R1281" t="str">
            <v>Total Operating Expenses.NA</v>
          </cell>
          <cell r="S1281">
            <v>1659135960.8299556</v>
          </cell>
        </row>
        <row r="1282">
          <cell r="R1282" t="str">
            <v>310.NA</v>
          </cell>
          <cell r="S1282">
            <v>0</v>
          </cell>
        </row>
        <row r="1283">
          <cell r="R1283" t="str">
            <v>310.SG</v>
          </cell>
          <cell r="S1283">
            <v>1024195.2065804843</v>
          </cell>
        </row>
        <row r="1284">
          <cell r="R1284" t="str">
            <v>310.SG1</v>
          </cell>
          <cell r="S1284">
            <v>14887639.54489688</v>
          </cell>
        </row>
        <row r="1285">
          <cell r="R1285" t="str">
            <v>310.SG2</v>
          </cell>
          <cell r="S1285">
            <v>23841755.386075802</v>
          </cell>
        </row>
        <row r="1286">
          <cell r="R1286" t="str">
            <v>310.S</v>
          </cell>
          <cell r="S1286">
            <v>0</v>
          </cell>
        </row>
        <row r="1287">
          <cell r="R1287" t="str">
            <v>310.SG3</v>
          </cell>
          <cell r="S1287">
            <v>1159473.4114621831</v>
          </cell>
        </row>
        <row r="1288">
          <cell r="R1288" t="str">
            <v>310.NA1</v>
          </cell>
          <cell r="S1288">
            <v>40913063.549015351</v>
          </cell>
        </row>
        <row r="1289">
          <cell r="R1289" t="str">
            <v>310.NA2</v>
          </cell>
          <cell r="S1289">
            <v>0</v>
          </cell>
        </row>
        <row r="1290">
          <cell r="R1290" t="str">
            <v>311.NA</v>
          </cell>
          <cell r="S1290">
            <v>0</v>
          </cell>
        </row>
        <row r="1291">
          <cell r="R1291" t="str">
            <v>311.SG</v>
          </cell>
          <cell r="S1291">
            <v>99921400.680125162</v>
          </cell>
        </row>
        <row r="1292">
          <cell r="R1292" t="str">
            <v>311.SG1</v>
          </cell>
          <cell r="S1292">
            <v>138153457.29007629</v>
          </cell>
        </row>
        <row r="1293">
          <cell r="R1293" t="str">
            <v>311.SG2</v>
          </cell>
          <cell r="S1293">
            <v>189862215.03704104</v>
          </cell>
        </row>
        <row r="1294">
          <cell r="R1294" t="str">
            <v>311.SG3</v>
          </cell>
          <cell r="S1294">
            <v>28820042.654904962</v>
          </cell>
        </row>
        <row r="1295">
          <cell r="R1295" t="str">
            <v>311.NA1</v>
          </cell>
          <cell r="S1295">
            <v>456757115.6621474</v>
          </cell>
        </row>
        <row r="1296">
          <cell r="R1296" t="str">
            <v>311.NA2</v>
          </cell>
          <cell r="S1296">
            <v>0</v>
          </cell>
        </row>
        <row r="1297">
          <cell r="R1297" t="str">
            <v>312.NA</v>
          </cell>
          <cell r="S1297">
            <v>0</v>
          </cell>
        </row>
        <row r="1298">
          <cell r="R1298" t="str">
            <v>312.SG</v>
          </cell>
          <cell r="S1298">
            <v>255597444.73656973</v>
          </cell>
        </row>
        <row r="1299">
          <cell r="R1299" t="str">
            <v>312.SG1</v>
          </cell>
          <cell r="S1299">
            <v>200902503.14124754</v>
          </cell>
        </row>
        <row r="1300">
          <cell r="R1300" t="str">
            <v>312.SG2</v>
          </cell>
          <cell r="S1300">
            <v>1224144258.7857132</v>
          </cell>
        </row>
        <row r="1301">
          <cell r="R1301" t="str">
            <v>312.SG3</v>
          </cell>
          <cell r="S1301">
            <v>149855543.36661974</v>
          </cell>
        </row>
        <row r="1302">
          <cell r="R1302" t="str">
            <v>312.NA1</v>
          </cell>
          <cell r="S1302">
            <v>1830499750.0301502</v>
          </cell>
        </row>
        <row r="1303">
          <cell r="R1303" t="str">
            <v>312.NA2</v>
          </cell>
          <cell r="S1303">
            <v>0</v>
          </cell>
        </row>
        <row r="1304">
          <cell r="R1304" t="str">
            <v>314.NA</v>
          </cell>
          <cell r="S1304">
            <v>0</v>
          </cell>
        </row>
        <row r="1305">
          <cell r="R1305" t="str">
            <v>314.SG</v>
          </cell>
          <cell r="S1305">
            <v>48243860.146336801</v>
          </cell>
        </row>
        <row r="1306">
          <cell r="R1306" t="str">
            <v>314.SG1</v>
          </cell>
          <cell r="S1306">
            <v>48310407.615175091</v>
          </cell>
        </row>
        <row r="1307">
          <cell r="R1307" t="str">
            <v>314.SG2</v>
          </cell>
          <cell r="S1307">
            <v>313541194.48028064</v>
          </cell>
        </row>
        <row r="1308">
          <cell r="R1308" t="str">
            <v>314.SG3</v>
          </cell>
          <cell r="S1308">
            <v>30394554.316273361</v>
          </cell>
        </row>
        <row r="1309">
          <cell r="R1309" t="str">
            <v>314.NA1</v>
          </cell>
          <cell r="S1309">
            <v>440490016.55806589</v>
          </cell>
        </row>
        <row r="1310">
          <cell r="R1310" t="str">
            <v>314.NA2</v>
          </cell>
          <cell r="S1310">
            <v>0</v>
          </cell>
        </row>
        <row r="1311">
          <cell r="R1311" t="str">
            <v>315.NA</v>
          </cell>
          <cell r="S1311">
            <v>0</v>
          </cell>
        </row>
        <row r="1312">
          <cell r="R1312" t="str">
            <v>315.SG</v>
          </cell>
          <cell r="S1312">
            <v>37876248.574170671</v>
          </cell>
        </row>
        <row r="1313">
          <cell r="R1313" t="str">
            <v>315.SG1</v>
          </cell>
          <cell r="S1313">
            <v>58708177.146197036</v>
          </cell>
        </row>
        <row r="1314">
          <cell r="R1314" t="str">
            <v>315.SG2</v>
          </cell>
          <cell r="S1314">
            <v>88124445.603368521</v>
          </cell>
        </row>
        <row r="1315">
          <cell r="R1315" t="str">
            <v>315.SG3</v>
          </cell>
          <cell r="S1315">
            <v>30227712.236174017</v>
          </cell>
        </row>
        <row r="1316">
          <cell r="R1316" t="str">
            <v>315.NA1</v>
          </cell>
          <cell r="S1316">
            <v>214936583.55991024</v>
          </cell>
        </row>
        <row r="1317">
          <cell r="R1317" t="str">
            <v>315.NA2</v>
          </cell>
          <cell r="S1317">
            <v>0</v>
          </cell>
        </row>
        <row r="1318">
          <cell r="R1318" t="str">
            <v>315.NA3</v>
          </cell>
          <cell r="S1318">
            <v>0</v>
          </cell>
        </row>
        <row r="1319">
          <cell r="R1319" t="str">
            <v>315.NA4</v>
          </cell>
          <cell r="S1319">
            <v>0</v>
          </cell>
        </row>
        <row r="1320">
          <cell r="R1320" t="str">
            <v>316.NA</v>
          </cell>
          <cell r="S1320">
            <v>0</v>
          </cell>
        </row>
        <row r="1321">
          <cell r="R1321" t="str">
            <v>316.SG</v>
          </cell>
          <cell r="S1321">
            <v>1140807.1229302338</v>
          </cell>
        </row>
        <row r="1322">
          <cell r="R1322" t="str">
            <v>316.SG1</v>
          </cell>
          <cell r="S1322">
            <v>2176740.3601024915</v>
          </cell>
        </row>
        <row r="1323">
          <cell r="R1323" t="str">
            <v>316.SG2</v>
          </cell>
          <cell r="S1323">
            <v>9494551.9737693816</v>
          </cell>
        </row>
        <row r="1324">
          <cell r="R1324" t="str">
            <v>316.SG3</v>
          </cell>
          <cell r="S1324">
            <v>1821232.697272476</v>
          </cell>
        </row>
        <row r="1325">
          <cell r="R1325" t="str">
            <v>316.NA1</v>
          </cell>
          <cell r="S1325">
            <v>14633332.154074583</v>
          </cell>
        </row>
        <row r="1326">
          <cell r="R1326" t="str">
            <v>316.NA2</v>
          </cell>
          <cell r="S1326">
            <v>0</v>
          </cell>
        </row>
        <row r="1327">
          <cell r="R1327" t="str">
            <v>317.NA</v>
          </cell>
          <cell r="S1327">
            <v>0</v>
          </cell>
        </row>
        <row r="1328">
          <cell r="R1328" t="str">
            <v>317.S</v>
          </cell>
          <cell r="S1328">
            <v>0</v>
          </cell>
        </row>
        <row r="1329">
          <cell r="R1329" t="str">
            <v>317.NA1</v>
          </cell>
          <cell r="S1329">
            <v>0</v>
          </cell>
        </row>
        <row r="1330">
          <cell r="R1330" t="str">
            <v>317.NA2</v>
          </cell>
          <cell r="S1330">
            <v>0</v>
          </cell>
        </row>
        <row r="1331">
          <cell r="R1331" t="str">
            <v>SP.NA</v>
          </cell>
          <cell r="S1331">
            <v>0</v>
          </cell>
        </row>
        <row r="1332">
          <cell r="R1332" t="str">
            <v>SP.SG</v>
          </cell>
          <cell r="S1332">
            <v>20392303.091937196</v>
          </cell>
        </row>
        <row r="1333">
          <cell r="R1333" t="str">
            <v>SP.NA1</v>
          </cell>
          <cell r="S1333">
            <v>20392303.091937196</v>
          </cell>
        </row>
        <row r="1334">
          <cell r="R1334" t="str">
            <v>SP.NA2</v>
          </cell>
          <cell r="S1334">
            <v>0</v>
          </cell>
        </row>
        <row r="1335">
          <cell r="R1335" t="str">
            <v>SP.NA3</v>
          </cell>
          <cell r="S1335">
            <v>0</v>
          </cell>
        </row>
        <row r="1336">
          <cell r="R1336" t="str">
            <v>Total Steam Production Plant.NA</v>
          </cell>
          <cell r="S1336">
            <v>3018622164.6052999</v>
          </cell>
        </row>
        <row r="1337">
          <cell r="R1337" t="str">
            <v>Total Steam Production Plant.NA1</v>
          </cell>
          <cell r="S1337">
            <v>0</v>
          </cell>
        </row>
        <row r="1338">
          <cell r="R1338" t="str">
            <v>Total Steam Production Plant.NA2</v>
          </cell>
          <cell r="S1338">
            <v>0</v>
          </cell>
        </row>
        <row r="1339">
          <cell r="R1339" t="str">
            <v>Summary of Steam Production Plant by Factor.NA</v>
          </cell>
          <cell r="S1339">
            <v>0</v>
          </cell>
        </row>
        <row r="1340">
          <cell r="R1340" t="str">
            <v>Summary of Steam Production Plant by Factor.NA1</v>
          </cell>
          <cell r="S1340">
            <v>0</v>
          </cell>
        </row>
        <row r="1341">
          <cell r="R1341" t="str">
            <v>Summary of Steam Production Plant by Factor.NA2</v>
          </cell>
          <cell r="S1341">
            <v>0</v>
          </cell>
        </row>
        <row r="1342">
          <cell r="R1342" t="str">
            <v>Summary of Steam Production Plant by Factor.NA3</v>
          </cell>
          <cell r="S1342">
            <v>0</v>
          </cell>
        </row>
        <row r="1343">
          <cell r="R1343" t="str">
            <v>Summary of Steam Production Plant by Factor.NA4</v>
          </cell>
          <cell r="S1343">
            <v>3018622164.6052999</v>
          </cell>
        </row>
        <row r="1344">
          <cell r="R1344" t="str">
            <v>Summary of Steam Production Plant by Factor.NA5</v>
          </cell>
          <cell r="S1344">
            <v>0</v>
          </cell>
        </row>
        <row r="1345">
          <cell r="R1345" t="str">
            <v>Total Steam Production Plant by Factor.NA</v>
          </cell>
          <cell r="S1345">
            <v>3018622164.6052999</v>
          </cell>
        </row>
        <row r="1346">
          <cell r="R1346" t="str">
            <v>320.NA</v>
          </cell>
          <cell r="S1346">
            <v>0</v>
          </cell>
        </row>
        <row r="1347">
          <cell r="R1347" t="str">
            <v>320.SG</v>
          </cell>
          <cell r="S1347">
            <v>0</v>
          </cell>
        </row>
        <row r="1348">
          <cell r="R1348" t="str">
            <v>320.SG1</v>
          </cell>
          <cell r="S1348">
            <v>0</v>
          </cell>
        </row>
        <row r="1349">
          <cell r="R1349" t="str">
            <v>320.NA1</v>
          </cell>
          <cell r="S1349">
            <v>0</v>
          </cell>
        </row>
        <row r="1350">
          <cell r="R1350" t="str">
            <v>320.NA2</v>
          </cell>
          <cell r="S1350">
            <v>0</v>
          </cell>
        </row>
        <row r="1351">
          <cell r="R1351" t="str">
            <v>321.NA</v>
          </cell>
          <cell r="S1351">
            <v>0</v>
          </cell>
        </row>
        <row r="1352">
          <cell r="R1352" t="str">
            <v>321.SG</v>
          </cell>
          <cell r="S1352">
            <v>0</v>
          </cell>
        </row>
        <row r="1353">
          <cell r="R1353" t="str">
            <v>321.SG1</v>
          </cell>
          <cell r="S1353">
            <v>0</v>
          </cell>
        </row>
        <row r="1354">
          <cell r="R1354" t="str">
            <v>321.NA1</v>
          </cell>
          <cell r="S1354">
            <v>0</v>
          </cell>
        </row>
        <row r="1355">
          <cell r="R1355" t="str">
            <v>321.NA2</v>
          </cell>
          <cell r="S1355">
            <v>0</v>
          </cell>
        </row>
        <row r="1356">
          <cell r="R1356" t="str">
            <v>322.NA</v>
          </cell>
          <cell r="S1356">
            <v>0</v>
          </cell>
        </row>
        <row r="1357">
          <cell r="R1357" t="str">
            <v>322.SG</v>
          </cell>
          <cell r="S1357">
            <v>0</v>
          </cell>
        </row>
        <row r="1358">
          <cell r="R1358" t="str">
            <v>322.SG1</v>
          </cell>
          <cell r="S1358">
            <v>0</v>
          </cell>
        </row>
        <row r="1359">
          <cell r="R1359" t="str">
            <v>322.NA1</v>
          </cell>
          <cell r="S1359">
            <v>0</v>
          </cell>
        </row>
        <row r="1360">
          <cell r="R1360" t="str">
            <v>322.NA2</v>
          </cell>
          <cell r="S1360">
            <v>0</v>
          </cell>
        </row>
        <row r="1361">
          <cell r="R1361" t="str">
            <v>323.NA</v>
          </cell>
          <cell r="S1361">
            <v>0</v>
          </cell>
        </row>
        <row r="1362">
          <cell r="R1362" t="str">
            <v>323.SG</v>
          </cell>
          <cell r="S1362">
            <v>0</v>
          </cell>
        </row>
        <row r="1363">
          <cell r="R1363" t="str">
            <v>323.SG1</v>
          </cell>
          <cell r="S1363">
            <v>0</v>
          </cell>
        </row>
        <row r="1364">
          <cell r="R1364" t="str">
            <v>323.NA1</v>
          </cell>
          <cell r="S1364">
            <v>0</v>
          </cell>
        </row>
        <row r="1365">
          <cell r="R1365" t="str">
            <v>323.NA2</v>
          </cell>
          <cell r="S1365">
            <v>0</v>
          </cell>
        </row>
        <row r="1366">
          <cell r="R1366" t="str">
            <v>324.NA</v>
          </cell>
          <cell r="S1366">
            <v>0</v>
          </cell>
        </row>
        <row r="1367">
          <cell r="R1367" t="str">
            <v>324.SG</v>
          </cell>
          <cell r="S1367">
            <v>0</v>
          </cell>
        </row>
        <row r="1368">
          <cell r="R1368" t="str">
            <v>324.SG1</v>
          </cell>
          <cell r="S1368">
            <v>0</v>
          </cell>
        </row>
        <row r="1369">
          <cell r="R1369" t="str">
            <v>324.NA1</v>
          </cell>
          <cell r="S1369">
            <v>0</v>
          </cell>
        </row>
        <row r="1370">
          <cell r="R1370" t="str">
            <v>324.NA2</v>
          </cell>
          <cell r="S1370">
            <v>0</v>
          </cell>
        </row>
        <row r="1371">
          <cell r="R1371" t="str">
            <v>325.NA</v>
          </cell>
          <cell r="S1371">
            <v>0</v>
          </cell>
        </row>
        <row r="1372">
          <cell r="R1372" t="str">
            <v>325.SG</v>
          </cell>
          <cell r="S1372">
            <v>0</v>
          </cell>
        </row>
        <row r="1373">
          <cell r="R1373" t="str">
            <v>325.SG1</v>
          </cell>
          <cell r="S1373">
            <v>0</v>
          </cell>
        </row>
        <row r="1374">
          <cell r="R1374" t="str">
            <v>325.NA1</v>
          </cell>
          <cell r="S1374">
            <v>0</v>
          </cell>
        </row>
        <row r="1375">
          <cell r="R1375" t="str">
            <v>325.NA2</v>
          </cell>
          <cell r="S1375">
            <v>0</v>
          </cell>
        </row>
        <row r="1376">
          <cell r="R1376" t="str">
            <v>325.NA3</v>
          </cell>
          <cell r="S1376">
            <v>0</v>
          </cell>
        </row>
        <row r="1377">
          <cell r="R1377" t="str">
            <v>NP.NA</v>
          </cell>
          <cell r="S1377">
            <v>0</v>
          </cell>
        </row>
        <row r="1378">
          <cell r="R1378" t="str">
            <v>NP.SG</v>
          </cell>
          <cell r="S1378">
            <v>0</v>
          </cell>
        </row>
        <row r="1379">
          <cell r="R1379" t="str">
            <v>NP.NA1</v>
          </cell>
          <cell r="S1379">
            <v>0</v>
          </cell>
        </row>
        <row r="1380">
          <cell r="R1380" t="str">
            <v>NP.NA2</v>
          </cell>
          <cell r="S1380">
            <v>0</v>
          </cell>
        </row>
        <row r="1381">
          <cell r="R1381" t="str">
            <v>NP.NA3</v>
          </cell>
          <cell r="S1381">
            <v>0</v>
          </cell>
        </row>
        <row r="1382">
          <cell r="R1382" t="str">
            <v>Total Nuclear Production Plant.NA</v>
          </cell>
          <cell r="S1382">
            <v>0</v>
          </cell>
        </row>
        <row r="1383">
          <cell r="R1383" t="str">
            <v>Total Nuclear Production Plant.NA1</v>
          </cell>
          <cell r="S1383">
            <v>0</v>
          </cell>
        </row>
        <row r="1384">
          <cell r="R1384" t="str">
            <v>Total Nuclear Production Plant.NA2</v>
          </cell>
          <cell r="S1384">
            <v>0</v>
          </cell>
        </row>
        <row r="1385">
          <cell r="R1385" t="str">
            <v>Total Nuclear Production Plant.NA3</v>
          </cell>
          <cell r="S1385">
            <v>0</v>
          </cell>
        </row>
        <row r="1386">
          <cell r="R1386" t="str">
            <v>Summary of Nuclear Production Plant by Factor.NA</v>
          </cell>
          <cell r="S1386">
            <v>0</v>
          </cell>
        </row>
        <row r="1387">
          <cell r="R1387" t="str">
            <v>Summary of Nuclear Production Plant by Factor.NA1</v>
          </cell>
          <cell r="S1387">
            <v>0</v>
          </cell>
        </row>
        <row r="1388">
          <cell r="R1388" t="str">
            <v>Summary of Nuclear Production Plant by Factor.NA2</v>
          </cell>
          <cell r="S1388">
            <v>0</v>
          </cell>
        </row>
        <row r="1389">
          <cell r="R1389" t="str">
            <v>Summary of Nuclear Production Plant by Factor.NA3</v>
          </cell>
          <cell r="S1389">
            <v>0</v>
          </cell>
        </row>
        <row r="1390">
          <cell r="R1390" t="str">
            <v>Summary of Nuclear Production Plant by Factor.NA4</v>
          </cell>
          <cell r="S1390">
            <v>0</v>
          </cell>
        </row>
        <row r="1391">
          <cell r="R1391" t="str">
            <v>Total Nuclear Plant by Factor.NA</v>
          </cell>
          <cell r="S1391">
            <v>0</v>
          </cell>
        </row>
        <row r="1392">
          <cell r="R1392" t="str">
            <v>Total Nuclear Plant by Factor.NA1</v>
          </cell>
          <cell r="S1392">
            <v>0</v>
          </cell>
        </row>
        <row r="1393">
          <cell r="R1393" t="str">
            <v>330.NA</v>
          </cell>
          <cell r="S1393">
            <v>0</v>
          </cell>
        </row>
        <row r="1394">
          <cell r="R1394" t="str">
            <v>330.SG</v>
          </cell>
          <cell r="S1394">
            <v>4545985.072125324</v>
          </cell>
        </row>
        <row r="1395">
          <cell r="R1395" t="str">
            <v>330.SG1</v>
          </cell>
          <cell r="S1395">
            <v>2317929.8339542882</v>
          </cell>
        </row>
        <row r="1396">
          <cell r="R1396" t="str">
            <v>330.SG2</v>
          </cell>
          <cell r="S1396">
            <v>8553355.3943662737</v>
          </cell>
        </row>
        <row r="1397">
          <cell r="R1397" t="str">
            <v>330.SG3</v>
          </cell>
          <cell r="S1397">
            <v>562666.82259059662</v>
          </cell>
        </row>
        <row r="1398">
          <cell r="R1398" t="str">
            <v>330.NA1</v>
          </cell>
          <cell r="S1398">
            <v>15979937.123036483</v>
          </cell>
        </row>
        <row r="1399">
          <cell r="R1399" t="str">
            <v>330.NA2</v>
          </cell>
          <cell r="S1399">
            <v>0</v>
          </cell>
        </row>
        <row r="1400">
          <cell r="R1400" t="str">
            <v>331.NA</v>
          </cell>
          <cell r="S1400">
            <v>0</v>
          </cell>
        </row>
        <row r="1401">
          <cell r="R1401" t="str">
            <v>331.SG</v>
          </cell>
          <cell r="S1401">
            <v>8684220.4329053592</v>
          </cell>
        </row>
        <row r="1402">
          <cell r="R1402" t="str">
            <v>331.SG1</v>
          </cell>
          <cell r="S1402">
            <v>2160757.8363766903</v>
          </cell>
        </row>
        <row r="1403">
          <cell r="R1403" t="str">
            <v>331.SG2</v>
          </cell>
          <cell r="S1403">
            <v>106028046.27118661</v>
          </cell>
        </row>
        <row r="1404">
          <cell r="R1404" t="str">
            <v>331.SG3</v>
          </cell>
          <cell r="S1404">
            <v>5288251.3133837031</v>
          </cell>
        </row>
        <row r="1405">
          <cell r="R1405" t="str">
            <v>331.NA1</v>
          </cell>
          <cell r="S1405">
            <v>122161275.85385236</v>
          </cell>
        </row>
        <row r="1406">
          <cell r="R1406" t="str">
            <v>331.NA2</v>
          </cell>
          <cell r="S1406">
            <v>0</v>
          </cell>
        </row>
        <row r="1407">
          <cell r="R1407" t="str">
            <v>332.NA</v>
          </cell>
          <cell r="S1407">
            <v>0</v>
          </cell>
        </row>
        <row r="1408">
          <cell r="R1408" t="str">
            <v>332.SG</v>
          </cell>
          <cell r="S1408">
            <v>50829549.901018038</v>
          </cell>
        </row>
        <row r="1409">
          <cell r="R1409" t="str">
            <v>332.SG1</v>
          </cell>
          <cell r="S1409">
            <v>8067013.4609891186</v>
          </cell>
        </row>
        <row r="1410">
          <cell r="R1410" t="str">
            <v>332.SG2</v>
          </cell>
          <cell r="S1410">
            <v>147773429.50962245</v>
          </cell>
        </row>
        <row r="1411">
          <cell r="R1411" t="str">
            <v>332.SG3</v>
          </cell>
          <cell r="S1411">
            <v>37507521.180436112</v>
          </cell>
        </row>
        <row r="1412">
          <cell r="R1412" t="str">
            <v>332.NA1</v>
          </cell>
          <cell r="S1412">
            <v>244177514.0520657</v>
          </cell>
        </row>
        <row r="1413">
          <cell r="R1413" t="str">
            <v>332.NA2</v>
          </cell>
          <cell r="S1413">
            <v>0</v>
          </cell>
        </row>
        <row r="1414">
          <cell r="R1414" t="str">
            <v>333.NA</v>
          </cell>
          <cell r="S1414">
            <v>0</v>
          </cell>
        </row>
        <row r="1415">
          <cell r="R1415" t="str">
            <v>333.SG</v>
          </cell>
          <cell r="S1415">
            <v>12709717.575800639</v>
          </cell>
        </row>
        <row r="1416">
          <cell r="R1416" t="str">
            <v>333.SG1</v>
          </cell>
          <cell r="S1416">
            <v>3308691.926532343</v>
          </cell>
        </row>
        <row r="1417">
          <cell r="R1417" t="str">
            <v>333.SG2</v>
          </cell>
          <cell r="S1417">
            <v>27949066.413517524</v>
          </cell>
        </row>
        <row r="1418">
          <cell r="R1418" t="str">
            <v>333.SG3</v>
          </cell>
          <cell r="S1418">
            <v>17392259.735870026</v>
          </cell>
        </row>
        <row r="1419">
          <cell r="R1419" t="str">
            <v>333.NA1</v>
          </cell>
          <cell r="S1419">
            <v>61359735.651720531</v>
          </cell>
        </row>
        <row r="1420">
          <cell r="R1420" t="str">
            <v>333.NA2</v>
          </cell>
          <cell r="S1420">
            <v>0</v>
          </cell>
        </row>
        <row r="1421">
          <cell r="R1421" t="str">
            <v>334.NA</v>
          </cell>
          <cell r="S1421">
            <v>0</v>
          </cell>
        </row>
        <row r="1422">
          <cell r="R1422" t="str">
            <v>334.SG</v>
          </cell>
          <cell r="S1422">
            <v>1620861.7686760731</v>
          </cell>
        </row>
        <row r="1423">
          <cell r="R1423" t="str">
            <v>334.SG1</v>
          </cell>
          <cell r="S1423">
            <v>1484766.48456435</v>
          </cell>
        </row>
        <row r="1424">
          <cell r="R1424" t="str">
            <v>334.SG2</v>
          </cell>
          <cell r="S1424">
            <v>29503091.539798677</v>
          </cell>
        </row>
        <row r="1425">
          <cell r="R1425" t="str">
            <v>334.SG3</v>
          </cell>
          <cell r="S1425">
            <v>4735566.7264261739</v>
          </cell>
        </row>
        <row r="1426">
          <cell r="R1426" t="str">
            <v>334.NA1</v>
          </cell>
          <cell r="S1426">
            <v>37344286.519465275</v>
          </cell>
        </row>
        <row r="1427">
          <cell r="R1427" t="str">
            <v>334.NA2</v>
          </cell>
          <cell r="S1427">
            <v>0</v>
          </cell>
        </row>
        <row r="1428">
          <cell r="R1428" t="str">
            <v>334.NA3</v>
          </cell>
          <cell r="S1428">
            <v>0</v>
          </cell>
        </row>
        <row r="1429">
          <cell r="R1429" t="str">
            <v>334.NA4</v>
          </cell>
          <cell r="S1429">
            <v>0</v>
          </cell>
        </row>
        <row r="1430">
          <cell r="R1430" t="str">
            <v>335.NA</v>
          </cell>
          <cell r="S1430">
            <v>0</v>
          </cell>
        </row>
        <row r="1431">
          <cell r="R1431" t="str">
            <v>335.SG</v>
          </cell>
          <cell r="S1431">
            <v>497537.97523771611</v>
          </cell>
        </row>
        <row r="1432">
          <cell r="R1432" t="str">
            <v>335.SG1</v>
          </cell>
          <cell r="S1432">
            <v>68438.882023830301</v>
          </cell>
        </row>
        <row r="1433">
          <cell r="R1433" t="str">
            <v>335.SG2</v>
          </cell>
          <cell r="S1433">
            <v>513152.3065772772</v>
          </cell>
        </row>
        <row r="1434">
          <cell r="R1434" t="str">
            <v>335.SG3</v>
          </cell>
          <cell r="S1434">
            <v>8042.3070833476786</v>
          </cell>
        </row>
        <row r="1435">
          <cell r="R1435" t="str">
            <v>335.NA1</v>
          </cell>
          <cell r="S1435">
            <v>1087171.4709221711</v>
          </cell>
        </row>
        <row r="1436">
          <cell r="R1436" t="str">
            <v>335.NA2</v>
          </cell>
          <cell r="S1436">
            <v>0</v>
          </cell>
        </row>
        <row r="1437">
          <cell r="R1437" t="str">
            <v>336.NA</v>
          </cell>
          <cell r="S1437">
            <v>0</v>
          </cell>
        </row>
        <row r="1438">
          <cell r="R1438" t="str">
            <v>336.SG</v>
          </cell>
          <cell r="S1438">
            <v>1906536.3293476175</v>
          </cell>
        </row>
        <row r="1439">
          <cell r="R1439" t="str">
            <v>336.SG1</v>
          </cell>
          <cell r="S1439">
            <v>339160.10438457673</v>
          </cell>
        </row>
        <row r="1440">
          <cell r="R1440" t="str">
            <v>336.SG2</v>
          </cell>
          <cell r="S1440">
            <v>8071171.6541812746</v>
          </cell>
        </row>
        <row r="1441">
          <cell r="R1441" t="str">
            <v>336.SG3</v>
          </cell>
          <cell r="S1441">
            <v>629807.81327908242</v>
          </cell>
        </row>
        <row r="1442">
          <cell r="R1442" t="str">
            <v>336.NA1</v>
          </cell>
          <cell r="S1442">
            <v>10946675.901192551</v>
          </cell>
        </row>
        <row r="1443">
          <cell r="R1443" t="str">
            <v>336.NA2</v>
          </cell>
          <cell r="S1443">
            <v>0</v>
          </cell>
        </row>
        <row r="1444">
          <cell r="R1444" t="str">
            <v>337.NA</v>
          </cell>
          <cell r="S1444">
            <v>0</v>
          </cell>
        </row>
        <row r="1445">
          <cell r="R1445" t="str">
            <v>337.S</v>
          </cell>
          <cell r="S1445">
            <v>0</v>
          </cell>
        </row>
        <row r="1446">
          <cell r="R1446" t="str">
            <v>337.NA1</v>
          </cell>
          <cell r="S1446">
            <v>0</v>
          </cell>
        </row>
        <row r="1447">
          <cell r="R1447" t="str">
            <v>337.NA2</v>
          </cell>
          <cell r="S1447">
            <v>0</v>
          </cell>
        </row>
        <row r="1448">
          <cell r="R1448" t="str">
            <v>HP.NA</v>
          </cell>
          <cell r="S1448">
            <v>0</v>
          </cell>
        </row>
        <row r="1449">
          <cell r="R1449" t="str">
            <v>HP.S</v>
          </cell>
          <cell r="S1449">
            <v>0</v>
          </cell>
        </row>
        <row r="1450">
          <cell r="R1450" t="str">
            <v>HP.SG</v>
          </cell>
          <cell r="S1450">
            <v>0</v>
          </cell>
        </row>
        <row r="1451">
          <cell r="R1451" t="str">
            <v>HP.SG1</v>
          </cell>
          <cell r="S1451">
            <v>0</v>
          </cell>
        </row>
        <row r="1452">
          <cell r="R1452" t="str">
            <v>HP.SG2</v>
          </cell>
          <cell r="S1452">
            <v>0</v>
          </cell>
        </row>
        <row r="1453">
          <cell r="R1453" t="str">
            <v>HP.NA1</v>
          </cell>
          <cell r="S1453">
            <v>0</v>
          </cell>
        </row>
        <row r="1454">
          <cell r="R1454" t="str">
            <v>HP.NA2</v>
          </cell>
          <cell r="S1454">
            <v>0</v>
          </cell>
        </row>
        <row r="1455">
          <cell r="R1455" t="str">
            <v>Total Hydraulic Production Plant.NA</v>
          </cell>
          <cell r="S1455">
            <v>493056596.57225519</v>
          </cell>
        </row>
        <row r="1456">
          <cell r="R1456" t="str">
            <v>Total Hydraulic Production Plant.NA1</v>
          </cell>
          <cell r="S1456">
            <v>0</v>
          </cell>
        </row>
        <row r="1457">
          <cell r="R1457" t="str">
            <v>Summary of Hydraulic Plant by Factor.NA</v>
          </cell>
          <cell r="S1457">
            <v>0</v>
          </cell>
        </row>
        <row r="1458">
          <cell r="R1458" t="str">
            <v>Summary of Hydraulic Plant by Factor.NA1</v>
          </cell>
          <cell r="S1458">
            <v>0</v>
          </cell>
        </row>
        <row r="1459">
          <cell r="R1459" t="str">
            <v>Summary of Hydraulic Plant by Factor.NA2</v>
          </cell>
          <cell r="S1459">
            <v>493056596.57225519</v>
          </cell>
        </row>
        <row r="1460">
          <cell r="R1460" t="str">
            <v>Summary of Hydraulic Plant by Factor.NA3</v>
          </cell>
          <cell r="S1460">
            <v>0</v>
          </cell>
        </row>
        <row r="1461">
          <cell r="R1461" t="str">
            <v>Summary of Hydraulic Plant by Factor.NA4</v>
          </cell>
          <cell r="S1461">
            <v>0</v>
          </cell>
        </row>
        <row r="1462">
          <cell r="R1462" t="str">
            <v>Total Hydraulic Plant by Factor.NA</v>
          </cell>
          <cell r="S1462">
            <v>493056596.57225519</v>
          </cell>
        </row>
        <row r="1463">
          <cell r="R1463" t="str">
            <v>Total Hydraulic Plant by Factor.NA1</v>
          </cell>
          <cell r="S1463">
            <v>0</v>
          </cell>
        </row>
        <row r="1464">
          <cell r="R1464" t="str">
            <v>340.NA</v>
          </cell>
          <cell r="S1464">
            <v>0</v>
          </cell>
        </row>
        <row r="1465">
          <cell r="R1465" t="str">
            <v>340.S</v>
          </cell>
          <cell r="S1465">
            <v>0</v>
          </cell>
        </row>
        <row r="1466">
          <cell r="R1466" t="str">
            <v>340.SG</v>
          </cell>
          <cell r="S1466">
            <v>17168925.512562983</v>
          </cell>
        </row>
        <row r="1467">
          <cell r="R1467" t="str">
            <v>340.SG1</v>
          </cell>
          <cell r="S1467">
            <v>3431742.4648494823</v>
          </cell>
        </row>
        <row r="1468">
          <cell r="R1468" t="str">
            <v>340.SG2</v>
          </cell>
          <cell r="S1468">
            <v>103451.07097241991</v>
          </cell>
        </row>
        <row r="1469">
          <cell r="R1469" t="str">
            <v>340.NA1</v>
          </cell>
          <cell r="S1469">
            <v>20704119.048384886</v>
          </cell>
        </row>
        <row r="1470">
          <cell r="R1470" t="str">
            <v>340.NA2</v>
          </cell>
          <cell r="S1470">
            <v>0</v>
          </cell>
        </row>
        <row r="1471">
          <cell r="R1471" t="str">
            <v>341.NA</v>
          </cell>
          <cell r="S1471">
            <v>0</v>
          </cell>
        </row>
        <row r="1472">
          <cell r="R1472" t="str">
            <v>341.SG</v>
          </cell>
          <cell r="S1472">
            <v>74905367.99193196</v>
          </cell>
        </row>
        <row r="1473">
          <cell r="R1473" t="str">
            <v>341.SG1</v>
          </cell>
          <cell r="S1473">
            <v>0</v>
          </cell>
        </row>
        <row r="1474">
          <cell r="R1474" t="str">
            <v>341.SG2</v>
          </cell>
          <cell r="S1474">
            <v>23820929.792730276</v>
          </cell>
        </row>
        <row r="1475">
          <cell r="R1475" t="str">
            <v>341.SG3</v>
          </cell>
          <cell r="S1475">
            <v>1880013.1259902003</v>
          </cell>
        </row>
        <row r="1476">
          <cell r="R1476" t="str">
            <v>341.NA1</v>
          </cell>
          <cell r="S1476">
            <v>100606310.91065243</v>
          </cell>
        </row>
        <row r="1477">
          <cell r="R1477" t="str">
            <v>341.NA2</v>
          </cell>
          <cell r="S1477">
            <v>0</v>
          </cell>
        </row>
        <row r="1478">
          <cell r="R1478" t="str">
            <v>342.NA</v>
          </cell>
          <cell r="S1478">
            <v>0</v>
          </cell>
        </row>
        <row r="1479">
          <cell r="R1479" t="str">
            <v>342.SG</v>
          </cell>
          <cell r="S1479">
            <v>5908375.1781602828</v>
          </cell>
        </row>
        <row r="1480">
          <cell r="R1480" t="str">
            <v>342.SG1</v>
          </cell>
          <cell r="S1480">
            <v>0</v>
          </cell>
        </row>
        <row r="1481">
          <cell r="R1481" t="str">
            <v>342.SG2</v>
          </cell>
          <cell r="S1481">
            <v>1214038.0395066212</v>
          </cell>
        </row>
        <row r="1482">
          <cell r="R1482" t="str">
            <v>342.NA1</v>
          </cell>
          <cell r="S1482">
            <v>7122413.2176669035</v>
          </cell>
        </row>
        <row r="1483">
          <cell r="R1483" t="str">
            <v>342.NA2</v>
          </cell>
          <cell r="S1483">
            <v>0</v>
          </cell>
        </row>
        <row r="1484">
          <cell r="R1484" t="str">
            <v>343.NA</v>
          </cell>
          <cell r="S1484">
            <v>0</v>
          </cell>
        </row>
        <row r="1485">
          <cell r="R1485" t="str">
            <v>343.S</v>
          </cell>
          <cell r="S1485">
            <v>0</v>
          </cell>
        </row>
        <row r="1486">
          <cell r="R1486" t="str">
            <v>343.SG</v>
          </cell>
          <cell r="S1486">
            <v>0</v>
          </cell>
        </row>
        <row r="1487">
          <cell r="R1487" t="str">
            <v>343.SG1</v>
          </cell>
          <cell r="S1487">
            <v>1445151306.0373557</v>
          </cell>
        </row>
        <row r="1488">
          <cell r="R1488" t="str">
            <v>343.SG2</v>
          </cell>
          <cell r="S1488">
            <v>491373549.01310259</v>
          </cell>
        </row>
        <row r="1489">
          <cell r="R1489" t="str">
            <v>343.SG3</v>
          </cell>
          <cell r="S1489">
            <v>25635183.272968963</v>
          </cell>
        </row>
        <row r="1490">
          <cell r="R1490" t="str">
            <v>343.NA1</v>
          </cell>
          <cell r="S1490">
            <v>1962160038.3234272</v>
          </cell>
        </row>
        <row r="1491">
          <cell r="R1491" t="str">
            <v>343.NA2</v>
          </cell>
          <cell r="S1491">
            <v>0</v>
          </cell>
        </row>
        <row r="1492">
          <cell r="R1492" t="str">
            <v>344.NA</v>
          </cell>
          <cell r="S1492">
            <v>0</v>
          </cell>
        </row>
        <row r="1493">
          <cell r="R1493" t="str">
            <v>344.S</v>
          </cell>
          <cell r="S1493">
            <v>0</v>
          </cell>
        </row>
        <row r="1494">
          <cell r="R1494" t="str">
            <v>344.SG</v>
          </cell>
          <cell r="S1494">
            <v>27407697.662236307</v>
          </cell>
        </row>
        <row r="1495">
          <cell r="R1495" t="str">
            <v>344.SG1</v>
          </cell>
          <cell r="S1495">
            <v>176329547.00098267</v>
          </cell>
        </row>
        <row r="1496">
          <cell r="R1496" t="str">
            <v>344.SG2</v>
          </cell>
          <cell r="S1496">
            <v>7823970.6911984831</v>
          </cell>
        </row>
        <row r="1497">
          <cell r="R1497" t="str">
            <v>344.NA1</v>
          </cell>
          <cell r="S1497">
            <v>211561215.35441744</v>
          </cell>
        </row>
        <row r="1498">
          <cell r="R1498" t="str">
            <v>344.NA2</v>
          </cell>
          <cell r="S1498">
            <v>0</v>
          </cell>
        </row>
        <row r="1499">
          <cell r="R1499" t="str">
            <v>345.NA</v>
          </cell>
          <cell r="S1499">
            <v>0</v>
          </cell>
        </row>
        <row r="1500">
          <cell r="R1500" t="str">
            <v>345.SG</v>
          </cell>
          <cell r="S1500">
            <v>92949763.398540497</v>
          </cell>
        </row>
        <row r="1501">
          <cell r="R1501" t="str">
            <v>345.SG1</v>
          </cell>
          <cell r="S1501">
            <v>49886842.126956537</v>
          </cell>
        </row>
        <row r="1502">
          <cell r="R1502" t="str">
            <v>345.SG2</v>
          </cell>
          <cell r="S1502">
            <v>0</v>
          </cell>
        </row>
        <row r="1503">
          <cell r="R1503" t="str">
            <v>345.SG3</v>
          </cell>
          <cell r="S1503">
            <v>1276584.2008902372</v>
          </cell>
        </row>
        <row r="1504">
          <cell r="R1504" t="str">
            <v>345.NA1</v>
          </cell>
          <cell r="S1504">
            <v>144113189.72638726</v>
          </cell>
        </row>
        <row r="1505">
          <cell r="R1505" t="str">
            <v>345.NA2</v>
          </cell>
          <cell r="S1505">
            <v>0</v>
          </cell>
        </row>
        <row r="1506">
          <cell r="R1506" t="str">
            <v>345.NA3</v>
          </cell>
          <cell r="S1506">
            <v>0</v>
          </cell>
        </row>
        <row r="1507">
          <cell r="R1507" t="str">
            <v>345.NA4</v>
          </cell>
          <cell r="S1507">
            <v>0</v>
          </cell>
        </row>
        <row r="1508">
          <cell r="R1508" t="str">
            <v>346.NA</v>
          </cell>
          <cell r="S1508">
            <v>0</v>
          </cell>
        </row>
        <row r="1509">
          <cell r="R1509" t="str">
            <v>346.SG</v>
          </cell>
          <cell r="S1509">
            <v>5537821.0157016013</v>
          </cell>
        </row>
        <row r="1510">
          <cell r="R1510" t="str">
            <v>346.SG1</v>
          </cell>
          <cell r="S1510">
            <v>1468481.8584480293</v>
          </cell>
        </row>
        <row r="1511">
          <cell r="R1511" t="str">
            <v>346.SG2</v>
          </cell>
          <cell r="S1511">
            <v>0</v>
          </cell>
        </row>
        <row r="1512">
          <cell r="R1512" t="str">
            <v>346.NA1</v>
          </cell>
          <cell r="S1512">
            <v>7006302.8741496308</v>
          </cell>
        </row>
        <row r="1513">
          <cell r="R1513" t="str">
            <v>346.NA2</v>
          </cell>
          <cell r="S1513">
            <v>0</v>
          </cell>
        </row>
        <row r="1514">
          <cell r="R1514" t="str">
            <v>347.NA</v>
          </cell>
          <cell r="S1514">
            <v>0</v>
          </cell>
        </row>
        <row r="1515">
          <cell r="R1515" t="str">
            <v>347.S</v>
          </cell>
          <cell r="S1515">
            <v>0</v>
          </cell>
        </row>
        <row r="1516">
          <cell r="R1516" t="str">
            <v>347.NA1</v>
          </cell>
          <cell r="S1516">
            <v>0</v>
          </cell>
        </row>
        <row r="1517">
          <cell r="R1517" t="str">
            <v>347.NA2</v>
          </cell>
          <cell r="S1517">
            <v>0</v>
          </cell>
        </row>
        <row r="1518">
          <cell r="R1518" t="str">
            <v>OP.NA</v>
          </cell>
          <cell r="S1518">
            <v>0</v>
          </cell>
        </row>
        <row r="1519">
          <cell r="R1519" t="str">
            <v>OP.S</v>
          </cell>
          <cell r="S1519">
            <v>0</v>
          </cell>
        </row>
        <row r="1520">
          <cell r="R1520" t="str">
            <v>OP.SG</v>
          </cell>
          <cell r="S1520">
            <v>-209538.05101071263</v>
          </cell>
        </row>
        <row r="1521">
          <cell r="R1521" t="str">
            <v>OP.NA1</v>
          </cell>
          <cell r="S1521">
            <v>-209538.05101071263</v>
          </cell>
        </row>
        <row r="1522">
          <cell r="R1522" t="str">
            <v>OP.NA2</v>
          </cell>
          <cell r="S1522">
            <v>0</v>
          </cell>
        </row>
        <row r="1523">
          <cell r="R1523" t="str">
            <v>Total Other Production Plant.NA</v>
          </cell>
          <cell r="S1523">
            <v>2453064051.4040747</v>
          </cell>
        </row>
        <row r="1524">
          <cell r="R1524" t="str">
            <v>Total Other Production Plant.NA1</v>
          </cell>
          <cell r="S1524">
            <v>0</v>
          </cell>
        </row>
        <row r="1525">
          <cell r="R1525" t="str">
            <v>Summary of Other Production Plant by Factor.NA</v>
          </cell>
          <cell r="S1525">
            <v>0</v>
          </cell>
        </row>
        <row r="1526">
          <cell r="R1526" t="str">
            <v>Summary of Other Production Plant by Factor.NA1</v>
          </cell>
          <cell r="S1526">
            <v>0</v>
          </cell>
        </row>
        <row r="1527">
          <cell r="R1527" t="str">
            <v>Summary of Other Production Plant by Factor.NA2</v>
          </cell>
          <cell r="S1527">
            <v>0</v>
          </cell>
        </row>
        <row r="1528">
          <cell r="R1528" t="str">
            <v>Summary of Other Production Plant by Factor.NA3</v>
          </cell>
          <cell r="S1528">
            <v>2453064051.4040747</v>
          </cell>
        </row>
        <row r="1529">
          <cell r="R1529" t="str">
            <v>Summary of Other Production Plant by Factor.NA4</v>
          </cell>
          <cell r="S1529">
            <v>0</v>
          </cell>
        </row>
        <row r="1530">
          <cell r="R1530" t="str">
            <v>Total of Other Production Plant by Factor.NA</v>
          </cell>
          <cell r="S1530">
            <v>2453064051.4040747</v>
          </cell>
        </row>
        <row r="1531">
          <cell r="R1531" t="str">
            <v>Total of Other Production Plant by Factor.NA1</v>
          </cell>
          <cell r="S1531">
            <v>0</v>
          </cell>
        </row>
        <row r="1532">
          <cell r="R1532" t="str">
            <v>Experimental Plant.NA</v>
          </cell>
          <cell r="S1532">
            <v>0</v>
          </cell>
        </row>
        <row r="1533">
          <cell r="R1533" t="str">
            <v>103.NA</v>
          </cell>
          <cell r="S1533">
            <v>0</v>
          </cell>
        </row>
        <row r="1534">
          <cell r="R1534" t="str">
            <v>103.SG</v>
          </cell>
          <cell r="S1534">
            <v>0</v>
          </cell>
        </row>
        <row r="1535">
          <cell r="R1535" t="str">
            <v>Total Experimental Production Plant.NA</v>
          </cell>
          <cell r="S1535">
            <v>0</v>
          </cell>
        </row>
        <row r="1536">
          <cell r="R1536" t="str">
            <v>Total Experimental Production Plant.NA1</v>
          </cell>
          <cell r="S1536">
            <v>0</v>
          </cell>
        </row>
        <row r="1537">
          <cell r="R1537" t="str">
            <v>Total Production Plant.NA</v>
          </cell>
          <cell r="S1537">
            <v>5964742812.5816298</v>
          </cell>
        </row>
        <row r="1538">
          <cell r="R1538" t="str">
            <v>350.NA</v>
          </cell>
          <cell r="S1538">
            <v>0</v>
          </cell>
        </row>
        <row r="1539">
          <cell r="R1539" t="str">
            <v>350.SG</v>
          </cell>
          <cell r="S1539">
            <v>9266537.5084758755</v>
          </cell>
        </row>
        <row r="1540">
          <cell r="R1540" t="str">
            <v>350.SG1</v>
          </cell>
          <cell r="S1540">
            <v>21202871.946506601</v>
          </cell>
        </row>
        <row r="1541">
          <cell r="R1541" t="str">
            <v>350.SG2</v>
          </cell>
          <cell r="S1541">
            <v>90379038.982724443</v>
          </cell>
        </row>
        <row r="1542">
          <cell r="R1542" t="str">
            <v>350.NA1</v>
          </cell>
          <cell r="S1542">
            <v>120848448.43770692</v>
          </cell>
        </row>
        <row r="1543">
          <cell r="R1543" t="str">
            <v>350.NA2</v>
          </cell>
          <cell r="S1543">
            <v>0</v>
          </cell>
        </row>
        <row r="1544">
          <cell r="R1544" t="str">
            <v>352.NA</v>
          </cell>
          <cell r="S1544">
            <v>0</v>
          </cell>
        </row>
        <row r="1545">
          <cell r="R1545" t="str">
            <v>352.S</v>
          </cell>
          <cell r="S1545">
            <v>0</v>
          </cell>
        </row>
        <row r="1546">
          <cell r="R1546" t="str">
            <v>352.SG</v>
          </cell>
          <cell r="S1546">
            <v>3089763.386947243</v>
          </cell>
        </row>
        <row r="1547">
          <cell r="R1547" t="str">
            <v>352.SG1</v>
          </cell>
          <cell r="S1547">
            <v>7788653.4185212199</v>
          </cell>
        </row>
        <row r="1548">
          <cell r="R1548" t="str">
            <v>352.SG2</v>
          </cell>
          <cell r="S1548">
            <v>111431487.02390018</v>
          </cell>
        </row>
        <row r="1549">
          <cell r="R1549" t="str">
            <v>352.NA1</v>
          </cell>
          <cell r="S1549">
            <v>122309903.82936865</v>
          </cell>
        </row>
        <row r="1550">
          <cell r="R1550" t="str">
            <v>352.NA2</v>
          </cell>
          <cell r="S1550">
            <v>0</v>
          </cell>
        </row>
        <row r="1551">
          <cell r="R1551" t="str">
            <v>353.NA</v>
          </cell>
          <cell r="S1551">
            <v>0</v>
          </cell>
        </row>
        <row r="1552">
          <cell r="R1552" t="str">
            <v>353.SG</v>
          </cell>
          <cell r="S1552">
            <v>46718786.313680939</v>
          </cell>
        </row>
        <row r="1553">
          <cell r="R1553" t="str">
            <v>353.SG1</v>
          </cell>
          <cell r="S1553">
            <v>67790711.835753053</v>
          </cell>
        </row>
        <row r="1554">
          <cell r="R1554" t="str">
            <v>353.SG2</v>
          </cell>
          <cell r="S1554">
            <v>853325456.46967804</v>
          </cell>
        </row>
        <row r="1555">
          <cell r="R1555" t="str">
            <v>353.NA1</v>
          </cell>
          <cell r="S1555">
            <v>967834954.61911201</v>
          </cell>
        </row>
        <row r="1556">
          <cell r="R1556" t="str">
            <v>353.NA2</v>
          </cell>
          <cell r="S1556">
            <v>0</v>
          </cell>
        </row>
        <row r="1557">
          <cell r="R1557" t="str">
            <v>354.NA</v>
          </cell>
          <cell r="S1557">
            <v>0</v>
          </cell>
        </row>
        <row r="1558">
          <cell r="R1558" t="str">
            <v>354.SG</v>
          </cell>
          <cell r="S1558">
            <v>56364699.08464428</v>
          </cell>
        </row>
        <row r="1559">
          <cell r="R1559" t="str">
            <v>354.SG1</v>
          </cell>
          <cell r="S1559">
            <v>57765146.184857629</v>
          </cell>
        </row>
        <row r="1560">
          <cell r="R1560" t="str">
            <v>354.SG2</v>
          </cell>
          <cell r="S1560">
            <v>459146542.44521654</v>
          </cell>
        </row>
        <row r="1561">
          <cell r="R1561" t="str">
            <v>354.NA1</v>
          </cell>
          <cell r="S1561">
            <v>573276387.71471846</v>
          </cell>
        </row>
        <row r="1562">
          <cell r="R1562" t="str">
            <v>354.NA2</v>
          </cell>
          <cell r="S1562">
            <v>0</v>
          </cell>
        </row>
        <row r="1563">
          <cell r="R1563" t="str">
            <v>355.NA</v>
          </cell>
          <cell r="S1563">
            <v>0</v>
          </cell>
        </row>
        <row r="1564">
          <cell r="R1564" t="str">
            <v>355.SG</v>
          </cell>
          <cell r="S1564">
            <v>24987689.5159044</v>
          </cell>
        </row>
        <row r="1565">
          <cell r="R1565" t="str">
            <v>355.SG1</v>
          </cell>
          <cell r="S1565">
            <v>47543473.008624785</v>
          </cell>
        </row>
        <row r="1566">
          <cell r="R1566" t="str">
            <v>355.SG2</v>
          </cell>
          <cell r="S1566">
            <v>896255450.09964073</v>
          </cell>
        </row>
        <row r="1567">
          <cell r="R1567" t="str">
            <v>355.NA1</v>
          </cell>
          <cell r="S1567">
            <v>968786612.62416995</v>
          </cell>
        </row>
        <row r="1568">
          <cell r="R1568" t="str">
            <v>355.NA2</v>
          </cell>
          <cell r="S1568">
            <v>0</v>
          </cell>
        </row>
        <row r="1569">
          <cell r="R1569" t="str">
            <v>356.NA</v>
          </cell>
          <cell r="S1569">
            <v>0</v>
          </cell>
        </row>
        <row r="1570">
          <cell r="R1570" t="str">
            <v>356.SG</v>
          </cell>
          <cell r="S1570">
            <v>69729377.258578092</v>
          </cell>
        </row>
        <row r="1571">
          <cell r="R1571" t="str">
            <v>356.SG1</v>
          </cell>
          <cell r="S1571">
            <v>69412126.599168524</v>
          </cell>
        </row>
        <row r="1572">
          <cell r="R1572" t="str">
            <v>356.SG2</v>
          </cell>
          <cell r="S1572">
            <v>417953047.57423997</v>
          </cell>
        </row>
        <row r="1573">
          <cell r="R1573" t="str">
            <v>356.NA1</v>
          </cell>
          <cell r="S1573">
            <v>557094551.43198657</v>
          </cell>
        </row>
        <row r="1574">
          <cell r="R1574" t="str">
            <v>356.NA2</v>
          </cell>
          <cell r="S1574">
            <v>0</v>
          </cell>
        </row>
        <row r="1575">
          <cell r="R1575" t="str">
            <v>357.NA</v>
          </cell>
          <cell r="S1575">
            <v>0</v>
          </cell>
        </row>
        <row r="1576">
          <cell r="R1576" t="str">
            <v>357.SG</v>
          </cell>
          <cell r="S1576">
            <v>2803.0762062571894</v>
          </cell>
        </row>
        <row r="1577">
          <cell r="R1577" t="str">
            <v>357.SG1</v>
          </cell>
          <cell r="S1577">
            <v>40323.966623465603</v>
          </cell>
        </row>
        <row r="1578">
          <cell r="R1578" t="str">
            <v>357.SG2</v>
          </cell>
          <cell r="S1578">
            <v>1585235.9618509347</v>
          </cell>
        </row>
        <row r="1579">
          <cell r="R1579" t="str">
            <v>357.NA1</v>
          </cell>
          <cell r="S1579">
            <v>1628363.0046806575</v>
          </cell>
        </row>
        <row r="1580">
          <cell r="R1580" t="str">
            <v>357.NA2</v>
          </cell>
          <cell r="S1580">
            <v>0</v>
          </cell>
        </row>
        <row r="1581">
          <cell r="R1581" t="str">
            <v>358.NA</v>
          </cell>
          <cell r="S1581">
            <v>0</v>
          </cell>
        </row>
        <row r="1582">
          <cell r="R1582" t="str">
            <v>358.SG</v>
          </cell>
          <cell r="S1582">
            <v>0</v>
          </cell>
        </row>
        <row r="1583">
          <cell r="R1583" t="str">
            <v>358.SG1</v>
          </cell>
          <cell r="S1583">
            <v>478495.73248397623</v>
          </cell>
        </row>
        <row r="1584">
          <cell r="R1584" t="str">
            <v>358.SG2</v>
          </cell>
          <cell r="S1584">
            <v>3150796.1085139713</v>
          </cell>
        </row>
        <row r="1585">
          <cell r="R1585" t="str">
            <v>358.NA1</v>
          </cell>
          <cell r="S1585">
            <v>3629291.8409979474</v>
          </cell>
        </row>
        <row r="1586">
          <cell r="R1586" t="str">
            <v>358.NA2</v>
          </cell>
          <cell r="S1586">
            <v>0</v>
          </cell>
        </row>
        <row r="1587">
          <cell r="R1587" t="str">
            <v>359.NA</v>
          </cell>
          <cell r="S1587">
            <v>0</v>
          </cell>
        </row>
        <row r="1588">
          <cell r="R1588" t="str">
            <v>359.SG</v>
          </cell>
          <cell r="S1588">
            <v>819687.26701512479</v>
          </cell>
        </row>
        <row r="1589">
          <cell r="R1589" t="str">
            <v>359.SG1</v>
          </cell>
          <cell r="S1589">
            <v>193814.79134215825</v>
          </cell>
        </row>
        <row r="1590">
          <cell r="R1590" t="str">
            <v>359.SG2</v>
          </cell>
          <cell r="S1590">
            <v>4238567.4470791966</v>
          </cell>
        </row>
        <row r="1591">
          <cell r="R1591" t="str">
            <v>359.NA1</v>
          </cell>
          <cell r="S1591">
            <v>5252069.50543648</v>
          </cell>
        </row>
        <row r="1592">
          <cell r="R1592" t="str">
            <v>359.NA2</v>
          </cell>
          <cell r="S1592">
            <v>0</v>
          </cell>
        </row>
        <row r="1593">
          <cell r="R1593" t="str">
            <v>TP.NA</v>
          </cell>
          <cell r="S1593">
            <v>0</v>
          </cell>
        </row>
        <row r="1594">
          <cell r="R1594" t="str">
            <v>TP.SG</v>
          </cell>
          <cell r="S1594">
            <v>47178116.883877411</v>
          </cell>
        </row>
        <row r="1595">
          <cell r="R1595" t="str">
            <v>TP.NA1</v>
          </cell>
          <cell r="S1595">
            <v>47178116.883877411</v>
          </cell>
        </row>
        <row r="1596">
          <cell r="R1596" t="str">
            <v>TP.NA2</v>
          </cell>
          <cell r="S1596">
            <v>0</v>
          </cell>
        </row>
        <row r="1597">
          <cell r="R1597" t="str">
            <v>TS0.NA</v>
          </cell>
          <cell r="S1597">
            <v>0</v>
          </cell>
        </row>
        <row r="1598">
          <cell r="R1598" t="str">
            <v>TS0.SG</v>
          </cell>
          <cell r="S1598">
            <v>0</v>
          </cell>
        </row>
        <row r="1599">
          <cell r="R1599" t="str">
            <v>TS0.NA1</v>
          </cell>
          <cell r="S1599">
            <v>0</v>
          </cell>
        </row>
        <row r="1600">
          <cell r="R1600" t="str">
            <v>TS0.NA2</v>
          </cell>
          <cell r="S1600">
            <v>0</v>
          </cell>
        </row>
        <row r="1601">
          <cell r="R1601" t="str">
            <v>Total Transmission Plant.NA</v>
          </cell>
          <cell r="S1601">
            <v>3367838699.8920546</v>
          </cell>
        </row>
        <row r="1602">
          <cell r="R1602" t="str">
            <v>Summary of Transmission Plant by Factor.NA</v>
          </cell>
          <cell r="S1602">
            <v>0</v>
          </cell>
        </row>
        <row r="1603">
          <cell r="R1603" t="str">
            <v>Summary of Transmission Plant by Factor.NA1</v>
          </cell>
          <cell r="S1603">
            <v>0</v>
          </cell>
        </row>
        <row r="1604">
          <cell r="R1604" t="str">
            <v>Summary of Transmission Plant by Factor.NA2</v>
          </cell>
          <cell r="S1604">
            <v>0</v>
          </cell>
        </row>
        <row r="1605">
          <cell r="R1605" t="str">
            <v>Summary of Transmission Plant by Factor.NA3</v>
          </cell>
          <cell r="S1605">
            <v>3367838699.8920546</v>
          </cell>
        </row>
        <row r="1606">
          <cell r="R1606" t="str">
            <v>Total Transmission Plant by Factor.NA</v>
          </cell>
          <cell r="S1606">
            <v>3367838699.8920546</v>
          </cell>
        </row>
        <row r="1607">
          <cell r="R1607" t="str">
            <v>360.NA</v>
          </cell>
          <cell r="S1607">
            <v>0</v>
          </cell>
        </row>
        <row r="1608">
          <cell r="R1608" t="str">
            <v>360.S1</v>
          </cell>
          <cell r="S1608">
            <v>40326103.774242423</v>
          </cell>
        </row>
        <row r="1609">
          <cell r="R1609" t="str">
            <v>360.NA1</v>
          </cell>
          <cell r="S1609">
            <v>40326103.774242423</v>
          </cell>
        </row>
        <row r="1610">
          <cell r="R1610" t="str">
            <v>360.NA2</v>
          </cell>
          <cell r="S1610">
            <v>0</v>
          </cell>
        </row>
        <row r="1611">
          <cell r="R1611" t="str">
            <v>361.NA</v>
          </cell>
          <cell r="S1611">
            <v>0</v>
          </cell>
        </row>
        <row r="1612">
          <cell r="R1612" t="str">
            <v>361.S1</v>
          </cell>
          <cell r="S1612">
            <v>63975316.55900766</v>
          </cell>
        </row>
        <row r="1613">
          <cell r="R1613" t="str">
            <v>361.NA1</v>
          </cell>
          <cell r="S1613">
            <v>63975316.55900766</v>
          </cell>
        </row>
        <row r="1614">
          <cell r="R1614" t="str">
            <v>361.NA2</v>
          </cell>
          <cell r="S1614">
            <v>0</v>
          </cell>
        </row>
        <row r="1615">
          <cell r="R1615" t="str">
            <v>362.NA</v>
          </cell>
          <cell r="S1615">
            <v>0</v>
          </cell>
        </row>
        <row r="1616">
          <cell r="R1616" t="str">
            <v>362.S1</v>
          </cell>
          <cell r="S1616">
            <v>535425752.29878765</v>
          </cell>
        </row>
        <row r="1617">
          <cell r="R1617" t="str">
            <v>362.NA1</v>
          </cell>
          <cell r="S1617">
            <v>535425752.29878765</v>
          </cell>
        </row>
        <row r="1618">
          <cell r="R1618" t="str">
            <v>362.NA2</v>
          </cell>
          <cell r="S1618">
            <v>0</v>
          </cell>
        </row>
        <row r="1619">
          <cell r="R1619" t="str">
            <v>363.NA</v>
          </cell>
          <cell r="S1619">
            <v>0</v>
          </cell>
        </row>
        <row r="1620">
          <cell r="R1620" t="str">
            <v>363.S1</v>
          </cell>
          <cell r="S1620">
            <v>0</v>
          </cell>
        </row>
        <row r="1621">
          <cell r="R1621" t="str">
            <v>363.NA1</v>
          </cell>
          <cell r="S1621">
            <v>0</v>
          </cell>
        </row>
        <row r="1622">
          <cell r="R1622" t="str">
            <v>363.NA2</v>
          </cell>
          <cell r="S1622">
            <v>0</v>
          </cell>
        </row>
        <row r="1623">
          <cell r="R1623" t="str">
            <v>364.NA</v>
          </cell>
          <cell r="S1623">
            <v>0</v>
          </cell>
        </row>
        <row r="1624">
          <cell r="R1624" t="str">
            <v>364.S1</v>
          </cell>
          <cell r="S1624">
            <v>460685096.55880857</v>
          </cell>
        </row>
        <row r="1625">
          <cell r="R1625" t="str">
            <v>364.NA1</v>
          </cell>
          <cell r="S1625">
            <v>460685096.55880857</v>
          </cell>
        </row>
        <row r="1626">
          <cell r="R1626" t="str">
            <v>364.NA2</v>
          </cell>
          <cell r="S1626">
            <v>0</v>
          </cell>
        </row>
        <row r="1627">
          <cell r="R1627" t="str">
            <v>365.NA</v>
          </cell>
          <cell r="S1627">
            <v>0</v>
          </cell>
        </row>
        <row r="1628">
          <cell r="R1628" t="str">
            <v>365.S1</v>
          </cell>
          <cell r="S1628">
            <v>284518680.06715745</v>
          </cell>
        </row>
        <row r="1629">
          <cell r="R1629" t="str">
            <v>365.NA1</v>
          </cell>
          <cell r="S1629">
            <v>284518680.06715745</v>
          </cell>
        </row>
        <row r="1630">
          <cell r="R1630" t="str">
            <v>365.NA2</v>
          </cell>
          <cell r="S1630">
            <v>0</v>
          </cell>
        </row>
        <row r="1631">
          <cell r="R1631" t="str">
            <v>366.NA</v>
          </cell>
          <cell r="S1631">
            <v>0</v>
          </cell>
        </row>
        <row r="1632">
          <cell r="R1632" t="str">
            <v>366.S1</v>
          </cell>
          <cell r="S1632">
            <v>233279663.76144686</v>
          </cell>
        </row>
        <row r="1633">
          <cell r="R1633" t="str">
            <v>366.NA1</v>
          </cell>
          <cell r="S1633">
            <v>233279663.76144686</v>
          </cell>
        </row>
        <row r="1634">
          <cell r="R1634" t="str">
            <v>366.NA2</v>
          </cell>
          <cell r="S1634">
            <v>0</v>
          </cell>
        </row>
        <row r="1635">
          <cell r="R1635" t="str">
            <v>366.NA3</v>
          </cell>
          <cell r="S1635">
            <v>0</v>
          </cell>
        </row>
        <row r="1636">
          <cell r="R1636" t="str">
            <v>366.NA4</v>
          </cell>
          <cell r="S1636">
            <v>0</v>
          </cell>
        </row>
        <row r="1637">
          <cell r="R1637" t="str">
            <v>366.NA5</v>
          </cell>
          <cell r="S1637">
            <v>0</v>
          </cell>
        </row>
        <row r="1638">
          <cell r="R1638" t="str">
            <v>367.NA</v>
          </cell>
          <cell r="S1638">
            <v>0</v>
          </cell>
        </row>
        <row r="1639">
          <cell r="R1639" t="str">
            <v>367.S1</v>
          </cell>
          <cell r="S1639">
            <v>621586336.09146261</v>
          </cell>
        </row>
        <row r="1640">
          <cell r="R1640" t="str">
            <v>367.NA1</v>
          </cell>
          <cell r="S1640">
            <v>621586336.09146261</v>
          </cell>
        </row>
        <row r="1641">
          <cell r="R1641" t="str">
            <v>367.NA2</v>
          </cell>
          <cell r="S1641">
            <v>0</v>
          </cell>
        </row>
        <row r="1642">
          <cell r="R1642" t="str">
            <v>368.NA</v>
          </cell>
          <cell r="S1642">
            <v>0</v>
          </cell>
        </row>
        <row r="1643">
          <cell r="R1643" t="str">
            <v>368.S1</v>
          </cell>
          <cell r="S1643">
            <v>629017089.94947982</v>
          </cell>
        </row>
        <row r="1644">
          <cell r="R1644" t="str">
            <v>368.NA1</v>
          </cell>
          <cell r="S1644">
            <v>629017089.94947982</v>
          </cell>
        </row>
        <row r="1645">
          <cell r="R1645" t="str">
            <v>368.NA2</v>
          </cell>
          <cell r="S1645">
            <v>0</v>
          </cell>
        </row>
        <row r="1646">
          <cell r="R1646" t="str">
            <v>369.NA</v>
          </cell>
          <cell r="S1646">
            <v>0</v>
          </cell>
        </row>
        <row r="1647">
          <cell r="R1647" t="str">
            <v>369.S1</v>
          </cell>
          <cell r="S1647">
            <v>376876599.90065193</v>
          </cell>
        </row>
        <row r="1648">
          <cell r="R1648" t="str">
            <v>369.NA1</v>
          </cell>
          <cell r="S1648">
            <v>376876599.90065193</v>
          </cell>
        </row>
        <row r="1649">
          <cell r="R1649" t="str">
            <v>369.NA2</v>
          </cell>
          <cell r="S1649">
            <v>0</v>
          </cell>
        </row>
        <row r="1650">
          <cell r="R1650" t="str">
            <v>370.NA</v>
          </cell>
          <cell r="S1650">
            <v>0</v>
          </cell>
        </row>
        <row r="1651">
          <cell r="R1651" t="str">
            <v>370.S1</v>
          </cell>
          <cell r="S1651">
            <v>103797968.51599787</v>
          </cell>
        </row>
        <row r="1652">
          <cell r="R1652" t="str">
            <v>370.NA1</v>
          </cell>
          <cell r="S1652">
            <v>103797968.51599787</v>
          </cell>
        </row>
        <row r="1653">
          <cell r="R1653" t="str">
            <v>370.NA2</v>
          </cell>
          <cell r="S1653">
            <v>0</v>
          </cell>
        </row>
        <row r="1654">
          <cell r="R1654" t="str">
            <v>371.NA</v>
          </cell>
          <cell r="S1654">
            <v>0</v>
          </cell>
        </row>
        <row r="1655">
          <cell r="R1655" t="str">
            <v>371.S1</v>
          </cell>
          <cell r="S1655">
            <v>4670561.8541268762</v>
          </cell>
        </row>
        <row r="1656">
          <cell r="R1656" t="str">
            <v>371.NA1</v>
          </cell>
          <cell r="S1656">
            <v>4670561.8541268762</v>
          </cell>
        </row>
        <row r="1657">
          <cell r="R1657" t="str">
            <v>371.NA2</v>
          </cell>
          <cell r="S1657">
            <v>0</v>
          </cell>
        </row>
        <row r="1658">
          <cell r="R1658" t="str">
            <v>372.NA</v>
          </cell>
          <cell r="S1658">
            <v>0</v>
          </cell>
        </row>
        <row r="1659">
          <cell r="R1659" t="str">
            <v>372.S1</v>
          </cell>
          <cell r="S1659">
            <v>0</v>
          </cell>
        </row>
        <row r="1660">
          <cell r="R1660" t="str">
            <v>372.NA1</v>
          </cell>
          <cell r="S1660">
            <v>0</v>
          </cell>
        </row>
        <row r="1661">
          <cell r="R1661" t="str">
            <v>372.NA2</v>
          </cell>
          <cell r="S1661">
            <v>0</v>
          </cell>
        </row>
        <row r="1662">
          <cell r="R1662" t="str">
            <v>373.NA2</v>
          </cell>
          <cell r="S1662">
            <v>0</v>
          </cell>
        </row>
        <row r="1663">
          <cell r="R1663" t="str">
            <v>373.S1</v>
          </cell>
          <cell r="S1663">
            <v>24687403.07643776</v>
          </cell>
        </row>
        <row r="1664">
          <cell r="R1664" t="str">
            <v>373.NA3</v>
          </cell>
          <cell r="S1664">
            <v>24687403.07643776</v>
          </cell>
        </row>
        <row r="1665">
          <cell r="R1665" t="str">
            <v>373.NA4</v>
          </cell>
          <cell r="S1665">
            <v>0</v>
          </cell>
        </row>
        <row r="1666">
          <cell r="R1666" t="str">
            <v>DP.NA</v>
          </cell>
          <cell r="S1666">
            <v>0</v>
          </cell>
        </row>
        <row r="1667">
          <cell r="R1667" t="str">
            <v>DP.S</v>
          </cell>
          <cell r="S1667">
            <v>27861498.576923098</v>
          </cell>
        </row>
        <row r="1668">
          <cell r="R1668" t="str">
            <v>DP.NA1</v>
          </cell>
          <cell r="S1668">
            <v>27861498.576923098</v>
          </cell>
        </row>
        <row r="1669">
          <cell r="R1669" t="str">
            <v>DP.NA2</v>
          </cell>
          <cell r="S1669">
            <v>0</v>
          </cell>
        </row>
        <row r="1670">
          <cell r="R1670" t="str">
            <v>DS0.NA</v>
          </cell>
          <cell r="S1670">
            <v>0</v>
          </cell>
        </row>
        <row r="1671">
          <cell r="R1671" t="str">
            <v>DS0.S</v>
          </cell>
          <cell r="S1671">
            <v>0</v>
          </cell>
        </row>
        <row r="1672">
          <cell r="R1672" t="str">
            <v>DS0.NA1</v>
          </cell>
          <cell r="S1672">
            <v>0</v>
          </cell>
        </row>
        <row r="1673">
          <cell r="R1673" t="str">
            <v>DS0.NA2</v>
          </cell>
          <cell r="S1673">
            <v>0</v>
          </cell>
        </row>
        <row r="1674">
          <cell r="R1674" t="str">
            <v>DS0.NA3</v>
          </cell>
          <cell r="S1674">
            <v>0</v>
          </cell>
        </row>
        <row r="1675">
          <cell r="R1675" t="str">
            <v>Total Distribution Plant.NA</v>
          </cell>
          <cell r="S1675">
            <v>3406708070.9845309</v>
          </cell>
        </row>
        <row r="1676">
          <cell r="R1676" t="str">
            <v>Total Distribution Plant.NA1</v>
          </cell>
          <cell r="S1676">
            <v>0</v>
          </cell>
        </row>
        <row r="1677">
          <cell r="R1677" t="str">
            <v>Summary of Distribution Plant by Factor.NA</v>
          </cell>
          <cell r="S1677">
            <v>0</v>
          </cell>
        </row>
        <row r="1678">
          <cell r="R1678" t="str">
            <v>Summary of Distribution Plant by Factor.NA1</v>
          </cell>
          <cell r="S1678">
            <v>3406708070.9845309</v>
          </cell>
        </row>
        <row r="1679">
          <cell r="R1679" t="str">
            <v>Summary of Distribution Plant by Factor.NA2</v>
          </cell>
          <cell r="S1679">
            <v>0</v>
          </cell>
        </row>
        <row r="1680">
          <cell r="R1680" t="str">
            <v>Total Distribution Plant by Factor.NA</v>
          </cell>
          <cell r="S1680">
            <v>3406708070.9845309</v>
          </cell>
        </row>
        <row r="1681">
          <cell r="R1681" t="str">
            <v>389.NA</v>
          </cell>
          <cell r="S1681">
            <v>0</v>
          </cell>
        </row>
        <row r="1682">
          <cell r="R1682" t="str">
            <v>389.S</v>
          </cell>
          <cell r="S1682">
            <v>4080599.63</v>
          </cell>
        </row>
        <row r="1683">
          <cell r="R1683" t="str">
            <v>389.CN</v>
          </cell>
          <cell r="S1683">
            <v>539531.79772374488</v>
          </cell>
        </row>
        <row r="1684">
          <cell r="R1684" t="str">
            <v>389.SG</v>
          </cell>
          <cell r="S1684">
            <v>146.21248579316389</v>
          </cell>
        </row>
        <row r="1685">
          <cell r="R1685" t="str">
            <v>389.SG1</v>
          </cell>
          <cell r="S1685">
            <v>540.09128832269596</v>
          </cell>
        </row>
        <row r="1686">
          <cell r="R1686" t="str">
            <v>389.SO</v>
          </cell>
          <cell r="S1686">
            <v>3284212.1987429014</v>
          </cell>
        </row>
        <row r="1687">
          <cell r="R1687" t="str">
            <v>389.NA1</v>
          </cell>
          <cell r="S1687">
            <v>7905029.9302407615</v>
          </cell>
        </row>
        <row r="1688">
          <cell r="R1688" t="str">
            <v>389.NA2</v>
          </cell>
          <cell r="S1688">
            <v>0</v>
          </cell>
        </row>
        <row r="1689">
          <cell r="R1689" t="str">
            <v>390.NA</v>
          </cell>
          <cell r="S1689">
            <v>0</v>
          </cell>
        </row>
        <row r="1690">
          <cell r="R1690" t="str">
            <v>390.S</v>
          </cell>
          <cell r="S1690">
            <v>44198383.473076902</v>
          </cell>
        </row>
        <row r="1691">
          <cell r="R1691" t="str">
            <v>390.SG</v>
          </cell>
          <cell r="S1691">
            <v>147496.40318466056</v>
          </cell>
        </row>
        <row r="1692">
          <cell r="R1692" t="str">
            <v>390.SG1</v>
          </cell>
          <cell r="S1692">
            <v>652447.38252109068</v>
          </cell>
        </row>
        <row r="1693">
          <cell r="R1693" t="str">
            <v>390.CN</v>
          </cell>
          <cell r="S1693">
            <v>3921344.4612022648</v>
          </cell>
        </row>
        <row r="1694">
          <cell r="R1694" t="str">
            <v>390.SG2</v>
          </cell>
          <cell r="S1694">
            <v>2552645.9023841149</v>
          </cell>
        </row>
        <row r="1695">
          <cell r="R1695" t="str">
            <v>390.SE</v>
          </cell>
          <cell r="S1695">
            <v>560637.2453659001</v>
          </cell>
        </row>
        <row r="1696">
          <cell r="R1696" t="str">
            <v>390.SO</v>
          </cell>
          <cell r="S1696">
            <v>42237978.224136122</v>
          </cell>
        </row>
        <row r="1697">
          <cell r="R1697" t="str">
            <v>390.NA1</v>
          </cell>
          <cell r="S1697">
            <v>94270933.091871053</v>
          </cell>
        </row>
        <row r="1698">
          <cell r="R1698" t="str">
            <v>390.NA2</v>
          </cell>
          <cell r="S1698">
            <v>0</v>
          </cell>
        </row>
        <row r="1699">
          <cell r="R1699" t="str">
            <v>391.NA</v>
          </cell>
          <cell r="S1699">
            <v>0</v>
          </cell>
        </row>
        <row r="1700">
          <cell r="R1700" t="str">
            <v>391.S</v>
          </cell>
          <cell r="S1700">
            <v>1206258.32692308</v>
          </cell>
        </row>
        <row r="1701">
          <cell r="R1701" t="str">
            <v>391.SG</v>
          </cell>
          <cell r="S1701">
            <v>0</v>
          </cell>
        </row>
        <row r="1702">
          <cell r="R1702" t="str">
            <v>391.SG1</v>
          </cell>
          <cell r="S1702">
            <v>0</v>
          </cell>
        </row>
        <row r="1703">
          <cell r="R1703" t="str">
            <v>391.CN</v>
          </cell>
          <cell r="S1703">
            <v>2036565.5762794579</v>
          </cell>
        </row>
        <row r="1704">
          <cell r="R1704" t="str">
            <v>391.SG2</v>
          </cell>
          <cell r="S1704">
            <v>1463066.4791874164</v>
          </cell>
        </row>
        <row r="1705">
          <cell r="R1705" t="str">
            <v>391.SE</v>
          </cell>
          <cell r="S1705">
            <v>4572.099056906829</v>
          </cell>
        </row>
        <row r="1706">
          <cell r="R1706" t="str">
            <v>391.SO</v>
          </cell>
          <cell r="S1706">
            <v>24457818.112001166</v>
          </cell>
        </row>
        <row r="1707">
          <cell r="R1707" t="str">
            <v>391.SG3</v>
          </cell>
          <cell r="S1707">
            <v>0</v>
          </cell>
        </row>
        <row r="1708">
          <cell r="R1708" t="str">
            <v>391.SG4</v>
          </cell>
          <cell r="S1708">
            <v>1776.9313568178532</v>
          </cell>
        </row>
        <row r="1709">
          <cell r="R1709" t="str">
            <v>391.NA1</v>
          </cell>
          <cell r="S1709">
            <v>29170057.524804845</v>
          </cell>
        </row>
        <row r="1710">
          <cell r="R1710" t="str">
            <v>391.NA2</v>
          </cell>
          <cell r="S1710">
            <v>0</v>
          </cell>
        </row>
        <row r="1711">
          <cell r="R1711" t="str">
            <v>392.NA</v>
          </cell>
          <cell r="S1711">
            <v>0</v>
          </cell>
        </row>
        <row r="1712">
          <cell r="R1712" t="str">
            <v>392.S</v>
          </cell>
          <cell r="S1712">
            <v>37167012.770769201</v>
          </cell>
        </row>
        <row r="1713">
          <cell r="R1713" t="str">
            <v>392.SO</v>
          </cell>
          <cell r="S1713">
            <v>3108794.2555604069</v>
          </cell>
        </row>
        <row r="1714">
          <cell r="R1714" t="str">
            <v>392.SG</v>
          </cell>
          <cell r="S1714">
            <v>9347678.8939708769</v>
          </cell>
        </row>
        <row r="1715">
          <cell r="R1715" t="str">
            <v>392.CN</v>
          </cell>
          <cell r="S1715">
            <v>0</v>
          </cell>
        </row>
        <row r="1716">
          <cell r="R1716" t="str">
            <v>392.SG1</v>
          </cell>
          <cell r="S1716">
            <v>208102.53076301716</v>
          </cell>
        </row>
        <row r="1717">
          <cell r="R1717" t="str">
            <v>392.SE</v>
          </cell>
          <cell r="S1717">
            <v>217104.98541661541</v>
          </cell>
        </row>
        <row r="1718">
          <cell r="R1718" t="str">
            <v>392.SG2</v>
          </cell>
          <cell r="S1718">
            <v>31069.141288590283</v>
          </cell>
        </row>
        <row r="1719">
          <cell r="R1719" t="str">
            <v>392.SG3</v>
          </cell>
          <cell r="S1719">
            <v>131781.07761878861</v>
          </cell>
        </row>
        <row r="1720">
          <cell r="R1720" t="str">
            <v>392.SG4</v>
          </cell>
          <cell r="S1720">
            <v>19647.122388714055</v>
          </cell>
        </row>
        <row r="1721">
          <cell r="R1721" t="str">
            <v>392.NA1</v>
          </cell>
          <cell r="S1721">
            <v>50231190.777776204</v>
          </cell>
        </row>
        <row r="1722">
          <cell r="R1722" t="str">
            <v>392.NA2</v>
          </cell>
          <cell r="S1722">
            <v>0</v>
          </cell>
        </row>
        <row r="1723">
          <cell r="R1723" t="str">
            <v>393.NA</v>
          </cell>
          <cell r="S1723">
            <v>0</v>
          </cell>
        </row>
        <row r="1724">
          <cell r="R1724" t="str">
            <v>393.S</v>
          </cell>
          <cell r="S1724">
            <v>3306767.45307692</v>
          </cell>
        </row>
        <row r="1725">
          <cell r="R1725" t="str">
            <v>393.SG</v>
          </cell>
          <cell r="S1725">
            <v>0</v>
          </cell>
        </row>
        <row r="1726">
          <cell r="R1726" t="str">
            <v>393.SG1</v>
          </cell>
          <cell r="S1726">
            <v>0</v>
          </cell>
        </row>
        <row r="1727">
          <cell r="R1727" t="str">
            <v>393.SO</v>
          </cell>
          <cell r="S1727">
            <v>111457.97949756299</v>
          </cell>
        </row>
        <row r="1728">
          <cell r="R1728" t="str">
            <v>393.SG2</v>
          </cell>
          <cell r="S1728">
            <v>2573606.445871247</v>
          </cell>
        </row>
        <row r="1729">
          <cell r="R1729" t="str">
            <v>393.SG3</v>
          </cell>
          <cell r="S1729">
            <v>23745.784122972611</v>
          </cell>
        </row>
        <row r="1730">
          <cell r="R1730" t="str">
            <v>393.NA1</v>
          </cell>
          <cell r="S1730">
            <v>6015577.6625687024</v>
          </cell>
        </row>
        <row r="1731">
          <cell r="R1731" t="str">
            <v>393.NA2</v>
          </cell>
          <cell r="S1731">
            <v>0</v>
          </cell>
        </row>
        <row r="1732">
          <cell r="R1732" t="str">
            <v>394.NA</v>
          </cell>
          <cell r="S1732">
            <v>0</v>
          </cell>
        </row>
        <row r="1733">
          <cell r="R1733" t="str">
            <v>394.S</v>
          </cell>
          <cell r="S1733">
            <v>14454151.8384615</v>
          </cell>
        </row>
        <row r="1734">
          <cell r="R1734" t="str">
            <v>394.SG</v>
          </cell>
          <cell r="S1734">
            <v>41299.199937162331</v>
          </cell>
        </row>
        <row r="1735">
          <cell r="R1735" t="str">
            <v>394.SG1</v>
          </cell>
          <cell r="S1735">
            <v>9855238.4365743212</v>
          </cell>
        </row>
        <row r="1736">
          <cell r="R1736" t="str">
            <v>394.SO</v>
          </cell>
          <cell r="S1736">
            <v>964822.05953462445</v>
          </cell>
        </row>
        <row r="1737">
          <cell r="R1737" t="str">
            <v>394.SE</v>
          </cell>
          <cell r="S1737">
            <v>47583.523302760543</v>
          </cell>
        </row>
        <row r="1738">
          <cell r="R1738" t="str">
            <v>394.SG2</v>
          </cell>
          <cell r="S1738">
            <v>0</v>
          </cell>
        </row>
        <row r="1739">
          <cell r="R1739" t="str">
            <v>394.SG3</v>
          </cell>
          <cell r="S1739">
            <v>756147.7934073857</v>
          </cell>
        </row>
        <row r="1740">
          <cell r="R1740" t="str">
            <v>394.SG4</v>
          </cell>
          <cell r="S1740">
            <v>39559.637686161972</v>
          </cell>
        </row>
        <row r="1741">
          <cell r="R1741" t="str">
            <v>394.NA1</v>
          </cell>
          <cell r="S1741">
            <v>26158802.488903917</v>
          </cell>
        </row>
        <row r="1742">
          <cell r="R1742" t="str">
            <v>394.NA2</v>
          </cell>
          <cell r="S1742">
            <v>0</v>
          </cell>
        </row>
        <row r="1743">
          <cell r="R1743" t="str">
            <v>395.NA</v>
          </cell>
          <cell r="S1743">
            <v>0</v>
          </cell>
        </row>
        <row r="1744">
          <cell r="R1744" t="str">
            <v>395.S</v>
          </cell>
          <cell r="S1744">
            <v>7906771.4076923104</v>
          </cell>
        </row>
        <row r="1745">
          <cell r="R1745" t="str">
            <v>395.SG</v>
          </cell>
          <cell r="S1745">
            <v>0</v>
          </cell>
        </row>
        <row r="1746">
          <cell r="R1746" t="str">
            <v>395.SG1</v>
          </cell>
          <cell r="S1746">
            <v>0</v>
          </cell>
        </row>
        <row r="1747">
          <cell r="R1747" t="str">
            <v>395.SO</v>
          </cell>
          <cell r="S1747">
            <v>2166524.7560367701</v>
          </cell>
        </row>
        <row r="1748">
          <cell r="R1748" t="str">
            <v>395.SE</v>
          </cell>
          <cell r="S1748">
            <v>546795.04076226358</v>
          </cell>
        </row>
        <row r="1749">
          <cell r="R1749" t="str">
            <v>395.SG2</v>
          </cell>
          <cell r="S1749">
            <v>2787854.6365221473</v>
          </cell>
        </row>
        <row r="1750">
          <cell r="R1750" t="str">
            <v>395.SG3</v>
          </cell>
          <cell r="S1750">
            <v>98372.725746749682</v>
          </cell>
        </row>
        <row r="1751">
          <cell r="R1751" t="str">
            <v>395.SG4</v>
          </cell>
          <cell r="S1751">
            <v>6169.1136003662295</v>
          </cell>
        </row>
        <row r="1752">
          <cell r="R1752" t="str">
            <v>395.NA1</v>
          </cell>
          <cell r="S1752">
            <v>13512487.680360608</v>
          </cell>
        </row>
        <row r="1753">
          <cell r="R1753" t="str">
            <v>395.NA2</v>
          </cell>
          <cell r="S1753">
            <v>0</v>
          </cell>
        </row>
        <row r="1754">
          <cell r="R1754" t="str">
            <v>396.NA</v>
          </cell>
          <cell r="S1754">
            <v>0</v>
          </cell>
        </row>
        <row r="1755">
          <cell r="R1755" t="str">
            <v>396.S</v>
          </cell>
          <cell r="S1755">
            <v>50541225.1646154</v>
          </cell>
        </row>
        <row r="1756">
          <cell r="R1756" t="str">
            <v>396.SG</v>
          </cell>
          <cell r="S1756">
            <v>121935.08396156647</v>
          </cell>
        </row>
        <row r="1757">
          <cell r="R1757" t="str">
            <v>396.SG1</v>
          </cell>
          <cell r="S1757">
            <v>19422777.081239611</v>
          </cell>
        </row>
        <row r="1758">
          <cell r="R1758" t="str">
            <v>396.SO</v>
          </cell>
          <cell r="S1758">
            <v>2932677.7532912297</v>
          </cell>
        </row>
        <row r="1759">
          <cell r="R1759" t="str">
            <v>396.SG2</v>
          </cell>
          <cell r="S1759">
            <v>465275.46543943713</v>
          </cell>
        </row>
        <row r="1760">
          <cell r="R1760" t="str">
            <v>396.SE</v>
          </cell>
          <cell r="S1760">
            <v>108194.00272383617</v>
          </cell>
        </row>
        <row r="1761">
          <cell r="R1761" t="str">
            <v>396.SG3</v>
          </cell>
          <cell r="S1761">
            <v>0</v>
          </cell>
        </row>
        <row r="1762">
          <cell r="R1762" t="str">
            <v>396.SG4</v>
          </cell>
          <cell r="S1762">
            <v>604691.87023786781</v>
          </cell>
        </row>
        <row r="1763">
          <cell r="R1763" t="str">
            <v>396.NA1</v>
          </cell>
          <cell r="S1763">
            <v>74196776.421508968</v>
          </cell>
        </row>
        <row r="1764">
          <cell r="R1764" t="str">
            <v>397.NA</v>
          </cell>
          <cell r="S1764">
            <v>0</v>
          </cell>
        </row>
        <row r="1765">
          <cell r="R1765" t="str">
            <v>397.S</v>
          </cell>
          <cell r="S1765">
            <v>120232864.1106126</v>
          </cell>
        </row>
        <row r="1766">
          <cell r="R1766" t="str">
            <v>397.SG</v>
          </cell>
          <cell r="S1766">
            <v>84152.217109042933</v>
          </cell>
        </row>
        <row r="1767">
          <cell r="R1767" t="str">
            <v>397.SG1</v>
          </cell>
          <cell r="S1767">
            <v>387979.94508443243</v>
          </cell>
        </row>
        <row r="1768">
          <cell r="R1768" t="str">
            <v>397.SO</v>
          </cell>
          <cell r="S1768">
            <v>50900345.184905827</v>
          </cell>
        </row>
        <row r="1769">
          <cell r="R1769" t="str">
            <v>397.CN</v>
          </cell>
          <cell r="S1769">
            <v>694097.53255601355</v>
          </cell>
        </row>
        <row r="1770">
          <cell r="R1770" t="str">
            <v>397.SG2</v>
          </cell>
          <cell r="S1770">
            <v>84910900.01791425</v>
          </cell>
        </row>
        <row r="1771">
          <cell r="R1771" t="str">
            <v>397.SE</v>
          </cell>
          <cell r="S1771">
            <v>198804.1943824153</v>
          </cell>
        </row>
        <row r="1772">
          <cell r="R1772" t="str">
            <v>397.SG3</v>
          </cell>
          <cell r="S1772">
            <v>471876.91872914706</v>
          </cell>
        </row>
        <row r="1773">
          <cell r="R1773" t="str">
            <v>397.SG4</v>
          </cell>
          <cell r="S1773">
            <v>7318.0466675931084</v>
          </cell>
        </row>
        <row r="1774">
          <cell r="R1774" t="str">
            <v>397.NA1</v>
          </cell>
          <cell r="S1774">
            <v>257888338.16796136</v>
          </cell>
        </row>
        <row r="1775">
          <cell r="R1775" t="str">
            <v>397.NA2</v>
          </cell>
          <cell r="S1775">
            <v>0</v>
          </cell>
        </row>
        <row r="1776">
          <cell r="R1776" t="str">
            <v>398.NA</v>
          </cell>
          <cell r="S1776">
            <v>0</v>
          </cell>
        </row>
        <row r="1777">
          <cell r="R1777" t="str">
            <v>398.S</v>
          </cell>
          <cell r="S1777">
            <v>1354672.52461538</v>
          </cell>
        </row>
        <row r="1778">
          <cell r="R1778" t="str">
            <v>398.SG</v>
          </cell>
          <cell r="S1778">
            <v>0</v>
          </cell>
        </row>
        <row r="1779">
          <cell r="R1779" t="str">
            <v>398.SG1</v>
          </cell>
          <cell r="S1779">
            <v>0</v>
          </cell>
        </row>
        <row r="1780">
          <cell r="R1780" t="str">
            <v>398.CN</v>
          </cell>
          <cell r="S1780">
            <v>37770.078630976364</v>
          </cell>
        </row>
        <row r="1781">
          <cell r="R1781" t="str">
            <v>398.SO</v>
          </cell>
          <cell r="S1781">
            <v>971454.31600663881</v>
          </cell>
        </row>
        <row r="1782">
          <cell r="R1782" t="str">
            <v>398.SE</v>
          </cell>
          <cell r="S1782">
            <v>1738.159777085727</v>
          </cell>
        </row>
        <row r="1783">
          <cell r="R1783" t="str">
            <v>398.SG2</v>
          </cell>
          <cell r="S1783">
            <v>1187402.1896931825</v>
          </cell>
        </row>
        <row r="1784">
          <cell r="R1784" t="str">
            <v>398.SG3</v>
          </cell>
          <cell r="S1784">
            <v>0</v>
          </cell>
        </row>
        <row r="1785">
          <cell r="R1785" t="str">
            <v>398.NA1</v>
          </cell>
          <cell r="S1785">
            <v>3553037.2687232634</v>
          </cell>
        </row>
        <row r="1786">
          <cell r="R1786" t="str">
            <v>398.NA2</v>
          </cell>
          <cell r="S1786">
            <v>0</v>
          </cell>
        </row>
        <row r="1787">
          <cell r="R1787" t="str">
            <v>399.NA</v>
          </cell>
          <cell r="S1787">
            <v>0</v>
          </cell>
        </row>
        <row r="1788">
          <cell r="R1788" t="str">
            <v>399.SE</v>
          </cell>
          <cell r="S1788">
            <v>34296720.931825802</v>
          </cell>
        </row>
        <row r="1789">
          <cell r="R1789" t="str">
            <v>MP.SE</v>
          </cell>
          <cell r="S1789">
            <v>0</v>
          </cell>
        </row>
        <row r="1790">
          <cell r="R1790" t="str">
            <v>MP.NA</v>
          </cell>
          <cell r="S1790">
            <v>34296720.931825802</v>
          </cell>
        </row>
        <row r="1791">
          <cell r="R1791" t="str">
            <v>MP.NA1</v>
          </cell>
          <cell r="S1791">
            <v>0</v>
          </cell>
        </row>
        <row r="1792">
          <cell r="R1792" t="str">
            <v>399L.NA</v>
          </cell>
          <cell r="S1792">
            <v>0</v>
          </cell>
        </row>
        <row r="1793">
          <cell r="R1793" t="str">
            <v>399L.SE</v>
          </cell>
          <cell r="S1793">
            <v>0</v>
          </cell>
        </row>
        <row r="1794">
          <cell r="R1794" t="str">
            <v>399L.NA1</v>
          </cell>
          <cell r="S1794">
            <v>0</v>
          </cell>
        </row>
        <row r="1795">
          <cell r="R1795" t="str">
            <v>399L.NA2</v>
          </cell>
          <cell r="S1795">
            <v>0</v>
          </cell>
        </row>
        <row r="1796">
          <cell r="R1796" t="str">
            <v>399L.NA3</v>
          </cell>
          <cell r="S1796">
            <v>0</v>
          </cell>
        </row>
        <row r="1797">
          <cell r="R1797" t="str">
            <v>399L.NA4</v>
          </cell>
          <cell r="S1797">
            <v>0</v>
          </cell>
        </row>
        <row r="1798">
          <cell r="R1798" t="str">
            <v>399L.NA5</v>
          </cell>
          <cell r="S1798">
            <v>0</v>
          </cell>
        </row>
        <row r="1799">
          <cell r="R1799" t="str">
            <v>1011390.NA</v>
          </cell>
          <cell r="S1799">
            <v>0</v>
          </cell>
        </row>
        <row r="1800">
          <cell r="R1800" t="str">
            <v>1011390.S</v>
          </cell>
          <cell r="S1800">
            <v>3475886.4192307699</v>
          </cell>
        </row>
        <row r="1801">
          <cell r="R1801" t="str">
            <v>1011390.SG</v>
          </cell>
          <cell r="S1801">
            <v>4740327.7512035817</v>
          </cell>
        </row>
        <row r="1802">
          <cell r="R1802" t="str">
            <v>1011390.SO</v>
          </cell>
          <cell r="S1802">
            <v>746698.31655977608</v>
          </cell>
        </row>
        <row r="1803">
          <cell r="R1803" t="str">
            <v>1011390.NA1</v>
          </cell>
          <cell r="S1803">
            <v>8962912.4869941287</v>
          </cell>
        </row>
        <row r="1804">
          <cell r="R1804" t="str">
            <v>1011390.NA2</v>
          </cell>
          <cell r="S1804">
            <v>0</v>
          </cell>
        </row>
        <row r="1805">
          <cell r="R1805" t="str">
            <v>1011390.NA3</v>
          </cell>
          <cell r="S1805">
            <v>-8962912.4869941287</v>
          </cell>
        </row>
        <row r="1806">
          <cell r="R1806" t="str">
            <v>1011390.NA4</v>
          </cell>
          <cell r="S1806">
            <v>0</v>
          </cell>
        </row>
        <row r="1807">
          <cell r="R1807" t="str">
            <v>1011390.NA5</v>
          </cell>
          <cell r="S1807">
            <v>0</v>
          </cell>
        </row>
        <row r="1808">
          <cell r="R1808" t="str">
            <v>1011346.NA</v>
          </cell>
          <cell r="S1808">
            <v>0</v>
          </cell>
        </row>
        <row r="1809">
          <cell r="R1809" t="str">
            <v>1011346.SG</v>
          </cell>
          <cell r="S1809">
            <v>0</v>
          </cell>
        </row>
        <row r="1810">
          <cell r="R1810" t="str">
            <v>1011346.NA1</v>
          </cell>
          <cell r="S1810">
            <v>0</v>
          </cell>
        </row>
        <row r="1811">
          <cell r="R1811" t="str">
            <v>1011346.NA2</v>
          </cell>
          <cell r="S1811">
            <v>0</v>
          </cell>
        </row>
        <row r="1812">
          <cell r="R1812" t="str">
            <v>1011346.NA3</v>
          </cell>
          <cell r="S1812">
            <v>0</v>
          </cell>
        </row>
        <row r="1813">
          <cell r="R1813" t="str">
            <v>1011346.NA4</v>
          </cell>
          <cell r="S1813">
            <v>0</v>
          </cell>
        </row>
        <row r="1814">
          <cell r="R1814" t="str">
            <v>1011346.NA5</v>
          </cell>
          <cell r="S1814">
            <v>0</v>
          </cell>
        </row>
        <row r="1815">
          <cell r="R1815" t="str">
            <v>GP.NA</v>
          </cell>
          <cell r="S1815">
            <v>0</v>
          </cell>
        </row>
        <row r="1816">
          <cell r="R1816" t="str">
            <v>GP.S</v>
          </cell>
          <cell r="S1816">
            <v>0</v>
          </cell>
        </row>
        <row r="1817">
          <cell r="R1817" t="str">
            <v>GP.SO</v>
          </cell>
          <cell r="S1817">
            <v>16125868.438864648</v>
          </cell>
        </row>
        <row r="1818">
          <cell r="R1818" t="str">
            <v>GP.CN</v>
          </cell>
          <cell r="S1818">
            <v>0</v>
          </cell>
        </row>
        <row r="1819">
          <cell r="R1819" t="str">
            <v>GP.SG</v>
          </cell>
          <cell r="S1819">
            <v>0</v>
          </cell>
        </row>
        <row r="1820">
          <cell r="R1820" t="str">
            <v>GP.SG1</v>
          </cell>
          <cell r="S1820">
            <v>0</v>
          </cell>
        </row>
        <row r="1821">
          <cell r="R1821" t="str">
            <v>GP.SG2</v>
          </cell>
          <cell r="S1821">
            <v>0</v>
          </cell>
        </row>
        <row r="1822">
          <cell r="R1822" t="str">
            <v>GP.NA1</v>
          </cell>
          <cell r="S1822">
            <v>16125868.438864648</v>
          </cell>
        </row>
        <row r="1823">
          <cell r="R1823" t="str">
            <v>GP.NA2</v>
          </cell>
          <cell r="S1823">
            <v>0</v>
          </cell>
        </row>
        <row r="1824">
          <cell r="R1824" t="str">
            <v>399G.NA</v>
          </cell>
          <cell r="S1824">
            <v>0</v>
          </cell>
        </row>
        <row r="1825">
          <cell r="R1825" t="str">
            <v>399G.S</v>
          </cell>
          <cell r="S1825">
            <v>0</v>
          </cell>
        </row>
        <row r="1826">
          <cell r="R1826" t="str">
            <v>399G.SO</v>
          </cell>
          <cell r="S1826">
            <v>0</v>
          </cell>
        </row>
        <row r="1827">
          <cell r="R1827" t="str">
            <v>399G.SG</v>
          </cell>
          <cell r="S1827">
            <v>0</v>
          </cell>
        </row>
        <row r="1828">
          <cell r="R1828" t="str">
            <v>399G.SG1</v>
          </cell>
          <cell r="S1828">
            <v>0</v>
          </cell>
        </row>
        <row r="1829">
          <cell r="R1829" t="str">
            <v>399G.SG2</v>
          </cell>
          <cell r="S1829">
            <v>0</v>
          </cell>
        </row>
        <row r="1830">
          <cell r="R1830" t="str">
            <v>399G.NA1</v>
          </cell>
          <cell r="S1830">
            <v>0</v>
          </cell>
        </row>
        <row r="1831">
          <cell r="R1831" t="str">
            <v>399G.NA2</v>
          </cell>
          <cell r="S1831">
            <v>0</v>
          </cell>
        </row>
        <row r="1832">
          <cell r="R1832" t="str">
            <v>Total General Plant.NA</v>
          </cell>
          <cell r="S1832">
            <v>613324820.38541007</v>
          </cell>
        </row>
        <row r="1833">
          <cell r="R1833" t="str">
            <v>Total General Plant.NA1</v>
          </cell>
          <cell r="S1833">
            <v>0</v>
          </cell>
        </row>
        <row r="1834">
          <cell r="R1834" t="str">
            <v>Summary of General Plant by Factor.NA</v>
          </cell>
          <cell r="S1834">
            <v>0</v>
          </cell>
        </row>
        <row r="1835">
          <cell r="R1835" t="str">
            <v>Summary of General Plant by Factor.NA1</v>
          </cell>
          <cell r="S1835">
            <v>287924593.11907405</v>
          </cell>
        </row>
        <row r="1836">
          <cell r="R1836" t="str">
            <v>Summary of General Plant by Factor.NA2</v>
          </cell>
          <cell r="S1836">
            <v>0</v>
          </cell>
        </row>
        <row r="1837">
          <cell r="R1837" t="str">
            <v>Summary of General Plant by Factor.NA3</v>
          </cell>
          <cell r="S1837">
            <v>0</v>
          </cell>
        </row>
        <row r="1838">
          <cell r="R1838" t="str">
            <v>Summary of General Plant by Factor.NA4</v>
          </cell>
          <cell r="S1838">
            <v>143143028.52918643</v>
          </cell>
        </row>
        <row r="1839">
          <cell r="R1839" t="str">
            <v>Summary of General Plant by Factor.NA5</v>
          </cell>
          <cell r="S1839">
            <v>148008651.59513772</v>
          </cell>
        </row>
        <row r="1840">
          <cell r="R1840" t="str">
            <v>Summary of General Plant by Factor.NA6</v>
          </cell>
          <cell r="S1840">
            <v>35982150.182613589</v>
          </cell>
        </row>
        <row r="1841">
          <cell r="R1841" t="str">
            <v>Summary of General Plant by Factor.NA7</v>
          </cell>
          <cell r="S1841">
            <v>7229309.446392457</v>
          </cell>
        </row>
        <row r="1842">
          <cell r="R1842" t="str">
            <v>Summary of General Plant by Factor.NA8</v>
          </cell>
          <cell r="S1842">
            <v>0</v>
          </cell>
        </row>
        <row r="1843">
          <cell r="R1843" t="str">
            <v>Summary of General Plant by Factor.NA9</v>
          </cell>
          <cell r="S1843">
            <v>0</v>
          </cell>
        </row>
        <row r="1844">
          <cell r="R1844" t="str">
            <v>Summary of General Plant by Factor.NA10</v>
          </cell>
          <cell r="S1844">
            <v>0</v>
          </cell>
        </row>
        <row r="1845">
          <cell r="R1845" t="str">
            <v>Summary of General Plant by Factor.NA11</v>
          </cell>
          <cell r="S1845">
            <v>-8962912.4869941287</v>
          </cell>
        </row>
        <row r="1846">
          <cell r="R1846" t="str">
            <v>Total General Plant by Factor.NA</v>
          </cell>
          <cell r="S1846">
            <v>613324820.38541007</v>
          </cell>
        </row>
        <row r="1847">
          <cell r="R1847" t="str">
            <v>301.NA</v>
          </cell>
          <cell r="S1847">
            <v>0</v>
          </cell>
        </row>
        <row r="1848">
          <cell r="R1848" t="str">
            <v>301.S</v>
          </cell>
          <cell r="S1848">
            <v>0</v>
          </cell>
        </row>
        <row r="1849">
          <cell r="R1849" t="str">
            <v>301.SO</v>
          </cell>
          <cell r="S1849">
            <v>0</v>
          </cell>
        </row>
        <row r="1850">
          <cell r="R1850" t="str">
            <v>301.SG</v>
          </cell>
          <cell r="S1850">
            <v>0</v>
          </cell>
        </row>
        <row r="1851">
          <cell r="R1851" t="str">
            <v>301.NA1</v>
          </cell>
          <cell r="S1851">
            <v>0</v>
          </cell>
        </row>
        <row r="1852">
          <cell r="R1852" t="str">
            <v>302.NA</v>
          </cell>
          <cell r="S1852">
            <v>0</v>
          </cell>
        </row>
        <row r="1853">
          <cell r="R1853" t="str">
            <v>302.S</v>
          </cell>
          <cell r="S1853">
            <v>0</v>
          </cell>
        </row>
        <row r="1854">
          <cell r="R1854" t="str">
            <v>302.SG</v>
          </cell>
          <cell r="S1854">
            <v>6776785.5563943936</v>
          </cell>
        </row>
        <row r="1855">
          <cell r="R1855" t="str">
            <v>302.SG1</v>
          </cell>
          <cell r="S1855">
            <v>44458969.994638272</v>
          </cell>
        </row>
        <row r="1856">
          <cell r="R1856" t="str">
            <v>302.SG2</v>
          </cell>
          <cell r="S1856">
            <v>4113941.5417896658</v>
          </cell>
        </row>
        <row r="1857">
          <cell r="R1857" t="str">
            <v>302.SG3</v>
          </cell>
          <cell r="S1857">
            <v>0</v>
          </cell>
        </row>
        <row r="1858">
          <cell r="R1858" t="str">
            <v>302.SG4</v>
          </cell>
          <cell r="S1858">
            <v>264421.90594883019</v>
          </cell>
        </row>
        <row r="1859">
          <cell r="R1859" t="str">
            <v>302.NA1</v>
          </cell>
          <cell r="S1859">
            <v>55614118.998771161</v>
          </cell>
        </row>
        <row r="1860">
          <cell r="R1860" t="str">
            <v>302.NA2</v>
          </cell>
          <cell r="S1860">
            <v>0</v>
          </cell>
        </row>
        <row r="1861">
          <cell r="R1861" t="str">
            <v>303.NA</v>
          </cell>
          <cell r="S1861">
            <v>0</v>
          </cell>
        </row>
        <row r="1862">
          <cell r="R1862" t="str">
            <v>303.S</v>
          </cell>
          <cell r="S1862">
            <v>6140224.9794615507</v>
          </cell>
        </row>
        <row r="1863">
          <cell r="R1863" t="str">
            <v>303.SG</v>
          </cell>
          <cell r="S1863">
            <v>77588002.911868855</v>
          </cell>
        </row>
        <row r="1864">
          <cell r="R1864" t="str">
            <v>303.SO</v>
          </cell>
          <cell r="S1864">
            <v>183837994.076781</v>
          </cell>
        </row>
        <row r="1865">
          <cell r="R1865" t="str">
            <v>303.SE</v>
          </cell>
          <cell r="S1865">
            <v>-479636.22158785287</v>
          </cell>
        </row>
        <row r="1866">
          <cell r="R1866" t="str">
            <v>303.CN</v>
          </cell>
          <cell r="S1866">
            <v>87743802.502202123</v>
          </cell>
        </row>
        <row r="1867">
          <cell r="R1867" t="str">
            <v>303.SG1</v>
          </cell>
          <cell r="S1867">
            <v>0</v>
          </cell>
        </row>
        <row r="1868">
          <cell r="R1868" t="str">
            <v>303.SG2</v>
          </cell>
          <cell r="S1868">
            <v>0</v>
          </cell>
        </row>
        <row r="1869">
          <cell r="R1869" t="str">
            <v>303.NA1</v>
          </cell>
          <cell r="S1869">
            <v>354830388.24872565</v>
          </cell>
        </row>
        <row r="1870">
          <cell r="R1870" t="str">
            <v>303.NA2</v>
          </cell>
          <cell r="S1870">
            <v>0</v>
          </cell>
        </row>
        <row r="1871">
          <cell r="R1871" t="str">
            <v>303.S1</v>
          </cell>
          <cell r="S1871">
            <v>0</v>
          </cell>
        </row>
        <row r="1872">
          <cell r="R1872" t="str">
            <v>303.NA3</v>
          </cell>
          <cell r="S1872">
            <v>354830388.24872565</v>
          </cell>
        </row>
        <row r="1873">
          <cell r="R1873" t="str">
            <v>IP.NA</v>
          </cell>
          <cell r="S1873">
            <v>0</v>
          </cell>
        </row>
        <row r="1874">
          <cell r="R1874" t="str">
            <v>IP.S</v>
          </cell>
          <cell r="S1874">
            <v>0</v>
          </cell>
        </row>
        <row r="1875">
          <cell r="R1875" t="str">
            <v>IP.SG</v>
          </cell>
          <cell r="S1875">
            <v>0</v>
          </cell>
        </row>
        <row r="1876">
          <cell r="R1876" t="str">
            <v>IP.SG1</v>
          </cell>
          <cell r="S1876">
            <v>0</v>
          </cell>
        </row>
        <row r="1877">
          <cell r="R1877" t="str">
            <v>IP.SO</v>
          </cell>
          <cell r="S1877">
            <v>0</v>
          </cell>
        </row>
        <row r="1878">
          <cell r="R1878" t="str">
            <v>IP.NA1</v>
          </cell>
          <cell r="S1878">
            <v>0</v>
          </cell>
        </row>
        <row r="1879">
          <cell r="R1879" t="str">
            <v>IP.NA2</v>
          </cell>
          <cell r="S1879">
            <v>0</v>
          </cell>
        </row>
        <row r="1880">
          <cell r="R1880" t="str">
            <v>Total Intangible Plant.NA</v>
          </cell>
          <cell r="S1880">
            <v>410444507.24749684</v>
          </cell>
        </row>
        <row r="1881">
          <cell r="R1881" t="str">
            <v>Total Intangible Plant.NA1</v>
          </cell>
          <cell r="S1881">
            <v>0</v>
          </cell>
        </row>
        <row r="1882">
          <cell r="R1882" t="str">
            <v>Summary of Intangible Plant by Factor.NA</v>
          </cell>
          <cell r="S1882">
            <v>0</v>
          </cell>
        </row>
        <row r="1883">
          <cell r="R1883" t="str">
            <v>Summary of Intangible Plant by Factor.NA1</v>
          </cell>
          <cell r="S1883">
            <v>6140224.9794615507</v>
          </cell>
        </row>
        <row r="1884">
          <cell r="R1884" t="str">
            <v>Summary of Intangible Plant by Factor.NA2</v>
          </cell>
          <cell r="S1884">
            <v>0</v>
          </cell>
        </row>
        <row r="1885">
          <cell r="R1885" t="str">
            <v>Summary of Intangible Plant by Factor.NA3</v>
          </cell>
          <cell r="S1885">
            <v>0</v>
          </cell>
        </row>
        <row r="1886">
          <cell r="R1886" t="str">
            <v>Summary of Intangible Plant by Factor.NA4</v>
          </cell>
          <cell r="S1886">
            <v>133202121.91064002</v>
          </cell>
        </row>
        <row r="1887">
          <cell r="R1887" t="str">
            <v>Summary of Intangible Plant by Factor.NA5</v>
          </cell>
          <cell r="S1887">
            <v>183837994.076781</v>
          </cell>
        </row>
        <row r="1888">
          <cell r="R1888" t="str">
            <v>Summary of Intangible Plant by Factor.NA6</v>
          </cell>
          <cell r="S1888">
            <v>87743802.502202123</v>
          </cell>
        </row>
        <row r="1889">
          <cell r="R1889" t="str">
            <v>Summary of Intangible Plant by Factor.NA7</v>
          </cell>
          <cell r="S1889">
            <v>0</v>
          </cell>
        </row>
        <row r="1890">
          <cell r="R1890" t="str">
            <v>Summary of Intangible Plant by Factor.NA8</v>
          </cell>
          <cell r="S1890">
            <v>0</v>
          </cell>
        </row>
        <row r="1891">
          <cell r="R1891" t="str">
            <v>Summary of Intangible Plant by Factor.NA9</v>
          </cell>
          <cell r="S1891">
            <v>-479636.22158785287</v>
          </cell>
        </row>
        <row r="1892">
          <cell r="R1892" t="str">
            <v>Total Intangible Plant by Factor.NA</v>
          </cell>
          <cell r="S1892">
            <v>410444507.2474969</v>
          </cell>
        </row>
        <row r="1893">
          <cell r="R1893" t="str">
            <v>Summary of Unclassified Plant (Account 106).NA</v>
          </cell>
          <cell r="S1893">
            <v>0</v>
          </cell>
        </row>
        <row r="1894">
          <cell r="R1894" t="str">
            <v>Summary of Unclassified Plant (Account 106).NA1</v>
          </cell>
          <cell r="S1894">
            <v>27861498.576923098</v>
          </cell>
        </row>
        <row r="1895">
          <cell r="R1895" t="str">
            <v>Summary of Unclassified Plant (Account 106).NA2</v>
          </cell>
          <cell r="S1895">
            <v>0</v>
          </cell>
        </row>
        <row r="1896">
          <cell r="R1896" t="str">
            <v>Summary of Unclassified Plant (Account 106).NA3</v>
          </cell>
          <cell r="S1896">
            <v>16125868.438864648</v>
          </cell>
        </row>
        <row r="1897">
          <cell r="R1897" t="str">
            <v>Summary of Unclassified Plant (Account 106).NA4</v>
          </cell>
          <cell r="S1897">
            <v>0</v>
          </cell>
        </row>
        <row r="1898">
          <cell r="R1898" t="str">
            <v>Summary of Unclassified Plant (Account 106).NA5</v>
          </cell>
          <cell r="S1898">
            <v>0</v>
          </cell>
        </row>
        <row r="1899">
          <cell r="R1899" t="str">
            <v>Summary of Unclassified Plant (Account 106).NA6</v>
          </cell>
          <cell r="S1899">
            <v>-209538.05101071263</v>
          </cell>
        </row>
        <row r="1900">
          <cell r="R1900" t="str">
            <v>Summary of Unclassified Plant (Account 106).NA7</v>
          </cell>
          <cell r="S1900">
            <v>47178116.883877411</v>
          </cell>
        </row>
        <row r="1901">
          <cell r="R1901" t="str">
            <v>Summary of Unclassified Plant (Account 106).NA8</v>
          </cell>
          <cell r="S1901">
            <v>0</v>
          </cell>
        </row>
        <row r="1902">
          <cell r="R1902" t="str">
            <v>Summary of Unclassified Plant (Account 106).NA9</v>
          </cell>
          <cell r="S1902">
            <v>0</v>
          </cell>
        </row>
        <row r="1903">
          <cell r="R1903" t="str">
            <v>Summary of Unclassified Plant (Account 106).NA10</v>
          </cell>
          <cell r="S1903">
            <v>0</v>
          </cell>
        </row>
        <row r="1904">
          <cell r="R1904" t="str">
            <v>Summary of Unclassified Plant (Account 106).NA11</v>
          </cell>
          <cell r="S1904">
            <v>20392303.091937196</v>
          </cell>
        </row>
        <row r="1905">
          <cell r="R1905" t="str">
            <v>Total Unclassified Plant by Factor.NA</v>
          </cell>
          <cell r="S1905">
            <v>111348248.94059165</v>
          </cell>
        </row>
        <row r="1906">
          <cell r="R1906" t="str">
            <v>Total Unclassified Plant by Factor.NA1</v>
          </cell>
          <cell r="S1906">
            <v>0</v>
          </cell>
        </row>
        <row r="1907">
          <cell r="R1907" t="str">
            <v>Total Electric Plant In Service.NA</v>
          </cell>
          <cell r="S1907">
            <v>13763058911.091122</v>
          </cell>
        </row>
        <row r="1908">
          <cell r="R1908" t="str">
            <v>Summary of Electric Plant by Factor.NA</v>
          </cell>
          <cell r="S1908">
            <v>0</v>
          </cell>
        </row>
        <row r="1909">
          <cell r="R1909" t="str">
            <v>Summary of Electric Plant by Factor.NA1</v>
          </cell>
          <cell r="S1909">
            <v>3700772889.0830665</v>
          </cell>
        </row>
        <row r="1910">
          <cell r="R1910" t="str">
            <v>Summary of Electric Plant by Factor.NA2</v>
          </cell>
          <cell r="S1910">
            <v>35502513.961025737</v>
          </cell>
        </row>
        <row r="1911">
          <cell r="R1911" t="str">
            <v>Summary of Electric Plant by Factor.NA3</v>
          </cell>
          <cell r="S1911">
            <v>0</v>
          </cell>
        </row>
        <row r="1912">
          <cell r="R1912" t="str">
            <v>Summary of Electric Plant by Factor.NA4</v>
          </cell>
          <cell r="S1912">
            <v>0</v>
          </cell>
        </row>
        <row r="1913">
          <cell r="R1913" t="str">
            <v>Summary of Electric Plant by Factor.NA5</v>
          </cell>
          <cell r="S1913">
            <v>9608926662.9135094</v>
          </cell>
        </row>
        <row r="1914">
          <cell r="R1914" t="str">
            <v>Summary of Electric Plant by Factor.NA6</v>
          </cell>
          <cell r="S1914">
            <v>331846645.67191875</v>
          </cell>
        </row>
        <row r="1915">
          <cell r="R1915" t="str">
            <v>Summary of Electric Plant by Factor.NA7</v>
          </cell>
          <cell r="S1915">
            <v>94973111.948594585</v>
          </cell>
        </row>
        <row r="1916">
          <cell r="R1916" t="str">
            <v>Summary of Electric Plant by Factor.NA8</v>
          </cell>
          <cell r="S1916">
            <v>0</v>
          </cell>
        </row>
        <row r="1917">
          <cell r="R1917" t="str">
            <v>Summary of Electric Plant by Factor.NA9</v>
          </cell>
          <cell r="S1917">
            <v>0</v>
          </cell>
        </row>
        <row r="1918">
          <cell r="R1918" t="str">
            <v>Summary of Electric Plant by Factor.NA10</v>
          </cell>
          <cell r="S1918">
            <v>0</v>
          </cell>
        </row>
        <row r="1919">
          <cell r="R1919" t="str">
            <v>Summary of Electric Plant by Factor.NA11</v>
          </cell>
          <cell r="S1919">
            <v>-8962912.4869941287</v>
          </cell>
        </row>
        <row r="1920">
          <cell r="R1920" t="str">
            <v>Summary of Electric Plant by Factor.NA12</v>
          </cell>
          <cell r="S1920">
            <v>13763058911.091122</v>
          </cell>
        </row>
        <row r="1921">
          <cell r="R1921" t="str">
            <v>105.NA</v>
          </cell>
          <cell r="S1921">
            <v>0</v>
          </cell>
        </row>
        <row r="1922">
          <cell r="R1922" t="str">
            <v>105.S</v>
          </cell>
          <cell r="S1922">
            <v>5730528.6500000004</v>
          </cell>
        </row>
        <row r="1923">
          <cell r="R1923" t="str">
            <v>105.SG</v>
          </cell>
          <cell r="S1923">
            <v>0</v>
          </cell>
        </row>
        <row r="1924">
          <cell r="R1924" t="str">
            <v>105.SG1</v>
          </cell>
          <cell r="S1924">
            <v>1609223.6645251778</v>
          </cell>
        </row>
        <row r="1925">
          <cell r="R1925" t="str">
            <v>105.SG2</v>
          </cell>
          <cell r="S1925">
            <v>3926029.4283984331</v>
          </cell>
        </row>
        <row r="1926">
          <cell r="R1926" t="str">
            <v>105.SE</v>
          </cell>
          <cell r="S1926">
            <v>0</v>
          </cell>
        </row>
        <row r="1927">
          <cell r="R1927" t="str">
            <v>105.SG3</v>
          </cell>
          <cell r="S1927">
            <v>-4908217.7765742587</v>
          </cell>
        </row>
        <row r="1928">
          <cell r="R1928" t="str">
            <v>105.NA1</v>
          </cell>
          <cell r="S1928">
            <v>0</v>
          </cell>
        </row>
        <row r="1929">
          <cell r="R1929" t="str">
            <v>105.NA2</v>
          </cell>
          <cell r="S1929">
            <v>0</v>
          </cell>
        </row>
        <row r="1930">
          <cell r="R1930" t="str">
            <v>Total Plant Held For Future Use.NA</v>
          </cell>
          <cell r="S1930">
            <v>6357563.9663493512</v>
          </cell>
        </row>
        <row r="1931">
          <cell r="R1931" t="str">
            <v>Total Plant Held For Future Use.NA1</v>
          </cell>
          <cell r="S1931">
            <v>0</v>
          </cell>
        </row>
        <row r="1932">
          <cell r="R1932" t="str">
            <v>114.NA</v>
          </cell>
          <cell r="S1932">
            <v>0</v>
          </cell>
        </row>
        <row r="1933">
          <cell r="R1933" t="str">
            <v>114.S</v>
          </cell>
          <cell r="S1933">
            <v>11763783.68</v>
          </cell>
        </row>
        <row r="1934">
          <cell r="R1934" t="str">
            <v>114.SG</v>
          </cell>
          <cell r="S1934">
            <v>63666447.26183252</v>
          </cell>
        </row>
        <row r="1935">
          <cell r="R1935" t="str">
            <v>114.SG1</v>
          </cell>
          <cell r="S1935">
            <v>0</v>
          </cell>
        </row>
        <row r="1936">
          <cell r="R1936" t="str">
            <v>Total Electric Plant Acquisition Adjustment.NA</v>
          </cell>
          <cell r="S1936">
            <v>75430230.941832513</v>
          </cell>
        </row>
        <row r="1937">
          <cell r="R1937" t="str">
            <v>Total Electric Plant Acquisition Adjustment.NA1</v>
          </cell>
          <cell r="S1937">
            <v>0</v>
          </cell>
        </row>
        <row r="1938">
          <cell r="R1938" t="str">
            <v>115.NA</v>
          </cell>
          <cell r="S1938">
            <v>0</v>
          </cell>
        </row>
        <row r="1939">
          <cell r="R1939" t="str">
            <v>115.S</v>
          </cell>
          <cell r="S1939">
            <v>-1897541.3500000008</v>
          </cell>
        </row>
        <row r="1940">
          <cell r="R1940" t="str">
            <v>115.SG</v>
          </cell>
          <cell r="S1940">
            <v>-60707957.852232166</v>
          </cell>
        </row>
        <row r="1941">
          <cell r="R1941" t="str">
            <v>115.SG1</v>
          </cell>
          <cell r="S1941">
            <v>0</v>
          </cell>
        </row>
        <row r="1942">
          <cell r="R1942" t="str">
            <v>115.NA1</v>
          </cell>
          <cell r="S1942">
            <v>-62605499.202232167</v>
          </cell>
        </row>
        <row r="1943">
          <cell r="R1943" t="str">
            <v>115.NA2</v>
          </cell>
          <cell r="S1943">
            <v>0</v>
          </cell>
        </row>
        <row r="1944">
          <cell r="R1944" t="str">
            <v>128.NA</v>
          </cell>
          <cell r="S1944">
            <v>0</v>
          </cell>
        </row>
        <row r="1945">
          <cell r="R1945" t="str">
            <v>128.SO</v>
          </cell>
          <cell r="S1945">
            <v>15224593.470853347</v>
          </cell>
        </row>
        <row r="1946">
          <cell r="R1946" t="str">
            <v>Total Pensions.NA</v>
          </cell>
          <cell r="S1946">
            <v>15224593.470853347</v>
          </cell>
        </row>
        <row r="1947">
          <cell r="R1947" t="str">
            <v>Total Pensions.NA1</v>
          </cell>
          <cell r="S1947">
            <v>0</v>
          </cell>
        </row>
        <row r="1948">
          <cell r="R1948" t="str">
            <v>124.NA</v>
          </cell>
          <cell r="S1948">
            <v>0</v>
          </cell>
        </row>
        <row r="1949">
          <cell r="R1949" t="str">
            <v>124.S</v>
          </cell>
          <cell r="S1949">
            <v>0</v>
          </cell>
        </row>
        <row r="1950">
          <cell r="R1950" t="str">
            <v>124.SO</v>
          </cell>
          <cell r="S1950">
            <v>-0.52870369694276398</v>
          </cell>
        </row>
        <row r="1951">
          <cell r="R1951" t="str">
            <v>124.NA1</v>
          </cell>
          <cell r="S1951">
            <v>-0.52870369694276398</v>
          </cell>
        </row>
        <row r="1952">
          <cell r="R1952" t="str">
            <v>124.NA2</v>
          </cell>
          <cell r="S1952">
            <v>0</v>
          </cell>
        </row>
        <row r="1953">
          <cell r="R1953" t="str">
            <v>182W.NA</v>
          </cell>
          <cell r="S1953">
            <v>0</v>
          </cell>
        </row>
        <row r="1954">
          <cell r="R1954" t="str">
            <v>182W.S</v>
          </cell>
          <cell r="S1954">
            <v>0</v>
          </cell>
        </row>
        <row r="1955">
          <cell r="R1955" t="str">
            <v>182W.SG</v>
          </cell>
          <cell r="S1955">
            <v>0</v>
          </cell>
        </row>
        <row r="1956">
          <cell r="R1956" t="str">
            <v>182W.SGCT</v>
          </cell>
          <cell r="S1956">
            <v>0</v>
          </cell>
        </row>
        <row r="1957">
          <cell r="R1957" t="str">
            <v>182W.SO</v>
          </cell>
          <cell r="S1957">
            <v>0</v>
          </cell>
        </row>
        <row r="1958">
          <cell r="R1958" t="str">
            <v>182W.NA1</v>
          </cell>
          <cell r="S1958">
            <v>0</v>
          </cell>
        </row>
        <row r="1959">
          <cell r="R1959" t="str">
            <v>182W.NA2</v>
          </cell>
          <cell r="S1959">
            <v>0</v>
          </cell>
        </row>
        <row r="1960">
          <cell r="R1960" t="str">
            <v>186W.NA</v>
          </cell>
          <cell r="S1960">
            <v>0</v>
          </cell>
        </row>
        <row r="1961">
          <cell r="R1961" t="str">
            <v>186W.S</v>
          </cell>
          <cell r="S1961">
            <v>0</v>
          </cell>
        </row>
        <row r="1962">
          <cell r="R1962" t="str">
            <v>186W.CN</v>
          </cell>
          <cell r="S1962">
            <v>0</v>
          </cell>
        </row>
        <row r="1963">
          <cell r="R1963" t="str">
            <v>186W.CNP</v>
          </cell>
          <cell r="S1963">
            <v>0</v>
          </cell>
        </row>
        <row r="1964">
          <cell r="R1964" t="str">
            <v>186W.SG</v>
          </cell>
          <cell r="S1964">
            <v>0</v>
          </cell>
        </row>
        <row r="1965">
          <cell r="R1965" t="str">
            <v>186W.SO</v>
          </cell>
          <cell r="S1965">
            <v>0</v>
          </cell>
        </row>
        <row r="1966">
          <cell r="R1966" t="str">
            <v>186W.NA1</v>
          </cell>
          <cell r="S1966">
            <v>0</v>
          </cell>
        </row>
        <row r="1967">
          <cell r="R1967" t="str">
            <v>186W.NA2</v>
          </cell>
          <cell r="S1967">
            <v>0</v>
          </cell>
        </row>
        <row r="1968">
          <cell r="R1968" t="str">
            <v>Total Weatherization.NA</v>
          </cell>
          <cell r="S1968">
            <v>-0.52870369694276398</v>
          </cell>
        </row>
        <row r="1969">
          <cell r="R1969" t="str">
            <v>Total Weatherization.NA1</v>
          </cell>
          <cell r="S1969">
            <v>0</v>
          </cell>
        </row>
        <row r="1970">
          <cell r="R1970" t="str">
            <v>151.NA</v>
          </cell>
          <cell r="S1970">
            <v>0</v>
          </cell>
        </row>
        <row r="1971">
          <cell r="R1971" t="str">
            <v>151.DEU</v>
          </cell>
          <cell r="S1971">
            <v>0</v>
          </cell>
        </row>
        <row r="1972">
          <cell r="R1972" t="str">
            <v>151.SE</v>
          </cell>
          <cell r="S1972">
            <v>72408143.541477546</v>
          </cell>
        </row>
        <row r="1973">
          <cell r="R1973" t="str">
            <v>151.SE1</v>
          </cell>
          <cell r="S1973">
            <v>0</v>
          </cell>
        </row>
        <row r="1974">
          <cell r="R1974" t="str">
            <v>151.SE2</v>
          </cell>
          <cell r="S1974">
            <v>4005003.6756821275</v>
          </cell>
        </row>
        <row r="1975">
          <cell r="R1975" t="str">
            <v>151.NA1</v>
          </cell>
          <cell r="S1975">
            <v>76413147.217159674</v>
          </cell>
        </row>
        <row r="1976">
          <cell r="R1976" t="str">
            <v>151.NA2</v>
          </cell>
          <cell r="S1976">
            <v>0</v>
          </cell>
        </row>
        <row r="1977">
          <cell r="R1977" t="str">
            <v>152.NA</v>
          </cell>
          <cell r="S1977">
            <v>0</v>
          </cell>
        </row>
        <row r="1978">
          <cell r="R1978" t="str">
            <v>152.SE</v>
          </cell>
          <cell r="S1978">
            <v>0</v>
          </cell>
        </row>
        <row r="1979">
          <cell r="R1979" t="str">
            <v>152.NA1</v>
          </cell>
          <cell r="S1979">
            <v>0</v>
          </cell>
        </row>
        <row r="1980">
          <cell r="R1980" t="str">
            <v>152.NA2</v>
          </cell>
          <cell r="S1980">
            <v>0</v>
          </cell>
        </row>
        <row r="1981">
          <cell r="R1981" t="str">
            <v>25316.NA</v>
          </cell>
          <cell r="S1981">
            <v>0</v>
          </cell>
        </row>
        <row r="1982">
          <cell r="R1982" t="str">
            <v>25316.SE</v>
          </cell>
          <cell r="S1982">
            <v>-894638.70755197969</v>
          </cell>
        </row>
        <row r="1983">
          <cell r="R1983" t="str">
            <v>25316.NA1</v>
          </cell>
          <cell r="S1983">
            <v>-894638.70755197969</v>
          </cell>
        </row>
        <row r="1984">
          <cell r="R1984" t="str">
            <v>25316.NA2</v>
          </cell>
          <cell r="S1984">
            <v>0</v>
          </cell>
        </row>
        <row r="1985">
          <cell r="R1985" t="str">
            <v>25317.NA</v>
          </cell>
          <cell r="S1985">
            <v>0</v>
          </cell>
        </row>
        <row r="1986">
          <cell r="R1986" t="str">
            <v>25317.SE</v>
          </cell>
          <cell r="S1986">
            <v>-1174024.2872640197</v>
          </cell>
        </row>
        <row r="1987">
          <cell r="R1987" t="str">
            <v>25317.NA1</v>
          </cell>
          <cell r="S1987">
            <v>-1174024.2872640197</v>
          </cell>
        </row>
        <row r="1988">
          <cell r="R1988" t="str">
            <v>25317.NA2</v>
          </cell>
          <cell r="S1988">
            <v>0</v>
          </cell>
        </row>
        <row r="1989">
          <cell r="R1989" t="str">
            <v>25319.NA</v>
          </cell>
          <cell r="S1989">
            <v>0</v>
          </cell>
        </row>
        <row r="1990">
          <cell r="R1990" t="str">
            <v>25319.SE</v>
          </cell>
          <cell r="S1990">
            <v>0</v>
          </cell>
        </row>
        <row r="1991">
          <cell r="R1991" t="str">
            <v>25319.NA1</v>
          </cell>
          <cell r="S1991">
            <v>0</v>
          </cell>
        </row>
        <row r="1992">
          <cell r="R1992" t="str">
            <v>25319.NA2</v>
          </cell>
          <cell r="S1992">
            <v>0</v>
          </cell>
        </row>
        <row r="1993">
          <cell r="R1993" t="str">
            <v>Total Fuel Stock.NA</v>
          </cell>
          <cell r="S1993">
            <v>74344484.222343668</v>
          </cell>
        </row>
        <row r="1994">
          <cell r="R1994" t="str">
            <v>154.NA</v>
          </cell>
          <cell r="S1994">
            <v>0</v>
          </cell>
        </row>
        <row r="1995">
          <cell r="R1995" t="str">
            <v>154.S</v>
          </cell>
          <cell r="S1995">
            <v>47854931.1815385</v>
          </cell>
        </row>
        <row r="1996">
          <cell r="R1996" t="str">
            <v>154.SG</v>
          </cell>
          <cell r="S1996">
            <v>-774236.41915670224</v>
          </cell>
        </row>
        <row r="1997">
          <cell r="R1997" t="str">
            <v>154.SE</v>
          </cell>
          <cell r="S1997">
            <v>0</v>
          </cell>
        </row>
        <row r="1998">
          <cell r="R1998" t="str">
            <v>154.SO</v>
          </cell>
          <cell r="S1998">
            <v>-29272.173257092491</v>
          </cell>
        </row>
        <row r="1999">
          <cell r="R1999" t="str">
            <v>154.SG1</v>
          </cell>
          <cell r="S1999">
            <v>51038214.077714592</v>
          </cell>
        </row>
        <row r="2000">
          <cell r="R2000" t="str">
            <v>154.SG2</v>
          </cell>
          <cell r="S2000">
            <v>3453.6100143915132</v>
          </cell>
        </row>
        <row r="2001">
          <cell r="R2001" t="str">
            <v>154.SNPD</v>
          </cell>
          <cell r="S2001">
            <v>-800457.26264270069</v>
          </cell>
        </row>
        <row r="2002">
          <cell r="R2002" t="str">
            <v>154.SG3</v>
          </cell>
          <cell r="S2002">
            <v>0</v>
          </cell>
        </row>
        <row r="2003">
          <cell r="R2003" t="str">
            <v>154.SG4</v>
          </cell>
          <cell r="S2003">
            <v>0</v>
          </cell>
        </row>
        <row r="2004">
          <cell r="R2004" t="str">
            <v>154.SG5</v>
          </cell>
          <cell r="S2004">
            <v>0</v>
          </cell>
        </row>
        <row r="2005">
          <cell r="R2005" t="str">
            <v>154.SG6</v>
          </cell>
          <cell r="S2005">
            <v>0</v>
          </cell>
        </row>
        <row r="2006">
          <cell r="R2006" t="str">
            <v>154.SG7</v>
          </cell>
          <cell r="S2006">
            <v>4138617.9941604743</v>
          </cell>
        </row>
        <row r="2007">
          <cell r="R2007" t="str">
            <v>154.SG8</v>
          </cell>
          <cell r="S2007">
            <v>0</v>
          </cell>
        </row>
        <row r="2008">
          <cell r="R2008" t="str">
            <v>154.NA1</v>
          </cell>
          <cell r="S2008">
            <v>101431251.00837147</v>
          </cell>
        </row>
        <row r="2009">
          <cell r="R2009" t="str">
            <v>154.NA2</v>
          </cell>
          <cell r="S2009">
            <v>0</v>
          </cell>
        </row>
        <row r="2010">
          <cell r="R2010" t="str">
            <v>163.NA</v>
          </cell>
          <cell r="S2010">
            <v>0</v>
          </cell>
        </row>
        <row r="2011">
          <cell r="R2011" t="str">
            <v>163.SO</v>
          </cell>
          <cell r="S2011">
            <v>0</v>
          </cell>
        </row>
        <row r="2012">
          <cell r="R2012" t="str">
            <v>163.NA1</v>
          </cell>
          <cell r="S2012">
            <v>0</v>
          </cell>
        </row>
        <row r="2013">
          <cell r="R2013" t="str">
            <v>163.NA2</v>
          </cell>
          <cell r="S2013">
            <v>0</v>
          </cell>
        </row>
        <row r="2014">
          <cell r="R2014" t="str">
            <v>163.NA3</v>
          </cell>
          <cell r="S2014">
            <v>0</v>
          </cell>
        </row>
        <row r="2015">
          <cell r="R2015" t="str">
            <v>25318.NA</v>
          </cell>
          <cell r="S2015">
            <v>0</v>
          </cell>
        </row>
        <row r="2016">
          <cell r="R2016" t="str">
            <v>25318.SG</v>
          </cell>
          <cell r="S2016">
            <v>-120113.16990110057</v>
          </cell>
        </row>
        <row r="2017">
          <cell r="R2017" t="str">
            <v>25318.NA1</v>
          </cell>
          <cell r="S2017">
            <v>0</v>
          </cell>
        </row>
        <row r="2018">
          <cell r="R2018" t="str">
            <v>25318.NA2</v>
          </cell>
          <cell r="S2018">
            <v>-120113.16990110057</v>
          </cell>
        </row>
        <row r="2019">
          <cell r="R2019" t="str">
            <v>25318.NA3</v>
          </cell>
          <cell r="S2019">
            <v>0</v>
          </cell>
        </row>
        <row r="2020">
          <cell r="R2020" t="str">
            <v>Total Materials and Supplies.NA</v>
          </cell>
          <cell r="S2020">
            <v>101311137.83847037</v>
          </cell>
        </row>
        <row r="2021">
          <cell r="R2021" t="str">
            <v>Total Materials and Supplies.NA1</v>
          </cell>
          <cell r="S2021">
            <v>0</v>
          </cell>
        </row>
        <row r="2022">
          <cell r="R2022" t="str">
            <v>165.NA</v>
          </cell>
          <cell r="S2022">
            <v>0</v>
          </cell>
        </row>
        <row r="2023">
          <cell r="R2023" t="str">
            <v>165.S</v>
          </cell>
          <cell r="S2023">
            <v>3352695.03230769</v>
          </cell>
        </row>
        <row r="2024">
          <cell r="R2024" t="str">
            <v>165.GPS</v>
          </cell>
          <cell r="S2024">
            <v>2551603.5634561782</v>
          </cell>
        </row>
        <row r="2025">
          <cell r="R2025" t="str">
            <v>165.SG</v>
          </cell>
          <cell r="S2025">
            <v>1471553.1274961112</v>
          </cell>
        </row>
        <row r="2026">
          <cell r="R2026" t="str">
            <v>165.SE</v>
          </cell>
          <cell r="S2026">
            <v>1556.4185510881327</v>
          </cell>
        </row>
        <row r="2027">
          <cell r="R2027" t="str">
            <v>165.SO</v>
          </cell>
          <cell r="S2027">
            <v>9088642.6490861289</v>
          </cell>
        </row>
        <row r="2028">
          <cell r="R2028" t="str">
            <v>Total Prepayments.NA</v>
          </cell>
          <cell r="S2028">
            <v>16466050.790897196</v>
          </cell>
        </row>
        <row r="2029">
          <cell r="R2029" t="str">
            <v>Total Prepayments.NA1</v>
          </cell>
          <cell r="S2029">
            <v>0</v>
          </cell>
        </row>
        <row r="2030">
          <cell r="R2030" t="str">
            <v>182M.NA</v>
          </cell>
          <cell r="S2030">
            <v>0</v>
          </cell>
        </row>
        <row r="2031">
          <cell r="R2031" t="str">
            <v>182M.S</v>
          </cell>
          <cell r="S2031">
            <v>1717933.32230769</v>
          </cell>
        </row>
        <row r="2032">
          <cell r="R2032" t="str">
            <v>182M.SG</v>
          </cell>
          <cell r="S2032">
            <v>10727395.704461042</v>
          </cell>
        </row>
        <row r="2033">
          <cell r="R2033" t="str">
            <v>182M.SGCT</v>
          </cell>
          <cell r="S2033">
            <v>0</v>
          </cell>
        </row>
        <row r="2034">
          <cell r="R2034" t="str">
            <v>182M.SG-P</v>
          </cell>
          <cell r="S2034">
            <v>0</v>
          </cell>
        </row>
        <row r="2035">
          <cell r="R2035" t="str">
            <v>182M.SE</v>
          </cell>
          <cell r="S2035">
            <v>49911277.883508444</v>
          </cell>
        </row>
        <row r="2036">
          <cell r="R2036" t="str">
            <v>182M.SG1</v>
          </cell>
          <cell r="S2036">
            <v>0</v>
          </cell>
        </row>
        <row r="2037">
          <cell r="R2037" t="str">
            <v>182M.SO</v>
          </cell>
          <cell r="S2037">
            <v>157512702.13366485</v>
          </cell>
        </row>
        <row r="2038">
          <cell r="R2038" t="str">
            <v>182M.NA1</v>
          </cell>
          <cell r="S2038">
            <v>219869309.04394203</v>
          </cell>
        </row>
        <row r="2039">
          <cell r="R2039" t="str">
            <v>182M.NA2</v>
          </cell>
          <cell r="S2039">
            <v>0</v>
          </cell>
        </row>
        <row r="2040">
          <cell r="R2040" t="str">
            <v>186M.NA</v>
          </cell>
          <cell r="S2040">
            <v>0</v>
          </cell>
        </row>
        <row r="2041">
          <cell r="R2041" t="str">
            <v>186M.S</v>
          </cell>
          <cell r="S2041">
            <v>0</v>
          </cell>
        </row>
        <row r="2042">
          <cell r="R2042" t="str">
            <v>186M.SG</v>
          </cell>
          <cell r="S2042">
            <v>0</v>
          </cell>
        </row>
        <row r="2043">
          <cell r="R2043" t="str">
            <v>186M.SG1</v>
          </cell>
          <cell r="S2043">
            <v>0</v>
          </cell>
        </row>
        <row r="2044">
          <cell r="R2044" t="str">
            <v>186M.SG2</v>
          </cell>
          <cell r="S2044">
            <v>38591806.727078401</v>
          </cell>
        </row>
        <row r="2045">
          <cell r="R2045" t="str">
            <v>186M.SO</v>
          </cell>
          <cell r="S2045">
            <v>123203.71931227816</v>
          </cell>
        </row>
        <row r="2046">
          <cell r="R2046" t="str">
            <v>186M.SE</v>
          </cell>
          <cell r="S2046">
            <v>763342.59572685813</v>
          </cell>
        </row>
        <row r="2047">
          <cell r="R2047" t="str">
            <v>186M.SG3</v>
          </cell>
          <cell r="S2047">
            <v>0</v>
          </cell>
        </row>
        <row r="2048">
          <cell r="R2048" t="str">
            <v>186M.EXCTAX</v>
          </cell>
          <cell r="S2048">
            <v>0</v>
          </cell>
        </row>
        <row r="2049">
          <cell r="R2049" t="str">
            <v>Total Misc. Deferred Debits.NA</v>
          </cell>
          <cell r="S2049">
            <v>39478353.042117536</v>
          </cell>
        </row>
        <row r="2050">
          <cell r="R2050" t="str">
            <v>Total Misc. Deferred Debits.NA1</v>
          </cell>
          <cell r="S2050">
            <v>0</v>
          </cell>
        </row>
        <row r="2051">
          <cell r="R2051" t="str">
            <v>Working Capital.NA</v>
          </cell>
          <cell r="S2051">
            <v>0</v>
          </cell>
        </row>
        <row r="2052">
          <cell r="R2052" t="str">
            <v>CWC.NA</v>
          </cell>
          <cell r="S2052">
            <v>0</v>
          </cell>
        </row>
        <row r="2053">
          <cell r="R2053" t="str">
            <v>CWC.S</v>
          </cell>
          <cell r="S2053">
            <v>13000964.312133288</v>
          </cell>
        </row>
        <row r="2054">
          <cell r="R2054" t="str">
            <v>CWC.SO</v>
          </cell>
          <cell r="S2054">
            <v>0</v>
          </cell>
        </row>
        <row r="2055">
          <cell r="R2055" t="str">
            <v>CWC.SE</v>
          </cell>
          <cell r="S2055">
            <v>0</v>
          </cell>
        </row>
        <row r="2056">
          <cell r="R2056" t="str">
            <v>CWC.NA1</v>
          </cell>
          <cell r="S2056">
            <v>13000964.312133288</v>
          </cell>
        </row>
        <row r="2057">
          <cell r="R2057" t="str">
            <v>CWC.NA2</v>
          </cell>
          <cell r="S2057">
            <v>0</v>
          </cell>
        </row>
        <row r="2058">
          <cell r="R2058" t="str">
            <v>OWC.NA</v>
          </cell>
          <cell r="S2058">
            <v>0</v>
          </cell>
        </row>
        <row r="2059">
          <cell r="R2059" t="str">
            <v>131.SNP</v>
          </cell>
          <cell r="S2059">
            <v>0</v>
          </cell>
        </row>
        <row r="2060">
          <cell r="R2060" t="str">
            <v>135.SG</v>
          </cell>
          <cell r="S2060">
            <v>0</v>
          </cell>
        </row>
        <row r="2061">
          <cell r="R2061" t="str">
            <v>141.SO</v>
          </cell>
          <cell r="S2061">
            <v>0</v>
          </cell>
        </row>
        <row r="2062">
          <cell r="R2062" t="str">
            <v>143.SO</v>
          </cell>
          <cell r="S2062">
            <v>17072786.899066489</v>
          </cell>
        </row>
        <row r="2063">
          <cell r="R2063" t="str">
            <v>232.S</v>
          </cell>
          <cell r="S2063">
            <v>0</v>
          </cell>
        </row>
        <row r="2064">
          <cell r="R2064" t="str">
            <v>232.SO</v>
          </cell>
          <cell r="S2064">
            <v>-3055248.4687979217</v>
          </cell>
        </row>
        <row r="2065">
          <cell r="R2065" t="str">
            <v>232.SE</v>
          </cell>
          <cell r="S2065">
            <v>-751184.91154286126</v>
          </cell>
        </row>
        <row r="2066">
          <cell r="R2066" t="str">
            <v>232.SG</v>
          </cell>
          <cell r="S2066">
            <v>-1314497.126248159</v>
          </cell>
        </row>
        <row r="2067">
          <cell r="R2067" t="str">
            <v>2533.S</v>
          </cell>
          <cell r="S2067">
            <v>0</v>
          </cell>
        </row>
        <row r="2068">
          <cell r="R2068" t="str">
            <v>2533.SE</v>
          </cell>
          <cell r="S2068">
            <v>-3102304.7482051989</v>
          </cell>
        </row>
        <row r="2069">
          <cell r="R2069" t="str">
            <v>230.SG</v>
          </cell>
          <cell r="S2069">
            <v>0</v>
          </cell>
        </row>
        <row r="2070">
          <cell r="R2070" t="str">
            <v>230.S</v>
          </cell>
          <cell r="S2070">
            <v>0</v>
          </cell>
        </row>
        <row r="2071">
          <cell r="R2071" t="str">
            <v>254.SG</v>
          </cell>
          <cell r="S2071">
            <v>-8891378.2818789314</v>
          </cell>
        </row>
        <row r="2072">
          <cell r="R2072" t="str">
            <v>254.TROJD</v>
          </cell>
          <cell r="S2072">
            <v>0</v>
          </cell>
        </row>
        <row r="2073">
          <cell r="R2073" t="str">
            <v>2533.SE1</v>
          </cell>
          <cell r="S2073">
            <v>0</v>
          </cell>
        </row>
        <row r="2074">
          <cell r="R2074" t="str">
            <v>2533.NA</v>
          </cell>
          <cell r="S2074">
            <v>-41826.637606581673</v>
          </cell>
        </row>
        <row r="2075">
          <cell r="R2075" t="str">
            <v>2533.NA1</v>
          </cell>
          <cell r="S2075">
            <v>0</v>
          </cell>
        </row>
        <row r="2076">
          <cell r="R2076" t="str">
            <v>Total Working Capital.NA</v>
          </cell>
          <cell r="S2076">
            <v>12959137.674526701</v>
          </cell>
        </row>
        <row r="2077">
          <cell r="R2077" t="str">
            <v>Miscellaneous Rate Base.NA</v>
          </cell>
          <cell r="S2077">
            <v>0</v>
          </cell>
        </row>
        <row r="2078">
          <cell r="R2078" t="str">
            <v>18221.NA</v>
          </cell>
          <cell r="S2078">
            <v>0</v>
          </cell>
        </row>
        <row r="2079">
          <cell r="R2079" t="str">
            <v>18221.S</v>
          </cell>
          <cell r="S2079">
            <v>0</v>
          </cell>
        </row>
        <row r="2080">
          <cell r="R2080" t="str">
            <v>18221.NA1</v>
          </cell>
          <cell r="S2080">
            <v>0</v>
          </cell>
        </row>
        <row r="2081">
          <cell r="R2081" t="str">
            <v>18221.NA2</v>
          </cell>
          <cell r="S2081">
            <v>0</v>
          </cell>
        </row>
        <row r="2082">
          <cell r="R2082" t="str">
            <v>18221.NA3</v>
          </cell>
          <cell r="S2082">
            <v>0</v>
          </cell>
        </row>
        <row r="2083">
          <cell r="R2083" t="str">
            <v>18222.NA</v>
          </cell>
          <cell r="S2083">
            <v>0</v>
          </cell>
        </row>
        <row r="2084">
          <cell r="R2084" t="str">
            <v>18222.S</v>
          </cell>
          <cell r="S2084">
            <v>0</v>
          </cell>
        </row>
        <row r="2085">
          <cell r="R2085" t="str">
            <v>18222.TROJP</v>
          </cell>
          <cell r="S2085">
            <v>0</v>
          </cell>
        </row>
        <row r="2086">
          <cell r="R2086" t="str">
            <v>18222.TROJD</v>
          </cell>
          <cell r="S2086">
            <v>0</v>
          </cell>
        </row>
        <row r="2087">
          <cell r="R2087" t="str">
            <v>18222.NA1</v>
          </cell>
          <cell r="S2087">
            <v>0</v>
          </cell>
        </row>
        <row r="2088">
          <cell r="R2088" t="str">
            <v>18222.NA2</v>
          </cell>
          <cell r="S2088">
            <v>0</v>
          </cell>
        </row>
        <row r="2089">
          <cell r="R2089" t="str">
            <v>18222.NA3</v>
          </cell>
          <cell r="S2089">
            <v>0</v>
          </cell>
        </row>
        <row r="2090">
          <cell r="R2090" t="str">
            <v>18222.NA4</v>
          </cell>
          <cell r="S2090">
            <v>0</v>
          </cell>
        </row>
        <row r="2091">
          <cell r="R2091" t="str">
            <v>1869.NA</v>
          </cell>
          <cell r="S2091">
            <v>0</v>
          </cell>
        </row>
        <row r="2092">
          <cell r="R2092" t="str">
            <v>1869.S</v>
          </cell>
          <cell r="S2092">
            <v>0</v>
          </cell>
        </row>
        <row r="2093">
          <cell r="R2093" t="str">
            <v>1869.SG</v>
          </cell>
          <cell r="S2093">
            <v>0</v>
          </cell>
        </row>
        <row r="2094">
          <cell r="R2094" t="str">
            <v>1869.NA1</v>
          </cell>
          <cell r="S2094">
            <v>0</v>
          </cell>
        </row>
        <row r="2095">
          <cell r="R2095" t="str">
            <v>1869.NA2</v>
          </cell>
          <cell r="S2095">
            <v>0</v>
          </cell>
        </row>
        <row r="2096">
          <cell r="R2096" t="str">
            <v>Total Miscellaneous Rate Base.NA</v>
          </cell>
          <cell r="S2096">
            <v>0</v>
          </cell>
        </row>
        <row r="2097">
          <cell r="R2097" t="str">
            <v>Total Miscellaneous Rate Base.NA1</v>
          </cell>
          <cell r="S2097">
            <v>0</v>
          </cell>
        </row>
        <row r="2098">
          <cell r="R2098" t="str">
            <v>Total Rate Base Additions.NA</v>
          </cell>
          <cell r="S2098">
            <v>498835361.2603969</v>
          </cell>
        </row>
        <row r="2099">
          <cell r="R2099" t="str">
            <v>235.NA</v>
          </cell>
          <cell r="S2099">
            <v>0</v>
          </cell>
        </row>
        <row r="2100">
          <cell r="R2100" t="str">
            <v>235.S</v>
          </cell>
          <cell r="S2100">
            <v>-16275584.48076923</v>
          </cell>
        </row>
        <row r="2101">
          <cell r="R2101" t="str">
            <v>235.CN</v>
          </cell>
          <cell r="S2101">
            <v>0</v>
          </cell>
        </row>
        <row r="2102">
          <cell r="R2102" t="str">
            <v>Total Customer Service Deposits.NA</v>
          </cell>
          <cell r="S2102">
            <v>-16275584.48076923</v>
          </cell>
        </row>
        <row r="2103">
          <cell r="R2103" t="str">
            <v>Total Customer Service Deposits.NA1</v>
          </cell>
          <cell r="S2103">
            <v>0</v>
          </cell>
        </row>
        <row r="2104">
          <cell r="R2104" t="str">
            <v>2281.S</v>
          </cell>
          <cell r="S2104">
            <v>-7461026.9015384596</v>
          </cell>
        </row>
        <row r="2105">
          <cell r="R2105" t="str">
            <v>2282.SO</v>
          </cell>
          <cell r="S2105">
            <v>1.3835855702764482E-8</v>
          </cell>
        </row>
        <row r="2106">
          <cell r="R2106" t="str">
            <v>2283.SO</v>
          </cell>
          <cell r="S2106">
            <v>-14133201.924276644</v>
          </cell>
        </row>
        <row r="2107">
          <cell r="R2107" t="str">
            <v>254.SO</v>
          </cell>
          <cell r="S2107">
            <v>-616919.68008627894</v>
          </cell>
        </row>
        <row r="2108">
          <cell r="R2108" t="str">
            <v>2282.S</v>
          </cell>
          <cell r="S2108">
            <v>0</v>
          </cell>
        </row>
        <row r="2109">
          <cell r="R2109" t="str">
            <v>25335.SE</v>
          </cell>
          <cell r="S2109">
            <v>-49911277.883508347</v>
          </cell>
        </row>
        <row r="2110">
          <cell r="R2110" t="str">
            <v>25335.NA</v>
          </cell>
          <cell r="S2110">
            <v>-72122426.389409721</v>
          </cell>
        </row>
        <row r="2111">
          <cell r="R2111" t="str">
            <v>25335.NA1</v>
          </cell>
          <cell r="S2111">
            <v>0</v>
          </cell>
        </row>
        <row r="2112">
          <cell r="R2112" t="str">
            <v>22841.NA</v>
          </cell>
          <cell r="S2112">
            <v>0</v>
          </cell>
        </row>
        <row r="2113">
          <cell r="R2113" t="str">
            <v>22841.S</v>
          </cell>
          <cell r="S2113">
            <v>0</v>
          </cell>
        </row>
        <row r="2114">
          <cell r="R2114" t="str">
            <v>22841.SG</v>
          </cell>
          <cell r="S2114">
            <v>-211135.01297051625</v>
          </cell>
        </row>
        <row r="2115">
          <cell r="R2115" t="str">
            <v>22841.NA1</v>
          </cell>
          <cell r="S2115">
            <v>-211135.01297051625</v>
          </cell>
        </row>
        <row r="2116">
          <cell r="R2116" t="str">
            <v>22841.NA2</v>
          </cell>
          <cell r="S2116">
            <v>0</v>
          </cell>
        </row>
        <row r="2117">
          <cell r="R2117" t="str">
            <v>254105.S</v>
          </cell>
          <cell r="S2117">
            <v>0</v>
          </cell>
        </row>
        <row r="2118">
          <cell r="R2118" t="str">
            <v>230.TROJD</v>
          </cell>
          <cell r="S2118">
            <v>-1301810.3078051887</v>
          </cell>
        </row>
        <row r="2119">
          <cell r="R2119" t="str">
            <v>254105.TROJD</v>
          </cell>
          <cell r="S2119">
            <v>0</v>
          </cell>
        </row>
        <row r="2120">
          <cell r="R2120" t="str">
            <v>254.S</v>
          </cell>
          <cell r="S2120">
            <v>-667607637.67556083</v>
          </cell>
        </row>
        <row r="2121">
          <cell r="R2121" t="str">
            <v>254.NA</v>
          </cell>
          <cell r="S2121">
            <v>-668909447.98336601</v>
          </cell>
        </row>
        <row r="2122">
          <cell r="R2122" t="str">
            <v>254.NA1</v>
          </cell>
          <cell r="S2122">
            <v>0</v>
          </cell>
        </row>
        <row r="2123">
          <cell r="R2123" t="str">
            <v>252.NA</v>
          </cell>
          <cell r="S2123">
            <v>0</v>
          </cell>
        </row>
        <row r="2124">
          <cell r="R2124" t="str">
            <v>252.S</v>
          </cell>
          <cell r="S2124">
            <v>-12671502.164615389</v>
          </cell>
        </row>
        <row r="2125">
          <cell r="R2125" t="str">
            <v>252.SE</v>
          </cell>
          <cell r="S2125">
            <v>0</v>
          </cell>
        </row>
        <row r="2126">
          <cell r="R2126" t="str">
            <v>252.SG</v>
          </cell>
          <cell r="S2126">
            <v>-25370657.526331663</v>
          </cell>
        </row>
        <row r="2127">
          <cell r="R2127" t="str">
            <v>252.SO</v>
          </cell>
          <cell r="S2127">
            <v>0</v>
          </cell>
        </row>
        <row r="2128">
          <cell r="R2128" t="str">
            <v>252.CN</v>
          </cell>
          <cell r="S2128">
            <v>0</v>
          </cell>
        </row>
        <row r="2129">
          <cell r="R2129" t="str">
            <v>Total Customer Advances for Construction.NA</v>
          </cell>
          <cell r="S2129">
            <v>-38042159.690947056</v>
          </cell>
        </row>
        <row r="2130">
          <cell r="R2130" t="str">
            <v>Total Customer Advances for Construction.NA1</v>
          </cell>
          <cell r="S2130">
            <v>0</v>
          </cell>
        </row>
        <row r="2131">
          <cell r="R2131" t="str">
            <v>25398.NA</v>
          </cell>
          <cell r="S2131">
            <v>0</v>
          </cell>
        </row>
        <row r="2132">
          <cell r="R2132" t="str">
            <v>25398.SE</v>
          </cell>
          <cell r="S2132">
            <v>0</v>
          </cell>
        </row>
        <row r="2133">
          <cell r="R2133" t="str">
            <v>25398.NA1</v>
          </cell>
          <cell r="S2133">
            <v>0</v>
          </cell>
        </row>
        <row r="2134">
          <cell r="R2134" t="str">
            <v>25398.NA2</v>
          </cell>
          <cell r="S2134">
            <v>0</v>
          </cell>
        </row>
        <row r="2135">
          <cell r="R2135" t="str">
            <v>25399.NA</v>
          </cell>
          <cell r="S2135">
            <v>0</v>
          </cell>
        </row>
        <row r="2136">
          <cell r="R2136" t="str">
            <v>25399.S</v>
          </cell>
          <cell r="S2136">
            <v>-870564.97846153798</v>
          </cell>
        </row>
        <row r="2137">
          <cell r="R2137" t="str">
            <v>25399.SO</v>
          </cell>
          <cell r="S2137">
            <v>-24643912.748392604</v>
          </cell>
        </row>
        <row r="2138">
          <cell r="R2138" t="str">
            <v>25399.SG</v>
          </cell>
          <cell r="S2138">
            <v>-9436347.8009296414</v>
          </cell>
        </row>
        <row r="2139">
          <cell r="R2139" t="str">
            <v>25399.SE</v>
          </cell>
          <cell r="S2139">
            <v>-3248856.7132753734</v>
          </cell>
        </row>
        <row r="2140">
          <cell r="R2140" t="str">
            <v>25399.NA1</v>
          </cell>
          <cell r="S2140">
            <v>-38199682.241059154</v>
          </cell>
        </row>
        <row r="2141">
          <cell r="R2141" t="str">
            <v>25399.NA2</v>
          </cell>
          <cell r="S2141">
            <v>0</v>
          </cell>
        </row>
        <row r="2142">
          <cell r="R2142" t="str">
            <v>190.NA</v>
          </cell>
          <cell r="S2142">
            <v>0</v>
          </cell>
        </row>
        <row r="2143">
          <cell r="R2143" t="str">
            <v>190.S</v>
          </cell>
          <cell r="S2143">
            <v>165161985.07727662</v>
          </cell>
        </row>
        <row r="2144">
          <cell r="R2144" t="str">
            <v>190.CN</v>
          </cell>
          <cell r="S2144">
            <v>0</v>
          </cell>
        </row>
        <row r="2145">
          <cell r="R2145" t="str">
            <v>190.SO</v>
          </cell>
          <cell r="S2145">
            <v>29916200.073903497</v>
          </cell>
        </row>
        <row r="2146">
          <cell r="R2146" t="str">
            <v>190.DGP</v>
          </cell>
          <cell r="S2146">
            <v>0</v>
          </cell>
        </row>
        <row r="2147">
          <cell r="R2147" t="str">
            <v>190.IBT</v>
          </cell>
          <cell r="S2147">
            <v>0</v>
          </cell>
        </row>
        <row r="2148">
          <cell r="R2148" t="str">
            <v>190.SG</v>
          </cell>
          <cell r="S2148">
            <v>0</v>
          </cell>
        </row>
        <row r="2149">
          <cell r="R2149" t="str">
            <v>190.SG1</v>
          </cell>
          <cell r="S2149">
            <v>0</v>
          </cell>
        </row>
        <row r="2150">
          <cell r="R2150" t="str">
            <v>190.BADDEBT</v>
          </cell>
          <cell r="S2150">
            <v>918486.34020850994</v>
          </cell>
        </row>
        <row r="2151">
          <cell r="R2151" t="str">
            <v>190.TROJD</v>
          </cell>
          <cell r="S2151">
            <v>1.5190225820258202E-2</v>
          </cell>
        </row>
        <row r="2152">
          <cell r="R2152" t="str">
            <v>190.SG2</v>
          </cell>
          <cell r="S2152">
            <v>2823695.8523191991</v>
          </cell>
        </row>
        <row r="2153">
          <cell r="R2153" t="str">
            <v>190.SE</v>
          </cell>
          <cell r="S2153">
            <v>-2431361.9290680354</v>
          </cell>
        </row>
        <row r="2154">
          <cell r="R2154" t="str">
            <v>190.SNP</v>
          </cell>
          <cell r="S2154">
            <v>0</v>
          </cell>
        </row>
        <row r="2155">
          <cell r="R2155" t="str">
            <v>190.SNPD</v>
          </cell>
          <cell r="S2155">
            <v>937084.53193211625</v>
          </cell>
        </row>
        <row r="2156">
          <cell r="R2156" t="str">
            <v>190.SG3</v>
          </cell>
          <cell r="S2156">
            <v>0</v>
          </cell>
        </row>
        <row r="2157">
          <cell r="R2157" t="str">
            <v>190.NA1</v>
          </cell>
          <cell r="S2157">
            <v>197326089.96176213</v>
          </cell>
        </row>
        <row r="2158">
          <cell r="R2158" t="str">
            <v>190.NA2</v>
          </cell>
          <cell r="S2158">
            <v>0</v>
          </cell>
        </row>
        <row r="2159">
          <cell r="R2159" t="str">
            <v>281.NA</v>
          </cell>
          <cell r="S2159">
            <v>0</v>
          </cell>
        </row>
        <row r="2160">
          <cell r="R2160" t="str">
            <v>281.S</v>
          </cell>
          <cell r="S2160">
            <v>0</v>
          </cell>
        </row>
        <row r="2161">
          <cell r="R2161" t="str">
            <v>281.SG</v>
          </cell>
          <cell r="S2161">
            <v>-2.3690867334736515E-3</v>
          </cell>
        </row>
        <row r="2162">
          <cell r="R2162" t="str">
            <v>281.SG1</v>
          </cell>
          <cell r="S2162">
            <v>0</v>
          </cell>
        </row>
        <row r="2163">
          <cell r="R2163" t="str">
            <v>281.NA1</v>
          </cell>
          <cell r="S2163">
            <v>-2.3690867334736515E-3</v>
          </cell>
        </row>
        <row r="2164">
          <cell r="R2164" t="str">
            <v>281.NA2</v>
          </cell>
          <cell r="S2164">
            <v>0</v>
          </cell>
        </row>
        <row r="2165">
          <cell r="R2165" t="str">
            <v>282.NA</v>
          </cell>
          <cell r="S2165">
            <v>0</v>
          </cell>
        </row>
        <row r="2166">
          <cell r="R2166" t="str">
            <v>282.S</v>
          </cell>
          <cell r="S2166">
            <v>-1251574031.0192277</v>
          </cell>
        </row>
        <row r="2167">
          <cell r="R2167" t="str">
            <v>282.DITBAL</v>
          </cell>
          <cell r="S2167">
            <v>0.53353861285574833</v>
          </cell>
        </row>
        <row r="2168">
          <cell r="R2168" t="str">
            <v>282.SNP</v>
          </cell>
          <cell r="S2168">
            <v>0</v>
          </cell>
        </row>
        <row r="2169">
          <cell r="R2169" t="str">
            <v>282.SO</v>
          </cell>
          <cell r="S2169">
            <v>-471434.28427006945</v>
          </cell>
        </row>
        <row r="2170">
          <cell r="R2170" t="str">
            <v>282.GPS</v>
          </cell>
          <cell r="S2170">
            <v>0</v>
          </cell>
        </row>
        <row r="2171">
          <cell r="R2171" t="str">
            <v>282.CIAC</v>
          </cell>
          <cell r="S2171">
            <v>0</v>
          </cell>
        </row>
        <row r="2172">
          <cell r="R2172" t="str">
            <v>282.SNPD</v>
          </cell>
          <cell r="S2172">
            <v>0</v>
          </cell>
        </row>
        <row r="2173">
          <cell r="R2173" t="str">
            <v>282.SCHMDEXP</v>
          </cell>
          <cell r="S2173">
            <v>0</v>
          </cell>
        </row>
        <row r="2174">
          <cell r="R2174" t="str">
            <v>282.TAXDEPR</v>
          </cell>
          <cell r="S2174">
            <v>0</v>
          </cell>
        </row>
        <row r="2175">
          <cell r="R2175" t="str">
            <v>282.DGP</v>
          </cell>
          <cell r="S2175">
            <v>0</v>
          </cell>
        </row>
        <row r="2176">
          <cell r="R2176" t="str">
            <v>282.IBT</v>
          </cell>
          <cell r="S2176">
            <v>0</v>
          </cell>
        </row>
        <row r="2177">
          <cell r="R2177" t="str">
            <v>282.SG</v>
          </cell>
          <cell r="S2177">
            <v>0</v>
          </cell>
        </row>
        <row r="2178">
          <cell r="R2178" t="str">
            <v>282.SG1</v>
          </cell>
          <cell r="S2178">
            <v>0</v>
          </cell>
        </row>
        <row r="2179">
          <cell r="R2179" t="str">
            <v>282.SE</v>
          </cell>
          <cell r="S2179">
            <v>-1143390.178720556</v>
          </cell>
        </row>
        <row r="2180">
          <cell r="R2180" t="str">
            <v>282.SG2</v>
          </cell>
          <cell r="S2180">
            <v>-72647124.146654278</v>
          </cell>
        </row>
        <row r="2181">
          <cell r="R2181" t="str">
            <v>282.NA1</v>
          </cell>
          <cell r="S2181">
            <v>-1325835979.0953341</v>
          </cell>
        </row>
        <row r="2182">
          <cell r="R2182" t="str">
            <v>282.NA2</v>
          </cell>
          <cell r="S2182">
            <v>0</v>
          </cell>
        </row>
        <row r="2183">
          <cell r="R2183" t="str">
            <v>283.NA</v>
          </cell>
          <cell r="S2183">
            <v>0</v>
          </cell>
        </row>
        <row r="2184">
          <cell r="R2184" t="str">
            <v>283.S</v>
          </cell>
          <cell r="S2184">
            <v>-1987949.2084615338</v>
          </cell>
        </row>
        <row r="2185">
          <cell r="R2185" t="str">
            <v>283.SG</v>
          </cell>
          <cell r="S2185">
            <v>-2990167.4177126922</v>
          </cell>
        </row>
        <row r="2186">
          <cell r="R2186" t="str">
            <v>283.SE</v>
          </cell>
          <cell r="S2186">
            <v>-0.2324559780279665</v>
          </cell>
        </row>
        <row r="2187">
          <cell r="R2187" t="str">
            <v>283.SO</v>
          </cell>
          <cell r="S2187">
            <v>-40744220.188604347</v>
          </cell>
        </row>
        <row r="2188">
          <cell r="R2188" t="str">
            <v>283.GPS</v>
          </cell>
          <cell r="S2188">
            <v>-2980468.4366821172</v>
          </cell>
        </row>
        <row r="2189">
          <cell r="R2189" t="str">
            <v>283.SNP</v>
          </cell>
          <cell r="S2189">
            <v>-339090.25584380049</v>
          </cell>
        </row>
        <row r="2190">
          <cell r="R2190" t="str">
            <v>283.TROJD</v>
          </cell>
          <cell r="S2190">
            <v>0</v>
          </cell>
        </row>
        <row r="2191">
          <cell r="R2191" t="str">
            <v>283.SG1</v>
          </cell>
          <cell r="S2191">
            <v>0</v>
          </cell>
        </row>
        <row r="2192">
          <cell r="R2192" t="str">
            <v>283.SG2</v>
          </cell>
          <cell r="S2192">
            <v>0</v>
          </cell>
        </row>
        <row r="2193">
          <cell r="R2193" t="str">
            <v>283.SG3</v>
          </cell>
          <cell r="S2193">
            <v>0</v>
          </cell>
        </row>
        <row r="2194">
          <cell r="R2194" t="str">
            <v>283.NA1</v>
          </cell>
          <cell r="S2194">
            <v>-49041895.739760473</v>
          </cell>
        </row>
        <row r="2195">
          <cell r="R2195" t="str">
            <v>283.NA2</v>
          </cell>
          <cell r="S2195">
            <v>0</v>
          </cell>
        </row>
        <row r="2196">
          <cell r="R2196" t="str">
            <v>Total Accum Deferred Income Tax.NA</v>
          </cell>
          <cell r="S2196">
            <v>-1177551784.8757017</v>
          </cell>
        </row>
        <row r="2197">
          <cell r="R2197" t="str">
            <v>255.NA</v>
          </cell>
          <cell r="S2197">
            <v>0</v>
          </cell>
        </row>
        <row r="2198">
          <cell r="R2198" t="str">
            <v>255.S</v>
          </cell>
          <cell r="S2198">
            <v>0</v>
          </cell>
        </row>
        <row r="2199">
          <cell r="R2199" t="str">
            <v>255.ITC84</v>
          </cell>
          <cell r="S2199">
            <v>0</v>
          </cell>
        </row>
        <row r="2200">
          <cell r="R2200" t="str">
            <v>255.ITC85</v>
          </cell>
          <cell r="S2200">
            <v>0</v>
          </cell>
        </row>
        <row r="2201">
          <cell r="R2201" t="str">
            <v>255.ITC86</v>
          </cell>
          <cell r="S2201">
            <v>0</v>
          </cell>
        </row>
        <row r="2202">
          <cell r="R2202" t="str">
            <v>255.ITC88</v>
          </cell>
          <cell r="S2202">
            <v>0</v>
          </cell>
        </row>
        <row r="2203">
          <cell r="R2203" t="str">
            <v>255.ITC89</v>
          </cell>
          <cell r="S2203">
            <v>0</v>
          </cell>
        </row>
        <row r="2204">
          <cell r="R2204" t="str">
            <v>255.ITC90</v>
          </cell>
          <cell r="S2204">
            <v>0</v>
          </cell>
        </row>
        <row r="2205">
          <cell r="R2205" t="str">
            <v>255.SG</v>
          </cell>
          <cell r="S2205">
            <v>-84977.084561841402</v>
          </cell>
        </row>
        <row r="2206">
          <cell r="R2206" t="str">
            <v>Total Accumulated ITC.NA</v>
          </cell>
          <cell r="S2206">
            <v>-84977.084561841402</v>
          </cell>
        </row>
        <row r="2207">
          <cell r="R2207" t="str">
            <v>Total Accumulated ITC.NA1</v>
          </cell>
          <cell r="S2207">
            <v>0</v>
          </cell>
        </row>
        <row r="2208">
          <cell r="R2208" t="str">
            <v>Total Rate Base Deductions.NA</v>
          </cell>
          <cell r="S2208">
            <v>-2011397197.758785</v>
          </cell>
        </row>
        <row r="2209">
          <cell r="R2209" t="str">
            <v>Total Rate Base Deductions.NA1</v>
          </cell>
          <cell r="S2209">
            <v>0</v>
          </cell>
        </row>
        <row r="2210">
          <cell r="R2210" t="str">
            <v>Total Rate Base Deductions.NA2</v>
          </cell>
          <cell r="S2210">
            <v>0</v>
          </cell>
        </row>
        <row r="2211">
          <cell r="R2211" t="str">
            <v>Total Rate Base Deductions.NA3</v>
          </cell>
          <cell r="S2211">
            <v>0</v>
          </cell>
        </row>
        <row r="2212">
          <cell r="R2212" t="str">
            <v>108SP.NA</v>
          </cell>
          <cell r="S2212">
            <v>0</v>
          </cell>
        </row>
        <row r="2213">
          <cell r="R2213" t="str">
            <v>108SP.S</v>
          </cell>
          <cell r="S2213">
            <v>-222899212.51598448</v>
          </cell>
        </row>
        <row r="2214">
          <cell r="R2214" t="str">
            <v>108SP.SG</v>
          </cell>
          <cell r="S2214">
            <v>-363243680.87510663</v>
          </cell>
        </row>
        <row r="2215">
          <cell r="R2215" t="str">
            <v>108SP.SG1</v>
          </cell>
          <cell r="S2215">
            <v>-342907489.16954142</v>
          </cell>
        </row>
        <row r="2216">
          <cell r="R2216" t="str">
            <v>108SP.SG2</v>
          </cell>
          <cell r="S2216">
            <v>-652469887.03943098</v>
          </cell>
        </row>
        <row r="2217">
          <cell r="R2217" t="str">
            <v>108SP.SG3</v>
          </cell>
          <cell r="S2217">
            <v>0</v>
          </cell>
        </row>
        <row r="2218">
          <cell r="R2218" t="str">
            <v>108SP.SG4</v>
          </cell>
          <cell r="S2218">
            <v>-117224975.83193633</v>
          </cell>
        </row>
        <row r="2219">
          <cell r="R2219" t="str">
            <v>108SP.NA1</v>
          </cell>
          <cell r="S2219">
            <v>-1698745245.4319997</v>
          </cell>
        </row>
        <row r="2220">
          <cell r="R2220" t="str">
            <v>108SP.NA2</v>
          </cell>
          <cell r="S2220">
            <v>0</v>
          </cell>
        </row>
        <row r="2221">
          <cell r="R2221" t="str">
            <v>108NP.NA</v>
          </cell>
          <cell r="S2221">
            <v>0</v>
          </cell>
        </row>
        <row r="2222">
          <cell r="R2222" t="str">
            <v>108NP.SG</v>
          </cell>
          <cell r="S2222">
            <v>0</v>
          </cell>
        </row>
        <row r="2223">
          <cell r="R2223" t="str">
            <v>108NP.SG1</v>
          </cell>
          <cell r="S2223">
            <v>0</v>
          </cell>
        </row>
        <row r="2224">
          <cell r="R2224" t="str">
            <v>108NP.SG2</v>
          </cell>
          <cell r="S2224">
            <v>0</v>
          </cell>
        </row>
        <row r="2225">
          <cell r="R2225" t="str">
            <v>108NP.NA1</v>
          </cell>
          <cell r="S2225">
            <v>0</v>
          </cell>
        </row>
        <row r="2226">
          <cell r="R2226" t="str">
            <v>108NP.NA2</v>
          </cell>
          <cell r="S2226">
            <v>0</v>
          </cell>
        </row>
        <row r="2227">
          <cell r="R2227" t="str">
            <v>108NP.NA3</v>
          </cell>
          <cell r="S2227">
            <v>0</v>
          </cell>
        </row>
        <row r="2228">
          <cell r="R2228" t="str">
            <v>108HP.NA</v>
          </cell>
          <cell r="S2228">
            <v>0</v>
          </cell>
        </row>
        <row r="2229">
          <cell r="R2229" t="str">
            <v>108HP.S</v>
          </cell>
          <cell r="S2229">
            <v>0</v>
          </cell>
        </row>
        <row r="2230">
          <cell r="R2230" t="str">
            <v>108HP.SG</v>
          </cell>
          <cell r="S2230">
            <v>-65657384.730713964</v>
          </cell>
        </row>
        <row r="2231">
          <cell r="R2231" t="str">
            <v>108HP.SG1</v>
          </cell>
          <cell r="S2231">
            <v>-14413186.287693759</v>
          </cell>
        </row>
        <row r="2232">
          <cell r="R2232" t="str">
            <v>108HP.SG2</v>
          </cell>
          <cell r="S2232">
            <v>-108333099.64318132</v>
          </cell>
        </row>
        <row r="2233">
          <cell r="R2233" t="str">
            <v>108HP.SG3</v>
          </cell>
          <cell r="S2233">
            <v>-27487421.026669368</v>
          </cell>
        </row>
        <row r="2234">
          <cell r="R2234" t="str">
            <v>108HP.NA1</v>
          </cell>
          <cell r="S2234">
            <v>-215891091.68825841</v>
          </cell>
        </row>
        <row r="2235">
          <cell r="R2235" t="str">
            <v>108HP.NA2</v>
          </cell>
          <cell r="S2235">
            <v>0</v>
          </cell>
        </row>
        <row r="2236">
          <cell r="R2236" t="str">
            <v>108OP.NA</v>
          </cell>
          <cell r="S2236">
            <v>0</v>
          </cell>
        </row>
        <row r="2237">
          <cell r="R2237" t="str">
            <v>108OP.S</v>
          </cell>
          <cell r="S2237">
            <v>0</v>
          </cell>
        </row>
        <row r="2238">
          <cell r="R2238" t="str">
            <v>108OP.SG</v>
          </cell>
          <cell r="S2238">
            <v>0</v>
          </cell>
        </row>
        <row r="2239">
          <cell r="R2239" t="str">
            <v>108OP.SG1</v>
          </cell>
          <cell r="S2239">
            <v>166430341.53365976</v>
          </cell>
        </row>
        <row r="2240">
          <cell r="R2240" t="str">
            <v>108OP.SG2</v>
          </cell>
          <cell r="S2240">
            <v>-219436927.09851876</v>
          </cell>
        </row>
        <row r="2241">
          <cell r="R2241" t="str">
            <v>108OP.SG3</v>
          </cell>
          <cell r="S2241">
            <v>-18838981.087226611</v>
          </cell>
        </row>
        <row r="2242">
          <cell r="R2242" t="str">
            <v>108OP.NA1</v>
          </cell>
          <cell r="S2242">
            <v>-71845566.652085617</v>
          </cell>
        </row>
        <row r="2243">
          <cell r="R2243" t="str">
            <v>108OP.NA2</v>
          </cell>
          <cell r="S2243">
            <v>0</v>
          </cell>
        </row>
        <row r="2244">
          <cell r="R2244" t="str">
            <v>108EP.NA</v>
          </cell>
          <cell r="S2244">
            <v>0</v>
          </cell>
        </row>
        <row r="2245">
          <cell r="R2245" t="str">
            <v>108EP.SG</v>
          </cell>
          <cell r="S2245">
            <v>0</v>
          </cell>
        </row>
        <row r="2246">
          <cell r="R2246" t="str">
            <v>108EP.SG1</v>
          </cell>
          <cell r="S2246">
            <v>0</v>
          </cell>
        </row>
        <row r="2247">
          <cell r="R2247" t="str">
            <v>108EP.NA1</v>
          </cell>
          <cell r="S2247">
            <v>0</v>
          </cell>
        </row>
        <row r="2248">
          <cell r="R2248" t="str">
            <v>108EP.NA2</v>
          </cell>
          <cell r="S2248">
            <v>0</v>
          </cell>
        </row>
        <row r="2249">
          <cell r="R2249" t="str">
            <v>Total Production Plant Accum Depreciation.NA</v>
          </cell>
          <cell r="S2249">
            <v>-1986481903.7723436</v>
          </cell>
        </row>
        <row r="2250">
          <cell r="R2250" t="str">
            <v>Total Production Plant Accum Depreciation.NA1</v>
          </cell>
          <cell r="S2250">
            <v>0</v>
          </cell>
        </row>
        <row r="2251">
          <cell r="R2251" t="str">
            <v>Summary of Prod Plant Depreciation by Factor.NA</v>
          </cell>
          <cell r="S2251">
            <v>0</v>
          </cell>
        </row>
        <row r="2252">
          <cell r="R2252" t="str">
            <v>Summary of Prod Plant Depreciation by Factor.NA1</v>
          </cell>
          <cell r="S2252">
            <v>-222899212.51598448</v>
          </cell>
        </row>
        <row r="2253">
          <cell r="R2253" t="str">
            <v>Summary of Prod Plant Depreciation by Factor.NA2</v>
          </cell>
          <cell r="S2253">
            <v>0</v>
          </cell>
        </row>
        <row r="2254">
          <cell r="R2254" t="str">
            <v>Summary of Prod Plant Depreciation by Factor.NA3</v>
          </cell>
          <cell r="S2254">
            <v>0</v>
          </cell>
        </row>
        <row r="2255">
          <cell r="R2255" t="str">
            <v>Summary of Prod Plant Depreciation by Factor.NA4</v>
          </cell>
          <cell r="S2255">
            <v>-1763582691.2563596</v>
          </cell>
        </row>
        <row r="2256">
          <cell r="R2256" t="str">
            <v>Summary of Prod Plant Depreciation by Factor.NA5</v>
          </cell>
          <cell r="S2256">
            <v>0</v>
          </cell>
        </row>
        <row r="2257">
          <cell r="R2257" t="str">
            <v>Summary of Prod Plant Depreciation by Factor.NA6</v>
          </cell>
          <cell r="S2257">
            <v>0</v>
          </cell>
        </row>
        <row r="2258">
          <cell r="R2258" t="str">
            <v>Total of Prod Plant Depreciation by Factor.NA</v>
          </cell>
          <cell r="S2258">
            <v>-1986481903.7723441</v>
          </cell>
        </row>
        <row r="2259">
          <cell r="R2259" t="str">
            <v>Total of Prod Plant Depreciation by Factor.NA1</v>
          </cell>
          <cell r="S2259">
            <v>0</v>
          </cell>
        </row>
        <row r="2260">
          <cell r="R2260" t="str">
            <v>Total of Prod Plant Depreciation by Factor.NA2</v>
          </cell>
          <cell r="S2260">
            <v>0</v>
          </cell>
        </row>
        <row r="2261">
          <cell r="R2261" t="str">
            <v>108TP.NA</v>
          </cell>
          <cell r="S2261">
            <v>0</v>
          </cell>
        </row>
        <row r="2262">
          <cell r="R2262" t="str">
            <v>108TP.SG</v>
          </cell>
          <cell r="S2262">
            <v>-162723085.0814338</v>
          </cell>
        </row>
        <row r="2263">
          <cell r="R2263" t="str">
            <v>108TP.SG1</v>
          </cell>
          <cell r="S2263">
            <v>-193286043.03616029</v>
          </cell>
        </row>
        <row r="2264">
          <cell r="R2264" t="str">
            <v>108TP.SG2</v>
          </cell>
          <cell r="S2264">
            <v>-529940011.07892036</v>
          </cell>
        </row>
        <row r="2265">
          <cell r="R2265" t="str">
            <v>Total Trans Plant Accum Depreciation.NA</v>
          </cell>
          <cell r="S2265">
            <v>-885949139.19651449</v>
          </cell>
        </row>
        <row r="2266">
          <cell r="R2266" t="str">
            <v>108360.NA</v>
          </cell>
          <cell r="S2266">
            <v>0</v>
          </cell>
        </row>
        <row r="2267">
          <cell r="R2267" t="str">
            <v>108360.S</v>
          </cell>
          <cell r="S2267">
            <v>-4191144.3609788753</v>
          </cell>
        </row>
        <row r="2268">
          <cell r="R2268" t="str">
            <v>108360.NA1</v>
          </cell>
          <cell r="S2268">
            <v>-4191144.3609788753</v>
          </cell>
        </row>
        <row r="2269">
          <cell r="R2269" t="str">
            <v>108360.NA2</v>
          </cell>
          <cell r="S2269">
            <v>0</v>
          </cell>
        </row>
        <row r="2270">
          <cell r="R2270" t="str">
            <v>108361.NA</v>
          </cell>
          <cell r="S2270">
            <v>0</v>
          </cell>
        </row>
        <row r="2271">
          <cell r="R2271" t="str">
            <v>108361.S</v>
          </cell>
          <cell r="S2271">
            <v>-14131922.364926232</v>
          </cell>
        </row>
        <row r="2272">
          <cell r="R2272" t="str">
            <v>108361.NA1</v>
          </cell>
          <cell r="S2272">
            <v>-14131922.364926232</v>
          </cell>
        </row>
        <row r="2273">
          <cell r="R2273" t="str">
            <v>108361.NA2</v>
          </cell>
          <cell r="S2273">
            <v>0</v>
          </cell>
        </row>
        <row r="2274">
          <cell r="R2274" t="str">
            <v>108362.NA</v>
          </cell>
          <cell r="S2274">
            <v>0</v>
          </cell>
        </row>
        <row r="2275">
          <cell r="R2275" t="str">
            <v>108362.S</v>
          </cell>
          <cell r="S2275">
            <v>-134790643.58460793</v>
          </cell>
        </row>
        <row r="2276">
          <cell r="R2276" t="str">
            <v>108362.NA1</v>
          </cell>
          <cell r="S2276">
            <v>-134790643.58460793</v>
          </cell>
        </row>
        <row r="2277">
          <cell r="R2277" t="str">
            <v>108362.NA2</v>
          </cell>
          <cell r="S2277">
            <v>0</v>
          </cell>
        </row>
        <row r="2278">
          <cell r="R2278" t="str">
            <v>108363.NA</v>
          </cell>
          <cell r="S2278">
            <v>0</v>
          </cell>
        </row>
        <row r="2279">
          <cell r="R2279" t="str">
            <v>108363.S</v>
          </cell>
          <cell r="S2279">
            <v>0</v>
          </cell>
        </row>
        <row r="2280">
          <cell r="R2280" t="str">
            <v>108363.NA1</v>
          </cell>
          <cell r="S2280">
            <v>0</v>
          </cell>
        </row>
        <row r="2281">
          <cell r="R2281" t="str">
            <v>108363.NA2</v>
          </cell>
          <cell r="S2281">
            <v>0</v>
          </cell>
        </row>
        <row r="2282">
          <cell r="R2282" t="str">
            <v>108364.NA</v>
          </cell>
          <cell r="S2282">
            <v>0</v>
          </cell>
        </row>
        <row r="2283">
          <cell r="R2283" t="str">
            <v>108364.S</v>
          </cell>
          <cell r="S2283">
            <v>-176107013.33977571</v>
          </cell>
        </row>
        <row r="2284">
          <cell r="R2284" t="str">
            <v>108364.NA1</v>
          </cell>
          <cell r="S2284">
            <v>-176107013.33977571</v>
          </cell>
        </row>
        <row r="2285">
          <cell r="R2285" t="str">
            <v>108364.NA2</v>
          </cell>
          <cell r="S2285">
            <v>0</v>
          </cell>
        </row>
        <row r="2286">
          <cell r="R2286" t="str">
            <v>108365.NA</v>
          </cell>
          <cell r="S2286">
            <v>0</v>
          </cell>
        </row>
        <row r="2287">
          <cell r="R2287" t="str">
            <v>108365.S</v>
          </cell>
          <cell r="S2287">
            <v>-98538408.162480861</v>
          </cell>
        </row>
        <row r="2288">
          <cell r="R2288" t="str">
            <v>108365.NA1</v>
          </cell>
          <cell r="S2288">
            <v>-98538408.162480861</v>
          </cell>
        </row>
        <row r="2289">
          <cell r="R2289" t="str">
            <v>108365.NA2</v>
          </cell>
          <cell r="S2289">
            <v>0</v>
          </cell>
        </row>
        <row r="2290">
          <cell r="R2290" t="str">
            <v>108366.NA</v>
          </cell>
          <cell r="S2290">
            <v>0</v>
          </cell>
        </row>
        <row r="2291">
          <cell r="R2291" t="str">
            <v>108366.S</v>
          </cell>
          <cell r="S2291">
            <v>-88785387.471154094</v>
          </cell>
        </row>
        <row r="2292">
          <cell r="R2292" t="str">
            <v>108366.NA1</v>
          </cell>
          <cell r="S2292">
            <v>-88785387.471154094</v>
          </cell>
        </row>
        <row r="2293">
          <cell r="R2293" t="str">
            <v>108366.NA2</v>
          </cell>
          <cell r="S2293">
            <v>0</v>
          </cell>
        </row>
        <row r="2294">
          <cell r="R2294" t="str">
            <v>108367.NA</v>
          </cell>
          <cell r="S2294">
            <v>0</v>
          </cell>
        </row>
        <row r="2295">
          <cell r="R2295" t="str">
            <v>108367.S</v>
          </cell>
          <cell r="S2295">
            <v>-245246158.20203996</v>
          </cell>
        </row>
        <row r="2296">
          <cell r="R2296" t="str">
            <v>108367.NA1</v>
          </cell>
          <cell r="S2296">
            <v>-245246158.20203996</v>
          </cell>
        </row>
        <row r="2297">
          <cell r="R2297" t="str">
            <v>108367.NA2</v>
          </cell>
          <cell r="S2297">
            <v>0</v>
          </cell>
        </row>
        <row r="2298">
          <cell r="R2298" t="str">
            <v>108368.NA</v>
          </cell>
          <cell r="S2298">
            <v>0</v>
          </cell>
        </row>
        <row r="2299">
          <cell r="R2299" t="str">
            <v>108368.S</v>
          </cell>
          <cell r="S2299">
            <v>-154995054.27022529</v>
          </cell>
        </row>
        <row r="2300">
          <cell r="R2300" t="str">
            <v>108368.NA1</v>
          </cell>
          <cell r="S2300">
            <v>-154995054.27022529</v>
          </cell>
        </row>
        <row r="2301">
          <cell r="R2301" t="str">
            <v>108368.NA2</v>
          </cell>
          <cell r="S2301">
            <v>0</v>
          </cell>
        </row>
        <row r="2302">
          <cell r="R2302" t="str">
            <v>108369.NA</v>
          </cell>
          <cell r="S2302">
            <v>0</v>
          </cell>
        </row>
        <row r="2303">
          <cell r="R2303" t="str">
            <v>108369.S</v>
          </cell>
          <cell r="S2303">
            <v>-123319417.5088934</v>
          </cell>
        </row>
        <row r="2304">
          <cell r="R2304" t="str">
            <v>108369.NA1</v>
          </cell>
          <cell r="S2304">
            <v>-123319417.5088934</v>
          </cell>
        </row>
        <row r="2305">
          <cell r="R2305" t="str">
            <v>108369.NA2</v>
          </cell>
          <cell r="S2305">
            <v>0</v>
          </cell>
        </row>
        <row r="2306">
          <cell r="R2306" t="str">
            <v>108370.NA</v>
          </cell>
          <cell r="S2306">
            <v>0</v>
          </cell>
        </row>
        <row r="2307">
          <cell r="R2307" t="str">
            <v>108370.S</v>
          </cell>
          <cell r="S2307">
            <v>-48582681.255918898</v>
          </cell>
        </row>
        <row r="2308">
          <cell r="R2308" t="str">
            <v>108370.NA1</v>
          </cell>
          <cell r="S2308">
            <v>-48582681.255918898</v>
          </cell>
        </row>
        <row r="2309">
          <cell r="R2309" t="str">
            <v>108370.NA2</v>
          </cell>
          <cell r="S2309">
            <v>0</v>
          </cell>
        </row>
        <row r="2310">
          <cell r="R2310" t="str">
            <v>108370.NA3</v>
          </cell>
          <cell r="S2310">
            <v>0</v>
          </cell>
        </row>
        <row r="2311">
          <cell r="R2311" t="str">
            <v>108370.NA4</v>
          </cell>
          <cell r="S2311">
            <v>0</v>
          </cell>
        </row>
        <row r="2312">
          <cell r="R2312" t="str">
            <v>108371.NA</v>
          </cell>
          <cell r="S2312">
            <v>0</v>
          </cell>
        </row>
        <row r="2313">
          <cell r="R2313" t="str">
            <v>108371.S</v>
          </cell>
          <cell r="S2313">
            <v>-3501740.9581964398</v>
          </cell>
        </row>
        <row r="2314">
          <cell r="R2314" t="str">
            <v>108371.NA1</v>
          </cell>
          <cell r="S2314">
            <v>-3501740.9581964398</v>
          </cell>
        </row>
        <row r="2315">
          <cell r="R2315" t="str">
            <v>108371.NA2</v>
          </cell>
          <cell r="S2315">
            <v>0</v>
          </cell>
        </row>
        <row r="2316">
          <cell r="R2316" t="str">
            <v>108372.NA</v>
          </cell>
          <cell r="S2316">
            <v>0</v>
          </cell>
        </row>
        <row r="2317">
          <cell r="R2317" t="str">
            <v>108372.S</v>
          </cell>
          <cell r="S2317">
            <v>0</v>
          </cell>
        </row>
        <row r="2318">
          <cell r="R2318" t="str">
            <v>108372.NA1</v>
          </cell>
          <cell r="S2318">
            <v>0</v>
          </cell>
        </row>
        <row r="2319">
          <cell r="R2319" t="str">
            <v>108372.NA2</v>
          </cell>
          <cell r="S2319">
            <v>0</v>
          </cell>
        </row>
        <row r="2320">
          <cell r="R2320" t="str">
            <v>108373.NA</v>
          </cell>
          <cell r="S2320">
            <v>0</v>
          </cell>
        </row>
        <row r="2321">
          <cell r="R2321" t="str">
            <v>108373.S</v>
          </cell>
          <cell r="S2321">
            <v>-13326884.968737466</v>
          </cell>
        </row>
        <row r="2322">
          <cell r="R2322" t="str">
            <v>108373.NA1</v>
          </cell>
          <cell r="S2322">
            <v>-13326884.968737466</v>
          </cell>
        </row>
        <row r="2323">
          <cell r="R2323" t="str">
            <v>108373.NA2</v>
          </cell>
          <cell r="S2323">
            <v>0</v>
          </cell>
        </row>
        <row r="2324">
          <cell r="R2324" t="str">
            <v>108D00.NA</v>
          </cell>
          <cell r="S2324">
            <v>0</v>
          </cell>
        </row>
        <row r="2325">
          <cell r="R2325" t="str">
            <v>108D00.S</v>
          </cell>
          <cell r="S2325">
            <v>0</v>
          </cell>
        </row>
        <row r="2326">
          <cell r="R2326" t="str">
            <v>108D00.NA1</v>
          </cell>
          <cell r="S2326">
            <v>0</v>
          </cell>
        </row>
        <row r="2327">
          <cell r="R2327" t="str">
            <v>108D00.NA2</v>
          </cell>
          <cell r="S2327">
            <v>0</v>
          </cell>
        </row>
        <row r="2328">
          <cell r="R2328" t="str">
            <v>108DS.NA</v>
          </cell>
          <cell r="S2328">
            <v>0</v>
          </cell>
        </row>
        <row r="2329">
          <cell r="R2329" t="str">
            <v>108DS.S</v>
          </cell>
          <cell r="S2329">
            <v>0</v>
          </cell>
        </row>
        <row r="2330">
          <cell r="R2330" t="str">
            <v>108DS.NA1</v>
          </cell>
          <cell r="S2330">
            <v>0</v>
          </cell>
        </row>
        <row r="2331">
          <cell r="R2331" t="str">
            <v>108DS.NA2</v>
          </cell>
          <cell r="S2331">
            <v>0</v>
          </cell>
        </row>
        <row r="2332">
          <cell r="R2332" t="str">
            <v>108DP.NA</v>
          </cell>
          <cell r="S2332">
            <v>0</v>
          </cell>
        </row>
        <row r="2333">
          <cell r="R2333" t="str">
            <v>108DP.S</v>
          </cell>
          <cell r="S2333">
            <v>3413437.2723076898</v>
          </cell>
        </row>
        <row r="2334">
          <cell r="R2334" t="str">
            <v>108DP.NA1</v>
          </cell>
          <cell r="S2334">
            <v>3413437.2723076898</v>
          </cell>
        </row>
        <row r="2335">
          <cell r="R2335" t="str">
            <v>108DP.NA2</v>
          </cell>
          <cell r="S2335">
            <v>0</v>
          </cell>
        </row>
        <row r="2336">
          <cell r="R2336" t="str">
            <v>108DP.NA3</v>
          </cell>
          <cell r="S2336">
            <v>0</v>
          </cell>
        </row>
        <row r="2337">
          <cell r="R2337" t="str">
            <v>Total Distribution Plant Accum Depreciation.NA</v>
          </cell>
          <cell r="S2337">
            <v>-1102103019.1756272</v>
          </cell>
        </row>
        <row r="2338">
          <cell r="R2338" t="str">
            <v>Total Distribution Plant Accum Depreciation.NA1</v>
          </cell>
          <cell r="S2338">
            <v>0</v>
          </cell>
        </row>
        <row r="2339">
          <cell r="R2339" t="str">
            <v>Summary of Distribution Plant Depr by Factor.NA</v>
          </cell>
          <cell r="S2339">
            <v>0</v>
          </cell>
        </row>
        <row r="2340">
          <cell r="R2340" t="str">
            <v>Summary of Distribution Plant Depr by Factor.NA1</v>
          </cell>
          <cell r="S2340">
            <v>-1102103019.1756272</v>
          </cell>
        </row>
        <row r="2341">
          <cell r="R2341" t="str">
            <v>Summary of Distribution Plant Depr by Factor.NA2</v>
          </cell>
          <cell r="S2341">
            <v>0</v>
          </cell>
        </row>
        <row r="2342">
          <cell r="R2342" t="str">
            <v>Total Distribution Depreciation by Factor.NA</v>
          </cell>
          <cell r="S2342">
            <v>-1102103019.1756272</v>
          </cell>
        </row>
        <row r="2343">
          <cell r="R2343" t="str">
            <v>108GP.NA</v>
          </cell>
          <cell r="S2343">
            <v>0</v>
          </cell>
        </row>
        <row r="2344">
          <cell r="R2344" t="str">
            <v>108GP.S</v>
          </cell>
          <cell r="S2344">
            <v>-96020133.02164191</v>
          </cell>
        </row>
        <row r="2345">
          <cell r="R2345" t="str">
            <v>108GP.SG</v>
          </cell>
          <cell r="S2345">
            <v>-322635.54566103878</v>
          </cell>
        </row>
        <row r="2346">
          <cell r="R2346" t="str">
            <v>108GP.SG1</v>
          </cell>
          <cell r="S2346">
            <v>-1330206.8629494465</v>
          </cell>
        </row>
        <row r="2347">
          <cell r="R2347" t="str">
            <v>108GP.SG2</v>
          </cell>
          <cell r="S2347">
            <v>-57383003.849338695</v>
          </cell>
        </row>
        <row r="2348">
          <cell r="R2348" t="str">
            <v>108GP.CN</v>
          </cell>
          <cell r="S2348">
            <v>-2602349.6657602875</v>
          </cell>
        </row>
        <row r="2349">
          <cell r="R2349" t="str">
            <v>108GP.SO</v>
          </cell>
          <cell r="S2349">
            <v>-48289383.7519181</v>
          </cell>
        </row>
        <row r="2350">
          <cell r="R2350" t="str">
            <v>108GP.SE</v>
          </cell>
          <cell r="S2350">
            <v>-787173.24515249394</v>
          </cell>
        </row>
        <row r="2351">
          <cell r="R2351" t="str">
            <v>108GP.SG3</v>
          </cell>
          <cell r="S2351">
            <v>-58440.231479354632</v>
          </cell>
        </row>
        <row r="2352">
          <cell r="R2352" t="str">
            <v>108GP.SG4</v>
          </cell>
          <cell r="S2352">
            <v>-1281241.3682609864</v>
          </cell>
        </row>
        <row r="2353">
          <cell r="R2353" t="str">
            <v>108GP.NA1</v>
          </cell>
          <cell r="S2353">
            <v>-208074567.5421623</v>
          </cell>
        </row>
        <row r="2354">
          <cell r="R2354" t="str">
            <v>108GP.NA2</v>
          </cell>
          <cell r="S2354">
            <v>0</v>
          </cell>
        </row>
        <row r="2355">
          <cell r="R2355" t="str">
            <v>108GP.NA3</v>
          </cell>
          <cell r="S2355">
            <v>0</v>
          </cell>
        </row>
        <row r="2356">
          <cell r="R2356" t="str">
            <v>108MP.NA</v>
          </cell>
          <cell r="S2356">
            <v>0</v>
          </cell>
        </row>
        <row r="2357">
          <cell r="R2357" t="str">
            <v>108MP.S</v>
          </cell>
          <cell r="S2357">
            <v>0</v>
          </cell>
        </row>
        <row r="2358">
          <cell r="R2358" t="str">
            <v>108MP.SE</v>
          </cell>
          <cell r="S2358">
            <v>0</v>
          </cell>
        </row>
        <row r="2359">
          <cell r="R2359" t="str">
            <v>108MP.NA1</v>
          </cell>
          <cell r="S2359">
            <v>0</v>
          </cell>
        </row>
        <row r="2360">
          <cell r="R2360" t="str">
            <v>108MP.NA2</v>
          </cell>
          <cell r="S2360">
            <v>0</v>
          </cell>
        </row>
        <row r="2361">
          <cell r="R2361" t="str">
            <v>108MP.S1</v>
          </cell>
          <cell r="S2361">
            <v>0</v>
          </cell>
        </row>
        <row r="2362">
          <cell r="R2362" t="str">
            <v>108MP.NA3</v>
          </cell>
          <cell r="S2362">
            <v>0</v>
          </cell>
        </row>
        <row r="2363">
          <cell r="R2363" t="str">
            <v>108MP.NA4</v>
          </cell>
          <cell r="S2363">
            <v>0</v>
          </cell>
        </row>
        <row r="2364">
          <cell r="R2364" t="str">
            <v>1081390.NA</v>
          </cell>
          <cell r="S2364">
            <v>0</v>
          </cell>
        </row>
        <row r="2365">
          <cell r="R2365" t="str">
            <v>1081390.SO</v>
          </cell>
          <cell r="S2365">
            <v>0</v>
          </cell>
        </row>
        <row r="2366">
          <cell r="R2366" t="str">
            <v>1081390.NA1</v>
          </cell>
          <cell r="S2366">
            <v>0</v>
          </cell>
        </row>
        <row r="2367">
          <cell r="R2367" t="str">
            <v>1081390.NA2</v>
          </cell>
          <cell r="S2367">
            <v>0</v>
          </cell>
        </row>
        <row r="2368">
          <cell r="R2368" t="str">
            <v>1081390.NA3</v>
          </cell>
          <cell r="S2368">
            <v>0</v>
          </cell>
        </row>
        <row r="2369">
          <cell r="R2369" t="str">
            <v>1081390.NA4</v>
          </cell>
          <cell r="S2369">
            <v>0</v>
          </cell>
        </row>
        <row r="2370">
          <cell r="R2370" t="str">
            <v>1081390.NA5</v>
          </cell>
          <cell r="S2370">
            <v>0</v>
          </cell>
        </row>
        <row r="2371">
          <cell r="R2371" t="str">
            <v>1081399.NA</v>
          </cell>
          <cell r="S2371">
            <v>0</v>
          </cell>
        </row>
        <row r="2372">
          <cell r="R2372" t="str">
            <v>1081399.S</v>
          </cell>
          <cell r="S2372">
            <v>0</v>
          </cell>
        </row>
        <row r="2373">
          <cell r="R2373" t="str">
            <v>1081399.SE</v>
          </cell>
          <cell r="S2373">
            <v>0</v>
          </cell>
        </row>
        <row r="2374">
          <cell r="R2374" t="str">
            <v>1081399.NA1</v>
          </cell>
          <cell r="S2374">
            <v>0</v>
          </cell>
        </row>
        <row r="2375">
          <cell r="R2375" t="str">
            <v>1081399.NA2</v>
          </cell>
          <cell r="S2375">
            <v>0</v>
          </cell>
        </row>
        <row r="2376">
          <cell r="R2376" t="str">
            <v>1081399.NA3</v>
          </cell>
          <cell r="S2376">
            <v>0</v>
          </cell>
        </row>
        <row r="2377">
          <cell r="R2377" t="str">
            <v>1081399.NA4</v>
          </cell>
          <cell r="S2377">
            <v>0</v>
          </cell>
        </row>
        <row r="2378">
          <cell r="R2378" t="str">
            <v>1081399.NA5</v>
          </cell>
          <cell r="S2378">
            <v>0</v>
          </cell>
        </row>
        <row r="2379">
          <cell r="R2379" t="str">
            <v>1081399.NA6</v>
          </cell>
          <cell r="S2379">
            <v>0</v>
          </cell>
        </row>
        <row r="2380">
          <cell r="R2380" t="str">
            <v>Total General Plant Accum Depreciation.NA</v>
          </cell>
          <cell r="S2380">
            <v>-208074567.5421623</v>
          </cell>
        </row>
        <row r="2381">
          <cell r="R2381" t="str">
            <v>Total General Plant Accum Depreciation.NA1</v>
          </cell>
          <cell r="S2381">
            <v>0</v>
          </cell>
        </row>
        <row r="2382">
          <cell r="R2382" t="str">
            <v>Total General Plant Accum Depreciation.NA2</v>
          </cell>
          <cell r="S2382">
            <v>0</v>
          </cell>
        </row>
        <row r="2383">
          <cell r="R2383" t="str">
            <v>Total General Plant Accum Depreciation.NA3</v>
          </cell>
          <cell r="S2383">
            <v>0</v>
          </cell>
        </row>
        <row r="2384">
          <cell r="R2384" t="str">
            <v>Summary of General Depreciation by Factor.NA</v>
          </cell>
          <cell r="S2384">
            <v>0</v>
          </cell>
        </row>
        <row r="2385">
          <cell r="R2385" t="str">
            <v>Summary of General Depreciation by Factor.NA1</v>
          </cell>
          <cell r="S2385">
            <v>-96020133.02164191</v>
          </cell>
        </row>
        <row r="2386">
          <cell r="R2386" t="str">
            <v>Summary of General Depreciation by Factor.NA2</v>
          </cell>
          <cell r="S2386">
            <v>0</v>
          </cell>
        </row>
        <row r="2387">
          <cell r="R2387" t="str">
            <v>Summary of General Depreciation by Factor.NA3</v>
          </cell>
          <cell r="S2387">
            <v>0</v>
          </cell>
        </row>
        <row r="2388">
          <cell r="R2388" t="str">
            <v>Summary of General Depreciation by Factor.NA4</v>
          </cell>
          <cell r="S2388">
            <v>-787173.24515249394</v>
          </cell>
        </row>
        <row r="2389">
          <cell r="R2389" t="str">
            <v>Summary of General Depreciation by Factor.NA5</v>
          </cell>
          <cell r="S2389">
            <v>-48289383.7519181</v>
          </cell>
        </row>
        <row r="2390">
          <cell r="R2390" t="str">
            <v>Summary of General Depreciation by Factor.NA6</v>
          </cell>
          <cell r="S2390">
            <v>-2602349.6657602875</v>
          </cell>
        </row>
        <row r="2391">
          <cell r="R2391" t="str">
            <v>Summary of General Depreciation by Factor.NA7</v>
          </cell>
          <cell r="S2391">
            <v>-60375527.857689522</v>
          </cell>
        </row>
        <row r="2392">
          <cell r="R2392" t="str">
            <v>Summary of General Depreciation by Factor.NA8</v>
          </cell>
          <cell r="S2392">
            <v>0</v>
          </cell>
        </row>
        <row r="2393">
          <cell r="R2393" t="str">
            <v>Summary of General Depreciation by Factor.NA9</v>
          </cell>
          <cell r="S2393">
            <v>0</v>
          </cell>
        </row>
        <row r="2394">
          <cell r="R2394" t="str">
            <v>Summary of General Depreciation by Factor.NA10</v>
          </cell>
          <cell r="S2394">
            <v>0</v>
          </cell>
        </row>
        <row r="2395">
          <cell r="R2395" t="str">
            <v>Summary of General Depreciation by Factor.NA11</v>
          </cell>
          <cell r="S2395">
            <v>0</v>
          </cell>
        </row>
        <row r="2396">
          <cell r="R2396" t="str">
            <v>Total General Depreciation by Factor.NA</v>
          </cell>
          <cell r="S2396">
            <v>-208074567.5421623</v>
          </cell>
        </row>
        <row r="2397">
          <cell r="R2397" t="str">
            <v>Total General Depreciation by Factor.NA1</v>
          </cell>
          <cell r="S2397">
            <v>0</v>
          </cell>
        </row>
        <row r="2398">
          <cell r="R2398" t="str">
            <v>Total General Depreciation by Factor.NA2</v>
          </cell>
          <cell r="S2398">
            <v>0</v>
          </cell>
        </row>
        <row r="2399">
          <cell r="R2399" t="str">
            <v>Total Accum Depreciation - Plant In Service.NA</v>
          </cell>
          <cell r="S2399">
            <v>-4182608629.6866479</v>
          </cell>
        </row>
        <row r="2400">
          <cell r="R2400" t="str">
            <v>111SP.NA</v>
          </cell>
          <cell r="S2400">
            <v>0</v>
          </cell>
        </row>
        <row r="2401">
          <cell r="R2401" t="str">
            <v>111SP.SG</v>
          </cell>
          <cell r="S2401">
            <v>0</v>
          </cell>
        </row>
        <row r="2402">
          <cell r="R2402" t="str">
            <v>111SP.SG1</v>
          </cell>
          <cell r="S2402">
            <v>0</v>
          </cell>
        </row>
        <row r="2403">
          <cell r="R2403" t="str">
            <v>111SP.NA1</v>
          </cell>
          <cell r="S2403">
            <v>0</v>
          </cell>
        </row>
        <row r="2404">
          <cell r="R2404" t="str">
            <v>111SP.NA2</v>
          </cell>
          <cell r="S2404">
            <v>0</v>
          </cell>
        </row>
        <row r="2405">
          <cell r="R2405" t="str">
            <v>111SP.NA3</v>
          </cell>
          <cell r="S2405">
            <v>0</v>
          </cell>
        </row>
        <row r="2406">
          <cell r="R2406" t="str">
            <v>111GP.NA</v>
          </cell>
          <cell r="S2406">
            <v>0</v>
          </cell>
        </row>
        <row r="2407">
          <cell r="R2407" t="str">
            <v>111GP.S</v>
          </cell>
          <cell r="S2407">
            <v>-38532.994999999988</v>
          </cell>
        </row>
        <row r="2408">
          <cell r="R2408" t="str">
            <v>111GP.CN</v>
          </cell>
          <cell r="S2408">
            <v>0</v>
          </cell>
        </row>
        <row r="2409">
          <cell r="R2409" t="str">
            <v>111GP.SG</v>
          </cell>
          <cell r="S2409">
            <v>0</v>
          </cell>
        </row>
        <row r="2410">
          <cell r="R2410" t="str">
            <v>111GP.SO</v>
          </cell>
          <cell r="S2410">
            <v>-1752766.1339067663</v>
          </cell>
        </row>
        <row r="2411">
          <cell r="R2411" t="str">
            <v>111GP.SE</v>
          </cell>
          <cell r="S2411">
            <v>0</v>
          </cell>
        </row>
        <row r="2412">
          <cell r="R2412" t="str">
            <v>111GP.NA1</v>
          </cell>
          <cell r="S2412">
            <v>-1791299.1289067662</v>
          </cell>
        </row>
        <row r="2413">
          <cell r="R2413" t="str">
            <v>111GP.NA2</v>
          </cell>
          <cell r="S2413">
            <v>0</v>
          </cell>
        </row>
        <row r="2414">
          <cell r="R2414" t="str">
            <v>111GP.NA3</v>
          </cell>
          <cell r="S2414">
            <v>0</v>
          </cell>
        </row>
        <row r="2415">
          <cell r="R2415" t="str">
            <v>111HP.NA</v>
          </cell>
          <cell r="S2415">
            <v>0</v>
          </cell>
        </row>
        <row r="2416">
          <cell r="R2416" t="str">
            <v>111HP.SG</v>
          </cell>
          <cell r="S2416">
            <v>0</v>
          </cell>
        </row>
        <row r="2417">
          <cell r="R2417" t="str">
            <v>111HP.SG1</v>
          </cell>
          <cell r="S2417">
            <v>0</v>
          </cell>
        </row>
        <row r="2418">
          <cell r="R2418" t="str">
            <v>111HP.SG2</v>
          </cell>
          <cell r="S2418">
            <v>-1381184.8208948597</v>
          </cell>
        </row>
        <row r="2419">
          <cell r="R2419" t="str">
            <v>111HP.SG3</v>
          </cell>
          <cell r="S2419">
            <v>0</v>
          </cell>
        </row>
        <row r="2420">
          <cell r="R2420" t="str">
            <v>111HP.NA1</v>
          </cell>
          <cell r="S2420">
            <v>-1381184.8208948597</v>
          </cell>
        </row>
        <row r="2421">
          <cell r="R2421" t="str">
            <v>111HP.NA2</v>
          </cell>
          <cell r="S2421">
            <v>0</v>
          </cell>
        </row>
        <row r="2422">
          <cell r="R2422" t="str">
            <v>111HP.NA3</v>
          </cell>
          <cell r="S2422">
            <v>0</v>
          </cell>
        </row>
        <row r="2423">
          <cell r="R2423" t="str">
            <v>111IP.NA</v>
          </cell>
          <cell r="S2423">
            <v>0</v>
          </cell>
        </row>
        <row r="2424">
          <cell r="R2424" t="str">
            <v>111IP.S</v>
          </cell>
          <cell r="S2424">
            <v>-101674.91073843464</v>
          </cell>
        </row>
        <row r="2425">
          <cell r="R2425" t="str">
            <v>111IP.SG</v>
          </cell>
          <cell r="S2425">
            <v>0</v>
          </cell>
        </row>
        <row r="2426">
          <cell r="R2426" t="str">
            <v>111IP.SG1</v>
          </cell>
          <cell r="S2426">
            <v>-229796.75706857035</v>
          </cell>
        </row>
        <row r="2427">
          <cell r="R2427" t="str">
            <v>111IP.SE</v>
          </cell>
          <cell r="S2427">
            <v>479636.22158785275</v>
          </cell>
        </row>
        <row r="2428">
          <cell r="R2428" t="str">
            <v>111IP.SG2</v>
          </cell>
          <cell r="S2428">
            <v>-42777837.584244721</v>
          </cell>
        </row>
        <row r="2429">
          <cell r="R2429" t="str">
            <v>111IP.SG3</v>
          </cell>
          <cell r="S2429">
            <v>-17717007.490359094</v>
          </cell>
        </row>
        <row r="2430">
          <cell r="R2430" t="str">
            <v>111IP.SG4</v>
          </cell>
          <cell r="S2430">
            <v>-2924672.6264149523</v>
          </cell>
        </row>
        <row r="2431">
          <cell r="R2431" t="str">
            <v>111IP.CN</v>
          </cell>
          <cell r="S2431">
            <v>-76472905.271294653</v>
          </cell>
        </row>
        <row r="2432">
          <cell r="R2432" t="str">
            <v>111IP.SG5</v>
          </cell>
          <cell r="S2432">
            <v>0</v>
          </cell>
        </row>
        <row r="2433">
          <cell r="R2433" t="str">
            <v>111IP.SG6</v>
          </cell>
          <cell r="S2433">
            <v>-11618.964900765714</v>
          </cell>
        </row>
        <row r="2434">
          <cell r="R2434" t="str">
            <v>111IP.SO</v>
          </cell>
          <cell r="S2434">
            <v>-133561658.14879917</v>
          </cell>
        </row>
        <row r="2435">
          <cell r="R2435" t="str">
            <v>111IP.NA1</v>
          </cell>
          <cell r="S2435">
            <v>-273317535.53223252</v>
          </cell>
        </row>
        <row r="2436">
          <cell r="R2436" t="str">
            <v>111IP.NA2</v>
          </cell>
          <cell r="S2436">
            <v>0</v>
          </cell>
        </row>
        <row r="2437">
          <cell r="R2437" t="str">
            <v>111IP.OTH</v>
          </cell>
          <cell r="S2437">
            <v>0</v>
          </cell>
        </row>
        <row r="2438">
          <cell r="R2438" t="str">
            <v>111IP.NA3</v>
          </cell>
          <cell r="S2438">
            <v>-273317535.53223252</v>
          </cell>
        </row>
        <row r="2439">
          <cell r="R2439" t="str">
            <v>111IP.NA4</v>
          </cell>
          <cell r="S2439">
            <v>0</v>
          </cell>
        </row>
        <row r="2440">
          <cell r="R2440" t="str">
            <v>111390.NA</v>
          </cell>
          <cell r="S2440">
            <v>0</v>
          </cell>
        </row>
        <row r="2441">
          <cell r="R2441" t="str">
            <v>111390.S</v>
          </cell>
          <cell r="S2441">
            <v>0</v>
          </cell>
        </row>
      </sheetData>
      <sheetData sheetId="31">
        <row r="10">
          <cell r="B10" t="str">
            <v>Production</v>
          </cell>
          <cell r="C10" t="str">
            <v>Transmission</v>
          </cell>
          <cell r="D10" t="str">
            <v>Distribution</v>
          </cell>
          <cell r="E10" t="str">
            <v>Retail</v>
          </cell>
          <cell r="F10" t="str">
            <v>Misc</v>
          </cell>
          <cell r="G10" t="str">
            <v>TOT</v>
          </cell>
        </row>
        <row r="11">
          <cell r="A11" t="str">
            <v>ACCMDIT</v>
          </cell>
          <cell r="B11">
            <v>0.4733364984300405</v>
          </cell>
          <cell r="C11">
            <v>0.2667479026088681</v>
          </cell>
          <cell r="D11">
            <v>0.2592247898702979</v>
          </cell>
          <cell r="E11">
            <v>6.9080909079357363E-4</v>
          </cell>
          <cell r="F11">
            <v>0</v>
          </cell>
          <cell r="G11">
            <v>1</v>
          </cell>
        </row>
        <row r="12">
          <cell r="A12" t="str">
            <v>BOOKDEPR</v>
          </cell>
          <cell r="B12">
            <v>0.59849481138951321</v>
          </cell>
          <cell r="C12">
            <v>0.16473289661382759</v>
          </cell>
          <cell r="D12">
            <v>0.23541874770501786</v>
          </cell>
          <cell r="E12">
            <v>1.3535442916413419E-3</v>
          </cell>
          <cell r="F12">
            <v>0</v>
          </cell>
          <cell r="G12">
            <v>1</v>
          </cell>
        </row>
        <row r="13">
          <cell r="A13" t="str">
            <v>COM_EQ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1</v>
          </cell>
        </row>
        <row r="15">
          <cell r="A15" t="str">
            <v>DDS2</v>
          </cell>
          <cell r="B15">
            <v>1.0033395932190035</v>
          </cell>
          <cell r="C15">
            <v>2.7455302440061738E-2</v>
          </cell>
          <cell r="D15">
            <v>0.15402397304278093</v>
          </cell>
          <cell r="E15">
            <v>-0.17773722296053907</v>
          </cell>
          <cell r="F15">
            <v>-7.0816457413069725E-3</v>
          </cell>
          <cell r="G15">
            <v>1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DDSO2</v>
          </cell>
          <cell r="B17">
            <v>0.43781667161759485</v>
          </cell>
          <cell r="C17">
            <v>8.4359399112435438E-2</v>
          </cell>
          <cell r="D17">
            <v>0.35180311254988977</v>
          </cell>
          <cell r="E17">
            <v>0.11820328544510211</v>
          </cell>
          <cell r="F17">
            <v>7.8175312749778209E-3</v>
          </cell>
          <cell r="G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</row>
        <row r="19">
          <cell r="A19" t="str">
            <v>DEFSG</v>
          </cell>
          <cell r="B19">
            <v>0.86303638565236651</v>
          </cell>
          <cell r="C19">
            <v>0.13696361434763343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DMSC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</row>
        <row r="21">
          <cell r="A21" t="str">
            <v>DPW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</row>
        <row r="22">
          <cell r="A22" t="str">
            <v>ESD</v>
          </cell>
          <cell r="B22">
            <v>0.3</v>
          </cell>
          <cell r="C22">
            <v>0.1</v>
          </cell>
          <cell r="D22">
            <v>0.6</v>
          </cell>
          <cell r="E22">
            <v>0</v>
          </cell>
          <cell r="F22">
            <v>0</v>
          </cell>
          <cell r="G22">
            <v>1</v>
          </cell>
        </row>
        <row r="23">
          <cell r="A23" t="str">
            <v>FERC</v>
          </cell>
          <cell r="B23">
            <v>0.44855739219997681</v>
          </cell>
          <cell r="C23">
            <v>0.55144260780002319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A24" t="str">
            <v>G</v>
          </cell>
          <cell r="B24">
            <v>0.20955142757887837</v>
          </cell>
          <cell r="C24">
            <v>0.35379786346067071</v>
          </cell>
          <cell r="D24">
            <v>0.4226172825971109</v>
          </cell>
          <cell r="E24">
            <v>1.403342636334007E-2</v>
          </cell>
          <cell r="F24">
            <v>0</v>
          </cell>
          <cell r="G24">
            <v>1.0000000000000002</v>
          </cell>
        </row>
        <row r="25">
          <cell r="A25" t="str">
            <v>G-DGP</v>
          </cell>
          <cell r="B25">
            <v>0.65854216512945574</v>
          </cell>
          <cell r="C25">
            <v>0.34145783487054437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G-DGU</v>
          </cell>
          <cell r="B26">
            <v>0.65854216512945574</v>
          </cell>
          <cell r="C26">
            <v>0.34145783487054437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</row>
        <row r="27">
          <cell r="A27" t="str">
            <v>GP</v>
          </cell>
          <cell r="B27">
            <v>0.47753479092132939</v>
          </cell>
          <cell r="C27">
            <v>0.24761076615554117</v>
          </cell>
          <cell r="D27">
            <v>0.27484696285476756</v>
          </cell>
          <cell r="E27">
            <v>7.4800683619690629E-6</v>
          </cell>
          <cell r="F27">
            <v>0</v>
          </cell>
          <cell r="G27">
            <v>1.0000000000000002</v>
          </cell>
        </row>
        <row r="28">
          <cell r="A28" t="str">
            <v>G-SG</v>
          </cell>
          <cell r="B28">
            <v>0.41450249922223881</v>
          </cell>
          <cell r="C28">
            <v>0.58549750077776108</v>
          </cell>
          <cell r="D28">
            <v>0</v>
          </cell>
          <cell r="E28">
            <v>0</v>
          </cell>
          <cell r="F28">
            <v>0</v>
          </cell>
          <cell r="G28">
            <v>0.99999999999999989</v>
          </cell>
        </row>
        <row r="29">
          <cell r="A29" t="str">
            <v>G-SITUS</v>
          </cell>
          <cell r="B29">
            <v>0</v>
          </cell>
          <cell r="C29">
            <v>0.30532886132250175</v>
          </cell>
          <cell r="D29">
            <v>0.69467113867749819</v>
          </cell>
          <cell r="E29">
            <v>0</v>
          </cell>
          <cell r="F29">
            <v>0</v>
          </cell>
          <cell r="G29">
            <v>1</v>
          </cell>
        </row>
        <row r="30">
          <cell r="A30" t="str">
            <v>I</v>
          </cell>
          <cell r="B30">
            <v>0.47044683554669686</v>
          </cell>
          <cell r="C30">
            <v>0.17661301433094634</v>
          </cell>
          <cell r="D30">
            <v>0.14980344596393905</v>
          </cell>
          <cell r="E30">
            <v>0.2031367041584177</v>
          </cell>
          <cell r="F30">
            <v>0</v>
          </cell>
          <cell r="G30">
            <v>0.99999999999999989</v>
          </cell>
        </row>
        <row r="31">
          <cell r="A31" t="str">
            <v>I-DGP</v>
          </cell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A32" t="str">
            <v>I-DGU</v>
          </cell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</row>
        <row r="33">
          <cell r="A33" t="str">
            <v>I-SG</v>
          </cell>
          <cell r="B33">
            <v>0.83516600496839755</v>
          </cell>
          <cell r="C33">
            <v>0.16483399503160232</v>
          </cell>
          <cell r="D33">
            <v>0</v>
          </cell>
          <cell r="E33">
            <v>0</v>
          </cell>
          <cell r="F33">
            <v>0</v>
          </cell>
          <cell r="G33">
            <v>0.99999999999999989</v>
          </cell>
        </row>
        <row r="34">
          <cell r="A34" t="str">
            <v>I-SITUS</v>
          </cell>
          <cell r="B34">
            <v>3.5414313728465636</v>
          </cell>
          <cell r="C34">
            <v>-1.5620171549654476</v>
          </cell>
          <cell r="D34">
            <v>-0.97941421788111616</v>
          </cell>
          <cell r="E34">
            <v>0</v>
          </cell>
          <cell r="F34">
            <v>0</v>
          </cell>
          <cell r="G34">
            <v>0.99999999999999989</v>
          </cell>
        </row>
        <row r="35">
          <cell r="A35" t="str">
            <v>LABOR</v>
          </cell>
          <cell r="B35">
            <v>0.44955813689176455</v>
          </cell>
          <cell r="C35">
            <v>8.414504158513228E-2</v>
          </cell>
          <cell r="D35">
            <v>0.34016939862363005</v>
          </cell>
          <cell r="E35">
            <v>0.12612742289947315</v>
          </cell>
          <cell r="F35">
            <v>0</v>
          </cell>
          <cell r="G35">
            <v>1</v>
          </cell>
        </row>
        <row r="36">
          <cell r="A36" t="str">
            <v>MSS</v>
          </cell>
          <cell r="B36">
            <v>0.82904411909789655</v>
          </cell>
          <cell r="C36">
            <v>1.0509864611076494E-2</v>
          </cell>
          <cell r="D36">
            <v>0.160446016291027</v>
          </cell>
          <cell r="E36">
            <v>0</v>
          </cell>
          <cell r="F36">
            <v>0</v>
          </cell>
          <cell r="G36">
            <v>1</v>
          </cell>
        </row>
        <row r="37">
          <cell r="A37" t="str">
            <v>OTHDGP</v>
          </cell>
          <cell r="B37">
            <v>0.17015532624628768</v>
          </cell>
          <cell r="C37">
            <v>0.8298446737537124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</row>
        <row r="38">
          <cell r="A38" t="str">
            <v>OTHDGU</v>
          </cell>
          <cell r="B38">
            <v>0.17015532624628768</v>
          </cell>
          <cell r="C38">
            <v>0.8298446737537124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</row>
        <row r="39">
          <cell r="A39" t="str">
            <v>OTHSE</v>
          </cell>
          <cell r="B39">
            <v>0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</row>
        <row r="40">
          <cell r="A40" t="str">
            <v>OTHSG</v>
          </cell>
          <cell r="B40">
            <v>0.17015532624628768</v>
          </cell>
          <cell r="C40">
            <v>0.8298446737537124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</row>
        <row r="41">
          <cell r="A41" t="str">
            <v>OTHSGR</v>
          </cell>
          <cell r="B41">
            <v>0.17015532624628768</v>
          </cell>
          <cell r="C41">
            <v>0.8298446737537124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OTHSITUS</v>
          </cell>
          <cell r="B42">
            <v>-1.5710584332464507E-2</v>
          </cell>
          <cell r="C42">
            <v>0.40376091901249039</v>
          </cell>
          <cell r="D42">
            <v>0</v>
          </cell>
          <cell r="E42">
            <v>0</v>
          </cell>
          <cell r="F42">
            <v>0.61194966531997408</v>
          </cell>
          <cell r="G42">
            <v>1</v>
          </cell>
        </row>
        <row r="43">
          <cell r="A43" t="str">
            <v>OTHSO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</v>
          </cell>
          <cell r="G43">
            <v>1</v>
          </cell>
        </row>
        <row r="44">
          <cell r="A44" t="str">
            <v>P</v>
          </cell>
          <cell r="B44">
            <v>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SCHMA</v>
          </cell>
          <cell r="B45">
            <v>0.44203312911619025</v>
          </cell>
          <cell r="C45">
            <v>0.21949027285866676</v>
          </cell>
          <cell r="D45">
            <v>0.34432796139336153</v>
          </cell>
          <cell r="E45">
            <v>6.1891191378364747E-4</v>
          </cell>
          <cell r="F45">
            <v>-6.4702752820024554E-3</v>
          </cell>
          <cell r="G45">
            <v>0.99999999999999956</v>
          </cell>
        </row>
        <row r="46">
          <cell r="A46" t="str">
            <v>SCHMAF</v>
          </cell>
          <cell r="B46">
            <v>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SCHMAP</v>
          </cell>
          <cell r="B47">
            <v>0.7902705996926821</v>
          </cell>
          <cell r="C47">
            <v>3.206095010802984E-2</v>
          </cell>
          <cell r="D47">
            <v>0.12961136998805337</v>
          </cell>
          <cell r="E47">
            <v>4.8057080211234789E-2</v>
          </cell>
          <cell r="F47">
            <v>0</v>
          </cell>
          <cell r="G47">
            <v>1.0000000000000002</v>
          </cell>
        </row>
        <row r="48">
          <cell r="A48" t="str">
            <v>SCHMAP-SO</v>
          </cell>
          <cell r="B48">
            <v>0.8002961313960425</v>
          </cell>
          <cell r="C48">
            <v>3.0528365399939691E-2</v>
          </cell>
          <cell r="D48">
            <v>0.12341565828989771</v>
          </cell>
          <cell r="E48">
            <v>4.5759844914120065E-2</v>
          </cell>
          <cell r="F48">
            <v>0</v>
          </cell>
          <cell r="G48">
            <v>1</v>
          </cell>
        </row>
        <row r="49">
          <cell r="A49" t="str">
            <v>SCHMAT</v>
          </cell>
          <cell r="B49">
            <v>0.44103926422430667</v>
          </cell>
          <cell r="C49">
            <v>0.22002519353587877</v>
          </cell>
          <cell r="D49">
            <v>0.34494075955534387</v>
          </cell>
          <cell r="E49">
            <v>4.8352404203035737E-4</v>
          </cell>
          <cell r="F49">
            <v>-6.4887413575599158E-3</v>
          </cell>
          <cell r="G49">
            <v>0.99999999999999967</v>
          </cell>
        </row>
        <row r="50">
          <cell r="A50" t="str">
            <v>SCHMAT-GPS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SCHMAT-SE</v>
          </cell>
          <cell r="B51">
            <v>1.0002141476874702</v>
          </cell>
          <cell r="C51">
            <v>-3.2736365591432913E-5</v>
          </cell>
          <cell r="D51">
            <v>-1.3234184197406887E-4</v>
          </cell>
          <cell r="E51">
            <v>-4.9069479904707439E-5</v>
          </cell>
          <cell r="F51">
            <v>0</v>
          </cell>
          <cell r="G51">
            <v>1</v>
          </cell>
        </row>
        <row r="52">
          <cell r="A52" t="str">
            <v>SCHMAT-SITUS</v>
          </cell>
          <cell r="B52">
            <v>1.6871013703557669</v>
          </cell>
          <cell r="C52">
            <v>-0.26246109650617905</v>
          </cell>
          <cell r="D52">
            <v>-0.45688264274522616</v>
          </cell>
          <cell r="E52">
            <v>3.2242368895638002E-2</v>
          </cell>
          <cell r="F52">
            <v>0</v>
          </cell>
          <cell r="G52">
            <v>0.99999999999999967</v>
          </cell>
        </row>
        <row r="53">
          <cell r="A53" t="str">
            <v>SCHMAT-SNP</v>
          </cell>
          <cell r="B53">
            <v>0.47754405766835473</v>
          </cell>
          <cell r="C53">
            <v>0.24760934695767384</v>
          </cell>
          <cell r="D53">
            <v>0.27484653120759733</v>
          </cell>
          <cell r="E53">
            <v>6.4166374147080787E-8</v>
          </cell>
          <cell r="F53">
            <v>0</v>
          </cell>
          <cell r="G53">
            <v>1.0000000000000002</v>
          </cell>
        </row>
        <row r="54">
          <cell r="A54" t="str">
            <v>SCHMAT-SO</v>
          </cell>
          <cell r="B54">
            <v>0.44642946476623019</v>
          </cell>
          <cell r="C54">
            <v>6.5870684412878508E-2</v>
          </cell>
          <cell r="D54">
            <v>0.34747211566563241</v>
          </cell>
          <cell r="E54">
            <v>0.14022773515525896</v>
          </cell>
          <cell r="F54">
            <v>0</v>
          </cell>
          <cell r="G54">
            <v>1</v>
          </cell>
        </row>
        <row r="55">
          <cell r="A55" t="str">
            <v>SCHMD</v>
          </cell>
          <cell r="B55">
            <v>0.54143249316116326</v>
          </cell>
          <cell r="C55">
            <v>0.20962815308005103</v>
          </cell>
          <cell r="D55">
            <v>0.23894644504658771</v>
          </cell>
          <cell r="E55">
            <v>8.9746706026192797E-3</v>
          </cell>
          <cell r="F55">
            <v>1.0182381095788348E-3</v>
          </cell>
          <cell r="G55">
            <v>1</v>
          </cell>
        </row>
        <row r="56">
          <cell r="A56" t="str">
            <v>SCHMDF</v>
          </cell>
          <cell r="B56">
            <v>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</row>
        <row r="57">
          <cell r="A57" t="str">
            <v>SCHMDP</v>
          </cell>
          <cell r="B57">
            <v>0.98659791895274862</v>
          </cell>
          <cell r="C57">
            <v>6.3516951609073787E-3</v>
          </cell>
          <cell r="D57">
            <v>7.0503858863440625E-3</v>
          </cell>
          <cell r="E57">
            <v>0</v>
          </cell>
          <cell r="F57">
            <v>0</v>
          </cell>
          <cell r="G57">
            <v>1</v>
          </cell>
        </row>
        <row r="58">
          <cell r="A58" t="str">
            <v>SCHMDP-SO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>
            <v>0</v>
          </cell>
        </row>
        <row r="59">
          <cell r="A59" t="str">
            <v>SCHMDT</v>
          </cell>
          <cell r="B59">
            <v>0.53974242878000944</v>
          </cell>
          <cell r="C59">
            <v>0.21039988934066781</v>
          </cell>
          <cell r="D59">
            <v>0.23982683522742843</v>
          </cell>
          <cell r="E59">
            <v>9.0087428154177127E-3</v>
          </cell>
          <cell r="F59">
            <v>1.0221038364768135E-3</v>
          </cell>
          <cell r="G59">
            <v>1.0000000000000002</v>
          </cell>
        </row>
        <row r="60">
          <cell r="A60" t="str">
            <v>SCHMDT-GPS</v>
          </cell>
          <cell r="B60">
            <v>0.47754413784923605</v>
          </cell>
          <cell r="C60">
            <v>0.2476093346780103</v>
          </cell>
          <cell r="D60">
            <v>0.27484652747275379</v>
          </cell>
          <cell r="E60">
            <v>0</v>
          </cell>
          <cell r="F60">
            <v>0</v>
          </cell>
          <cell r="G60">
            <v>1.0000000000000002</v>
          </cell>
        </row>
        <row r="61">
          <cell r="A61" t="str">
            <v>SCHMDT-SG</v>
          </cell>
          <cell r="B61">
            <v>0.99877674466218569</v>
          </cell>
          <cell r="C61">
            <v>1.2232553378142606E-3</v>
          </cell>
          <cell r="D61">
            <v>0</v>
          </cell>
          <cell r="E61">
            <v>0</v>
          </cell>
          <cell r="F61">
            <v>0</v>
          </cell>
          <cell r="G61">
            <v>1</v>
          </cell>
        </row>
        <row r="62">
          <cell r="A62" t="str">
            <v>SCHMDT-SITUS</v>
          </cell>
          <cell r="B62">
            <v>0.99018242825278502</v>
          </cell>
          <cell r="C62">
            <v>3.6246145473642229E-3</v>
          </cell>
          <cell r="D62">
            <v>1.6163635362502368E-2</v>
          </cell>
          <cell r="E62">
            <v>-1.7465027328062117E-2</v>
          </cell>
          <cell r="F62">
            <v>7.4943491654105273E-3</v>
          </cell>
          <cell r="G62">
            <v>1</v>
          </cell>
        </row>
        <row r="63">
          <cell r="A63" t="str">
            <v>SCHMDT-SNP</v>
          </cell>
          <cell r="B63">
            <v>0.47754413784923605</v>
          </cell>
          <cell r="C63">
            <v>0.24760933467801033</v>
          </cell>
          <cell r="D63">
            <v>0.27484652747275379</v>
          </cell>
          <cell r="E63">
            <v>0</v>
          </cell>
          <cell r="F63">
            <v>0</v>
          </cell>
          <cell r="G63">
            <v>1.0000000000000002</v>
          </cell>
        </row>
        <row r="64">
          <cell r="A64" t="str">
            <v>SCHMDT-SO</v>
          </cell>
          <cell r="B64">
            <v>0.44117006299971306</v>
          </cell>
          <cell r="C64">
            <v>0.12680950830158857</v>
          </cell>
          <cell r="D64">
            <v>0.35054612926784379</v>
          </cell>
          <cell r="E64">
            <v>8.147429943085456E-2</v>
          </cell>
          <cell r="F64">
            <v>0</v>
          </cell>
          <cell r="G64">
            <v>1</v>
          </cell>
        </row>
        <row r="65">
          <cell r="A65" t="str">
            <v>T</v>
          </cell>
          <cell r="B65">
            <v>0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</row>
        <row r="66">
          <cell r="A66" t="str">
            <v>TAXDEPR</v>
          </cell>
          <cell r="B66">
            <v>0.43173729775388481</v>
          </cell>
          <cell r="C66">
            <v>0.26309447850965278</v>
          </cell>
          <cell r="D66">
            <v>0.29415061706145501</v>
          </cell>
          <cell r="E66">
            <v>1.1017606675007454E-2</v>
          </cell>
          <cell r="F66">
            <v>0</v>
          </cell>
          <cell r="G66">
            <v>1</v>
          </cell>
        </row>
        <row r="67">
          <cell r="A67" t="str">
            <v>TD</v>
          </cell>
          <cell r="B67">
            <v>0</v>
          </cell>
          <cell r="C67">
            <v>0.47393349872406665</v>
          </cell>
          <cell r="D67">
            <v>0.52606650127593335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CWC</v>
          </cell>
          <cell r="B68">
            <v>0.66742010913740746</v>
          </cell>
          <cell r="C68">
            <v>0.14593339855552509</v>
          </cell>
          <cell r="D68">
            <v>0.14377182949443978</v>
          </cell>
          <cell r="E68">
            <v>3.4951674969115547E-2</v>
          </cell>
          <cell r="F68">
            <v>7.9229878435119801E-3</v>
          </cell>
          <cell r="G68">
            <v>0.99999999999999989</v>
          </cell>
        </row>
        <row r="69">
          <cell r="A69" t="str">
            <v>DITEXP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FIT</v>
          </cell>
          <cell r="B70">
            <v>1.8543175150181228</v>
          </cell>
          <cell r="C70">
            <v>-0.40438419338950238</v>
          </cell>
          <cell r="D70">
            <v>-0.45824194584305455</v>
          </cell>
          <cell r="E70">
            <v>9.1084716517769535E-3</v>
          </cell>
          <cell r="F70">
            <v>-7.9984743734204757E-4</v>
          </cell>
          <cell r="G70">
            <v>1.0000000000000007</v>
          </cell>
        </row>
        <row r="71">
          <cell r="A71" t="str">
            <v>IBT</v>
          </cell>
          <cell r="B71">
            <v>-3.1770765822302351</v>
          </cell>
          <cell r="C71">
            <v>1.9771849631287506</v>
          </cell>
          <cell r="D71">
            <v>2.2405155780237447</v>
          </cell>
          <cell r="E71">
            <v>-4.4534711003482538E-2</v>
          </cell>
          <cell r="F71">
            <v>3.9107520812182552E-3</v>
          </cell>
          <cell r="G71">
            <v>0.99999999999999589</v>
          </cell>
        </row>
        <row r="72">
          <cell r="A72" t="str">
            <v>NONE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NUTIL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PT</v>
          </cell>
          <cell r="B74">
            <v>0.63913107049848006</v>
          </cell>
          <cell r="C74">
            <v>0.36086892950151994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</row>
        <row r="75">
          <cell r="A75" t="str">
            <v>PTD</v>
          </cell>
          <cell r="B75">
            <v>0.46821628266671655</v>
          </cell>
          <cell r="C75">
            <v>0.26436628807505441</v>
          </cell>
          <cell r="D75">
            <v>0.26741742925822898</v>
          </cell>
          <cell r="E75">
            <v>0</v>
          </cell>
          <cell r="F75">
            <v>0</v>
          </cell>
          <cell r="G75">
            <v>1</v>
          </cell>
        </row>
        <row r="76">
          <cell r="A76" t="str">
            <v>REVREQ</v>
          </cell>
          <cell r="B76">
            <v>0.60304994315957916</v>
          </cell>
          <cell r="C76">
            <v>0.18844253331905333</v>
          </cell>
          <cell r="D76">
            <v>0.18134981755767599</v>
          </cell>
          <cell r="E76">
            <v>2.2788046751502245E-2</v>
          </cell>
          <cell r="F76">
            <v>4.3696592121893717E-3</v>
          </cell>
          <cell r="G76">
            <v>1.0000000000000002</v>
          </cell>
        </row>
        <row r="77">
          <cell r="A77" t="str">
            <v>SIT</v>
          </cell>
          <cell r="B77">
            <v>-3.1770765822302405</v>
          </cell>
          <cell r="C77">
            <v>1.9771849631287548</v>
          </cell>
          <cell r="D77">
            <v>2.24051557802375</v>
          </cell>
          <cell r="E77">
            <v>-4.4534711003482615E-2</v>
          </cell>
          <cell r="F77">
            <v>3.9107520812182621E-3</v>
          </cell>
          <cell r="G77">
            <v>1</v>
          </cell>
        </row>
      </sheetData>
      <sheetData sheetId="32">
        <row r="5">
          <cell r="B5" t="str">
            <v>2020 Protocol</v>
          </cell>
          <cell r="C5" t="str">
            <v>Rolled-In</v>
          </cell>
          <cell r="D5" t="str">
            <v>Option-2</v>
          </cell>
          <cell r="E5" t="str">
            <v>Option-3</v>
          </cell>
          <cell r="F5" t="str">
            <v>Option-4</v>
          </cell>
          <cell r="H5" t="str">
            <v>Rolled-In</v>
          </cell>
          <cell r="I5" t="str">
            <v>MSP</v>
          </cell>
          <cell r="J5" t="str">
            <v>Option-2</v>
          </cell>
          <cell r="K5" t="str">
            <v>Option-3</v>
          </cell>
          <cell r="L5" t="str">
            <v>Option-4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 t="str">
            <v>DRB</v>
          </cell>
          <cell r="I7" t="str">
            <v>DRB</v>
          </cell>
          <cell r="J7" t="str">
            <v>DRB</v>
          </cell>
          <cell r="K7" t="str">
            <v>DRB</v>
          </cell>
          <cell r="L7" t="str">
            <v>DRB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 t="str">
            <v>DRB</v>
          </cell>
          <cell r="I12" t="str">
            <v>DRB</v>
          </cell>
          <cell r="J12" t="str">
            <v>DRB</v>
          </cell>
          <cell r="K12" t="str">
            <v>DRB</v>
          </cell>
          <cell r="L12" t="str">
            <v>DRB</v>
          </cell>
        </row>
        <row r="13">
          <cell r="B13" t="str">
            <v>P</v>
          </cell>
          <cell r="C13" t="str">
            <v>P</v>
          </cell>
          <cell r="D13" t="str">
            <v>P</v>
          </cell>
          <cell r="E13" t="str">
            <v>P</v>
          </cell>
          <cell r="F13" t="str">
            <v>P</v>
          </cell>
          <cell r="H13" t="str">
            <v>DRB</v>
          </cell>
          <cell r="I13" t="str">
            <v>DRB</v>
          </cell>
          <cell r="J13" t="str">
            <v>DRB</v>
          </cell>
          <cell r="K13" t="str">
            <v>DRB</v>
          </cell>
          <cell r="L13" t="str">
            <v>DRB</v>
          </cell>
        </row>
        <row r="14">
          <cell r="B14" t="str">
            <v>PT</v>
          </cell>
          <cell r="C14" t="str">
            <v>PT</v>
          </cell>
          <cell r="D14" t="str">
            <v>PT</v>
          </cell>
          <cell r="E14" t="str">
            <v>PT</v>
          </cell>
          <cell r="F14" t="str">
            <v>PT</v>
          </cell>
          <cell r="H14" t="str">
            <v>DRB</v>
          </cell>
          <cell r="I14" t="str">
            <v>DRB</v>
          </cell>
          <cell r="J14" t="str">
            <v>DRB</v>
          </cell>
          <cell r="K14" t="str">
            <v>DRB</v>
          </cell>
          <cell r="L14" t="str">
            <v>DRB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H17" t="str">
            <v>DRB</v>
          </cell>
          <cell r="I17" t="str">
            <v>DRB</v>
          </cell>
          <cell r="J17" t="str">
            <v>DRB</v>
          </cell>
          <cell r="K17" t="str">
            <v>DRB</v>
          </cell>
          <cell r="L17" t="str">
            <v>DRB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 t="str">
            <v>DRB</v>
          </cell>
          <cell r="I21" t="str">
            <v>DRB</v>
          </cell>
          <cell r="J21" t="str">
            <v>DRB</v>
          </cell>
          <cell r="K21" t="str">
            <v>DRB</v>
          </cell>
          <cell r="L21" t="str">
            <v>DRB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DPW</v>
          </cell>
          <cell r="C27" t="str">
            <v>DPW</v>
          </cell>
          <cell r="D27" t="str">
            <v>DPW</v>
          </cell>
          <cell r="E27" t="str">
            <v>DPW</v>
          </cell>
          <cell r="F27" t="str">
            <v>DPW</v>
          </cell>
          <cell r="H27" t="str">
            <v>DRB</v>
          </cell>
          <cell r="I27" t="str">
            <v>DRB</v>
          </cell>
          <cell r="J27" t="str">
            <v>DRB</v>
          </cell>
          <cell r="K27" t="str">
            <v>DRB</v>
          </cell>
          <cell r="L27" t="str">
            <v>DRB</v>
          </cell>
        </row>
        <row r="28">
          <cell r="B28" t="str">
            <v>GP</v>
          </cell>
          <cell r="C28" t="str">
            <v>GP</v>
          </cell>
          <cell r="D28" t="str">
            <v>GP</v>
          </cell>
          <cell r="E28" t="str">
            <v>GP</v>
          </cell>
          <cell r="F28" t="str">
            <v>GP</v>
          </cell>
          <cell r="H28" t="str">
            <v>DRB</v>
          </cell>
          <cell r="I28" t="str">
            <v>DRB</v>
          </cell>
          <cell r="J28" t="str">
            <v>DRB</v>
          </cell>
          <cell r="K28" t="str">
            <v>DRB</v>
          </cell>
          <cell r="L28" t="str">
            <v>DRB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P</v>
          </cell>
          <cell r="C36" t="str">
            <v>P</v>
          </cell>
          <cell r="D36" t="str">
            <v>P</v>
          </cell>
          <cell r="E36" t="str">
            <v>P</v>
          </cell>
          <cell r="F36" t="str">
            <v>P</v>
          </cell>
          <cell r="H36" t="str">
            <v>DRB</v>
          </cell>
          <cell r="I36" t="str">
            <v>DRB</v>
          </cell>
          <cell r="J36" t="str">
            <v>DRB</v>
          </cell>
          <cell r="K36" t="str">
            <v>DRB</v>
          </cell>
          <cell r="L36" t="str">
            <v>DRB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P</v>
          </cell>
          <cell r="C40" t="str">
            <v>P</v>
          </cell>
          <cell r="D40" t="str">
            <v>P</v>
          </cell>
          <cell r="E40" t="str">
            <v>P</v>
          </cell>
          <cell r="F40" t="str">
            <v>P</v>
          </cell>
          <cell r="H40" t="str">
            <v>DRB</v>
          </cell>
          <cell r="I40" t="str">
            <v>DRB</v>
          </cell>
          <cell r="J40" t="str">
            <v>DRB</v>
          </cell>
          <cell r="K40" t="str">
            <v>DRB</v>
          </cell>
          <cell r="L40" t="str">
            <v>DRB</v>
          </cell>
        </row>
        <row r="41">
          <cell r="B41" t="str">
            <v>P</v>
          </cell>
          <cell r="C41" t="str">
            <v>P</v>
          </cell>
          <cell r="D41" t="str">
            <v>P</v>
          </cell>
          <cell r="E41" t="str">
            <v>P</v>
          </cell>
          <cell r="F41" t="str">
            <v>P</v>
          </cell>
          <cell r="H41" t="str">
            <v>DRB</v>
          </cell>
          <cell r="I41" t="str">
            <v>DRB</v>
          </cell>
          <cell r="J41" t="str">
            <v>DRB</v>
          </cell>
          <cell r="K41" t="str">
            <v>DRB</v>
          </cell>
          <cell r="L41" t="str">
            <v>DRB</v>
          </cell>
        </row>
        <row r="42">
          <cell r="B42" t="str">
            <v>P</v>
          </cell>
          <cell r="C42" t="str">
            <v>P</v>
          </cell>
          <cell r="D42" t="str">
            <v>P</v>
          </cell>
          <cell r="E42" t="str">
            <v>P</v>
          </cell>
          <cell r="F42" t="str">
            <v>P</v>
          </cell>
          <cell r="H42" t="str">
            <v>DRB</v>
          </cell>
          <cell r="I42" t="str">
            <v>DRB</v>
          </cell>
          <cell r="J42" t="str">
            <v>DRB</v>
          </cell>
          <cell r="K42" t="str">
            <v>DRB</v>
          </cell>
          <cell r="L42" t="str">
            <v>DRB</v>
          </cell>
        </row>
        <row r="43">
          <cell r="B43" t="str">
            <v>P</v>
          </cell>
          <cell r="C43" t="str">
            <v>P</v>
          </cell>
          <cell r="D43" t="str">
            <v>P</v>
          </cell>
          <cell r="E43" t="str">
            <v>P</v>
          </cell>
          <cell r="F43" t="str">
            <v>P</v>
          </cell>
          <cell r="H43" t="str">
            <v>DRB</v>
          </cell>
          <cell r="I43" t="str">
            <v>DRB</v>
          </cell>
          <cell r="J43" t="str">
            <v>DRB</v>
          </cell>
          <cell r="K43" t="str">
            <v>DRB</v>
          </cell>
          <cell r="L43" t="str">
            <v>DRB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 t="str">
            <v>P</v>
          </cell>
          <cell r="C47" t="str">
            <v>P</v>
          </cell>
          <cell r="D47" t="str">
            <v>P</v>
          </cell>
          <cell r="E47" t="str">
            <v>P</v>
          </cell>
          <cell r="F47" t="str">
            <v>P</v>
          </cell>
          <cell r="H47" t="str">
            <v>DRB</v>
          </cell>
          <cell r="I47" t="str">
            <v>DRB</v>
          </cell>
          <cell r="J47" t="str">
            <v>DRB</v>
          </cell>
          <cell r="K47" t="str">
            <v>DRB</v>
          </cell>
          <cell r="L47" t="str">
            <v>DRB</v>
          </cell>
        </row>
        <row r="48">
          <cell r="B48" t="str">
            <v>P</v>
          </cell>
          <cell r="C48" t="str">
            <v>P</v>
          </cell>
          <cell r="D48" t="str">
            <v>P</v>
          </cell>
          <cell r="E48" t="str">
            <v>P</v>
          </cell>
          <cell r="F48" t="str">
            <v>P</v>
          </cell>
          <cell r="H48" t="str">
            <v>DRB</v>
          </cell>
          <cell r="I48" t="str">
            <v>DRB</v>
          </cell>
          <cell r="J48" t="str">
            <v>DRB</v>
          </cell>
          <cell r="K48" t="str">
            <v>DRB</v>
          </cell>
          <cell r="L48" t="str">
            <v>DRB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REVREQ</v>
          </cell>
          <cell r="C50" t="str">
            <v>REVREQ</v>
          </cell>
          <cell r="D50" t="str">
            <v>REVREQ</v>
          </cell>
          <cell r="E50" t="str">
            <v>REVREQ</v>
          </cell>
          <cell r="F50" t="str">
            <v>REVREQ</v>
          </cell>
          <cell r="H50" t="str">
            <v>DRB</v>
          </cell>
          <cell r="I50" t="str">
            <v>DRB</v>
          </cell>
          <cell r="J50" t="str">
            <v>DRB</v>
          </cell>
          <cell r="K50" t="str">
            <v>DRB</v>
          </cell>
          <cell r="L50" t="str">
            <v>DRB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DPW</v>
          </cell>
          <cell r="C52" t="str">
            <v>DPW</v>
          </cell>
          <cell r="D52" t="str">
            <v>DPW</v>
          </cell>
          <cell r="E52" t="str">
            <v>DPW</v>
          </cell>
          <cell r="F52" t="str">
            <v>DPW</v>
          </cell>
          <cell r="H52" t="str">
            <v>DRB</v>
          </cell>
          <cell r="I52" t="str">
            <v>DRB</v>
          </cell>
          <cell r="J52" t="str">
            <v>DRB</v>
          </cell>
          <cell r="K52" t="str">
            <v>DRB</v>
          </cell>
          <cell r="L52" t="str">
            <v>DRB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CUST</v>
          </cell>
          <cell r="C58" t="str">
            <v>CUST</v>
          </cell>
          <cell r="D58" t="str">
            <v>CUST</v>
          </cell>
          <cell r="E58" t="str">
            <v>CUST</v>
          </cell>
          <cell r="F58" t="str">
            <v>CUST</v>
          </cell>
          <cell r="H58" t="str">
            <v>CUST</v>
          </cell>
          <cell r="I58" t="str">
            <v>CUST</v>
          </cell>
          <cell r="J58" t="str">
            <v>CUST</v>
          </cell>
          <cell r="K58" t="str">
            <v>CUST</v>
          </cell>
          <cell r="L58" t="str">
            <v>CUST</v>
          </cell>
        </row>
        <row r="59">
          <cell r="B59" t="str">
            <v>CUST</v>
          </cell>
          <cell r="C59" t="str">
            <v>CUST</v>
          </cell>
          <cell r="D59" t="str">
            <v>CUST</v>
          </cell>
          <cell r="E59" t="str">
            <v>CUST</v>
          </cell>
          <cell r="F59" t="str">
            <v>CUST</v>
          </cell>
          <cell r="H59" t="str">
            <v>CUST</v>
          </cell>
          <cell r="I59" t="str">
            <v>CUST</v>
          </cell>
          <cell r="J59" t="str">
            <v>CUST</v>
          </cell>
          <cell r="K59" t="str">
            <v>CUST</v>
          </cell>
          <cell r="L59" t="str">
            <v>CUST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 t="str">
            <v>CUST</v>
          </cell>
          <cell r="C63" t="str">
            <v>CUST</v>
          </cell>
          <cell r="D63" t="str">
            <v>CUST</v>
          </cell>
          <cell r="E63" t="str">
            <v>CUST</v>
          </cell>
          <cell r="F63" t="str">
            <v>CUST</v>
          </cell>
          <cell r="H63" t="str">
            <v>CUST</v>
          </cell>
          <cell r="I63" t="str">
            <v>CUST</v>
          </cell>
          <cell r="J63" t="str">
            <v>CUST</v>
          </cell>
          <cell r="K63" t="str">
            <v>CUST</v>
          </cell>
          <cell r="L63" t="str">
            <v>CUST</v>
          </cell>
        </row>
        <row r="64">
          <cell r="B64" t="str">
            <v>GP</v>
          </cell>
          <cell r="C64" t="str">
            <v>GP</v>
          </cell>
          <cell r="D64" t="str">
            <v>GP</v>
          </cell>
          <cell r="E64" t="str">
            <v>GP</v>
          </cell>
          <cell r="F64" t="str">
            <v>GP</v>
          </cell>
          <cell r="H64" t="str">
            <v>PLNT</v>
          </cell>
          <cell r="I64" t="str">
            <v>PLNT</v>
          </cell>
          <cell r="J64" t="str">
            <v>PLNT</v>
          </cell>
          <cell r="K64" t="str">
            <v>PLNT</v>
          </cell>
          <cell r="L64" t="str">
            <v>PLNT</v>
          </cell>
        </row>
        <row r="65">
          <cell r="B65" t="str">
            <v>CUST</v>
          </cell>
          <cell r="C65" t="str">
            <v>CUST</v>
          </cell>
          <cell r="D65" t="str">
            <v>CUST</v>
          </cell>
          <cell r="E65" t="str">
            <v>CUST</v>
          </cell>
          <cell r="F65" t="str">
            <v>CUST</v>
          </cell>
          <cell r="H65" t="str">
            <v>PLNT</v>
          </cell>
          <cell r="I65" t="str">
            <v>PLNT</v>
          </cell>
          <cell r="J65" t="str">
            <v>PLNT</v>
          </cell>
          <cell r="K65" t="str">
            <v>PLNT</v>
          </cell>
          <cell r="L65" t="str">
            <v>PLNT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 t="str">
            <v>P</v>
          </cell>
          <cell r="C69" t="str">
            <v>P</v>
          </cell>
          <cell r="D69" t="str">
            <v>P</v>
          </cell>
          <cell r="E69" t="str">
            <v>P</v>
          </cell>
          <cell r="F69" t="str">
            <v>P</v>
          </cell>
          <cell r="H69" t="str">
            <v>PLNT</v>
          </cell>
          <cell r="I69" t="str">
            <v>PLNT</v>
          </cell>
          <cell r="J69" t="str">
            <v>PLNT</v>
          </cell>
          <cell r="K69" t="str">
            <v>PLNT</v>
          </cell>
          <cell r="L69" t="str">
            <v>PLNT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DPW</v>
          </cell>
          <cell r="C73" t="str">
            <v>DPW</v>
          </cell>
          <cell r="D73" t="str">
            <v>DPW</v>
          </cell>
          <cell r="E73" t="str">
            <v>DPW</v>
          </cell>
          <cell r="F73" t="str">
            <v>DPW</v>
          </cell>
          <cell r="H73" t="str">
            <v>PLNT</v>
          </cell>
          <cell r="I73" t="str">
            <v>PLNT</v>
          </cell>
          <cell r="J73" t="str">
            <v>PLNT</v>
          </cell>
          <cell r="K73" t="str">
            <v>PLNT</v>
          </cell>
          <cell r="L73" t="str">
            <v>PLNT</v>
          </cell>
        </row>
        <row r="74">
          <cell r="B74" t="str">
            <v>T</v>
          </cell>
          <cell r="C74" t="str">
            <v>T</v>
          </cell>
          <cell r="D74" t="str">
            <v>T</v>
          </cell>
          <cell r="E74" t="str">
            <v>T</v>
          </cell>
          <cell r="F74" t="str">
            <v>T</v>
          </cell>
          <cell r="H74" t="str">
            <v>PLNT</v>
          </cell>
          <cell r="I74" t="str">
            <v>PLNT</v>
          </cell>
          <cell r="J74" t="str">
            <v>PLNT</v>
          </cell>
          <cell r="K74" t="str">
            <v>PLNT</v>
          </cell>
          <cell r="L74" t="str">
            <v>PLNT</v>
          </cell>
        </row>
        <row r="75">
          <cell r="B75" t="str">
            <v>T</v>
          </cell>
          <cell r="C75" t="str">
            <v>T</v>
          </cell>
          <cell r="D75" t="str">
            <v>T</v>
          </cell>
          <cell r="E75" t="str">
            <v>T</v>
          </cell>
          <cell r="F75" t="str">
            <v>T</v>
          </cell>
          <cell r="H75" t="str">
            <v>PLNT</v>
          </cell>
          <cell r="I75" t="str">
            <v>PLNT</v>
          </cell>
          <cell r="J75" t="str">
            <v>PLNT</v>
          </cell>
          <cell r="K75" t="str">
            <v>PLNT</v>
          </cell>
          <cell r="L75" t="str">
            <v>PLNT</v>
          </cell>
        </row>
        <row r="76">
          <cell r="B76" t="str">
            <v>GP</v>
          </cell>
          <cell r="C76" t="str">
            <v>GP</v>
          </cell>
          <cell r="D76" t="str">
            <v>GP</v>
          </cell>
          <cell r="E76" t="str">
            <v>GP</v>
          </cell>
          <cell r="F76" t="str">
            <v>GP</v>
          </cell>
          <cell r="H76" t="str">
            <v>PLNT</v>
          </cell>
          <cell r="I76" t="str">
            <v>PLNT</v>
          </cell>
          <cell r="J76" t="str">
            <v>PLNT</v>
          </cell>
          <cell r="K76" t="str">
            <v>PLNT</v>
          </cell>
          <cell r="L76" t="str">
            <v>PLNT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DMSC</v>
          </cell>
          <cell r="C80" t="str">
            <v>DMSC</v>
          </cell>
          <cell r="D80" t="str">
            <v>DMSC</v>
          </cell>
          <cell r="E80" t="str">
            <v>DMSC</v>
          </cell>
          <cell r="F80" t="str">
            <v>DMSC</v>
          </cell>
          <cell r="H80" t="str">
            <v>PLNT</v>
          </cell>
          <cell r="I80" t="str">
            <v>PLNT</v>
          </cell>
          <cell r="J80" t="str">
            <v>PLNT</v>
          </cell>
          <cell r="K80" t="str">
            <v>PLNT</v>
          </cell>
          <cell r="L80" t="str">
            <v>PLNT</v>
          </cell>
        </row>
        <row r="81">
          <cell r="B81" t="str">
            <v>CUST</v>
          </cell>
          <cell r="C81" t="str">
            <v>CUST</v>
          </cell>
          <cell r="D81" t="str">
            <v>CUST</v>
          </cell>
          <cell r="E81" t="str">
            <v>CUST</v>
          </cell>
          <cell r="F81" t="str">
            <v>CUST</v>
          </cell>
          <cell r="H81" t="str">
            <v>CUST</v>
          </cell>
          <cell r="I81" t="str">
            <v>CUST</v>
          </cell>
          <cell r="J81" t="str">
            <v>CUST</v>
          </cell>
          <cell r="K81" t="str">
            <v>CUST</v>
          </cell>
          <cell r="L81" t="str">
            <v>CUST</v>
          </cell>
        </row>
        <row r="82">
          <cell r="B82" t="str">
            <v>OTHSE</v>
          </cell>
          <cell r="C82" t="str">
            <v>OTHSE</v>
          </cell>
          <cell r="D82" t="str">
            <v>OTHSE</v>
          </cell>
          <cell r="E82" t="str">
            <v>OTHSE</v>
          </cell>
          <cell r="F82" t="str">
            <v>OTHSE</v>
          </cell>
          <cell r="H82" t="str">
            <v>PLNT</v>
          </cell>
          <cell r="I82" t="str">
            <v>PLNT</v>
          </cell>
          <cell r="J82" t="str">
            <v>PLNT</v>
          </cell>
          <cell r="K82" t="str">
            <v>PLNT</v>
          </cell>
          <cell r="L82" t="str">
            <v>PLNT</v>
          </cell>
        </row>
        <row r="83">
          <cell r="B83" t="str">
            <v>OTHSO</v>
          </cell>
          <cell r="C83" t="str">
            <v>OTHSO</v>
          </cell>
          <cell r="D83" t="str">
            <v>OTHSO</v>
          </cell>
          <cell r="E83" t="str">
            <v>OTHSO</v>
          </cell>
          <cell r="F83" t="str">
            <v>OTHSO</v>
          </cell>
          <cell r="H83" t="str">
            <v>PLNT</v>
          </cell>
          <cell r="I83" t="str">
            <v>PLNT</v>
          </cell>
          <cell r="J83" t="str">
            <v>PLNT</v>
          </cell>
          <cell r="K83" t="str">
            <v>PLNT</v>
          </cell>
          <cell r="L83" t="str">
            <v>PLNT</v>
          </cell>
        </row>
        <row r="84">
          <cell r="B84" t="str">
            <v>OTHSGR</v>
          </cell>
          <cell r="C84" t="str">
            <v>OTHSGR</v>
          </cell>
          <cell r="D84" t="str">
            <v>OTHSGR</v>
          </cell>
          <cell r="E84" t="str">
            <v>OTHSGR</v>
          </cell>
          <cell r="F84" t="str">
            <v>OTHSGR</v>
          </cell>
          <cell r="H84" t="str">
            <v>PLNT</v>
          </cell>
          <cell r="I84" t="str">
            <v>PLNT</v>
          </cell>
          <cell r="J84" t="str">
            <v>PLNT</v>
          </cell>
          <cell r="K84" t="str">
            <v>PLNT</v>
          </cell>
          <cell r="L84" t="str">
            <v>PLNT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 t="str">
            <v>DPW</v>
          </cell>
          <cell r="C93" t="str">
            <v>DPW</v>
          </cell>
          <cell r="D93" t="str">
            <v>DPW</v>
          </cell>
          <cell r="E93" t="str">
            <v>DPW</v>
          </cell>
          <cell r="F93" t="str">
            <v>DPW</v>
          </cell>
          <cell r="H93" t="str">
            <v>PLNT</v>
          </cell>
          <cell r="I93" t="str">
            <v>PLNT</v>
          </cell>
          <cell r="J93" t="str">
            <v>PLNT</v>
          </cell>
          <cell r="K93" t="str">
            <v>PLNT</v>
          </cell>
          <cell r="L93" t="str">
            <v>PLNT</v>
          </cell>
        </row>
        <row r="94">
          <cell r="B94" t="str">
            <v>T</v>
          </cell>
          <cell r="C94" t="str">
            <v>T</v>
          </cell>
          <cell r="D94" t="str">
            <v>T</v>
          </cell>
          <cell r="E94" t="str">
            <v>T</v>
          </cell>
          <cell r="F94" t="str">
            <v>T</v>
          </cell>
          <cell r="H94" t="str">
            <v>PLNT</v>
          </cell>
          <cell r="I94" t="str">
            <v>PLNT</v>
          </cell>
          <cell r="J94" t="str">
            <v>PLNT</v>
          </cell>
          <cell r="K94" t="str">
            <v>PLNT</v>
          </cell>
          <cell r="L94" t="str">
            <v>PLNT</v>
          </cell>
        </row>
        <row r="95">
          <cell r="B95" t="str">
            <v>G</v>
          </cell>
          <cell r="C95" t="str">
            <v>G</v>
          </cell>
          <cell r="D95" t="str">
            <v>G</v>
          </cell>
          <cell r="E95" t="str">
            <v>G</v>
          </cell>
          <cell r="F95" t="str">
            <v>G</v>
          </cell>
          <cell r="H95" t="str">
            <v>PLNT</v>
          </cell>
          <cell r="I95" t="str">
            <v>PLNT</v>
          </cell>
          <cell r="J95" t="str">
            <v>PLNT</v>
          </cell>
          <cell r="K95" t="str">
            <v>PLNT</v>
          </cell>
          <cell r="L95" t="str">
            <v>PLNT</v>
          </cell>
        </row>
        <row r="96">
          <cell r="B96" t="str">
            <v>T</v>
          </cell>
          <cell r="C96" t="str">
            <v>T</v>
          </cell>
          <cell r="D96" t="str">
            <v>T</v>
          </cell>
          <cell r="E96" t="str">
            <v>T</v>
          </cell>
          <cell r="F96" t="str">
            <v>T</v>
          </cell>
          <cell r="H96" t="str">
            <v>PLNT</v>
          </cell>
          <cell r="I96" t="str">
            <v>PLNT</v>
          </cell>
          <cell r="J96" t="str">
            <v>PLNT</v>
          </cell>
          <cell r="K96" t="str">
            <v>PLNT</v>
          </cell>
          <cell r="L96" t="str">
            <v>PLNT</v>
          </cell>
        </row>
        <row r="97">
          <cell r="B97" t="str">
            <v>P</v>
          </cell>
          <cell r="C97" t="str">
            <v>P</v>
          </cell>
          <cell r="D97" t="str">
            <v>P</v>
          </cell>
          <cell r="E97" t="str">
            <v>P</v>
          </cell>
          <cell r="F97" t="str">
            <v>P</v>
          </cell>
          <cell r="H97" t="str">
            <v>PLNT</v>
          </cell>
          <cell r="I97" t="str">
            <v>PLNT</v>
          </cell>
          <cell r="J97" t="str">
            <v>PLNT</v>
          </cell>
          <cell r="K97" t="str">
            <v>PLNT</v>
          </cell>
          <cell r="L97" t="str">
            <v>PLNT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 t="str">
            <v>DPW</v>
          </cell>
          <cell r="C101" t="str">
            <v>DPW</v>
          </cell>
          <cell r="D101" t="str">
            <v>DPW</v>
          </cell>
          <cell r="E101" t="str">
            <v>DPW</v>
          </cell>
          <cell r="F101" t="str">
            <v>DPW</v>
          </cell>
          <cell r="H101" t="str">
            <v>PLNT</v>
          </cell>
          <cell r="I101" t="str">
            <v>PLNT</v>
          </cell>
          <cell r="J101" t="str">
            <v>PLNT</v>
          </cell>
          <cell r="K101" t="str">
            <v>PLNT</v>
          </cell>
          <cell r="L101" t="str">
            <v>PLNT</v>
          </cell>
        </row>
        <row r="102">
          <cell r="B102" t="str">
            <v>T</v>
          </cell>
          <cell r="C102" t="str">
            <v>T</v>
          </cell>
          <cell r="D102" t="str">
            <v>T</v>
          </cell>
          <cell r="E102" t="str">
            <v>T</v>
          </cell>
          <cell r="F102" t="str">
            <v>T</v>
          </cell>
          <cell r="H102" t="str">
            <v>PLNT</v>
          </cell>
          <cell r="I102" t="str">
            <v>PLNT</v>
          </cell>
          <cell r="J102" t="str">
            <v>PLNT</v>
          </cell>
          <cell r="K102" t="str">
            <v>PLNT</v>
          </cell>
          <cell r="L102" t="str">
            <v>PLNT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P</v>
          </cell>
          <cell r="C106" t="str">
            <v>P</v>
          </cell>
          <cell r="D106" t="str">
            <v>P</v>
          </cell>
          <cell r="E106" t="str">
            <v>P</v>
          </cell>
          <cell r="F106" t="str">
            <v>P</v>
          </cell>
          <cell r="H106" t="str">
            <v>PLNT</v>
          </cell>
          <cell r="I106" t="str">
            <v>PLNT</v>
          </cell>
          <cell r="J106" t="str">
            <v>PLNT</v>
          </cell>
          <cell r="K106" t="str">
            <v>PLNT</v>
          </cell>
          <cell r="L106" t="str">
            <v>PLNT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 t="str">
            <v>P</v>
          </cell>
          <cell r="C109" t="str">
            <v>P</v>
          </cell>
          <cell r="D109" t="str">
            <v>P</v>
          </cell>
          <cell r="E109" t="str">
            <v>P</v>
          </cell>
          <cell r="F109" t="str">
            <v>P</v>
          </cell>
          <cell r="H109" t="str">
            <v>PLNT</v>
          </cell>
          <cell r="I109" t="str">
            <v>PLNT</v>
          </cell>
          <cell r="J109" t="str">
            <v>PLNT</v>
          </cell>
          <cell r="K109" t="str">
            <v>PLNT</v>
          </cell>
          <cell r="L109" t="str">
            <v>PLNT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 t="str">
            <v>P</v>
          </cell>
          <cell r="C113" t="str">
            <v>P</v>
          </cell>
          <cell r="D113" t="str">
            <v>P</v>
          </cell>
          <cell r="E113" t="str">
            <v>P</v>
          </cell>
          <cell r="F113" t="str">
            <v>P</v>
          </cell>
          <cell r="H113" t="str">
            <v>PLNT</v>
          </cell>
          <cell r="I113" t="str">
            <v>PLNT</v>
          </cell>
          <cell r="J113" t="str">
            <v>PLNT</v>
          </cell>
          <cell r="K113" t="str">
            <v>PLNT</v>
          </cell>
          <cell r="L113" t="str">
            <v>PLNT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 t="str">
            <v>DPW</v>
          </cell>
          <cell r="C117" t="str">
            <v>DPW</v>
          </cell>
          <cell r="D117" t="str">
            <v>DPW</v>
          </cell>
          <cell r="E117" t="str">
            <v>DPW</v>
          </cell>
          <cell r="F117" t="str">
            <v>DPW</v>
          </cell>
          <cell r="H117" t="str">
            <v>PLNT</v>
          </cell>
          <cell r="I117" t="str">
            <v>PLNT</v>
          </cell>
          <cell r="J117" t="str">
            <v>PLNT</v>
          </cell>
          <cell r="K117" t="str">
            <v>PLNT</v>
          </cell>
          <cell r="L117" t="str">
            <v>PLNT</v>
          </cell>
        </row>
        <row r="118">
          <cell r="B118" t="str">
            <v>P</v>
          </cell>
          <cell r="C118" t="str">
            <v>P</v>
          </cell>
          <cell r="D118" t="str">
            <v>P</v>
          </cell>
          <cell r="E118" t="str">
            <v>P</v>
          </cell>
          <cell r="F118" t="str">
            <v>P</v>
          </cell>
          <cell r="H118" t="str">
            <v>PLNT</v>
          </cell>
          <cell r="I118" t="str">
            <v>PLNT</v>
          </cell>
          <cell r="J118" t="str">
            <v>PLNT</v>
          </cell>
          <cell r="K118" t="str">
            <v>PLNT</v>
          </cell>
          <cell r="L118" t="str">
            <v>PLNT</v>
          </cell>
        </row>
        <row r="119">
          <cell r="B119" t="str">
            <v>T</v>
          </cell>
          <cell r="C119" t="str">
            <v>T</v>
          </cell>
          <cell r="D119" t="str">
            <v>T</v>
          </cell>
          <cell r="E119" t="str">
            <v>T</v>
          </cell>
          <cell r="F119" t="str">
            <v>T</v>
          </cell>
          <cell r="H119" t="str">
            <v>PLNT</v>
          </cell>
          <cell r="I119" t="str">
            <v>PLNT</v>
          </cell>
          <cell r="J119" t="str">
            <v>PLNT</v>
          </cell>
          <cell r="K119" t="str">
            <v>PLNT</v>
          </cell>
          <cell r="L119" t="str">
            <v>PLNT</v>
          </cell>
        </row>
        <row r="120">
          <cell r="B120" t="str">
            <v>CUST</v>
          </cell>
          <cell r="C120" t="str">
            <v>CUST</v>
          </cell>
          <cell r="D120" t="str">
            <v>CUST</v>
          </cell>
          <cell r="E120" t="str">
            <v>CUST</v>
          </cell>
          <cell r="F120" t="str">
            <v>CUST</v>
          </cell>
          <cell r="H120" t="str">
            <v>PLNT</v>
          </cell>
          <cell r="I120" t="str">
            <v>PLNT</v>
          </cell>
          <cell r="J120" t="str">
            <v>PLNT</v>
          </cell>
          <cell r="K120" t="str">
            <v>PLNT</v>
          </cell>
          <cell r="L120" t="str">
            <v>PLNT</v>
          </cell>
        </row>
        <row r="121">
          <cell r="B121" t="str">
            <v>PTD</v>
          </cell>
          <cell r="C121" t="str">
            <v>PTD</v>
          </cell>
          <cell r="D121" t="str">
            <v>PTD</v>
          </cell>
          <cell r="E121" t="str">
            <v>PTD</v>
          </cell>
          <cell r="F121" t="str">
            <v>PTD</v>
          </cell>
          <cell r="H121" t="str">
            <v>PLNT</v>
          </cell>
          <cell r="I121" t="str">
            <v>PLNT</v>
          </cell>
          <cell r="J121" t="str">
            <v>PLNT</v>
          </cell>
          <cell r="K121" t="str">
            <v>PLNT</v>
          </cell>
          <cell r="L121" t="str">
            <v>PLNT</v>
          </cell>
        </row>
        <row r="122">
          <cell r="B122" t="str">
            <v>P</v>
          </cell>
          <cell r="C122" t="str">
            <v>P</v>
          </cell>
          <cell r="D122" t="str">
            <v>P</v>
          </cell>
          <cell r="E122" t="str">
            <v>P</v>
          </cell>
          <cell r="F122" t="str">
            <v>P</v>
          </cell>
          <cell r="H122" t="str">
            <v>PLNT</v>
          </cell>
          <cell r="I122" t="str">
            <v>PLNT</v>
          </cell>
          <cell r="J122" t="str">
            <v>PLNT</v>
          </cell>
          <cell r="K122" t="str">
            <v>PLNT</v>
          </cell>
          <cell r="L122" t="str">
            <v>PLNT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 t="str">
            <v>CUST</v>
          </cell>
          <cell r="C129" t="str">
            <v>CUST</v>
          </cell>
          <cell r="D129" t="str">
            <v>CUST</v>
          </cell>
          <cell r="E129" t="str">
            <v>CUST</v>
          </cell>
          <cell r="F129" t="str">
            <v>CUST</v>
          </cell>
          <cell r="H129" t="str">
            <v>CUST</v>
          </cell>
          <cell r="I129" t="str">
            <v>CUST</v>
          </cell>
          <cell r="J129" t="str">
            <v>CUST</v>
          </cell>
          <cell r="K129" t="str">
            <v>CUST</v>
          </cell>
          <cell r="L129" t="str">
            <v>CUST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 t="str">
            <v>P</v>
          </cell>
          <cell r="C133" t="str">
            <v>P</v>
          </cell>
          <cell r="D133" t="str">
            <v>P</v>
          </cell>
          <cell r="E133" t="str">
            <v>P</v>
          </cell>
          <cell r="F133" t="str">
            <v>P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T</v>
          </cell>
          <cell r="C134" t="str">
            <v>T</v>
          </cell>
          <cell r="D134" t="str">
            <v>T</v>
          </cell>
          <cell r="E134" t="str">
            <v>T</v>
          </cell>
          <cell r="F134" t="str">
            <v>T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 t="str">
            <v>DPW</v>
          </cell>
          <cell r="C135" t="str">
            <v>DPW</v>
          </cell>
          <cell r="D135" t="str">
            <v>DPW</v>
          </cell>
          <cell r="E135" t="str">
            <v>DPW</v>
          </cell>
          <cell r="F135" t="str">
            <v>DPW</v>
          </cell>
          <cell r="H135" t="str">
            <v>PLNT</v>
          </cell>
          <cell r="I135" t="str">
            <v>PLNT</v>
          </cell>
          <cell r="J135" t="str">
            <v>PLNT</v>
          </cell>
          <cell r="K135" t="str">
            <v>PLNT</v>
          </cell>
          <cell r="L135" t="str">
            <v>PLNT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>P</v>
          </cell>
          <cell r="C144" t="str">
            <v>P</v>
          </cell>
          <cell r="D144" t="str">
            <v>P</v>
          </cell>
          <cell r="E144" t="str">
            <v>P</v>
          </cell>
          <cell r="F144" t="str">
            <v>P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 t="str">
            <v>P</v>
          </cell>
          <cell r="C145" t="str">
            <v>P</v>
          </cell>
          <cell r="D145" t="str">
            <v>P</v>
          </cell>
          <cell r="E145" t="str">
            <v>P</v>
          </cell>
          <cell r="F145" t="str">
            <v>P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P</v>
          </cell>
          <cell r="C149" t="str">
            <v>P</v>
          </cell>
          <cell r="D149" t="str">
            <v>P</v>
          </cell>
          <cell r="E149" t="str">
            <v>P</v>
          </cell>
          <cell r="F149" t="str">
            <v>P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 t="str">
            <v>P</v>
          </cell>
          <cell r="C150" t="str">
            <v>P</v>
          </cell>
          <cell r="D150" t="str">
            <v>P</v>
          </cell>
          <cell r="E150" t="str">
            <v>P</v>
          </cell>
          <cell r="F150" t="str">
            <v>P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P</v>
          </cell>
          <cell r="C151" t="str">
            <v>P</v>
          </cell>
          <cell r="D151" t="str">
            <v>P</v>
          </cell>
          <cell r="E151" t="str">
            <v>P</v>
          </cell>
          <cell r="F151" t="str">
            <v>P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 t="str">
            <v>P</v>
          </cell>
          <cell r="C152" t="str">
            <v>P</v>
          </cell>
          <cell r="D152" t="str">
            <v>P</v>
          </cell>
          <cell r="E152" t="str">
            <v>P</v>
          </cell>
          <cell r="F152" t="str">
            <v>P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 t="str">
            <v>P</v>
          </cell>
          <cell r="C153" t="str">
            <v>P</v>
          </cell>
          <cell r="D153" t="str">
            <v>P</v>
          </cell>
          <cell r="E153" t="str">
            <v>P</v>
          </cell>
          <cell r="F153" t="str">
            <v>P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 t="str">
            <v>P</v>
          </cell>
          <cell r="C156" t="str">
            <v>P</v>
          </cell>
          <cell r="D156" t="str">
            <v>P</v>
          </cell>
          <cell r="E156" t="str">
            <v>P</v>
          </cell>
          <cell r="F156" t="str">
            <v>P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 t="str">
            <v>P</v>
          </cell>
          <cell r="C157" t="str">
            <v>P</v>
          </cell>
          <cell r="D157" t="str">
            <v>P</v>
          </cell>
          <cell r="E157" t="str">
            <v>P</v>
          </cell>
          <cell r="F157" t="str">
            <v>P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 t="str">
            <v>P</v>
          </cell>
          <cell r="C158" t="str">
            <v>P</v>
          </cell>
          <cell r="D158" t="str">
            <v>P</v>
          </cell>
          <cell r="E158" t="str">
            <v>P</v>
          </cell>
          <cell r="F158" t="str">
            <v>P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 t="str">
            <v>P</v>
          </cell>
          <cell r="C159" t="str">
            <v>P</v>
          </cell>
          <cell r="D159" t="str">
            <v>P</v>
          </cell>
          <cell r="E159" t="str">
            <v>P</v>
          </cell>
          <cell r="F159" t="str">
            <v>P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 t="str">
            <v>P</v>
          </cell>
          <cell r="C163" t="str">
            <v>P</v>
          </cell>
          <cell r="D163" t="str">
            <v>P</v>
          </cell>
          <cell r="E163" t="str">
            <v>P</v>
          </cell>
          <cell r="F163" t="str">
            <v>P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>P</v>
          </cell>
          <cell r="C164" t="str">
            <v>P</v>
          </cell>
          <cell r="D164" t="str">
            <v>P</v>
          </cell>
          <cell r="E164" t="str">
            <v>P</v>
          </cell>
          <cell r="F164" t="str">
            <v>P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 t="str">
            <v>P</v>
          </cell>
          <cell r="C168" t="str">
            <v>P</v>
          </cell>
          <cell r="D168" t="str">
            <v>P</v>
          </cell>
          <cell r="E168" t="str">
            <v>P</v>
          </cell>
          <cell r="F168" t="str">
            <v>P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 t="str">
            <v>P</v>
          </cell>
          <cell r="C171" t="str">
            <v>P</v>
          </cell>
          <cell r="D171" t="str">
            <v>P</v>
          </cell>
          <cell r="E171" t="str">
            <v>P</v>
          </cell>
          <cell r="F171" t="str">
            <v>P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 t="str">
            <v>P</v>
          </cell>
          <cell r="C175" t="str">
            <v>P</v>
          </cell>
          <cell r="D175" t="str">
            <v>P</v>
          </cell>
          <cell r="E175" t="str">
            <v>P</v>
          </cell>
          <cell r="F175" t="str">
            <v>P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P</v>
          </cell>
          <cell r="C176" t="str">
            <v>P</v>
          </cell>
          <cell r="D176" t="str">
            <v>P</v>
          </cell>
          <cell r="E176" t="str">
            <v>P</v>
          </cell>
          <cell r="F176" t="str">
            <v>P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 t="str">
            <v>P</v>
          </cell>
          <cell r="C180" t="str">
            <v>P</v>
          </cell>
          <cell r="D180" t="str">
            <v>P</v>
          </cell>
          <cell r="E180" t="str">
            <v>P</v>
          </cell>
          <cell r="F180" t="str">
            <v>P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 t="str">
            <v>P</v>
          </cell>
          <cell r="C181" t="str">
            <v>P</v>
          </cell>
          <cell r="D181" t="str">
            <v>P</v>
          </cell>
          <cell r="E181" t="str">
            <v>P</v>
          </cell>
          <cell r="F181" t="str">
            <v>P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 t="str">
            <v>P</v>
          </cell>
          <cell r="C182" t="str">
            <v>P</v>
          </cell>
          <cell r="D182" t="str">
            <v>P</v>
          </cell>
          <cell r="E182" t="str">
            <v>P</v>
          </cell>
          <cell r="F182" t="str">
            <v>P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 t="str">
            <v>P</v>
          </cell>
          <cell r="C186" t="str">
            <v>P</v>
          </cell>
          <cell r="D186" t="str">
            <v>P</v>
          </cell>
          <cell r="E186" t="str">
            <v>P</v>
          </cell>
          <cell r="F186" t="str">
            <v>P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 t="str">
            <v>P</v>
          </cell>
          <cell r="C187" t="str">
            <v>P</v>
          </cell>
          <cell r="D187" t="str">
            <v>P</v>
          </cell>
          <cell r="E187" t="str">
            <v>P</v>
          </cell>
          <cell r="F187" t="str">
            <v>P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B191" t="str">
            <v>P</v>
          </cell>
          <cell r="C191" t="str">
            <v>P</v>
          </cell>
          <cell r="D191" t="str">
            <v>P</v>
          </cell>
          <cell r="E191" t="str">
            <v>P</v>
          </cell>
          <cell r="F191" t="str">
            <v>P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 t="str">
            <v>P</v>
          </cell>
          <cell r="C192" t="str">
            <v>P</v>
          </cell>
          <cell r="D192" t="str">
            <v>P</v>
          </cell>
          <cell r="E192" t="str">
            <v>P</v>
          </cell>
          <cell r="F192" t="str">
            <v>P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 t="str">
            <v>P</v>
          </cell>
          <cell r="C193" t="str">
            <v>P</v>
          </cell>
          <cell r="D193" t="str">
            <v>P</v>
          </cell>
          <cell r="E193" t="str">
            <v>P</v>
          </cell>
          <cell r="F193" t="str">
            <v>P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 t="str">
            <v>P</v>
          </cell>
          <cell r="C197" t="str">
            <v>P</v>
          </cell>
          <cell r="D197" t="str">
            <v>P</v>
          </cell>
          <cell r="E197" t="str">
            <v>P</v>
          </cell>
          <cell r="F197" t="str">
            <v>P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P</v>
          </cell>
          <cell r="C198" t="str">
            <v>P</v>
          </cell>
          <cell r="D198" t="str">
            <v>P</v>
          </cell>
          <cell r="E198" t="str">
            <v>P</v>
          </cell>
          <cell r="F198" t="str">
            <v>P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 t="str">
            <v>P</v>
          </cell>
          <cell r="C202" t="str">
            <v>P</v>
          </cell>
          <cell r="D202" t="str">
            <v>P</v>
          </cell>
          <cell r="E202" t="str">
            <v>P</v>
          </cell>
          <cell r="F202" t="str">
            <v>P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 t="str">
            <v>P</v>
          </cell>
          <cell r="C203" t="str">
            <v>P</v>
          </cell>
          <cell r="D203" t="str">
            <v>P</v>
          </cell>
          <cell r="E203" t="str">
            <v>P</v>
          </cell>
          <cell r="F203" t="str">
            <v>P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B207" t="str">
            <v>P</v>
          </cell>
          <cell r="C207" t="str">
            <v>P</v>
          </cell>
          <cell r="D207" t="str">
            <v>P</v>
          </cell>
          <cell r="E207" t="str">
            <v>P</v>
          </cell>
          <cell r="F207" t="str">
            <v>P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P</v>
          </cell>
          <cell r="C208" t="str">
            <v>P</v>
          </cell>
          <cell r="D208" t="str">
            <v>P</v>
          </cell>
          <cell r="E208" t="str">
            <v>P</v>
          </cell>
          <cell r="F208" t="str">
            <v>P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B212" t="str">
            <v>P</v>
          </cell>
          <cell r="C212" t="str">
            <v>P</v>
          </cell>
          <cell r="D212" t="str">
            <v>P</v>
          </cell>
          <cell r="E212" t="str">
            <v>P</v>
          </cell>
          <cell r="F212" t="str">
            <v>P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B213" t="str">
            <v>P</v>
          </cell>
          <cell r="C213" t="str">
            <v>P</v>
          </cell>
          <cell r="D213" t="str">
            <v>P</v>
          </cell>
          <cell r="E213" t="str">
            <v>P</v>
          </cell>
          <cell r="F213" t="str">
            <v>P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P</v>
          </cell>
          <cell r="C219" t="str">
            <v>P</v>
          </cell>
          <cell r="D219" t="str">
            <v>P</v>
          </cell>
          <cell r="E219" t="str">
            <v>P</v>
          </cell>
          <cell r="F219" t="str">
            <v>P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B223" t="str">
            <v>P</v>
          </cell>
          <cell r="C223" t="str">
            <v>P</v>
          </cell>
          <cell r="D223" t="str">
            <v>P</v>
          </cell>
          <cell r="E223" t="str">
            <v>P</v>
          </cell>
          <cell r="F223" t="str">
            <v>P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B228" t="str">
            <v>P</v>
          </cell>
          <cell r="C228" t="str">
            <v>P</v>
          </cell>
          <cell r="D228" t="str">
            <v>P</v>
          </cell>
          <cell r="E228" t="str">
            <v>P</v>
          </cell>
          <cell r="F228" t="str">
            <v>P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B232" t="str">
            <v>P</v>
          </cell>
          <cell r="C232" t="str">
            <v>P</v>
          </cell>
          <cell r="D232" t="str">
            <v>P</v>
          </cell>
          <cell r="E232" t="str">
            <v>P</v>
          </cell>
          <cell r="F232" t="str">
            <v>P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 t="str">
            <v>P</v>
          </cell>
          <cell r="C236" t="str">
            <v>P</v>
          </cell>
          <cell r="D236" t="str">
            <v>P</v>
          </cell>
          <cell r="E236" t="str">
            <v>P</v>
          </cell>
          <cell r="F236" t="str">
            <v>P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 t="str">
            <v>P</v>
          </cell>
          <cell r="C240" t="str">
            <v>P</v>
          </cell>
          <cell r="D240" t="str">
            <v>P</v>
          </cell>
          <cell r="E240" t="str">
            <v>P</v>
          </cell>
          <cell r="F240" t="str">
            <v>P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B244" t="str">
            <v>P</v>
          </cell>
          <cell r="C244" t="str">
            <v>P</v>
          </cell>
          <cell r="D244" t="str">
            <v>P</v>
          </cell>
          <cell r="E244" t="str">
            <v>P</v>
          </cell>
          <cell r="F244" t="str">
            <v>P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 t="str">
            <v>P</v>
          </cell>
          <cell r="C248" t="str">
            <v>P</v>
          </cell>
          <cell r="D248" t="str">
            <v>P</v>
          </cell>
          <cell r="E248" t="str">
            <v>P</v>
          </cell>
          <cell r="F248" t="str">
            <v>P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 t="str">
            <v>P</v>
          </cell>
          <cell r="C252" t="str">
            <v>P</v>
          </cell>
          <cell r="D252" t="str">
            <v>P</v>
          </cell>
          <cell r="E252" t="str">
            <v>P</v>
          </cell>
          <cell r="F252" t="str">
            <v>P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 t="str">
            <v>P</v>
          </cell>
          <cell r="C256" t="str">
            <v>P</v>
          </cell>
          <cell r="D256" t="str">
            <v>P</v>
          </cell>
          <cell r="E256" t="str">
            <v>P</v>
          </cell>
          <cell r="F256" t="str">
            <v>P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B260" t="str">
            <v>P</v>
          </cell>
          <cell r="C260" t="str">
            <v>P</v>
          </cell>
          <cell r="D260" t="str">
            <v>P</v>
          </cell>
          <cell r="E260" t="str">
            <v>P</v>
          </cell>
          <cell r="F260" t="str">
            <v>P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 t="str">
            <v>P</v>
          </cell>
          <cell r="C267" t="str">
            <v>P</v>
          </cell>
          <cell r="D267" t="str">
            <v>P</v>
          </cell>
          <cell r="E267" t="str">
            <v>P</v>
          </cell>
          <cell r="F267" t="str">
            <v>P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 t="str">
            <v>P</v>
          </cell>
          <cell r="C268" t="str">
            <v>P</v>
          </cell>
          <cell r="D268" t="str">
            <v>P</v>
          </cell>
          <cell r="E268" t="str">
            <v>P</v>
          </cell>
          <cell r="F268" t="str">
            <v>P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 t="str">
            <v>P</v>
          </cell>
          <cell r="C272" t="str">
            <v>P</v>
          </cell>
          <cell r="D272" t="str">
            <v>P</v>
          </cell>
          <cell r="E272" t="str">
            <v>P</v>
          </cell>
          <cell r="F272" t="str">
            <v>P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 t="str">
            <v>P</v>
          </cell>
          <cell r="C273" t="str">
            <v>P</v>
          </cell>
          <cell r="D273" t="str">
            <v>P</v>
          </cell>
          <cell r="E273" t="str">
            <v>P</v>
          </cell>
          <cell r="F273" t="str">
            <v>P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 t="str">
            <v>P</v>
          </cell>
          <cell r="C277" t="str">
            <v>P</v>
          </cell>
          <cell r="D277" t="str">
            <v>P</v>
          </cell>
          <cell r="E277" t="str">
            <v>P</v>
          </cell>
          <cell r="F277" t="str">
            <v>P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 t="str">
            <v>P</v>
          </cell>
          <cell r="C278" t="str">
            <v>P</v>
          </cell>
          <cell r="D278" t="str">
            <v>P</v>
          </cell>
          <cell r="E278" t="str">
            <v>P</v>
          </cell>
          <cell r="F278" t="str">
            <v>P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B282" t="str">
            <v>P</v>
          </cell>
          <cell r="C282" t="str">
            <v>P</v>
          </cell>
          <cell r="D282" t="str">
            <v>P</v>
          </cell>
          <cell r="E282" t="str">
            <v>P</v>
          </cell>
          <cell r="F282" t="str">
            <v>P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 t="str">
            <v>P</v>
          </cell>
          <cell r="C286" t="str">
            <v>P</v>
          </cell>
          <cell r="D286" t="str">
            <v>P</v>
          </cell>
          <cell r="E286" t="str">
            <v>P</v>
          </cell>
          <cell r="F286" t="str">
            <v>P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 t="str">
            <v>P</v>
          </cell>
          <cell r="C287" t="str">
            <v>P</v>
          </cell>
          <cell r="D287" t="str">
            <v>P</v>
          </cell>
          <cell r="E287" t="str">
            <v>P</v>
          </cell>
          <cell r="F287" t="str">
            <v>P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 t="str">
            <v>P</v>
          </cell>
          <cell r="C291" t="str">
            <v>P</v>
          </cell>
          <cell r="D291" t="str">
            <v>P</v>
          </cell>
          <cell r="E291" t="str">
            <v>P</v>
          </cell>
          <cell r="F291" t="str">
            <v>P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 t="str">
            <v>P</v>
          </cell>
          <cell r="C292" t="str">
            <v>P</v>
          </cell>
          <cell r="D292" t="str">
            <v>P</v>
          </cell>
          <cell r="E292" t="str">
            <v>P</v>
          </cell>
          <cell r="F292" t="str">
            <v>P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B296" t="str">
            <v>P</v>
          </cell>
          <cell r="C296" t="str">
            <v>P</v>
          </cell>
          <cell r="D296" t="str">
            <v>P</v>
          </cell>
          <cell r="E296" t="str">
            <v>P</v>
          </cell>
          <cell r="F296" t="str">
            <v>P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B300" t="str">
            <v>P</v>
          </cell>
          <cell r="C300" t="str">
            <v>P</v>
          </cell>
          <cell r="D300" t="str">
            <v>P</v>
          </cell>
          <cell r="E300" t="str">
            <v>P</v>
          </cell>
          <cell r="F300" t="str">
            <v>P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B301" t="str">
            <v>P</v>
          </cell>
          <cell r="C301" t="str">
            <v>P</v>
          </cell>
          <cell r="D301" t="str">
            <v>P</v>
          </cell>
          <cell r="E301" t="str">
            <v>P</v>
          </cell>
          <cell r="F301" t="str">
            <v>P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 t="str">
            <v>P</v>
          </cell>
          <cell r="C305" t="str">
            <v>P</v>
          </cell>
          <cell r="D305" t="str">
            <v>P</v>
          </cell>
          <cell r="E305" t="str">
            <v>P</v>
          </cell>
          <cell r="F305" t="str">
            <v>P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 t="str">
            <v>P</v>
          </cell>
          <cell r="C306" t="str">
            <v>P</v>
          </cell>
          <cell r="D306" t="str">
            <v>P</v>
          </cell>
          <cell r="E306" t="str">
            <v>P</v>
          </cell>
          <cell r="F306" t="str">
            <v>P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 t="str">
            <v>P</v>
          </cell>
          <cell r="C310" t="str">
            <v>P</v>
          </cell>
          <cell r="D310" t="str">
            <v>P</v>
          </cell>
          <cell r="E310" t="str">
            <v>P</v>
          </cell>
          <cell r="F310" t="str">
            <v>P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 t="str">
            <v>P</v>
          </cell>
          <cell r="C311" t="str">
            <v>P</v>
          </cell>
          <cell r="D311" t="str">
            <v>P</v>
          </cell>
          <cell r="E311" t="str">
            <v>P</v>
          </cell>
          <cell r="F311" t="str">
            <v>P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B315" t="str">
            <v>P</v>
          </cell>
          <cell r="C315" t="str">
            <v>P</v>
          </cell>
          <cell r="D315" t="str">
            <v>P</v>
          </cell>
          <cell r="E315" t="str">
            <v>P</v>
          </cell>
          <cell r="F315" t="str">
            <v>P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 t="str">
            <v>P</v>
          </cell>
          <cell r="C316" t="str">
            <v>P</v>
          </cell>
          <cell r="D316" t="str">
            <v>P</v>
          </cell>
          <cell r="E316" t="str">
            <v>P</v>
          </cell>
          <cell r="F316" t="str">
            <v>P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 t="str">
            <v>P</v>
          </cell>
          <cell r="C323" t="str">
            <v>P</v>
          </cell>
          <cell r="D323" t="str">
            <v>P</v>
          </cell>
          <cell r="E323" t="str">
            <v>P</v>
          </cell>
          <cell r="F323" t="str">
            <v>P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 t="str">
            <v>P</v>
          </cell>
          <cell r="C327" t="str">
            <v>P</v>
          </cell>
          <cell r="D327" t="str">
            <v>P</v>
          </cell>
          <cell r="E327" t="str">
            <v>P</v>
          </cell>
          <cell r="F327" t="str">
            <v>P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 t="str">
            <v>P</v>
          </cell>
          <cell r="C328" t="str">
            <v>P</v>
          </cell>
          <cell r="D328" t="str">
            <v>P</v>
          </cell>
          <cell r="E328" t="str">
            <v>P</v>
          </cell>
          <cell r="F328" t="str">
            <v>P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B332" t="str">
            <v>P</v>
          </cell>
          <cell r="C332" t="str">
            <v>P</v>
          </cell>
          <cell r="D332" t="str">
            <v>P</v>
          </cell>
          <cell r="E332" t="str">
            <v>P</v>
          </cell>
          <cell r="F332" t="str">
            <v>P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 t="str">
            <v>P</v>
          </cell>
          <cell r="C333" t="str">
            <v>P</v>
          </cell>
          <cell r="D333" t="str">
            <v>P</v>
          </cell>
          <cell r="E333" t="str">
            <v>P</v>
          </cell>
          <cell r="F333" t="str">
            <v>P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B337" t="str">
            <v>P</v>
          </cell>
          <cell r="C337" t="str">
            <v>P</v>
          </cell>
          <cell r="D337" t="str">
            <v>P</v>
          </cell>
          <cell r="E337" t="str">
            <v>P</v>
          </cell>
          <cell r="F337" t="str">
            <v>P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 t="str">
            <v>P</v>
          </cell>
          <cell r="C338" t="str">
            <v>P</v>
          </cell>
          <cell r="D338" t="str">
            <v>P</v>
          </cell>
          <cell r="E338" t="str">
            <v>P</v>
          </cell>
          <cell r="F338" t="str">
            <v>P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B339" t="str">
            <v>P</v>
          </cell>
          <cell r="C339" t="str">
            <v>P</v>
          </cell>
          <cell r="D339" t="str">
            <v>P</v>
          </cell>
          <cell r="E339" t="str">
            <v>P</v>
          </cell>
          <cell r="F339" t="str">
            <v>P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 t="str">
            <v>P</v>
          </cell>
          <cell r="C344" t="str">
            <v>P</v>
          </cell>
          <cell r="D344" t="str">
            <v>P</v>
          </cell>
          <cell r="E344" t="str">
            <v>P</v>
          </cell>
          <cell r="F344" t="str">
            <v>P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 t="str">
            <v>P</v>
          </cell>
          <cell r="C345" t="str">
            <v>P</v>
          </cell>
          <cell r="D345" t="str">
            <v>P</v>
          </cell>
          <cell r="E345" t="str">
            <v>P</v>
          </cell>
          <cell r="F345" t="str">
            <v>P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 t="str">
            <v>P</v>
          </cell>
          <cell r="C349" t="str">
            <v>P</v>
          </cell>
          <cell r="D349" t="str">
            <v>P</v>
          </cell>
          <cell r="E349" t="str">
            <v>P</v>
          </cell>
          <cell r="F349" t="str">
            <v>P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 t="str">
            <v>P</v>
          </cell>
          <cell r="C353" t="str">
            <v>P</v>
          </cell>
          <cell r="D353" t="str">
            <v>P</v>
          </cell>
          <cell r="E353" t="str">
            <v>P</v>
          </cell>
          <cell r="F353" t="str">
            <v>P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 t="str">
            <v>P</v>
          </cell>
          <cell r="C354" t="str">
            <v>P</v>
          </cell>
          <cell r="D354" t="str">
            <v>P</v>
          </cell>
          <cell r="E354" t="str">
            <v>P</v>
          </cell>
          <cell r="F354" t="str">
            <v>P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B359" t="str">
            <v>P</v>
          </cell>
          <cell r="C359" t="str">
            <v>P</v>
          </cell>
          <cell r="D359" t="str">
            <v>P</v>
          </cell>
          <cell r="E359" t="str">
            <v>P</v>
          </cell>
          <cell r="F359" t="str">
            <v>P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 t="str">
            <v>P</v>
          </cell>
          <cell r="C360" t="str">
            <v>P</v>
          </cell>
          <cell r="D360" t="str">
            <v>P</v>
          </cell>
          <cell r="E360" t="str">
            <v>P</v>
          </cell>
          <cell r="F360" t="str">
            <v>P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 t="str">
            <v>P</v>
          </cell>
          <cell r="C361" t="str">
            <v>P</v>
          </cell>
          <cell r="D361" t="str">
            <v>P</v>
          </cell>
          <cell r="E361" t="str">
            <v>P</v>
          </cell>
          <cell r="F361" t="str">
            <v>P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B365" t="str">
            <v>P</v>
          </cell>
          <cell r="C365" t="str">
            <v>P</v>
          </cell>
          <cell r="D365" t="str">
            <v>P</v>
          </cell>
          <cell r="E365" t="str">
            <v>P</v>
          </cell>
          <cell r="F365" t="str">
            <v>P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 t="str">
            <v>P</v>
          </cell>
          <cell r="C366" t="str">
            <v>P</v>
          </cell>
          <cell r="D366" t="str">
            <v>P</v>
          </cell>
          <cell r="E366" t="str">
            <v>P</v>
          </cell>
          <cell r="F366" t="str">
            <v>P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 t="str">
            <v>P</v>
          </cell>
          <cell r="C367" t="str">
            <v>P</v>
          </cell>
          <cell r="D367" t="str">
            <v>P</v>
          </cell>
          <cell r="E367" t="str">
            <v>P</v>
          </cell>
          <cell r="F367" t="str">
            <v>P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 t="str">
            <v>P</v>
          </cell>
          <cell r="C373" t="str">
            <v>DMSC</v>
          </cell>
          <cell r="D373" t="str">
            <v>DMSC</v>
          </cell>
          <cell r="E373" t="str">
            <v>DMSC</v>
          </cell>
          <cell r="F373" t="str">
            <v>DMSC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B374" t="str">
            <v>P</v>
          </cell>
          <cell r="C374" t="str">
            <v>P</v>
          </cell>
          <cell r="D374" t="str">
            <v>P</v>
          </cell>
          <cell r="E374" t="str">
            <v>P</v>
          </cell>
          <cell r="F374" t="str">
            <v>P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 t="str">
            <v>P</v>
          </cell>
          <cell r="C375" t="str">
            <v>P</v>
          </cell>
          <cell r="D375" t="str">
            <v>P</v>
          </cell>
          <cell r="E375" t="str">
            <v>P</v>
          </cell>
          <cell r="F375" t="str">
            <v>P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B376" t="str">
            <v>P</v>
          </cell>
          <cell r="C376" t="str">
            <v>P</v>
          </cell>
          <cell r="D376" t="str">
            <v>P</v>
          </cell>
          <cell r="E376" t="str">
            <v>P</v>
          </cell>
          <cell r="F376" t="str">
            <v>P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B377" t="str">
            <v>P</v>
          </cell>
          <cell r="C377" t="str">
            <v>P</v>
          </cell>
          <cell r="D377" t="str">
            <v>P</v>
          </cell>
          <cell r="E377" t="str">
            <v>P</v>
          </cell>
          <cell r="F377" t="str">
            <v>P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 t="str">
            <v>P</v>
          </cell>
          <cell r="C381" t="str">
            <v>P</v>
          </cell>
          <cell r="D381" t="str">
            <v>P</v>
          </cell>
          <cell r="E381" t="str">
            <v>P</v>
          </cell>
          <cell r="F381" t="str">
            <v>P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 t="str">
            <v>P</v>
          </cell>
          <cell r="C385" t="str">
            <v>P</v>
          </cell>
          <cell r="D385" t="str">
            <v>P</v>
          </cell>
          <cell r="E385" t="str">
            <v>P</v>
          </cell>
          <cell r="F385" t="str">
            <v>P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 t="str">
            <v>P</v>
          </cell>
          <cell r="C386" t="str">
            <v>P</v>
          </cell>
          <cell r="D386" t="str">
            <v>P</v>
          </cell>
          <cell r="E386" t="str">
            <v>P</v>
          </cell>
          <cell r="F386" t="str">
            <v>P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B387" t="str">
            <v>P</v>
          </cell>
          <cell r="C387" t="str">
            <v>P</v>
          </cell>
          <cell r="D387" t="str">
            <v>P</v>
          </cell>
          <cell r="E387" t="str">
            <v>P</v>
          </cell>
          <cell r="F387" t="str">
            <v>P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B388" t="str">
            <v>P</v>
          </cell>
          <cell r="C388" t="str">
            <v>P</v>
          </cell>
          <cell r="D388" t="str">
            <v>P</v>
          </cell>
          <cell r="E388" t="str">
            <v>P</v>
          </cell>
          <cell r="F388" t="str">
            <v>P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 t="str">
            <v>P</v>
          </cell>
          <cell r="C389" t="str">
            <v>P</v>
          </cell>
          <cell r="D389" t="str">
            <v>P</v>
          </cell>
          <cell r="E389" t="str">
            <v>P</v>
          </cell>
          <cell r="F389" t="str">
            <v>P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 t="str">
            <v>P</v>
          </cell>
          <cell r="C390" t="str">
            <v>P</v>
          </cell>
          <cell r="D390" t="str">
            <v>P</v>
          </cell>
          <cell r="E390" t="str">
            <v>P</v>
          </cell>
          <cell r="F390" t="str">
            <v>P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 t="str">
            <v>P</v>
          </cell>
          <cell r="C394" t="str">
            <v>P</v>
          </cell>
          <cell r="D394" t="str">
            <v>P</v>
          </cell>
          <cell r="E394" t="str">
            <v>P</v>
          </cell>
          <cell r="F394" t="str">
            <v>P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 t="str">
            <v>P</v>
          </cell>
          <cell r="C395" t="str">
            <v>P</v>
          </cell>
          <cell r="D395" t="str">
            <v>P</v>
          </cell>
          <cell r="E395" t="str">
            <v>P</v>
          </cell>
          <cell r="F395" t="str">
            <v>P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 t="str">
            <v>P</v>
          </cell>
          <cell r="C396" t="str">
            <v>P</v>
          </cell>
          <cell r="D396" t="str">
            <v>P</v>
          </cell>
          <cell r="E396" t="str">
            <v>P</v>
          </cell>
          <cell r="F396" t="str">
            <v>P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 t="str">
            <v>P</v>
          </cell>
          <cell r="C397" t="str">
            <v>P</v>
          </cell>
          <cell r="D397" t="str">
            <v>P</v>
          </cell>
          <cell r="E397" t="str">
            <v>P</v>
          </cell>
          <cell r="F397" t="str">
            <v>P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 t="str">
            <v>P</v>
          </cell>
          <cell r="C398" t="str">
            <v>P</v>
          </cell>
          <cell r="D398" t="str">
            <v>P</v>
          </cell>
          <cell r="E398" t="str">
            <v>P</v>
          </cell>
          <cell r="F398" t="str">
            <v>P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 t="str">
            <v>P</v>
          </cell>
          <cell r="C399" t="str">
            <v>P</v>
          </cell>
          <cell r="D399" t="str">
            <v>P</v>
          </cell>
          <cell r="E399" t="str">
            <v>P</v>
          </cell>
          <cell r="F399" t="str">
            <v>P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 t="str">
            <v>P</v>
          </cell>
          <cell r="C403" t="str">
            <v>P</v>
          </cell>
          <cell r="D403" t="str">
            <v>P</v>
          </cell>
          <cell r="E403" t="str">
            <v>P</v>
          </cell>
          <cell r="F403" t="str">
            <v>P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 t="str">
            <v>P</v>
          </cell>
          <cell r="C404" t="str">
            <v>P</v>
          </cell>
          <cell r="D404" t="str">
            <v>P</v>
          </cell>
          <cell r="E404" t="str">
            <v>P</v>
          </cell>
          <cell r="F404" t="str">
            <v>P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 t="str">
            <v>P</v>
          </cell>
          <cell r="C405" t="str">
            <v>P</v>
          </cell>
          <cell r="D405" t="str">
            <v>P</v>
          </cell>
          <cell r="E405" t="str">
            <v>P</v>
          </cell>
          <cell r="F405" t="str">
            <v>P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 t="str">
            <v>P</v>
          </cell>
          <cell r="C406" t="str">
            <v>P</v>
          </cell>
          <cell r="D406" t="str">
            <v>P</v>
          </cell>
          <cell r="E406" t="str">
            <v>P</v>
          </cell>
          <cell r="F406" t="str">
            <v>P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B407" t="str">
            <v>P</v>
          </cell>
          <cell r="C407" t="str">
            <v>P</v>
          </cell>
          <cell r="D407" t="str">
            <v>P</v>
          </cell>
          <cell r="E407" t="str">
            <v>P</v>
          </cell>
          <cell r="F407" t="str">
            <v>P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 t="str">
            <v>T</v>
          </cell>
          <cell r="C415" t="str">
            <v>T</v>
          </cell>
          <cell r="D415" t="str">
            <v>T</v>
          </cell>
          <cell r="E415" t="str">
            <v>T</v>
          </cell>
          <cell r="F415" t="str">
            <v>T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 t="str">
            <v>T</v>
          </cell>
          <cell r="C416" t="str">
            <v>T</v>
          </cell>
          <cell r="D416" t="str">
            <v>T</v>
          </cell>
          <cell r="E416" t="str">
            <v>T</v>
          </cell>
          <cell r="F416" t="str">
            <v>T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T</v>
          </cell>
          <cell r="C420" t="str">
            <v>T</v>
          </cell>
          <cell r="D420" t="str">
            <v>T</v>
          </cell>
          <cell r="E420" t="str">
            <v>T</v>
          </cell>
          <cell r="F420" t="str">
            <v>T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 t="str">
            <v>T</v>
          </cell>
          <cell r="C424" t="str">
            <v>T</v>
          </cell>
          <cell r="D424" t="str">
            <v>T</v>
          </cell>
          <cell r="E424" t="str">
            <v>T</v>
          </cell>
          <cell r="F424" t="str">
            <v>T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 t="str">
            <v>T</v>
          </cell>
          <cell r="C428" t="str">
            <v>T</v>
          </cell>
          <cell r="D428" t="str">
            <v>T</v>
          </cell>
          <cell r="E428" t="str">
            <v>T</v>
          </cell>
          <cell r="F428" t="str">
            <v>T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 t="str">
            <v>T</v>
          </cell>
          <cell r="C432" t="str">
            <v>T</v>
          </cell>
          <cell r="D432" t="str">
            <v>T</v>
          </cell>
          <cell r="E432" t="str">
            <v>T</v>
          </cell>
          <cell r="F432" t="str">
            <v>T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 t="str">
            <v>T</v>
          </cell>
          <cell r="C436" t="str">
            <v>T</v>
          </cell>
          <cell r="D436" t="str">
            <v>T</v>
          </cell>
          <cell r="E436" t="str">
            <v>T</v>
          </cell>
          <cell r="F436" t="str">
            <v>T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 t="str">
            <v>T</v>
          </cell>
          <cell r="C437" t="str">
            <v>T</v>
          </cell>
          <cell r="D437" t="str">
            <v>T</v>
          </cell>
          <cell r="E437" t="str">
            <v>T</v>
          </cell>
          <cell r="F437" t="str">
            <v>T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B441" t="str">
            <v>T</v>
          </cell>
          <cell r="C441" t="str">
            <v>T</v>
          </cell>
          <cell r="D441" t="str">
            <v>T</v>
          </cell>
          <cell r="E441" t="str">
            <v>T</v>
          </cell>
          <cell r="F441" t="str">
            <v>T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B445" t="str">
            <v>T</v>
          </cell>
          <cell r="C445" t="str">
            <v>T</v>
          </cell>
          <cell r="D445" t="str">
            <v>T</v>
          </cell>
          <cell r="E445" t="str">
            <v>T</v>
          </cell>
          <cell r="F445" t="str">
            <v>T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 t="str">
            <v>T</v>
          </cell>
          <cell r="C449" t="str">
            <v>T</v>
          </cell>
          <cell r="D449" t="str">
            <v>T</v>
          </cell>
          <cell r="E449" t="str">
            <v>T</v>
          </cell>
          <cell r="F449" t="str">
            <v>T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B453" t="str">
            <v>T</v>
          </cell>
          <cell r="C453" t="str">
            <v>T</v>
          </cell>
          <cell r="D453" t="str">
            <v>T</v>
          </cell>
          <cell r="E453" t="str">
            <v>T</v>
          </cell>
          <cell r="F453" t="str">
            <v>T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 t="str">
            <v>T</v>
          </cell>
          <cell r="C457" t="str">
            <v>T</v>
          </cell>
          <cell r="D457" t="str">
            <v>T</v>
          </cell>
          <cell r="E457" t="str">
            <v>T</v>
          </cell>
          <cell r="F457" t="str">
            <v>T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B461" t="str">
            <v>T</v>
          </cell>
          <cell r="C461" t="str">
            <v>T</v>
          </cell>
          <cell r="D461" t="str">
            <v>T</v>
          </cell>
          <cell r="E461" t="str">
            <v>T</v>
          </cell>
          <cell r="F461" t="str">
            <v>T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B465" t="str">
            <v>T</v>
          </cell>
          <cell r="C465" t="str">
            <v>T</v>
          </cell>
          <cell r="D465" t="str">
            <v>T</v>
          </cell>
          <cell r="E465" t="str">
            <v>T</v>
          </cell>
          <cell r="F465" t="str">
            <v>T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B469" t="str">
            <v>T</v>
          </cell>
          <cell r="C469" t="str">
            <v>T</v>
          </cell>
          <cell r="D469" t="str">
            <v>T</v>
          </cell>
          <cell r="E469" t="str">
            <v>T</v>
          </cell>
          <cell r="F469" t="str">
            <v>T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B475" t="str">
            <v>DPW</v>
          </cell>
          <cell r="C475" t="str">
            <v>DPW</v>
          </cell>
          <cell r="D475" t="str">
            <v>DPW</v>
          </cell>
          <cell r="E475" t="str">
            <v>DPW</v>
          </cell>
          <cell r="F475" t="str">
            <v>DPW</v>
          </cell>
          <cell r="H475" t="str">
            <v>PLNT</v>
          </cell>
          <cell r="I475" t="str">
            <v>PLNT</v>
          </cell>
          <cell r="J475" t="str">
            <v>PLNT</v>
          </cell>
          <cell r="K475" t="str">
            <v>PLNT</v>
          </cell>
          <cell r="L475" t="str">
            <v>PLNT</v>
          </cell>
        </row>
        <row r="476">
          <cell r="B476" t="str">
            <v>DPW</v>
          </cell>
          <cell r="C476" t="str">
            <v>DPW</v>
          </cell>
          <cell r="D476" t="str">
            <v>DPW</v>
          </cell>
          <cell r="E476" t="str">
            <v>DPW</v>
          </cell>
          <cell r="F476" t="str">
            <v>DPW</v>
          </cell>
          <cell r="H476" t="str">
            <v>PLNT</v>
          </cell>
          <cell r="I476" t="str">
            <v>PLNT</v>
          </cell>
          <cell r="J476" t="str">
            <v>PLNT</v>
          </cell>
          <cell r="K476" t="str">
            <v>PLNT</v>
          </cell>
          <cell r="L476" t="str">
            <v>PLNT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B480" t="str">
            <v>DPW</v>
          </cell>
          <cell r="C480" t="str">
            <v>DPW</v>
          </cell>
          <cell r="D480" t="str">
            <v>DPW</v>
          </cell>
          <cell r="E480" t="str">
            <v>DPW</v>
          </cell>
          <cell r="F480" t="str">
            <v>DPW</v>
          </cell>
          <cell r="H480" t="str">
            <v>SUBS</v>
          </cell>
          <cell r="I480" t="str">
            <v>SUBS</v>
          </cell>
          <cell r="J480" t="str">
            <v>SUBS</v>
          </cell>
          <cell r="K480" t="str">
            <v>SUBS</v>
          </cell>
          <cell r="L480" t="str">
            <v>SUBS</v>
          </cell>
        </row>
        <row r="481">
          <cell r="B481" t="str">
            <v>DPW</v>
          </cell>
          <cell r="C481" t="str">
            <v>DPW</v>
          </cell>
          <cell r="D481" t="str">
            <v>DPW</v>
          </cell>
          <cell r="E481" t="str">
            <v>DPW</v>
          </cell>
          <cell r="F481" t="str">
            <v>DPW</v>
          </cell>
          <cell r="H481" t="str">
            <v>SUBS</v>
          </cell>
          <cell r="I481" t="str">
            <v>SUBS</v>
          </cell>
          <cell r="J481" t="str">
            <v>SUBS</v>
          </cell>
          <cell r="K481" t="str">
            <v>SUBS</v>
          </cell>
          <cell r="L481" t="str">
            <v>SUBS</v>
          </cell>
        </row>
        <row r="482"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B485" t="str">
            <v>DPW</v>
          </cell>
          <cell r="C485" t="str">
            <v>DPW</v>
          </cell>
          <cell r="D485" t="str">
            <v>DPW</v>
          </cell>
          <cell r="E485" t="str">
            <v>DPW</v>
          </cell>
          <cell r="F485" t="str">
            <v>DPW</v>
          </cell>
          <cell r="H485" t="str">
            <v>SUBS</v>
          </cell>
          <cell r="I485" t="str">
            <v>SUBS</v>
          </cell>
          <cell r="J485" t="str">
            <v>SUBS</v>
          </cell>
          <cell r="K485" t="str">
            <v>SUBS</v>
          </cell>
          <cell r="L485" t="str">
            <v>SUBS</v>
          </cell>
        </row>
        <row r="486">
          <cell r="B486" t="str">
            <v>DPW</v>
          </cell>
          <cell r="C486" t="str">
            <v>DPW</v>
          </cell>
          <cell r="D486" t="str">
            <v>DPW</v>
          </cell>
          <cell r="E486" t="str">
            <v>DPW</v>
          </cell>
          <cell r="F486" t="str">
            <v>DPW</v>
          </cell>
          <cell r="H486" t="str">
            <v>SUBS</v>
          </cell>
          <cell r="I486" t="str">
            <v>SUBS</v>
          </cell>
          <cell r="J486" t="str">
            <v>SUBS</v>
          </cell>
          <cell r="K486" t="str">
            <v>SUBS</v>
          </cell>
          <cell r="L486" t="str">
            <v>SUBS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B490" t="str">
            <v>DPW</v>
          </cell>
          <cell r="C490" t="str">
            <v>DPW</v>
          </cell>
          <cell r="D490" t="str">
            <v>DPW</v>
          </cell>
          <cell r="E490" t="str">
            <v>DPW</v>
          </cell>
          <cell r="F490" t="str">
            <v>DPW</v>
          </cell>
          <cell r="H490" t="str">
            <v>PC</v>
          </cell>
          <cell r="I490" t="str">
            <v>PC</v>
          </cell>
          <cell r="J490" t="str">
            <v>PC</v>
          </cell>
          <cell r="K490" t="str">
            <v>PC</v>
          </cell>
          <cell r="L490" t="str">
            <v>PC</v>
          </cell>
        </row>
        <row r="491">
          <cell r="B491" t="str">
            <v>DPW</v>
          </cell>
          <cell r="C491" t="str">
            <v>DPW</v>
          </cell>
          <cell r="D491" t="str">
            <v>DPW</v>
          </cell>
          <cell r="E491" t="str">
            <v>DPW</v>
          </cell>
          <cell r="F491" t="str">
            <v>DPW</v>
          </cell>
          <cell r="H491" t="str">
            <v>PC</v>
          </cell>
          <cell r="I491" t="str">
            <v>PC</v>
          </cell>
          <cell r="J491" t="str">
            <v>PC</v>
          </cell>
          <cell r="K491" t="str">
            <v>PC</v>
          </cell>
          <cell r="L491" t="str">
            <v>PC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B495" t="str">
            <v>DPW</v>
          </cell>
          <cell r="C495" t="str">
            <v>DPW</v>
          </cell>
          <cell r="D495" t="str">
            <v>DPW</v>
          </cell>
          <cell r="E495" t="str">
            <v>DPW</v>
          </cell>
          <cell r="F495" t="str">
            <v>DPW</v>
          </cell>
          <cell r="H495" t="str">
            <v>PC</v>
          </cell>
          <cell r="I495" t="str">
            <v>PC</v>
          </cell>
          <cell r="J495" t="str">
            <v>PC</v>
          </cell>
          <cell r="K495" t="str">
            <v>PC</v>
          </cell>
          <cell r="L495" t="str">
            <v>PC</v>
          </cell>
        </row>
        <row r="496">
          <cell r="B496" t="str">
            <v>DPW</v>
          </cell>
          <cell r="C496" t="str">
            <v>DPW</v>
          </cell>
          <cell r="D496" t="str">
            <v>DPW</v>
          </cell>
          <cell r="E496" t="str">
            <v>DPW</v>
          </cell>
          <cell r="F496" t="str">
            <v>DPW</v>
          </cell>
          <cell r="H496" t="str">
            <v>PC</v>
          </cell>
          <cell r="I496" t="str">
            <v>PC</v>
          </cell>
          <cell r="J496" t="str">
            <v>PC</v>
          </cell>
          <cell r="K496" t="str">
            <v>PC</v>
          </cell>
          <cell r="L496" t="str">
            <v>PC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B500" t="str">
            <v>DPW</v>
          </cell>
          <cell r="C500" t="str">
            <v>DPW</v>
          </cell>
          <cell r="D500" t="str">
            <v>DPW</v>
          </cell>
          <cell r="E500" t="str">
            <v>DPW</v>
          </cell>
          <cell r="F500" t="str">
            <v>DPW</v>
          </cell>
          <cell r="H500" t="str">
            <v>PC</v>
          </cell>
          <cell r="I500" t="str">
            <v>PC</v>
          </cell>
          <cell r="J500" t="str">
            <v>PC</v>
          </cell>
          <cell r="K500" t="str">
            <v>PC</v>
          </cell>
          <cell r="L500" t="str">
            <v>PC</v>
          </cell>
        </row>
        <row r="501">
          <cell r="B501" t="str">
            <v>DPW</v>
          </cell>
          <cell r="C501" t="str">
            <v>DPW</v>
          </cell>
          <cell r="D501" t="str">
            <v>DPW</v>
          </cell>
          <cell r="E501" t="str">
            <v>DPW</v>
          </cell>
          <cell r="F501" t="str">
            <v>DPW</v>
          </cell>
          <cell r="H501" t="str">
            <v>METR</v>
          </cell>
          <cell r="I501" t="str">
            <v>METR</v>
          </cell>
          <cell r="J501" t="str">
            <v>METR</v>
          </cell>
          <cell r="K501" t="str">
            <v>METR</v>
          </cell>
          <cell r="L501" t="str">
            <v>METR</v>
          </cell>
        </row>
        <row r="502"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B505" t="str">
            <v>DPW</v>
          </cell>
          <cell r="C505" t="str">
            <v>DPW</v>
          </cell>
          <cell r="D505" t="str">
            <v>DPW</v>
          </cell>
          <cell r="E505" t="str">
            <v>DPW</v>
          </cell>
          <cell r="F505" t="str">
            <v>DPW</v>
          </cell>
          <cell r="H505" t="str">
            <v>METR</v>
          </cell>
          <cell r="I505" t="str">
            <v>METR</v>
          </cell>
          <cell r="J505" t="str">
            <v>METR</v>
          </cell>
          <cell r="K505" t="str">
            <v>METR</v>
          </cell>
          <cell r="L505" t="str">
            <v>METR</v>
          </cell>
        </row>
        <row r="506">
          <cell r="B506" t="str">
            <v>DPW</v>
          </cell>
          <cell r="C506" t="str">
            <v>DPW</v>
          </cell>
          <cell r="D506" t="str">
            <v>DPW</v>
          </cell>
          <cell r="E506" t="str">
            <v>DPW</v>
          </cell>
          <cell r="F506" t="str">
            <v>DPW</v>
          </cell>
          <cell r="H506" t="str">
            <v>METR</v>
          </cell>
          <cell r="I506" t="str">
            <v>METR</v>
          </cell>
          <cell r="J506" t="str">
            <v>METR</v>
          </cell>
          <cell r="K506" t="str">
            <v>METR</v>
          </cell>
          <cell r="L506" t="str">
            <v>METR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 t="str">
            <v>DPW</v>
          </cell>
          <cell r="C510" t="str">
            <v>DPW</v>
          </cell>
          <cell r="D510" t="str">
            <v>DPW</v>
          </cell>
          <cell r="E510" t="str">
            <v>DPW</v>
          </cell>
          <cell r="F510" t="str">
            <v>DPW</v>
          </cell>
          <cell r="H510" t="str">
            <v>PC</v>
          </cell>
          <cell r="I510" t="str">
            <v>PC</v>
          </cell>
          <cell r="J510" t="str">
            <v>PC</v>
          </cell>
          <cell r="K510" t="str">
            <v>PC</v>
          </cell>
          <cell r="L510" t="str">
            <v>PC</v>
          </cell>
        </row>
        <row r="511">
          <cell r="B511" t="str">
            <v>DPW</v>
          </cell>
          <cell r="C511" t="str">
            <v>DPW</v>
          </cell>
          <cell r="D511" t="str">
            <v>DPW</v>
          </cell>
          <cell r="E511" t="str">
            <v>DPW</v>
          </cell>
          <cell r="F511" t="str">
            <v>DPW</v>
          </cell>
          <cell r="H511" t="str">
            <v>PC</v>
          </cell>
          <cell r="I511" t="str">
            <v>PC</v>
          </cell>
          <cell r="J511" t="str">
            <v>PC</v>
          </cell>
          <cell r="K511" t="str">
            <v>PC</v>
          </cell>
          <cell r="L511" t="str">
            <v>PC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B515" t="str">
            <v>DPW</v>
          </cell>
          <cell r="C515" t="str">
            <v>DPW</v>
          </cell>
          <cell r="D515" t="str">
            <v>DPW</v>
          </cell>
          <cell r="E515" t="str">
            <v>DPW</v>
          </cell>
          <cell r="F515" t="str">
            <v>DPW</v>
          </cell>
          <cell r="H515" t="str">
            <v>PLNT2</v>
          </cell>
          <cell r="I515" t="str">
            <v>PLNT2</v>
          </cell>
          <cell r="J515" t="str">
            <v>PLNT2</v>
          </cell>
          <cell r="K515" t="str">
            <v>PLNT2</v>
          </cell>
          <cell r="L515" t="str">
            <v>PLNT2</v>
          </cell>
        </row>
        <row r="516">
          <cell r="B516" t="str">
            <v>DPW</v>
          </cell>
          <cell r="C516" t="str">
            <v>DPW</v>
          </cell>
          <cell r="D516" t="str">
            <v>DPW</v>
          </cell>
          <cell r="E516" t="str">
            <v>DPW</v>
          </cell>
          <cell r="F516" t="str">
            <v>DPW</v>
          </cell>
          <cell r="H516" t="str">
            <v>PLNT2</v>
          </cell>
          <cell r="I516" t="str">
            <v>PLNT2</v>
          </cell>
          <cell r="J516" t="str">
            <v>PLNT2</v>
          </cell>
          <cell r="K516" t="str">
            <v>PLNT2</v>
          </cell>
          <cell r="L516" t="str">
            <v>PLNT2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B520" t="str">
            <v>DPW</v>
          </cell>
          <cell r="C520" t="str">
            <v>DPW</v>
          </cell>
          <cell r="D520" t="str">
            <v>DPW</v>
          </cell>
          <cell r="E520" t="str">
            <v>DPW</v>
          </cell>
          <cell r="F520" t="str">
            <v>DPW</v>
          </cell>
          <cell r="H520" t="str">
            <v>PLNT2</v>
          </cell>
          <cell r="I520" t="str">
            <v>PLNT2</v>
          </cell>
          <cell r="J520" t="str">
            <v>PLNT2</v>
          </cell>
          <cell r="K520" t="str">
            <v>PLNT2</v>
          </cell>
          <cell r="L520" t="str">
            <v>PLNT2</v>
          </cell>
        </row>
        <row r="521">
          <cell r="B521" t="str">
            <v>DPW</v>
          </cell>
          <cell r="C521" t="str">
            <v>DPW</v>
          </cell>
          <cell r="D521" t="str">
            <v>DPW</v>
          </cell>
          <cell r="E521" t="str">
            <v>DPW</v>
          </cell>
          <cell r="F521" t="str">
            <v>DPW</v>
          </cell>
          <cell r="H521" t="str">
            <v>PLNT2</v>
          </cell>
          <cell r="I521" t="str">
            <v>PLNT2</v>
          </cell>
          <cell r="J521" t="str">
            <v>PLNT2</v>
          </cell>
          <cell r="K521" t="str">
            <v>PLNT2</v>
          </cell>
          <cell r="L521" t="str">
            <v>PLNT2</v>
          </cell>
        </row>
        <row r="522"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B525" t="str">
            <v>DPW</v>
          </cell>
          <cell r="C525" t="str">
            <v>DPW</v>
          </cell>
          <cell r="D525" t="str">
            <v>DPW</v>
          </cell>
          <cell r="E525" t="str">
            <v>DPW</v>
          </cell>
          <cell r="F525" t="str">
            <v>DPW</v>
          </cell>
          <cell r="H525" t="str">
            <v>PLNT</v>
          </cell>
          <cell r="I525" t="str">
            <v>PLNT</v>
          </cell>
          <cell r="J525" t="str">
            <v>PLNT</v>
          </cell>
          <cell r="K525" t="str">
            <v>PLNT</v>
          </cell>
          <cell r="L525" t="str">
            <v>PLNT</v>
          </cell>
        </row>
        <row r="526">
          <cell r="B526" t="str">
            <v>DPW</v>
          </cell>
          <cell r="C526" t="str">
            <v>DPW</v>
          </cell>
          <cell r="D526" t="str">
            <v>DPW</v>
          </cell>
          <cell r="E526" t="str">
            <v>DPW</v>
          </cell>
          <cell r="F526" t="str">
            <v>DPW</v>
          </cell>
          <cell r="H526" t="str">
            <v>PLNT</v>
          </cell>
          <cell r="I526" t="str">
            <v>PLNT</v>
          </cell>
          <cell r="J526" t="str">
            <v>PLNT</v>
          </cell>
          <cell r="K526" t="str">
            <v>PLNT</v>
          </cell>
          <cell r="L526" t="str">
            <v>PLNT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B530" t="str">
            <v>DPW</v>
          </cell>
          <cell r="C530" t="str">
            <v>DPW</v>
          </cell>
          <cell r="D530" t="str">
            <v>DPW</v>
          </cell>
          <cell r="E530" t="str">
            <v>DPW</v>
          </cell>
          <cell r="F530" t="str">
            <v>DPW</v>
          </cell>
          <cell r="H530" t="str">
            <v>PLNT2</v>
          </cell>
          <cell r="I530" t="str">
            <v>PLNT2</v>
          </cell>
          <cell r="J530" t="str">
            <v>PLNT2</v>
          </cell>
          <cell r="K530" t="str">
            <v>PLNT2</v>
          </cell>
          <cell r="L530" t="str">
            <v>PLNT2</v>
          </cell>
        </row>
        <row r="531">
          <cell r="B531" t="str">
            <v>DPW</v>
          </cell>
          <cell r="C531" t="str">
            <v>DPW</v>
          </cell>
          <cell r="D531" t="str">
            <v>DPW</v>
          </cell>
          <cell r="E531" t="str">
            <v>DPW</v>
          </cell>
          <cell r="F531" t="str">
            <v>DPW</v>
          </cell>
          <cell r="H531" t="str">
            <v>PLNT2</v>
          </cell>
          <cell r="I531" t="str">
            <v>PLNT2</v>
          </cell>
          <cell r="J531" t="str">
            <v>PLNT2</v>
          </cell>
          <cell r="K531" t="str">
            <v>PLNT2</v>
          </cell>
          <cell r="L531" t="str">
            <v>PLNT2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B535" t="str">
            <v>DPW</v>
          </cell>
          <cell r="C535" t="str">
            <v>DPW</v>
          </cell>
          <cell r="D535" t="str">
            <v>DPW</v>
          </cell>
          <cell r="E535" t="str">
            <v>DPW</v>
          </cell>
          <cell r="F535" t="str">
            <v>DPW</v>
          </cell>
          <cell r="H535" t="str">
            <v>SUBS</v>
          </cell>
          <cell r="I535" t="str">
            <v>SUBS</v>
          </cell>
          <cell r="J535" t="str">
            <v>SUBS</v>
          </cell>
          <cell r="K535" t="str">
            <v>SUBS</v>
          </cell>
          <cell r="L535" t="str">
            <v>SUBS</v>
          </cell>
        </row>
        <row r="536">
          <cell r="B536" t="str">
            <v>DPW</v>
          </cell>
          <cell r="C536" t="str">
            <v>DPW</v>
          </cell>
          <cell r="D536" t="str">
            <v>DPW</v>
          </cell>
          <cell r="E536" t="str">
            <v>DPW</v>
          </cell>
          <cell r="F536" t="str">
            <v>DPW</v>
          </cell>
          <cell r="H536" t="str">
            <v>SUBS</v>
          </cell>
          <cell r="I536" t="str">
            <v>SUBS</v>
          </cell>
          <cell r="J536" t="str">
            <v>SUBS</v>
          </cell>
          <cell r="K536" t="str">
            <v>SUBS</v>
          </cell>
          <cell r="L536" t="str">
            <v>SUBS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 t="str">
            <v>DPW</v>
          </cell>
          <cell r="C540" t="str">
            <v>DPW</v>
          </cell>
          <cell r="D540" t="str">
            <v>DPW</v>
          </cell>
          <cell r="E540" t="str">
            <v>DPW</v>
          </cell>
          <cell r="F540" t="str">
            <v>DPW</v>
          </cell>
          <cell r="H540" t="str">
            <v>PC</v>
          </cell>
          <cell r="I540" t="str">
            <v>PC</v>
          </cell>
          <cell r="J540" t="str">
            <v>PC</v>
          </cell>
          <cell r="K540" t="str">
            <v>PC</v>
          </cell>
          <cell r="L540" t="str">
            <v>PC</v>
          </cell>
        </row>
        <row r="541">
          <cell r="B541" t="str">
            <v>DPW</v>
          </cell>
          <cell r="C541" t="str">
            <v>DPW</v>
          </cell>
          <cell r="D541" t="str">
            <v>DPW</v>
          </cell>
          <cell r="E541" t="str">
            <v>DPW</v>
          </cell>
          <cell r="F541" t="str">
            <v>DPW</v>
          </cell>
          <cell r="H541" t="str">
            <v>PC</v>
          </cell>
          <cell r="I541" t="str">
            <v>PC</v>
          </cell>
          <cell r="J541" t="str">
            <v>PC</v>
          </cell>
          <cell r="K541" t="str">
            <v>PC</v>
          </cell>
          <cell r="L541" t="str">
            <v>PC</v>
          </cell>
        </row>
        <row r="542"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B545" t="str">
            <v>DPW</v>
          </cell>
          <cell r="C545" t="str">
            <v>DPW</v>
          </cell>
          <cell r="D545" t="str">
            <v>DPW</v>
          </cell>
          <cell r="E545" t="str">
            <v>DPW</v>
          </cell>
          <cell r="F545" t="str">
            <v>DPW</v>
          </cell>
          <cell r="H545" t="str">
            <v>PC</v>
          </cell>
          <cell r="I545" t="str">
            <v>PC</v>
          </cell>
          <cell r="J545" t="str">
            <v>PC</v>
          </cell>
          <cell r="K545" t="str">
            <v>PC</v>
          </cell>
          <cell r="L545" t="str">
            <v>PC</v>
          </cell>
        </row>
        <row r="546">
          <cell r="B546" t="str">
            <v>DPW</v>
          </cell>
          <cell r="C546" t="str">
            <v>DPW</v>
          </cell>
          <cell r="D546" t="str">
            <v>DPW</v>
          </cell>
          <cell r="E546" t="str">
            <v>DPW</v>
          </cell>
          <cell r="F546" t="str">
            <v>DPW</v>
          </cell>
          <cell r="H546" t="str">
            <v>PC</v>
          </cell>
          <cell r="I546" t="str">
            <v>PC</v>
          </cell>
          <cell r="J546" t="str">
            <v>PC</v>
          </cell>
          <cell r="K546" t="str">
            <v>PC</v>
          </cell>
          <cell r="L546" t="str">
            <v>PC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B550" t="str">
            <v>DPW</v>
          </cell>
          <cell r="C550" t="str">
            <v>DPW</v>
          </cell>
          <cell r="D550" t="str">
            <v>DPW</v>
          </cell>
          <cell r="E550" t="str">
            <v>DPW</v>
          </cell>
          <cell r="F550" t="str">
            <v>DPW</v>
          </cell>
          <cell r="H550" t="str">
            <v>XFMR</v>
          </cell>
          <cell r="I550" t="str">
            <v>XFMR</v>
          </cell>
          <cell r="J550" t="str">
            <v>XFMR</v>
          </cell>
          <cell r="K550" t="str">
            <v>XFMR</v>
          </cell>
          <cell r="L550" t="str">
            <v>XFMR</v>
          </cell>
        </row>
        <row r="551">
          <cell r="B551" t="str">
            <v>DPW</v>
          </cell>
          <cell r="C551" t="str">
            <v>DPW</v>
          </cell>
          <cell r="D551" t="str">
            <v>DPW</v>
          </cell>
          <cell r="E551" t="str">
            <v>DPW</v>
          </cell>
          <cell r="F551" t="str">
            <v>DPW</v>
          </cell>
          <cell r="H551" t="str">
            <v>XFMR</v>
          </cell>
          <cell r="I551" t="str">
            <v>XFMR</v>
          </cell>
          <cell r="J551" t="str">
            <v>XFMR</v>
          </cell>
          <cell r="K551" t="str">
            <v>XFMR</v>
          </cell>
          <cell r="L551" t="str">
            <v>XFMR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B555" t="str">
            <v>DPW</v>
          </cell>
          <cell r="C555" t="str">
            <v>DPW</v>
          </cell>
          <cell r="D555" t="str">
            <v>DPW</v>
          </cell>
          <cell r="E555" t="str">
            <v>DPW</v>
          </cell>
          <cell r="F555" t="str">
            <v>DPW</v>
          </cell>
          <cell r="H555" t="str">
            <v>PC</v>
          </cell>
          <cell r="I555" t="str">
            <v>PC</v>
          </cell>
          <cell r="J555" t="str">
            <v>PC</v>
          </cell>
          <cell r="K555" t="str">
            <v>PC</v>
          </cell>
          <cell r="L555" t="str">
            <v>PC</v>
          </cell>
        </row>
        <row r="556">
          <cell r="B556" t="str">
            <v>DPW</v>
          </cell>
          <cell r="C556" t="str">
            <v>DPW</v>
          </cell>
          <cell r="D556" t="str">
            <v>DPW</v>
          </cell>
          <cell r="E556" t="str">
            <v>DPW</v>
          </cell>
          <cell r="F556" t="str">
            <v>DPW</v>
          </cell>
          <cell r="H556" t="str">
            <v>PC</v>
          </cell>
          <cell r="I556" t="str">
            <v>PC</v>
          </cell>
          <cell r="J556" t="str">
            <v>PC</v>
          </cell>
          <cell r="K556" t="str">
            <v>PC</v>
          </cell>
          <cell r="L556" t="str">
            <v>PC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 t="str">
            <v>DPW</v>
          </cell>
          <cell r="C560" t="str">
            <v>DPW</v>
          </cell>
          <cell r="D560" t="str">
            <v>DPW</v>
          </cell>
          <cell r="E560" t="str">
            <v>DPW</v>
          </cell>
          <cell r="F560" t="str">
            <v>DPW</v>
          </cell>
          <cell r="H560" t="str">
            <v>METR</v>
          </cell>
          <cell r="I560" t="str">
            <v>METR</v>
          </cell>
          <cell r="J560" t="str">
            <v>METR</v>
          </cell>
          <cell r="K560" t="str">
            <v>METR</v>
          </cell>
          <cell r="L560" t="str">
            <v>METR</v>
          </cell>
        </row>
        <row r="561">
          <cell r="B561" t="str">
            <v>DPW</v>
          </cell>
          <cell r="C561" t="str">
            <v>DPW</v>
          </cell>
          <cell r="D561" t="str">
            <v>DPW</v>
          </cell>
          <cell r="E561" t="str">
            <v>DPW</v>
          </cell>
          <cell r="F561" t="str">
            <v>DPW</v>
          </cell>
          <cell r="H561" t="str">
            <v>METR</v>
          </cell>
          <cell r="I561" t="str">
            <v>METR</v>
          </cell>
          <cell r="J561" t="str">
            <v>METR</v>
          </cell>
          <cell r="K561" t="str">
            <v>METR</v>
          </cell>
          <cell r="L561" t="str">
            <v>METR</v>
          </cell>
        </row>
        <row r="562"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B565" t="str">
            <v>DPW</v>
          </cell>
          <cell r="C565" t="str">
            <v>DPW</v>
          </cell>
          <cell r="D565" t="str">
            <v>DPW</v>
          </cell>
          <cell r="E565" t="str">
            <v>DPW</v>
          </cell>
          <cell r="F565" t="str">
            <v>DPW</v>
          </cell>
          <cell r="H565" t="str">
            <v>PLNT2</v>
          </cell>
          <cell r="I565" t="str">
            <v>PLNT2</v>
          </cell>
          <cell r="J565" t="str">
            <v>PLNT2</v>
          </cell>
          <cell r="K565" t="str">
            <v>PLNT2</v>
          </cell>
          <cell r="L565" t="str">
            <v>PLNT2</v>
          </cell>
        </row>
        <row r="566">
          <cell r="B566" t="str">
            <v>DPW</v>
          </cell>
          <cell r="C566" t="str">
            <v>DPW</v>
          </cell>
          <cell r="D566" t="str">
            <v>DPW</v>
          </cell>
          <cell r="E566" t="str">
            <v>DPW</v>
          </cell>
          <cell r="F566" t="str">
            <v>DPW</v>
          </cell>
          <cell r="H566" t="str">
            <v>PLNT2</v>
          </cell>
          <cell r="I566" t="str">
            <v>PLNT2</v>
          </cell>
          <cell r="J566" t="str">
            <v>PLNT2</v>
          </cell>
          <cell r="K566" t="str">
            <v>PLNT2</v>
          </cell>
          <cell r="L566" t="str">
            <v>PLNT2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B572" t="str">
            <v>CUST</v>
          </cell>
          <cell r="C572" t="str">
            <v>CUST</v>
          </cell>
          <cell r="D572" t="str">
            <v>CUST</v>
          </cell>
          <cell r="E572" t="str">
            <v>CUST</v>
          </cell>
          <cell r="F572" t="str">
            <v>CUST</v>
          </cell>
          <cell r="H572" t="str">
            <v>CUST</v>
          </cell>
          <cell r="I572" t="str">
            <v>CUST</v>
          </cell>
          <cell r="J572" t="str">
            <v>CUST</v>
          </cell>
          <cell r="K572" t="str">
            <v>CUST</v>
          </cell>
          <cell r="L572" t="str">
            <v>CUST</v>
          </cell>
        </row>
        <row r="573">
          <cell r="B573" t="str">
            <v>CUST</v>
          </cell>
          <cell r="C573" t="str">
            <v>CUST</v>
          </cell>
          <cell r="D573" t="str">
            <v>CUST</v>
          </cell>
          <cell r="E573" t="str">
            <v>CUST</v>
          </cell>
          <cell r="F573" t="str">
            <v>CUST</v>
          </cell>
          <cell r="H573" t="str">
            <v>CUST</v>
          </cell>
          <cell r="I573" t="str">
            <v>CUST</v>
          </cell>
          <cell r="J573" t="str">
            <v>CUST</v>
          </cell>
          <cell r="K573" t="str">
            <v>CUST</v>
          </cell>
          <cell r="L573" t="str">
            <v>CUST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B577" t="str">
            <v>CUST</v>
          </cell>
          <cell r="C577" t="str">
            <v>CUST</v>
          </cell>
          <cell r="D577" t="str">
            <v>CUST</v>
          </cell>
          <cell r="E577" t="str">
            <v>CUST</v>
          </cell>
          <cell r="F577" t="str">
            <v>CUST</v>
          </cell>
          <cell r="H577" t="str">
            <v>CUST</v>
          </cell>
          <cell r="I577" t="str">
            <v>CUST</v>
          </cell>
          <cell r="J577" t="str">
            <v>CUST</v>
          </cell>
          <cell r="K577" t="str">
            <v>CUST</v>
          </cell>
          <cell r="L577" t="str">
            <v>CUST</v>
          </cell>
        </row>
        <row r="578">
          <cell r="B578" t="str">
            <v>CUST</v>
          </cell>
          <cell r="C578" t="str">
            <v>CUST</v>
          </cell>
          <cell r="D578" t="str">
            <v>CUST</v>
          </cell>
          <cell r="E578" t="str">
            <v>CUST</v>
          </cell>
          <cell r="F578" t="str">
            <v>CUST</v>
          </cell>
          <cell r="H578" t="str">
            <v>CUST</v>
          </cell>
          <cell r="I578" t="str">
            <v>CUST</v>
          </cell>
          <cell r="J578" t="str">
            <v>CUST</v>
          </cell>
          <cell r="K578" t="str">
            <v>CUST</v>
          </cell>
          <cell r="L578" t="str">
            <v>CUST</v>
          </cell>
        </row>
        <row r="579"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B582" t="str">
            <v>CUST</v>
          </cell>
          <cell r="C582" t="str">
            <v>CUST</v>
          </cell>
          <cell r="D582" t="str">
            <v>CUST</v>
          </cell>
          <cell r="E582" t="str">
            <v>CUST</v>
          </cell>
          <cell r="F582" t="str">
            <v>CUST</v>
          </cell>
          <cell r="H582" t="str">
            <v>CUST</v>
          </cell>
          <cell r="I582" t="str">
            <v>CUST</v>
          </cell>
          <cell r="J582" t="str">
            <v>CUST</v>
          </cell>
          <cell r="K582" t="str">
            <v>CUST</v>
          </cell>
          <cell r="L582" t="str">
            <v>CUST</v>
          </cell>
        </row>
        <row r="583">
          <cell r="B583" t="str">
            <v>CUST</v>
          </cell>
          <cell r="C583" t="str">
            <v>CUST</v>
          </cell>
          <cell r="D583" t="str">
            <v>CUST</v>
          </cell>
          <cell r="E583" t="str">
            <v>CUST</v>
          </cell>
          <cell r="F583" t="str">
            <v>CUST</v>
          </cell>
          <cell r="H583" t="str">
            <v>CUST</v>
          </cell>
          <cell r="I583" t="str">
            <v>CUST</v>
          </cell>
          <cell r="J583" t="str">
            <v>CUST</v>
          </cell>
          <cell r="K583" t="str">
            <v>CUST</v>
          </cell>
          <cell r="L583" t="str">
            <v>CUST</v>
          </cell>
        </row>
        <row r="584"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B587" t="str">
            <v>CUST</v>
          </cell>
          <cell r="C587" t="str">
            <v>CUST</v>
          </cell>
          <cell r="D587" t="str">
            <v>CUST</v>
          </cell>
          <cell r="E587" t="str">
            <v>CUST</v>
          </cell>
          <cell r="F587" t="str">
            <v>CUST</v>
          </cell>
          <cell r="H587" t="str">
            <v>CUST</v>
          </cell>
          <cell r="I587" t="str">
            <v>CUST</v>
          </cell>
          <cell r="J587" t="str">
            <v>CUST</v>
          </cell>
          <cell r="K587" t="str">
            <v>CUST</v>
          </cell>
          <cell r="L587" t="str">
            <v>CUST</v>
          </cell>
        </row>
        <row r="588">
          <cell r="B588" t="str">
            <v>P</v>
          </cell>
          <cell r="C588" t="str">
            <v>P</v>
          </cell>
          <cell r="D588" t="str">
            <v>P</v>
          </cell>
          <cell r="E588" t="str">
            <v>P</v>
          </cell>
          <cell r="F588" t="str">
            <v>P</v>
          </cell>
          <cell r="H588" t="str">
            <v>CUST</v>
          </cell>
          <cell r="I588" t="str">
            <v>CUST</v>
          </cell>
          <cell r="J588" t="str">
            <v>CUST</v>
          </cell>
          <cell r="K588" t="str">
            <v>CUST</v>
          </cell>
          <cell r="L588" t="str">
            <v>CUST</v>
          </cell>
        </row>
        <row r="589">
          <cell r="B589" t="str">
            <v>CUST</v>
          </cell>
          <cell r="C589" t="str">
            <v>CUST</v>
          </cell>
          <cell r="D589" t="str">
            <v>CUST</v>
          </cell>
          <cell r="E589" t="str">
            <v>CUST</v>
          </cell>
          <cell r="F589" t="str">
            <v>CUST</v>
          </cell>
          <cell r="H589" t="str">
            <v>CUST</v>
          </cell>
          <cell r="I589" t="str">
            <v>CUST</v>
          </cell>
          <cell r="J589" t="str">
            <v>CUST</v>
          </cell>
          <cell r="K589" t="str">
            <v>CUST</v>
          </cell>
          <cell r="L589" t="str">
            <v>CUST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B593" t="str">
            <v>CUST</v>
          </cell>
          <cell r="C593" t="str">
            <v>CUST</v>
          </cell>
          <cell r="D593" t="str">
            <v>CUST</v>
          </cell>
          <cell r="E593" t="str">
            <v>CUST</v>
          </cell>
          <cell r="F593" t="str">
            <v>CUST</v>
          </cell>
          <cell r="H593" t="str">
            <v>CUST</v>
          </cell>
          <cell r="I593" t="str">
            <v>CUST</v>
          </cell>
          <cell r="J593" t="str">
            <v>CUST</v>
          </cell>
          <cell r="K593" t="str">
            <v>CUST</v>
          </cell>
          <cell r="L593" t="str">
            <v>CUST</v>
          </cell>
        </row>
        <row r="594">
          <cell r="B594" t="str">
            <v>CUST</v>
          </cell>
          <cell r="C594" t="str">
            <v>CUST</v>
          </cell>
          <cell r="D594" t="str">
            <v>CUST</v>
          </cell>
          <cell r="E594" t="str">
            <v>CUST</v>
          </cell>
          <cell r="F594" t="str">
            <v>CUST</v>
          </cell>
          <cell r="H594" t="str">
            <v>CUST</v>
          </cell>
          <cell r="I594" t="str">
            <v>CUST</v>
          </cell>
          <cell r="J594" t="str">
            <v>CUST</v>
          </cell>
          <cell r="K594" t="str">
            <v>CUST</v>
          </cell>
          <cell r="L594" t="str">
            <v>CUST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B600" t="str">
            <v>CUST</v>
          </cell>
          <cell r="C600" t="str">
            <v>CUST</v>
          </cell>
          <cell r="D600" t="str">
            <v>CUST</v>
          </cell>
          <cell r="E600" t="str">
            <v>CUST</v>
          </cell>
          <cell r="F600" t="str">
            <v>CUST</v>
          </cell>
          <cell r="H600" t="str">
            <v>CUST</v>
          </cell>
          <cell r="I600" t="str">
            <v>CUST</v>
          </cell>
          <cell r="J600" t="str">
            <v>CUST</v>
          </cell>
          <cell r="K600" t="str">
            <v>CUST</v>
          </cell>
          <cell r="L600" t="str">
            <v>CUST</v>
          </cell>
        </row>
        <row r="601">
          <cell r="B601" t="str">
            <v>CUST</v>
          </cell>
          <cell r="C601" t="str">
            <v>CUST</v>
          </cell>
          <cell r="D601" t="str">
            <v>CUST</v>
          </cell>
          <cell r="E601" t="str">
            <v>CUST</v>
          </cell>
          <cell r="F601" t="str">
            <v>CUST</v>
          </cell>
          <cell r="H601" t="str">
            <v>CUST</v>
          </cell>
          <cell r="I601" t="str">
            <v>CUST</v>
          </cell>
          <cell r="J601" t="str">
            <v>CUST</v>
          </cell>
          <cell r="K601" t="str">
            <v>CUST</v>
          </cell>
          <cell r="L601" t="str">
            <v>CUST</v>
          </cell>
        </row>
        <row r="602"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B605" t="str">
            <v>CUST</v>
          </cell>
          <cell r="C605" t="str">
            <v>CUST</v>
          </cell>
          <cell r="D605" t="str">
            <v>CUST</v>
          </cell>
          <cell r="E605" t="str">
            <v>CUST</v>
          </cell>
          <cell r="F605" t="str">
            <v>CUST</v>
          </cell>
          <cell r="H605" t="str">
            <v>CUST</v>
          </cell>
          <cell r="I605" t="str">
            <v>CUST</v>
          </cell>
          <cell r="J605" t="str">
            <v>CUST</v>
          </cell>
          <cell r="K605" t="str">
            <v>CUST</v>
          </cell>
          <cell r="L605" t="str">
            <v>CUST</v>
          </cell>
        </row>
        <row r="606">
          <cell r="B606" t="str">
            <v>CUST</v>
          </cell>
          <cell r="C606" t="str">
            <v>CUST</v>
          </cell>
          <cell r="D606" t="str">
            <v>CUST</v>
          </cell>
          <cell r="E606" t="str">
            <v>CUST</v>
          </cell>
          <cell r="F606" t="str">
            <v>CUST</v>
          </cell>
          <cell r="H606" t="str">
            <v>CUST</v>
          </cell>
          <cell r="I606" t="str">
            <v>CUST</v>
          </cell>
          <cell r="J606" t="str">
            <v>CUST</v>
          </cell>
          <cell r="K606" t="str">
            <v>CUST</v>
          </cell>
          <cell r="L606" t="str">
            <v>CUST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B610" t="str">
            <v>CUST</v>
          </cell>
          <cell r="C610" t="str">
            <v>CUST</v>
          </cell>
          <cell r="D610" t="str">
            <v>CUST</v>
          </cell>
          <cell r="E610" t="str">
            <v>CUST</v>
          </cell>
          <cell r="F610" t="str">
            <v>CUST</v>
          </cell>
          <cell r="H610" t="str">
            <v>CUST</v>
          </cell>
          <cell r="I610" t="str">
            <v>CUST</v>
          </cell>
          <cell r="J610" t="str">
            <v>CUST</v>
          </cell>
          <cell r="K610" t="str">
            <v>CUST</v>
          </cell>
          <cell r="L610" t="str">
            <v>CUST</v>
          </cell>
        </row>
        <row r="611">
          <cell r="B611" t="str">
            <v>CUST</v>
          </cell>
          <cell r="C611" t="str">
            <v>CUST</v>
          </cell>
          <cell r="D611" t="str">
            <v>CUST</v>
          </cell>
          <cell r="E611" t="str">
            <v>CUST</v>
          </cell>
          <cell r="F611" t="str">
            <v>CUST</v>
          </cell>
          <cell r="H611" t="str">
            <v>CUST</v>
          </cell>
          <cell r="I611" t="str">
            <v>CUST</v>
          </cell>
          <cell r="J611" t="str">
            <v>CUST</v>
          </cell>
          <cell r="K611" t="str">
            <v>CUST</v>
          </cell>
          <cell r="L611" t="str">
            <v>CUST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B615" t="str">
            <v>CUST</v>
          </cell>
          <cell r="C615" t="str">
            <v>CUST</v>
          </cell>
          <cell r="D615" t="str">
            <v>CUST</v>
          </cell>
          <cell r="E615" t="str">
            <v>CUST</v>
          </cell>
          <cell r="F615" t="str">
            <v>CUST</v>
          </cell>
          <cell r="H615" t="str">
            <v>CUST</v>
          </cell>
          <cell r="I615" t="str">
            <v>CUST</v>
          </cell>
          <cell r="J615" t="str">
            <v>CUST</v>
          </cell>
          <cell r="K615" t="str">
            <v>CUST</v>
          </cell>
          <cell r="L615" t="str">
            <v>CUST</v>
          </cell>
        </row>
        <row r="616">
          <cell r="B616" t="str">
            <v>CUST</v>
          </cell>
          <cell r="C616" t="str">
            <v>CUST</v>
          </cell>
          <cell r="D616" t="str">
            <v>CUST</v>
          </cell>
          <cell r="E616" t="str">
            <v>CUST</v>
          </cell>
          <cell r="F616" t="str">
            <v>CUST</v>
          </cell>
          <cell r="H616" t="str">
            <v>CUST</v>
          </cell>
          <cell r="I616" t="str">
            <v>CUST</v>
          </cell>
          <cell r="J616" t="str">
            <v>CUST</v>
          </cell>
          <cell r="K616" t="str">
            <v>CUST</v>
          </cell>
          <cell r="L616" t="str">
            <v>CUST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B622" t="str">
            <v>CUST</v>
          </cell>
          <cell r="C622" t="str">
            <v>CUST</v>
          </cell>
          <cell r="D622" t="str">
            <v>CUST</v>
          </cell>
          <cell r="E622" t="str">
            <v>CUST</v>
          </cell>
          <cell r="F622" t="str">
            <v>CUST</v>
          </cell>
          <cell r="H622" t="str">
            <v>CUST</v>
          </cell>
          <cell r="I622" t="str">
            <v>CUST</v>
          </cell>
          <cell r="J622" t="str">
            <v>CUST</v>
          </cell>
          <cell r="K622" t="str">
            <v>CUST</v>
          </cell>
          <cell r="L622" t="str">
            <v>CUST</v>
          </cell>
        </row>
        <row r="623">
          <cell r="B623" t="str">
            <v>CUST</v>
          </cell>
          <cell r="C623" t="str">
            <v>CUST</v>
          </cell>
          <cell r="D623" t="str">
            <v>CUST</v>
          </cell>
          <cell r="E623" t="str">
            <v>CUST</v>
          </cell>
          <cell r="F623" t="str">
            <v>CUST</v>
          </cell>
          <cell r="H623" t="str">
            <v>CUST</v>
          </cell>
          <cell r="I623" t="str">
            <v>CUST</v>
          </cell>
          <cell r="J623" t="str">
            <v>CUST</v>
          </cell>
          <cell r="K623" t="str">
            <v>CUST</v>
          </cell>
          <cell r="L623" t="str">
            <v>CUST</v>
          </cell>
        </row>
        <row r="624"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B627" t="str">
            <v>CUST</v>
          </cell>
          <cell r="C627" t="str">
            <v>CUST</v>
          </cell>
          <cell r="D627" t="str">
            <v>CUST</v>
          </cell>
          <cell r="E627" t="str">
            <v>CUST</v>
          </cell>
          <cell r="F627" t="str">
            <v>CUST</v>
          </cell>
          <cell r="H627" t="str">
            <v>CUST</v>
          </cell>
          <cell r="I627" t="str">
            <v>CUST</v>
          </cell>
          <cell r="J627" t="str">
            <v>CUST</v>
          </cell>
          <cell r="K627" t="str">
            <v>CUST</v>
          </cell>
          <cell r="L627" t="str">
            <v>CUST</v>
          </cell>
        </row>
        <row r="628">
          <cell r="B628" t="str">
            <v>CUST</v>
          </cell>
          <cell r="C628" t="str">
            <v>CUST</v>
          </cell>
          <cell r="D628" t="str">
            <v>CUST</v>
          </cell>
          <cell r="E628" t="str">
            <v>CUST</v>
          </cell>
          <cell r="F628" t="str">
            <v>CUST</v>
          </cell>
          <cell r="H628" t="str">
            <v>CUST</v>
          </cell>
          <cell r="I628" t="str">
            <v>CUST</v>
          </cell>
          <cell r="J628" t="str">
            <v>CUST</v>
          </cell>
          <cell r="K628" t="str">
            <v>CUST</v>
          </cell>
          <cell r="L628" t="str">
            <v>CUST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B632" t="str">
            <v>CUST</v>
          </cell>
          <cell r="C632" t="str">
            <v>CUST</v>
          </cell>
          <cell r="D632" t="str">
            <v>CUST</v>
          </cell>
          <cell r="E632" t="str">
            <v>CUST</v>
          </cell>
          <cell r="F632" t="str">
            <v>CUST</v>
          </cell>
          <cell r="H632" t="str">
            <v>CUST</v>
          </cell>
          <cell r="I632" t="str">
            <v>CUST</v>
          </cell>
          <cell r="J632" t="str">
            <v>CUST</v>
          </cell>
          <cell r="K632" t="str">
            <v>CUST</v>
          </cell>
          <cell r="L632" t="str">
            <v>CUST</v>
          </cell>
        </row>
        <row r="633">
          <cell r="B633" t="str">
            <v>CUST</v>
          </cell>
          <cell r="C633" t="str">
            <v>CUST</v>
          </cell>
          <cell r="D633" t="str">
            <v>CUST</v>
          </cell>
          <cell r="E633" t="str">
            <v>CUST</v>
          </cell>
          <cell r="F633" t="str">
            <v>CUST</v>
          </cell>
          <cell r="H633" t="str">
            <v>CUST</v>
          </cell>
          <cell r="I633" t="str">
            <v>CUST</v>
          </cell>
          <cell r="J633" t="str">
            <v>CUST</v>
          </cell>
          <cell r="K633" t="str">
            <v>CUST</v>
          </cell>
          <cell r="L633" t="str">
            <v>CUST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B637" t="str">
            <v>CUST</v>
          </cell>
          <cell r="C637" t="str">
            <v>CUST</v>
          </cell>
          <cell r="D637" t="str">
            <v>CUST</v>
          </cell>
          <cell r="E637" t="str">
            <v>CUST</v>
          </cell>
          <cell r="F637" t="str">
            <v>CUST</v>
          </cell>
          <cell r="H637" t="str">
            <v>CUST</v>
          </cell>
          <cell r="I637" t="str">
            <v>CUST</v>
          </cell>
          <cell r="J637" t="str">
            <v>CUST</v>
          </cell>
          <cell r="K637" t="str">
            <v>CUST</v>
          </cell>
          <cell r="L637" t="str">
            <v>CUST</v>
          </cell>
        </row>
        <row r="638">
          <cell r="B638" t="str">
            <v>CUST</v>
          </cell>
          <cell r="C638" t="str">
            <v>CUST</v>
          </cell>
          <cell r="D638" t="str">
            <v>CUST</v>
          </cell>
          <cell r="E638" t="str">
            <v>CUST</v>
          </cell>
          <cell r="F638" t="str">
            <v>CUST</v>
          </cell>
          <cell r="H638" t="str">
            <v>CUST</v>
          </cell>
          <cell r="I638" t="str">
            <v>CUST</v>
          </cell>
          <cell r="J638" t="str">
            <v>CUST</v>
          </cell>
          <cell r="K638" t="str">
            <v>CUST</v>
          </cell>
          <cell r="L638" t="str">
            <v>CUST</v>
          </cell>
        </row>
        <row r="639"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B645" t="str">
            <v>PTD</v>
          </cell>
          <cell r="C645" t="str">
            <v>PTD</v>
          </cell>
          <cell r="D645" t="str">
            <v>PTD</v>
          </cell>
          <cell r="E645" t="str">
            <v>PTD</v>
          </cell>
          <cell r="F645" t="str">
            <v>PTD</v>
          </cell>
          <cell r="H645" t="str">
            <v>PLNT</v>
          </cell>
          <cell r="I645" t="str">
            <v>PLNT</v>
          </cell>
          <cell r="J645" t="str">
            <v>PLNT</v>
          </cell>
          <cell r="K645" t="str">
            <v>PLNT</v>
          </cell>
          <cell r="L645" t="str">
            <v>PLNT</v>
          </cell>
        </row>
        <row r="646">
          <cell r="B646" t="str">
            <v>CUST</v>
          </cell>
          <cell r="C646" t="str">
            <v>CUST</v>
          </cell>
          <cell r="D646" t="str">
            <v>CUST</v>
          </cell>
          <cell r="E646" t="str">
            <v>CUST</v>
          </cell>
          <cell r="F646" t="str">
            <v>CUST</v>
          </cell>
          <cell r="H646" t="str">
            <v>CUST</v>
          </cell>
          <cell r="I646" t="str">
            <v>CUST</v>
          </cell>
          <cell r="J646" t="str">
            <v>CUST</v>
          </cell>
          <cell r="K646" t="str">
            <v>CUST</v>
          </cell>
          <cell r="L646" t="str">
            <v>CUST</v>
          </cell>
        </row>
        <row r="647">
          <cell r="B647" t="str">
            <v>PTD</v>
          </cell>
          <cell r="C647" t="str">
            <v>PTD</v>
          </cell>
          <cell r="D647" t="str">
            <v>PTD</v>
          </cell>
          <cell r="E647" t="str">
            <v>PTD</v>
          </cell>
          <cell r="F647" t="str">
            <v>PTD</v>
          </cell>
          <cell r="H647" t="str">
            <v>PLNT</v>
          </cell>
          <cell r="I647" t="str">
            <v>PLNT</v>
          </cell>
          <cell r="J647" t="str">
            <v>PLNT</v>
          </cell>
          <cell r="K647" t="str">
            <v>PLNT</v>
          </cell>
          <cell r="L647" t="str">
            <v>PLNT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B651" t="str">
            <v>PTD</v>
          </cell>
          <cell r="C651" t="str">
            <v>PTD</v>
          </cell>
          <cell r="D651" t="str">
            <v>PTD</v>
          </cell>
          <cell r="E651" t="str">
            <v>PTD</v>
          </cell>
          <cell r="F651" t="str">
            <v>PTD</v>
          </cell>
          <cell r="H651" t="str">
            <v>PLNT</v>
          </cell>
          <cell r="I651" t="str">
            <v>PLNT</v>
          </cell>
          <cell r="J651" t="str">
            <v>PLNT</v>
          </cell>
          <cell r="K651" t="str">
            <v>PLNT</v>
          </cell>
          <cell r="L651" t="str">
            <v>PLNT</v>
          </cell>
        </row>
        <row r="652">
          <cell r="B652" t="str">
            <v>CUST</v>
          </cell>
          <cell r="C652" t="str">
            <v>CUST</v>
          </cell>
          <cell r="D652" t="str">
            <v>CUST</v>
          </cell>
          <cell r="E652" t="str">
            <v>CUST</v>
          </cell>
          <cell r="F652" t="str">
            <v>CUST</v>
          </cell>
          <cell r="H652" t="str">
            <v>CUST</v>
          </cell>
          <cell r="I652" t="str">
            <v>CUST</v>
          </cell>
          <cell r="J652" t="str">
            <v>CUST</v>
          </cell>
          <cell r="K652" t="str">
            <v>CUST</v>
          </cell>
          <cell r="L652" t="str">
            <v>CUST</v>
          </cell>
        </row>
        <row r="653">
          <cell r="B653" t="str">
            <v>PTD</v>
          </cell>
          <cell r="C653" t="str">
            <v>PTD</v>
          </cell>
          <cell r="D653" t="str">
            <v>PTD</v>
          </cell>
          <cell r="E653" t="str">
            <v>PTD</v>
          </cell>
          <cell r="F653" t="str">
            <v>PTD</v>
          </cell>
          <cell r="H653" t="str">
            <v>PLNT</v>
          </cell>
          <cell r="I653" t="str">
            <v>PLNT</v>
          </cell>
          <cell r="J653" t="str">
            <v>PLNT</v>
          </cell>
          <cell r="K653" t="str">
            <v>PLNT</v>
          </cell>
          <cell r="L653" t="str">
            <v>PLNT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B656" t="str">
            <v>PTD</v>
          </cell>
          <cell r="C656" t="str">
            <v>PTD</v>
          </cell>
          <cell r="D656" t="str">
            <v>PTD</v>
          </cell>
          <cell r="E656" t="str">
            <v>PTD</v>
          </cell>
          <cell r="F656" t="str">
            <v>PTD</v>
          </cell>
          <cell r="H656" t="str">
            <v>PLNT</v>
          </cell>
          <cell r="I656" t="str">
            <v>PLNT</v>
          </cell>
          <cell r="J656" t="str">
            <v>PLNT</v>
          </cell>
          <cell r="K656" t="str">
            <v>PLNT</v>
          </cell>
          <cell r="L656" t="str">
            <v>PLNT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B660" t="str">
            <v>PTD</v>
          </cell>
          <cell r="C660" t="str">
            <v>PTD</v>
          </cell>
          <cell r="D660" t="str">
            <v>PTD</v>
          </cell>
          <cell r="E660" t="str">
            <v>PTD</v>
          </cell>
          <cell r="F660" t="str">
            <v>PTD</v>
          </cell>
          <cell r="H660" t="str">
            <v>PLNT</v>
          </cell>
          <cell r="I660" t="str">
            <v>PLNT</v>
          </cell>
          <cell r="J660" t="str">
            <v>PLNT</v>
          </cell>
          <cell r="K660" t="str">
            <v>PLNT</v>
          </cell>
          <cell r="L660" t="str">
            <v>PLNT</v>
          </cell>
        </row>
        <row r="661">
          <cell r="B661" t="str">
            <v>CUST</v>
          </cell>
          <cell r="C661" t="str">
            <v>CUST</v>
          </cell>
          <cell r="D661" t="str">
            <v>CUST</v>
          </cell>
          <cell r="E661" t="str">
            <v>CUST</v>
          </cell>
          <cell r="F661" t="str">
            <v>CUST</v>
          </cell>
          <cell r="H661" t="str">
            <v>CUST</v>
          </cell>
          <cell r="I661" t="str">
            <v>CUST</v>
          </cell>
          <cell r="J661" t="str">
            <v>CUST</v>
          </cell>
          <cell r="K661" t="str">
            <v>CUST</v>
          </cell>
          <cell r="L661" t="str">
            <v>CUST</v>
          </cell>
        </row>
        <row r="662">
          <cell r="B662" t="str">
            <v>PTD</v>
          </cell>
          <cell r="C662" t="str">
            <v>PTD</v>
          </cell>
          <cell r="D662" t="str">
            <v>PTD</v>
          </cell>
          <cell r="E662" t="str">
            <v>PTD</v>
          </cell>
          <cell r="F662" t="str">
            <v>PTD</v>
          </cell>
          <cell r="H662" t="str">
            <v>PLNT</v>
          </cell>
          <cell r="I662" t="str">
            <v>PLNT</v>
          </cell>
          <cell r="J662" t="str">
            <v>PLNT</v>
          </cell>
          <cell r="K662" t="str">
            <v>PLNT</v>
          </cell>
          <cell r="L662" t="str">
            <v>PLNT</v>
          </cell>
        </row>
        <row r="663"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B666" t="str">
            <v>PT</v>
          </cell>
          <cell r="C666" t="str">
            <v>PT</v>
          </cell>
          <cell r="D666" t="str">
            <v>PT</v>
          </cell>
          <cell r="E666" t="str">
            <v>PT</v>
          </cell>
          <cell r="F666" t="str">
            <v>PT</v>
          </cell>
          <cell r="H666" t="str">
            <v>PLNT</v>
          </cell>
          <cell r="I666" t="str">
            <v>PLNT</v>
          </cell>
          <cell r="J666" t="str">
            <v>PLNT</v>
          </cell>
          <cell r="K666" t="str">
            <v>PLNT</v>
          </cell>
          <cell r="L666" t="str">
            <v>PLNT</v>
          </cell>
        </row>
        <row r="667">
          <cell r="B667" t="str">
            <v>P</v>
          </cell>
          <cell r="C667" t="str">
            <v>P</v>
          </cell>
          <cell r="D667" t="str">
            <v>P</v>
          </cell>
          <cell r="E667" t="str">
            <v>P</v>
          </cell>
          <cell r="F667" t="str">
            <v>P</v>
          </cell>
          <cell r="H667" t="str">
            <v>PLNT</v>
          </cell>
          <cell r="I667" t="str">
            <v>PLNT</v>
          </cell>
          <cell r="J667" t="str">
            <v>PLNT</v>
          </cell>
          <cell r="K667" t="str">
            <v>PLNT</v>
          </cell>
          <cell r="L667" t="str">
            <v>PLNT</v>
          </cell>
        </row>
        <row r="668">
          <cell r="B668" t="str">
            <v>PTD</v>
          </cell>
          <cell r="C668" t="str">
            <v>PTD</v>
          </cell>
          <cell r="D668" t="str">
            <v>PTD</v>
          </cell>
          <cell r="E668" t="str">
            <v>PTD</v>
          </cell>
          <cell r="F668" t="str">
            <v>PTD</v>
          </cell>
          <cell r="H668" t="str">
            <v>PLNT</v>
          </cell>
          <cell r="I668" t="str">
            <v>PLNT</v>
          </cell>
          <cell r="J668" t="str">
            <v>PLNT</v>
          </cell>
          <cell r="K668" t="str">
            <v>PLNT</v>
          </cell>
          <cell r="L668" t="str">
            <v>PLNT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B672" t="str">
            <v>PTD</v>
          </cell>
          <cell r="C672" t="str">
            <v>PTD</v>
          </cell>
          <cell r="D672" t="str">
            <v>PTD</v>
          </cell>
          <cell r="E672" t="str">
            <v>PTD</v>
          </cell>
          <cell r="F672" t="str">
            <v>PTD</v>
          </cell>
          <cell r="H672" t="str">
            <v>PLNT</v>
          </cell>
          <cell r="I672" t="str">
            <v>PLNT</v>
          </cell>
          <cell r="J672" t="str">
            <v>PLNT</v>
          </cell>
          <cell r="K672" t="str">
            <v>PLNT</v>
          </cell>
          <cell r="L672" t="str">
            <v>PLNT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B676" t="str">
            <v>LABOR</v>
          </cell>
          <cell r="C676" t="str">
            <v>LABOR</v>
          </cell>
          <cell r="D676" t="str">
            <v>LABOR</v>
          </cell>
          <cell r="E676" t="str">
            <v>LABOR</v>
          </cell>
          <cell r="F676" t="str">
            <v>LABOR</v>
          </cell>
          <cell r="H676" t="str">
            <v>DISom</v>
          </cell>
          <cell r="I676" t="str">
            <v>DISom</v>
          </cell>
          <cell r="J676" t="str">
            <v>DISom</v>
          </cell>
          <cell r="K676" t="str">
            <v>DISom</v>
          </cell>
          <cell r="L676" t="str">
            <v>DISom</v>
          </cell>
        </row>
        <row r="677">
          <cell r="B677" t="str">
            <v>CUST</v>
          </cell>
          <cell r="C677" t="str">
            <v>CUST</v>
          </cell>
          <cell r="D677" t="str">
            <v>CUST</v>
          </cell>
          <cell r="E677" t="str">
            <v>CUST</v>
          </cell>
          <cell r="F677" t="str">
            <v>CUST</v>
          </cell>
          <cell r="H677" t="str">
            <v>CUST</v>
          </cell>
          <cell r="I677" t="str">
            <v>CUST</v>
          </cell>
          <cell r="J677" t="str">
            <v>CUST</v>
          </cell>
          <cell r="K677" t="str">
            <v>CUST</v>
          </cell>
          <cell r="L677" t="str">
            <v>CUST</v>
          </cell>
        </row>
        <row r="678">
          <cell r="B678" t="str">
            <v>LABOR</v>
          </cell>
          <cell r="C678" t="str">
            <v>LABOR</v>
          </cell>
          <cell r="D678" t="str">
            <v>LABOR</v>
          </cell>
          <cell r="E678" t="str">
            <v>LABOR</v>
          </cell>
          <cell r="F678" t="str">
            <v>LABOR</v>
          </cell>
          <cell r="H678" t="str">
            <v>DISom</v>
          </cell>
          <cell r="I678" t="str">
            <v>DISom</v>
          </cell>
          <cell r="J678" t="str">
            <v>DISom</v>
          </cell>
          <cell r="K678" t="str">
            <v>DISom</v>
          </cell>
          <cell r="L678" t="str">
            <v>DISom</v>
          </cell>
        </row>
        <row r="679"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B682" t="str">
            <v>DMSC</v>
          </cell>
          <cell r="C682" t="str">
            <v>DMSC</v>
          </cell>
          <cell r="D682" t="str">
            <v>DMSC</v>
          </cell>
          <cell r="E682" t="str">
            <v>DMSC</v>
          </cell>
          <cell r="F682" t="str">
            <v>DMSC</v>
          </cell>
          <cell r="H682" t="str">
            <v>MISC</v>
          </cell>
          <cell r="I682" t="str">
            <v>MISC</v>
          </cell>
          <cell r="J682" t="str">
            <v>MISC</v>
          </cell>
          <cell r="K682" t="str">
            <v>MISC</v>
          </cell>
          <cell r="L682" t="str">
            <v>MISC</v>
          </cell>
        </row>
        <row r="683">
          <cell r="B683" t="str">
            <v>DMSC</v>
          </cell>
          <cell r="C683" t="str">
            <v>DMSC</v>
          </cell>
          <cell r="D683" t="str">
            <v>DMSC</v>
          </cell>
          <cell r="E683" t="str">
            <v>DMSC</v>
          </cell>
          <cell r="F683" t="str">
            <v>DMSC</v>
          </cell>
          <cell r="H683" t="str">
            <v>MISC</v>
          </cell>
          <cell r="I683" t="str">
            <v>MISC</v>
          </cell>
          <cell r="J683" t="str">
            <v>MISC</v>
          </cell>
          <cell r="K683" t="str">
            <v>MISC</v>
          </cell>
          <cell r="L683" t="str">
            <v>MISC</v>
          </cell>
        </row>
        <row r="684"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B687" t="str">
            <v>DMSC</v>
          </cell>
          <cell r="C687" t="str">
            <v>DMSC</v>
          </cell>
          <cell r="D687" t="str">
            <v>DMSC</v>
          </cell>
          <cell r="E687" t="str">
            <v>DMSC</v>
          </cell>
          <cell r="F687" t="str">
            <v>DMSC</v>
          </cell>
          <cell r="H687" t="str">
            <v>MISC</v>
          </cell>
          <cell r="I687" t="str">
            <v>MISC</v>
          </cell>
          <cell r="J687" t="str">
            <v>MISC</v>
          </cell>
          <cell r="K687" t="str">
            <v>MISC</v>
          </cell>
          <cell r="L687" t="str">
            <v>MISC</v>
          </cell>
        </row>
        <row r="688">
          <cell r="B688" t="str">
            <v>P</v>
          </cell>
          <cell r="C688" t="str">
            <v>P</v>
          </cell>
          <cell r="D688" t="str">
            <v>P</v>
          </cell>
          <cell r="E688" t="str">
            <v>P</v>
          </cell>
          <cell r="F688" t="str">
            <v>P</v>
          </cell>
          <cell r="H688" t="str">
            <v>MISC</v>
          </cell>
          <cell r="I688" t="str">
            <v>MISC</v>
          </cell>
          <cell r="J688" t="str">
            <v>MISC</v>
          </cell>
          <cell r="K688" t="str">
            <v>MISC</v>
          </cell>
          <cell r="L688" t="str">
            <v>MISC</v>
          </cell>
        </row>
        <row r="689">
          <cell r="B689" t="str">
            <v>DMSC</v>
          </cell>
          <cell r="C689" t="str">
            <v>DMSC</v>
          </cell>
          <cell r="D689" t="str">
            <v>DMSC</v>
          </cell>
          <cell r="E689" t="str">
            <v>DMSC</v>
          </cell>
          <cell r="F689" t="str">
            <v>DMSC</v>
          </cell>
          <cell r="H689" t="str">
            <v>MISC</v>
          </cell>
          <cell r="I689" t="str">
            <v>MISC</v>
          </cell>
          <cell r="J689" t="str">
            <v>MISC</v>
          </cell>
          <cell r="K689" t="str">
            <v>MISC</v>
          </cell>
          <cell r="L689" t="str">
            <v>MISC</v>
          </cell>
        </row>
        <row r="690">
          <cell r="B690" t="str">
            <v>FERC</v>
          </cell>
          <cell r="C690" t="str">
            <v>FERC</v>
          </cell>
          <cell r="D690" t="str">
            <v>FERC</v>
          </cell>
          <cell r="E690" t="str">
            <v>FERC</v>
          </cell>
          <cell r="F690" t="str">
            <v>FERC</v>
          </cell>
          <cell r="H690" t="str">
            <v>MISC</v>
          </cell>
          <cell r="I690" t="str">
            <v>MISC</v>
          </cell>
          <cell r="J690" t="str">
            <v>MISC</v>
          </cell>
          <cell r="K690" t="str">
            <v>MISC</v>
          </cell>
          <cell r="L690" t="str">
            <v>MISC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B693" t="str">
            <v>DMSC</v>
          </cell>
          <cell r="C693" t="str">
            <v>DMSC</v>
          </cell>
          <cell r="D693" t="str">
            <v>DMSC</v>
          </cell>
          <cell r="E693" t="str">
            <v>DMSC</v>
          </cell>
          <cell r="F693" t="str">
            <v>DMSC</v>
          </cell>
          <cell r="H693" t="str">
            <v>MISC</v>
          </cell>
          <cell r="I693" t="str">
            <v>MISC</v>
          </cell>
          <cell r="J693" t="str">
            <v>MISC</v>
          </cell>
          <cell r="K693" t="str">
            <v>MISC</v>
          </cell>
          <cell r="L693" t="str">
            <v>MISC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B696" t="str">
            <v>LABOR</v>
          </cell>
          <cell r="C696" t="str">
            <v>LABOR</v>
          </cell>
          <cell r="D696" t="str">
            <v>LABOR</v>
          </cell>
          <cell r="E696" t="str">
            <v>LABOR</v>
          </cell>
          <cell r="F696" t="str">
            <v>LABOR</v>
          </cell>
          <cell r="H696" t="str">
            <v>DISom</v>
          </cell>
          <cell r="I696" t="str">
            <v>DISom</v>
          </cell>
          <cell r="J696" t="str">
            <v>DISom</v>
          </cell>
          <cell r="K696" t="str">
            <v>DISom</v>
          </cell>
          <cell r="L696" t="str">
            <v>DISom</v>
          </cell>
        </row>
        <row r="697">
          <cell r="B697" t="str">
            <v>LABOR</v>
          </cell>
          <cell r="C697" t="str">
            <v>LABOR</v>
          </cell>
          <cell r="D697" t="str">
            <v>LABOR</v>
          </cell>
          <cell r="E697" t="str">
            <v>LABOR</v>
          </cell>
          <cell r="F697" t="str">
            <v>LABOR</v>
          </cell>
          <cell r="H697" t="str">
            <v>DISom</v>
          </cell>
          <cell r="I697" t="str">
            <v>DISom</v>
          </cell>
          <cell r="J697" t="str">
            <v>DISom</v>
          </cell>
          <cell r="K697" t="str">
            <v>DISom</v>
          </cell>
          <cell r="L697" t="str">
            <v>DISom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B701" t="str">
            <v>PTD</v>
          </cell>
          <cell r="C701" t="str">
            <v>PTD</v>
          </cell>
          <cell r="D701" t="str">
            <v>PTD</v>
          </cell>
          <cell r="E701" t="str">
            <v>PTD</v>
          </cell>
          <cell r="F701" t="str">
            <v>PTD</v>
          </cell>
          <cell r="H701" t="str">
            <v>PLNT</v>
          </cell>
          <cell r="I701" t="str">
            <v>PLNT</v>
          </cell>
          <cell r="J701" t="str">
            <v>PLNT</v>
          </cell>
          <cell r="K701" t="str">
            <v>PLNT</v>
          </cell>
          <cell r="L701" t="str">
            <v>PLNT</v>
          </cell>
        </row>
        <row r="702">
          <cell r="B702" t="str">
            <v>CUST</v>
          </cell>
          <cell r="C702" t="str">
            <v>CUST</v>
          </cell>
          <cell r="D702" t="str">
            <v>CUST</v>
          </cell>
          <cell r="E702" t="str">
            <v>CUST</v>
          </cell>
          <cell r="F702" t="str">
            <v>CUST</v>
          </cell>
          <cell r="H702" t="str">
            <v>CUST</v>
          </cell>
          <cell r="I702" t="str">
            <v>CUST</v>
          </cell>
          <cell r="J702" t="str">
            <v>CUST</v>
          </cell>
          <cell r="K702" t="str">
            <v>CUST</v>
          </cell>
          <cell r="L702" t="str">
            <v>CUST</v>
          </cell>
        </row>
        <row r="703">
          <cell r="B703" t="str">
            <v>LABOR</v>
          </cell>
          <cell r="C703" t="str">
            <v>LABOR</v>
          </cell>
          <cell r="D703" t="str">
            <v>LABOR</v>
          </cell>
          <cell r="E703" t="str">
            <v>LABOR</v>
          </cell>
          <cell r="F703" t="str">
            <v>LABOR</v>
          </cell>
          <cell r="H703" t="str">
            <v>DISom</v>
          </cell>
          <cell r="I703" t="str">
            <v>DISom</v>
          </cell>
          <cell r="J703" t="str">
            <v>DISom</v>
          </cell>
          <cell r="K703" t="str">
            <v>DISom</v>
          </cell>
          <cell r="L703" t="str">
            <v>DISom</v>
          </cell>
        </row>
        <row r="704"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B707" t="str">
            <v>PTD</v>
          </cell>
          <cell r="C707" t="str">
            <v>PTD</v>
          </cell>
          <cell r="D707" t="str">
            <v>PTD</v>
          </cell>
          <cell r="E707" t="str">
            <v>PTD</v>
          </cell>
          <cell r="F707" t="str">
            <v>PTD</v>
          </cell>
          <cell r="H707" t="str">
            <v>PLNT</v>
          </cell>
          <cell r="I707" t="str">
            <v>PLNT</v>
          </cell>
          <cell r="J707" t="str">
            <v>PLNT</v>
          </cell>
          <cell r="K707" t="str">
            <v>PLNT</v>
          </cell>
          <cell r="L707" t="str">
            <v>PLNT</v>
          </cell>
        </row>
        <row r="708">
          <cell r="B708" t="str">
            <v>PTD</v>
          </cell>
          <cell r="C708" t="str">
            <v>PTD</v>
          </cell>
          <cell r="D708" t="str">
            <v>PTD</v>
          </cell>
          <cell r="E708" t="str">
            <v>PTD</v>
          </cell>
          <cell r="F708" t="str">
            <v>PTD</v>
          </cell>
          <cell r="H708" t="str">
            <v>PLNT</v>
          </cell>
          <cell r="I708" t="str">
            <v>PLNT</v>
          </cell>
          <cell r="J708" t="str">
            <v>PLNT</v>
          </cell>
          <cell r="K708" t="str">
            <v>PLNT</v>
          </cell>
          <cell r="L708" t="str">
            <v>PLNT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B712" t="str">
            <v>G</v>
          </cell>
          <cell r="C712" t="str">
            <v>G</v>
          </cell>
          <cell r="D712" t="str">
            <v>G</v>
          </cell>
          <cell r="E712" t="str">
            <v>G</v>
          </cell>
          <cell r="F712" t="str">
            <v>G</v>
          </cell>
          <cell r="H712" t="str">
            <v>GENL</v>
          </cell>
          <cell r="I712" t="str">
            <v>GENL</v>
          </cell>
          <cell r="J712" t="str">
            <v>GENL</v>
          </cell>
          <cell r="K712" t="str">
            <v>GENL</v>
          </cell>
          <cell r="L712" t="str">
            <v>GENL</v>
          </cell>
        </row>
        <row r="713">
          <cell r="B713" t="str">
            <v>CUST</v>
          </cell>
          <cell r="C713" t="str">
            <v>CUST</v>
          </cell>
          <cell r="D713" t="str">
            <v>CUST</v>
          </cell>
          <cell r="E713" t="str">
            <v>CUST</v>
          </cell>
          <cell r="F713" t="str">
            <v>CUST</v>
          </cell>
          <cell r="H713" t="str">
            <v>CUST</v>
          </cell>
          <cell r="I713" t="str">
            <v>CUST</v>
          </cell>
          <cell r="J713" t="str">
            <v>CUST</v>
          </cell>
          <cell r="K713" t="str">
            <v>CUST</v>
          </cell>
          <cell r="L713" t="str">
            <v>CUST</v>
          </cell>
        </row>
        <row r="714">
          <cell r="B714" t="str">
            <v>G</v>
          </cell>
          <cell r="C714" t="str">
            <v>G</v>
          </cell>
          <cell r="D714" t="str">
            <v>G</v>
          </cell>
          <cell r="E714" t="str">
            <v>G</v>
          </cell>
          <cell r="F714" t="str">
            <v>G</v>
          </cell>
          <cell r="H714" t="str">
            <v>GENL</v>
          </cell>
          <cell r="I714" t="str">
            <v>GENL</v>
          </cell>
          <cell r="J714" t="str">
            <v>GENL</v>
          </cell>
          <cell r="K714" t="str">
            <v>GENL</v>
          </cell>
          <cell r="L714" t="str">
            <v>GENL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B723" t="str">
            <v>P</v>
          </cell>
          <cell r="C723" t="str">
            <v>P</v>
          </cell>
          <cell r="D723" t="str">
            <v>P</v>
          </cell>
          <cell r="E723" t="str">
            <v>P</v>
          </cell>
          <cell r="F723" t="str">
            <v>P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B724" t="str">
            <v>P</v>
          </cell>
          <cell r="C724" t="str">
            <v>P</v>
          </cell>
          <cell r="D724" t="str">
            <v>P</v>
          </cell>
          <cell r="E724" t="str">
            <v>P</v>
          </cell>
          <cell r="F724" t="str">
            <v>P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B725" t="str">
            <v>P</v>
          </cell>
          <cell r="C725" t="str">
            <v>P</v>
          </cell>
          <cell r="D725" t="str">
            <v>P</v>
          </cell>
          <cell r="E725" t="str">
            <v>P</v>
          </cell>
          <cell r="F725" t="str">
            <v>P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B726" t="str">
            <v>P</v>
          </cell>
          <cell r="C726" t="str">
            <v>P</v>
          </cell>
          <cell r="D726" t="str">
            <v>P</v>
          </cell>
          <cell r="E726" t="str">
            <v>P</v>
          </cell>
          <cell r="F726" t="str">
            <v>P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B730" t="str">
            <v>P</v>
          </cell>
          <cell r="C730" t="str">
            <v>P</v>
          </cell>
          <cell r="D730" t="str">
            <v>P</v>
          </cell>
          <cell r="E730" t="str">
            <v>P</v>
          </cell>
          <cell r="F730" t="str">
            <v>P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B734" t="str">
            <v>P</v>
          </cell>
          <cell r="C734" t="str">
            <v>P</v>
          </cell>
          <cell r="D734" t="str">
            <v>P</v>
          </cell>
          <cell r="E734" t="str">
            <v>P</v>
          </cell>
          <cell r="F734" t="str">
            <v>P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B735" t="str">
            <v>P</v>
          </cell>
          <cell r="C735" t="str">
            <v>P</v>
          </cell>
          <cell r="D735" t="str">
            <v>P</v>
          </cell>
          <cell r="E735" t="str">
            <v>P</v>
          </cell>
          <cell r="F735" t="str">
            <v>P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B736" t="str">
            <v>P</v>
          </cell>
          <cell r="C736" t="str">
            <v>P</v>
          </cell>
          <cell r="D736" t="str">
            <v>P</v>
          </cell>
          <cell r="E736" t="str">
            <v>P</v>
          </cell>
          <cell r="F736" t="str">
            <v>P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B737" t="str">
            <v>P</v>
          </cell>
          <cell r="C737" t="str">
            <v>P</v>
          </cell>
          <cell r="D737" t="str">
            <v>P</v>
          </cell>
          <cell r="E737" t="str">
            <v>P</v>
          </cell>
          <cell r="F737" t="str">
            <v>P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B741" t="str">
            <v>P</v>
          </cell>
          <cell r="C741" t="str">
            <v>P</v>
          </cell>
          <cell r="D741" t="str">
            <v>P</v>
          </cell>
          <cell r="E741" t="str">
            <v>P</v>
          </cell>
          <cell r="F741" t="str">
            <v>P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B742" t="str">
            <v>P</v>
          </cell>
          <cell r="C742" t="str">
            <v>P</v>
          </cell>
          <cell r="D742" t="str">
            <v>P</v>
          </cell>
          <cell r="E742" t="str">
            <v>P</v>
          </cell>
          <cell r="F742" t="str">
            <v>P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B743" t="str">
            <v>P</v>
          </cell>
          <cell r="C743" t="str">
            <v>P</v>
          </cell>
          <cell r="D743" t="str">
            <v>P</v>
          </cell>
          <cell r="E743" t="str">
            <v>P</v>
          </cell>
          <cell r="F743" t="str">
            <v>P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B744" t="str">
            <v>P</v>
          </cell>
          <cell r="C744" t="str">
            <v>P</v>
          </cell>
          <cell r="D744" t="str">
            <v>P</v>
          </cell>
          <cell r="E744" t="str">
            <v>P</v>
          </cell>
          <cell r="F744" t="str">
            <v>P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B748" t="str">
            <v>T</v>
          </cell>
          <cell r="C748" t="str">
            <v>T</v>
          </cell>
          <cell r="D748" t="str">
            <v>T</v>
          </cell>
          <cell r="E748" t="str">
            <v>T</v>
          </cell>
          <cell r="F748" t="str">
            <v>T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B749" t="str">
            <v>T</v>
          </cell>
          <cell r="C749" t="str">
            <v>T</v>
          </cell>
          <cell r="D749" t="str">
            <v>T</v>
          </cell>
          <cell r="E749" t="str">
            <v>T</v>
          </cell>
          <cell r="F749" t="str">
            <v>T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B750" t="str">
            <v>T</v>
          </cell>
          <cell r="C750" t="str">
            <v>T</v>
          </cell>
          <cell r="D750" t="str">
            <v>T</v>
          </cell>
          <cell r="E750" t="str">
            <v>T</v>
          </cell>
          <cell r="F750" t="str">
            <v>T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B754" t="str">
            <v>DPW</v>
          </cell>
          <cell r="C754" t="str">
            <v>DPW</v>
          </cell>
          <cell r="D754" t="str">
            <v>DPW</v>
          </cell>
          <cell r="E754" t="str">
            <v>DPW</v>
          </cell>
          <cell r="F754" t="str">
            <v>DPW</v>
          </cell>
          <cell r="H754" t="str">
            <v>PLNT2</v>
          </cell>
          <cell r="I754" t="str">
            <v>PLNT2</v>
          </cell>
          <cell r="J754" t="str">
            <v>PLNT2</v>
          </cell>
          <cell r="K754" t="str">
            <v>PLNT2</v>
          </cell>
          <cell r="L754" t="str">
            <v>PLNT2</v>
          </cell>
        </row>
        <row r="755">
          <cell r="B755" t="str">
            <v>DPW</v>
          </cell>
          <cell r="C755" t="str">
            <v>DPW</v>
          </cell>
          <cell r="D755" t="str">
            <v>DPW</v>
          </cell>
          <cell r="E755" t="str">
            <v>DPW</v>
          </cell>
          <cell r="F755" t="str">
            <v>DPW</v>
          </cell>
          <cell r="H755" t="str">
            <v>PLNT2</v>
          </cell>
          <cell r="I755" t="str">
            <v>PLNT2</v>
          </cell>
          <cell r="J755" t="str">
            <v>PLNT2</v>
          </cell>
          <cell r="K755" t="str">
            <v>PLNT2</v>
          </cell>
          <cell r="L755" t="str">
            <v>PLNT2</v>
          </cell>
        </row>
        <row r="756">
          <cell r="B756" t="str">
            <v>DPW</v>
          </cell>
          <cell r="C756" t="str">
            <v>DPW</v>
          </cell>
          <cell r="D756" t="str">
            <v>DPW</v>
          </cell>
          <cell r="E756" t="str">
            <v>DPW</v>
          </cell>
          <cell r="F756" t="str">
            <v>DPW</v>
          </cell>
          <cell r="H756" t="str">
            <v>SUBS</v>
          </cell>
          <cell r="I756" t="str">
            <v>SUBS</v>
          </cell>
          <cell r="J756" t="str">
            <v>SUBS</v>
          </cell>
          <cell r="K756" t="str">
            <v>SUBS</v>
          </cell>
          <cell r="L756" t="str">
            <v>SUBS</v>
          </cell>
        </row>
        <row r="757">
          <cell r="B757" t="str">
            <v>DPW</v>
          </cell>
          <cell r="C757" t="str">
            <v>DPW</v>
          </cell>
          <cell r="D757" t="str">
            <v>DPW</v>
          </cell>
          <cell r="E757" t="str">
            <v>DPW</v>
          </cell>
          <cell r="F757" t="str">
            <v>DPW</v>
          </cell>
          <cell r="H757" t="str">
            <v>SUBS</v>
          </cell>
          <cell r="I757" t="str">
            <v>SUBS</v>
          </cell>
          <cell r="J757" t="str">
            <v>SUBS</v>
          </cell>
          <cell r="K757" t="str">
            <v>SUBS</v>
          </cell>
          <cell r="L757" t="str">
            <v>SUBS</v>
          </cell>
        </row>
        <row r="758">
          <cell r="B758" t="str">
            <v>DPW</v>
          </cell>
          <cell r="C758" t="str">
            <v>DPW</v>
          </cell>
          <cell r="D758" t="str">
            <v>DPW</v>
          </cell>
          <cell r="E758" t="str">
            <v>DPW</v>
          </cell>
          <cell r="F758" t="str">
            <v>DPW</v>
          </cell>
          <cell r="H758" t="str">
            <v>PC</v>
          </cell>
          <cell r="I758" t="str">
            <v>PC</v>
          </cell>
          <cell r="J758" t="str">
            <v>PC</v>
          </cell>
          <cell r="K758" t="str">
            <v>PC</v>
          </cell>
          <cell r="L758" t="str">
            <v>PC</v>
          </cell>
        </row>
        <row r="759">
          <cell r="B759" t="str">
            <v>DPW</v>
          </cell>
          <cell r="C759" t="str">
            <v>DPW</v>
          </cell>
          <cell r="D759" t="str">
            <v>DPW</v>
          </cell>
          <cell r="E759" t="str">
            <v>DPW</v>
          </cell>
          <cell r="F759" t="str">
            <v>DPW</v>
          </cell>
          <cell r="H759" t="str">
            <v>PC</v>
          </cell>
          <cell r="I759" t="str">
            <v>PC</v>
          </cell>
          <cell r="J759" t="str">
            <v>PC</v>
          </cell>
          <cell r="K759" t="str">
            <v>PC</v>
          </cell>
          <cell r="L759" t="str">
            <v>PC</v>
          </cell>
        </row>
        <row r="760">
          <cell r="B760" t="str">
            <v>DPW</v>
          </cell>
          <cell r="C760" t="str">
            <v>DPW</v>
          </cell>
          <cell r="D760" t="str">
            <v>DPW</v>
          </cell>
          <cell r="E760" t="str">
            <v>DPW</v>
          </cell>
          <cell r="F760" t="str">
            <v>DPW</v>
          </cell>
          <cell r="H760" t="str">
            <v>PC</v>
          </cell>
          <cell r="I760" t="str">
            <v>PC</v>
          </cell>
          <cell r="J760" t="str">
            <v>PC</v>
          </cell>
          <cell r="K760" t="str">
            <v>PC</v>
          </cell>
          <cell r="L760" t="str">
            <v>PC</v>
          </cell>
        </row>
        <row r="761">
          <cell r="B761" t="str">
            <v>DPW</v>
          </cell>
          <cell r="C761" t="str">
            <v>DPW</v>
          </cell>
          <cell r="D761" t="str">
            <v>DPW</v>
          </cell>
          <cell r="E761" t="str">
            <v>DPW</v>
          </cell>
          <cell r="F761" t="str">
            <v>DPW</v>
          </cell>
          <cell r="H761" t="str">
            <v>PC</v>
          </cell>
          <cell r="I761" t="str">
            <v>PC</v>
          </cell>
          <cell r="J761" t="str">
            <v>PC</v>
          </cell>
          <cell r="K761" t="str">
            <v>PC</v>
          </cell>
          <cell r="L761" t="str">
            <v>PC</v>
          </cell>
        </row>
        <row r="762">
          <cell r="B762" t="str">
            <v>DPW</v>
          </cell>
          <cell r="C762" t="str">
            <v>DPW</v>
          </cell>
          <cell r="D762" t="str">
            <v>DPW</v>
          </cell>
          <cell r="E762" t="str">
            <v>DPW</v>
          </cell>
          <cell r="F762" t="str">
            <v>DPW</v>
          </cell>
          <cell r="H762" t="str">
            <v>XFMR</v>
          </cell>
          <cell r="I762" t="str">
            <v>XFMR</v>
          </cell>
          <cell r="J762" t="str">
            <v>XFMR</v>
          </cell>
          <cell r="K762" t="str">
            <v>XFMR</v>
          </cell>
          <cell r="L762" t="str">
            <v>XFMR</v>
          </cell>
        </row>
        <row r="763">
          <cell r="B763" t="str">
            <v>DPW</v>
          </cell>
          <cell r="C763" t="str">
            <v>DPW</v>
          </cell>
          <cell r="D763" t="str">
            <v>DPW</v>
          </cell>
          <cell r="E763" t="str">
            <v>DPW</v>
          </cell>
          <cell r="F763" t="str">
            <v>DPW</v>
          </cell>
          <cell r="H763" t="str">
            <v>SERV</v>
          </cell>
          <cell r="I763" t="str">
            <v>SERV</v>
          </cell>
          <cell r="J763" t="str">
            <v>SERV</v>
          </cell>
          <cell r="K763" t="str">
            <v>SERV</v>
          </cell>
          <cell r="L763" t="str">
            <v>SERV</v>
          </cell>
        </row>
        <row r="764">
          <cell r="B764" t="str">
            <v>DPW</v>
          </cell>
          <cell r="C764" t="str">
            <v>DPW</v>
          </cell>
          <cell r="D764" t="str">
            <v>DPW</v>
          </cell>
          <cell r="E764" t="str">
            <v>DPW</v>
          </cell>
          <cell r="F764" t="str">
            <v>DPW</v>
          </cell>
          <cell r="H764" t="str">
            <v>METR</v>
          </cell>
          <cell r="I764" t="str">
            <v>METR</v>
          </cell>
          <cell r="J764" t="str">
            <v>METR</v>
          </cell>
          <cell r="K764" t="str">
            <v>METR</v>
          </cell>
          <cell r="L764" t="str">
            <v>METR</v>
          </cell>
        </row>
        <row r="765">
          <cell r="B765" t="str">
            <v>DPW</v>
          </cell>
          <cell r="C765" t="str">
            <v>DPW</v>
          </cell>
          <cell r="D765" t="str">
            <v>DPW</v>
          </cell>
          <cell r="E765" t="str">
            <v>DPW</v>
          </cell>
          <cell r="F765" t="str">
            <v>DPW</v>
          </cell>
          <cell r="H765" t="str">
            <v>PC</v>
          </cell>
          <cell r="I765" t="str">
            <v>PC</v>
          </cell>
          <cell r="J765" t="str">
            <v>PC</v>
          </cell>
          <cell r="K765" t="str">
            <v>PC</v>
          </cell>
          <cell r="L765" t="str">
            <v>PC</v>
          </cell>
        </row>
        <row r="766">
          <cell r="B766" t="str">
            <v>DPW</v>
          </cell>
          <cell r="C766" t="str">
            <v>DPW</v>
          </cell>
          <cell r="D766" t="str">
            <v>DPW</v>
          </cell>
          <cell r="E766" t="str">
            <v>DPW</v>
          </cell>
          <cell r="F766" t="str">
            <v>DPW</v>
          </cell>
          <cell r="H766" t="str">
            <v>PLNT2</v>
          </cell>
          <cell r="I766" t="str">
            <v>PLNT2</v>
          </cell>
          <cell r="J766" t="str">
            <v>PLNT2</v>
          </cell>
          <cell r="K766" t="str">
            <v>PLNT2</v>
          </cell>
          <cell r="L766" t="str">
            <v>PLNT2</v>
          </cell>
        </row>
        <row r="767">
          <cell r="B767" t="str">
            <v>DPW</v>
          </cell>
          <cell r="C767" t="str">
            <v>DPW</v>
          </cell>
          <cell r="D767" t="str">
            <v>DPW</v>
          </cell>
          <cell r="E767" t="str">
            <v>DPW</v>
          </cell>
          <cell r="F767" t="str">
            <v>DPW</v>
          </cell>
          <cell r="H767" t="str">
            <v>PC</v>
          </cell>
          <cell r="I767" t="str">
            <v>PC</v>
          </cell>
          <cell r="J767" t="str">
            <v>PC</v>
          </cell>
          <cell r="K767" t="str">
            <v>PC</v>
          </cell>
          <cell r="L767" t="str">
            <v>PC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B771" t="str">
            <v>G-SITUS</v>
          </cell>
          <cell r="C771" t="str">
            <v>G-SITUS</v>
          </cell>
          <cell r="D771" t="str">
            <v>G-SITUS</v>
          </cell>
          <cell r="E771" t="str">
            <v>G-SITUS</v>
          </cell>
          <cell r="F771" t="str">
            <v>G-SITUS</v>
          </cell>
          <cell r="H771" t="str">
            <v>PLNT</v>
          </cell>
          <cell r="I771" t="str">
            <v>PLNT</v>
          </cell>
          <cell r="J771" t="str">
            <v>PLNT</v>
          </cell>
          <cell r="K771" t="str">
            <v>PLNT</v>
          </cell>
          <cell r="L771" t="str">
            <v>PLNT</v>
          </cell>
        </row>
        <row r="772">
          <cell r="B772" t="str">
            <v>G-DGP</v>
          </cell>
          <cell r="C772" t="str">
            <v>G-DGP</v>
          </cell>
          <cell r="D772" t="str">
            <v>G-DGP</v>
          </cell>
          <cell r="E772" t="str">
            <v>G-DGP</v>
          </cell>
          <cell r="F772" t="str">
            <v>G-DGP</v>
          </cell>
          <cell r="H772" t="str">
            <v>PLNT</v>
          </cell>
          <cell r="I772" t="str">
            <v>PLNT</v>
          </cell>
          <cell r="J772" t="str">
            <v>PLNT</v>
          </cell>
          <cell r="K772" t="str">
            <v>PLNT</v>
          </cell>
          <cell r="L772" t="str">
            <v>PLNT</v>
          </cell>
        </row>
        <row r="773">
          <cell r="B773" t="str">
            <v>G-DGU</v>
          </cell>
          <cell r="C773" t="str">
            <v>G-DGU</v>
          </cell>
          <cell r="D773" t="str">
            <v>G-DGU</v>
          </cell>
          <cell r="E773" t="str">
            <v>G-DGU</v>
          </cell>
          <cell r="F773" t="str">
            <v>G-DGU</v>
          </cell>
          <cell r="H773" t="str">
            <v>PLNT</v>
          </cell>
          <cell r="I773" t="str">
            <v>PLNT</v>
          </cell>
          <cell r="J773" t="str">
            <v>PLNT</v>
          </cell>
          <cell r="K773" t="str">
            <v>PLNT</v>
          </cell>
          <cell r="L773" t="str">
            <v>PLNT</v>
          </cell>
        </row>
        <row r="774">
          <cell r="B774" t="str">
            <v>P</v>
          </cell>
          <cell r="C774" t="str">
            <v>P</v>
          </cell>
          <cell r="D774" t="str">
            <v>P</v>
          </cell>
          <cell r="E774" t="str">
            <v>P</v>
          </cell>
          <cell r="F774" t="str">
            <v>P</v>
          </cell>
          <cell r="H774" t="str">
            <v>PLNT</v>
          </cell>
          <cell r="I774" t="str">
            <v>PLNT</v>
          </cell>
          <cell r="J774" t="str">
            <v>PLNT</v>
          </cell>
          <cell r="K774" t="str">
            <v>PLNT</v>
          </cell>
          <cell r="L774" t="str">
            <v>PLNT</v>
          </cell>
        </row>
        <row r="775">
          <cell r="B775" t="str">
            <v>CUST</v>
          </cell>
          <cell r="C775" t="str">
            <v>CUST</v>
          </cell>
          <cell r="D775" t="str">
            <v>CUST</v>
          </cell>
          <cell r="E775" t="str">
            <v>CUST</v>
          </cell>
          <cell r="F775" t="str">
            <v>CUST</v>
          </cell>
          <cell r="H775" t="str">
            <v>CUST</v>
          </cell>
          <cell r="I775" t="str">
            <v>CUST</v>
          </cell>
          <cell r="J775" t="str">
            <v>CUST</v>
          </cell>
          <cell r="K775" t="str">
            <v>CUST</v>
          </cell>
          <cell r="L775" t="str">
            <v>CUST</v>
          </cell>
        </row>
        <row r="776">
          <cell r="B776" t="str">
            <v>G-SG</v>
          </cell>
          <cell r="C776" t="str">
            <v>G-SG</v>
          </cell>
          <cell r="D776" t="str">
            <v>G-SG</v>
          </cell>
          <cell r="E776" t="str">
            <v>G-SG</v>
          </cell>
          <cell r="F776" t="str">
            <v>G-SG</v>
          </cell>
          <cell r="H776" t="str">
            <v>PLNT</v>
          </cell>
          <cell r="I776" t="str">
            <v>PLNT</v>
          </cell>
          <cell r="J776" t="str">
            <v>PLNT</v>
          </cell>
          <cell r="K776" t="str">
            <v>PLNT</v>
          </cell>
          <cell r="L776" t="str">
            <v>PLNT</v>
          </cell>
        </row>
        <row r="777">
          <cell r="B777" t="str">
            <v>PTD</v>
          </cell>
          <cell r="C777" t="str">
            <v>PTD</v>
          </cell>
          <cell r="D777" t="str">
            <v>PTD</v>
          </cell>
          <cell r="E777" t="str">
            <v>PTD</v>
          </cell>
          <cell r="F777" t="str">
            <v>PTD</v>
          </cell>
          <cell r="H777" t="str">
            <v>PLNT</v>
          </cell>
          <cell r="I777" t="str">
            <v>PLNT</v>
          </cell>
          <cell r="J777" t="str">
            <v>PLNT</v>
          </cell>
          <cell r="K777" t="str">
            <v>PLNT</v>
          </cell>
          <cell r="L777" t="str">
            <v>PLNT</v>
          </cell>
        </row>
        <row r="778">
          <cell r="B778" t="str">
            <v>G-SG</v>
          </cell>
          <cell r="C778" t="str">
            <v>G-SG</v>
          </cell>
          <cell r="D778" t="str">
            <v>G-SG</v>
          </cell>
          <cell r="E778" t="str">
            <v>G-SG</v>
          </cell>
          <cell r="F778" t="str">
            <v>G-SG</v>
          </cell>
          <cell r="H778" t="str">
            <v>PLNT</v>
          </cell>
          <cell r="I778" t="str">
            <v>PLNT</v>
          </cell>
          <cell r="J778" t="str">
            <v>PLNT</v>
          </cell>
          <cell r="K778" t="str">
            <v>PLNT</v>
          </cell>
          <cell r="L778" t="str">
            <v>PLNT</v>
          </cell>
        </row>
        <row r="779">
          <cell r="B779" t="str">
            <v>G-SG</v>
          </cell>
          <cell r="C779" t="str">
            <v>G-SG</v>
          </cell>
          <cell r="D779" t="str">
            <v>G-SG</v>
          </cell>
          <cell r="E779" t="str">
            <v>G-SG</v>
          </cell>
          <cell r="F779" t="str">
            <v>G-SG</v>
          </cell>
          <cell r="H779" t="str">
            <v>PLNT</v>
          </cell>
          <cell r="I779" t="str">
            <v>PLNT</v>
          </cell>
          <cell r="J779" t="str">
            <v>PLNT</v>
          </cell>
          <cell r="K779" t="str">
            <v>PLNT</v>
          </cell>
          <cell r="L779" t="str">
            <v>PLNT</v>
          </cell>
        </row>
        <row r="780"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B783" t="str">
            <v>G-SG</v>
          </cell>
          <cell r="C783" t="str">
            <v>G-SG</v>
          </cell>
          <cell r="D783" t="str">
            <v>G-SG</v>
          </cell>
          <cell r="E783" t="str">
            <v>G-SG</v>
          </cell>
          <cell r="F783" t="str">
            <v>G-SG</v>
          </cell>
          <cell r="H783" t="str">
            <v>PLNT</v>
          </cell>
          <cell r="I783" t="str">
            <v>PLNT</v>
          </cell>
          <cell r="J783" t="str">
            <v>PLNT</v>
          </cell>
          <cell r="K783" t="str">
            <v>PLNT</v>
          </cell>
          <cell r="L783" t="str">
            <v>PLNT</v>
          </cell>
        </row>
        <row r="784"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B787" t="str">
            <v>P</v>
          </cell>
          <cell r="C787" t="str">
            <v>P</v>
          </cell>
          <cell r="D787" t="str">
            <v>P</v>
          </cell>
          <cell r="E787" t="str">
            <v>P</v>
          </cell>
          <cell r="F787" t="str">
            <v>P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B791" t="str">
            <v>P</v>
          </cell>
          <cell r="C791" t="str">
            <v>P</v>
          </cell>
          <cell r="D791" t="str">
            <v>P</v>
          </cell>
          <cell r="E791" t="str">
            <v>P</v>
          </cell>
          <cell r="F791" t="str">
            <v>P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B792" t="str">
            <v>P</v>
          </cell>
          <cell r="C792" t="str">
            <v>P</v>
          </cell>
          <cell r="D792" t="str">
            <v>P</v>
          </cell>
          <cell r="E792" t="str">
            <v>P</v>
          </cell>
          <cell r="F792" t="str">
            <v>P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B798" t="str">
            <v>I-SITUS</v>
          </cell>
          <cell r="C798" t="str">
            <v>I-SITUS</v>
          </cell>
          <cell r="D798" t="str">
            <v>I-SITUS</v>
          </cell>
          <cell r="E798" t="str">
            <v>I-SITUS</v>
          </cell>
          <cell r="F798" t="str">
            <v>I-SITUS</v>
          </cell>
          <cell r="H798" t="str">
            <v>PLNT</v>
          </cell>
          <cell r="I798" t="str">
            <v>PLNT</v>
          </cell>
          <cell r="J798" t="str">
            <v>PLNT</v>
          </cell>
          <cell r="K798" t="str">
            <v>PLNT</v>
          </cell>
          <cell r="L798" t="str">
            <v>PLNT</v>
          </cell>
        </row>
        <row r="799">
          <cell r="B799" t="str">
            <v>I-SG</v>
          </cell>
          <cell r="C799" t="str">
            <v>I-SG</v>
          </cell>
          <cell r="D799" t="str">
            <v>I-SG</v>
          </cell>
          <cell r="E799" t="str">
            <v>I-SG</v>
          </cell>
          <cell r="F799" t="str">
            <v>I-SG</v>
          </cell>
          <cell r="H799" t="str">
            <v>PLNT</v>
          </cell>
          <cell r="I799" t="str">
            <v>PLNT</v>
          </cell>
          <cell r="J799" t="str">
            <v>PLNT</v>
          </cell>
          <cell r="K799" t="str">
            <v>PLNT</v>
          </cell>
          <cell r="L799" t="str">
            <v>PLNT</v>
          </cell>
        </row>
        <row r="800">
          <cell r="B800" t="str">
            <v>PTD</v>
          </cell>
          <cell r="C800" t="str">
            <v>PTD</v>
          </cell>
          <cell r="D800" t="str">
            <v>PTD</v>
          </cell>
          <cell r="E800" t="str">
            <v>PTD</v>
          </cell>
          <cell r="F800" t="str">
            <v>PTD</v>
          </cell>
          <cell r="H800" t="str">
            <v>PLNT</v>
          </cell>
          <cell r="I800" t="str">
            <v>PLNT</v>
          </cell>
          <cell r="J800" t="str">
            <v>PLNT</v>
          </cell>
          <cell r="K800" t="str">
            <v>PLNT</v>
          </cell>
          <cell r="L800" t="str">
            <v>PLNT</v>
          </cell>
        </row>
        <row r="801">
          <cell r="B801" t="str">
            <v>P</v>
          </cell>
          <cell r="C801" t="str">
            <v>P</v>
          </cell>
          <cell r="D801" t="str">
            <v>P</v>
          </cell>
          <cell r="E801" t="str">
            <v>P</v>
          </cell>
          <cell r="F801" t="str">
            <v>P</v>
          </cell>
          <cell r="H801" t="str">
            <v>PLNT</v>
          </cell>
          <cell r="I801" t="str">
            <v>PLNT</v>
          </cell>
          <cell r="J801" t="str">
            <v>PLNT</v>
          </cell>
          <cell r="K801" t="str">
            <v>PLNT</v>
          </cell>
          <cell r="L801" t="str">
            <v>PLNT</v>
          </cell>
        </row>
        <row r="802">
          <cell r="B802" t="str">
            <v>CUST</v>
          </cell>
          <cell r="C802" t="str">
            <v>CUST</v>
          </cell>
          <cell r="D802" t="str">
            <v>CUST</v>
          </cell>
          <cell r="E802" t="str">
            <v>CUST</v>
          </cell>
          <cell r="F802" t="str">
            <v>CUST</v>
          </cell>
          <cell r="H802" t="str">
            <v>CUST</v>
          </cell>
          <cell r="I802" t="str">
            <v>CUST</v>
          </cell>
          <cell r="J802" t="str">
            <v>CUST</v>
          </cell>
          <cell r="K802" t="str">
            <v>CUST</v>
          </cell>
          <cell r="L802" t="str">
            <v>CUST</v>
          </cell>
        </row>
        <row r="803">
          <cell r="B803" t="str">
            <v>P</v>
          </cell>
          <cell r="C803" t="str">
            <v>P</v>
          </cell>
          <cell r="D803" t="str">
            <v>P</v>
          </cell>
          <cell r="E803" t="str">
            <v>P</v>
          </cell>
          <cell r="F803" t="str">
            <v>P</v>
          </cell>
          <cell r="H803" t="str">
            <v>PLNT</v>
          </cell>
          <cell r="I803" t="str">
            <v>PLNT</v>
          </cell>
          <cell r="J803" t="str">
            <v>PLNT</v>
          </cell>
          <cell r="K803" t="str">
            <v>PLNT</v>
          </cell>
          <cell r="L803" t="str">
            <v>PLNT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B807" t="str">
            <v>P</v>
          </cell>
          <cell r="C807" t="str">
            <v>P</v>
          </cell>
          <cell r="D807" t="str">
            <v>P</v>
          </cell>
          <cell r="E807" t="str">
            <v>P</v>
          </cell>
          <cell r="F807" t="str">
            <v>P</v>
          </cell>
          <cell r="H807" t="str">
            <v>DRB</v>
          </cell>
          <cell r="I807" t="str">
            <v>DRB</v>
          </cell>
          <cell r="J807" t="str">
            <v>DRB</v>
          </cell>
          <cell r="K807" t="str">
            <v>DRB</v>
          </cell>
          <cell r="L807" t="str">
            <v>DRB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B811" t="str">
            <v>I-SITUS</v>
          </cell>
          <cell r="C811" t="str">
            <v>I-SITUS</v>
          </cell>
          <cell r="D811" t="str">
            <v>I-SITUS</v>
          </cell>
          <cell r="E811" t="str">
            <v>I-SITUS</v>
          </cell>
          <cell r="F811" t="str">
            <v>I-SITUS</v>
          </cell>
          <cell r="H811" t="str">
            <v>PLNT</v>
          </cell>
          <cell r="I811" t="str">
            <v>PLNT</v>
          </cell>
          <cell r="J811" t="str">
            <v>PLNT</v>
          </cell>
          <cell r="K811" t="str">
            <v>PLNT</v>
          </cell>
          <cell r="L811" t="str">
            <v>PLNT</v>
          </cell>
        </row>
        <row r="812">
          <cell r="B812" t="str">
            <v>P</v>
          </cell>
          <cell r="C812" t="str">
            <v>P</v>
          </cell>
          <cell r="D812" t="str">
            <v>P</v>
          </cell>
          <cell r="E812" t="str">
            <v>P</v>
          </cell>
          <cell r="F812" t="str">
            <v>P</v>
          </cell>
          <cell r="H812" t="str">
            <v>PLNT</v>
          </cell>
          <cell r="I812" t="str">
            <v>PLNT</v>
          </cell>
          <cell r="J812" t="str">
            <v>PLNT</v>
          </cell>
          <cell r="K812" t="str">
            <v>PLNT</v>
          </cell>
          <cell r="L812" t="str">
            <v>PLNT</v>
          </cell>
        </row>
        <row r="813">
          <cell r="B813" t="str">
            <v>I-SG</v>
          </cell>
          <cell r="C813" t="str">
            <v>I-SG</v>
          </cell>
          <cell r="D813" t="str">
            <v>I-SG</v>
          </cell>
          <cell r="E813" t="str">
            <v>I-SG</v>
          </cell>
          <cell r="F813" t="str">
            <v>I-SG</v>
          </cell>
          <cell r="H813" t="str">
            <v>PLNT</v>
          </cell>
          <cell r="I813" t="str">
            <v>PLNT</v>
          </cell>
          <cell r="J813" t="str">
            <v>PLNT</v>
          </cell>
          <cell r="K813" t="str">
            <v>PLNT</v>
          </cell>
          <cell r="L813" t="str">
            <v>PLNT</v>
          </cell>
        </row>
        <row r="814">
          <cell r="B814" t="str">
            <v>PTD</v>
          </cell>
          <cell r="C814" t="str">
            <v>PTD</v>
          </cell>
          <cell r="D814" t="str">
            <v>PTD</v>
          </cell>
          <cell r="E814" t="str">
            <v>PTD</v>
          </cell>
          <cell r="F814" t="str">
            <v>PTD</v>
          </cell>
          <cell r="H814" t="str">
            <v>PLNT</v>
          </cell>
          <cell r="I814" t="str">
            <v>PLNT</v>
          </cell>
          <cell r="J814" t="str">
            <v>PLNT</v>
          </cell>
          <cell r="K814" t="str">
            <v>PLNT</v>
          </cell>
          <cell r="L814" t="str">
            <v>PLNT</v>
          </cell>
        </row>
        <row r="815">
          <cell r="B815" t="str">
            <v>CUST</v>
          </cell>
          <cell r="C815" t="str">
            <v>CUST</v>
          </cell>
          <cell r="D815" t="str">
            <v>CUST</v>
          </cell>
          <cell r="E815" t="str">
            <v>CUST</v>
          </cell>
          <cell r="F815" t="str">
            <v>CUST</v>
          </cell>
          <cell r="H815" t="str">
            <v>CUST</v>
          </cell>
          <cell r="I815" t="str">
            <v>CUST</v>
          </cell>
          <cell r="J815" t="str">
            <v>CUST</v>
          </cell>
          <cell r="K815" t="str">
            <v>CUST</v>
          </cell>
          <cell r="L815" t="str">
            <v>CUST</v>
          </cell>
        </row>
        <row r="816">
          <cell r="B816" t="str">
            <v>I-SG</v>
          </cell>
          <cell r="C816" t="str">
            <v>I-SG</v>
          </cell>
          <cell r="D816" t="str">
            <v>I-SG</v>
          </cell>
          <cell r="E816" t="str">
            <v>I-SG</v>
          </cell>
          <cell r="F816" t="str">
            <v>I-SG</v>
          </cell>
          <cell r="H816" t="str">
            <v>PLNT</v>
          </cell>
          <cell r="I816" t="str">
            <v>PLNT</v>
          </cell>
          <cell r="J816" t="str">
            <v>PLNT</v>
          </cell>
          <cell r="K816" t="str">
            <v>PLNT</v>
          </cell>
          <cell r="L816" t="str">
            <v>PLNT</v>
          </cell>
        </row>
        <row r="817">
          <cell r="B817" t="str">
            <v>I-SG</v>
          </cell>
          <cell r="C817" t="str">
            <v>I-SG</v>
          </cell>
          <cell r="D817" t="str">
            <v>I-SG</v>
          </cell>
          <cell r="E817" t="str">
            <v>I-SG</v>
          </cell>
          <cell r="F817" t="str">
            <v>I-SG</v>
          </cell>
          <cell r="H817" t="str">
            <v>PLNT</v>
          </cell>
          <cell r="I817" t="str">
            <v>PLNT</v>
          </cell>
          <cell r="J817" t="str">
            <v>PLNT</v>
          </cell>
          <cell r="K817" t="str">
            <v>PLNT</v>
          </cell>
          <cell r="L817" t="str">
            <v>PLNT</v>
          </cell>
        </row>
        <row r="818">
          <cell r="B818" t="str">
            <v>I-DGU</v>
          </cell>
          <cell r="C818" t="str">
            <v>I-DGU</v>
          </cell>
          <cell r="D818" t="str">
            <v>I-DGU</v>
          </cell>
          <cell r="E818" t="str">
            <v>I-DGU</v>
          </cell>
          <cell r="F818" t="str">
            <v>I-DGU</v>
          </cell>
          <cell r="H818" t="str">
            <v>PLNT</v>
          </cell>
          <cell r="I818" t="str">
            <v>PLNT</v>
          </cell>
          <cell r="J818" t="str">
            <v>PLNT</v>
          </cell>
          <cell r="K818" t="str">
            <v>PLNT</v>
          </cell>
          <cell r="L818" t="str">
            <v>PLNT</v>
          </cell>
        </row>
        <row r="819">
          <cell r="B819" t="str">
            <v>I-SG</v>
          </cell>
          <cell r="C819" t="str">
            <v>I-SG</v>
          </cell>
          <cell r="D819" t="str">
            <v>I-SG</v>
          </cell>
          <cell r="E819" t="str">
            <v>I-SG</v>
          </cell>
          <cell r="F819" t="str">
            <v>I-SG</v>
          </cell>
          <cell r="H819" t="str">
            <v>PLNT</v>
          </cell>
          <cell r="I819" t="str">
            <v>PLNT</v>
          </cell>
          <cell r="J819" t="str">
            <v>PLNT</v>
          </cell>
          <cell r="K819" t="str">
            <v>PLNT</v>
          </cell>
          <cell r="L819" t="str">
            <v>PLNT</v>
          </cell>
        </row>
        <row r="820">
          <cell r="B820" t="str">
            <v>I-SG</v>
          </cell>
          <cell r="C820" t="str">
            <v>I-SG</v>
          </cell>
          <cell r="D820" t="str">
            <v>I-SG</v>
          </cell>
          <cell r="E820" t="str">
            <v>I-SG</v>
          </cell>
          <cell r="F820" t="str">
            <v>I-SG</v>
          </cell>
          <cell r="H820" t="str">
            <v>PLNT</v>
          </cell>
          <cell r="I820" t="str">
            <v>PLNT</v>
          </cell>
          <cell r="J820" t="str">
            <v>PLNT</v>
          </cell>
          <cell r="K820" t="str">
            <v>PLNT</v>
          </cell>
          <cell r="L820" t="str">
            <v>PLNT</v>
          </cell>
        </row>
        <row r="821">
          <cell r="B821" t="str">
            <v>I-DGU</v>
          </cell>
          <cell r="C821" t="str">
            <v>I-DGU</v>
          </cell>
          <cell r="D821" t="str">
            <v>I-DGU</v>
          </cell>
          <cell r="E821" t="str">
            <v>I-DGU</v>
          </cell>
          <cell r="F821" t="str">
            <v>I-DGU</v>
          </cell>
          <cell r="H821" t="str">
            <v>PLNT</v>
          </cell>
          <cell r="I821" t="str">
            <v>PLNT</v>
          </cell>
          <cell r="J821" t="str">
            <v>PLNT</v>
          </cell>
          <cell r="K821" t="str">
            <v>PLNT</v>
          </cell>
          <cell r="L821" t="str">
            <v>PLNT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B825" t="str">
            <v>P</v>
          </cell>
          <cell r="C825" t="str">
            <v>P</v>
          </cell>
          <cell r="D825" t="str">
            <v>P</v>
          </cell>
          <cell r="E825" t="str">
            <v>P</v>
          </cell>
          <cell r="F825" t="str">
            <v>P</v>
          </cell>
          <cell r="H825" t="str">
            <v>PLNT</v>
          </cell>
          <cell r="I825" t="str">
            <v>PLNT</v>
          </cell>
          <cell r="J825" t="str">
            <v>PLNT</v>
          </cell>
          <cell r="K825" t="str">
            <v>PLNT</v>
          </cell>
          <cell r="L825" t="str">
            <v>PLNT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B829" t="str">
            <v>P</v>
          </cell>
          <cell r="C829" t="str">
            <v>P</v>
          </cell>
          <cell r="D829" t="str">
            <v>P</v>
          </cell>
          <cell r="E829" t="str">
            <v>P</v>
          </cell>
          <cell r="F829" t="str">
            <v>P</v>
          </cell>
          <cell r="H829" t="str">
            <v>PLNT</v>
          </cell>
          <cell r="I829" t="str">
            <v>PLNT</v>
          </cell>
          <cell r="J829" t="str">
            <v>PLNT</v>
          </cell>
          <cell r="K829" t="str">
            <v>PLNT</v>
          </cell>
          <cell r="L829" t="str">
            <v>PLNT</v>
          </cell>
        </row>
        <row r="830">
          <cell r="B830" t="str">
            <v>P</v>
          </cell>
          <cell r="C830" t="str">
            <v>P</v>
          </cell>
          <cell r="D830" t="str">
            <v>P</v>
          </cell>
          <cell r="E830" t="str">
            <v>P</v>
          </cell>
          <cell r="F830" t="str">
            <v>P</v>
          </cell>
          <cell r="H830" t="str">
            <v>PLNT</v>
          </cell>
          <cell r="I830" t="str">
            <v>PLNT</v>
          </cell>
          <cell r="J830" t="str">
            <v>PLNT</v>
          </cell>
          <cell r="K830" t="str">
            <v>PLNT</v>
          </cell>
          <cell r="L830" t="str">
            <v>PLNT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B837" t="str">
            <v>GP</v>
          </cell>
          <cell r="C837" t="str">
            <v>GP</v>
          </cell>
          <cell r="D837" t="str">
            <v>GP</v>
          </cell>
          <cell r="E837" t="str">
            <v>GP</v>
          </cell>
          <cell r="F837" t="str">
            <v>GP</v>
          </cell>
          <cell r="H837" t="str">
            <v>PLNT</v>
          </cell>
          <cell r="I837" t="str">
            <v>PLNT</v>
          </cell>
          <cell r="J837" t="str">
            <v>PLNT</v>
          </cell>
          <cell r="K837" t="str">
            <v>PLNT</v>
          </cell>
          <cell r="L837" t="str">
            <v>PLNT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B842" t="str">
            <v>P</v>
          </cell>
          <cell r="C842" t="str">
            <v>P</v>
          </cell>
          <cell r="D842" t="str">
            <v>P</v>
          </cell>
          <cell r="E842" t="str">
            <v>P</v>
          </cell>
          <cell r="F842" t="str">
            <v>P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B843" t="str">
            <v>P</v>
          </cell>
          <cell r="C843" t="str">
            <v>P</v>
          </cell>
          <cell r="D843" t="str">
            <v>P</v>
          </cell>
          <cell r="E843" t="str">
            <v>P</v>
          </cell>
          <cell r="F843" t="str">
            <v>P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B844" t="str">
            <v>P</v>
          </cell>
          <cell r="C844" t="str">
            <v>P</v>
          </cell>
          <cell r="D844" t="str">
            <v>P</v>
          </cell>
          <cell r="E844" t="str">
            <v>P</v>
          </cell>
          <cell r="F844" t="str">
            <v>P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B845" t="str">
            <v>P</v>
          </cell>
          <cell r="C845" t="str">
            <v>P</v>
          </cell>
          <cell r="D845" t="str">
            <v>P</v>
          </cell>
          <cell r="E845" t="str">
            <v>P</v>
          </cell>
          <cell r="F845" t="str">
            <v>P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B846" t="str">
            <v>P</v>
          </cell>
          <cell r="C846" t="str">
            <v>P</v>
          </cell>
          <cell r="D846" t="str">
            <v>P</v>
          </cell>
          <cell r="E846" t="str">
            <v>P</v>
          </cell>
          <cell r="F846" t="str">
            <v>P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B850" t="str">
            <v>P</v>
          </cell>
          <cell r="C850" t="str">
            <v>P</v>
          </cell>
          <cell r="D850" t="str">
            <v>P</v>
          </cell>
          <cell r="E850" t="str">
            <v>P</v>
          </cell>
          <cell r="F850" t="str">
            <v>P</v>
          </cell>
          <cell r="H850" t="str">
            <v>PLNT</v>
          </cell>
          <cell r="I850" t="str">
            <v>PLNT</v>
          </cell>
          <cell r="J850" t="str">
            <v>PLNT</v>
          </cell>
          <cell r="K850" t="str">
            <v>PLNT</v>
          </cell>
          <cell r="L850" t="str">
            <v>PLNT</v>
          </cell>
        </row>
        <row r="851">
          <cell r="B851" t="str">
            <v>GP</v>
          </cell>
          <cell r="C851" t="str">
            <v>GP</v>
          </cell>
          <cell r="D851" t="str">
            <v>GP</v>
          </cell>
          <cell r="E851" t="str">
            <v>GP</v>
          </cell>
          <cell r="F851" t="str">
            <v>GP</v>
          </cell>
          <cell r="H851" t="str">
            <v>PLNT</v>
          </cell>
          <cell r="I851" t="str">
            <v>PLNT</v>
          </cell>
          <cell r="J851" t="str">
            <v>PLNT</v>
          </cell>
          <cell r="K851" t="str">
            <v>PLNT</v>
          </cell>
          <cell r="L851" t="str">
            <v>PLNT</v>
          </cell>
        </row>
        <row r="852">
          <cell r="B852" t="str">
            <v>P</v>
          </cell>
          <cell r="C852" t="str">
            <v>P</v>
          </cell>
          <cell r="D852" t="str">
            <v>P</v>
          </cell>
          <cell r="E852" t="str">
            <v>P</v>
          </cell>
          <cell r="F852" t="str">
            <v>P</v>
          </cell>
          <cell r="H852" t="str">
            <v>PLNT</v>
          </cell>
          <cell r="I852" t="str">
            <v>PLNT</v>
          </cell>
          <cell r="J852" t="str">
            <v>PLNT</v>
          </cell>
          <cell r="K852" t="str">
            <v>PLNT</v>
          </cell>
          <cell r="L852" t="str">
            <v>PLNT</v>
          </cell>
        </row>
        <row r="853">
          <cell r="B853" t="str">
            <v>P</v>
          </cell>
          <cell r="C853" t="str">
            <v>P</v>
          </cell>
          <cell r="D853" t="str">
            <v>P</v>
          </cell>
          <cell r="E853" t="str">
            <v>P</v>
          </cell>
          <cell r="F853" t="str">
            <v>P</v>
          </cell>
          <cell r="H853" t="str">
            <v>PLNT</v>
          </cell>
          <cell r="I853" t="str">
            <v>PLNT</v>
          </cell>
          <cell r="J853" t="str">
            <v>PLNT</v>
          </cell>
          <cell r="K853" t="str">
            <v>PLNT</v>
          </cell>
          <cell r="L853" t="str">
            <v>PLNT</v>
          </cell>
        </row>
        <row r="854">
          <cell r="B854" t="str">
            <v>P</v>
          </cell>
          <cell r="C854" t="str">
            <v>P</v>
          </cell>
          <cell r="D854" t="str">
            <v>P</v>
          </cell>
          <cell r="E854" t="str">
            <v>P</v>
          </cell>
          <cell r="F854" t="str">
            <v>P</v>
          </cell>
          <cell r="H854" t="str">
            <v>PLNT</v>
          </cell>
          <cell r="I854" t="str">
            <v>PLNT</v>
          </cell>
          <cell r="J854" t="str">
            <v>PLNT</v>
          </cell>
          <cell r="K854" t="str">
            <v>PLNT</v>
          </cell>
          <cell r="L854" t="str">
            <v>PLNT</v>
          </cell>
        </row>
        <row r="855">
          <cell r="B855" t="str">
            <v>P</v>
          </cell>
          <cell r="C855" t="str">
            <v>P</v>
          </cell>
          <cell r="D855" t="str">
            <v>P</v>
          </cell>
          <cell r="E855" t="str">
            <v>P</v>
          </cell>
          <cell r="F855" t="str">
            <v>P</v>
          </cell>
          <cell r="H855" t="str">
            <v>PLNT</v>
          </cell>
          <cell r="I855" t="str">
            <v>PLNT</v>
          </cell>
          <cell r="J855" t="str">
            <v>PLNT</v>
          </cell>
          <cell r="K855" t="str">
            <v>PLNT</v>
          </cell>
          <cell r="L855" t="str">
            <v>PLNT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B861" t="str">
            <v>DMSC</v>
          </cell>
          <cell r="C861" t="str">
            <v>DMSC</v>
          </cell>
          <cell r="D861" t="str">
            <v>DMSC</v>
          </cell>
          <cell r="E861" t="str">
            <v>DMSC</v>
          </cell>
          <cell r="F861" t="str">
            <v>DMSC</v>
          </cell>
          <cell r="H861" t="str">
            <v>PLNT</v>
          </cell>
          <cell r="I861" t="str">
            <v>PLNT</v>
          </cell>
          <cell r="J861" t="str">
            <v>PLNT</v>
          </cell>
          <cell r="K861" t="str">
            <v>PLNT</v>
          </cell>
          <cell r="L861" t="str">
            <v>PLNT</v>
          </cell>
        </row>
        <row r="862">
          <cell r="B862" t="str">
            <v>GP</v>
          </cell>
          <cell r="C862" t="str">
            <v>GP</v>
          </cell>
          <cell r="D862" t="str">
            <v>GP</v>
          </cell>
          <cell r="E862" t="str">
            <v>GP</v>
          </cell>
          <cell r="F862" t="str">
            <v>GP</v>
          </cell>
          <cell r="H862" t="str">
            <v>PLNT</v>
          </cell>
          <cell r="I862" t="str">
            <v>PLNT</v>
          </cell>
          <cell r="J862" t="str">
            <v>PLNT</v>
          </cell>
          <cell r="K862" t="str">
            <v>PLNT</v>
          </cell>
          <cell r="L862" t="str">
            <v>PLNT</v>
          </cell>
        </row>
        <row r="863">
          <cell r="B863" t="str">
            <v>GP</v>
          </cell>
          <cell r="C863" t="str">
            <v>GP</v>
          </cell>
          <cell r="D863" t="str">
            <v>GP</v>
          </cell>
          <cell r="E863" t="str">
            <v>GP</v>
          </cell>
          <cell r="F863" t="str">
            <v>GP</v>
          </cell>
          <cell r="H863" t="str">
            <v>PLNT</v>
          </cell>
          <cell r="I863" t="str">
            <v>PLNT</v>
          </cell>
          <cell r="J863" t="str">
            <v>PLNT</v>
          </cell>
          <cell r="K863" t="str">
            <v>PLNT</v>
          </cell>
          <cell r="L863" t="str">
            <v>PLNT</v>
          </cell>
        </row>
        <row r="864">
          <cell r="B864" t="str">
            <v>P</v>
          </cell>
          <cell r="C864" t="str">
            <v>P</v>
          </cell>
          <cell r="D864" t="str">
            <v>P</v>
          </cell>
          <cell r="E864" t="str">
            <v>P</v>
          </cell>
          <cell r="F864" t="str">
            <v>P</v>
          </cell>
          <cell r="H864" t="str">
            <v>PLNT</v>
          </cell>
          <cell r="I864" t="str">
            <v>PLNT</v>
          </cell>
          <cell r="J864" t="str">
            <v>PLNT</v>
          </cell>
          <cell r="K864" t="str">
            <v>PLNT</v>
          </cell>
          <cell r="L864" t="str">
            <v>PLNT</v>
          </cell>
        </row>
        <row r="865">
          <cell r="B865" t="str">
            <v>P</v>
          </cell>
          <cell r="C865" t="str">
            <v>P</v>
          </cell>
          <cell r="D865" t="str">
            <v>P</v>
          </cell>
          <cell r="E865" t="str">
            <v>P</v>
          </cell>
          <cell r="F865" t="str">
            <v>P</v>
          </cell>
          <cell r="H865" t="str">
            <v>PLNT</v>
          </cell>
          <cell r="I865" t="str">
            <v>PLNT</v>
          </cell>
          <cell r="J865" t="str">
            <v>PLNT</v>
          </cell>
          <cell r="K865" t="str">
            <v>PLNT</v>
          </cell>
          <cell r="L865" t="str">
            <v>PLNT</v>
          </cell>
        </row>
        <row r="866">
          <cell r="B866" t="str">
            <v>DMSC</v>
          </cell>
          <cell r="C866" t="str">
            <v>DMSC</v>
          </cell>
          <cell r="D866" t="str">
            <v>DMSC</v>
          </cell>
          <cell r="E866" t="str">
            <v>DMSC</v>
          </cell>
          <cell r="F866" t="str">
            <v>DMSC</v>
          </cell>
          <cell r="H866" t="str">
            <v>PLNT</v>
          </cell>
          <cell r="I866" t="str">
            <v>PLNT</v>
          </cell>
          <cell r="J866" t="str">
            <v>PLNT</v>
          </cell>
          <cell r="K866" t="str">
            <v>PLNT</v>
          </cell>
          <cell r="L866" t="str">
            <v>PLNT</v>
          </cell>
        </row>
        <row r="867">
          <cell r="B867" t="str">
            <v>GP</v>
          </cell>
          <cell r="C867" t="str">
            <v>GP</v>
          </cell>
          <cell r="D867" t="str">
            <v>GP</v>
          </cell>
          <cell r="E867" t="str">
            <v>GP</v>
          </cell>
          <cell r="F867" t="str">
            <v>GP</v>
          </cell>
          <cell r="H867" t="str">
            <v>PLNT</v>
          </cell>
          <cell r="I867" t="str">
            <v>PLNT</v>
          </cell>
          <cell r="J867" t="str">
            <v>PLNT</v>
          </cell>
          <cell r="K867" t="str">
            <v>PLNT</v>
          </cell>
          <cell r="L867" t="str">
            <v>PLNT</v>
          </cell>
        </row>
        <row r="868">
          <cell r="B868" t="str">
            <v>GP</v>
          </cell>
          <cell r="C868" t="str">
            <v>GP</v>
          </cell>
          <cell r="D868" t="str">
            <v>GP</v>
          </cell>
          <cell r="E868" t="str">
            <v>GP</v>
          </cell>
          <cell r="F868" t="str">
            <v>GP</v>
          </cell>
          <cell r="H868" t="str">
            <v>PLNT</v>
          </cell>
          <cell r="I868" t="str">
            <v>PLNT</v>
          </cell>
          <cell r="J868" t="str">
            <v>PLNT</v>
          </cell>
          <cell r="K868" t="str">
            <v>PLNT</v>
          </cell>
          <cell r="L868" t="str">
            <v>PLNT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B872" t="str">
            <v>PTD</v>
          </cell>
          <cell r="C872" t="str">
            <v>PTD</v>
          </cell>
          <cell r="D872" t="str">
            <v>PTD</v>
          </cell>
          <cell r="E872" t="str">
            <v>PTD</v>
          </cell>
          <cell r="F872" t="str">
            <v>PTD</v>
          </cell>
          <cell r="H872" t="str">
            <v>PLNT</v>
          </cell>
          <cell r="I872" t="str">
            <v>PLNT</v>
          </cell>
          <cell r="J872" t="str">
            <v>PLNT</v>
          </cell>
          <cell r="K872" t="str">
            <v>PLNT</v>
          </cell>
          <cell r="L872" t="str">
            <v>PLNT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B877" t="str">
            <v>PTD</v>
          </cell>
          <cell r="C877" t="str">
            <v>PTD</v>
          </cell>
          <cell r="D877" t="str">
            <v>PTD</v>
          </cell>
          <cell r="E877" t="str">
            <v>PTD</v>
          </cell>
          <cell r="F877" t="str">
            <v>PTD</v>
          </cell>
          <cell r="H877" t="str">
            <v>PLNT</v>
          </cell>
          <cell r="I877" t="str">
            <v>PLNT</v>
          </cell>
          <cell r="J877" t="str">
            <v>PLNT</v>
          </cell>
          <cell r="K877" t="str">
            <v>PLNT</v>
          </cell>
          <cell r="L877" t="str">
            <v>PLNT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H884" t="str">
            <v>PLNT</v>
          </cell>
          <cell r="I884" t="str">
            <v>PLNT</v>
          </cell>
          <cell r="J884" t="str">
            <v>PLNT</v>
          </cell>
          <cell r="K884" t="str">
            <v>PLNT</v>
          </cell>
          <cell r="L884" t="str">
            <v>PLNT</v>
          </cell>
        </row>
        <row r="885">
          <cell r="B885" t="str">
            <v>GP</v>
          </cell>
          <cell r="C885" t="str">
            <v>GP</v>
          </cell>
          <cell r="D885" t="str">
            <v>GP</v>
          </cell>
          <cell r="E885" t="str">
            <v>GP</v>
          </cell>
          <cell r="F885" t="str">
            <v>GP</v>
          </cell>
          <cell r="H885" t="str">
            <v>PLNT</v>
          </cell>
          <cell r="I885" t="str">
            <v>PLNT</v>
          </cell>
          <cell r="J885" t="str">
            <v>PLNT</v>
          </cell>
          <cell r="K885" t="str">
            <v>PLNT</v>
          </cell>
          <cell r="L885" t="str">
            <v>PLNT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B889" t="str">
            <v>GP</v>
          </cell>
          <cell r="C889" t="str">
            <v>GP</v>
          </cell>
          <cell r="D889" t="str">
            <v>GP</v>
          </cell>
          <cell r="E889" t="str">
            <v>GP</v>
          </cell>
          <cell r="F889" t="str">
            <v>GP</v>
          </cell>
          <cell r="H889" t="str">
            <v>PLNT</v>
          </cell>
          <cell r="I889" t="str">
            <v>PLNT</v>
          </cell>
          <cell r="J889" t="str">
            <v>PLNT</v>
          </cell>
          <cell r="K889" t="str">
            <v>PLNT</v>
          </cell>
          <cell r="L889" t="str">
            <v>PLNT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B893" t="str">
            <v>GP</v>
          </cell>
          <cell r="C893" t="str">
            <v>GP</v>
          </cell>
          <cell r="D893" t="str">
            <v>GP</v>
          </cell>
          <cell r="E893" t="str">
            <v>GP</v>
          </cell>
          <cell r="F893" t="str">
            <v>GP</v>
          </cell>
          <cell r="H893" t="str">
            <v>PLNT</v>
          </cell>
          <cell r="I893" t="str">
            <v>PLNT</v>
          </cell>
          <cell r="J893" t="str">
            <v>PLNT</v>
          </cell>
          <cell r="K893" t="str">
            <v>PLNT</v>
          </cell>
          <cell r="L893" t="str">
            <v>PLNT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B897" t="str">
            <v>NUTIL</v>
          </cell>
          <cell r="C897" t="str">
            <v>NUTIL</v>
          </cell>
          <cell r="D897" t="str">
            <v>NUTIL</v>
          </cell>
          <cell r="E897" t="str">
            <v>NUTIL</v>
          </cell>
          <cell r="F897" t="str">
            <v>NUTIL</v>
          </cell>
          <cell r="H897" t="str">
            <v>PLNT</v>
          </cell>
          <cell r="I897" t="str">
            <v>PLNT</v>
          </cell>
          <cell r="J897" t="str">
            <v>PLNT</v>
          </cell>
          <cell r="K897" t="str">
            <v>PLNT</v>
          </cell>
          <cell r="L897" t="str">
            <v>PLNT</v>
          </cell>
        </row>
        <row r="898">
          <cell r="B898" t="str">
            <v>GP</v>
          </cell>
          <cell r="C898" t="str">
            <v>GP</v>
          </cell>
          <cell r="D898" t="str">
            <v>GP</v>
          </cell>
          <cell r="E898" t="str">
            <v>GP</v>
          </cell>
          <cell r="F898" t="str">
            <v>GP</v>
          </cell>
          <cell r="H898" t="str">
            <v>PLNT</v>
          </cell>
          <cell r="I898" t="str">
            <v>PLNT</v>
          </cell>
          <cell r="J898" t="str">
            <v>PLNT</v>
          </cell>
          <cell r="K898" t="str">
            <v>PLNT</v>
          </cell>
          <cell r="L898" t="str">
            <v>PLNT</v>
          </cell>
        </row>
        <row r="899">
          <cell r="B899" t="str">
            <v>GP</v>
          </cell>
          <cell r="C899" t="str">
            <v>GP</v>
          </cell>
          <cell r="D899" t="str">
            <v>GP</v>
          </cell>
          <cell r="E899" t="str">
            <v>GP</v>
          </cell>
          <cell r="F899" t="str">
            <v>GP</v>
          </cell>
          <cell r="H899" t="str">
            <v>PLNT</v>
          </cell>
          <cell r="I899" t="str">
            <v>PLNT</v>
          </cell>
          <cell r="J899" t="str">
            <v>PLNT</v>
          </cell>
          <cell r="K899" t="str">
            <v>PLNT</v>
          </cell>
          <cell r="L899" t="str">
            <v>PLNT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B903" t="str">
            <v>GP</v>
          </cell>
          <cell r="C903" t="str">
            <v>GP</v>
          </cell>
          <cell r="D903" t="str">
            <v>GP</v>
          </cell>
          <cell r="E903" t="str">
            <v>GP</v>
          </cell>
          <cell r="F903" t="str">
            <v>GP</v>
          </cell>
          <cell r="H903" t="str">
            <v>PLNT</v>
          </cell>
          <cell r="I903" t="str">
            <v>PLNT</v>
          </cell>
          <cell r="J903" t="str">
            <v>PLNT</v>
          </cell>
          <cell r="K903" t="str">
            <v>PLNT</v>
          </cell>
          <cell r="L903" t="str">
            <v>PLNT</v>
          </cell>
        </row>
        <row r="904"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B912" t="str">
            <v>GP</v>
          </cell>
          <cell r="C912" t="str">
            <v>GP</v>
          </cell>
          <cell r="D912" t="str">
            <v>GP</v>
          </cell>
          <cell r="E912" t="str">
            <v>GP</v>
          </cell>
          <cell r="F912" t="str">
            <v>GP</v>
          </cell>
          <cell r="H912" t="str">
            <v>PLNT</v>
          </cell>
          <cell r="I912" t="str">
            <v>PLNT</v>
          </cell>
          <cell r="J912" t="str">
            <v>PLNT</v>
          </cell>
          <cell r="K912" t="str">
            <v>PLNT</v>
          </cell>
          <cell r="L912" t="str">
            <v>PLNT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B916" t="str">
            <v>GP</v>
          </cell>
          <cell r="C916" t="str">
            <v>GP</v>
          </cell>
          <cell r="D916" t="str">
            <v>GP</v>
          </cell>
          <cell r="E916" t="str">
            <v>GP</v>
          </cell>
          <cell r="F916" t="str">
            <v>GP</v>
          </cell>
          <cell r="H916" t="str">
            <v>PLNT</v>
          </cell>
          <cell r="I916" t="str">
            <v>PLNT</v>
          </cell>
          <cell r="J916" t="str">
            <v>PLNT</v>
          </cell>
          <cell r="K916" t="str">
            <v>PLNT</v>
          </cell>
          <cell r="L916" t="str">
            <v>PLNT</v>
          </cell>
        </row>
        <row r="917">
          <cell r="B917" t="str">
            <v>P</v>
          </cell>
          <cell r="C917" t="str">
            <v>P</v>
          </cell>
          <cell r="D917" t="str">
            <v>P</v>
          </cell>
          <cell r="E917" t="str">
            <v>P</v>
          </cell>
          <cell r="F917" t="str">
            <v>P</v>
          </cell>
          <cell r="H917" t="str">
            <v>PLNT</v>
          </cell>
          <cell r="I917" t="str">
            <v>PLNT</v>
          </cell>
          <cell r="J917" t="str">
            <v>PLNT</v>
          </cell>
          <cell r="K917" t="str">
            <v>PLNT</v>
          </cell>
          <cell r="L917" t="str">
            <v>PLNT</v>
          </cell>
        </row>
        <row r="918">
          <cell r="B918" t="str">
            <v>PT</v>
          </cell>
          <cell r="C918" t="str">
            <v>PT</v>
          </cell>
          <cell r="D918" t="str">
            <v>PT</v>
          </cell>
          <cell r="E918" t="str">
            <v>PT</v>
          </cell>
          <cell r="F918" t="str">
            <v>PT</v>
          </cell>
          <cell r="H918" t="str">
            <v>PLNT</v>
          </cell>
          <cell r="I918" t="str">
            <v>PLNT</v>
          </cell>
          <cell r="J918" t="str">
            <v>PLNT</v>
          </cell>
          <cell r="K918" t="str">
            <v>PLNT</v>
          </cell>
          <cell r="L918" t="str">
            <v>PLNT</v>
          </cell>
        </row>
        <row r="919">
          <cell r="B919" t="str">
            <v>LABOR</v>
          </cell>
          <cell r="C919" t="str">
            <v>LABOR</v>
          </cell>
          <cell r="D919" t="str">
            <v>LABOR</v>
          </cell>
          <cell r="E919" t="str">
            <v>LABOR</v>
          </cell>
          <cell r="F919" t="str">
            <v>LABOR</v>
          </cell>
          <cell r="H919" t="str">
            <v>DISom</v>
          </cell>
          <cell r="I919" t="str">
            <v>DISom</v>
          </cell>
          <cell r="J919" t="str">
            <v>DISom</v>
          </cell>
          <cell r="K919" t="str">
            <v>DISom</v>
          </cell>
          <cell r="L919" t="str">
            <v>DISom</v>
          </cell>
        </row>
        <row r="920">
          <cell r="B920" t="str">
            <v>GP</v>
          </cell>
          <cell r="C920" t="str">
            <v>GP</v>
          </cell>
          <cell r="D920" t="str">
            <v>GP</v>
          </cell>
          <cell r="E920" t="str">
            <v>GP</v>
          </cell>
          <cell r="F920" t="str">
            <v>GP</v>
          </cell>
          <cell r="H920" t="str">
            <v>PLNT</v>
          </cell>
          <cell r="I920" t="str">
            <v>PLNT</v>
          </cell>
          <cell r="J920" t="str">
            <v>PLNT</v>
          </cell>
          <cell r="K920" t="str">
            <v>PLNT</v>
          </cell>
          <cell r="L920" t="str">
            <v>PLNT</v>
          </cell>
        </row>
        <row r="921">
          <cell r="B921" t="str">
            <v>P</v>
          </cell>
          <cell r="C921" t="str">
            <v>P</v>
          </cell>
          <cell r="D921" t="str">
            <v>P</v>
          </cell>
          <cell r="E921" t="str">
            <v>P</v>
          </cell>
          <cell r="F921" t="str">
            <v>P</v>
          </cell>
          <cell r="H921" t="str">
            <v>PLNT</v>
          </cell>
          <cell r="I921" t="str">
            <v>PLNT</v>
          </cell>
          <cell r="J921" t="str">
            <v>PLNT</v>
          </cell>
          <cell r="K921" t="str">
            <v>PLNT</v>
          </cell>
          <cell r="L921" t="str">
            <v>PLNT</v>
          </cell>
        </row>
        <row r="922">
          <cell r="B922" t="str">
            <v>PT</v>
          </cell>
          <cell r="C922" t="str">
            <v>PT</v>
          </cell>
          <cell r="D922" t="str">
            <v>PT</v>
          </cell>
          <cell r="E922" t="str">
            <v>PT</v>
          </cell>
          <cell r="F922" t="str">
            <v>PT</v>
          </cell>
          <cell r="H922" t="str">
            <v>PLNT</v>
          </cell>
          <cell r="I922" t="str">
            <v>PLNT</v>
          </cell>
          <cell r="J922" t="str">
            <v>PLNT</v>
          </cell>
          <cell r="K922" t="str">
            <v>PLNT</v>
          </cell>
          <cell r="L922" t="str">
            <v>PLNT</v>
          </cell>
        </row>
        <row r="923">
          <cell r="B923" t="str">
            <v>GP</v>
          </cell>
          <cell r="C923" t="str">
            <v>GP</v>
          </cell>
          <cell r="D923" t="str">
            <v>GP</v>
          </cell>
          <cell r="E923" t="str">
            <v>GP</v>
          </cell>
          <cell r="F923" t="str">
            <v>GP</v>
          </cell>
          <cell r="H923" t="str">
            <v>PLNT</v>
          </cell>
          <cell r="I923" t="str">
            <v>PLNT</v>
          </cell>
          <cell r="J923" t="str">
            <v>PLNT</v>
          </cell>
          <cell r="K923" t="str">
            <v>PLNT</v>
          </cell>
          <cell r="L923" t="str">
            <v>PLNT</v>
          </cell>
        </row>
        <row r="924">
          <cell r="B924" t="str">
            <v>DITEXP</v>
          </cell>
          <cell r="C924" t="str">
            <v>DITEXP</v>
          </cell>
          <cell r="D924" t="str">
            <v>DITEXP</v>
          </cell>
          <cell r="E924" t="str">
            <v>DITEXP</v>
          </cell>
          <cell r="F924" t="str">
            <v>DITEXP</v>
          </cell>
          <cell r="H924" t="str">
            <v>PLNT</v>
          </cell>
          <cell r="I924" t="str">
            <v>PLNT</v>
          </cell>
          <cell r="J924" t="str">
            <v>PLNT</v>
          </cell>
          <cell r="K924" t="str">
            <v>PLNT</v>
          </cell>
          <cell r="L924" t="str">
            <v>PLNT</v>
          </cell>
        </row>
        <row r="925">
          <cell r="B925" t="str">
            <v>CUST</v>
          </cell>
          <cell r="C925" t="str">
            <v>CUST</v>
          </cell>
          <cell r="D925" t="str">
            <v>CUST</v>
          </cell>
          <cell r="E925" t="str">
            <v>CUST</v>
          </cell>
          <cell r="F925" t="str">
            <v>CUST</v>
          </cell>
          <cell r="H925" t="str">
            <v>PLNT</v>
          </cell>
          <cell r="I925" t="str">
            <v>PLNT</v>
          </cell>
          <cell r="J925" t="str">
            <v>PLNT</v>
          </cell>
          <cell r="K925" t="str">
            <v>PLNT</v>
          </cell>
          <cell r="L925" t="str">
            <v>PLNT</v>
          </cell>
        </row>
        <row r="926">
          <cell r="B926" t="str">
            <v>CUST</v>
          </cell>
          <cell r="C926" t="str">
            <v>CUST</v>
          </cell>
          <cell r="D926" t="str">
            <v>CUST</v>
          </cell>
          <cell r="E926" t="str">
            <v>CUST</v>
          </cell>
          <cell r="F926" t="str">
            <v>CUST</v>
          </cell>
          <cell r="H926" t="str">
            <v>PLNT</v>
          </cell>
          <cell r="I926" t="str">
            <v>PLNT</v>
          </cell>
          <cell r="J926" t="str">
            <v>PLNT</v>
          </cell>
          <cell r="K926" t="str">
            <v>PLNT</v>
          </cell>
          <cell r="L926" t="str">
            <v>PLNT</v>
          </cell>
        </row>
        <row r="927">
          <cell r="B927" t="str">
            <v>IBT</v>
          </cell>
          <cell r="C927" t="str">
            <v>IBT</v>
          </cell>
          <cell r="D927" t="str">
            <v>IBT</v>
          </cell>
          <cell r="E927" t="str">
            <v>IBT</v>
          </cell>
          <cell r="F927" t="str">
            <v>IBT</v>
          </cell>
          <cell r="H927" t="str">
            <v>PLNT</v>
          </cell>
          <cell r="I927" t="str">
            <v>PLNT</v>
          </cell>
          <cell r="J927" t="str">
            <v>PLNT</v>
          </cell>
          <cell r="K927" t="str">
            <v>PLNT</v>
          </cell>
          <cell r="L927" t="str">
            <v>PLNT</v>
          </cell>
        </row>
        <row r="928">
          <cell r="B928" t="str">
            <v>DPW</v>
          </cell>
          <cell r="C928" t="str">
            <v>DPW</v>
          </cell>
          <cell r="D928" t="str">
            <v>DPW</v>
          </cell>
          <cell r="E928" t="str">
            <v>DPW</v>
          </cell>
          <cell r="F928" t="str">
            <v>DPW</v>
          </cell>
          <cell r="H928" t="str">
            <v>PLNT</v>
          </cell>
          <cell r="I928" t="str">
            <v>PLNT</v>
          </cell>
          <cell r="J928" t="str">
            <v>PLNT</v>
          </cell>
          <cell r="K928" t="str">
            <v>PLNT</v>
          </cell>
          <cell r="L928" t="str">
            <v>PLNT</v>
          </cell>
        </row>
        <row r="929">
          <cell r="B929" t="str">
            <v>GP</v>
          </cell>
          <cell r="C929" t="str">
            <v>GP</v>
          </cell>
          <cell r="D929" t="str">
            <v>GP</v>
          </cell>
          <cell r="E929" t="str">
            <v>GP</v>
          </cell>
          <cell r="F929" t="str">
            <v>GP</v>
          </cell>
          <cell r="H929" t="str">
            <v>PLNT</v>
          </cell>
          <cell r="I929" t="str">
            <v>PLNT</v>
          </cell>
          <cell r="J929" t="str">
            <v>PLNT</v>
          </cell>
          <cell r="K929" t="str">
            <v>PLNT</v>
          </cell>
          <cell r="L929" t="str">
            <v>PLNT</v>
          </cell>
        </row>
        <row r="930">
          <cell r="B930" t="str">
            <v>TAXDEPR</v>
          </cell>
          <cell r="C930" t="str">
            <v>TAXDEPR</v>
          </cell>
          <cell r="D930" t="str">
            <v>TAXDEPR</v>
          </cell>
          <cell r="E930" t="str">
            <v>TAXDEPR</v>
          </cell>
          <cell r="F930" t="str">
            <v>TAXDEPR</v>
          </cell>
          <cell r="H930" t="str">
            <v>PLNT</v>
          </cell>
          <cell r="I930" t="str">
            <v>PLNT</v>
          </cell>
          <cell r="J930" t="str">
            <v>PLNT</v>
          </cell>
          <cell r="K930" t="str">
            <v>PLNT</v>
          </cell>
          <cell r="L930" t="str">
            <v>PLNT</v>
          </cell>
        </row>
        <row r="931">
          <cell r="B931" t="str">
            <v>DPW</v>
          </cell>
          <cell r="C931" t="str">
            <v>DPW</v>
          </cell>
          <cell r="D931" t="str">
            <v>DPW</v>
          </cell>
          <cell r="E931" t="str">
            <v>DPW</v>
          </cell>
          <cell r="F931" t="str">
            <v>DPW</v>
          </cell>
          <cell r="H931" t="str">
            <v>PLNT</v>
          </cell>
          <cell r="I931" t="str">
            <v>PLNT</v>
          </cell>
          <cell r="J931" t="str">
            <v>PLNT</v>
          </cell>
          <cell r="K931" t="str">
            <v>PLNT</v>
          </cell>
          <cell r="L931" t="str">
            <v>PLNT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B935" t="str">
            <v>GP</v>
          </cell>
          <cell r="C935" t="str">
            <v>GP</v>
          </cell>
          <cell r="D935" t="str">
            <v>GP</v>
          </cell>
          <cell r="E935" t="str">
            <v>GP</v>
          </cell>
          <cell r="F935" t="str">
            <v>GP</v>
          </cell>
          <cell r="H935" t="str">
            <v>PLNT</v>
          </cell>
          <cell r="I935" t="str">
            <v>PLNT</v>
          </cell>
          <cell r="J935" t="str">
            <v>PLNT</v>
          </cell>
          <cell r="K935" t="str">
            <v>PLNT</v>
          </cell>
          <cell r="L935" t="str">
            <v>PLNT</v>
          </cell>
        </row>
        <row r="936">
          <cell r="B936" t="str">
            <v>PT</v>
          </cell>
          <cell r="C936" t="str">
            <v>PT</v>
          </cell>
          <cell r="D936" t="str">
            <v>PT</v>
          </cell>
          <cell r="E936" t="str">
            <v>PT</v>
          </cell>
          <cell r="F936" t="str">
            <v>PT</v>
          </cell>
          <cell r="H936" t="str">
            <v>PLNT</v>
          </cell>
          <cell r="I936" t="str">
            <v>PLNT</v>
          </cell>
          <cell r="J936" t="str">
            <v>PLNT</v>
          </cell>
          <cell r="K936" t="str">
            <v>PLNT</v>
          </cell>
          <cell r="L936" t="str">
            <v>PLNT</v>
          </cell>
        </row>
        <row r="937">
          <cell r="B937" t="str">
            <v>LABOR</v>
          </cell>
          <cell r="C937" t="str">
            <v>LABOR</v>
          </cell>
          <cell r="D937" t="str">
            <v>LABOR</v>
          </cell>
          <cell r="E937" t="str">
            <v>LABOR</v>
          </cell>
          <cell r="F937" t="str">
            <v>LABOR</v>
          </cell>
          <cell r="H937" t="str">
            <v>DISom</v>
          </cell>
          <cell r="I937" t="str">
            <v>DISom</v>
          </cell>
          <cell r="J937" t="str">
            <v>DISom</v>
          </cell>
          <cell r="K937" t="str">
            <v>DISom</v>
          </cell>
          <cell r="L937" t="str">
            <v>DISom</v>
          </cell>
        </row>
        <row r="938">
          <cell r="B938" t="str">
            <v>P</v>
          </cell>
          <cell r="C938" t="str">
            <v>P</v>
          </cell>
          <cell r="D938" t="str">
            <v>P</v>
          </cell>
          <cell r="E938" t="str">
            <v>P</v>
          </cell>
          <cell r="F938" t="str">
            <v>P</v>
          </cell>
          <cell r="H938" t="str">
            <v>PLNT</v>
          </cell>
          <cell r="I938" t="str">
            <v>PLNT</v>
          </cell>
          <cell r="J938" t="str">
            <v>PLNT</v>
          </cell>
          <cell r="K938" t="str">
            <v>PLNT</v>
          </cell>
          <cell r="L938" t="str">
            <v>PLNT</v>
          </cell>
        </row>
        <row r="939">
          <cell r="B939" t="str">
            <v>PT</v>
          </cell>
          <cell r="C939" t="str">
            <v>PT</v>
          </cell>
          <cell r="D939" t="str">
            <v>PT</v>
          </cell>
          <cell r="E939" t="str">
            <v>PT</v>
          </cell>
          <cell r="F939" t="str">
            <v>PT</v>
          </cell>
          <cell r="H939" t="str">
            <v>PLNT</v>
          </cell>
          <cell r="I939" t="str">
            <v>PLNT</v>
          </cell>
          <cell r="J939" t="str">
            <v>PLNT</v>
          </cell>
          <cell r="K939" t="str">
            <v>PLNT</v>
          </cell>
          <cell r="L939" t="str">
            <v>PLNT</v>
          </cell>
        </row>
        <row r="940">
          <cell r="B940" t="str">
            <v>GP</v>
          </cell>
          <cell r="C940" t="str">
            <v>GP</v>
          </cell>
          <cell r="D940" t="str">
            <v>GP</v>
          </cell>
          <cell r="E940" t="str">
            <v>GP</v>
          </cell>
          <cell r="F940" t="str">
            <v>GP</v>
          </cell>
          <cell r="H940" t="str">
            <v>PLNT</v>
          </cell>
          <cell r="I940" t="str">
            <v>PLNT</v>
          </cell>
          <cell r="J940" t="str">
            <v>PLNT</v>
          </cell>
          <cell r="K940" t="str">
            <v>PLNT</v>
          </cell>
          <cell r="L940" t="str">
            <v>PLNT</v>
          </cell>
        </row>
        <row r="941">
          <cell r="B941" t="str">
            <v>P</v>
          </cell>
          <cell r="C941" t="str">
            <v>P</v>
          </cell>
          <cell r="D941" t="str">
            <v>P</v>
          </cell>
          <cell r="E941" t="str">
            <v>P</v>
          </cell>
          <cell r="F941" t="str">
            <v>P</v>
          </cell>
          <cell r="H941" t="str">
            <v>PLNT</v>
          </cell>
          <cell r="I941" t="str">
            <v>PLNT</v>
          </cell>
          <cell r="J941" t="str">
            <v>PLNT</v>
          </cell>
          <cell r="K941" t="str">
            <v>PLNT</v>
          </cell>
          <cell r="L941" t="str">
            <v>PLNT</v>
          </cell>
        </row>
        <row r="942">
          <cell r="B942" t="str">
            <v>GP</v>
          </cell>
          <cell r="C942" t="str">
            <v>GP</v>
          </cell>
          <cell r="D942" t="str">
            <v>GP</v>
          </cell>
          <cell r="E942" t="str">
            <v>GP</v>
          </cell>
          <cell r="F942" t="str">
            <v>GP</v>
          </cell>
          <cell r="H942" t="str">
            <v>PLNT</v>
          </cell>
          <cell r="I942" t="str">
            <v>PLNT</v>
          </cell>
          <cell r="J942" t="str">
            <v>PLNT</v>
          </cell>
          <cell r="K942" t="str">
            <v>PLNT</v>
          </cell>
          <cell r="L942" t="str">
            <v>PLNT</v>
          </cell>
        </row>
        <row r="943">
          <cell r="B943" t="str">
            <v>CUST</v>
          </cell>
          <cell r="C943" t="str">
            <v>CUST</v>
          </cell>
          <cell r="D943" t="str">
            <v>CUST</v>
          </cell>
          <cell r="E943" t="str">
            <v>CUST</v>
          </cell>
          <cell r="F943" t="str">
            <v>CUST</v>
          </cell>
          <cell r="H943" t="str">
            <v>PLNT</v>
          </cell>
          <cell r="I943" t="str">
            <v>PLNT</v>
          </cell>
          <cell r="J943" t="str">
            <v>PLNT</v>
          </cell>
          <cell r="K943" t="str">
            <v>PLNT</v>
          </cell>
          <cell r="L943" t="str">
            <v>PLNT</v>
          </cell>
        </row>
        <row r="944">
          <cell r="B944" t="str">
            <v>DITEXP</v>
          </cell>
          <cell r="C944" t="str">
            <v>DITEXP</v>
          </cell>
          <cell r="D944" t="str">
            <v>DITEXP</v>
          </cell>
          <cell r="E944" t="str">
            <v>DITEXP</v>
          </cell>
          <cell r="F944" t="str">
            <v>DITEXP</v>
          </cell>
          <cell r="H944" t="str">
            <v>PLNT</v>
          </cell>
          <cell r="I944" t="str">
            <v>PLNT</v>
          </cell>
          <cell r="J944" t="str">
            <v>PLNT</v>
          </cell>
          <cell r="K944" t="str">
            <v>PLNT</v>
          </cell>
          <cell r="L944" t="str">
            <v>PLNT</v>
          </cell>
        </row>
        <row r="945">
          <cell r="B945" t="str">
            <v>P</v>
          </cell>
          <cell r="C945" t="str">
            <v>P</v>
          </cell>
          <cell r="D945" t="str">
            <v>P</v>
          </cell>
          <cell r="E945" t="str">
            <v>P</v>
          </cell>
          <cell r="F945" t="str">
            <v>P</v>
          </cell>
          <cell r="H945" t="str">
            <v>PLNT</v>
          </cell>
          <cell r="I945" t="str">
            <v>PLNT</v>
          </cell>
          <cell r="J945" t="str">
            <v>PLNT</v>
          </cell>
          <cell r="K945" t="str">
            <v>PLNT</v>
          </cell>
          <cell r="L945" t="str">
            <v>PLNT</v>
          </cell>
        </row>
        <row r="946">
          <cell r="B946" t="str">
            <v>DPW</v>
          </cell>
          <cell r="C946" t="str">
            <v>DPW</v>
          </cell>
          <cell r="D946" t="str">
            <v>DPW</v>
          </cell>
          <cell r="E946" t="str">
            <v>DPW</v>
          </cell>
          <cell r="F946" t="str">
            <v>DPW</v>
          </cell>
          <cell r="H946" t="str">
            <v>PLNT</v>
          </cell>
          <cell r="I946" t="str">
            <v>PLNT</v>
          </cell>
          <cell r="J946" t="str">
            <v>PLNT</v>
          </cell>
          <cell r="K946" t="str">
            <v>PLNT</v>
          </cell>
          <cell r="L946" t="str">
            <v>PLNT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B950" t="str">
            <v>GP</v>
          </cell>
          <cell r="C950" t="str">
            <v>GP</v>
          </cell>
          <cell r="D950" t="str">
            <v>GP</v>
          </cell>
          <cell r="E950" t="str">
            <v>GP</v>
          </cell>
          <cell r="F950" t="str">
            <v>GP</v>
          </cell>
          <cell r="H950" t="str">
            <v>PLNT</v>
          </cell>
          <cell r="I950" t="str">
            <v>PLNT</v>
          </cell>
          <cell r="J950" t="str">
            <v>PLNT</v>
          </cell>
          <cell r="K950" t="str">
            <v>PLNT</v>
          </cell>
          <cell r="L950" t="str">
            <v>PLNT</v>
          </cell>
        </row>
        <row r="951">
          <cell r="B951" t="str">
            <v>P</v>
          </cell>
          <cell r="C951" t="str">
            <v>P</v>
          </cell>
          <cell r="D951" t="str">
            <v>P</v>
          </cell>
          <cell r="E951" t="str">
            <v>P</v>
          </cell>
          <cell r="F951" t="str">
            <v>P</v>
          </cell>
          <cell r="H951" t="str">
            <v>PLNT</v>
          </cell>
          <cell r="I951" t="str">
            <v>PLNT</v>
          </cell>
          <cell r="J951" t="str">
            <v>PLNT</v>
          </cell>
          <cell r="K951" t="str">
            <v>PLNT</v>
          </cell>
          <cell r="L951" t="str">
            <v>PLNT</v>
          </cell>
        </row>
        <row r="952">
          <cell r="B952" t="str">
            <v>PT</v>
          </cell>
          <cell r="C952" t="str">
            <v>PT</v>
          </cell>
          <cell r="D952" t="str">
            <v>PT</v>
          </cell>
          <cell r="E952" t="str">
            <v>PT</v>
          </cell>
          <cell r="F952" t="str">
            <v>PT</v>
          </cell>
          <cell r="H952" t="str">
            <v>PLNT</v>
          </cell>
          <cell r="I952" t="str">
            <v>PLNT</v>
          </cell>
          <cell r="J952" t="str">
            <v>PLNT</v>
          </cell>
          <cell r="K952" t="str">
            <v>PLNT</v>
          </cell>
          <cell r="L952" t="str">
            <v>PLNT</v>
          </cell>
        </row>
        <row r="953">
          <cell r="B953" t="str">
            <v>GP</v>
          </cell>
          <cell r="C953" t="str">
            <v>GP</v>
          </cell>
          <cell r="D953" t="str">
            <v>GP</v>
          </cell>
          <cell r="E953" t="str">
            <v>GP</v>
          </cell>
          <cell r="F953" t="str">
            <v>GP</v>
          </cell>
          <cell r="H953" t="str">
            <v>PLNT</v>
          </cell>
          <cell r="I953" t="str">
            <v>PLNT</v>
          </cell>
          <cell r="J953" t="str">
            <v>PLNT</v>
          </cell>
          <cell r="K953" t="str">
            <v>PLNT</v>
          </cell>
          <cell r="L953" t="str">
            <v>PLNT</v>
          </cell>
        </row>
        <row r="954">
          <cell r="B954" t="str">
            <v>PT</v>
          </cell>
          <cell r="C954" t="str">
            <v>PT</v>
          </cell>
          <cell r="D954" t="str">
            <v>PT</v>
          </cell>
          <cell r="E954" t="str">
            <v>PT</v>
          </cell>
          <cell r="F954" t="str">
            <v>PT</v>
          </cell>
          <cell r="H954" t="str">
            <v>PLNT</v>
          </cell>
          <cell r="I954" t="str">
            <v>PLNT</v>
          </cell>
          <cell r="J954" t="str">
            <v>PLNT</v>
          </cell>
          <cell r="K954" t="str">
            <v>PLNT</v>
          </cell>
          <cell r="L954" t="str">
            <v>PLNT</v>
          </cell>
        </row>
        <row r="955">
          <cell r="B955" t="str">
            <v>GP</v>
          </cell>
          <cell r="C955" t="str">
            <v>GP</v>
          </cell>
          <cell r="D955" t="str">
            <v>GP</v>
          </cell>
          <cell r="E955" t="str">
            <v>GP</v>
          </cell>
          <cell r="F955" t="str">
            <v>GP</v>
          </cell>
          <cell r="H955" t="str">
            <v>PLNT</v>
          </cell>
          <cell r="I955" t="str">
            <v>PLNT</v>
          </cell>
          <cell r="J955" t="str">
            <v>PLNT</v>
          </cell>
          <cell r="K955" t="str">
            <v>PLNT</v>
          </cell>
          <cell r="L955" t="str">
            <v>PLNT</v>
          </cell>
        </row>
        <row r="956">
          <cell r="B956" t="str">
            <v>LABOR</v>
          </cell>
          <cell r="C956" t="str">
            <v>LABOR</v>
          </cell>
          <cell r="D956" t="str">
            <v>LABOR</v>
          </cell>
          <cell r="E956" t="str">
            <v>LABOR</v>
          </cell>
          <cell r="F956" t="str">
            <v>LABOR</v>
          </cell>
          <cell r="H956" t="str">
            <v>DISom</v>
          </cell>
          <cell r="I956" t="str">
            <v>DISom</v>
          </cell>
          <cell r="J956" t="str">
            <v>DISom</v>
          </cell>
          <cell r="K956" t="str">
            <v>DISom</v>
          </cell>
          <cell r="L956" t="str">
            <v>DISom</v>
          </cell>
        </row>
        <row r="957">
          <cell r="B957" t="str">
            <v>PT</v>
          </cell>
          <cell r="C957" t="str">
            <v>PT</v>
          </cell>
          <cell r="D957" t="str">
            <v>PT</v>
          </cell>
          <cell r="E957" t="str">
            <v>PT</v>
          </cell>
          <cell r="F957" t="str">
            <v>PT</v>
          </cell>
          <cell r="H957" t="str">
            <v>PLNT</v>
          </cell>
          <cell r="I957" t="str">
            <v>PLNT</v>
          </cell>
          <cell r="J957" t="str">
            <v>PLNT</v>
          </cell>
          <cell r="K957" t="str">
            <v>PLNT</v>
          </cell>
          <cell r="L957" t="str">
            <v>PLNT</v>
          </cell>
        </row>
        <row r="958">
          <cell r="B958" t="str">
            <v>CUST</v>
          </cell>
          <cell r="C958" t="str">
            <v>CUST</v>
          </cell>
          <cell r="D958" t="str">
            <v>CUST</v>
          </cell>
          <cell r="E958" t="str">
            <v>CUST</v>
          </cell>
          <cell r="F958" t="str">
            <v>CUST</v>
          </cell>
          <cell r="H958" t="str">
            <v>PLNT</v>
          </cell>
          <cell r="I958" t="str">
            <v>PLNT</v>
          </cell>
          <cell r="J958" t="str">
            <v>PLNT</v>
          </cell>
          <cell r="K958" t="str">
            <v>PLNT</v>
          </cell>
          <cell r="L958" t="str">
            <v>PLNT</v>
          </cell>
        </row>
        <row r="959">
          <cell r="B959" t="str">
            <v>P</v>
          </cell>
          <cell r="C959" t="str">
            <v>P</v>
          </cell>
          <cell r="D959" t="str">
            <v>P</v>
          </cell>
          <cell r="E959" t="str">
            <v>P</v>
          </cell>
          <cell r="F959" t="str">
            <v>P</v>
          </cell>
          <cell r="H959" t="str">
            <v>PLNT</v>
          </cell>
          <cell r="I959" t="str">
            <v>PLNT</v>
          </cell>
          <cell r="J959" t="str">
            <v>PLNT</v>
          </cell>
          <cell r="K959" t="str">
            <v>PLNT</v>
          </cell>
          <cell r="L959" t="str">
            <v>PLNT</v>
          </cell>
        </row>
        <row r="960">
          <cell r="B960" t="str">
            <v>DITEXP</v>
          </cell>
          <cell r="C960" t="str">
            <v>DITEXP</v>
          </cell>
          <cell r="D960" t="str">
            <v>DITEXP</v>
          </cell>
          <cell r="E960" t="str">
            <v>DITEXP</v>
          </cell>
          <cell r="F960" t="str">
            <v>DITEXP</v>
          </cell>
          <cell r="H960" t="str">
            <v>PLNT</v>
          </cell>
          <cell r="I960" t="str">
            <v>PLNT</v>
          </cell>
          <cell r="J960" t="str">
            <v>PLNT</v>
          </cell>
          <cell r="K960" t="str">
            <v>PLNT</v>
          </cell>
          <cell r="L960" t="str">
            <v>PLNT</v>
          </cell>
        </row>
        <row r="961">
          <cell r="B961" t="str">
            <v>P</v>
          </cell>
          <cell r="C961" t="str">
            <v>P</v>
          </cell>
          <cell r="D961" t="str">
            <v>P</v>
          </cell>
          <cell r="E961" t="str">
            <v>P</v>
          </cell>
          <cell r="F961" t="str">
            <v>P</v>
          </cell>
          <cell r="H961" t="str">
            <v>PLNT</v>
          </cell>
          <cell r="I961" t="str">
            <v>PLNT</v>
          </cell>
          <cell r="J961" t="str">
            <v>PLNT</v>
          </cell>
          <cell r="K961" t="str">
            <v>PLNT</v>
          </cell>
          <cell r="L961" t="str">
            <v>PLNT</v>
          </cell>
        </row>
        <row r="962">
          <cell r="B962" t="str">
            <v>IBT</v>
          </cell>
          <cell r="C962" t="str">
            <v>IBT</v>
          </cell>
          <cell r="D962" t="str">
            <v>IBT</v>
          </cell>
          <cell r="E962" t="str">
            <v>IBT</v>
          </cell>
          <cell r="F962" t="str">
            <v>IBT</v>
          </cell>
          <cell r="H962" t="str">
            <v>PLNT</v>
          </cell>
          <cell r="I962" t="str">
            <v>PLNT</v>
          </cell>
          <cell r="J962" t="str">
            <v>PLNT</v>
          </cell>
          <cell r="K962" t="str">
            <v>PLNT</v>
          </cell>
          <cell r="L962" t="str">
            <v>PLNT</v>
          </cell>
        </row>
        <row r="963">
          <cell r="B963" t="str">
            <v>DPW</v>
          </cell>
          <cell r="C963" t="str">
            <v>DPW</v>
          </cell>
          <cell r="D963" t="str">
            <v>DPW</v>
          </cell>
          <cell r="E963" t="str">
            <v>DPW</v>
          </cell>
          <cell r="F963" t="str">
            <v>DPW</v>
          </cell>
          <cell r="H963" t="str">
            <v>PLNT</v>
          </cell>
          <cell r="I963" t="str">
            <v>PLNT</v>
          </cell>
          <cell r="J963" t="str">
            <v>PLNT</v>
          </cell>
          <cell r="K963" t="str">
            <v>PLNT</v>
          </cell>
          <cell r="L963" t="str">
            <v>PLNT</v>
          </cell>
        </row>
        <row r="964">
          <cell r="B964" t="str">
            <v>GP</v>
          </cell>
          <cell r="C964" t="str">
            <v>GP</v>
          </cell>
          <cell r="D964" t="str">
            <v>GP</v>
          </cell>
          <cell r="E964" t="str">
            <v>GP</v>
          </cell>
          <cell r="F964" t="str">
            <v>GP</v>
          </cell>
          <cell r="H964" t="str">
            <v>PLNT</v>
          </cell>
          <cell r="I964" t="str">
            <v>PLNT</v>
          </cell>
          <cell r="J964" t="str">
            <v>PLNT</v>
          </cell>
          <cell r="K964" t="str">
            <v>PLNT</v>
          </cell>
          <cell r="L964" t="str">
            <v>PLNT</v>
          </cell>
        </row>
        <row r="965">
          <cell r="B965" t="str">
            <v>TAXDEPR</v>
          </cell>
          <cell r="C965" t="str">
            <v>TAXDEPR</v>
          </cell>
          <cell r="D965" t="str">
            <v>TAXDEPR</v>
          </cell>
          <cell r="E965" t="str">
            <v>TAXDEPR</v>
          </cell>
          <cell r="F965" t="str">
            <v>TAXDEPR</v>
          </cell>
          <cell r="H965" t="str">
            <v>PLNT</v>
          </cell>
          <cell r="I965" t="str">
            <v>PLNT</v>
          </cell>
          <cell r="J965" t="str">
            <v>PLNT</v>
          </cell>
          <cell r="K965" t="str">
            <v>PLNT</v>
          </cell>
          <cell r="L965" t="str">
            <v>PLNT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B969" t="str">
            <v>GP</v>
          </cell>
          <cell r="C969" t="str">
            <v>GP</v>
          </cell>
          <cell r="D969" t="str">
            <v>GP</v>
          </cell>
          <cell r="E969" t="str">
            <v>GP</v>
          </cell>
          <cell r="F969" t="str">
            <v>GP</v>
          </cell>
          <cell r="H969" t="str">
            <v>PLNT</v>
          </cell>
          <cell r="I969" t="str">
            <v>PLNT</v>
          </cell>
          <cell r="J969" t="str">
            <v>PLNT</v>
          </cell>
          <cell r="K969" t="str">
            <v>PLNT</v>
          </cell>
          <cell r="L969" t="str">
            <v>PLNT</v>
          </cell>
        </row>
        <row r="970">
          <cell r="B970" t="str">
            <v>GP</v>
          </cell>
          <cell r="C970" t="str">
            <v>GP</v>
          </cell>
          <cell r="D970" t="str">
            <v>GP</v>
          </cell>
          <cell r="E970" t="str">
            <v>GP</v>
          </cell>
          <cell r="F970" t="str">
            <v>GP</v>
          </cell>
          <cell r="H970" t="str">
            <v>PLNT</v>
          </cell>
          <cell r="I970" t="str">
            <v>PLNT</v>
          </cell>
          <cell r="J970" t="str">
            <v>PLNT</v>
          </cell>
          <cell r="K970" t="str">
            <v>PLNT</v>
          </cell>
          <cell r="L970" t="str">
            <v>PLNT</v>
          </cell>
        </row>
        <row r="971">
          <cell r="B971" t="str">
            <v>DITEXP</v>
          </cell>
          <cell r="C971" t="str">
            <v>DITEXP</v>
          </cell>
          <cell r="D971" t="str">
            <v>DITEXP</v>
          </cell>
          <cell r="E971" t="str">
            <v>DITEXP</v>
          </cell>
          <cell r="F971" t="str">
            <v>DITEXP</v>
          </cell>
          <cell r="H971" t="str">
            <v>PLNT</v>
          </cell>
          <cell r="I971" t="str">
            <v>PLNT</v>
          </cell>
          <cell r="J971" t="str">
            <v>PLNT</v>
          </cell>
          <cell r="K971" t="str">
            <v>PLNT</v>
          </cell>
          <cell r="L971" t="str">
            <v>PLNT</v>
          </cell>
        </row>
        <row r="972">
          <cell r="B972" t="str">
            <v>PT</v>
          </cell>
          <cell r="C972" t="str">
            <v>PT</v>
          </cell>
          <cell r="D972" t="str">
            <v>PT</v>
          </cell>
          <cell r="E972" t="str">
            <v>PT</v>
          </cell>
          <cell r="F972" t="str">
            <v>PT</v>
          </cell>
          <cell r="H972" t="str">
            <v>PLNT</v>
          </cell>
          <cell r="I972" t="str">
            <v>PLNT</v>
          </cell>
          <cell r="J972" t="str">
            <v>PLNT</v>
          </cell>
          <cell r="K972" t="str">
            <v>PLNT</v>
          </cell>
          <cell r="L972" t="str">
            <v>PLNT</v>
          </cell>
        </row>
        <row r="973">
          <cell r="B973" t="str">
            <v>P</v>
          </cell>
          <cell r="C973" t="str">
            <v>P</v>
          </cell>
          <cell r="D973" t="str">
            <v>P</v>
          </cell>
          <cell r="E973" t="str">
            <v>P</v>
          </cell>
          <cell r="F973" t="str">
            <v>P</v>
          </cell>
          <cell r="H973" t="str">
            <v>PLNT</v>
          </cell>
          <cell r="I973" t="str">
            <v>PLNT</v>
          </cell>
          <cell r="J973" t="str">
            <v>PLNT</v>
          </cell>
          <cell r="K973" t="str">
            <v>PLNT</v>
          </cell>
          <cell r="L973" t="str">
            <v>PLNT</v>
          </cell>
        </row>
        <row r="974">
          <cell r="B974" t="str">
            <v>PT</v>
          </cell>
          <cell r="C974" t="str">
            <v>PT</v>
          </cell>
          <cell r="D974" t="str">
            <v>PT</v>
          </cell>
          <cell r="E974" t="str">
            <v>PT</v>
          </cell>
          <cell r="F974" t="str">
            <v>PT</v>
          </cell>
          <cell r="H974" t="str">
            <v>PLNT</v>
          </cell>
          <cell r="I974" t="str">
            <v>PLNT</v>
          </cell>
          <cell r="J974" t="str">
            <v>PLNT</v>
          </cell>
          <cell r="K974" t="str">
            <v>PLNT</v>
          </cell>
          <cell r="L974" t="str">
            <v>PLNT</v>
          </cell>
        </row>
        <row r="975">
          <cell r="B975" t="str">
            <v>CUST</v>
          </cell>
          <cell r="C975" t="str">
            <v>CUST</v>
          </cell>
          <cell r="D975" t="str">
            <v>CUST</v>
          </cell>
          <cell r="E975" t="str">
            <v>CUST</v>
          </cell>
          <cell r="F975" t="str">
            <v>CUST</v>
          </cell>
          <cell r="H975" t="str">
            <v>PLNT</v>
          </cell>
          <cell r="I975" t="str">
            <v>PLNT</v>
          </cell>
          <cell r="J975" t="str">
            <v>PLNT</v>
          </cell>
          <cell r="K975" t="str">
            <v>PLNT</v>
          </cell>
          <cell r="L975" t="str">
            <v>PLNT</v>
          </cell>
        </row>
        <row r="976">
          <cell r="B976" t="str">
            <v>GP</v>
          </cell>
          <cell r="C976" t="str">
            <v>GP</v>
          </cell>
          <cell r="D976" t="str">
            <v>GP</v>
          </cell>
          <cell r="E976" t="str">
            <v>GP</v>
          </cell>
          <cell r="F976" t="str">
            <v>GP</v>
          </cell>
          <cell r="H976" t="str">
            <v>PLNT</v>
          </cell>
          <cell r="I976" t="str">
            <v>PLNT</v>
          </cell>
          <cell r="J976" t="str">
            <v>PLNT</v>
          </cell>
          <cell r="K976" t="str">
            <v>PLNT</v>
          </cell>
          <cell r="L976" t="str">
            <v>PLNT</v>
          </cell>
        </row>
        <row r="977">
          <cell r="B977" t="str">
            <v>LABOR</v>
          </cell>
          <cell r="C977" t="str">
            <v>LABOR</v>
          </cell>
          <cell r="D977" t="str">
            <v>LABOR</v>
          </cell>
          <cell r="E977" t="str">
            <v>LABOR</v>
          </cell>
          <cell r="F977" t="str">
            <v>LABOR</v>
          </cell>
          <cell r="H977" t="str">
            <v>DISom</v>
          </cell>
          <cell r="I977" t="str">
            <v>DISom</v>
          </cell>
          <cell r="J977" t="str">
            <v>DISom</v>
          </cell>
          <cell r="K977" t="str">
            <v>DISom</v>
          </cell>
          <cell r="L977" t="str">
            <v>DISom</v>
          </cell>
        </row>
        <row r="978">
          <cell r="B978" t="str">
            <v>P</v>
          </cell>
          <cell r="C978" t="str">
            <v>P</v>
          </cell>
          <cell r="D978" t="str">
            <v>P</v>
          </cell>
          <cell r="E978" t="str">
            <v>P</v>
          </cell>
          <cell r="F978" t="str">
            <v>P</v>
          </cell>
          <cell r="H978" t="str">
            <v>PLNT</v>
          </cell>
          <cell r="I978" t="str">
            <v>PLNT</v>
          </cell>
          <cell r="J978" t="str">
            <v>PLNT</v>
          </cell>
          <cell r="K978" t="str">
            <v>PLNT</v>
          </cell>
          <cell r="L978" t="str">
            <v>PLNT</v>
          </cell>
        </row>
        <row r="979">
          <cell r="B979" t="str">
            <v>P</v>
          </cell>
          <cell r="C979" t="str">
            <v>P</v>
          </cell>
          <cell r="D979" t="str">
            <v>P</v>
          </cell>
          <cell r="E979" t="str">
            <v>P</v>
          </cell>
          <cell r="F979" t="str">
            <v>P</v>
          </cell>
          <cell r="H979" t="str">
            <v>PLNT</v>
          </cell>
          <cell r="I979" t="str">
            <v>PLNT</v>
          </cell>
          <cell r="J979" t="str">
            <v>PLNT</v>
          </cell>
          <cell r="K979" t="str">
            <v>PLNT</v>
          </cell>
          <cell r="L979" t="str">
            <v>PLNT</v>
          </cell>
        </row>
        <row r="980">
          <cell r="B980" t="str">
            <v>PT</v>
          </cell>
          <cell r="C980" t="str">
            <v>PT</v>
          </cell>
          <cell r="D980" t="str">
            <v>PT</v>
          </cell>
          <cell r="E980" t="str">
            <v>PT</v>
          </cell>
          <cell r="F980" t="str">
            <v>PT</v>
          </cell>
          <cell r="H980" t="str">
            <v>PLNT</v>
          </cell>
          <cell r="I980" t="str">
            <v>PLNT</v>
          </cell>
          <cell r="J980" t="str">
            <v>PLNT</v>
          </cell>
          <cell r="K980" t="str">
            <v>PLNT</v>
          </cell>
          <cell r="L980" t="str">
            <v>PLNT</v>
          </cell>
        </row>
        <row r="981"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B986" t="str">
            <v>SCHMAF</v>
          </cell>
          <cell r="C986" t="str">
            <v>SCHMAF</v>
          </cell>
          <cell r="D986" t="str">
            <v>SCHMAF</v>
          </cell>
          <cell r="E986" t="str">
            <v>SCHMAF</v>
          </cell>
          <cell r="F986" t="str">
            <v>SCHMAF</v>
          </cell>
          <cell r="H986" t="str">
            <v>PLNT</v>
          </cell>
          <cell r="I986" t="str">
            <v>PLNT</v>
          </cell>
          <cell r="J986" t="str">
            <v>PLNT</v>
          </cell>
          <cell r="K986" t="str">
            <v>PLNT</v>
          </cell>
          <cell r="L986" t="str">
            <v>PLNT</v>
          </cell>
        </row>
        <row r="987">
          <cell r="B987" t="str">
            <v>SCHMAF</v>
          </cell>
          <cell r="C987" t="str">
            <v>SCHMAF</v>
          </cell>
          <cell r="D987" t="str">
            <v>SCHMAF</v>
          </cell>
          <cell r="E987" t="str">
            <v>SCHMAF</v>
          </cell>
          <cell r="F987" t="str">
            <v>SCHMAF</v>
          </cell>
          <cell r="H987" t="str">
            <v>PLNT</v>
          </cell>
          <cell r="I987" t="str">
            <v>PLNT</v>
          </cell>
          <cell r="J987" t="str">
            <v>PLNT</v>
          </cell>
          <cell r="K987" t="str">
            <v>PLNT</v>
          </cell>
          <cell r="L987" t="str">
            <v>PLNT</v>
          </cell>
        </row>
        <row r="988">
          <cell r="B988" t="str">
            <v>SCHMAF</v>
          </cell>
          <cell r="C988" t="str">
            <v>SCHMAF</v>
          </cell>
          <cell r="D988" t="str">
            <v>SCHMAF</v>
          </cell>
          <cell r="E988" t="str">
            <v>SCHMAF</v>
          </cell>
          <cell r="F988" t="str">
            <v>SCHMAF</v>
          </cell>
          <cell r="H988" t="str">
            <v>PLNT</v>
          </cell>
          <cell r="I988" t="str">
            <v>PLNT</v>
          </cell>
          <cell r="J988" t="str">
            <v>PLNT</v>
          </cell>
          <cell r="K988" t="str">
            <v>PLNT</v>
          </cell>
          <cell r="L988" t="str">
            <v>PLNT</v>
          </cell>
        </row>
        <row r="989">
          <cell r="B989" t="str">
            <v>SCHMAF</v>
          </cell>
          <cell r="C989" t="str">
            <v>SCHMAF</v>
          </cell>
          <cell r="D989" t="str">
            <v>SCHMAF</v>
          </cell>
          <cell r="E989" t="str">
            <v>SCHMAF</v>
          </cell>
          <cell r="F989" t="str">
            <v>SCHMAF</v>
          </cell>
          <cell r="H989" t="str">
            <v>PLNT</v>
          </cell>
          <cell r="I989" t="str">
            <v>PLNT</v>
          </cell>
          <cell r="J989" t="str">
            <v>PLNT</v>
          </cell>
          <cell r="K989" t="str">
            <v>PLNT</v>
          </cell>
          <cell r="L989" t="str">
            <v>PLNT</v>
          </cell>
        </row>
        <row r="990">
          <cell r="B990" t="str">
            <v>SCHMAF</v>
          </cell>
          <cell r="C990" t="str">
            <v>SCHMAF</v>
          </cell>
          <cell r="D990" t="str">
            <v>SCHMAF</v>
          </cell>
          <cell r="E990" t="str">
            <v>SCHMAF</v>
          </cell>
          <cell r="F990" t="str">
            <v>SCHMAF</v>
          </cell>
          <cell r="H990" t="str">
            <v>PLNT</v>
          </cell>
          <cell r="I990" t="str">
            <v>PLNT</v>
          </cell>
          <cell r="J990" t="str">
            <v>PLNT</v>
          </cell>
          <cell r="K990" t="str">
            <v>PLNT</v>
          </cell>
          <cell r="L990" t="str">
            <v>PLNT</v>
          </cell>
        </row>
        <row r="991">
          <cell r="B991" t="str">
            <v>SCHMAF</v>
          </cell>
          <cell r="C991" t="str">
            <v>SCHMAF</v>
          </cell>
          <cell r="D991" t="str">
            <v>SCHMAF</v>
          </cell>
          <cell r="E991" t="str">
            <v>SCHMAF</v>
          </cell>
          <cell r="F991" t="str">
            <v>SCHMAF</v>
          </cell>
          <cell r="H991" t="str">
            <v>PLNT</v>
          </cell>
          <cell r="I991" t="str">
            <v>PLNT</v>
          </cell>
          <cell r="J991" t="str">
            <v>PLNT</v>
          </cell>
          <cell r="K991" t="str">
            <v>PLNT</v>
          </cell>
          <cell r="L991" t="str">
            <v>PLNT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B995" t="str">
            <v>P</v>
          </cell>
          <cell r="C995" t="str">
            <v>P</v>
          </cell>
          <cell r="D995" t="str">
            <v>P</v>
          </cell>
          <cell r="E995" t="str">
            <v>P</v>
          </cell>
          <cell r="F995" t="str">
            <v>P</v>
          </cell>
          <cell r="H995" t="str">
            <v>DRB</v>
          </cell>
          <cell r="I995" t="str">
            <v>DRB</v>
          </cell>
          <cell r="J995" t="str">
            <v>DRB</v>
          </cell>
          <cell r="K995" t="str">
            <v>DRB</v>
          </cell>
          <cell r="L995" t="str">
            <v>DRB</v>
          </cell>
        </row>
        <row r="996">
          <cell r="B996" t="str">
            <v>P</v>
          </cell>
          <cell r="C996" t="str">
            <v>P</v>
          </cell>
          <cell r="D996" t="str">
            <v>P</v>
          </cell>
          <cell r="E996" t="str">
            <v>P</v>
          </cell>
          <cell r="F996" t="str">
            <v>P</v>
          </cell>
          <cell r="H996" t="str">
            <v>DRB</v>
          </cell>
          <cell r="I996" t="str">
            <v>DRB</v>
          </cell>
          <cell r="J996" t="str">
            <v>DRB</v>
          </cell>
          <cell r="K996" t="str">
            <v>DRB</v>
          </cell>
          <cell r="L996" t="str">
            <v>DRB</v>
          </cell>
        </row>
        <row r="997">
          <cell r="B997" t="str">
            <v>LABOR</v>
          </cell>
          <cell r="C997" t="str">
            <v>LABOR</v>
          </cell>
          <cell r="D997" t="str">
            <v>LABOR</v>
          </cell>
          <cell r="E997" t="str">
            <v>LABOR</v>
          </cell>
          <cell r="F997" t="str">
            <v>LABOR</v>
          </cell>
          <cell r="H997" t="str">
            <v>DISom</v>
          </cell>
          <cell r="I997" t="str">
            <v>DISom</v>
          </cell>
          <cell r="J997" t="str">
            <v>DISom</v>
          </cell>
          <cell r="K997" t="str">
            <v>DISom</v>
          </cell>
          <cell r="L997" t="str">
            <v>DISom</v>
          </cell>
        </row>
        <row r="998">
          <cell r="B998" t="str">
            <v>SCHMAP-SO</v>
          </cell>
          <cell r="C998" t="str">
            <v>SCHMAP-SO</v>
          </cell>
          <cell r="D998" t="str">
            <v>SCHMAP-SO</v>
          </cell>
          <cell r="E998" t="str">
            <v>SCHMAP-SO</v>
          </cell>
          <cell r="F998" t="str">
            <v>SCHMAP-SO</v>
          </cell>
          <cell r="H998" t="str">
            <v>DISom</v>
          </cell>
          <cell r="I998" t="str">
            <v>DISom</v>
          </cell>
          <cell r="J998" t="str">
            <v>DISom</v>
          </cell>
          <cell r="K998" t="str">
            <v>DISom</v>
          </cell>
          <cell r="L998" t="str">
            <v>DISom</v>
          </cell>
        </row>
        <row r="999">
          <cell r="B999" t="str">
            <v>SCHMAP</v>
          </cell>
          <cell r="C999" t="str">
            <v>SCHMAP</v>
          </cell>
          <cell r="D999" t="str">
            <v>SCHMAP</v>
          </cell>
          <cell r="E999" t="str">
            <v>SCHMAP</v>
          </cell>
          <cell r="F999" t="str">
            <v>SCHMAP</v>
          </cell>
          <cell r="H999" t="str">
            <v>DRB</v>
          </cell>
          <cell r="I999" t="str">
            <v>DRB</v>
          </cell>
          <cell r="J999" t="str">
            <v>DRB</v>
          </cell>
          <cell r="K999" t="str">
            <v>DRB</v>
          </cell>
          <cell r="L999" t="str">
            <v>DRB</v>
          </cell>
        </row>
        <row r="1000">
          <cell r="B1000" t="str">
            <v>BOOKDEPR</v>
          </cell>
          <cell r="C1000" t="str">
            <v>BOOKDEPR</v>
          </cell>
          <cell r="D1000" t="str">
            <v>BOOKDEPR</v>
          </cell>
          <cell r="E1000" t="str">
            <v>BOOKDEPR</v>
          </cell>
          <cell r="F1000" t="str">
            <v>BOOKDEPR</v>
          </cell>
          <cell r="H1000" t="str">
            <v>PLNT</v>
          </cell>
          <cell r="I1000" t="str">
            <v>PLNT</v>
          </cell>
          <cell r="J1000" t="str">
            <v>PLNT</v>
          </cell>
          <cell r="K1000" t="str">
            <v>PLNT</v>
          </cell>
          <cell r="L1000" t="str">
            <v>PLNT</v>
          </cell>
        </row>
        <row r="1001"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B1003">
            <v>0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B1004" t="str">
            <v>SCHMAT-SITUS</v>
          </cell>
          <cell r="C1004" t="str">
            <v>SCHMAT-SITUS</v>
          </cell>
          <cell r="D1004" t="str">
            <v>SCHMAT-SITUS</v>
          </cell>
          <cell r="E1004" t="str">
            <v>SCHMAT-SITUS</v>
          </cell>
          <cell r="F1004" t="str">
            <v>SCHMAT-SITUS</v>
          </cell>
          <cell r="H1004" t="str">
            <v>PLNT</v>
          </cell>
          <cell r="I1004" t="str">
            <v>PLNT</v>
          </cell>
          <cell r="J1004" t="str">
            <v>PLNT</v>
          </cell>
          <cell r="K1004" t="str">
            <v>PLNT</v>
          </cell>
          <cell r="L1004" t="str">
            <v>PLNT</v>
          </cell>
        </row>
        <row r="1005">
          <cell r="B1005" t="str">
            <v>P</v>
          </cell>
          <cell r="C1005" t="str">
            <v>P</v>
          </cell>
          <cell r="D1005" t="str">
            <v>P</v>
          </cell>
          <cell r="E1005" t="str">
            <v>P</v>
          </cell>
          <cell r="F1005" t="str">
            <v>P</v>
          </cell>
          <cell r="H1005" t="str">
            <v>DRB</v>
          </cell>
          <cell r="I1005" t="str">
            <v>DRB</v>
          </cell>
          <cell r="J1005" t="str">
            <v>DRB</v>
          </cell>
          <cell r="K1005" t="str">
            <v>DRB</v>
          </cell>
          <cell r="L1005" t="str">
            <v>DRB</v>
          </cell>
        </row>
        <row r="1006">
          <cell r="B1006" t="str">
            <v>DPW</v>
          </cell>
          <cell r="C1006" t="str">
            <v>DPW</v>
          </cell>
          <cell r="D1006" t="str">
            <v>DPW</v>
          </cell>
          <cell r="E1006" t="str">
            <v>DPW</v>
          </cell>
          <cell r="F1006" t="str">
            <v>DPW</v>
          </cell>
          <cell r="H1006" t="str">
            <v>PLNT</v>
          </cell>
          <cell r="I1006" t="str">
            <v>PLNT</v>
          </cell>
          <cell r="J1006" t="str">
            <v>PLNT</v>
          </cell>
          <cell r="K1006" t="str">
            <v>PLNT</v>
          </cell>
          <cell r="L1006" t="str">
            <v>PLNT</v>
          </cell>
        </row>
        <row r="1007">
          <cell r="B1007" t="str">
            <v>SCHMAT-SNP</v>
          </cell>
          <cell r="C1007" t="str">
            <v>SCHMAT-SNP</v>
          </cell>
          <cell r="D1007" t="str">
            <v>SCHMAT-SNP</v>
          </cell>
          <cell r="E1007" t="str">
            <v>SCHMAT-SNP</v>
          </cell>
          <cell r="F1007" t="str">
            <v>SCHMAT-SNP</v>
          </cell>
          <cell r="H1007" t="str">
            <v>DISom</v>
          </cell>
          <cell r="I1007" t="str">
            <v>DISom</v>
          </cell>
          <cell r="J1007" t="str">
            <v>DISom</v>
          </cell>
          <cell r="K1007" t="str">
            <v>DISom</v>
          </cell>
          <cell r="L1007" t="str">
            <v>DISom</v>
          </cell>
        </row>
        <row r="1008">
          <cell r="B1008" t="str">
            <v>P</v>
          </cell>
          <cell r="C1008" t="str">
            <v>P</v>
          </cell>
          <cell r="D1008" t="str">
            <v>P</v>
          </cell>
          <cell r="E1008" t="str">
            <v>P</v>
          </cell>
          <cell r="F1008" t="str">
            <v>P</v>
          </cell>
          <cell r="H1008" t="str">
            <v>DRB</v>
          </cell>
          <cell r="I1008" t="str">
            <v>DRB</v>
          </cell>
          <cell r="J1008" t="str">
            <v>DRB</v>
          </cell>
          <cell r="K1008" t="str">
            <v>DRB</v>
          </cell>
          <cell r="L1008" t="str">
            <v>DRB</v>
          </cell>
        </row>
        <row r="1009">
          <cell r="B1009" t="str">
            <v>P</v>
          </cell>
          <cell r="C1009" t="str">
            <v>P</v>
          </cell>
          <cell r="D1009" t="str">
            <v>P</v>
          </cell>
          <cell r="E1009" t="str">
            <v>P</v>
          </cell>
          <cell r="F1009" t="str">
            <v>P</v>
          </cell>
          <cell r="H1009" t="str">
            <v>DRB</v>
          </cell>
          <cell r="I1009" t="str">
            <v>DRB</v>
          </cell>
          <cell r="J1009" t="str">
            <v>DRB</v>
          </cell>
          <cell r="K1009" t="str">
            <v>DRB</v>
          </cell>
          <cell r="L1009" t="str">
            <v>DRB</v>
          </cell>
        </row>
        <row r="1010">
          <cell r="B1010" t="str">
            <v>SCHMAT-SE</v>
          </cell>
          <cell r="C1010" t="str">
            <v>SCHMAT-SE</v>
          </cell>
          <cell r="D1010" t="str">
            <v>SCHMAT-SE</v>
          </cell>
          <cell r="E1010" t="str">
            <v>SCHMAT-SE</v>
          </cell>
          <cell r="F1010" t="str">
            <v>SCHMAT-SE</v>
          </cell>
          <cell r="H1010" t="str">
            <v>DRB</v>
          </cell>
          <cell r="I1010" t="str">
            <v>DRB</v>
          </cell>
          <cell r="J1010" t="str">
            <v>DRB</v>
          </cell>
          <cell r="K1010" t="str">
            <v>DRB</v>
          </cell>
          <cell r="L1010" t="str">
            <v>DRB</v>
          </cell>
        </row>
        <row r="1011">
          <cell r="B1011" t="str">
            <v>P</v>
          </cell>
          <cell r="C1011" t="str">
            <v>P</v>
          </cell>
          <cell r="D1011" t="str">
            <v>P</v>
          </cell>
          <cell r="E1011" t="str">
            <v>P</v>
          </cell>
          <cell r="F1011" t="str">
            <v>P</v>
          </cell>
          <cell r="H1011" t="str">
            <v>DRB</v>
          </cell>
          <cell r="I1011" t="str">
            <v>DRB</v>
          </cell>
          <cell r="J1011" t="str">
            <v>DRB</v>
          </cell>
          <cell r="K1011" t="str">
            <v>DRB</v>
          </cell>
          <cell r="L1011" t="str">
            <v>DRB</v>
          </cell>
        </row>
        <row r="1012">
          <cell r="B1012" t="str">
            <v>SCHMAT</v>
          </cell>
          <cell r="C1012" t="str">
            <v>SCHMAT</v>
          </cell>
          <cell r="D1012" t="str">
            <v>SCHMAT</v>
          </cell>
          <cell r="E1012" t="str">
            <v>SCHMAT</v>
          </cell>
          <cell r="F1012" t="str">
            <v>SCHMAT</v>
          </cell>
          <cell r="H1012" t="str">
            <v>PLNT</v>
          </cell>
          <cell r="I1012" t="str">
            <v>PLNT</v>
          </cell>
          <cell r="J1012" t="str">
            <v>PLNT</v>
          </cell>
          <cell r="K1012" t="str">
            <v>PLNT</v>
          </cell>
          <cell r="L1012" t="str">
            <v>PLNT</v>
          </cell>
        </row>
        <row r="1013">
          <cell r="B1013" t="str">
            <v>SCHMAT-SO</v>
          </cell>
          <cell r="C1013" t="str">
            <v>SCHMAT-SO</v>
          </cell>
          <cell r="D1013" t="str">
            <v>SCHMAT-SO</v>
          </cell>
          <cell r="E1013" t="str">
            <v>SCHMAT-SO</v>
          </cell>
          <cell r="F1013" t="str">
            <v>SCHMAT-SO</v>
          </cell>
          <cell r="H1013" t="str">
            <v>DISom</v>
          </cell>
          <cell r="I1013" t="str">
            <v>DISom</v>
          </cell>
          <cell r="J1013" t="str">
            <v>DISom</v>
          </cell>
          <cell r="K1013" t="str">
            <v>DISom</v>
          </cell>
          <cell r="L1013" t="str">
            <v>DISom</v>
          </cell>
        </row>
        <row r="1014">
          <cell r="B1014" t="str">
            <v>SCHMAT-SNP</v>
          </cell>
          <cell r="C1014" t="str">
            <v>SCHMAT-SNP</v>
          </cell>
          <cell r="D1014" t="str">
            <v>SCHMAT-SNP</v>
          </cell>
          <cell r="E1014" t="str">
            <v>SCHMAT-SNP</v>
          </cell>
          <cell r="F1014" t="str">
            <v>SCHMAT-SNP</v>
          </cell>
          <cell r="H1014" t="str">
            <v>DISom</v>
          </cell>
          <cell r="I1014" t="str">
            <v>DISom</v>
          </cell>
          <cell r="J1014" t="str">
            <v>DISom</v>
          </cell>
          <cell r="K1014" t="str">
            <v>DISom</v>
          </cell>
          <cell r="L1014" t="str">
            <v>DISom</v>
          </cell>
        </row>
        <row r="1015">
          <cell r="B1015" t="str">
            <v>CUST</v>
          </cell>
          <cell r="C1015" t="str">
            <v>CUST</v>
          </cell>
          <cell r="D1015" t="str">
            <v>CUST</v>
          </cell>
          <cell r="E1015" t="str">
            <v>CUST</v>
          </cell>
          <cell r="F1015" t="str">
            <v>CUST</v>
          </cell>
          <cell r="H1015" t="str">
            <v>CUST</v>
          </cell>
          <cell r="I1015" t="str">
            <v>CUST</v>
          </cell>
          <cell r="J1015" t="str">
            <v>CUST</v>
          </cell>
          <cell r="K1015" t="str">
            <v>CUST</v>
          </cell>
          <cell r="L1015" t="str">
            <v>CUST</v>
          </cell>
        </row>
        <row r="1016">
          <cell r="B1016" t="str">
            <v>P</v>
          </cell>
          <cell r="C1016" t="str">
            <v>P</v>
          </cell>
          <cell r="D1016" t="str">
            <v>P</v>
          </cell>
          <cell r="E1016" t="str">
            <v>P</v>
          </cell>
          <cell r="F1016" t="str">
            <v>P</v>
          </cell>
          <cell r="H1016" t="str">
            <v>DRB</v>
          </cell>
          <cell r="I1016" t="str">
            <v>DRB</v>
          </cell>
          <cell r="J1016" t="str">
            <v>DRB</v>
          </cell>
          <cell r="K1016" t="str">
            <v>DRB</v>
          </cell>
          <cell r="L1016" t="str">
            <v>DRB</v>
          </cell>
        </row>
        <row r="1017">
          <cell r="B1017" t="str">
            <v>BOOKDEPR</v>
          </cell>
          <cell r="C1017" t="str">
            <v>BOOKDEPR</v>
          </cell>
          <cell r="D1017" t="str">
            <v>BOOKDEPR</v>
          </cell>
          <cell r="E1017" t="str">
            <v>BOOKDEPR</v>
          </cell>
          <cell r="F1017" t="str">
            <v>BOOKDEPR</v>
          </cell>
          <cell r="H1017" t="str">
            <v>PLNT</v>
          </cell>
          <cell r="I1017" t="str">
            <v>PLNT</v>
          </cell>
          <cell r="J1017" t="str">
            <v>PLNT</v>
          </cell>
          <cell r="K1017" t="str">
            <v>PLNT</v>
          </cell>
          <cell r="L1017" t="str">
            <v>PLNT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B1020">
            <v>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B1023" t="str">
            <v>SCHMDF</v>
          </cell>
          <cell r="C1023" t="str">
            <v>SCHMDF</v>
          </cell>
          <cell r="D1023" t="str">
            <v>SCHMDF</v>
          </cell>
          <cell r="E1023" t="str">
            <v>SCHMDF</v>
          </cell>
          <cell r="F1023" t="str">
            <v>SCHMDF</v>
          </cell>
          <cell r="H1023" t="str">
            <v>PLNT</v>
          </cell>
          <cell r="I1023" t="str">
            <v>PLNT</v>
          </cell>
          <cell r="J1023" t="str">
            <v>PLNT</v>
          </cell>
          <cell r="K1023" t="str">
            <v>PLNT</v>
          </cell>
          <cell r="L1023" t="str">
            <v>PLNT</v>
          </cell>
        </row>
        <row r="1024">
          <cell r="B1024" t="str">
            <v>SCHMDF</v>
          </cell>
          <cell r="C1024" t="str">
            <v>SCHMDF</v>
          </cell>
          <cell r="D1024" t="str">
            <v>SCHMDF</v>
          </cell>
          <cell r="E1024" t="str">
            <v>SCHMDF</v>
          </cell>
          <cell r="F1024" t="str">
            <v>SCHMDF</v>
          </cell>
          <cell r="H1024" t="str">
            <v>PLNT</v>
          </cell>
          <cell r="I1024" t="str">
            <v>PLNT</v>
          </cell>
          <cell r="J1024" t="str">
            <v>PLNT</v>
          </cell>
          <cell r="K1024" t="str">
            <v>PLNT</v>
          </cell>
          <cell r="L1024" t="str">
            <v>PLNT</v>
          </cell>
        </row>
        <row r="1025">
          <cell r="B1025" t="str">
            <v>SCHMDF</v>
          </cell>
          <cell r="C1025" t="str">
            <v>SCHMDF</v>
          </cell>
          <cell r="D1025" t="str">
            <v>SCHMDF</v>
          </cell>
          <cell r="E1025" t="str">
            <v>SCHMDF</v>
          </cell>
          <cell r="F1025" t="str">
            <v>SCHMDF</v>
          </cell>
          <cell r="H1025" t="str">
            <v>PLNT</v>
          </cell>
          <cell r="I1025" t="str">
            <v>PLNT</v>
          </cell>
          <cell r="J1025" t="str">
            <v>PLNT</v>
          </cell>
          <cell r="K1025" t="str">
            <v>PLNT</v>
          </cell>
          <cell r="L1025" t="str">
            <v>PLNT</v>
          </cell>
        </row>
        <row r="1026"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B1028" t="str">
            <v>SCHMDP</v>
          </cell>
          <cell r="C1028" t="str">
            <v>SCHMDP</v>
          </cell>
          <cell r="D1028" t="str">
            <v>SCHMDP</v>
          </cell>
          <cell r="E1028" t="str">
            <v>SCHMDP</v>
          </cell>
          <cell r="F1028" t="str">
            <v>SCHMDP</v>
          </cell>
          <cell r="H1028" t="str">
            <v>PLNT</v>
          </cell>
          <cell r="I1028" t="str">
            <v>PLNT</v>
          </cell>
          <cell r="J1028" t="str">
            <v>PLNT</v>
          </cell>
          <cell r="K1028" t="str">
            <v>PLNT</v>
          </cell>
          <cell r="L1028" t="str">
            <v>PLNT</v>
          </cell>
        </row>
        <row r="1029">
          <cell r="B1029" t="str">
            <v>P</v>
          </cell>
          <cell r="C1029" t="str">
            <v>P</v>
          </cell>
          <cell r="D1029" t="str">
            <v>P</v>
          </cell>
          <cell r="E1029" t="str">
            <v>P</v>
          </cell>
          <cell r="F1029" t="str">
            <v>P</v>
          </cell>
          <cell r="H1029" t="str">
            <v>DRB</v>
          </cell>
          <cell r="I1029" t="str">
            <v>DRB</v>
          </cell>
          <cell r="J1029" t="str">
            <v>DRB</v>
          </cell>
          <cell r="K1029" t="str">
            <v>DRB</v>
          </cell>
          <cell r="L1029" t="str">
            <v>DRB</v>
          </cell>
        </row>
        <row r="1030">
          <cell r="B1030" t="str">
            <v>PTD</v>
          </cell>
          <cell r="C1030" t="str">
            <v>PTD</v>
          </cell>
          <cell r="D1030" t="str">
            <v>PTD</v>
          </cell>
          <cell r="E1030" t="str">
            <v>PTD</v>
          </cell>
          <cell r="F1030" t="str">
            <v>PTD</v>
          </cell>
          <cell r="H1030" t="str">
            <v>DISom</v>
          </cell>
          <cell r="I1030" t="str">
            <v>DISom</v>
          </cell>
          <cell r="J1030" t="str">
            <v>DISom</v>
          </cell>
          <cell r="K1030" t="str">
            <v>DISom</v>
          </cell>
          <cell r="L1030" t="str">
            <v>DISom</v>
          </cell>
        </row>
        <row r="1031">
          <cell r="B1031" t="str">
            <v>IBT</v>
          </cell>
          <cell r="C1031" t="str">
            <v>IBT</v>
          </cell>
          <cell r="D1031" t="str">
            <v>IBT</v>
          </cell>
          <cell r="E1031" t="str">
            <v>IBT</v>
          </cell>
          <cell r="F1031" t="str">
            <v>IBT</v>
          </cell>
          <cell r="H1031" t="str">
            <v>DISom</v>
          </cell>
          <cell r="I1031" t="str">
            <v>DISom</v>
          </cell>
          <cell r="J1031" t="str">
            <v>DISom</v>
          </cell>
          <cell r="K1031" t="str">
            <v>DISom</v>
          </cell>
          <cell r="L1031" t="str">
            <v>DISom</v>
          </cell>
        </row>
        <row r="1032">
          <cell r="B1032" t="str">
            <v>P</v>
          </cell>
          <cell r="C1032" t="str">
            <v>P</v>
          </cell>
          <cell r="D1032" t="str">
            <v>P</v>
          </cell>
          <cell r="E1032" t="str">
            <v>P</v>
          </cell>
          <cell r="F1032" t="str">
            <v>P</v>
          </cell>
          <cell r="H1032" t="str">
            <v>DRB</v>
          </cell>
          <cell r="I1032" t="str">
            <v>DRB</v>
          </cell>
          <cell r="J1032" t="str">
            <v>DRB</v>
          </cell>
          <cell r="K1032" t="str">
            <v>DRB</v>
          </cell>
          <cell r="L1032" t="str">
            <v>DRB</v>
          </cell>
        </row>
        <row r="1033">
          <cell r="B1033" t="str">
            <v>P</v>
          </cell>
          <cell r="C1033" t="str">
            <v>P</v>
          </cell>
          <cell r="D1033" t="str">
            <v>P</v>
          </cell>
          <cell r="E1033" t="str">
            <v>P</v>
          </cell>
          <cell r="F1033" t="str">
            <v>P</v>
          </cell>
          <cell r="H1033" t="str">
            <v>DRB</v>
          </cell>
          <cell r="I1033" t="str">
            <v>DRB</v>
          </cell>
          <cell r="J1033" t="str">
            <v>DRB</v>
          </cell>
          <cell r="K1033" t="str">
            <v>DRB</v>
          </cell>
          <cell r="L1033" t="str">
            <v>DRB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B1037" t="str">
            <v>GP</v>
          </cell>
          <cell r="C1037" t="str">
            <v>GP</v>
          </cell>
          <cell r="D1037" t="str">
            <v>GP</v>
          </cell>
          <cell r="E1037" t="str">
            <v>GP</v>
          </cell>
          <cell r="F1037" t="str">
            <v>GP</v>
          </cell>
          <cell r="H1037" t="str">
            <v>PLNT</v>
          </cell>
          <cell r="I1037" t="str">
            <v>PLNT</v>
          </cell>
          <cell r="J1037" t="str">
            <v>PLNT</v>
          </cell>
          <cell r="K1037" t="str">
            <v>PLNT</v>
          </cell>
          <cell r="L1037" t="str">
            <v>PLNT</v>
          </cell>
        </row>
        <row r="1038">
          <cell r="B1038" t="str">
            <v>CUST</v>
          </cell>
          <cell r="C1038" t="str">
            <v>CUST</v>
          </cell>
          <cell r="D1038" t="str">
            <v>CUST</v>
          </cell>
          <cell r="E1038" t="str">
            <v>CUST</v>
          </cell>
          <cell r="F1038" t="str">
            <v>CUST</v>
          </cell>
          <cell r="H1038" t="str">
            <v>CUST</v>
          </cell>
          <cell r="I1038" t="str">
            <v>CUST</v>
          </cell>
          <cell r="J1038" t="str">
            <v>CUST</v>
          </cell>
          <cell r="K1038" t="str">
            <v>CUST</v>
          </cell>
          <cell r="L1038" t="str">
            <v>CUST</v>
          </cell>
        </row>
        <row r="1039">
          <cell r="B1039" t="str">
            <v>SCHMDT-SNP</v>
          </cell>
          <cell r="C1039" t="str">
            <v>SCHMDT-SNP</v>
          </cell>
          <cell r="D1039" t="str">
            <v>SCHMDT-SNP</v>
          </cell>
          <cell r="E1039" t="str">
            <v>SCHMDT-SNP</v>
          </cell>
          <cell r="F1039" t="str">
            <v>SCHMDT-SNP</v>
          </cell>
          <cell r="H1039" t="str">
            <v>DISom</v>
          </cell>
          <cell r="I1039" t="str">
            <v>DISom</v>
          </cell>
          <cell r="J1039" t="str">
            <v>DISom</v>
          </cell>
          <cell r="K1039" t="str">
            <v>DISom</v>
          </cell>
          <cell r="L1039" t="str">
            <v>DISom</v>
          </cell>
        </row>
        <row r="1040">
          <cell r="B1040" t="str">
            <v>CUST</v>
          </cell>
          <cell r="C1040" t="str">
            <v>CUST</v>
          </cell>
          <cell r="D1040" t="str">
            <v>CUST</v>
          </cell>
          <cell r="E1040" t="str">
            <v>CUST</v>
          </cell>
          <cell r="F1040" t="str">
            <v>CUST</v>
          </cell>
          <cell r="H1040" t="str">
            <v>CUST</v>
          </cell>
          <cell r="I1040" t="str">
            <v>CUST</v>
          </cell>
          <cell r="J1040" t="str">
            <v>CUST</v>
          </cell>
          <cell r="K1040" t="str">
            <v>CUST</v>
          </cell>
          <cell r="L1040" t="str">
            <v>CUST</v>
          </cell>
        </row>
        <row r="1041">
          <cell r="B1041" t="str">
            <v>SCHMDT</v>
          </cell>
          <cell r="C1041" t="str">
            <v>SCHMDT</v>
          </cell>
          <cell r="D1041" t="str">
            <v>SCHMDT</v>
          </cell>
          <cell r="E1041" t="str">
            <v>SCHMDT</v>
          </cell>
          <cell r="F1041" t="str">
            <v>SCHMDT</v>
          </cell>
          <cell r="H1041" t="str">
            <v>PLNT</v>
          </cell>
          <cell r="I1041" t="str">
            <v>PLNT</v>
          </cell>
          <cell r="J1041" t="str">
            <v>PLNT</v>
          </cell>
          <cell r="K1041" t="str">
            <v>PLNT</v>
          </cell>
          <cell r="L1041" t="str">
            <v>PLNT</v>
          </cell>
        </row>
        <row r="1042">
          <cell r="B1042" t="str">
            <v>CUST</v>
          </cell>
          <cell r="C1042" t="str">
            <v>CUST</v>
          </cell>
          <cell r="D1042" t="str">
            <v>CUST</v>
          </cell>
          <cell r="E1042" t="str">
            <v>CUST</v>
          </cell>
          <cell r="F1042" t="str">
            <v>CUST</v>
          </cell>
          <cell r="H1042" t="str">
            <v>CUST</v>
          </cell>
          <cell r="I1042" t="str">
            <v>CUST</v>
          </cell>
          <cell r="J1042" t="str">
            <v>CUST</v>
          </cell>
          <cell r="K1042" t="str">
            <v>CUST</v>
          </cell>
          <cell r="L1042" t="str">
            <v>CUST</v>
          </cell>
        </row>
        <row r="1043">
          <cell r="B1043" t="str">
            <v>P</v>
          </cell>
          <cell r="C1043" t="str">
            <v>P</v>
          </cell>
          <cell r="D1043" t="str">
            <v>P</v>
          </cell>
          <cell r="E1043" t="str">
            <v>P</v>
          </cell>
          <cell r="F1043" t="str">
            <v>P</v>
          </cell>
          <cell r="H1043" t="str">
            <v>DRB</v>
          </cell>
          <cell r="I1043" t="str">
            <v>DRB</v>
          </cell>
          <cell r="J1043" t="str">
            <v>DRB</v>
          </cell>
          <cell r="K1043" t="str">
            <v>DRB</v>
          </cell>
          <cell r="L1043" t="str">
            <v>DRB</v>
          </cell>
        </row>
        <row r="1044">
          <cell r="B1044" t="str">
            <v>SCHMDT-SG</v>
          </cell>
          <cell r="C1044" t="str">
            <v>SCHMDT-SG</v>
          </cell>
          <cell r="D1044" t="str">
            <v>SCHMDT-SG</v>
          </cell>
          <cell r="E1044" t="str">
            <v>SCHMDT-SG</v>
          </cell>
          <cell r="F1044" t="str">
            <v>SCHMDT-SG</v>
          </cell>
          <cell r="H1044" t="str">
            <v>DRB</v>
          </cell>
          <cell r="I1044" t="str">
            <v>DRB</v>
          </cell>
          <cell r="J1044" t="str">
            <v>DRB</v>
          </cell>
          <cell r="K1044" t="str">
            <v>DRB</v>
          </cell>
          <cell r="L1044" t="str">
            <v>DRB</v>
          </cell>
        </row>
        <row r="1045">
          <cell r="B1045" t="str">
            <v>SCHMDT-GPS</v>
          </cell>
          <cell r="C1045" t="str">
            <v>SCHMDT-GPS</v>
          </cell>
          <cell r="D1045" t="str">
            <v>SCHMDT-GPS</v>
          </cell>
          <cell r="E1045" t="str">
            <v>SCHMDT-GPS</v>
          </cell>
          <cell r="F1045" t="str">
            <v>SCHMDT-GPS</v>
          </cell>
          <cell r="H1045" t="str">
            <v>PLNT</v>
          </cell>
          <cell r="I1045" t="str">
            <v>PLNT</v>
          </cell>
          <cell r="J1045" t="str">
            <v>PLNT</v>
          </cell>
          <cell r="K1045" t="str">
            <v>PLNT</v>
          </cell>
          <cell r="L1045" t="str">
            <v>PLNT</v>
          </cell>
        </row>
        <row r="1046">
          <cell r="B1046" t="str">
            <v>SCHMDT-SO</v>
          </cell>
          <cell r="C1046" t="str">
            <v>SCHMDT-SO</v>
          </cell>
          <cell r="D1046" t="str">
            <v>SCHMDT-SO</v>
          </cell>
          <cell r="E1046" t="str">
            <v>SCHMDT-SO</v>
          </cell>
          <cell r="F1046" t="str">
            <v>SCHMDT-SO</v>
          </cell>
          <cell r="H1046" t="str">
            <v>DISom</v>
          </cell>
          <cell r="I1046" t="str">
            <v>DISom</v>
          </cell>
          <cell r="J1046" t="str">
            <v>DISom</v>
          </cell>
          <cell r="K1046" t="str">
            <v>DISom</v>
          </cell>
          <cell r="L1046" t="str">
            <v>DISom</v>
          </cell>
        </row>
        <row r="1047">
          <cell r="B1047" t="str">
            <v>TAXDEPR</v>
          </cell>
          <cell r="C1047" t="str">
            <v>TAXDEPR</v>
          </cell>
          <cell r="D1047" t="str">
            <v>TAXDEPR</v>
          </cell>
          <cell r="E1047" t="str">
            <v>TAXDEPR</v>
          </cell>
          <cell r="F1047" t="str">
            <v>TAXDEPR</v>
          </cell>
          <cell r="H1047" t="str">
            <v>DISom</v>
          </cell>
          <cell r="I1047" t="str">
            <v>DISom</v>
          </cell>
          <cell r="J1047" t="str">
            <v>DISom</v>
          </cell>
          <cell r="K1047" t="str">
            <v>DISom</v>
          </cell>
          <cell r="L1047" t="str">
            <v>DISom</v>
          </cell>
        </row>
        <row r="1048">
          <cell r="B1048" t="str">
            <v>DPW</v>
          </cell>
          <cell r="C1048" t="str">
            <v>DPW</v>
          </cell>
          <cell r="D1048" t="str">
            <v>DPW</v>
          </cell>
          <cell r="E1048" t="str">
            <v>DPW</v>
          </cell>
          <cell r="F1048" t="str">
            <v>DPW</v>
          </cell>
          <cell r="H1048" t="str">
            <v>PLNT</v>
          </cell>
          <cell r="I1048" t="str">
            <v>PLNT</v>
          </cell>
          <cell r="J1048" t="str">
            <v>PLNT</v>
          </cell>
          <cell r="K1048" t="str">
            <v>PLNT</v>
          </cell>
          <cell r="L1048" t="str">
            <v>PLNT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B1056" t="str">
            <v>IBT</v>
          </cell>
          <cell r="C1056" t="str">
            <v>IBT</v>
          </cell>
          <cell r="D1056" t="str">
            <v>IBT</v>
          </cell>
          <cell r="E1056" t="str">
            <v>IBT</v>
          </cell>
          <cell r="F1056" t="str">
            <v>IBT</v>
          </cell>
          <cell r="H1056" t="str">
            <v>DRB</v>
          </cell>
          <cell r="I1056" t="str">
            <v>DRB</v>
          </cell>
          <cell r="J1056" t="str">
            <v>DRB</v>
          </cell>
          <cell r="K1056" t="str">
            <v>DRB</v>
          </cell>
          <cell r="L1056" t="str">
            <v>DRB</v>
          </cell>
        </row>
        <row r="1057">
          <cell r="B1057" t="str">
            <v>IBT</v>
          </cell>
          <cell r="C1057" t="str">
            <v>IBT</v>
          </cell>
          <cell r="D1057" t="str">
            <v>IBT</v>
          </cell>
          <cell r="E1057" t="str">
            <v>IBT</v>
          </cell>
          <cell r="F1057" t="str">
            <v>IBT</v>
          </cell>
          <cell r="H1057" t="str">
            <v>DRB</v>
          </cell>
          <cell r="I1057" t="str">
            <v>DRB</v>
          </cell>
          <cell r="J1057" t="str">
            <v>DRB</v>
          </cell>
          <cell r="K1057" t="str">
            <v>DRB</v>
          </cell>
          <cell r="L1057" t="str">
            <v>DRB</v>
          </cell>
        </row>
        <row r="1058">
          <cell r="B1058" t="str">
            <v>P</v>
          </cell>
          <cell r="C1058" t="str">
            <v>P</v>
          </cell>
          <cell r="D1058" t="str">
            <v>P</v>
          </cell>
          <cell r="E1058" t="str">
            <v>P</v>
          </cell>
          <cell r="F1058" t="str">
            <v>P</v>
          </cell>
          <cell r="H1058" t="str">
            <v>DRB</v>
          </cell>
          <cell r="I1058" t="str">
            <v>DRB</v>
          </cell>
          <cell r="J1058" t="str">
            <v>DRB</v>
          </cell>
          <cell r="K1058" t="str">
            <v>DRB</v>
          </cell>
          <cell r="L1058" t="str">
            <v>DRB</v>
          </cell>
        </row>
        <row r="1059">
          <cell r="B1059" t="str">
            <v>IBT</v>
          </cell>
          <cell r="C1059" t="str">
            <v>IBT</v>
          </cell>
          <cell r="D1059" t="str">
            <v>IBT</v>
          </cell>
          <cell r="E1059" t="str">
            <v>IBT</v>
          </cell>
          <cell r="F1059" t="str">
            <v>IBT</v>
          </cell>
          <cell r="H1059" t="str">
            <v>DRB</v>
          </cell>
          <cell r="I1059" t="str">
            <v>DRB</v>
          </cell>
          <cell r="J1059" t="str">
            <v>DRB</v>
          </cell>
          <cell r="K1059" t="str">
            <v>DRB</v>
          </cell>
          <cell r="L1059" t="str">
            <v>DRB</v>
          </cell>
        </row>
        <row r="1060"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B1062">
            <v>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B1064">
            <v>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B1079" t="str">
            <v>SIT</v>
          </cell>
          <cell r="C1079" t="str">
            <v>SIT</v>
          </cell>
          <cell r="D1079" t="str">
            <v>SIT</v>
          </cell>
          <cell r="E1079" t="str">
            <v>SIT</v>
          </cell>
          <cell r="F1079" t="str">
            <v>SIT</v>
          </cell>
          <cell r="H1079" t="str">
            <v>DRB</v>
          </cell>
          <cell r="I1079" t="str">
            <v>DRB</v>
          </cell>
          <cell r="J1079" t="str">
            <v>DRB</v>
          </cell>
          <cell r="K1079" t="str">
            <v>DRB</v>
          </cell>
          <cell r="L1079" t="str">
            <v>DRB</v>
          </cell>
        </row>
        <row r="1080"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B1088" t="str">
            <v>P</v>
          </cell>
          <cell r="C1088" t="str">
            <v>P</v>
          </cell>
          <cell r="D1088" t="str">
            <v>P</v>
          </cell>
          <cell r="E1088" t="str">
            <v>P</v>
          </cell>
          <cell r="F1088" t="str">
            <v>P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B1089" t="str">
            <v>P</v>
          </cell>
          <cell r="C1089" t="str">
            <v>P</v>
          </cell>
          <cell r="D1089" t="str">
            <v>P</v>
          </cell>
          <cell r="E1089" t="str">
            <v>P</v>
          </cell>
          <cell r="F1089" t="str">
            <v>P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B1090" t="str">
            <v>P</v>
          </cell>
          <cell r="C1090" t="str">
            <v>P</v>
          </cell>
          <cell r="D1090" t="str">
            <v>P</v>
          </cell>
          <cell r="E1090" t="str">
            <v>P</v>
          </cell>
          <cell r="F1090" t="str">
            <v>P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B1091" t="str">
            <v>LABOR</v>
          </cell>
          <cell r="C1091" t="str">
            <v>LABOR</v>
          </cell>
          <cell r="D1091" t="str">
            <v>LABOR</v>
          </cell>
          <cell r="E1091" t="str">
            <v>LABOR</v>
          </cell>
          <cell r="F1091" t="str">
            <v>LABOR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B1097" t="str">
            <v>FIT</v>
          </cell>
          <cell r="C1097" t="str">
            <v>FIT</v>
          </cell>
          <cell r="D1097" t="str">
            <v>FIT</v>
          </cell>
          <cell r="E1097" t="str">
            <v>FIT</v>
          </cell>
          <cell r="F1097" t="str">
            <v>FIT</v>
          </cell>
          <cell r="H1097" t="str">
            <v>DRB</v>
          </cell>
          <cell r="I1097" t="str">
            <v>DRB</v>
          </cell>
          <cell r="J1097" t="str">
            <v>DRB</v>
          </cell>
          <cell r="K1097" t="str">
            <v>DRB</v>
          </cell>
          <cell r="L1097" t="str">
            <v>DRB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B1103" t="str">
            <v>P</v>
          </cell>
          <cell r="C1103" t="str">
            <v>P</v>
          </cell>
          <cell r="D1103" t="str">
            <v>P</v>
          </cell>
          <cell r="E1103" t="str">
            <v>P</v>
          </cell>
          <cell r="F1103" t="str">
            <v>P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B1104" t="str">
            <v>P</v>
          </cell>
          <cell r="C1104" t="str">
            <v>P</v>
          </cell>
          <cell r="D1104" t="str">
            <v>P</v>
          </cell>
          <cell r="E1104" t="str">
            <v>P</v>
          </cell>
          <cell r="F1104" t="str">
            <v>P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B1105" t="str">
            <v>P</v>
          </cell>
          <cell r="C1105" t="str">
            <v>P</v>
          </cell>
          <cell r="D1105" t="str">
            <v>P</v>
          </cell>
          <cell r="E1105" t="str">
            <v>P</v>
          </cell>
          <cell r="F1105" t="str">
            <v>P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B1106" t="str">
            <v>P</v>
          </cell>
          <cell r="C1106" t="str">
            <v>P</v>
          </cell>
          <cell r="D1106" t="str">
            <v>P</v>
          </cell>
          <cell r="E1106" t="str">
            <v>P</v>
          </cell>
          <cell r="F1106" t="str">
            <v>P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B1107" t="str">
            <v>P</v>
          </cell>
          <cell r="C1107" t="str">
            <v>P</v>
          </cell>
          <cell r="D1107" t="str">
            <v>P</v>
          </cell>
          <cell r="E1107" t="str">
            <v>P</v>
          </cell>
          <cell r="F1107" t="str">
            <v>P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B1111" t="str">
            <v>P</v>
          </cell>
          <cell r="C1111" t="str">
            <v>P</v>
          </cell>
          <cell r="D1111" t="str">
            <v>P</v>
          </cell>
          <cell r="E1111" t="str">
            <v>P</v>
          </cell>
          <cell r="F1111" t="str">
            <v>P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B1112" t="str">
            <v>P</v>
          </cell>
          <cell r="C1112" t="str">
            <v>P</v>
          </cell>
          <cell r="D1112" t="str">
            <v>P</v>
          </cell>
          <cell r="E1112" t="str">
            <v>P</v>
          </cell>
          <cell r="F1112" t="str">
            <v>P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B1113" t="str">
            <v>P</v>
          </cell>
          <cell r="C1113" t="str">
            <v>P</v>
          </cell>
          <cell r="D1113" t="str">
            <v>P</v>
          </cell>
          <cell r="E1113" t="str">
            <v>P</v>
          </cell>
          <cell r="F1113" t="str">
            <v>P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B1114" t="str">
            <v>P</v>
          </cell>
          <cell r="C1114" t="str">
            <v>P</v>
          </cell>
          <cell r="D1114" t="str">
            <v>P</v>
          </cell>
          <cell r="E1114" t="str">
            <v>P</v>
          </cell>
          <cell r="F1114" t="str">
            <v>P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B1118" t="str">
            <v>P</v>
          </cell>
          <cell r="C1118" t="str">
            <v>P</v>
          </cell>
          <cell r="D1118" t="str">
            <v>P</v>
          </cell>
          <cell r="E1118" t="str">
            <v>P</v>
          </cell>
          <cell r="F1118" t="str">
            <v>P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B1119" t="str">
            <v>P</v>
          </cell>
          <cell r="C1119" t="str">
            <v>P</v>
          </cell>
          <cell r="D1119" t="str">
            <v>P</v>
          </cell>
          <cell r="E1119" t="str">
            <v>P</v>
          </cell>
          <cell r="F1119" t="str">
            <v>P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B1120" t="str">
            <v>P</v>
          </cell>
          <cell r="C1120" t="str">
            <v>P</v>
          </cell>
          <cell r="D1120" t="str">
            <v>P</v>
          </cell>
          <cell r="E1120" t="str">
            <v>P</v>
          </cell>
          <cell r="F1120" t="str">
            <v>P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B1121" t="str">
            <v>P</v>
          </cell>
          <cell r="C1121" t="str">
            <v>P</v>
          </cell>
          <cell r="D1121" t="str">
            <v>P</v>
          </cell>
          <cell r="E1121" t="str">
            <v>P</v>
          </cell>
          <cell r="F1121" t="str">
            <v>P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B1125" t="str">
            <v>P</v>
          </cell>
          <cell r="C1125" t="str">
            <v>P</v>
          </cell>
          <cell r="D1125" t="str">
            <v>P</v>
          </cell>
          <cell r="E1125" t="str">
            <v>P</v>
          </cell>
          <cell r="F1125" t="str">
            <v>P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B1126" t="str">
            <v>P</v>
          </cell>
          <cell r="C1126" t="str">
            <v>P</v>
          </cell>
          <cell r="D1126" t="str">
            <v>P</v>
          </cell>
          <cell r="E1126" t="str">
            <v>P</v>
          </cell>
          <cell r="F1126" t="str">
            <v>P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B1127" t="str">
            <v>P</v>
          </cell>
          <cell r="C1127" t="str">
            <v>P</v>
          </cell>
          <cell r="D1127" t="str">
            <v>P</v>
          </cell>
          <cell r="E1127" t="str">
            <v>P</v>
          </cell>
          <cell r="F1127" t="str">
            <v>P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B1128" t="str">
            <v>P</v>
          </cell>
          <cell r="C1128" t="str">
            <v>P</v>
          </cell>
          <cell r="D1128" t="str">
            <v>P</v>
          </cell>
          <cell r="E1128" t="str">
            <v>P</v>
          </cell>
          <cell r="F1128" t="str">
            <v>P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B1132" t="str">
            <v>P</v>
          </cell>
          <cell r="C1132" t="str">
            <v>P</v>
          </cell>
          <cell r="D1132" t="str">
            <v>P</v>
          </cell>
          <cell r="E1132" t="str">
            <v>P</v>
          </cell>
          <cell r="F1132" t="str">
            <v>P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B1133" t="str">
            <v>P</v>
          </cell>
          <cell r="C1133" t="str">
            <v>P</v>
          </cell>
          <cell r="D1133" t="str">
            <v>P</v>
          </cell>
          <cell r="E1133" t="str">
            <v>P</v>
          </cell>
          <cell r="F1133" t="str">
            <v>P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B1134" t="str">
            <v>P</v>
          </cell>
          <cell r="C1134" t="str">
            <v>P</v>
          </cell>
          <cell r="D1134" t="str">
            <v>P</v>
          </cell>
          <cell r="E1134" t="str">
            <v>P</v>
          </cell>
          <cell r="F1134" t="str">
            <v>P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B1135" t="str">
            <v>P</v>
          </cell>
          <cell r="C1135" t="str">
            <v>P</v>
          </cell>
          <cell r="D1135" t="str">
            <v>P</v>
          </cell>
          <cell r="E1135" t="str">
            <v>P</v>
          </cell>
          <cell r="F1135" t="str">
            <v>P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B1139" t="str">
            <v>P</v>
          </cell>
          <cell r="C1139" t="str">
            <v>P</v>
          </cell>
          <cell r="D1139" t="str">
            <v>P</v>
          </cell>
          <cell r="E1139" t="str">
            <v>P</v>
          </cell>
          <cell r="F1139" t="str">
            <v>P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B1140" t="str">
            <v>P</v>
          </cell>
          <cell r="C1140" t="str">
            <v>P</v>
          </cell>
          <cell r="D1140" t="str">
            <v>P</v>
          </cell>
          <cell r="E1140" t="str">
            <v>P</v>
          </cell>
          <cell r="F1140" t="str">
            <v>P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B1141" t="str">
            <v>P</v>
          </cell>
          <cell r="C1141" t="str">
            <v>P</v>
          </cell>
          <cell r="D1141" t="str">
            <v>P</v>
          </cell>
          <cell r="E1141" t="str">
            <v>P</v>
          </cell>
          <cell r="F1141" t="str">
            <v>P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B1142" t="str">
            <v>P</v>
          </cell>
          <cell r="C1142" t="str">
            <v>P</v>
          </cell>
          <cell r="D1142" t="str">
            <v>P</v>
          </cell>
          <cell r="E1142" t="str">
            <v>P</v>
          </cell>
          <cell r="F1142" t="str">
            <v>P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B1147" t="str">
            <v>P</v>
          </cell>
          <cell r="C1147" t="str">
            <v>P</v>
          </cell>
          <cell r="D1147" t="str">
            <v>P</v>
          </cell>
          <cell r="E1147" t="str">
            <v>P</v>
          </cell>
          <cell r="F1147" t="str">
            <v>P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B1154" t="str">
            <v>P</v>
          </cell>
          <cell r="C1154" t="str">
            <v>P</v>
          </cell>
          <cell r="D1154" t="str">
            <v>P</v>
          </cell>
          <cell r="E1154" t="str">
            <v>P</v>
          </cell>
          <cell r="F1154" t="str">
            <v>P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B1158" t="str">
            <v>P</v>
          </cell>
          <cell r="C1158" t="str">
            <v>P</v>
          </cell>
          <cell r="D1158" t="str">
            <v>P</v>
          </cell>
          <cell r="E1158" t="str">
            <v>P</v>
          </cell>
          <cell r="F1158" t="str">
            <v>P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B1159">
            <v>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B1161">
            <v>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B1162" t="str">
            <v>P</v>
          </cell>
          <cell r="C1162" t="str">
            <v>P</v>
          </cell>
          <cell r="D1162" t="str">
            <v>P</v>
          </cell>
          <cell r="E1162" t="str">
            <v>P</v>
          </cell>
          <cell r="F1162" t="str">
            <v>P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B1163">
            <v>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B1165">
            <v>0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B1166" t="str">
            <v>P</v>
          </cell>
          <cell r="C1166" t="str">
            <v>P</v>
          </cell>
          <cell r="D1166" t="str">
            <v>P</v>
          </cell>
          <cell r="E1166" t="str">
            <v>P</v>
          </cell>
          <cell r="F1166" t="str">
            <v>P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B1170" t="str">
            <v>P</v>
          </cell>
          <cell r="C1170" t="str">
            <v>P</v>
          </cell>
          <cell r="D1170" t="str">
            <v>P</v>
          </cell>
          <cell r="E1170" t="str">
            <v>P</v>
          </cell>
          <cell r="F1170" t="str">
            <v>P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B1174" t="str">
            <v>P</v>
          </cell>
          <cell r="C1174" t="str">
            <v>P</v>
          </cell>
          <cell r="D1174" t="str">
            <v>P</v>
          </cell>
          <cell r="E1174" t="str">
            <v>P</v>
          </cell>
          <cell r="F1174" t="str">
            <v>P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B1179" t="str">
            <v>P</v>
          </cell>
          <cell r="C1179" t="str">
            <v>P</v>
          </cell>
          <cell r="D1179" t="str">
            <v>P</v>
          </cell>
          <cell r="E1179" t="str">
            <v>P</v>
          </cell>
          <cell r="F1179" t="str">
            <v>P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B1181">
            <v>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</row>
        <row r="1182">
          <cell r="B1182">
            <v>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</row>
        <row r="1183"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B1186" t="str">
            <v>P</v>
          </cell>
          <cell r="C1186" t="str">
            <v>P</v>
          </cell>
          <cell r="D1186" t="str">
            <v>P</v>
          </cell>
          <cell r="E1186" t="str">
            <v>P</v>
          </cell>
          <cell r="F1186" t="str">
            <v>P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B1187" t="str">
            <v>P</v>
          </cell>
          <cell r="C1187" t="str">
            <v>P</v>
          </cell>
          <cell r="D1187" t="str">
            <v>P</v>
          </cell>
          <cell r="E1187" t="str">
            <v>P</v>
          </cell>
          <cell r="F1187" t="str">
            <v>P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B1188" t="str">
            <v>P</v>
          </cell>
          <cell r="C1188" t="str">
            <v>P</v>
          </cell>
          <cell r="D1188" t="str">
            <v>P</v>
          </cell>
          <cell r="E1188" t="str">
            <v>P</v>
          </cell>
          <cell r="F1188" t="str">
            <v>P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B1189" t="str">
            <v>P</v>
          </cell>
          <cell r="C1189" t="str">
            <v>P</v>
          </cell>
          <cell r="D1189" t="str">
            <v>P</v>
          </cell>
          <cell r="E1189" t="str">
            <v>P</v>
          </cell>
          <cell r="F1189" t="str">
            <v>P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B1193" t="str">
            <v>P</v>
          </cell>
          <cell r="C1193" t="str">
            <v>P</v>
          </cell>
          <cell r="D1193" t="str">
            <v>P</v>
          </cell>
          <cell r="E1193" t="str">
            <v>P</v>
          </cell>
          <cell r="F1193" t="str">
            <v>P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B1194" t="str">
            <v>P</v>
          </cell>
          <cell r="C1194" t="str">
            <v>P</v>
          </cell>
          <cell r="D1194" t="str">
            <v>P</v>
          </cell>
          <cell r="E1194" t="str">
            <v>P</v>
          </cell>
          <cell r="F1194" t="str">
            <v>P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B1195" t="str">
            <v>P</v>
          </cell>
          <cell r="C1195" t="str">
            <v>P</v>
          </cell>
          <cell r="D1195" t="str">
            <v>P</v>
          </cell>
          <cell r="E1195" t="str">
            <v>P</v>
          </cell>
          <cell r="F1195" t="str">
            <v>P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B1196" t="str">
            <v>P</v>
          </cell>
          <cell r="C1196" t="str">
            <v>P</v>
          </cell>
          <cell r="D1196" t="str">
            <v>P</v>
          </cell>
          <cell r="E1196" t="str">
            <v>P</v>
          </cell>
          <cell r="F1196" t="str">
            <v>P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B1200" t="str">
            <v>P</v>
          </cell>
          <cell r="C1200" t="str">
            <v>P</v>
          </cell>
          <cell r="D1200" t="str">
            <v>P</v>
          </cell>
          <cell r="E1200" t="str">
            <v>P</v>
          </cell>
          <cell r="F1200" t="str">
            <v>P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B1201" t="str">
            <v>P</v>
          </cell>
          <cell r="C1201" t="str">
            <v>P</v>
          </cell>
          <cell r="D1201" t="str">
            <v>P</v>
          </cell>
          <cell r="E1201" t="str">
            <v>P</v>
          </cell>
          <cell r="F1201" t="str">
            <v>P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B1202" t="str">
            <v>P</v>
          </cell>
          <cell r="C1202" t="str">
            <v>P</v>
          </cell>
          <cell r="D1202" t="str">
            <v>P</v>
          </cell>
          <cell r="E1202" t="str">
            <v>P</v>
          </cell>
          <cell r="F1202" t="str">
            <v>P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B1203" t="str">
            <v>P</v>
          </cell>
          <cell r="C1203" t="str">
            <v>P</v>
          </cell>
          <cell r="D1203" t="str">
            <v>P</v>
          </cell>
          <cell r="E1203" t="str">
            <v>P</v>
          </cell>
          <cell r="F1203" t="str">
            <v>P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B1207" t="str">
            <v>P</v>
          </cell>
          <cell r="C1207" t="str">
            <v>P</v>
          </cell>
          <cell r="D1207" t="str">
            <v>P</v>
          </cell>
          <cell r="E1207" t="str">
            <v>P</v>
          </cell>
          <cell r="F1207" t="str">
            <v>P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B1208" t="str">
            <v>P</v>
          </cell>
          <cell r="C1208" t="str">
            <v>P</v>
          </cell>
          <cell r="D1208" t="str">
            <v>P</v>
          </cell>
          <cell r="E1208" t="str">
            <v>P</v>
          </cell>
          <cell r="F1208" t="str">
            <v>P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B1209" t="str">
            <v>P</v>
          </cell>
          <cell r="C1209" t="str">
            <v>P</v>
          </cell>
          <cell r="D1209" t="str">
            <v>P</v>
          </cell>
          <cell r="E1209" t="str">
            <v>P</v>
          </cell>
          <cell r="F1209" t="str">
            <v>P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B1210" t="str">
            <v>P</v>
          </cell>
          <cell r="C1210" t="str">
            <v>P</v>
          </cell>
          <cell r="D1210" t="str">
            <v>P</v>
          </cell>
          <cell r="E1210" t="str">
            <v>P</v>
          </cell>
          <cell r="F1210" t="str">
            <v>P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B1214" t="str">
            <v>P</v>
          </cell>
          <cell r="C1214" t="str">
            <v>P</v>
          </cell>
          <cell r="D1214" t="str">
            <v>P</v>
          </cell>
          <cell r="E1214" t="str">
            <v>P</v>
          </cell>
          <cell r="F1214" t="str">
            <v>P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B1215" t="str">
            <v>P</v>
          </cell>
          <cell r="C1215" t="str">
            <v>P</v>
          </cell>
          <cell r="D1215" t="str">
            <v>P</v>
          </cell>
          <cell r="E1215" t="str">
            <v>P</v>
          </cell>
          <cell r="F1215" t="str">
            <v>P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B1216" t="str">
            <v>P</v>
          </cell>
          <cell r="C1216" t="str">
            <v>P</v>
          </cell>
          <cell r="D1216" t="str">
            <v>P</v>
          </cell>
          <cell r="E1216" t="str">
            <v>P</v>
          </cell>
          <cell r="F1216" t="str">
            <v>P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B1217" t="str">
            <v>P</v>
          </cell>
          <cell r="C1217" t="str">
            <v>P</v>
          </cell>
          <cell r="D1217" t="str">
            <v>P</v>
          </cell>
          <cell r="E1217" t="str">
            <v>P</v>
          </cell>
          <cell r="F1217" t="str">
            <v>P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B1221" t="str">
            <v>P</v>
          </cell>
          <cell r="C1221" t="str">
            <v>P</v>
          </cell>
          <cell r="D1221" t="str">
            <v>P</v>
          </cell>
          <cell r="E1221" t="str">
            <v>P</v>
          </cell>
          <cell r="F1221" t="str">
            <v>P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B1222" t="str">
            <v>P</v>
          </cell>
          <cell r="C1222" t="str">
            <v>P</v>
          </cell>
          <cell r="D1222" t="str">
            <v>P</v>
          </cell>
          <cell r="E1222" t="str">
            <v>P</v>
          </cell>
          <cell r="F1222" t="str">
            <v>P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B1223" t="str">
            <v>P</v>
          </cell>
          <cell r="C1223" t="str">
            <v>P</v>
          </cell>
          <cell r="D1223" t="str">
            <v>P</v>
          </cell>
          <cell r="E1223" t="str">
            <v>P</v>
          </cell>
          <cell r="F1223" t="str">
            <v>P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B1224" t="str">
            <v>P</v>
          </cell>
          <cell r="C1224" t="str">
            <v>P</v>
          </cell>
          <cell r="D1224" t="str">
            <v>P</v>
          </cell>
          <cell r="E1224" t="str">
            <v>P</v>
          </cell>
          <cell r="F1224" t="str">
            <v>P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B1228" t="str">
            <v>P</v>
          </cell>
          <cell r="C1228" t="str">
            <v>P</v>
          </cell>
          <cell r="D1228" t="str">
            <v>P</v>
          </cell>
          <cell r="E1228" t="str">
            <v>P</v>
          </cell>
          <cell r="F1228" t="str">
            <v>P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B1229" t="str">
            <v>P</v>
          </cell>
          <cell r="C1229" t="str">
            <v>P</v>
          </cell>
          <cell r="D1229" t="str">
            <v>P</v>
          </cell>
          <cell r="E1229" t="str">
            <v>P</v>
          </cell>
          <cell r="F1229" t="str">
            <v>P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B1230" t="str">
            <v>P</v>
          </cell>
          <cell r="C1230" t="str">
            <v>P</v>
          </cell>
          <cell r="D1230" t="str">
            <v>P</v>
          </cell>
          <cell r="E1230" t="str">
            <v>P</v>
          </cell>
          <cell r="F1230" t="str">
            <v>P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B1231" t="str">
            <v>P</v>
          </cell>
          <cell r="C1231" t="str">
            <v>P</v>
          </cell>
          <cell r="D1231" t="str">
            <v>P</v>
          </cell>
          <cell r="E1231" t="str">
            <v>P</v>
          </cell>
          <cell r="F1231" t="str">
            <v>P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B1236" t="str">
            <v>P</v>
          </cell>
          <cell r="C1236" t="str">
            <v>P</v>
          </cell>
          <cell r="D1236" t="str">
            <v>P</v>
          </cell>
          <cell r="E1236" t="str">
            <v>P</v>
          </cell>
          <cell r="F1236" t="str">
            <v>P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B1237" t="str">
            <v>P</v>
          </cell>
          <cell r="C1237" t="str">
            <v>P</v>
          </cell>
          <cell r="D1237" t="str">
            <v>P</v>
          </cell>
          <cell r="E1237" t="str">
            <v>P</v>
          </cell>
          <cell r="F1237" t="str">
            <v>P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B1244" t="str">
            <v>P</v>
          </cell>
          <cell r="C1244" t="str">
            <v>P</v>
          </cell>
          <cell r="D1244" t="str">
            <v>P</v>
          </cell>
          <cell r="E1244" t="str">
            <v>P</v>
          </cell>
          <cell r="F1244" t="str">
            <v>P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B1245" t="str">
            <v>P</v>
          </cell>
          <cell r="C1245" t="str">
            <v>P</v>
          </cell>
          <cell r="D1245" t="str">
            <v>P</v>
          </cell>
          <cell r="E1245" t="str">
            <v>P</v>
          </cell>
          <cell r="F1245" t="str">
            <v>P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B1246" t="str">
            <v>P</v>
          </cell>
          <cell r="C1246" t="str">
            <v>P</v>
          </cell>
          <cell r="D1246" t="str">
            <v>P</v>
          </cell>
          <cell r="E1246" t="str">
            <v>P</v>
          </cell>
          <cell r="F1246" t="str">
            <v>P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B1250" t="str">
            <v>P</v>
          </cell>
          <cell r="C1250" t="str">
            <v>P</v>
          </cell>
          <cell r="D1250" t="str">
            <v>P</v>
          </cell>
          <cell r="E1250" t="str">
            <v>P</v>
          </cell>
          <cell r="F1250" t="str">
            <v>P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B1251" t="str">
            <v>P</v>
          </cell>
          <cell r="C1251" t="str">
            <v>P</v>
          </cell>
          <cell r="D1251" t="str">
            <v>P</v>
          </cell>
          <cell r="E1251" t="str">
            <v>P</v>
          </cell>
          <cell r="F1251" t="str">
            <v>P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B1252" t="str">
            <v>P</v>
          </cell>
          <cell r="C1252" t="str">
            <v>P</v>
          </cell>
          <cell r="D1252" t="str">
            <v>P</v>
          </cell>
          <cell r="E1252" t="str">
            <v>P</v>
          </cell>
          <cell r="F1252" t="str">
            <v>P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B1253" t="str">
            <v>P</v>
          </cell>
          <cell r="C1253" t="str">
            <v>P</v>
          </cell>
          <cell r="D1253" t="str">
            <v>P</v>
          </cell>
          <cell r="E1253" t="str">
            <v>P</v>
          </cell>
          <cell r="F1253" t="str">
            <v>P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B1257" t="str">
            <v>P</v>
          </cell>
          <cell r="C1257" t="str">
            <v>P</v>
          </cell>
          <cell r="D1257" t="str">
            <v>P</v>
          </cell>
          <cell r="E1257" t="str">
            <v>P</v>
          </cell>
          <cell r="F1257" t="str">
            <v>P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B1258" t="str">
            <v>P</v>
          </cell>
          <cell r="C1258" t="str">
            <v>P</v>
          </cell>
          <cell r="D1258" t="str">
            <v>P</v>
          </cell>
          <cell r="E1258" t="str">
            <v>P</v>
          </cell>
          <cell r="F1258" t="str">
            <v>P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B1259" t="str">
            <v>P</v>
          </cell>
          <cell r="C1259" t="str">
            <v>P</v>
          </cell>
          <cell r="D1259" t="str">
            <v>P</v>
          </cell>
          <cell r="E1259" t="str">
            <v>P</v>
          </cell>
          <cell r="F1259" t="str">
            <v>P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B1263" t="str">
            <v>P</v>
          </cell>
          <cell r="C1263" t="str">
            <v>P</v>
          </cell>
          <cell r="D1263" t="str">
            <v>P</v>
          </cell>
          <cell r="E1263" t="str">
            <v>P</v>
          </cell>
          <cell r="F1263" t="str">
            <v>P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B1264" t="str">
            <v>P</v>
          </cell>
          <cell r="C1264" t="str">
            <v>P</v>
          </cell>
          <cell r="D1264" t="str">
            <v>P</v>
          </cell>
          <cell r="E1264" t="str">
            <v>P</v>
          </cell>
          <cell r="F1264" t="str">
            <v>P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B1265" t="str">
            <v>P</v>
          </cell>
          <cell r="C1265" t="str">
            <v>P</v>
          </cell>
          <cell r="D1265" t="str">
            <v>P</v>
          </cell>
          <cell r="E1265" t="str">
            <v>P</v>
          </cell>
          <cell r="F1265" t="str">
            <v>P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B1266" t="str">
            <v>P</v>
          </cell>
          <cell r="C1266" t="str">
            <v>P</v>
          </cell>
          <cell r="D1266" t="str">
            <v>P</v>
          </cell>
          <cell r="E1266" t="str">
            <v>P</v>
          </cell>
          <cell r="F1266" t="str">
            <v>P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B1269">
            <v>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B1270" t="str">
            <v>P</v>
          </cell>
          <cell r="C1270" t="str">
            <v>P</v>
          </cell>
          <cell r="D1270" t="str">
            <v>P</v>
          </cell>
          <cell r="E1270" t="str">
            <v>P</v>
          </cell>
          <cell r="F1270" t="str">
            <v>P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B1271" t="str">
            <v>P</v>
          </cell>
          <cell r="C1271" t="str">
            <v>P</v>
          </cell>
          <cell r="D1271" t="str">
            <v>P</v>
          </cell>
          <cell r="E1271" t="str">
            <v>P</v>
          </cell>
          <cell r="F1271" t="str">
            <v>P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B1272" t="str">
            <v>P</v>
          </cell>
          <cell r="C1272" t="str">
            <v>P</v>
          </cell>
          <cell r="D1272" t="str">
            <v>P</v>
          </cell>
          <cell r="E1272" t="str">
            <v>P</v>
          </cell>
          <cell r="F1272" t="str">
            <v>P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B1273" t="str">
            <v>P</v>
          </cell>
          <cell r="C1273" t="str">
            <v>P</v>
          </cell>
          <cell r="D1273" t="str">
            <v>P</v>
          </cell>
          <cell r="E1273" t="str">
            <v>P</v>
          </cell>
          <cell r="F1273" t="str">
            <v>P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B1277" t="str">
            <v>P</v>
          </cell>
          <cell r="C1277" t="str">
            <v>P</v>
          </cell>
          <cell r="D1277" t="str">
            <v>P</v>
          </cell>
          <cell r="E1277" t="str">
            <v>P</v>
          </cell>
          <cell r="F1277" t="str">
            <v>P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B1278" t="str">
            <v>P</v>
          </cell>
          <cell r="C1278" t="str">
            <v>P</v>
          </cell>
          <cell r="D1278" t="str">
            <v>P</v>
          </cell>
          <cell r="E1278" t="str">
            <v>P</v>
          </cell>
          <cell r="F1278" t="str">
            <v>P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B1279" t="str">
            <v>P</v>
          </cell>
          <cell r="C1279" t="str">
            <v>P</v>
          </cell>
          <cell r="D1279" t="str">
            <v>P</v>
          </cell>
          <cell r="E1279" t="str">
            <v>P</v>
          </cell>
          <cell r="F1279" t="str">
            <v>P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B1280" t="str">
            <v>P</v>
          </cell>
          <cell r="C1280" t="str">
            <v>P</v>
          </cell>
          <cell r="D1280" t="str">
            <v>P</v>
          </cell>
          <cell r="E1280" t="str">
            <v>P</v>
          </cell>
          <cell r="F1280" t="str">
            <v>P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B1284" t="str">
            <v>P</v>
          </cell>
          <cell r="C1284" t="str">
            <v>P</v>
          </cell>
          <cell r="D1284" t="str">
            <v>P</v>
          </cell>
          <cell r="E1284" t="str">
            <v>P</v>
          </cell>
          <cell r="F1284" t="str">
            <v>P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B1285" t="str">
            <v>P</v>
          </cell>
          <cell r="C1285" t="str">
            <v>P</v>
          </cell>
          <cell r="D1285" t="str">
            <v>P</v>
          </cell>
          <cell r="E1285" t="str">
            <v>P</v>
          </cell>
          <cell r="F1285" t="str">
            <v>P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B1286" t="str">
            <v>P</v>
          </cell>
          <cell r="C1286" t="str">
            <v>P</v>
          </cell>
          <cell r="D1286" t="str">
            <v>P</v>
          </cell>
          <cell r="E1286" t="str">
            <v>P</v>
          </cell>
          <cell r="F1286" t="str">
            <v>P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B1290" t="str">
            <v>P</v>
          </cell>
          <cell r="C1290" t="str">
            <v>P</v>
          </cell>
          <cell r="D1290" t="str">
            <v>P</v>
          </cell>
          <cell r="E1290" t="str">
            <v>P</v>
          </cell>
          <cell r="F1290" t="str">
            <v>P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B1291" t="str">
            <v>P</v>
          </cell>
          <cell r="C1291" t="str">
            <v>P</v>
          </cell>
          <cell r="D1291" t="str">
            <v>P</v>
          </cell>
          <cell r="E1291" t="str">
            <v>P</v>
          </cell>
          <cell r="F1291" t="str">
            <v>P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B1298" t="str">
            <v>P</v>
          </cell>
          <cell r="C1298" t="str">
            <v>P</v>
          </cell>
          <cell r="D1298" t="str">
            <v>P</v>
          </cell>
          <cell r="E1298" t="str">
            <v>P</v>
          </cell>
          <cell r="F1298" t="str">
            <v>P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B1304" t="str">
            <v>T</v>
          </cell>
          <cell r="C1304" t="str">
            <v>T</v>
          </cell>
          <cell r="D1304" t="str">
            <v>T</v>
          </cell>
          <cell r="E1304" t="str">
            <v>T</v>
          </cell>
          <cell r="F1304" t="str">
            <v>T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</row>
        <row r="1305">
          <cell r="B1305" t="str">
            <v>T</v>
          </cell>
          <cell r="C1305" t="str">
            <v>T</v>
          </cell>
          <cell r="D1305" t="str">
            <v>T</v>
          </cell>
          <cell r="E1305" t="str">
            <v>T</v>
          </cell>
          <cell r="F1305" t="str">
            <v>T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B1306" t="str">
            <v>T</v>
          </cell>
          <cell r="C1306" t="str">
            <v>T</v>
          </cell>
          <cell r="D1306" t="str">
            <v>T</v>
          </cell>
          <cell r="E1306" t="str">
            <v>T</v>
          </cell>
          <cell r="F1306" t="str">
            <v>T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B1307">
            <v>0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B1308">
            <v>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B1310" t="str">
            <v>T</v>
          </cell>
          <cell r="C1310" t="str">
            <v>T</v>
          </cell>
          <cell r="D1310" t="str">
            <v>T</v>
          </cell>
          <cell r="E1310" t="str">
            <v>T</v>
          </cell>
          <cell r="F1310" t="str">
            <v>T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B1311" t="str">
            <v>T</v>
          </cell>
          <cell r="C1311" t="str">
            <v>T</v>
          </cell>
          <cell r="D1311" t="str">
            <v>T</v>
          </cell>
          <cell r="E1311" t="str">
            <v>T</v>
          </cell>
          <cell r="F1311" t="str">
            <v>T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B1312" t="str">
            <v>T</v>
          </cell>
          <cell r="C1312" t="str">
            <v>T</v>
          </cell>
          <cell r="D1312" t="str">
            <v>T</v>
          </cell>
          <cell r="E1312" t="str">
            <v>T</v>
          </cell>
          <cell r="F1312" t="str">
            <v>T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B1313" t="str">
            <v>T</v>
          </cell>
          <cell r="C1313" t="str">
            <v>T</v>
          </cell>
          <cell r="D1313" t="str">
            <v>T</v>
          </cell>
          <cell r="E1313" t="str">
            <v>T</v>
          </cell>
          <cell r="F1313" t="str">
            <v>T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B1314">
            <v>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B1317" t="str">
            <v>T</v>
          </cell>
          <cell r="C1317" t="str">
            <v>T</v>
          </cell>
          <cell r="D1317" t="str">
            <v>T</v>
          </cell>
          <cell r="E1317" t="str">
            <v>T</v>
          </cell>
          <cell r="F1317" t="str">
            <v>T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B1318" t="str">
            <v>T</v>
          </cell>
          <cell r="C1318" t="str">
            <v>T</v>
          </cell>
          <cell r="D1318" t="str">
            <v>T</v>
          </cell>
          <cell r="E1318" t="str">
            <v>T</v>
          </cell>
          <cell r="F1318" t="str">
            <v>T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B1319" t="str">
            <v>T</v>
          </cell>
          <cell r="C1319" t="str">
            <v>T</v>
          </cell>
          <cell r="D1319" t="str">
            <v>T</v>
          </cell>
          <cell r="E1319" t="str">
            <v>T</v>
          </cell>
          <cell r="F1319" t="str">
            <v>T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B1320">
            <v>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B1323" t="str">
            <v>T</v>
          </cell>
          <cell r="C1323" t="str">
            <v>T</v>
          </cell>
          <cell r="D1323" t="str">
            <v>T</v>
          </cell>
          <cell r="E1323" t="str">
            <v>T</v>
          </cell>
          <cell r="F1323" t="str">
            <v>T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B1324" t="str">
            <v>T</v>
          </cell>
          <cell r="C1324" t="str">
            <v>T</v>
          </cell>
          <cell r="D1324" t="str">
            <v>T</v>
          </cell>
          <cell r="E1324" t="str">
            <v>T</v>
          </cell>
          <cell r="F1324" t="str">
            <v>T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B1325" t="str">
            <v>T</v>
          </cell>
          <cell r="C1325" t="str">
            <v>T</v>
          </cell>
          <cell r="D1325" t="str">
            <v>T</v>
          </cell>
          <cell r="E1325" t="str">
            <v>T</v>
          </cell>
          <cell r="F1325" t="str">
            <v>T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B1326">
            <v>0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B1327">
            <v>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B1329" t="str">
            <v>T</v>
          </cell>
          <cell r="C1329" t="str">
            <v>T</v>
          </cell>
          <cell r="D1329" t="str">
            <v>T</v>
          </cell>
          <cell r="E1329" t="str">
            <v>T</v>
          </cell>
          <cell r="F1329" t="str">
            <v>T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B1330" t="str">
            <v>T</v>
          </cell>
          <cell r="C1330" t="str">
            <v>T</v>
          </cell>
          <cell r="D1330" t="str">
            <v>T</v>
          </cell>
          <cell r="E1330" t="str">
            <v>T</v>
          </cell>
          <cell r="F1330" t="str">
            <v>T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B1331" t="str">
            <v>T</v>
          </cell>
          <cell r="C1331" t="str">
            <v>T</v>
          </cell>
          <cell r="D1331" t="str">
            <v>T</v>
          </cell>
          <cell r="E1331" t="str">
            <v>T</v>
          </cell>
          <cell r="F1331" t="str">
            <v>T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B1332">
            <v>0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B1333">
            <v>0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B1335" t="str">
            <v>T</v>
          </cell>
          <cell r="C1335" t="str">
            <v>T</v>
          </cell>
          <cell r="D1335" t="str">
            <v>T</v>
          </cell>
          <cell r="E1335" t="str">
            <v>T</v>
          </cell>
          <cell r="F1335" t="str">
            <v>T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B1336" t="str">
            <v>T</v>
          </cell>
          <cell r="C1336" t="str">
            <v>T</v>
          </cell>
          <cell r="D1336" t="str">
            <v>T</v>
          </cell>
          <cell r="E1336" t="str">
            <v>T</v>
          </cell>
          <cell r="F1336" t="str">
            <v>T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B1337" t="str">
            <v>T</v>
          </cell>
          <cell r="C1337" t="str">
            <v>T</v>
          </cell>
          <cell r="D1337" t="str">
            <v>T</v>
          </cell>
          <cell r="E1337" t="str">
            <v>T</v>
          </cell>
          <cell r="F1337" t="str">
            <v>T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B1341" t="str">
            <v>T</v>
          </cell>
          <cell r="C1341" t="str">
            <v>T</v>
          </cell>
          <cell r="D1341" t="str">
            <v>T</v>
          </cell>
          <cell r="E1341" t="str">
            <v>T</v>
          </cell>
          <cell r="F1341" t="str">
            <v>T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B1342" t="str">
            <v>T</v>
          </cell>
          <cell r="C1342" t="str">
            <v>T</v>
          </cell>
          <cell r="D1342" t="str">
            <v>T</v>
          </cell>
          <cell r="E1342" t="str">
            <v>T</v>
          </cell>
          <cell r="F1342" t="str">
            <v>T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B1343" t="str">
            <v>T</v>
          </cell>
          <cell r="C1343" t="str">
            <v>T</v>
          </cell>
          <cell r="D1343" t="str">
            <v>T</v>
          </cell>
          <cell r="E1343" t="str">
            <v>T</v>
          </cell>
          <cell r="F1343" t="str">
            <v>T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B1346">
            <v>0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B1347" t="str">
            <v>T</v>
          </cell>
          <cell r="C1347" t="str">
            <v>T</v>
          </cell>
          <cell r="D1347" t="str">
            <v>T</v>
          </cell>
          <cell r="E1347" t="str">
            <v>T</v>
          </cell>
          <cell r="F1347" t="str">
            <v>T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B1348" t="str">
            <v>T</v>
          </cell>
          <cell r="C1348" t="str">
            <v>T</v>
          </cell>
          <cell r="D1348" t="str">
            <v>T</v>
          </cell>
          <cell r="E1348" t="str">
            <v>T</v>
          </cell>
          <cell r="F1348" t="str">
            <v>T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B1349" t="str">
            <v>T</v>
          </cell>
          <cell r="C1349" t="str">
            <v>T</v>
          </cell>
          <cell r="D1349" t="str">
            <v>T</v>
          </cell>
          <cell r="E1349" t="str">
            <v>T</v>
          </cell>
          <cell r="F1349" t="str">
            <v>T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B1351">
            <v>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B1353" t="str">
            <v>T</v>
          </cell>
          <cell r="C1353" t="str">
            <v>T</v>
          </cell>
          <cell r="D1353" t="str">
            <v>T</v>
          </cell>
          <cell r="E1353" t="str">
            <v>T</v>
          </cell>
          <cell r="F1353" t="str">
            <v>T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B1354" t="str">
            <v>T</v>
          </cell>
          <cell r="C1354" t="str">
            <v>T</v>
          </cell>
          <cell r="D1354" t="str">
            <v>T</v>
          </cell>
          <cell r="E1354" t="str">
            <v>T</v>
          </cell>
          <cell r="F1354" t="str">
            <v>T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B1355" t="str">
            <v>T</v>
          </cell>
          <cell r="C1355" t="str">
            <v>T</v>
          </cell>
          <cell r="D1355" t="str">
            <v>T</v>
          </cell>
          <cell r="E1355" t="str">
            <v>T</v>
          </cell>
          <cell r="F1355" t="str">
            <v>T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B1358">
            <v>0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B1359" t="str">
            <v>T</v>
          </cell>
          <cell r="C1359" t="str">
            <v>T</v>
          </cell>
          <cell r="D1359" t="str">
            <v>T</v>
          </cell>
          <cell r="E1359" t="str">
            <v>T</v>
          </cell>
          <cell r="F1359" t="str">
            <v>T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</row>
        <row r="1360"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B1363" t="str">
            <v>T</v>
          </cell>
          <cell r="C1363" t="str">
            <v>T</v>
          </cell>
          <cell r="D1363" t="str">
            <v>T</v>
          </cell>
          <cell r="E1363" t="str">
            <v>T</v>
          </cell>
          <cell r="F1363" t="str">
            <v>T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</row>
        <row r="1364"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</row>
        <row r="1365"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</row>
        <row r="1366">
          <cell r="B1366">
            <v>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</row>
        <row r="1367"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B1369" t="str">
            <v>DPW</v>
          </cell>
          <cell r="C1369" t="str">
            <v>DPW</v>
          </cell>
          <cell r="D1369" t="str">
            <v>DPW</v>
          </cell>
          <cell r="E1369" t="str">
            <v>DPW</v>
          </cell>
          <cell r="F1369" t="str">
            <v>DPW</v>
          </cell>
          <cell r="H1369" t="str">
            <v>PLNT2</v>
          </cell>
          <cell r="I1369" t="str">
            <v>PLNT2</v>
          </cell>
          <cell r="J1369" t="str">
            <v>PLNT2</v>
          </cell>
          <cell r="K1369" t="str">
            <v>PLNT2</v>
          </cell>
          <cell r="L1369" t="str">
            <v>PLNT2</v>
          </cell>
        </row>
        <row r="1370"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</row>
        <row r="1372"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</row>
        <row r="1373">
          <cell r="B1373" t="str">
            <v>DPW</v>
          </cell>
          <cell r="C1373" t="str">
            <v>DPW</v>
          </cell>
          <cell r="D1373" t="str">
            <v>DPW</v>
          </cell>
          <cell r="E1373" t="str">
            <v>DPW</v>
          </cell>
          <cell r="F1373" t="str">
            <v>DPW</v>
          </cell>
          <cell r="H1373" t="str">
            <v>PLNT2</v>
          </cell>
          <cell r="I1373" t="str">
            <v>PLNT2</v>
          </cell>
          <cell r="J1373" t="str">
            <v>PLNT2</v>
          </cell>
          <cell r="K1373" t="str">
            <v>PLNT2</v>
          </cell>
          <cell r="L1373" t="str">
            <v>PLNT2</v>
          </cell>
        </row>
        <row r="1374">
          <cell r="B1374">
            <v>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B1377" t="str">
            <v>DPW</v>
          </cell>
          <cell r="C1377" t="str">
            <v>DPW</v>
          </cell>
          <cell r="D1377" t="str">
            <v>DPW</v>
          </cell>
          <cell r="E1377" t="str">
            <v>DPW</v>
          </cell>
          <cell r="F1377" t="str">
            <v>DPW</v>
          </cell>
          <cell r="H1377" t="str">
            <v>SUBS</v>
          </cell>
          <cell r="I1377" t="str">
            <v>SUBS</v>
          </cell>
          <cell r="J1377" t="str">
            <v>SUBS</v>
          </cell>
          <cell r="K1377" t="str">
            <v>SUBS</v>
          </cell>
          <cell r="L1377" t="str">
            <v>SUBS</v>
          </cell>
        </row>
        <row r="1378"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B1379">
            <v>0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B1381" t="str">
            <v>DPW</v>
          </cell>
          <cell r="C1381" t="str">
            <v>DPW</v>
          </cell>
          <cell r="D1381" t="str">
            <v>DPW</v>
          </cell>
          <cell r="E1381" t="str">
            <v>DPW</v>
          </cell>
          <cell r="F1381" t="str">
            <v>DPW</v>
          </cell>
          <cell r="H1381" t="str">
            <v>PC</v>
          </cell>
          <cell r="I1381" t="str">
            <v>PC</v>
          </cell>
          <cell r="J1381" t="str">
            <v>PC</v>
          </cell>
          <cell r="K1381" t="str">
            <v>PC</v>
          </cell>
          <cell r="L1381" t="str">
            <v>PC</v>
          </cell>
        </row>
        <row r="1382"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B1383">
            <v>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B1384">
            <v>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B1385" t="str">
            <v>DPW</v>
          </cell>
          <cell r="C1385" t="str">
            <v>DPW</v>
          </cell>
          <cell r="D1385" t="str">
            <v>DPW</v>
          </cell>
          <cell r="E1385" t="str">
            <v>DPW</v>
          </cell>
          <cell r="F1385" t="str">
            <v>DPW</v>
          </cell>
          <cell r="H1385" t="str">
            <v>PC</v>
          </cell>
          <cell r="I1385" t="str">
            <v>PC</v>
          </cell>
          <cell r="J1385" t="str">
            <v>PC</v>
          </cell>
          <cell r="K1385" t="str">
            <v>PC</v>
          </cell>
          <cell r="L1385" t="str">
            <v>PC</v>
          </cell>
        </row>
        <row r="1386"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B1387">
            <v>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B1389" t="str">
            <v>DPW</v>
          </cell>
          <cell r="C1389" t="str">
            <v>DPW</v>
          </cell>
          <cell r="D1389" t="str">
            <v>DPW</v>
          </cell>
          <cell r="E1389" t="str">
            <v>DPW</v>
          </cell>
          <cell r="F1389" t="str">
            <v>DPW</v>
          </cell>
          <cell r="H1389" t="str">
            <v>PC</v>
          </cell>
          <cell r="I1389" t="str">
            <v>PC</v>
          </cell>
          <cell r="J1389" t="str">
            <v>PC</v>
          </cell>
          <cell r="K1389" t="str">
            <v>PC</v>
          </cell>
          <cell r="L1389" t="str">
            <v>PC</v>
          </cell>
        </row>
        <row r="1390">
          <cell r="B1390">
            <v>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B1391">
            <v>0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B1393" t="str">
            <v>DPW</v>
          </cell>
          <cell r="C1393" t="str">
            <v>DPW</v>
          </cell>
          <cell r="D1393" t="str">
            <v>DPW</v>
          </cell>
          <cell r="E1393" t="str">
            <v>DPW</v>
          </cell>
          <cell r="F1393" t="str">
            <v>DPW</v>
          </cell>
          <cell r="H1393" t="str">
            <v>PC</v>
          </cell>
          <cell r="I1393" t="str">
            <v>PC</v>
          </cell>
          <cell r="J1393" t="str">
            <v>PC</v>
          </cell>
          <cell r="K1393" t="str">
            <v>PC</v>
          </cell>
          <cell r="L1393" t="str">
            <v>PC</v>
          </cell>
        </row>
        <row r="1394"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B1395">
            <v>0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B1397" t="str">
            <v>DPW</v>
          </cell>
          <cell r="C1397" t="str">
            <v>DPW</v>
          </cell>
          <cell r="D1397" t="str">
            <v>DPW</v>
          </cell>
          <cell r="E1397" t="str">
            <v>DPW</v>
          </cell>
          <cell r="F1397" t="str">
            <v>DPW</v>
          </cell>
          <cell r="H1397" t="str">
            <v>XFMR</v>
          </cell>
          <cell r="I1397" t="str">
            <v>XFMR</v>
          </cell>
          <cell r="J1397" t="str">
            <v>XFMR</v>
          </cell>
          <cell r="K1397" t="str">
            <v>XFMR</v>
          </cell>
          <cell r="L1397" t="str">
            <v>XFMR</v>
          </cell>
        </row>
        <row r="1398"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B1401" t="str">
            <v>DPW</v>
          </cell>
          <cell r="C1401" t="str">
            <v>DPW</v>
          </cell>
          <cell r="D1401" t="str">
            <v>DPW</v>
          </cell>
          <cell r="E1401" t="str">
            <v>DPW</v>
          </cell>
          <cell r="F1401" t="str">
            <v>DPW</v>
          </cell>
          <cell r="H1401" t="str">
            <v>SERV</v>
          </cell>
          <cell r="I1401" t="str">
            <v>SERV</v>
          </cell>
          <cell r="J1401" t="str">
            <v>SERV</v>
          </cell>
          <cell r="K1401" t="str">
            <v>SERV</v>
          </cell>
          <cell r="L1401" t="str">
            <v>SERV</v>
          </cell>
        </row>
        <row r="1402"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B1405" t="str">
            <v>DPW</v>
          </cell>
          <cell r="C1405" t="str">
            <v>DPW</v>
          </cell>
          <cell r="D1405" t="str">
            <v>DPW</v>
          </cell>
          <cell r="E1405" t="str">
            <v>DPW</v>
          </cell>
          <cell r="F1405" t="str">
            <v>DPW</v>
          </cell>
          <cell r="H1405" t="str">
            <v>METR</v>
          </cell>
          <cell r="I1405" t="str">
            <v>METR</v>
          </cell>
          <cell r="J1405" t="str">
            <v>METR</v>
          </cell>
          <cell r="K1405" t="str">
            <v>METR</v>
          </cell>
          <cell r="L1405" t="str">
            <v>METR</v>
          </cell>
        </row>
        <row r="1406">
          <cell r="B1406">
            <v>0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B1407">
            <v>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B1408">
            <v>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B1409" t="str">
            <v>DPW</v>
          </cell>
          <cell r="C1409" t="str">
            <v>DPW</v>
          </cell>
          <cell r="D1409" t="str">
            <v>DPW</v>
          </cell>
          <cell r="E1409" t="str">
            <v>DPW</v>
          </cell>
          <cell r="F1409" t="str">
            <v>DPW</v>
          </cell>
          <cell r="H1409" t="str">
            <v>PC</v>
          </cell>
          <cell r="I1409" t="str">
            <v>PC</v>
          </cell>
          <cell r="J1409" t="str">
            <v>PC</v>
          </cell>
          <cell r="K1409" t="str">
            <v>PC</v>
          </cell>
          <cell r="L1409" t="str">
            <v>PC</v>
          </cell>
        </row>
        <row r="1410">
          <cell r="B1410">
            <v>0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B1413" t="str">
            <v>DPW</v>
          </cell>
          <cell r="C1413" t="str">
            <v>DPW</v>
          </cell>
          <cell r="D1413" t="str">
            <v>DPW</v>
          </cell>
          <cell r="E1413" t="str">
            <v>DPW</v>
          </cell>
          <cell r="F1413" t="str">
            <v>DPW</v>
          </cell>
          <cell r="H1413" t="str">
            <v>PLNT2</v>
          </cell>
          <cell r="I1413" t="str">
            <v>PLNT2</v>
          </cell>
          <cell r="J1413" t="str">
            <v>PLNT2</v>
          </cell>
          <cell r="K1413" t="str">
            <v>PLNT2</v>
          </cell>
          <cell r="L1413" t="str">
            <v>PLNT2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B1415">
            <v>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B1417" t="str">
            <v>DPW</v>
          </cell>
          <cell r="C1417" t="str">
            <v>DPW</v>
          </cell>
          <cell r="D1417" t="str">
            <v>DPW</v>
          </cell>
          <cell r="E1417" t="str">
            <v>DPW</v>
          </cell>
          <cell r="F1417" t="str">
            <v>DPW</v>
          </cell>
          <cell r="H1417" t="str">
            <v>PC</v>
          </cell>
          <cell r="I1417" t="str">
            <v>PC</v>
          </cell>
          <cell r="J1417" t="str">
            <v>PC</v>
          </cell>
          <cell r="K1417" t="str">
            <v>PC</v>
          </cell>
          <cell r="L1417" t="str">
            <v>PC</v>
          </cell>
        </row>
        <row r="1418"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B1421" t="str">
            <v>DPW</v>
          </cell>
          <cell r="C1421" t="str">
            <v>DPW</v>
          </cell>
          <cell r="D1421" t="str">
            <v>DPW</v>
          </cell>
          <cell r="E1421" t="str">
            <v>DPW</v>
          </cell>
          <cell r="F1421" t="str">
            <v>DPW</v>
          </cell>
          <cell r="H1421" t="str">
            <v>PLNT2</v>
          </cell>
          <cell r="I1421" t="str">
            <v>PLNT2</v>
          </cell>
          <cell r="J1421" t="str">
            <v>PLNT2</v>
          </cell>
          <cell r="K1421" t="str">
            <v>PLNT2</v>
          </cell>
          <cell r="L1421" t="str">
            <v>PLNT2</v>
          </cell>
        </row>
        <row r="1422"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B1423">
            <v>0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</row>
        <row r="1424"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</row>
        <row r="1425">
          <cell r="B1425" t="str">
            <v>DPW</v>
          </cell>
          <cell r="C1425" t="str">
            <v>DPW</v>
          </cell>
          <cell r="D1425" t="str">
            <v>DPW</v>
          </cell>
          <cell r="E1425" t="str">
            <v>DPW</v>
          </cell>
          <cell r="F1425" t="str">
            <v>DPW</v>
          </cell>
          <cell r="H1425" t="str">
            <v>PLNT2</v>
          </cell>
          <cell r="I1425" t="str">
            <v>PLNT2</v>
          </cell>
          <cell r="J1425" t="str">
            <v>PLNT2</v>
          </cell>
          <cell r="K1425" t="str">
            <v>PLNT2</v>
          </cell>
          <cell r="L1425" t="str">
            <v>PLNT2</v>
          </cell>
        </row>
        <row r="1426"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B1432" t="str">
            <v>G-SITUS</v>
          </cell>
          <cell r="C1432" t="str">
            <v>G-SITUS</v>
          </cell>
          <cell r="D1432" t="str">
            <v>G-SITUS</v>
          </cell>
          <cell r="E1432" t="str">
            <v>G-SITUS</v>
          </cell>
          <cell r="F1432" t="str">
            <v>G-SITUS</v>
          </cell>
          <cell r="H1432" t="str">
            <v>PLNT</v>
          </cell>
          <cell r="I1432" t="str">
            <v>PLNT</v>
          </cell>
          <cell r="J1432" t="str">
            <v>PLNT</v>
          </cell>
          <cell r="K1432" t="str">
            <v>PLNT</v>
          </cell>
          <cell r="L1432" t="str">
            <v>PLNT</v>
          </cell>
        </row>
        <row r="1433">
          <cell r="B1433" t="str">
            <v>CUST</v>
          </cell>
          <cell r="C1433" t="str">
            <v>CUST</v>
          </cell>
          <cell r="D1433" t="str">
            <v>CUST</v>
          </cell>
          <cell r="E1433" t="str">
            <v>CUST</v>
          </cell>
          <cell r="F1433" t="str">
            <v>CUST</v>
          </cell>
          <cell r="H1433" t="str">
            <v>CUST</v>
          </cell>
          <cell r="I1433" t="str">
            <v>CUST</v>
          </cell>
          <cell r="J1433" t="str">
            <v>CUST</v>
          </cell>
          <cell r="K1433" t="str">
            <v>CUST</v>
          </cell>
          <cell r="L1433" t="str">
            <v>CUST</v>
          </cell>
        </row>
        <row r="1434">
          <cell r="B1434" t="str">
            <v>PT</v>
          </cell>
          <cell r="C1434" t="str">
            <v>PT</v>
          </cell>
          <cell r="D1434" t="str">
            <v>PT</v>
          </cell>
          <cell r="E1434" t="str">
            <v>PT</v>
          </cell>
          <cell r="F1434" t="str">
            <v>PT</v>
          </cell>
          <cell r="H1434" t="str">
            <v>PLNT</v>
          </cell>
          <cell r="I1434" t="str">
            <v>PLNT</v>
          </cell>
          <cell r="J1434" t="str">
            <v>PLNT</v>
          </cell>
          <cell r="K1434" t="str">
            <v>PLNT</v>
          </cell>
          <cell r="L1434" t="str">
            <v>PLNT</v>
          </cell>
        </row>
        <row r="1435">
          <cell r="B1435" t="str">
            <v>G-SG</v>
          </cell>
          <cell r="C1435" t="str">
            <v>G-SG</v>
          </cell>
          <cell r="D1435" t="str">
            <v>G-SG</v>
          </cell>
          <cell r="E1435" t="str">
            <v>G-SG</v>
          </cell>
          <cell r="F1435" t="str">
            <v>G-SG</v>
          </cell>
          <cell r="H1435" t="str">
            <v>PLNT</v>
          </cell>
          <cell r="I1435" t="str">
            <v>PLNT</v>
          </cell>
          <cell r="J1435" t="str">
            <v>PLNT</v>
          </cell>
          <cell r="K1435" t="str">
            <v>PLNT</v>
          </cell>
          <cell r="L1435" t="str">
            <v>PLNT</v>
          </cell>
        </row>
        <row r="1436">
          <cell r="B1436" t="str">
            <v>PTD</v>
          </cell>
          <cell r="C1436" t="str">
            <v>PTD</v>
          </cell>
          <cell r="D1436" t="str">
            <v>PTD</v>
          </cell>
          <cell r="E1436" t="str">
            <v>PTD</v>
          </cell>
          <cell r="F1436" t="str">
            <v>PTD</v>
          </cell>
          <cell r="H1436" t="str">
            <v>PLNT</v>
          </cell>
          <cell r="I1436" t="str">
            <v>PLNT</v>
          </cell>
          <cell r="J1436" t="str">
            <v>PLNT</v>
          </cell>
          <cell r="K1436" t="str">
            <v>PLNT</v>
          </cell>
          <cell r="L1436" t="str">
            <v>PLNT</v>
          </cell>
        </row>
        <row r="1437"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B1440" t="str">
            <v>G-SITUS</v>
          </cell>
          <cell r="C1440" t="str">
            <v>G-SITUS</v>
          </cell>
          <cell r="D1440" t="str">
            <v>G-SITUS</v>
          </cell>
          <cell r="E1440" t="str">
            <v>G-SITUS</v>
          </cell>
          <cell r="F1440" t="str">
            <v>G-SITUS</v>
          </cell>
          <cell r="H1440" t="str">
            <v>PLNT</v>
          </cell>
          <cell r="I1440" t="str">
            <v>PLNT</v>
          </cell>
          <cell r="J1440" t="str">
            <v>PLNT</v>
          </cell>
          <cell r="K1440" t="str">
            <v>PLNT</v>
          </cell>
          <cell r="L1440" t="str">
            <v>PLNT</v>
          </cell>
        </row>
        <row r="1441">
          <cell r="B1441" t="str">
            <v>G-DGU</v>
          </cell>
          <cell r="C1441" t="str">
            <v>G-DGU</v>
          </cell>
          <cell r="D1441" t="str">
            <v>G-DGU</v>
          </cell>
          <cell r="E1441" t="str">
            <v>G-DGU</v>
          </cell>
          <cell r="F1441" t="str">
            <v>G-DGU</v>
          </cell>
          <cell r="H1441" t="str">
            <v>PLNT</v>
          </cell>
          <cell r="I1441" t="str">
            <v>PLNT</v>
          </cell>
          <cell r="J1441" t="str">
            <v>PLNT</v>
          </cell>
          <cell r="K1441" t="str">
            <v>PLNT</v>
          </cell>
          <cell r="L1441" t="str">
            <v>PLNT</v>
          </cell>
        </row>
        <row r="1442">
          <cell r="B1442" t="str">
            <v>G-DGU</v>
          </cell>
          <cell r="C1442" t="str">
            <v>G-DGU</v>
          </cell>
          <cell r="D1442" t="str">
            <v>G-DGU</v>
          </cell>
          <cell r="E1442" t="str">
            <v>G-DGU</v>
          </cell>
          <cell r="F1442" t="str">
            <v>G-DGU</v>
          </cell>
          <cell r="H1442" t="str">
            <v>PLNT</v>
          </cell>
          <cell r="I1442" t="str">
            <v>PLNT</v>
          </cell>
          <cell r="J1442" t="str">
            <v>PLNT</v>
          </cell>
          <cell r="K1442" t="str">
            <v>PLNT</v>
          </cell>
          <cell r="L1442" t="str">
            <v>PLNT</v>
          </cell>
        </row>
        <row r="1443">
          <cell r="B1443" t="str">
            <v>P</v>
          </cell>
          <cell r="C1443" t="str">
            <v>P</v>
          </cell>
          <cell r="D1443" t="str">
            <v>P</v>
          </cell>
          <cell r="E1443" t="str">
            <v>P</v>
          </cell>
          <cell r="F1443" t="str">
            <v>P</v>
          </cell>
          <cell r="H1443" t="str">
            <v>PLNT</v>
          </cell>
          <cell r="I1443" t="str">
            <v>PLNT</v>
          </cell>
          <cell r="J1443" t="str">
            <v>PLNT</v>
          </cell>
          <cell r="K1443" t="str">
            <v>PLNT</v>
          </cell>
          <cell r="L1443" t="str">
            <v>PLNT</v>
          </cell>
        </row>
        <row r="1444">
          <cell r="B1444" t="str">
            <v>CUST</v>
          </cell>
          <cell r="C1444" t="str">
            <v>CUST</v>
          </cell>
          <cell r="D1444" t="str">
            <v>CUST</v>
          </cell>
          <cell r="E1444" t="str">
            <v>CUST</v>
          </cell>
          <cell r="F1444" t="str">
            <v>CUST</v>
          </cell>
          <cell r="H1444" t="str">
            <v>CUST</v>
          </cell>
          <cell r="I1444" t="str">
            <v>CUST</v>
          </cell>
          <cell r="J1444" t="str">
            <v>CUST</v>
          </cell>
          <cell r="K1444" t="str">
            <v>CUST</v>
          </cell>
          <cell r="L1444" t="str">
            <v>CUST</v>
          </cell>
        </row>
        <row r="1445">
          <cell r="B1445" t="str">
            <v>G-SG</v>
          </cell>
          <cell r="C1445" t="str">
            <v>G-SG</v>
          </cell>
          <cell r="D1445" t="str">
            <v>G-SG</v>
          </cell>
          <cell r="E1445" t="str">
            <v>G-SG</v>
          </cell>
          <cell r="F1445" t="str">
            <v>G-SG</v>
          </cell>
          <cell r="H1445" t="str">
            <v>PLNT</v>
          </cell>
          <cell r="I1445" t="str">
            <v>PLNT</v>
          </cell>
          <cell r="J1445" t="str">
            <v>PLNT</v>
          </cell>
          <cell r="K1445" t="str">
            <v>PLNT</v>
          </cell>
          <cell r="L1445" t="str">
            <v>PLNT</v>
          </cell>
        </row>
        <row r="1446">
          <cell r="B1446" t="str">
            <v>PTD</v>
          </cell>
          <cell r="C1446" t="str">
            <v>PTD</v>
          </cell>
          <cell r="D1446" t="str">
            <v>PTD</v>
          </cell>
          <cell r="E1446" t="str">
            <v>PTD</v>
          </cell>
          <cell r="F1446" t="str">
            <v>PTD</v>
          </cell>
          <cell r="H1446" t="str">
            <v>PLNT</v>
          </cell>
          <cell r="I1446" t="str">
            <v>PLNT</v>
          </cell>
          <cell r="J1446" t="str">
            <v>PLNT</v>
          </cell>
          <cell r="K1446" t="str">
            <v>PLNT</v>
          </cell>
          <cell r="L1446" t="str">
            <v>PLNT</v>
          </cell>
        </row>
        <row r="1447"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B1450" t="str">
            <v>G-SITUS</v>
          </cell>
          <cell r="C1450" t="str">
            <v>G-SITUS</v>
          </cell>
          <cell r="D1450" t="str">
            <v>G-SITUS</v>
          </cell>
          <cell r="E1450" t="str">
            <v>G-SITUS</v>
          </cell>
          <cell r="F1450" t="str">
            <v>G-SITUS</v>
          </cell>
          <cell r="H1450" t="str">
            <v>PLNT</v>
          </cell>
          <cell r="I1450" t="str">
            <v>PLNT</v>
          </cell>
          <cell r="J1450" t="str">
            <v>PLNT</v>
          </cell>
          <cell r="K1450" t="str">
            <v>PLNT</v>
          </cell>
          <cell r="L1450" t="str">
            <v>PLNT</v>
          </cell>
        </row>
        <row r="1451">
          <cell r="B1451" t="str">
            <v>PT</v>
          </cell>
          <cell r="C1451" t="str">
            <v>PT</v>
          </cell>
          <cell r="D1451" t="str">
            <v>PT</v>
          </cell>
          <cell r="E1451" t="str">
            <v>PT</v>
          </cell>
          <cell r="F1451" t="str">
            <v>PT</v>
          </cell>
          <cell r="H1451" t="str">
            <v>PLNT</v>
          </cell>
          <cell r="I1451" t="str">
            <v>PLNT</v>
          </cell>
          <cell r="J1451" t="str">
            <v>PLNT</v>
          </cell>
          <cell r="K1451" t="str">
            <v>PLNT</v>
          </cell>
          <cell r="L1451" t="str">
            <v>PLNT</v>
          </cell>
        </row>
        <row r="1452">
          <cell r="B1452" t="str">
            <v>PT</v>
          </cell>
          <cell r="C1452" t="str">
            <v>PT</v>
          </cell>
          <cell r="D1452" t="str">
            <v>PT</v>
          </cell>
          <cell r="E1452" t="str">
            <v>PT</v>
          </cell>
          <cell r="F1452" t="str">
            <v>PT</v>
          </cell>
          <cell r="H1452" t="str">
            <v>PLNT</v>
          </cell>
          <cell r="I1452" t="str">
            <v>PLNT</v>
          </cell>
          <cell r="J1452" t="str">
            <v>PLNT</v>
          </cell>
          <cell r="K1452" t="str">
            <v>PLNT</v>
          </cell>
          <cell r="L1452" t="str">
            <v>PLNT</v>
          </cell>
        </row>
        <row r="1453">
          <cell r="B1453" t="str">
            <v>CUST</v>
          </cell>
          <cell r="C1453" t="str">
            <v>CUST</v>
          </cell>
          <cell r="D1453" t="str">
            <v>CUST</v>
          </cell>
          <cell r="E1453" t="str">
            <v>CUST</v>
          </cell>
          <cell r="F1453" t="str">
            <v>CUST</v>
          </cell>
          <cell r="H1453" t="str">
            <v>CUST</v>
          </cell>
          <cell r="I1453" t="str">
            <v>CUST</v>
          </cell>
          <cell r="J1453" t="str">
            <v>CUST</v>
          </cell>
          <cell r="K1453" t="str">
            <v>CUST</v>
          </cell>
          <cell r="L1453" t="str">
            <v>CUST</v>
          </cell>
        </row>
        <row r="1454">
          <cell r="B1454" t="str">
            <v>G-SG</v>
          </cell>
          <cell r="C1454" t="str">
            <v>G-SG</v>
          </cell>
          <cell r="D1454" t="str">
            <v>G-SG</v>
          </cell>
          <cell r="E1454" t="str">
            <v>G-SG</v>
          </cell>
          <cell r="F1454" t="str">
            <v>G-SG</v>
          </cell>
          <cell r="H1454" t="str">
            <v>PLNT</v>
          </cell>
          <cell r="I1454" t="str">
            <v>PLNT</v>
          </cell>
          <cell r="J1454" t="str">
            <v>PLNT</v>
          </cell>
          <cell r="K1454" t="str">
            <v>PLNT</v>
          </cell>
          <cell r="L1454" t="str">
            <v>PLNT</v>
          </cell>
        </row>
        <row r="1455">
          <cell r="B1455" t="str">
            <v>P</v>
          </cell>
          <cell r="C1455" t="str">
            <v>P</v>
          </cell>
          <cell r="D1455" t="str">
            <v>P</v>
          </cell>
          <cell r="E1455" t="str">
            <v>P</v>
          </cell>
          <cell r="F1455" t="str">
            <v>P</v>
          </cell>
          <cell r="H1455" t="str">
            <v>PLNT</v>
          </cell>
          <cell r="I1455" t="str">
            <v>PLNT</v>
          </cell>
          <cell r="J1455" t="str">
            <v>PLNT</v>
          </cell>
          <cell r="K1455" t="str">
            <v>PLNT</v>
          </cell>
          <cell r="L1455" t="str">
            <v>PLNT</v>
          </cell>
        </row>
        <row r="1456">
          <cell r="B1456" t="str">
            <v>PTD</v>
          </cell>
          <cell r="C1456" t="str">
            <v>PTD</v>
          </cell>
          <cell r="D1456" t="str">
            <v>PTD</v>
          </cell>
          <cell r="E1456" t="str">
            <v>PTD</v>
          </cell>
          <cell r="F1456" t="str">
            <v>PTD</v>
          </cell>
          <cell r="H1456" t="str">
            <v>PLNT</v>
          </cell>
          <cell r="I1456" t="str">
            <v>PLNT</v>
          </cell>
          <cell r="J1456" t="str">
            <v>PLNT</v>
          </cell>
          <cell r="K1456" t="str">
            <v>PLNT</v>
          </cell>
          <cell r="L1456" t="str">
            <v>PLNT</v>
          </cell>
        </row>
        <row r="1457">
          <cell r="B1457" t="str">
            <v>G-SG</v>
          </cell>
          <cell r="C1457" t="str">
            <v>G-SG</v>
          </cell>
          <cell r="D1457" t="str">
            <v>G-SG</v>
          </cell>
          <cell r="E1457" t="str">
            <v>G-SG</v>
          </cell>
          <cell r="F1457" t="str">
            <v>G-SG</v>
          </cell>
          <cell r="H1457" t="str">
            <v>PLNT</v>
          </cell>
          <cell r="I1457" t="str">
            <v>PLNT</v>
          </cell>
          <cell r="J1457" t="str">
            <v>PLNT</v>
          </cell>
          <cell r="K1457" t="str">
            <v>PLNT</v>
          </cell>
          <cell r="L1457" t="str">
            <v>PLNT</v>
          </cell>
        </row>
        <row r="1458">
          <cell r="B1458" t="str">
            <v>P</v>
          </cell>
          <cell r="C1458" t="str">
            <v>P</v>
          </cell>
          <cell r="D1458" t="str">
            <v>P</v>
          </cell>
          <cell r="E1458" t="str">
            <v>P</v>
          </cell>
          <cell r="F1458" t="str">
            <v>P</v>
          </cell>
          <cell r="H1458" t="str">
            <v>PLNT</v>
          </cell>
          <cell r="I1458" t="str">
            <v>PLNT</v>
          </cell>
          <cell r="J1458" t="str">
            <v>PLNT</v>
          </cell>
          <cell r="K1458" t="str">
            <v>PLNT</v>
          </cell>
          <cell r="L1458" t="str">
            <v>PLNT</v>
          </cell>
        </row>
        <row r="1459"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B1460">
            <v>0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B1462" t="str">
            <v>G-SITUS</v>
          </cell>
          <cell r="C1462" t="str">
            <v>G-SITUS</v>
          </cell>
          <cell r="D1462" t="str">
            <v>G-SITUS</v>
          </cell>
          <cell r="E1462" t="str">
            <v>G-SITUS</v>
          </cell>
          <cell r="F1462" t="str">
            <v>G-SITUS</v>
          </cell>
          <cell r="H1462" t="str">
            <v>PLNT</v>
          </cell>
          <cell r="I1462" t="str">
            <v>PLNT</v>
          </cell>
          <cell r="J1462" t="str">
            <v>PLNT</v>
          </cell>
          <cell r="K1462" t="str">
            <v>PLNT</v>
          </cell>
          <cell r="L1462" t="str">
            <v>PLNT</v>
          </cell>
        </row>
        <row r="1463">
          <cell r="B1463" t="str">
            <v>PTD</v>
          </cell>
          <cell r="C1463" t="str">
            <v>PTD</v>
          </cell>
          <cell r="D1463" t="str">
            <v>PTD</v>
          </cell>
          <cell r="E1463" t="str">
            <v>PTD</v>
          </cell>
          <cell r="F1463" t="str">
            <v>PTD</v>
          </cell>
          <cell r="H1463" t="str">
            <v>PLNT</v>
          </cell>
          <cell r="I1463" t="str">
            <v>PLNT</v>
          </cell>
          <cell r="J1463" t="str">
            <v>PLNT</v>
          </cell>
          <cell r="K1463" t="str">
            <v>PLNT</v>
          </cell>
          <cell r="L1463" t="str">
            <v>PLNT</v>
          </cell>
        </row>
        <row r="1464">
          <cell r="B1464" t="str">
            <v>G-SG</v>
          </cell>
          <cell r="C1464" t="str">
            <v>G-SG</v>
          </cell>
          <cell r="D1464" t="str">
            <v>G-SG</v>
          </cell>
          <cell r="E1464" t="str">
            <v>G-SG</v>
          </cell>
          <cell r="F1464" t="str">
            <v>G-SG</v>
          </cell>
          <cell r="H1464" t="str">
            <v>PLNT</v>
          </cell>
          <cell r="I1464" t="str">
            <v>PLNT</v>
          </cell>
          <cell r="J1464" t="str">
            <v>PLNT</v>
          </cell>
          <cell r="K1464" t="str">
            <v>PLNT</v>
          </cell>
          <cell r="L1464" t="str">
            <v>PLNT</v>
          </cell>
        </row>
        <row r="1465">
          <cell r="B1465" t="str">
            <v>CUST</v>
          </cell>
          <cell r="C1465" t="str">
            <v>CUST</v>
          </cell>
          <cell r="D1465" t="str">
            <v>CUST</v>
          </cell>
          <cell r="E1465" t="str">
            <v>CUST</v>
          </cell>
          <cell r="F1465" t="str">
            <v>CUST</v>
          </cell>
          <cell r="H1465" t="str">
            <v>CUST</v>
          </cell>
          <cell r="I1465" t="str">
            <v>CUST</v>
          </cell>
          <cell r="J1465" t="str">
            <v>CUST</v>
          </cell>
          <cell r="K1465" t="str">
            <v>CUST</v>
          </cell>
          <cell r="L1465" t="str">
            <v>CUST</v>
          </cell>
        </row>
        <row r="1466">
          <cell r="B1466" t="str">
            <v>PT</v>
          </cell>
          <cell r="C1466" t="str">
            <v>PT</v>
          </cell>
          <cell r="D1466" t="str">
            <v>PT</v>
          </cell>
          <cell r="E1466" t="str">
            <v>PT</v>
          </cell>
          <cell r="F1466" t="str">
            <v>PT</v>
          </cell>
          <cell r="H1466" t="str">
            <v>PLNT</v>
          </cell>
          <cell r="I1466" t="str">
            <v>PLNT</v>
          </cell>
          <cell r="J1466" t="str">
            <v>PLNT</v>
          </cell>
          <cell r="K1466" t="str">
            <v>PLNT</v>
          </cell>
          <cell r="L1466" t="str">
            <v>PLNT</v>
          </cell>
        </row>
        <row r="1467">
          <cell r="B1467" t="str">
            <v>P</v>
          </cell>
          <cell r="C1467" t="str">
            <v>P</v>
          </cell>
          <cell r="D1467" t="str">
            <v>P</v>
          </cell>
          <cell r="E1467" t="str">
            <v>P</v>
          </cell>
          <cell r="F1467" t="str">
            <v>P</v>
          </cell>
          <cell r="H1467" t="str">
            <v>PLNT</v>
          </cell>
          <cell r="I1467" t="str">
            <v>PLNT</v>
          </cell>
          <cell r="J1467" t="str">
            <v>PLNT</v>
          </cell>
          <cell r="K1467" t="str">
            <v>PLNT</v>
          </cell>
          <cell r="L1467" t="str">
            <v>PLNT</v>
          </cell>
        </row>
        <row r="1468">
          <cell r="B1468" t="str">
            <v>G-DGP</v>
          </cell>
          <cell r="C1468" t="str">
            <v>G-DGP</v>
          </cell>
          <cell r="D1468" t="str">
            <v>G-DGP</v>
          </cell>
          <cell r="E1468" t="str">
            <v>G-DGP</v>
          </cell>
          <cell r="F1468" t="str">
            <v>G-DGP</v>
          </cell>
          <cell r="H1468" t="str">
            <v>PLNT</v>
          </cell>
          <cell r="I1468" t="str">
            <v>PLNT</v>
          </cell>
          <cell r="J1468" t="str">
            <v>PLNT</v>
          </cell>
          <cell r="K1468" t="str">
            <v>PLNT</v>
          </cell>
          <cell r="L1468" t="str">
            <v>PLNT</v>
          </cell>
        </row>
        <row r="1469">
          <cell r="B1469" t="str">
            <v>G-SG</v>
          </cell>
          <cell r="C1469" t="str">
            <v>G-SG</v>
          </cell>
          <cell r="D1469" t="str">
            <v>G-SG</v>
          </cell>
          <cell r="E1469" t="str">
            <v>G-SG</v>
          </cell>
          <cell r="F1469" t="str">
            <v>G-SG</v>
          </cell>
          <cell r="H1469" t="str">
            <v>PLNT</v>
          </cell>
          <cell r="I1469" t="str">
            <v>PLNT</v>
          </cell>
          <cell r="J1469" t="str">
            <v>PLNT</v>
          </cell>
          <cell r="K1469" t="str">
            <v>PLNT</v>
          </cell>
          <cell r="L1469" t="str">
            <v>PLNT</v>
          </cell>
        </row>
        <row r="1470">
          <cell r="B1470" t="str">
            <v>G-DGU</v>
          </cell>
          <cell r="C1470" t="str">
            <v>G-DGU</v>
          </cell>
          <cell r="D1470" t="str">
            <v>G-DGU</v>
          </cell>
          <cell r="E1470" t="str">
            <v>G-DGU</v>
          </cell>
          <cell r="F1470" t="str">
            <v>G-DGU</v>
          </cell>
          <cell r="H1470" t="str">
            <v>PLNT</v>
          </cell>
          <cell r="I1470" t="str">
            <v>PLNT</v>
          </cell>
          <cell r="J1470" t="str">
            <v>PLNT</v>
          </cell>
          <cell r="K1470" t="str">
            <v>PLNT</v>
          </cell>
          <cell r="L1470" t="str">
            <v>PLNT</v>
          </cell>
        </row>
        <row r="1471"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B1474" t="str">
            <v>G-SITUS</v>
          </cell>
          <cell r="C1474" t="str">
            <v>G-SITUS</v>
          </cell>
          <cell r="D1474" t="str">
            <v>G-SITUS</v>
          </cell>
          <cell r="E1474" t="str">
            <v>G-SITUS</v>
          </cell>
          <cell r="F1474" t="str">
            <v>G-SITUS</v>
          </cell>
          <cell r="H1474" t="str">
            <v>PLNT</v>
          </cell>
          <cell r="I1474" t="str">
            <v>PLNT</v>
          </cell>
          <cell r="J1474" t="str">
            <v>PLNT</v>
          </cell>
          <cell r="K1474" t="str">
            <v>PLNT</v>
          </cell>
          <cell r="L1474" t="str">
            <v>PLNT</v>
          </cell>
        </row>
        <row r="1475">
          <cell r="B1475" t="str">
            <v>PT</v>
          </cell>
          <cell r="C1475" t="str">
            <v>PT</v>
          </cell>
          <cell r="D1475" t="str">
            <v>PT</v>
          </cell>
          <cell r="E1475" t="str">
            <v>PT</v>
          </cell>
          <cell r="F1475" t="str">
            <v>PT</v>
          </cell>
          <cell r="H1475" t="str">
            <v>PLNT</v>
          </cell>
          <cell r="I1475" t="str">
            <v>PLNT</v>
          </cell>
          <cell r="J1475" t="str">
            <v>PLNT</v>
          </cell>
          <cell r="K1475" t="str">
            <v>PLNT</v>
          </cell>
          <cell r="L1475" t="str">
            <v>PLNT</v>
          </cell>
        </row>
        <row r="1476">
          <cell r="B1476" t="str">
            <v>PT</v>
          </cell>
          <cell r="C1476" t="str">
            <v>PT</v>
          </cell>
          <cell r="D1476" t="str">
            <v>PT</v>
          </cell>
          <cell r="E1476" t="str">
            <v>PT</v>
          </cell>
          <cell r="F1476" t="str">
            <v>PT</v>
          </cell>
          <cell r="H1476" t="str">
            <v>PLNT</v>
          </cell>
          <cell r="I1476" t="str">
            <v>PLNT</v>
          </cell>
          <cell r="J1476" t="str">
            <v>PLNT</v>
          </cell>
          <cell r="K1476" t="str">
            <v>PLNT</v>
          </cell>
          <cell r="L1476" t="str">
            <v>PLNT</v>
          </cell>
        </row>
        <row r="1477">
          <cell r="B1477" t="str">
            <v>PTD</v>
          </cell>
          <cell r="C1477" t="str">
            <v>PTD</v>
          </cell>
          <cell r="D1477" t="str">
            <v>PTD</v>
          </cell>
          <cell r="E1477" t="str">
            <v>PTD</v>
          </cell>
          <cell r="F1477" t="str">
            <v>PTD</v>
          </cell>
          <cell r="H1477" t="str">
            <v>PLNT</v>
          </cell>
          <cell r="I1477" t="str">
            <v>PLNT</v>
          </cell>
          <cell r="J1477" t="str">
            <v>PLNT</v>
          </cell>
          <cell r="K1477" t="str">
            <v>PLNT</v>
          </cell>
          <cell r="L1477" t="str">
            <v>PLNT</v>
          </cell>
        </row>
        <row r="1478">
          <cell r="B1478" t="str">
            <v>G-SG</v>
          </cell>
          <cell r="C1478" t="str">
            <v>G-SG</v>
          </cell>
          <cell r="D1478" t="str">
            <v>G-SG</v>
          </cell>
          <cell r="E1478" t="str">
            <v>G-SG</v>
          </cell>
          <cell r="F1478" t="str">
            <v>G-SG</v>
          </cell>
          <cell r="H1478" t="str">
            <v>PLNT</v>
          </cell>
          <cell r="I1478" t="str">
            <v>PLNT</v>
          </cell>
          <cell r="J1478" t="str">
            <v>PLNT</v>
          </cell>
          <cell r="K1478" t="str">
            <v>PLNT</v>
          </cell>
          <cell r="L1478" t="str">
            <v>PLNT</v>
          </cell>
        </row>
        <row r="1479">
          <cell r="B1479" t="str">
            <v>G-DGU</v>
          </cell>
          <cell r="C1479" t="str">
            <v>G-DGU</v>
          </cell>
          <cell r="D1479" t="str">
            <v>G-DGU</v>
          </cell>
          <cell r="E1479" t="str">
            <v>G-DGU</v>
          </cell>
          <cell r="F1479" t="str">
            <v>G-DGU</v>
          </cell>
          <cell r="H1479" t="str">
            <v>PLNT</v>
          </cell>
          <cell r="I1479" t="str">
            <v>PLNT</v>
          </cell>
          <cell r="J1479" t="str">
            <v>PLNT</v>
          </cell>
          <cell r="K1479" t="str">
            <v>PLNT</v>
          </cell>
          <cell r="L1479" t="str">
            <v>PLNT</v>
          </cell>
        </row>
        <row r="1480">
          <cell r="B1480">
            <v>0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B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</row>
        <row r="1483">
          <cell r="B1483" t="str">
            <v>G-SITUS</v>
          </cell>
          <cell r="C1483" t="str">
            <v>G-SITUS</v>
          </cell>
          <cell r="D1483" t="str">
            <v>G-SITUS</v>
          </cell>
          <cell r="E1483" t="str">
            <v>G-SITUS</v>
          </cell>
          <cell r="F1483" t="str">
            <v>G-SITUS</v>
          </cell>
          <cell r="H1483" t="str">
            <v>PLNT</v>
          </cell>
          <cell r="I1483" t="str">
            <v>PLNT</v>
          </cell>
          <cell r="J1483" t="str">
            <v>PLNT</v>
          </cell>
          <cell r="K1483" t="str">
            <v>PLNT</v>
          </cell>
          <cell r="L1483" t="str">
            <v>PLNT</v>
          </cell>
        </row>
        <row r="1484">
          <cell r="B1484" t="str">
            <v>PT</v>
          </cell>
          <cell r="C1484" t="str">
            <v>PT</v>
          </cell>
          <cell r="D1484" t="str">
            <v>PT</v>
          </cell>
          <cell r="E1484" t="str">
            <v>PT</v>
          </cell>
          <cell r="F1484" t="str">
            <v>PT</v>
          </cell>
          <cell r="H1484" t="str">
            <v>PLNT</v>
          </cell>
          <cell r="I1484" t="str">
            <v>PLNT</v>
          </cell>
          <cell r="J1484" t="str">
            <v>PLNT</v>
          </cell>
          <cell r="K1484" t="str">
            <v>PLNT</v>
          </cell>
          <cell r="L1484" t="str">
            <v>PLNT</v>
          </cell>
        </row>
        <row r="1485">
          <cell r="B1485" t="str">
            <v>G-SG</v>
          </cell>
          <cell r="C1485" t="str">
            <v>G-SG</v>
          </cell>
          <cell r="D1485" t="str">
            <v>G-SG</v>
          </cell>
          <cell r="E1485" t="str">
            <v>G-SG</v>
          </cell>
          <cell r="F1485" t="str">
            <v>G-SG</v>
          </cell>
          <cell r="H1485" t="str">
            <v>PLNT</v>
          </cell>
          <cell r="I1485" t="str">
            <v>PLNT</v>
          </cell>
          <cell r="J1485" t="str">
            <v>PLNT</v>
          </cell>
          <cell r="K1485" t="str">
            <v>PLNT</v>
          </cell>
          <cell r="L1485" t="str">
            <v>PLNT</v>
          </cell>
        </row>
        <row r="1486">
          <cell r="B1486" t="str">
            <v>PTD</v>
          </cell>
          <cell r="C1486" t="str">
            <v>PTD</v>
          </cell>
          <cell r="D1486" t="str">
            <v>PTD</v>
          </cell>
          <cell r="E1486" t="str">
            <v>PTD</v>
          </cell>
          <cell r="F1486" t="str">
            <v>PTD</v>
          </cell>
          <cell r="H1486" t="str">
            <v>PLNT</v>
          </cell>
          <cell r="I1486" t="str">
            <v>PLNT</v>
          </cell>
          <cell r="J1486" t="str">
            <v>PLNT</v>
          </cell>
          <cell r="K1486" t="str">
            <v>PLNT</v>
          </cell>
          <cell r="L1486" t="str">
            <v>PLNT</v>
          </cell>
        </row>
        <row r="1487">
          <cell r="B1487" t="str">
            <v>P</v>
          </cell>
          <cell r="C1487" t="str">
            <v>P</v>
          </cell>
          <cell r="D1487" t="str">
            <v>P</v>
          </cell>
          <cell r="E1487" t="str">
            <v>P</v>
          </cell>
          <cell r="F1487" t="str">
            <v>P</v>
          </cell>
          <cell r="H1487" t="str">
            <v>PLNT</v>
          </cell>
          <cell r="I1487" t="str">
            <v>PLNT</v>
          </cell>
          <cell r="J1487" t="str">
            <v>PLNT</v>
          </cell>
          <cell r="K1487" t="str">
            <v>PLNT</v>
          </cell>
          <cell r="L1487" t="str">
            <v>PLNT</v>
          </cell>
        </row>
        <row r="1488">
          <cell r="B1488" t="str">
            <v>PT</v>
          </cell>
          <cell r="C1488" t="str">
            <v>PT</v>
          </cell>
          <cell r="D1488" t="str">
            <v>PT</v>
          </cell>
          <cell r="E1488" t="str">
            <v>PT</v>
          </cell>
          <cell r="F1488" t="str">
            <v>PT</v>
          </cell>
          <cell r="H1488" t="str">
            <v>PLNT</v>
          </cell>
          <cell r="I1488" t="str">
            <v>PLNT</v>
          </cell>
          <cell r="J1488" t="str">
            <v>PLNT</v>
          </cell>
          <cell r="K1488" t="str">
            <v>PLNT</v>
          </cell>
          <cell r="L1488" t="str">
            <v>PLNT</v>
          </cell>
        </row>
        <row r="1489">
          <cell r="B1489" t="str">
            <v>G-SG</v>
          </cell>
          <cell r="C1489" t="str">
            <v>G-SG</v>
          </cell>
          <cell r="D1489" t="str">
            <v>G-SG</v>
          </cell>
          <cell r="E1489" t="str">
            <v>G-SG</v>
          </cell>
          <cell r="F1489" t="str">
            <v>G-SG</v>
          </cell>
          <cell r="H1489" t="str">
            <v>PLNT</v>
          </cell>
          <cell r="I1489" t="str">
            <v>PLNT</v>
          </cell>
          <cell r="J1489" t="str">
            <v>PLNT</v>
          </cell>
          <cell r="K1489" t="str">
            <v>PLNT</v>
          </cell>
          <cell r="L1489" t="str">
            <v>PLNT</v>
          </cell>
        </row>
        <row r="1490">
          <cell r="B1490" t="str">
            <v>G-SG</v>
          </cell>
          <cell r="C1490" t="str">
            <v>G-SG</v>
          </cell>
          <cell r="D1490" t="str">
            <v>G-SG</v>
          </cell>
          <cell r="E1490" t="str">
            <v>G-SG</v>
          </cell>
          <cell r="F1490" t="str">
            <v>G-SG</v>
          </cell>
          <cell r="H1490" t="str">
            <v>PLNT</v>
          </cell>
          <cell r="I1490" t="str">
            <v>PLNT</v>
          </cell>
          <cell r="J1490" t="str">
            <v>PLNT</v>
          </cell>
          <cell r="K1490" t="str">
            <v>PLNT</v>
          </cell>
          <cell r="L1490" t="str">
            <v>PLNT</v>
          </cell>
        </row>
        <row r="1491"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B1493">
            <v>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B1494" t="str">
            <v>G-SITUS</v>
          </cell>
          <cell r="C1494" t="str">
            <v>G-SITUS</v>
          </cell>
          <cell r="D1494" t="str">
            <v>G-SITUS</v>
          </cell>
          <cell r="E1494" t="str">
            <v>G-SITUS</v>
          </cell>
          <cell r="F1494" t="str">
            <v>G-SITUS</v>
          </cell>
          <cell r="H1494" t="str">
            <v>PLNT</v>
          </cell>
          <cell r="I1494" t="str">
            <v>PLNT</v>
          </cell>
          <cell r="J1494" t="str">
            <v>PLNT</v>
          </cell>
          <cell r="K1494" t="str">
            <v>PLNT</v>
          </cell>
          <cell r="L1494" t="str">
            <v>PLNT</v>
          </cell>
        </row>
        <row r="1495">
          <cell r="B1495" t="str">
            <v>PT</v>
          </cell>
          <cell r="C1495" t="str">
            <v>PT</v>
          </cell>
          <cell r="D1495" t="str">
            <v>PT</v>
          </cell>
          <cell r="E1495" t="str">
            <v>PT</v>
          </cell>
          <cell r="F1495" t="str">
            <v>PT</v>
          </cell>
          <cell r="H1495" t="str">
            <v>PLNT</v>
          </cell>
          <cell r="I1495" t="str">
            <v>PLNT</v>
          </cell>
          <cell r="J1495" t="str">
            <v>PLNT</v>
          </cell>
          <cell r="K1495" t="str">
            <v>PLNT</v>
          </cell>
          <cell r="L1495" t="str">
            <v>PLNT</v>
          </cell>
        </row>
        <row r="1496">
          <cell r="B1496" t="str">
            <v>PT</v>
          </cell>
          <cell r="C1496" t="str">
            <v>PT</v>
          </cell>
          <cell r="D1496" t="str">
            <v>PT</v>
          </cell>
          <cell r="E1496" t="str">
            <v>PT</v>
          </cell>
          <cell r="F1496" t="str">
            <v>PT</v>
          </cell>
          <cell r="H1496" t="str">
            <v>PLNT</v>
          </cell>
          <cell r="I1496" t="str">
            <v>PLNT</v>
          </cell>
          <cell r="J1496" t="str">
            <v>PLNT</v>
          </cell>
          <cell r="K1496" t="str">
            <v>PLNT</v>
          </cell>
          <cell r="L1496" t="str">
            <v>PLNT</v>
          </cell>
        </row>
        <row r="1497">
          <cell r="B1497" t="str">
            <v>PTD</v>
          </cell>
          <cell r="C1497" t="str">
            <v>PTD</v>
          </cell>
          <cell r="D1497" t="str">
            <v>PTD</v>
          </cell>
          <cell r="E1497" t="str">
            <v>PTD</v>
          </cell>
          <cell r="F1497" t="str">
            <v>PTD</v>
          </cell>
          <cell r="H1497" t="str">
            <v>PLNT</v>
          </cell>
          <cell r="I1497" t="str">
            <v>PLNT</v>
          </cell>
          <cell r="J1497" t="str">
            <v>PLNT</v>
          </cell>
          <cell r="K1497" t="str">
            <v>PLNT</v>
          </cell>
          <cell r="L1497" t="str">
            <v>PLNT</v>
          </cell>
        </row>
        <row r="1498">
          <cell r="B1498" t="str">
            <v>P</v>
          </cell>
          <cell r="C1498" t="str">
            <v>P</v>
          </cell>
          <cell r="D1498" t="str">
            <v>P</v>
          </cell>
          <cell r="E1498" t="str">
            <v>P</v>
          </cell>
          <cell r="F1498" t="str">
            <v>P</v>
          </cell>
          <cell r="H1498" t="str">
            <v>PLNT</v>
          </cell>
          <cell r="I1498" t="str">
            <v>PLNT</v>
          </cell>
          <cell r="J1498" t="str">
            <v>PLNT</v>
          </cell>
          <cell r="K1498" t="str">
            <v>PLNT</v>
          </cell>
          <cell r="L1498" t="str">
            <v>PLNT</v>
          </cell>
        </row>
        <row r="1499">
          <cell r="B1499" t="str">
            <v>G-SG</v>
          </cell>
          <cell r="C1499" t="str">
            <v>G-SG</v>
          </cell>
          <cell r="D1499" t="str">
            <v>G-SG</v>
          </cell>
          <cell r="E1499" t="str">
            <v>G-SG</v>
          </cell>
          <cell r="F1499" t="str">
            <v>G-SG</v>
          </cell>
          <cell r="H1499" t="str">
            <v>PLNT</v>
          </cell>
          <cell r="I1499" t="str">
            <v>PLNT</v>
          </cell>
          <cell r="J1499" t="str">
            <v>PLNT</v>
          </cell>
          <cell r="K1499" t="str">
            <v>PLNT</v>
          </cell>
          <cell r="L1499" t="str">
            <v>PLNT</v>
          </cell>
        </row>
        <row r="1500">
          <cell r="B1500" t="str">
            <v>G-SG</v>
          </cell>
          <cell r="C1500" t="str">
            <v>G-SG</v>
          </cell>
          <cell r="D1500" t="str">
            <v>G-SG</v>
          </cell>
          <cell r="E1500" t="str">
            <v>G-SG</v>
          </cell>
          <cell r="F1500" t="str">
            <v>G-SG</v>
          </cell>
          <cell r="H1500" t="str">
            <v>PLNT</v>
          </cell>
          <cell r="I1500" t="str">
            <v>PLNT</v>
          </cell>
          <cell r="J1500" t="str">
            <v>PLNT</v>
          </cell>
          <cell r="K1500" t="str">
            <v>PLNT</v>
          </cell>
          <cell r="L1500" t="str">
            <v>PLNT</v>
          </cell>
        </row>
        <row r="1501">
          <cell r="B1501" t="str">
            <v>G-SG</v>
          </cell>
          <cell r="C1501" t="str">
            <v>G-SG</v>
          </cell>
          <cell r="D1501" t="str">
            <v>G-SG</v>
          </cell>
          <cell r="E1501" t="str">
            <v>G-SG</v>
          </cell>
          <cell r="F1501" t="str">
            <v>G-SG</v>
          </cell>
          <cell r="H1501" t="str">
            <v>PLNT</v>
          </cell>
          <cell r="I1501" t="str">
            <v>PLNT</v>
          </cell>
          <cell r="J1501" t="str">
            <v>PLNT</v>
          </cell>
          <cell r="K1501" t="str">
            <v>PLNT</v>
          </cell>
          <cell r="L1501" t="str">
            <v>PLNT</v>
          </cell>
        </row>
        <row r="1502">
          <cell r="B1502">
            <v>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B1503">
            <v>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B1504">
            <v>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B1505" t="str">
            <v>G-SITUS</v>
          </cell>
          <cell r="C1505" t="str">
            <v>G-SITUS</v>
          </cell>
          <cell r="D1505" t="str">
            <v>G-SITUS</v>
          </cell>
          <cell r="E1505" t="str">
            <v>G-SITUS</v>
          </cell>
          <cell r="F1505" t="str">
            <v>G-SITUS</v>
          </cell>
          <cell r="H1505" t="str">
            <v>PLNT</v>
          </cell>
          <cell r="I1505" t="str">
            <v>PLNT</v>
          </cell>
          <cell r="J1505" t="str">
            <v>PLNT</v>
          </cell>
          <cell r="K1505" t="str">
            <v>PLNT</v>
          </cell>
          <cell r="L1505" t="str">
            <v>PLNT</v>
          </cell>
        </row>
        <row r="1506">
          <cell r="B1506" t="str">
            <v>G-DGP</v>
          </cell>
          <cell r="C1506" t="str">
            <v>G-DGP</v>
          </cell>
          <cell r="D1506" t="str">
            <v>G-DGP</v>
          </cell>
          <cell r="E1506" t="str">
            <v>G-DGP</v>
          </cell>
          <cell r="F1506" t="str">
            <v>G-DGP</v>
          </cell>
          <cell r="H1506" t="str">
            <v>PLNT</v>
          </cell>
          <cell r="I1506" t="str">
            <v>PLNT</v>
          </cell>
          <cell r="J1506" t="str">
            <v>PLNT</v>
          </cell>
          <cell r="K1506" t="str">
            <v>PLNT</v>
          </cell>
          <cell r="L1506" t="str">
            <v>PLNT</v>
          </cell>
        </row>
        <row r="1507">
          <cell r="B1507" t="str">
            <v>G-SG</v>
          </cell>
          <cell r="C1507" t="str">
            <v>G-SG</v>
          </cell>
          <cell r="D1507" t="str">
            <v>G-SG</v>
          </cell>
          <cell r="E1507" t="str">
            <v>G-SG</v>
          </cell>
          <cell r="F1507" t="str">
            <v>G-SG</v>
          </cell>
          <cell r="H1507" t="str">
            <v>PLNT</v>
          </cell>
          <cell r="I1507" t="str">
            <v>PLNT</v>
          </cell>
          <cell r="J1507" t="str">
            <v>PLNT</v>
          </cell>
          <cell r="K1507" t="str">
            <v>PLNT</v>
          </cell>
          <cell r="L1507" t="str">
            <v>PLNT</v>
          </cell>
        </row>
        <row r="1508">
          <cell r="B1508" t="str">
            <v>PTD</v>
          </cell>
          <cell r="C1508" t="str">
            <v>PTD</v>
          </cell>
          <cell r="D1508" t="str">
            <v>PTD</v>
          </cell>
          <cell r="E1508" t="str">
            <v>PTD</v>
          </cell>
          <cell r="F1508" t="str">
            <v>PTD</v>
          </cell>
          <cell r="H1508" t="str">
            <v>PLNT</v>
          </cell>
          <cell r="I1508" t="str">
            <v>PLNT</v>
          </cell>
          <cell r="J1508" t="str">
            <v>PLNT</v>
          </cell>
          <cell r="K1508" t="str">
            <v>PLNT</v>
          </cell>
          <cell r="L1508" t="str">
            <v>PLNT</v>
          </cell>
        </row>
        <row r="1509">
          <cell r="B1509" t="str">
            <v>G-DGU</v>
          </cell>
          <cell r="C1509" t="str">
            <v>G-DGU</v>
          </cell>
          <cell r="D1509" t="str">
            <v>G-DGU</v>
          </cell>
          <cell r="E1509" t="str">
            <v>G-DGU</v>
          </cell>
          <cell r="F1509" t="str">
            <v>G-DGU</v>
          </cell>
          <cell r="H1509" t="str">
            <v>PLNT</v>
          </cell>
          <cell r="I1509" t="str">
            <v>PLNT</v>
          </cell>
          <cell r="J1509" t="str">
            <v>PLNT</v>
          </cell>
          <cell r="K1509" t="str">
            <v>PLNT</v>
          </cell>
          <cell r="L1509" t="str">
            <v>PLNT</v>
          </cell>
        </row>
        <row r="1510">
          <cell r="B1510" t="str">
            <v>P</v>
          </cell>
          <cell r="C1510" t="str">
            <v>P</v>
          </cell>
          <cell r="D1510" t="str">
            <v>P</v>
          </cell>
          <cell r="E1510" t="str">
            <v>P</v>
          </cell>
          <cell r="F1510" t="str">
            <v>P</v>
          </cell>
          <cell r="H1510" t="str">
            <v>PLNT</v>
          </cell>
          <cell r="I1510" t="str">
            <v>PLNT</v>
          </cell>
          <cell r="J1510" t="str">
            <v>PLNT</v>
          </cell>
          <cell r="K1510" t="str">
            <v>PLNT</v>
          </cell>
          <cell r="L1510" t="str">
            <v>PLNT</v>
          </cell>
        </row>
        <row r="1511">
          <cell r="B1511" t="str">
            <v>G-SG</v>
          </cell>
          <cell r="C1511" t="str">
            <v>G-SG</v>
          </cell>
          <cell r="D1511" t="str">
            <v>G-SG</v>
          </cell>
          <cell r="E1511" t="str">
            <v>G-SG</v>
          </cell>
          <cell r="F1511" t="str">
            <v>G-SG</v>
          </cell>
          <cell r="H1511" t="str">
            <v>PLNT</v>
          </cell>
          <cell r="I1511" t="str">
            <v>PLNT</v>
          </cell>
          <cell r="J1511" t="str">
            <v>PLNT</v>
          </cell>
          <cell r="K1511" t="str">
            <v>PLNT</v>
          </cell>
          <cell r="L1511" t="str">
            <v>PLNT</v>
          </cell>
        </row>
        <row r="1512">
          <cell r="B1512" t="str">
            <v>G-SG</v>
          </cell>
          <cell r="C1512" t="str">
            <v>G-SG</v>
          </cell>
          <cell r="D1512" t="str">
            <v>G-SG</v>
          </cell>
          <cell r="E1512" t="str">
            <v>G-SG</v>
          </cell>
          <cell r="F1512" t="str">
            <v>G-SG</v>
          </cell>
          <cell r="H1512" t="str">
            <v>PLNT</v>
          </cell>
          <cell r="I1512" t="str">
            <v>PLNT</v>
          </cell>
          <cell r="J1512" t="str">
            <v>PLNT</v>
          </cell>
          <cell r="K1512" t="str">
            <v>PLNT</v>
          </cell>
          <cell r="L1512" t="str">
            <v>PLNT</v>
          </cell>
        </row>
        <row r="1513"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B1515">
            <v>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B1516" t="str">
            <v>G-SITUS</v>
          </cell>
          <cell r="C1516" t="str">
            <v>G-SITUS</v>
          </cell>
          <cell r="D1516" t="str">
            <v>G-SITUS</v>
          </cell>
          <cell r="E1516" t="str">
            <v>G-SITUS</v>
          </cell>
          <cell r="F1516" t="str">
            <v>G-SITUS</v>
          </cell>
          <cell r="H1516" t="str">
            <v>PLNT</v>
          </cell>
          <cell r="I1516" t="str">
            <v>PLNT</v>
          </cell>
          <cell r="J1516" t="str">
            <v>PLNT</v>
          </cell>
          <cell r="K1516" t="str">
            <v>PLNT</v>
          </cell>
          <cell r="L1516" t="str">
            <v>PLNT</v>
          </cell>
        </row>
        <row r="1517">
          <cell r="B1517" t="str">
            <v>G-DGP</v>
          </cell>
          <cell r="C1517" t="str">
            <v>G-DGP</v>
          </cell>
          <cell r="D1517" t="str">
            <v>G-DGP</v>
          </cell>
          <cell r="E1517" t="str">
            <v>G-DGP</v>
          </cell>
          <cell r="F1517" t="str">
            <v>G-DGP</v>
          </cell>
          <cell r="H1517" t="str">
            <v>PLNT</v>
          </cell>
          <cell r="I1517" t="str">
            <v>PLNT</v>
          </cell>
          <cell r="J1517" t="str">
            <v>PLNT</v>
          </cell>
          <cell r="K1517" t="str">
            <v>PLNT</v>
          </cell>
          <cell r="L1517" t="str">
            <v>PLNT</v>
          </cell>
        </row>
        <row r="1518">
          <cell r="B1518" t="str">
            <v>G-DGU</v>
          </cell>
          <cell r="C1518" t="str">
            <v>G-DGU</v>
          </cell>
          <cell r="D1518" t="str">
            <v>G-DGU</v>
          </cell>
          <cell r="E1518" t="str">
            <v>G-DGU</v>
          </cell>
          <cell r="F1518" t="str">
            <v>G-DGU</v>
          </cell>
          <cell r="H1518" t="str">
            <v>PLNT</v>
          </cell>
          <cell r="I1518" t="str">
            <v>PLNT</v>
          </cell>
          <cell r="J1518" t="str">
            <v>PLNT</v>
          </cell>
          <cell r="K1518" t="str">
            <v>PLNT</v>
          </cell>
          <cell r="L1518" t="str">
            <v>PLNT</v>
          </cell>
        </row>
        <row r="1519">
          <cell r="B1519" t="str">
            <v>PTD</v>
          </cell>
          <cell r="C1519" t="str">
            <v>PTD</v>
          </cell>
          <cell r="D1519" t="str">
            <v>PTD</v>
          </cell>
          <cell r="E1519" t="str">
            <v>PTD</v>
          </cell>
          <cell r="F1519" t="str">
            <v>PTD</v>
          </cell>
          <cell r="H1519" t="str">
            <v>PLNT</v>
          </cell>
          <cell r="I1519" t="str">
            <v>PLNT</v>
          </cell>
          <cell r="J1519" t="str">
            <v>PLNT</v>
          </cell>
          <cell r="K1519" t="str">
            <v>PLNT</v>
          </cell>
          <cell r="L1519" t="str">
            <v>PLNT</v>
          </cell>
        </row>
        <row r="1520">
          <cell r="B1520" t="str">
            <v>CUST</v>
          </cell>
          <cell r="C1520" t="str">
            <v>CUST</v>
          </cell>
          <cell r="D1520" t="str">
            <v>CUST</v>
          </cell>
          <cell r="E1520" t="str">
            <v>CUST</v>
          </cell>
          <cell r="F1520" t="str">
            <v>CUST</v>
          </cell>
          <cell r="H1520" t="str">
            <v>PLNT</v>
          </cell>
          <cell r="I1520" t="str">
            <v>PLNT</v>
          </cell>
          <cell r="J1520" t="str">
            <v>PLNT</v>
          </cell>
          <cell r="K1520" t="str">
            <v>PLNT</v>
          </cell>
          <cell r="L1520" t="str">
            <v>PLNT</v>
          </cell>
        </row>
        <row r="1521">
          <cell r="B1521" t="str">
            <v>G-SG</v>
          </cell>
          <cell r="C1521" t="str">
            <v>G-SG</v>
          </cell>
          <cell r="D1521" t="str">
            <v>G-SG</v>
          </cell>
          <cell r="E1521" t="str">
            <v>G-SG</v>
          </cell>
          <cell r="F1521" t="str">
            <v>G-SG</v>
          </cell>
          <cell r="H1521" t="str">
            <v>PLNT</v>
          </cell>
          <cell r="I1521" t="str">
            <v>PLNT</v>
          </cell>
          <cell r="J1521" t="str">
            <v>PLNT</v>
          </cell>
          <cell r="K1521" t="str">
            <v>PLNT</v>
          </cell>
          <cell r="L1521" t="str">
            <v>PLNT</v>
          </cell>
        </row>
        <row r="1522">
          <cell r="B1522" t="str">
            <v>P</v>
          </cell>
          <cell r="C1522" t="str">
            <v>P</v>
          </cell>
          <cell r="D1522" t="str">
            <v>P</v>
          </cell>
          <cell r="E1522" t="str">
            <v>P</v>
          </cell>
          <cell r="F1522" t="str">
            <v>P</v>
          </cell>
          <cell r="H1522" t="str">
            <v>PLNT</v>
          </cell>
          <cell r="I1522" t="str">
            <v>PLNT</v>
          </cell>
          <cell r="J1522" t="str">
            <v>PLNT</v>
          </cell>
          <cell r="K1522" t="str">
            <v>PLNT</v>
          </cell>
          <cell r="L1522" t="str">
            <v>PLNT</v>
          </cell>
        </row>
        <row r="1523">
          <cell r="B1523" t="str">
            <v>G-SG</v>
          </cell>
          <cell r="C1523" t="str">
            <v>G-SG</v>
          </cell>
          <cell r="D1523" t="str">
            <v>G-SG</v>
          </cell>
          <cell r="E1523" t="str">
            <v>G-SG</v>
          </cell>
          <cell r="F1523" t="str">
            <v>G-SG</v>
          </cell>
          <cell r="H1523" t="str">
            <v>PLNT</v>
          </cell>
          <cell r="I1523" t="str">
            <v>PLNT</v>
          </cell>
          <cell r="J1523" t="str">
            <v>PLNT</v>
          </cell>
          <cell r="K1523" t="str">
            <v>PLNT</v>
          </cell>
          <cell r="L1523" t="str">
            <v>PLNT</v>
          </cell>
        </row>
        <row r="1524">
          <cell r="B1524" t="str">
            <v>G-SG</v>
          </cell>
          <cell r="C1524" t="str">
            <v>G-SG</v>
          </cell>
          <cell r="D1524" t="str">
            <v>G-SG</v>
          </cell>
          <cell r="E1524" t="str">
            <v>G-SG</v>
          </cell>
          <cell r="F1524" t="str">
            <v>G-SG</v>
          </cell>
          <cell r="H1524" t="str">
            <v>PLNT</v>
          </cell>
          <cell r="I1524" t="str">
            <v>PLNT</v>
          </cell>
          <cell r="J1524" t="str">
            <v>PLNT</v>
          </cell>
          <cell r="K1524" t="str">
            <v>PLNT</v>
          </cell>
          <cell r="L1524" t="str">
            <v>PLNT</v>
          </cell>
        </row>
        <row r="1525"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B1526">
            <v>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</row>
        <row r="1528">
          <cell r="B1528" t="str">
            <v>G-SITUS</v>
          </cell>
          <cell r="C1528" t="str">
            <v>G-SITUS</v>
          </cell>
          <cell r="D1528" t="str">
            <v>G-SITUS</v>
          </cell>
          <cell r="E1528" t="str">
            <v>G-SITUS</v>
          </cell>
          <cell r="F1528" t="str">
            <v>G-SITUS</v>
          </cell>
          <cell r="H1528" t="str">
            <v>PLNT</v>
          </cell>
          <cell r="I1528" t="str">
            <v>PLNT</v>
          </cell>
          <cell r="J1528" t="str">
            <v>PLNT</v>
          </cell>
          <cell r="K1528" t="str">
            <v>PLNT</v>
          </cell>
          <cell r="L1528" t="str">
            <v>PLNT</v>
          </cell>
        </row>
        <row r="1529">
          <cell r="B1529" t="str">
            <v>PT</v>
          </cell>
          <cell r="C1529" t="str">
            <v>PT</v>
          </cell>
          <cell r="D1529" t="str">
            <v>PT</v>
          </cell>
          <cell r="E1529" t="str">
            <v>PT</v>
          </cell>
          <cell r="F1529" t="str">
            <v>PT</v>
          </cell>
          <cell r="H1529" t="str">
            <v>PLNT</v>
          </cell>
          <cell r="I1529" t="str">
            <v>PLNT</v>
          </cell>
          <cell r="J1529" t="str">
            <v>PLNT</v>
          </cell>
          <cell r="K1529" t="str">
            <v>PLNT</v>
          </cell>
          <cell r="L1529" t="str">
            <v>PLNT</v>
          </cell>
        </row>
        <row r="1530">
          <cell r="B1530" t="str">
            <v>PT</v>
          </cell>
          <cell r="C1530" t="str">
            <v>PT</v>
          </cell>
          <cell r="D1530" t="str">
            <v>PT</v>
          </cell>
          <cell r="E1530" t="str">
            <v>PT</v>
          </cell>
          <cell r="F1530" t="str">
            <v>PT</v>
          </cell>
          <cell r="H1530" t="str">
            <v>PLNT</v>
          </cell>
          <cell r="I1530" t="str">
            <v>PLNT</v>
          </cell>
          <cell r="J1530" t="str">
            <v>PLNT</v>
          </cell>
          <cell r="K1530" t="str">
            <v>PLNT</v>
          </cell>
          <cell r="L1530" t="str">
            <v>PLNT</v>
          </cell>
        </row>
        <row r="1531">
          <cell r="B1531" t="str">
            <v>CUST</v>
          </cell>
          <cell r="C1531" t="str">
            <v>CUST</v>
          </cell>
          <cell r="D1531" t="str">
            <v>CUST</v>
          </cell>
          <cell r="E1531" t="str">
            <v>CUST</v>
          </cell>
          <cell r="F1531" t="str">
            <v>CUST</v>
          </cell>
          <cell r="H1531" t="str">
            <v>CUST</v>
          </cell>
          <cell r="I1531" t="str">
            <v>CUST</v>
          </cell>
          <cell r="J1531" t="str">
            <v>CUST</v>
          </cell>
          <cell r="K1531" t="str">
            <v>CUST</v>
          </cell>
          <cell r="L1531" t="str">
            <v>CUST</v>
          </cell>
        </row>
        <row r="1532">
          <cell r="B1532" t="str">
            <v>PTD</v>
          </cell>
          <cell r="C1532" t="str">
            <v>PTD</v>
          </cell>
          <cell r="D1532" t="str">
            <v>PTD</v>
          </cell>
          <cell r="E1532" t="str">
            <v>PTD</v>
          </cell>
          <cell r="F1532" t="str">
            <v>PTD</v>
          </cell>
          <cell r="H1532" t="str">
            <v>PLNT</v>
          </cell>
          <cell r="I1532" t="str">
            <v>PLNT</v>
          </cell>
          <cell r="J1532" t="str">
            <v>PLNT</v>
          </cell>
          <cell r="K1532" t="str">
            <v>PLNT</v>
          </cell>
          <cell r="L1532" t="str">
            <v>PLNT</v>
          </cell>
        </row>
        <row r="1533">
          <cell r="B1533" t="str">
            <v>P</v>
          </cell>
          <cell r="C1533" t="str">
            <v>P</v>
          </cell>
          <cell r="D1533" t="str">
            <v>P</v>
          </cell>
          <cell r="E1533" t="str">
            <v>P</v>
          </cell>
          <cell r="F1533" t="str">
            <v>P</v>
          </cell>
          <cell r="H1533" t="str">
            <v>PLNT</v>
          </cell>
          <cell r="I1533" t="str">
            <v>PLNT</v>
          </cell>
          <cell r="J1533" t="str">
            <v>PLNT</v>
          </cell>
          <cell r="K1533" t="str">
            <v>PLNT</v>
          </cell>
          <cell r="L1533" t="str">
            <v>PLNT</v>
          </cell>
        </row>
        <row r="1534">
          <cell r="B1534" t="str">
            <v>G-SG</v>
          </cell>
          <cell r="C1534" t="str">
            <v>G-SG</v>
          </cell>
          <cell r="D1534" t="str">
            <v>G-SG</v>
          </cell>
          <cell r="E1534" t="str">
            <v>G-SG</v>
          </cell>
          <cell r="F1534" t="str">
            <v>G-SG</v>
          </cell>
          <cell r="H1534" t="str">
            <v>PLNT</v>
          </cell>
          <cell r="I1534" t="str">
            <v>PLNT</v>
          </cell>
          <cell r="J1534" t="str">
            <v>PLNT</v>
          </cell>
          <cell r="K1534" t="str">
            <v>PLNT</v>
          </cell>
          <cell r="L1534" t="str">
            <v>PLNT</v>
          </cell>
        </row>
        <row r="1535">
          <cell r="B1535" t="str">
            <v>G-SG</v>
          </cell>
          <cell r="C1535" t="str">
            <v>G-SG</v>
          </cell>
          <cell r="D1535" t="str">
            <v>G-SG</v>
          </cell>
          <cell r="E1535" t="str">
            <v>G-SG</v>
          </cell>
          <cell r="F1535" t="str">
            <v>G-SG</v>
          </cell>
          <cell r="H1535" t="str">
            <v>PLNT</v>
          </cell>
          <cell r="I1535" t="str">
            <v>PLNT</v>
          </cell>
          <cell r="J1535" t="str">
            <v>PLNT</v>
          </cell>
          <cell r="K1535" t="str">
            <v>PLNT</v>
          </cell>
          <cell r="L1535" t="str">
            <v>PLNT</v>
          </cell>
        </row>
        <row r="1536"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</row>
        <row r="1537"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</row>
        <row r="1538"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</row>
        <row r="1539">
          <cell r="B1539" t="str">
            <v>P</v>
          </cell>
          <cell r="C1539" t="str">
            <v>P</v>
          </cell>
          <cell r="D1539" t="str">
            <v>P</v>
          </cell>
          <cell r="E1539" t="str">
            <v>P</v>
          </cell>
          <cell r="F1539" t="str">
            <v>P</v>
          </cell>
          <cell r="H1539" t="str">
            <v>ZERO</v>
          </cell>
          <cell r="I1539" t="str">
            <v>ZERO</v>
          </cell>
          <cell r="J1539" t="str">
            <v>ZERO</v>
          </cell>
          <cell r="K1539" t="str">
            <v>ZERO</v>
          </cell>
          <cell r="L1539" t="str">
            <v>ZERO</v>
          </cell>
        </row>
        <row r="1540">
          <cell r="B1540" t="str">
            <v>P</v>
          </cell>
          <cell r="C1540" t="str">
            <v>P</v>
          </cell>
          <cell r="D1540" t="str">
            <v>P</v>
          </cell>
          <cell r="E1540" t="str">
            <v>P</v>
          </cell>
          <cell r="F1540" t="str">
            <v>P</v>
          </cell>
          <cell r="H1540" t="str">
            <v>ZERO</v>
          </cell>
          <cell r="I1540" t="str">
            <v>ZERO</v>
          </cell>
          <cell r="J1540" t="str">
            <v>ZERO</v>
          </cell>
          <cell r="K1540" t="str">
            <v>ZERO</v>
          </cell>
          <cell r="L1540" t="str">
            <v>ZERO</v>
          </cell>
        </row>
        <row r="1541"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</row>
        <row r="1542"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</row>
        <row r="1543"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</row>
        <row r="1544">
          <cell r="B1544">
            <v>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</row>
        <row r="1545">
          <cell r="B1545" t="str">
            <v>P</v>
          </cell>
          <cell r="C1545" t="str">
            <v>P</v>
          </cell>
          <cell r="D1545" t="str">
            <v>P</v>
          </cell>
          <cell r="E1545" t="str">
            <v>P</v>
          </cell>
          <cell r="F1545" t="str">
            <v>P</v>
          </cell>
          <cell r="H1545" t="str">
            <v>PLNT</v>
          </cell>
          <cell r="I1545" t="str">
            <v>PLNT</v>
          </cell>
          <cell r="J1545" t="str">
            <v>PLNT</v>
          </cell>
          <cell r="K1545" t="str">
            <v>PLNT</v>
          </cell>
          <cell r="L1545" t="str">
            <v>PLNT</v>
          </cell>
        </row>
        <row r="1546"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</row>
        <row r="1547"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</row>
        <row r="1548">
          <cell r="B1548" t="str">
            <v>P</v>
          </cell>
          <cell r="C1548" t="str">
            <v>P</v>
          </cell>
          <cell r="D1548" t="str">
            <v>P</v>
          </cell>
          <cell r="E1548" t="str">
            <v>P</v>
          </cell>
          <cell r="F1548" t="str">
            <v>P</v>
          </cell>
          <cell r="H1548" t="str">
            <v>PLNT</v>
          </cell>
          <cell r="I1548" t="str">
            <v>PLNT</v>
          </cell>
          <cell r="J1548" t="str">
            <v>PLNT</v>
          </cell>
          <cell r="K1548" t="str">
            <v>PLNT</v>
          </cell>
          <cell r="L1548" t="str">
            <v>PLNT</v>
          </cell>
        </row>
        <row r="1549"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</row>
        <row r="1550"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</row>
        <row r="1551"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</row>
        <row r="1552"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</row>
        <row r="1553">
          <cell r="B1553" t="str">
            <v>G-SITUS</v>
          </cell>
          <cell r="C1553" t="str">
            <v>G-SITUS</v>
          </cell>
          <cell r="D1553" t="str">
            <v>G-SITUS</v>
          </cell>
          <cell r="E1553" t="str">
            <v>G-SITUS</v>
          </cell>
          <cell r="F1553" t="str">
            <v>G-SITUS</v>
          </cell>
          <cell r="H1553" t="str">
            <v>PLNT</v>
          </cell>
          <cell r="I1553" t="str">
            <v>PLNT</v>
          </cell>
          <cell r="J1553" t="str">
            <v>PLNT</v>
          </cell>
          <cell r="K1553" t="str">
            <v>PLNT</v>
          </cell>
          <cell r="L1553" t="str">
            <v>PLNT</v>
          </cell>
        </row>
        <row r="1554">
          <cell r="B1554" t="str">
            <v>P</v>
          </cell>
          <cell r="C1554" t="str">
            <v>P</v>
          </cell>
          <cell r="D1554" t="str">
            <v>P</v>
          </cell>
          <cell r="E1554" t="str">
            <v>P</v>
          </cell>
          <cell r="F1554" t="str">
            <v>P</v>
          </cell>
          <cell r="H1554" t="str">
            <v>PLNT</v>
          </cell>
          <cell r="I1554" t="str">
            <v>PLNT</v>
          </cell>
          <cell r="J1554" t="str">
            <v>PLNT</v>
          </cell>
          <cell r="K1554" t="str">
            <v>PLNT</v>
          </cell>
          <cell r="L1554" t="str">
            <v>PLNT</v>
          </cell>
        </row>
        <row r="1555">
          <cell r="B1555" t="str">
            <v>PTD</v>
          </cell>
          <cell r="C1555" t="str">
            <v>PTD</v>
          </cell>
          <cell r="D1555" t="str">
            <v>PTD</v>
          </cell>
          <cell r="E1555" t="str">
            <v>PTD</v>
          </cell>
          <cell r="F1555" t="str">
            <v>PTD</v>
          </cell>
          <cell r="H1555" t="str">
            <v>PLNT</v>
          </cell>
          <cell r="I1555" t="str">
            <v>PLNT</v>
          </cell>
          <cell r="J1555" t="str">
            <v>PLNT</v>
          </cell>
          <cell r="K1555" t="str">
            <v>PLNT</v>
          </cell>
          <cell r="L1555" t="str">
            <v>PLNT</v>
          </cell>
        </row>
        <row r="1556"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</row>
        <row r="1557"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</row>
        <row r="1558"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</row>
        <row r="1559"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</row>
        <row r="1560"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</row>
        <row r="1561">
          <cell r="B1561">
            <v>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</row>
        <row r="1562">
          <cell r="B1562" t="str">
            <v>LABOR</v>
          </cell>
          <cell r="C1562" t="str">
            <v>LABOR</v>
          </cell>
          <cell r="D1562" t="str">
            <v>LABOR</v>
          </cell>
          <cell r="E1562" t="str">
            <v>LABOR</v>
          </cell>
          <cell r="F1562" t="str">
            <v>LABOR</v>
          </cell>
          <cell r="H1562" t="str">
            <v>PLNT</v>
          </cell>
          <cell r="I1562" t="str">
            <v>PLNT</v>
          </cell>
          <cell r="J1562" t="str">
            <v>PLNT</v>
          </cell>
          <cell r="K1562" t="str">
            <v>PLNT</v>
          </cell>
          <cell r="L1562" t="str">
            <v>PLNT</v>
          </cell>
        </row>
        <row r="1563"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</row>
        <row r="1564"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</row>
        <row r="1565">
          <cell r="B1565" t="str">
            <v>PTD</v>
          </cell>
          <cell r="C1565" t="str">
            <v>PTD</v>
          </cell>
          <cell r="D1565" t="str">
            <v>PTD</v>
          </cell>
          <cell r="E1565" t="str">
            <v>PTD</v>
          </cell>
          <cell r="F1565" t="str">
            <v>PTD</v>
          </cell>
          <cell r="H1565" t="str">
            <v>PLNT</v>
          </cell>
          <cell r="I1565" t="str">
            <v>PLNT</v>
          </cell>
          <cell r="J1565" t="str">
            <v>PLNT</v>
          </cell>
          <cell r="K1565" t="str">
            <v>PLNT</v>
          </cell>
          <cell r="L1565" t="str">
            <v>PLNT</v>
          </cell>
        </row>
        <row r="1566"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</row>
        <row r="1567"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</row>
        <row r="1568"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</row>
        <row r="1569">
          <cell r="B1569" t="str">
            <v>G-SITUS</v>
          </cell>
          <cell r="C1569" t="str">
            <v>G-SITUS</v>
          </cell>
          <cell r="D1569" t="str">
            <v>G-SITUS</v>
          </cell>
          <cell r="E1569" t="str">
            <v>G-SITUS</v>
          </cell>
          <cell r="F1569" t="str">
            <v>G-SITUS</v>
          </cell>
          <cell r="H1569" t="str">
            <v>PLNT</v>
          </cell>
          <cell r="I1569" t="str">
            <v>PLNT</v>
          </cell>
          <cell r="J1569" t="str">
            <v>PLNT</v>
          </cell>
          <cell r="K1569" t="str">
            <v>PLNT</v>
          </cell>
          <cell r="L1569" t="str">
            <v>PLNT</v>
          </cell>
        </row>
        <row r="1570">
          <cell r="B1570" t="str">
            <v>PTD</v>
          </cell>
          <cell r="C1570" t="str">
            <v>PTD</v>
          </cell>
          <cell r="D1570" t="str">
            <v>PTD</v>
          </cell>
          <cell r="E1570" t="str">
            <v>PTD</v>
          </cell>
          <cell r="F1570" t="str">
            <v>PTD</v>
          </cell>
          <cell r="H1570" t="str">
            <v>PLNT</v>
          </cell>
          <cell r="I1570" t="str">
            <v>PLNT</v>
          </cell>
          <cell r="J1570" t="str">
            <v>PLNT</v>
          </cell>
          <cell r="K1570" t="str">
            <v>PLNT</v>
          </cell>
          <cell r="L1570" t="str">
            <v>PLNT</v>
          </cell>
        </row>
        <row r="1571">
          <cell r="B1571" t="str">
            <v>CUST</v>
          </cell>
          <cell r="C1571" t="str">
            <v>CUST</v>
          </cell>
          <cell r="D1571" t="str">
            <v>CUST</v>
          </cell>
          <cell r="E1571" t="str">
            <v>CUST</v>
          </cell>
          <cell r="F1571" t="str">
            <v>CUST</v>
          </cell>
          <cell r="H1571" t="str">
            <v>CUST</v>
          </cell>
          <cell r="I1571" t="str">
            <v>CUST</v>
          </cell>
          <cell r="J1571" t="str">
            <v>CUST</v>
          </cell>
          <cell r="K1571" t="str">
            <v>CUST</v>
          </cell>
          <cell r="L1571" t="str">
            <v>CUST</v>
          </cell>
        </row>
        <row r="1572">
          <cell r="B1572" t="str">
            <v>G-SG</v>
          </cell>
          <cell r="C1572" t="str">
            <v>G-SG</v>
          </cell>
          <cell r="D1572" t="str">
            <v>G-SG</v>
          </cell>
          <cell r="E1572" t="str">
            <v>G-SG</v>
          </cell>
          <cell r="F1572" t="str">
            <v>G-SG</v>
          </cell>
          <cell r="H1572" t="str">
            <v>PLNT</v>
          </cell>
          <cell r="I1572" t="str">
            <v>PLNT</v>
          </cell>
          <cell r="J1572" t="str">
            <v>PLNT</v>
          </cell>
          <cell r="K1572" t="str">
            <v>PLNT</v>
          </cell>
          <cell r="L1572" t="str">
            <v>PLNT</v>
          </cell>
        </row>
        <row r="1573">
          <cell r="B1573" t="str">
            <v>PT</v>
          </cell>
          <cell r="C1573" t="str">
            <v>PT</v>
          </cell>
          <cell r="D1573" t="str">
            <v>PT</v>
          </cell>
          <cell r="E1573" t="str">
            <v>PT</v>
          </cell>
          <cell r="F1573" t="str">
            <v>PT</v>
          </cell>
          <cell r="H1573" t="str">
            <v>PLNT</v>
          </cell>
          <cell r="I1573" t="str">
            <v>PLNT</v>
          </cell>
          <cell r="J1573" t="str">
            <v>PLNT</v>
          </cell>
          <cell r="K1573" t="str">
            <v>PLNT</v>
          </cell>
          <cell r="L1573" t="str">
            <v>PLNT</v>
          </cell>
        </row>
        <row r="1574">
          <cell r="B1574" t="str">
            <v>PT</v>
          </cell>
          <cell r="C1574" t="str">
            <v>PT</v>
          </cell>
          <cell r="D1574" t="str">
            <v>PT</v>
          </cell>
          <cell r="E1574" t="str">
            <v>PT</v>
          </cell>
          <cell r="F1574" t="str">
            <v>PT</v>
          </cell>
          <cell r="H1574" t="str">
            <v>PLNT</v>
          </cell>
          <cell r="I1574" t="str">
            <v>PLNT</v>
          </cell>
          <cell r="J1574" t="str">
            <v>PLNT</v>
          </cell>
          <cell r="K1574" t="str">
            <v>PLNT</v>
          </cell>
          <cell r="L1574" t="str">
            <v>PLNT</v>
          </cell>
        </row>
        <row r="1575"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</row>
        <row r="1577"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</row>
        <row r="1578">
          <cell r="B1578" t="str">
            <v>G-SITUS</v>
          </cell>
          <cell r="C1578" t="str">
            <v>G-SITUS</v>
          </cell>
          <cell r="D1578" t="str">
            <v>G-SITUS</v>
          </cell>
          <cell r="E1578" t="str">
            <v>G-SITUS</v>
          </cell>
          <cell r="F1578" t="str">
            <v>G-SITUS</v>
          </cell>
          <cell r="H1578" t="str">
            <v>PLNT</v>
          </cell>
          <cell r="I1578" t="str">
            <v>PLNT</v>
          </cell>
          <cell r="J1578" t="str">
            <v>PLNT</v>
          </cell>
          <cell r="K1578" t="str">
            <v>PLNT</v>
          </cell>
          <cell r="L1578" t="str">
            <v>PLNT</v>
          </cell>
        </row>
        <row r="1579">
          <cell r="B1579" t="str">
            <v>PTD</v>
          </cell>
          <cell r="C1579" t="str">
            <v>PTD</v>
          </cell>
          <cell r="D1579" t="str">
            <v>PTD</v>
          </cell>
          <cell r="E1579" t="str">
            <v>PTD</v>
          </cell>
          <cell r="F1579" t="str">
            <v>PTD</v>
          </cell>
          <cell r="H1579" t="str">
            <v>PLNT</v>
          </cell>
          <cell r="I1579" t="str">
            <v>PLNT</v>
          </cell>
          <cell r="J1579" t="str">
            <v>PLNT</v>
          </cell>
          <cell r="K1579" t="str">
            <v>PLNT</v>
          </cell>
          <cell r="L1579" t="str">
            <v>PLNT</v>
          </cell>
        </row>
        <row r="1580">
          <cell r="B1580" t="str">
            <v>G-SG</v>
          </cell>
          <cell r="C1580" t="str">
            <v>G-SG</v>
          </cell>
          <cell r="D1580" t="str">
            <v>G-SG</v>
          </cell>
          <cell r="E1580" t="str">
            <v>G-SG</v>
          </cell>
          <cell r="F1580" t="str">
            <v>G-SG</v>
          </cell>
          <cell r="H1580" t="str">
            <v>PLNT</v>
          </cell>
          <cell r="I1580" t="str">
            <v>PLNT</v>
          </cell>
          <cell r="J1580" t="str">
            <v>PLNT</v>
          </cell>
          <cell r="K1580" t="str">
            <v>PLNT</v>
          </cell>
          <cell r="L1580" t="str">
            <v>PLNT</v>
          </cell>
        </row>
        <row r="1581">
          <cell r="B1581" t="str">
            <v>PT</v>
          </cell>
          <cell r="C1581" t="str">
            <v>PT</v>
          </cell>
          <cell r="D1581" t="str">
            <v>PT</v>
          </cell>
          <cell r="E1581" t="str">
            <v>PT</v>
          </cell>
          <cell r="F1581" t="str">
            <v>PT</v>
          </cell>
          <cell r="H1581" t="str">
            <v>PLNT</v>
          </cell>
          <cell r="I1581" t="str">
            <v>PLNT</v>
          </cell>
          <cell r="J1581" t="str">
            <v>PLNT</v>
          </cell>
          <cell r="K1581" t="str">
            <v>PLNT</v>
          </cell>
          <cell r="L1581" t="str">
            <v>PLNT</v>
          </cell>
        </row>
        <row r="1582">
          <cell r="B1582" t="str">
            <v>PT</v>
          </cell>
          <cell r="C1582" t="str">
            <v>PT</v>
          </cell>
          <cell r="D1582" t="str">
            <v>PT</v>
          </cell>
          <cell r="E1582" t="str">
            <v>PT</v>
          </cell>
          <cell r="F1582" t="str">
            <v>PT</v>
          </cell>
          <cell r="H1582" t="str">
            <v>PLNT</v>
          </cell>
          <cell r="I1582" t="str">
            <v>PLNT</v>
          </cell>
          <cell r="J1582" t="str">
            <v>PLNT</v>
          </cell>
          <cell r="K1582" t="str">
            <v>PLNT</v>
          </cell>
          <cell r="L1582" t="str">
            <v>PLNT</v>
          </cell>
        </row>
        <row r="1583"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</row>
        <row r="1584"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</row>
        <row r="1585"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</row>
        <row r="1586"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</row>
        <row r="1588">
          <cell r="B1588" t="str">
            <v>I-SITUS</v>
          </cell>
          <cell r="C1588" t="str">
            <v>I-SITUS</v>
          </cell>
          <cell r="D1588" t="str">
            <v>I-SITUS</v>
          </cell>
          <cell r="E1588" t="str">
            <v>I-SITUS</v>
          </cell>
          <cell r="F1588" t="str">
            <v>I-SITUS</v>
          </cell>
          <cell r="H1588" t="str">
            <v>PLNT</v>
          </cell>
          <cell r="I1588" t="str">
            <v>PLNT</v>
          </cell>
          <cell r="J1588" t="str">
            <v>PLNT</v>
          </cell>
          <cell r="K1588" t="str">
            <v>PLNT</v>
          </cell>
          <cell r="L1588" t="str">
            <v>PLNT</v>
          </cell>
        </row>
        <row r="1589">
          <cell r="B1589" t="str">
            <v>PTD</v>
          </cell>
          <cell r="C1589" t="str">
            <v>PTD</v>
          </cell>
          <cell r="D1589" t="str">
            <v>PTD</v>
          </cell>
          <cell r="E1589" t="str">
            <v>PTD</v>
          </cell>
          <cell r="F1589" t="str">
            <v>PTD</v>
          </cell>
          <cell r="H1589" t="str">
            <v>PLNT</v>
          </cell>
          <cell r="I1589" t="str">
            <v>PLNT</v>
          </cell>
          <cell r="J1589" t="str">
            <v>PLNT</v>
          </cell>
          <cell r="K1589" t="str">
            <v>PLNT</v>
          </cell>
          <cell r="L1589" t="str">
            <v>PLNT</v>
          </cell>
        </row>
        <row r="1590">
          <cell r="B1590" t="str">
            <v>I-SG</v>
          </cell>
          <cell r="C1590" t="str">
            <v>I-SG</v>
          </cell>
          <cell r="D1590" t="str">
            <v>I-SG</v>
          </cell>
          <cell r="E1590" t="str">
            <v>I-SG</v>
          </cell>
          <cell r="F1590" t="str">
            <v>I-SG</v>
          </cell>
          <cell r="H1590" t="str">
            <v>PLNT</v>
          </cell>
          <cell r="I1590" t="str">
            <v>PLNT</v>
          </cell>
          <cell r="J1590" t="str">
            <v>PLNT</v>
          </cell>
          <cell r="K1590" t="str">
            <v>PLNT</v>
          </cell>
          <cell r="L1590" t="str">
            <v>PLNT</v>
          </cell>
        </row>
        <row r="1591"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B1593" t="str">
            <v>I-SITUS</v>
          </cell>
          <cell r="C1593" t="str">
            <v>I-SITUS</v>
          </cell>
          <cell r="D1593" t="str">
            <v>I-SITUS</v>
          </cell>
          <cell r="E1593" t="str">
            <v>I-SITUS</v>
          </cell>
          <cell r="F1593" t="str">
            <v>I-SITUS</v>
          </cell>
          <cell r="H1593" t="str">
            <v>PLNT</v>
          </cell>
          <cell r="I1593" t="str">
            <v>PLNT</v>
          </cell>
          <cell r="J1593" t="str">
            <v>PLNT</v>
          </cell>
          <cell r="K1593" t="str">
            <v>PLNT</v>
          </cell>
          <cell r="L1593" t="str">
            <v>PLNT</v>
          </cell>
        </row>
        <row r="1594">
          <cell r="B1594" t="str">
            <v>I-SG</v>
          </cell>
          <cell r="C1594" t="str">
            <v>I-SG</v>
          </cell>
          <cell r="D1594" t="str">
            <v>I-SG</v>
          </cell>
          <cell r="E1594" t="str">
            <v>I-SG</v>
          </cell>
          <cell r="F1594" t="str">
            <v>I-SG</v>
          </cell>
          <cell r="H1594" t="str">
            <v>PLNT</v>
          </cell>
          <cell r="I1594" t="str">
            <v>PLNT</v>
          </cell>
          <cell r="J1594" t="str">
            <v>PLNT</v>
          </cell>
          <cell r="K1594" t="str">
            <v>PLNT</v>
          </cell>
          <cell r="L1594" t="str">
            <v>PLNT</v>
          </cell>
        </row>
        <row r="1595">
          <cell r="B1595" t="str">
            <v>I-SG</v>
          </cell>
          <cell r="C1595" t="str">
            <v>I-SG</v>
          </cell>
          <cell r="D1595" t="str">
            <v>I-SG</v>
          </cell>
          <cell r="E1595" t="str">
            <v>I-SG</v>
          </cell>
          <cell r="F1595" t="str">
            <v>I-SG</v>
          </cell>
          <cell r="H1595" t="str">
            <v>PLNT</v>
          </cell>
          <cell r="I1595" t="str">
            <v>PLNT</v>
          </cell>
          <cell r="J1595" t="str">
            <v>PLNT</v>
          </cell>
          <cell r="K1595" t="str">
            <v>PLNT</v>
          </cell>
          <cell r="L1595" t="str">
            <v>PLNT</v>
          </cell>
        </row>
        <row r="1596">
          <cell r="B1596" t="str">
            <v>I-SG</v>
          </cell>
          <cell r="C1596" t="str">
            <v>I-SG</v>
          </cell>
          <cell r="D1596" t="str">
            <v>I-SG</v>
          </cell>
          <cell r="E1596" t="str">
            <v>I-SG</v>
          </cell>
          <cell r="F1596" t="str">
            <v>I-SG</v>
          </cell>
          <cell r="H1596" t="str">
            <v>PLNT</v>
          </cell>
          <cell r="I1596" t="str">
            <v>PLNT</v>
          </cell>
          <cell r="J1596" t="str">
            <v>PLNT</v>
          </cell>
          <cell r="K1596" t="str">
            <v>PLNT</v>
          </cell>
          <cell r="L1596" t="str">
            <v>PLNT</v>
          </cell>
        </row>
        <row r="1597">
          <cell r="B1597" t="str">
            <v>P</v>
          </cell>
          <cell r="C1597" t="str">
            <v>P</v>
          </cell>
          <cell r="D1597" t="str">
            <v>P</v>
          </cell>
          <cell r="E1597" t="str">
            <v>P</v>
          </cell>
          <cell r="F1597" t="str">
            <v>P</v>
          </cell>
          <cell r="H1597" t="str">
            <v>PLNT</v>
          </cell>
          <cell r="I1597" t="str">
            <v>PLNT</v>
          </cell>
          <cell r="J1597" t="str">
            <v>PLNT</v>
          </cell>
          <cell r="K1597" t="str">
            <v>PLNT</v>
          </cell>
          <cell r="L1597" t="str">
            <v>PLNT</v>
          </cell>
        </row>
        <row r="1598">
          <cell r="B1598" t="str">
            <v>P</v>
          </cell>
          <cell r="C1598" t="str">
            <v>P</v>
          </cell>
          <cell r="D1598" t="str">
            <v>P</v>
          </cell>
          <cell r="E1598" t="str">
            <v>P</v>
          </cell>
          <cell r="F1598" t="str">
            <v>P</v>
          </cell>
          <cell r="H1598" t="str">
            <v>PLNT</v>
          </cell>
          <cell r="I1598" t="str">
            <v>PLNT</v>
          </cell>
          <cell r="J1598" t="str">
            <v>PLNT</v>
          </cell>
          <cell r="K1598" t="str">
            <v>PLNT</v>
          </cell>
          <cell r="L1598" t="str">
            <v>PLNT</v>
          </cell>
        </row>
        <row r="1599"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B1602" t="str">
            <v>I-SITUS</v>
          </cell>
          <cell r="C1602" t="str">
            <v>I-SITUS</v>
          </cell>
          <cell r="D1602" t="str">
            <v>I-SITUS</v>
          </cell>
          <cell r="E1602" t="str">
            <v>I-SITUS</v>
          </cell>
          <cell r="F1602" t="str">
            <v>I-SITUS</v>
          </cell>
          <cell r="H1602" t="str">
            <v>PLNT</v>
          </cell>
          <cell r="I1602" t="str">
            <v>PLNT</v>
          </cell>
          <cell r="J1602" t="str">
            <v>PLNT</v>
          </cell>
          <cell r="K1602" t="str">
            <v>PLNT</v>
          </cell>
          <cell r="L1602" t="str">
            <v>PLNT</v>
          </cell>
        </row>
        <row r="1603">
          <cell r="B1603" t="str">
            <v>I-SG</v>
          </cell>
          <cell r="C1603" t="str">
            <v>I-SG</v>
          </cell>
          <cell r="D1603" t="str">
            <v>I-SG</v>
          </cell>
          <cell r="E1603" t="str">
            <v>I-SG</v>
          </cell>
          <cell r="F1603" t="str">
            <v>I-SG</v>
          </cell>
          <cell r="H1603" t="str">
            <v>PLNT</v>
          </cell>
          <cell r="I1603" t="str">
            <v>PLNT</v>
          </cell>
          <cell r="J1603" t="str">
            <v>PLNT</v>
          </cell>
          <cell r="K1603" t="str">
            <v>PLNT</v>
          </cell>
          <cell r="L1603" t="str">
            <v>PLNT</v>
          </cell>
        </row>
        <row r="1604">
          <cell r="B1604" t="str">
            <v>PTD</v>
          </cell>
          <cell r="C1604" t="str">
            <v>PTD</v>
          </cell>
          <cell r="D1604" t="str">
            <v>PTD</v>
          </cell>
          <cell r="E1604" t="str">
            <v>PTD</v>
          </cell>
          <cell r="F1604" t="str">
            <v>PTD</v>
          </cell>
          <cell r="H1604" t="str">
            <v>PLNT</v>
          </cell>
          <cell r="I1604" t="str">
            <v>PLNT</v>
          </cell>
          <cell r="J1604" t="str">
            <v>PLNT</v>
          </cell>
          <cell r="K1604" t="str">
            <v>PLNT</v>
          </cell>
          <cell r="L1604" t="str">
            <v>PLNT</v>
          </cell>
        </row>
        <row r="1605">
          <cell r="B1605" t="str">
            <v>P</v>
          </cell>
          <cell r="C1605" t="str">
            <v>P</v>
          </cell>
          <cell r="D1605" t="str">
            <v>P</v>
          </cell>
          <cell r="E1605" t="str">
            <v>P</v>
          </cell>
          <cell r="F1605" t="str">
            <v>P</v>
          </cell>
          <cell r="H1605" t="str">
            <v>PLNT</v>
          </cell>
          <cell r="I1605" t="str">
            <v>PLNT</v>
          </cell>
          <cell r="J1605" t="str">
            <v>PLNT</v>
          </cell>
          <cell r="K1605" t="str">
            <v>PLNT</v>
          </cell>
          <cell r="L1605" t="str">
            <v>PLNT</v>
          </cell>
        </row>
        <row r="1606">
          <cell r="B1606" t="str">
            <v>CUST</v>
          </cell>
          <cell r="C1606" t="str">
            <v>CUST</v>
          </cell>
          <cell r="D1606" t="str">
            <v>CUST</v>
          </cell>
          <cell r="E1606" t="str">
            <v>CUST</v>
          </cell>
          <cell r="F1606" t="str">
            <v>CUST</v>
          </cell>
          <cell r="H1606" t="str">
            <v>CUST</v>
          </cell>
          <cell r="I1606" t="str">
            <v>CUST</v>
          </cell>
          <cell r="J1606" t="str">
            <v>CUST</v>
          </cell>
          <cell r="K1606" t="str">
            <v>CUST</v>
          </cell>
          <cell r="L1606" t="str">
            <v>CUST</v>
          </cell>
        </row>
        <row r="1607">
          <cell r="B1607" t="str">
            <v>P</v>
          </cell>
          <cell r="C1607" t="str">
            <v>P</v>
          </cell>
          <cell r="D1607" t="str">
            <v>P</v>
          </cell>
          <cell r="E1607" t="str">
            <v>P</v>
          </cell>
          <cell r="F1607" t="str">
            <v>P</v>
          </cell>
          <cell r="H1607" t="str">
            <v>PLNT</v>
          </cell>
          <cell r="I1607" t="str">
            <v>PLNT</v>
          </cell>
          <cell r="J1607" t="str">
            <v>PLNT</v>
          </cell>
          <cell r="K1607" t="str">
            <v>PLNT</v>
          </cell>
          <cell r="L1607" t="str">
            <v>PLNT</v>
          </cell>
        </row>
        <row r="1608">
          <cell r="B1608" t="str">
            <v>I-DGP</v>
          </cell>
          <cell r="C1608" t="str">
            <v>I-DGP</v>
          </cell>
          <cell r="D1608" t="str">
            <v>I-DGP</v>
          </cell>
          <cell r="E1608" t="str">
            <v>I-DGP</v>
          </cell>
          <cell r="F1608" t="str">
            <v>I-DGP</v>
          </cell>
          <cell r="H1608" t="str">
            <v>PLNT</v>
          </cell>
          <cell r="I1608" t="str">
            <v>PLNT</v>
          </cell>
          <cell r="J1608" t="str">
            <v>PLNT</v>
          </cell>
          <cell r="K1608" t="str">
            <v>PLNT</v>
          </cell>
          <cell r="L1608" t="str">
            <v>PLNT</v>
          </cell>
        </row>
        <row r="1609"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B1611" t="str">
            <v>I-SITUS</v>
          </cell>
          <cell r="C1611" t="str">
            <v>I-SITUS</v>
          </cell>
          <cell r="D1611" t="str">
            <v>I-SITUS</v>
          </cell>
          <cell r="E1611" t="str">
            <v>I-SITUS</v>
          </cell>
          <cell r="F1611" t="str">
            <v>I-SITUS</v>
          </cell>
          <cell r="H1611" t="str">
            <v>PLNT</v>
          </cell>
          <cell r="I1611" t="str">
            <v>PLNT</v>
          </cell>
          <cell r="J1611" t="str">
            <v>PLNT</v>
          </cell>
          <cell r="K1611" t="str">
            <v>PLNT</v>
          </cell>
          <cell r="L1611" t="str">
            <v>PLNT</v>
          </cell>
        </row>
        <row r="1612"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B1615" t="str">
            <v>I-SITUS</v>
          </cell>
          <cell r="C1615" t="str">
            <v>I-SITUS</v>
          </cell>
          <cell r="D1615" t="str">
            <v>I-SITUS</v>
          </cell>
          <cell r="E1615" t="str">
            <v>I-SITUS</v>
          </cell>
          <cell r="F1615" t="str">
            <v>I-SITUS</v>
          </cell>
          <cell r="H1615" t="str">
            <v>PLNT</v>
          </cell>
          <cell r="I1615" t="str">
            <v>PLNT</v>
          </cell>
          <cell r="J1615" t="str">
            <v>PLNT</v>
          </cell>
          <cell r="K1615" t="str">
            <v>PLNT</v>
          </cell>
          <cell r="L1615" t="str">
            <v>PLNT</v>
          </cell>
        </row>
        <row r="1616">
          <cell r="B1616" t="str">
            <v>I-SG</v>
          </cell>
          <cell r="C1616" t="str">
            <v>I-SG</v>
          </cell>
          <cell r="D1616" t="str">
            <v>I-SG</v>
          </cell>
          <cell r="E1616" t="str">
            <v>I-SG</v>
          </cell>
          <cell r="F1616" t="str">
            <v>I-SG</v>
          </cell>
          <cell r="H1616" t="str">
            <v>PLNT</v>
          </cell>
          <cell r="I1616" t="str">
            <v>PLNT</v>
          </cell>
          <cell r="J1616" t="str">
            <v>PLNT</v>
          </cell>
          <cell r="K1616" t="str">
            <v>PLNT</v>
          </cell>
          <cell r="L1616" t="str">
            <v>PLNT</v>
          </cell>
        </row>
        <row r="1617">
          <cell r="B1617" t="str">
            <v>P</v>
          </cell>
          <cell r="C1617" t="str">
            <v>P</v>
          </cell>
          <cell r="D1617" t="str">
            <v>P</v>
          </cell>
          <cell r="E1617" t="str">
            <v>P</v>
          </cell>
          <cell r="F1617" t="str">
            <v>P</v>
          </cell>
          <cell r="H1617" t="str">
            <v>PLNT</v>
          </cell>
          <cell r="I1617" t="str">
            <v>PLNT</v>
          </cell>
          <cell r="J1617" t="str">
            <v>PLNT</v>
          </cell>
          <cell r="K1617" t="str">
            <v>PLNT</v>
          </cell>
          <cell r="L1617" t="str">
            <v>PLNT</v>
          </cell>
        </row>
        <row r="1618">
          <cell r="B1618" t="str">
            <v>PTD</v>
          </cell>
          <cell r="C1618" t="str">
            <v>PTD</v>
          </cell>
          <cell r="D1618" t="str">
            <v>PTD</v>
          </cell>
          <cell r="E1618" t="str">
            <v>PTD</v>
          </cell>
          <cell r="F1618" t="str">
            <v>PTD</v>
          </cell>
          <cell r="H1618" t="str">
            <v>PLNT</v>
          </cell>
          <cell r="I1618" t="str">
            <v>PLNT</v>
          </cell>
          <cell r="J1618" t="str">
            <v>PLNT</v>
          </cell>
          <cell r="K1618" t="str">
            <v>PLNT</v>
          </cell>
          <cell r="L1618" t="str">
            <v>PLNT</v>
          </cell>
        </row>
        <row r="1619">
          <cell r="B1619">
            <v>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</row>
        <row r="1620"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B1622">
            <v>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B1627" t="str">
            <v>DPW</v>
          </cell>
          <cell r="C1627" t="str">
            <v>DPW</v>
          </cell>
          <cell r="D1627" t="str">
            <v>DPW</v>
          </cell>
          <cell r="E1627" t="str">
            <v>DPW</v>
          </cell>
          <cell r="F1627" t="str">
            <v>DPW</v>
          </cell>
          <cell r="H1627" t="str">
            <v>PLNT</v>
          </cell>
          <cell r="I1627" t="str">
            <v>PLNT</v>
          </cell>
          <cell r="J1627" t="str">
            <v>PLNT</v>
          </cell>
          <cell r="K1627" t="str">
            <v>PLNT</v>
          </cell>
          <cell r="L1627" t="str">
            <v>PLNT</v>
          </cell>
        </row>
        <row r="1628">
          <cell r="B1628" t="str">
            <v>P</v>
          </cell>
          <cell r="C1628" t="str">
            <v>P</v>
          </cell>
          <cell r="D1628" t="str">
            <v>P</v>
          </cell>
          <cell r="E1628" t="str">
            <v>P</v>
          </cell>
          <cell r="F1628" t="str">
            <v>P</v>
          </cell>
          <cell r="H1628" t="str">
            <v>PLNT</v>
          </cell>
          <cell r="I1628" t="str">
            <v>PLNT</v>
          </cell>
          <cell r="J1628" t="str">
            <v>PLNT</v>
          </cell>
          <cell r="K1628" t="str">
            <v>PLNT</v>
          </cell>
          <cell r="L1628" t="str">
            <v>PLNT</v>
          </cell>
        </row>
        <row r="1629">
          <cell r="B1629" t="str">
            <v>T</v>
          </cell>
          <cell r="C1629" t="str">
            <v>T</v>
          </cell>
          <cell r="D1629" t="str">
            <v>T</v>
          </cell>
          <cell r="E1629" t="str">
            <v>T</v>
          </cell>
          <cell r="F1629" t="str">
            <v>T</v>
          </cell>
          <cell r="H1629" t="str">
            <v>PLNT</v>
          </cell>
          <cell r="I1629" t="str">
            <v>PLNT</v>
          </cell>
          <cell r="J1629" t="str">
            <v>PLNT</v>
          </cell>
          <cell r="K1629" t="str">
            <v>PLNT</v>
          </cell>
          <cell r="L1629" t="str">
            <v>PLNT</v>
          </cell>
        </row>
        <row r="1630">
          <cell r="B1630" t="str">
            <v>P</v>
          </cell>
          <cell r="C1630" t="str">
            <v>P</v>
          </cell>
          <cell r="D1630" t="str">
            <v>P</v>
          </cell>
          <cell r="E1630" t="str">
            <v>P</v>
          </cell>
          <cell r="F1630" t="str">
            <v>P</v>
          </cell>
          <cell r="H1630" t="str">
            <v>PLNT</v>
          </cell>
          <cell r="I1630" t="str">
            <v>PLNT</v>
          </cell>
          <cell r="J1630" t="str">
            <v>PLNT</v>
          </cell>
          <cell r="K1630" t="str">
            <v>PLNT</v>
          </cell>
          <cell r="L1630" t="str">
            <v>PLNT</v>
          </cell>
        </row>
        <row r="1631">
          <cell r="B1631" t="str">
            <v>P</v>
          </cell>
          <cell r="C1631" t="str">
            <v>P</v>
          </cell>
          <cell r="D1631" t="str">
            <v>P</v>
          </cell>
          <cell r="E1631" t="str">
            <v>P</v>
          </cell>
          <cell r="F1631" t="str">
            <v>P</v>
          </cell>
          <cell r="H1631" t="str">
            <v>PLNT</v>
          </cell>
          <cell r="I1631" t="str">
            <v>PLNT</v>
          </cell>
          <cell r="J1631" t="str">
            <v>PLNT</v>
          </cell>
          <cell r="K1631" t="str">
            <v>PLNT</v>
          </cell>
          <cell r="L1631" t="str">
            <v>PLNT</v>
          </cell>
        </row>
        <row r="1632">
          <cell r="B1632" t="str">
            <v>G</v>
          </cell>
          <cell r="C1632" t="str">
            <v>G</v>
          </cell>
          <cell r="D1632" t="str">
            <v>G</v>
          </cell>
          <cell r="E1632" t="str">
            <v>G</v>
          </cell>
          <cell r="F1632" t="str">
            <v>G</v>
          </cell>
          <cell r="H1632" t="str">
            <v>PLNT</v>
          </cell>
          <cell r="I1632" t="str">
            <v>PLNT</v>
          </cell>
          <cell r="J1632" t="str">
            <v>PLNT</v>
          </cell>
          <cell r="K1632" t="str">
            <v>PLNT</v>
          </cell>
          <cell r="L1632" t="str">
            <v>PLNT</v>
          </cell>
        </row>
        <row r="1633"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B1636" t="str">
            <v>P</v>
          </cell>
          <cell r="C1636" t="str">
            <v>P</v>
          </cell>
          <cell r="D1636" t="str">
            <v>P</v>
          </cell>
          <cell r="E1636" t="str">
            <v>P</v>
          </cell>
          <cell r="F1636" t="str">
            <v>P</v>
          </cell>
          <cell r="H1636" t="str">
            <v>PLNT</v>
          </cell>
          <cell r="I1636" t="str">
            <v>PLNT</v>
          </cell>
          <cell r="J1636" t="str">
            <v>PLNT</v>
          </cell>
          <cell r="K1636" t="str">
            <v>PLNT</v>
          </cell>
          <cell r="L1636" t="str">
            <v>PLNT</v>
          </cell>
        </row>
        <row r="1637">
          <cell r="B1637" t="str">
            <v>P</v>
          </cell>
          <cell r="C1637" t="str">
            <v>P</v>
          </cell>
          <cell r="D1637" t="str">
            <v>P</v>
          </cell>
          <cell r="E1637" t="str">
            <v>P</v>
          </cell>
          <cell r="F1637" t="str">
            <v>P</v>
          </cell>
          <cell r="H1637" t="str">
            <v>PLNT</v>
          </cell>
          <cell r="I1637" t="str">
            <v>PLNT</v>
          </cell>
          <cell r="J1637" t="str">
            <v>PLNT</v>
          </cell>
          <cell r="K1637" t="str">
            <v>PLNT</v>
          </cell>
          <cell r="L1637" t="str">
            <v>PLNT</v>
          </cell>
        </row>
        <row r="1638">
          <cell r="B1638" t="str">
            <v>P</v>
          </cell>
          <cell r="C1638" t="str">
            <v>P</v>
          </cell>
          <cell r="D1638" t="str">
            <v>P</v>
          </cell>
          <cell r="E1638" t="str">
            <v>P</v>
          </cell>
          <cell r="F1638" t="str">
            <v>P</v>
          </cell>
          <cell r="H1638" t="str">
            <v>PLNT</v>
          </cell>
          <cell r="I1638" t="str">
            <v>PLNT</v>
          </cell>
          <cell r="J1638" t="str">
            <v>PLNT</v>
          </cell>
          <cell r="K1638" t="str">
            <v>PLNT</v>
          </cell>
          <cell r="L1638" t="str">
            <v>PLNT</v>
          </cell>
        </row>
        <row r="1639"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B1642" t="str">
            <v>P</v>
          </cell>
          <cell r="C1642" t="str">
            <v>P</v>
          </cell>
          <cell r="D1642" t="str">
            <v>P</v>
          </cell>
          <cell r="E1642" t="str">
            <v>P</v>
          </cell>
          <cell r="F1642" t="str">
            <v>P</v>
          </cell>
          <cell r="H1642" t="str">
            <v>PLNT</v>
          </cell>
          <cell r="I1642" t="str">
            <v>PLNT</v>
          </cell>
          <cell r="J1642" t="str">
            <v>PLNT</v>
          </cell>
          <cell r="K1642" t="str">
            <v>PLNT</v>
          </cell>
          <cell r="L1642" t="str">
            <v>PLNT</v>
          </cell>
        </row>
        <row r="1643">
          <cell r="B1643" t="str">
            <v>P</v>
          </cell>
          <cell r="C1643" t="str">
            <v>P</v>
          </cell>
          <cell r="D1643" t="str">
            <v>P</v>
          </cell>
          <cell r="E1643" t="str">
            <v>P</v>
          </cell>
          <cell r="F1643" t="str">
            <v>P</v>
          </cell>
          <cell r="H1643" t="str">
            <v>PLNT</v>
          </cell>
          <cell r="I1643" t="str">
            <v>PLNT</v>
          </cell>
          <cell r="J1643" t="str">
            <v>PLNT</v>
          </cell>
          <cell r="K1643" t="str">
            <v>PLNT</v>
          </cell>
          <cell r="L1643" t="str">
            <v>PLNT</v>
          </cell>
        </row>
        <row r="1644">
          <cell r="B1644" t="str">
            <v>P</v>
          </cell>
          <cell r="C1644" t="str">
            <v>P</v>
          </cell>
          <cell r="D1644" t="str">
            <v>P</v>
          </cell>
          <cell r="E1644" t="str">
            <v>P</v>
          </cell>
          <cell r="F1644" t="str">
            <v>P</v>
          </cell>
          <cell r="H1644" t="str">
            <v>PLNT</v>
          </cell>
          <cell r="I1644" t="str">
            <v>PLNT</v>
          </cell>
          <cell r="J1644" t="str">
            <v>PLNT</v>
          </cell>
          <cell r="K1644" t="str">
            <v>PLNT</v>
          </cell>
          <cell r="L1644" t="str">
            <v>PLNT</v>
          </cell>
        </row>
        <row r="1645"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B1647" t="str">
            <v>LABOR</v>
          </cell>
          <cell r="C1647" t="str">
            <v>LABOR</v>
          </cell>
          <cell r="D1647" t="str">
            <v>LABOR</v>
          </cell>
          <cell r="E1647" t="str">
            <v>LABOR</v>
          </cell>
          <cell r="F1647" t="str">
            <v>LABOR</v>
          </cell>
          <cell r="H1647" t="str">
            <v>PLNT</v>
          </cell>
          <cell r="I1647" t="str">
            <v>PLNT</v>
          </cell>
          <cell r="J1647" t="str">
            <v>PLNT</v>
          </cell>
          <cell r="K1647" t="str">
            <v>PLNT</v>
          </cell>
          <cell r="L1647" t="str">
            <v>PLNT</v>
          </cell>
        </row>
        <row r="1648"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B1651" t="str">
            <v>DMSC</v>
          </cell>
          <cell r="C1651" t="str">
            <v>DMSC</v>
          </cell>
          <cell r="D1651" t="str">
            <v>DMSC</v>
          </cell>
          <cell r="E1651" t="str">
            <v>DMSC</v>
          </cell>
          <cell r="F1651" t="str">
            <v>DMSC</v>
          </cell>
          <cell r="H1651" t="str">
            <v>MISC</v>
          </cell>
          <cell r="I1651" t="str">
            <v>MISC</v>
          </cell>
          <cell r="J1651" t="str">
            <v>MISC</v>
          </cell>
          <cell r="K1651" t="str">
            <v>MISC</v>
          </cell>
          <cell r="L1651" t="str">
            <v>MISC</v>
          </cell>
        </row>
        <row r="1652">
          <cell r="B1652" t="str">
            <v>DMSC</v>
          </cell>
          <cell r="C1652" t="str">
            <v>DMSC</v>
          </cell>
          <cell r="D1652" t="str">
            <v>DMSC</v>
          </cell>
          <cell r="E1652" t="str">
            <v>DMSC</v>
          </cell>
          <cell r="F1652" t="str">
            <v>DMSC</v>
          </cell>
          <cell r="H1652" t="str">
            <v>MISC</v>
          </cell>
          <cell r="I1652" t="str">
            <v>MISC</v>
          </cell>
          <cell r="J1652" t="str">
            <v>MISC</v>
          </cell>
          <cell r="K1652" t="str">
            <v>MISC</v>
          </cell>
          <cell r="L1652" t="str">
            <v>MISC</v>
          </cell>
        </row>
        <row r="1653"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B1656" t="str">
            <v>DMSC</v>
          </cell>
          <cell r="C1656" t="str">
            <v>DMSC</v>
          </cell>
          <cell r="D1656" t="str">
            <v>DMSC</v>
          </cell>
          <cell r="E1656" t="str">
            <v>DMSC</v>
          </cell>
          <cell r="F1656" t="str">
            <v>DMSC</v>
          </cell>
          <cell r="H1656" t="str">
            <v>MISC</v>
          </cell>
          <cell r="I1656" t="str">
            <v>MISC</v>
          </cell>
          <cell r="J1656" t="str">
            <v>MISC</v>
          </cell>
          <cell r="K1656" t="str">
            <v>MISC</v>
          </cell>
          <cell r="L1656" t="str">
            <v>MISC</v>
          </cell>
        </row>
        <row r="1657">
          <cell r="B1657" t="str">
            <v>DMSC</v>
          </cell>
          <cell r="C1657" t="str">
            <v>DMSC</v>
          </cell>
          <cell r="D1657" t="str">
            <v>DMSC</v>
          </cell>
          <cell r="E1657" t="str">
            <v>DMSC</v>
          </cell>
          <cell r="F1657" t="str">
            <v>DMSC</v>
          </cell>
          <cell r="H1657" t="str">
            <v>MISC</v>
          </cell>
          <cell r="I1657" t="str">
            <v>MISC</v>
          </cell>
          <cell r="J1657" t="str">
            <v>MISC</v>
          </cell>
          <cell r="K1657" t="str">
            <v>MISC</v>
          </cell>
          <cell r="L1657" t="str">
            <v>MISC</v>
          </cell>
        </row>
        <row r="1658">
          <cell r="B1658" t="str">
            <v>DMSC</v>
          </cell>
          <cell r="C1658" t="str">
            <v>DMSC</v>
          </cell>
          <cell r="D1658" t="str">
            <v>DMSC</v>
          </cell>
          <cell r="E1658" t="str">
            <v>DMSC</v>
          </cell>
          <cell r="F1658" t="str">
            <v>DMSC</v>
          </cell>
          <cell r="H1658" t="str">
            <v>MISC</v>
          </cell>
          <cell r="I1658" t="str">
            <v>MISC</v>
          </cell>
          <cell r="J1658" t="str">
            <v>MISC</v>
          </cell>
          <cell r="K1658" t="str">
            <v>MISC</v>
          </cell>
          <cell r="L1658" t="str">
            <v>MISC</v>
          </cell>
        </row>
        <row r="1659">
          <cell r="B1659" t="str">
            <v>DMSC</v>
          </cell>
          <cell r="C1659" t="str">
            <v>DMSC</v>
          </cell>
          <cell r="D1659" t="str">
            <v>DMSC</v>
          </cell>
          <cell r="E1659" t="str">
            <v>DMSC</v>
          </cell>
          <cell r="F1659" t="str">
            <v>DMSC</v>
          </cell>
          <cell r="H1659" t="str">
            <v>MISC</v>
          </cell>
          <cell r="I1659" t="str">
            <v>MISC</v>
          </cell>
          <cell r="J1659" t="str">
            <v>MISC</v>
          </cell>
          <cell r="K1659" t="str">
            <v>MISC</v>
          </cell>
          <cell r="L1659" t="str">
            <v>MISC</v>
          </cell>
        </row>
        <row r="1660"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B1663" t="str">
            <v>DMSC</v>
          </cell>
          <cell r="C1663" t="str">
            <v>DMSC</v>
          </cell>
          <cell r="D1663" t="str">
            <v>DMSC</v>
          </cell>
          <cell r="E1663" t="str">
            <v>DMSC</v>
          </cell>
          <cell r="F1663" t="str">
            <v>DMSC</v>
          </cell>
          <cell r="H1663" t="str">
            <v>MISC</v>
          </cell>
          <cell r="I1663" t="str">
            <v>MISC</v>
          </cell>
          <cell r="J1663" t="str">
            <v>MISC</v>
          </cell>
          <cell r="K1663" t="str">
            <v>MISC</v>
          </cell>
          <cell r="L1663" t="str">
            <v>MISC</v>
          </cell>
        </row>
        <row r="1664">
          <cell r="B1664" t="str">
            <v>CUST</v>
          </cell>
          <cell r="C1664" t="str">
            <v>DMSC</v>
          </cell>
          <cell r="D1664" t="str">
            <v>CUST</v>
          </cell>
          <cell r="E1664" t="str">
            <v>CUST</v>
          </cell>
          <cell r="F1664" t="str">
            <v>CUST</v>
          </cell>
          <cell r="H1664" t="str">
            <v>CUST</v>
          </cell>
          <cell r="I1664" t="str">
            <v>CUST</v>
          </cell>
          <cell r="J1664" t="str">
            <v>CUST</v>
          </cell>
          <cell r="K1664" t="str">
            <v>CUST</v>
          </cell>
          <cell r="L1664" t="str">
            <v>CUST</v>
          </cell>
        </row>
        <row r="1665">
          <cell r="B1665" t="str">
            <v>CUST</v>
          </cell>
          <cell r="C1665" t="str">
            <v>DMSC</v>
          </cell>
          <cell r="D1665" t="str">
            <v>CUST</v>
          </cell>
          <cell r="E1665" t="str">
            <v>CUST</v>
          </cell>
          <cell r="F1665" t="str">
            <v>CUST</v>
          </cell>
          <cell r="H1665" t="str">
            <v>CUST</v>
          </cell>
          <cell r="I1665" t="str">
            <v>CUST</v>
          </cell>
          <cell r="J1665" t="str">
            <v>CUST</v>
          </cell>
          <cell r="K1665" t="str">
            <v>CUST</v>
          </cell>
          <cell r="L1665" t="str">
            <v>CUST</v>
          </cell>
        </row>
        <row r="1666">
          <cell r="B1666" t="str">
            <v>DMSC</v>
          </cell>
          <cell r="C1666" t="str">
            <v>DMSC</v>
          </cell>
          <cell r="D1666" t="str">
            <v>DMSC</v>
          </cell>
          <cell r="E1666" t="str">
            <v>DMSC</v>
          </cell>
          <cell r="F1666" t="str">
            <v>DMSC</v>
          </cell>
          <cell r="H1666" t="str">
            <v>MISC</v>
          </cell>
          <cell r="I1666" t="str">
            <v>MISC</v>
          </cell>
          <cell r="J1666" t="str">
            <v>MISC</v>
          </cell>
          <cell r="K1666" t="str">
            <v>MISC</v>
          </cell>
          <cell r="L1666" t="str">
            <v>MISC</v>
          </cell>
        </row>
        <row r="1667">
          <cell r="B1667" t="str">
            <v>DMSC</v>
          </cell>
          <cell r="C1667" t="str">
            <v>DMSC</v>
          </cell>
          <cell r="D1667" t="str">
            <v>DMSC</v>
          </cell>
          <cell r="E1667" t="str">
            <v>DMSC</v>
          </cell>
          <cell r="F1667" t="str">
            <v>DMSC</v>
          </cell>
          <cell r="H1667" t="str">
            <v>MISC</v>
          </cell>
          <cell r="I1667" t="str">
            <v>MISC</v>
          </cell>
          <cell r="J1667" t="str">
            <v>MISC</v>
          </cell>
          <cell r="K1667" t="str">
            <v>MISC</v>
          </cell>
          <cell r="L1667" t="str">
            <v>MISC</v>
          </cell>
        </row>
        <row r="1668">
          <cell r="B1668">
            <v>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</row>
        <row r="1671"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B1673" t="str">
            <v>P</v>
          </cell>
          <cell r="C1673" t="str">
            <v>P</v>
          </cell>
          <cell r="D1673" t="str">
            <v>P</v>
          </cell>
          <cell r="E1673" t="str">
            <v>P</v>
          </cell>
          <cell r="F1673" t="str">
            <v>P</v>
          </cell>
          <cell r="H1673" t="str">
            <v>PLNT</v>
          </cell>
          <cell r="I1673" t="str">
            <v>PLNT</v>
          </cell>
          <cell r="J1673" t="str">
            <v>PLNT</v>
          </cell>
          <cell r="K1673" t="str">
            <v>PLNT</v>
          </cell>
          <cell r="L1673" t="str">
            <v>PLNT</v>
          </cell>
        </row>
        <row r="1674">
          <cell r="B1674" t="str">
            <v>P</v>
          </cell>
          <cell r="C1674" t="str">
            <v>P</v>
          </cell>
          <cell r="D1674" t="str">
            <v>P</v>
          </cell>
          <cell r="E1674" t="str">
            <v>P</v>
          </cell>
          <cell r="F1674" t="str">
            <v>P</v>
          </cell>
          <cell r="H1674" t="str">
            <v>PLNT</v>
          </cell>
          <cell r="I1674" t="str">
            <v>PLNT</v>
          </cell>
          <cell r="J1674" t="str">
            <v>PLNT</v>
          </cell>
          <cell r="K1674" t="str">
            <v>PLNT</v>
          </cell>
          <cell r="L1674" t="str">
            <v>PLNT</v>
          </cell>
        </row>
        <row r="1675">
          <cell r="B1675" t="str">
            <v>P</v>
          </cell>
          <cell r="C1675" t="str">
            <v>P</v>
          </cell>
          <cell r="D1675" t="str">
            <v>P</v>
          </cell>
          <cell r="E1675" t="str">
            <v>P</v>
          </cell>
          <cell r="F1675" t="str">
            <v>P</v>
          </cell>
          <cell r="H1675" t="str">
            <v>PLNT</v>
          </cell>
          <cell r="I1675" t="str">
            <v>PLNT</v>
          </cell>
          <cell r="J1675" t="str">
            <v>PLNT</v>
          </cell>
          <cell r="K1675" t="str">
            <v>PLNT</v>
          </cell>
          <cell r="L1675" t="str">
            <v>PLNT</v>
          </cell>
        </row>
        <row r="1676"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</row>
        <row r="1677"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</row>
        <row r="1678"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B1679" t="str">
            <v>P</v>
          </cell>
          <cell r="C1679" t="str">
            <v>P</v>
          </cell>
          <cell r="D1679" t="str">
            <v>P</v>
          </cell>
          <cell r="E1679" t="str">
            <v>P</v>
          </cell>
          <cell r="F1679" t="str">
            <v>P</v>
          </cell>
          <cell r="H1679" t="str">
            <v>PLNT</v>
          </cell>
          <cell r="I1679" t="str">
            <v>PLNT</v>
          </cell>
          <cell r="J1679" t="str">
            <v>PLNT</v>
          </cell>
          <cell r="K1679" t="str">
            <v>PLNT</v>
          </cell>
          <cell r="L1679" t="str">
            <v>PLNT</v>
          </cell>
        </row>
        <row r="1680"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B1683" t="str">
            <v>P</v>
          </cell>
          <cell r="C1683" t="str">
            <v>P</v>
          </cell>
          <cell r="D1683" t="str">
            <v>P</v>
          </cell>
          <cell r="E1683" t="str">
            <v>P</v>
          </cell>
          <cell r="F1683" t="str">
            <v>P</v>
          </cell>
          <cell r="H1683" t="str">
            <v>PLNT</v>
          </cell>
          <cell r="I1683" t="str">
            <v>PLNT</v>
          </cell>
          <cell r="J1683" t="str">
            <v>PLNT</v>
          </cell>
          <cell r="K1683" t="str">
            <v>PLNT</v>
          </cell>
          <cell r="L1683" t="str">
            <v>PLNT</v>
          </cell>
        </row>
        <row r="1684"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B1687" t="str">
            <v>P</v>
          </cell>
          <cell r="C1687" t="str">
            <v>P</v>
          </cell>
          <cell r="D1687" t="str">
            <v>P</v>
          </cell>
          <cell r="E1687" t="str">
            <v>P</v>
          </cell>
          <cell r="F1687" t="str">
            <v>P</v>
          </cell>
          <cell r="H1687" t="str">
            <v>PLNT</v>
          </cell>
          <cell r="I1687" t="str">
            <v>PLNT</v>
          </cell>
          <cell r="J1687" t="str">
            <v>PLNT</v>
          </cell>
          <cell r="K1687" t="str">
            <v>PLNT</v>
          </cell>
          <cell r="L1687" t="str">
            <v>PLNT</v>
          </cell>
        </row>
        <row r="1688"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B1691" t="str">
            <v>P</v>
          </cell>
          <cell r="C1691" t="str">
            <v>P</v>
          </cell>
          <cell r="D1691" t="str">
            <v>P</v>
          </cell>
          <cell r="E1691" t="str">
            <v>P</v>
          </cell>
          <cell r="F1691" t="str">
            <v>P</v>
          </cell>
          <cell r="H1691" t="str">
            <v>PLNT</v>
          </cell>
          <cell r="I1691" t="str">
            <v>PLNT</v>
          </cell>
          <cell r="J1691" t="str">
            <v>PLNT</v>
          </cell>
          <cell r="K1691" t="str">
            <v>PLNT</v>
          </cell>
          <cell r="L1691" t="str">
            <v>PLNT</v>
          </cell>
        </row>
        <row r="1692"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B1693">
            <v>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B1694">
            <v>0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B1697" t="str">
            <v>MSS</v>
          </cell>
          <cell r="C1697" t="str">
            <v>MSS</v>
          </cell>
          <cell r="D1697" t="str">
            <v>MSS</v>
          </cell>
          <cell r="E1697" t="str">
            <v>MSS</v>
          </cell>
          <cell r="F1697" t="str">
            <v>MSS</v>
          </cell>
          <cell r="H1697" t="str">
            <v>PLNT</v>
          </cell>
          <cell r="I1697" t="str">
            <v>PLNT</v>
          </cell>
          <cell r="J1697" t="str">
            <v>PLNT</v>
          </cell>
          <cell r="K1697" t="str">
            <v>PLNT</v>
          </cell>
          <cell r="L1697" t="str">
            <v>PLNT</v>
          </cell>
        </row>
        <row r="1698">
          <cell r="B1698" t="str">
            <v>MSS</v>
          </cell>
          <cell r="C1698" t="str">
            <v>MSS</v>
          </cell>
          <cell r="D1698" t="str">
            <v>MSS</v>
          </cell>
          <cell r="E1698" t="str">
            <v>MSS</v>
          </cell>
          <cell r="F1698" t="str">
            <v>MSS</v>
          </cell>
          <cell r="H1698" t="str">
            <v>PLNT</v>
          </cell>
          <cell r="I1698" t="str">
            <v>PLNT</v>
          </cell>
          <cell r="J1698" t="str">
            <v>PLNT</v>
          </cell>
          <cell r="K1698" t="str">
            <v>PLNT</v>
          </cell>
          <cell r="L1698" t="str">
            <v>PLNT</v>
          </cell>
        </row>
        <row r="1699">
          <cell r="B1699" t="str">
            <v>MSS</v>
          </cell>
          <cell r="C1699" t="str">
            <v>MSS</v>
          </cell>
          <cell r="D1699" t="str">
            <v>MSS</v>
          </cell>
          <cell r="E1699" t="str">
            <v>MSS</v>
          </cell>
          <cell r="F1699" t="str">
            <v>MSS</v>
          </cell>
          <cell r="H1699" t="str">
            <v>PLNT</v>
          </cell>
          <cell r="I1699" t="str">
            <v>PLNT</v>
          </cell>
          <cell r="J1699" t="str">
            <v>PLNT</v>
          </cell>
          <cell r="K1699" t="str">
            <v>PLNT</v>
          </cell>
          <cell r="L1699" t="str">
            <v>PLNT</v>
          </cell>
        </row>
        <row r="1700">
          <cell r="B1700" t="str">
            <v>MSS</v>
          </cell>
          <cell r="C1700" t="str">
            <v>MSS</v>
          </cell>
          <cell r="D1700" t="str">
            <v>MSS</v>
          </cell>
          <cell r="E1700" t="str">
            <v>MSS</v>
          </cell>
          <cell r="F1700" t="str">
            <v>MSS</v>
          </cell>
          <cell r="H1700" t="str">
            <v>PLNT</v>
          </cell>
          <cell r="I1700" t="str">
            <v>PLNT</v>
          </cell>
          <cell r="J1700" t="str">
            <v>PLNT</v>
          </cell>
          <cell r="K1700" t="str">
            <v>PLNT</v>
          </cell>
          <cell r="L1700" t="str">
            <v>PLNT</v>
          </cell>
        </row>
        <row r="1701">
          <cell r="B1701" t="str">
            <v>MSS</v>
          </cell>
          <cell r="C1701" t="str">
            <v>MSS</v>
          </cell>
          <cell r="D1701" t="str">
            <v>MSS</v>
          </cell>
          <cell r="E1701" t="str">
            <v>MSS</v>
          </cell>
          <cell r="F1701" t="str">
            <v>MSS</v>
          </cell>
          <cell r="H1701" t="str">
            <v>PLNT</v>
          </cell>
          <cell r="I1701" t="str">
            <v>PLNT</v>
          </cell>
          <cell r="J1701" t="str">
            <v>PLNT</v>
          </cell>
          <cell r="K1701" t="str">
            <v>PLNT</v>
          </cell>
          <cell r="L1701" t="str">
            <v>PLNT</v>
          </cell>
        </row>
        <row r="1702">
          <cell r="B1702" t="str">
            <v>MSS</v>
          </cell>
          <cell r="C1702" t="str">
            <v>MSS</v>
          </cell>
          <cell r="D1702" t="str">
            <v>MSS</v>
          </cell>
          <cell r="E1702" t="str">
            <v>MSS</v>
          </cell>
          <cell r="F1702" t="str">
            <v>MSS</v>
          </cell>
          <cell r="H1702" t="str">
            <v>PLNT</v>
          </cell>
          <cell r="I1702" t="str">
            <v>PLNT</v>
          </cell>
          <cell r="J1702" t="str">
            <v>PLNT</v>
          </cell>
          <cell r="K1702" t="str">
            <v>PLNT</v>
          </cell>
          <cell r="L1702" t="str">
            <v>PLNT</v>
          </cell>
        </row>
        <row r="1703">
          <cell r="B1703" t="str">
            <v>MSS</v>
          </cell>
          <cell r="C1703" t="str">
            <v>MSS</v>
          </cell>
          <cell r="D1703" t="str">
            <v>MSS</v>
          </cell>
          <cell r="E1703" t="str">
            <v>MSS</v>
          </cell>
          <cell r="F1703" t="str">
            <v>MSS</v>
          </cell>
          <cell r="H1703" t="str">
            <v>PLNT</v>
          </cell>
          <cell r="I1703" t="str">
            <v>PLNT</v>
          </cell>
          <cell r="J1703" t="str">
            <v>PLNT</v>
          </cell>
          <cell r="K1703" t="str">
            <v>PLNT</v>
          </cell>
          <cell r="L1703" t="str">
            <v>PLNT</v>
          </cell>
        </row>
        <row r="1704">
          <cell r="B1704" t="str">
            <v>MSS</v>
          </cell>
          <cell r="C1704" t="str">
            <v>MSS</v>
          </cell>
          <cell r="D1704" t="str">
            <v>MSS</v>
          </cell>
          <cell r="E1704" t="str">
            <v>MSS</v>
          </cell>
          <cell r="F1704" t="str">
            <v>MSS</v>
          </cell>
          <cell r="H1704" t="str">
            <v>PLNT</v>
          </cell>
          <cell r="I1704" t="str">
            <v>PLNT</v>
          </cell>
          <cell r="J1704" t="str">
            <v>PLNT</v>
          </cell>
          <cell r="K1704" t="str">
            <v>PLNT</v>
          </cell>
          <cell r="L1704" t="str">
            <v>PLNT</v>
          </cell>
        </row>
        <row r="1705">
          <cell r="B1705" t="str">
            <v>MSS</v>
          </cell>
          <cell r="C1705" t="str">
            <v>MSS</v>
          </cell>
          <cell r="D1705" t="str">
            <v>MSS</v>
          </cell>
          <cell r="E1705" t="str">
            <v>MSS</v>
          </cell>
          <cell r="F1705" t="str">
            <v>MSS</v>
          </cell>
          <cell r="H1705" t="str">
            <v>PLNT</v>
          </cell>
          <cell r="I1705" t="str">
            <v>PLNT</v>
          </cell>
          <cell r="J1705" t="str">
            <v>PLNT</v>
          </cell>
          <cell r="K1705" t="str">
            <v>PLNT</v>
          </cell>
          <cell r="L1705" t="str">
            <v>PLNT</v>
          </cell>
        </row>
        <row r="1706">
          <cell r="B1706" t="str">
            <v>MSS</v>
          </cell>
          <cell r="C1706" t="str">
            <v>MSS</v>
          </cell>
          <cell r="D1706" t="str">
            <v>MSS</v>
          </cell>
          <cell r="E1706" t="str">
            <v>MSS</v>
          </cell>
          <cell r="F1706" t="str">
            <v>MSS</v>
          </cell>
          <cell r="H1706" t="str">
            <v>PLNT</v>
          </cell>
          <cell r="I1706" t="str">
            <v>PLNT</v>
          </cell>
          <cell r="J1706" t="str">
            <v>PLNT</v>
          </cell>
          <cell r="K1706" t="str">
            <v>PLNT</v>
          </cell>
          <cell r="L1706" t="str">
            <v>PLNT</v>
          </cell>
        </row>
        <row r="1707">
          <cell r="B1707" t="str">
            <v>MSS</v>
          </cell>
          <cell r="C1707" t="str">
            <v>MSS</v>
          </cell>
          <cell r="D1707" t="str">
            <v>MSS</v>
          </cell>
          <cell r="E1707" t="str">
            <v>MSS</v>
          </cell>
          <cell r="F1707" t="str">
            <v>MSS</v>
          </cell>
          <cell r="H1707" t="str">
            <v>PLNT</v>
          </cell>
          <cell r="I1707" t="str">
            <v>PLNT</v>
          </cell>
          <cell r="J1707" t="str">
            <v>PLNT</v>
          </cell>
          <cell r="K1707" t="str">
            <v>PLNT</v>
          </cell>
          <cell r="L1707" t="str">
            <v>PLNT</v>
          </cell>
        </row>
        <row r="1708">
          <cell r="B1708" t="str">
            <v>MSS</v>
          </cell>
          <cell r="C1708" t="str">
            <v>MSS</v>
          </cell>
          <cell r="D1708" t="str">
            <v>MSS</v>
          </cell>
          <cell r="E1708" t="str">
            <v>MSS</v>
          </cell>
          <cell r="F1708" t="str">
            <v>MSS</v>
          </cell>
          <cell r="H1708" t="str">
            <v>PLNT</v>
          </cell>
          <cell r="I1708" t="str">
            <v>PLNT</v>
          </cell>
          <cell r="J1708" t="str">
            <v>PLNT</v>
          </cell>
          <cell r="K1708" t="str">
            <v>PLNT</v>
          </cell>
          <cell r="L1708" t="str">
            <v>PLNT</v>
          </cell>
        </row>
        <row r="1709">
          <cell r="B1709" t="str">
            <v>MSS</v>
          </cell>
          <cell r="C1709" t="str">
            <v>MSS</v>
          </cell>
          <cell r="D1709" t="str">
            <v>MSS</v>
          </cell>
          <cell r="E1709" t="str">
            <v>MSS</v>
          </cell>
          <cell r="F1709" t="str">
            <v>MSS</v>
          </cell>
          <cell r="H1709" t="str">
            <v>PLNT</v>
          </cell>
          <cell r="I1709" t="str">
            <v>PLNT</v>
          </cell>
          <cell r="J1709" t="str">
            <v>PLNT</v>
          </cell>
          <cell r="K1709" t="str">
            <v>PLNT</v>
          </cell>
          <cell r="L1709" t="str">
            <v>PLNT</v>
          </cell>
        </row>
        <row r="1710">
          <cell r="B1710">
            <v>0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B1713" t="str">
            <v>MSS</v>
          </cell>
          <cell r="C1713" t="str">
            <v>MSS</v>
          </cell>
          <cell r="D1713" t="str">
            <v>MSS</v>
          </cell>
          <cell r="E1713" t="str">
            <v>MSS</v>
          </cell>
          <cell r="F1713" t="str">
            <v>MSS</v>
          </cell>
          <cell r="H1713" t="str">
            <v>PLNT</v>
          </cell>
          <cell r="I1713" t="str">
            <v>PLNT</v>
          </cell>
          <cell r="J1713" t="str">
            <v>PLNT</v>
          </cell>
          <cell r="K1713" t="str">
            <v>PLNT</v>
          </cell>
          <cell r="L1713" t="str">
            <v>PLNT</v>
          </cell>
        </row>
        <row r="1714"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B1715">
            <v>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B1718" t="str">
            <v>MSS</v>
          </cell>
          <cell r="C1718" t="str">
            <v>MSS</v>
          </cell>
          <cell r="D1718" t="str">
            <v>MSS</v>
          </cell>
          <cell r="E1718" t="str">
            <v>MSS</v>
          </cell>
          <cell r="F1718" t="str">
            <v>MSS</v>
          </cell>
          <cell r="H1718" t="str">
            <v>PLNT</v>
          </cell>
          <cell r="I1718" t="str">
            <v>PLNT</v>
          </cell>
          <cell r="J1718" t="str">
            <v>PLNT</v>
          </cell>
          <cell r="K1718" t="str">
            <v>PLNT</v>
          </cell>
          <cell r="L1718" t="str">
            <v>PLNT</v>
          </cell>
        </row>
        <row r="1719"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B1724">
            <v>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B1725" t="str">
            <v>DMSC</v>
          </cell>
          <cell r="C1725" t="str">
            <v>DMSC</v>
          </cell>
          <cell r="D1725" t="str">
            <v>DMSC</v>
          </cell>
          <cell r="E1725" t="str">
            <v>DMSC</v>
          </cell>
          <cell r="F1725" t="str">
            <v>DMSC</v>
          </cell>
          <cell r="H1725" t="str">
            <v>PLNT</v>
          </cell>
          <cell r="I1725" t="str">
            <v>PLNT</v>
          </cell>
          <cell r="J1725" t="str">
            <v>PLNT</v>
          </cell>
          <cell r="K1725" t="str">
            <v>PLNT</v>
          </cell>
          <cell r="L1725" t="str">
            <v>PLNT</v>
          </cell>
        </row>
        <row r="1726">
          <cell r="B1726" t="str">
            <v>GP</v>
          </cell>
          <cell r="C1726" t="str">
            <v>GP</v>
          </cell>
          <cell r="D1726" t="str">
            <v>GP</v>
          </cell>
          <cell r="E1726" t="str">
            <v>GP</v>
          </cell>
          <cell r="F1726" t="str">
            <v>GP</v>
          </cell>
          <cell r="H1726" t="str">
            <v>PLNT</v>
          </cell>
          <cell r="I1726" t="str">
            <v>PLNT</v>
          </cell>
          <cell r="J1726" t="str">
            <v>PLNT</v>
          </cell>
          <cell r="K1726" t="str">
            <v>PLNT</v>
          </cell>
          <cell r="L1726" t="str">
            <v>PLNT</v>
          </cell>
        </row>
        <row r="1727">
          <cell r="B1727" t="str">
            <v>PT</v>
          </cell>
          <cell r="C1727" t="str">
            <v>PT</v>
          </cell>
          <cell r="D1727" t="str">
            <v>PT</v>
          </cell>
          <cell r="E1727" t="str">
            <v>PT</v>
          </cell>
          <cell r="F1727" t="str">
            <v>PT</v>
          </cell>
          <cell r="H1727" t="str">
            <v>PLNT</v>
          </cell>
          <cell r="I1727" t="str">
            <v>PLNT</v>
          </cell>
          <cell r="J1727" t="str">
            <v>PLNT</v>
          </cell>
          <cell r="K1727" t="str">
            <v>PLNT</v>
          </cell>
          <cell r="L1727" t="str">
            <v>PLNT</v>
          </cell>
        </row>
        <row r="1728">
          <cell r="B1728" t="str">
            <v>P</v>
          </cell>
          <cell r="C1728" t="str">
            <v>P</v>
          </cell>
          <cell r="D1728" t="str">
            <v>P</v>
          </cell>
          <cell r="E1728" t="str">
            <v>P</v>
          </cell>
          <cell r="F1728" t="str">
            <v>P</v>
          </cell>
          <cell r="H1728" t="str">
            <v>PLNT</v>
          </cell>
          <cell r="I1728" t="str">
            <v>PLNT</v>
          </cell>
          <cell r="J1728" t="str">
            <v>PLNT</v>
          </cell>
          <cell r="K1728" t="str">
            <v>PLNT</v>
          </cell>
          <cell r="L1728" t="str">
            <v>PLNT</v>
          </cell>
        </row>
        <row r="1729">
          <cell r="B1729" t="str">
            <v>PTD</v>
          </cell>
          <cell r="C1729" t="str">
            <v>PTD</v>
          </cell>
          <cell r="D1729" t="str">
            <v>PTD</v>
          </cell>
          <cell r="E1729" t="str">
            <v>PTD</v>
          </cell>
          <cell r="F1729" t="str">
            <v>PTD</v>
          </cell>
          <cell r="H1729" t="str">
            <v>PLNT</v>
          </cell>
          <cell r="I1729" t="str">
            <v>PLNT</v>
          </cell>
          <cell r="J1729" t="str">
            <v>PLNT</v>
          </cell>
          <cell r="K1729" t="str">
            <v>PLNT</v>
          </cell>
          <cell r="L1729" t="str">
            <v>PLNT</v>
          </cell>
        </row>
        <row r="1730"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B1731">
            <v>0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B1733" t="str">
            <v>DDS2</v>
          </cell>
          <cell r="C1733" t="str">
            <v>DDS2</v>
          </cell>
          <cell r="D1733" t="str">
            <v>DDS2</v>
          </cell>
          <cell r="E1733" t="str">
            <v>DDS2</v>
          </cell>
          <cell r="F1733" t="str">
            <v>DDS2</v>
          </cell>
          <cell r="H1733" t="str">
            <v>PLNT</v>
          </cell>
          <cell r="I1733" t="str">
            <v>PLNT</v>
          </cell>
          <cell r="J1733" t="str">
            <v>PLNT</v>
          </cell>
          <cell r="K1733" t="str">
            <v>PLNT</v>
          </cell>
          <cell r="L1733" t="str">
            <v>PLNT</v>
          </cell>
        </row>
        <row r="1734">
          <cell r="B1734" t="str">
            <v>DEFSG</v>
          </cell>
          <cell r="C1734" t="str">
            <v>DEFSG</v>
          </cell>
          <cell r="D1734" t="str">
            <v>DEFSG</v>
          </cell>
          <cell r="E1734" t="str">
            <v>DEFSG</v>
          </cell>
          <cell r="F1734" t="str">
            <v>DEFSG</v>
          </cell>
          <cell r="H1734" t="str">
            <v>PLNT</v>
          </cell>
          <cell r="I1734" t="str">
            <v>PLNT</v>
          </cell>
          <cell r="J1734" t="str">
            <v>PLNT</v>
          </cell>
          <cell r="K1734" t="str">
            <v>PLNT</v>
          </cell>
          <cell r="L1734" t="str">
            <v>PLNT</v>
          </cell>
        </row>
        <row r="1735">
          <cell r="B1735" t="str">
            <v>P</v>
          </cell>
          <cell r="C1735" t="str">
            <v>P</v>
          </cell>
          <cell r="D1735" t="str">
            <v>P</v>
          </cell>
          <cell r="E1735" t="str">
            <v>P</v>
          </cell>
          <cell r="F1735" t="str">
            <v>P</v>
          </cell>
          <cell r="H1735" t="str">
            <v>PLNT</v>
          </cell>
          <cell r="I1735" t="str">
            <v>PLNT</v>
          </cell>
          <cell r="J1735" t="str">
            <v>PLNT</v>
          </cell>
          <cell r="K1735" t="str">
            <v>PLNT</v>
          </cell>
          <cell r="L1735" t="str">
            <v>PLNT</v>
          </cell>
        </row>
        <row r="1736">
          <cell r="B1736" t="str">
            <v>DEFSG</v>
          </cell>
          <cell r="C1736" t="str">
            <v>DEFSG</v>
          </cell>
          <cell r="D1736" t="str">
            <v>DEFSG</v>
          </cell>
          <cell r="E1736" t="str">
            <v>DEFSG</v>
          </cell>
          <cell r="F1736" t="str">
            <v>DEFSG</v>
          </cell>
          <cell r="H1736" t="str">
            <v>PLNT</v>
          </cell>
          <cell r="I1736" t="str">
            <v>PLNT</v>
          </cell>
          <cell r="J1736" t="str">
            <v>PLNT</v>
          </cell>
          <cell r="K1736" t="str">
            <v>PLNT</v>
          </cell>
          <cell r="L1736" t="str">
            <v>PLNT</v>
          </cell>
        </row>
        <row r="1737">
          <cell r="B1737" t="str">
            <v>P</v>
          </cell>
          <cell r="C1737" t="str">
            <v>P</v>
          </cell>
          <cell r="D1737" t="str">
            <v>P</v>
          </cell>
          <cell r="E1737" t="str">
            <v>P</v>
          </cell>
          <cell r="F1737" t="str">
            <v>P</v>
          </cell>
          <cell r="H1737" t="str">
            <v>PLNT</v>
          </cell>
          <cell r="I1737" t="str">
            <v>PLNT</v>
          </cell>
          <cell r="J1737" t="str">
            <v>PLNT</v>
          </cell>
          <cell r="K1737" t="str">
            <v>PLNT</v>
          </cell>
          <cell r="L1737" t="str">
            <v>PLNT</v>
          </cell>
        </row>
        <row r="1738">
          <cell r="B1738" t="str">
            <v>P</v>
          </cell>
          <cell r="C1738" t="str">
            <v>P</v>
          </cell>
          <cell r="D1738" t="str">
            <v>P</v>
          </cell>
          <cell r="E1738" t="str">
            <v>P</v>
          </cell>
          <cell r="F1738" t="str">
            <v>P</v>
          </cell>
          <cell r="H1738" t="str">
            <v>PLNT</v>
          </cell>
          <cell r="I1738" t="str">
            <v>PLNT</v>
          </cell>
          <cell r="J1738" t="str">
            <v>PLNT</v>
          </cell>
          <cell r="K1738" t="str">
            <v>PLNT</v>
          </cell>
          <cell r="L1738" t="str">
            <v>PLNT</v>
          </cell>
        </row>
        <row r="1739">
          <cell r="B1739" t="str">
            <v>DDSO2</v>
          </cell>
          <cell r="C1739" t="str">
            <v>DDSO2</v>
          </cell>
          <cell r="D1739" t="str">
            <v>DDSO2</v>
          </cell>
          <cell r="E1739" t="str">
            <v>DDSO2</v>
          </cell>
          <cell r="F1739" t="str">
            <v>DDSO2</v>
          </cell>
          <cell r="H1739" t="str">
            <v>PLNT</v>
          </cell>
          <cell r="I1739" t="str">
            <v>PLNT</v>
          </cell>
          <cell r="J1739" t="str">
            <v>PLNT</v>
          </cell>
          <cell r="K1739" t="str">
            <v>PLNT</v>
          </cell>
          <cell r="L1739" t="str">
            <v>PLNT</v>
          </cell>
        </row>
        <row r="1740"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B1742">
            <v>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B1743" t="str">
            <v>LABOR</v>
          </cell>
          <cell r="C1743" t="str">
            <v>LABOR</v>
          </cell>
          <cell r="D1743" t="str">
            <v>LABOR</v>
          </cell>
          <cell r="E1743" t="str">
            <v>LABOR</v>
          </cell>
          <cell r="F1743" t="str">
            <v>LABOR</v>
          </cell>
          <cell r="H1743" t="str">
            <v>PLNT</v>
          </cell>
          <cell r="I1743" t="str">
            <v>PLNT</v>
          </cell>
          <cell r="J1743" t="str">
            <v>PLNT</v>
          </cell>
          <cell r="K1743" t="str">
            <v>PLNT</v>
          </cell>
          <cell r="L1743" t="str">
            <v>PLNT</v>
          </cell>
        </row>
        <row r="1744">
          <cell r="B1744" t="str">
            <v>P</v>
          </cell>
          <cell r="C1744" t="str">
            <v>P</v>
          </cell>
          <cell r="D1744" t="str">
            <v>P</v>
          </cell>
          <cell r="E1744" t="str">
            <v>P</v>
          </cell>
          <cell r="F1744" t="str">
            <v>P</v>
          </cell>
          <cell r="H1744" t="str">
            <v>PLNT</v>
          </cell>
          <cell r="I1744" t="str">
            <v>PLNT</v>
          </cell>
          <cell r="J1744" t="str">
            <v>PLNT</v>
          </cell>
          <cell r="K1744" t="str">
            <v>PLNT</v>
          </cell>
          <cell r="L1744" t="str">
            <v>PLNT</v>
          </cell>
        </row>
        <row r="1745">
          <cell r="B1745" t="str">
            <v>P</v>
          </cell>
          <cell r="C1745" t="str">
            <v>P</v>
          </cell>
          <cell r="D1745" t="str">
            <v>P</v>
          </cell>
          <cell r="E1745" t="str">
            <v>P</v>
          </cell>
          <cell r="F1745" t="str">
            <v>P</v>
          </cell>
          <cell r="H1745" t="str">
            <v>PLNT</v>
          </cell>
          <cell r="I1745" t="str">
            <v>PLNT</v>
          </cell>
          <cell r="J1745" t="str">
            <v>PLNT</v>
          </cell>
          <cell r="K1745" t="str">
            <v>PLNT</v>
          </cell>
          <cell r="L1745" t="str">
            <v>PLNT</v>
          </cell>
        </row>
        <row r="1746">
          <cell r="B1746" t="str">
            <v>DEFSG</v>
          </cell>
          <cell r="C1746" t="str">
            <v>DEFSG</v>
          </cell>
          <cell r="D1746" t="str">
            <v>DEFSG</v>
          </cell>
          <cell r="E1746" t="str">
            <v>DEFSG</v>
          </cell>
          <cell r="F1746" t="str">
            <v>DEFSG</v>
          </cell>
          <cell r="H1746" t="str">
            <v>PLNT</v>
          </cell>
          <cell r="I1746" t="str">
            <v>PLNT</v>
          </cell>
          <cell r="J1746" t="str">
            <v>PLNT</v>
          </cell>
          <cell r="K1746" t="str">
            <v>PLNT</v>
          </cell>
          <cell r="L1746" t="str">
            <v>PLNT</v>
          </cell>
        </row>
        <row r="1747">
          <cell r="B1747" t="str">
            <v>LABOR</v>
          </cell>
          <cell r="C1747" t="str">
            <v>LABOR</v>
          </cell>
          <cell r="D1747" t="str">
            <v>LABOR</v>
          </cell>
          <cell r="E1747" t="str">
            <v>LABOR</v>
          </cell>
          <cell r="F1747" t="str">
            <v>LABOR</v>
          </cell>
          <cell r="H1747" t="str">
            <v>PLNT</v>
          </cell>
          <cell r="I1747" t="str">
            <v>PLNT</v>
          </cell>
          <cell r="J1747" t="str">
            <v>PLNT</v>
          </cell>
          <cell r="K1747" t="str">
            <v>PLNT</v>
          </cell>
          <cell r="L1747" t="str">
            <v>PLNT</v>
          </cell>
        </row>
        <row r="1748">
          <cell r="B1748" t="str">
            <v>P</v>
          </cell>
          <cell r="C1748" t="str">
            <v>P</v>
          </cell>
          <cell r="D1748" t="str">
            <v>P</v>
          </cell>
          <cell r="E1748" t="str">
            <v>P</v>
          </cell>
          <cell r="F1748" t="str">
            <v>P</v>
          </cell>
          <cell r="H1748" t="str">
            <v>PLNT</v>
          </cell>
          <cell r="I1748" t="str">
            <v>PLNT</v>
          </cell>
          <cell r="J1748" t="str">
            <v>PLNT</v>
          </cell>
          <cell r="K1748" t="str">
            <v>PLNT</v>
          </cell>
          <cell r="L1748" t="str">
            <v>PLNT</v>
          </cell>
        </row>
        <row r="1749">
          <cell r="B1749" t="str">
            <v>P</v>
          </cell>
          <cell r="C1749" t="str">
            <v>P</v>
          </cell>
          <cell r="D1749" t="str">
            <v>P</v>
          </cell>
          <cell r="E1749" t="str">
            <v>P</v>
          </cell>
          <cell r="F1749" t="str">
            <v>P</v>
          </cell>
          <cell r="H1749" t="str">
            <v>PLNT</v>
          </cell>
          <cell r="I1749" t="str">
            <v>PLNT</v>
          </cell>
          <cell r="J1749" t="str">
            <v>PLNT</v>
          </cell>
          <cell r="K1749" t="str">
            <v>PLNT</v>
          </cell>
          <cell r="L1749" t="str">
            <v>PLNT</v>
          </cell>
        </row>
        <row r="1750">
          <cell r="B1750" t="str">
            <v>GP</v>
          </cell>
          <cell r="C1750" t="str">
            <v>GP</v>
          </cell>
          <cell r="D1750" t="str">
            <v>GP</v>
          </cell>
          <cell r="E1750" t="str">
            <v>GP</v>
          </cell>
          <cell r="F1750" t="str">
            <v>GP</v>
          </cell>
          <cell r="H1750" t="str">
            <v>PLNT</v>
          </cell>
          <cell r="I1750" t="str">
            <v>PLNT</v>
          </cell>
          <cell r="J1750" t="str">
            <v>PLNT</v>
          </cell>
          <cell r="K1750" t="str">
            <v>PLNT</v>
          </cell>
          <cell r="L1750" t="str">
            <v>PLNT</v>
          </cell>
        </row>
        <row r="1751"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</row>
        <row r="1752">
          <cell r="B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</row>
        <row r="1753"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</row>
        <row r="1754"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</row>
        <row r="1755">
          <cell r="B1755" t="str">
            <v>CWC</v>
          </cell>
          <cell r="C1755" t="str">
            <v>CWC</v>
          </cell>
          <cell r="D1755" t="str">
            <v>CWC</v>
          </cell>
          <cell r="E1755" t="str">
            <v>CWC</v>
          </cell>
          <cell r="F1755" t="str">
            <v>CWC</v>
          </cell>
          <cell r="H1755" t="str">
            <v>PLNT</v>
          </cell>
          <cell r="I1755" t="str">
            <v>PLNT</v>
          </cell>
          <cell r="J1755" t="str">
            <v>PLNT</v>
          </cell>
          <cell r="K1755" t="str">
            <v>PLNT</v>
          </cell>
          <cell r="L1755" t="str">
            <v>PLNT</v>
          </cell>
        </row>
        <row r="1756">
          <cell r="B1756" t="str">
            <v>CWC</v>
          </cell>
          <cell r="C1756" t="str">
            <v>CWC</v>
          </cell>
          <cell r="D1756" t="str">
            <v>CWC</v>
          </cell>
          <cell r="E1756" t="str">
            <v>CWC</v>
          </cell>
          <cell r="F1756" t="str">
            <v>CWC</v>
          </cell>
          <cell r="H1756" t="str">
            <v>PLNT</v>
          </cell>
          <cell r="I1756" t="str">
            <v>PLNT</v>
          </cell>
          <cell r="J1756" t="str">
            <v>PLNT</v>
          </cell>
          <cell r="K1756" t="str">
            <v>PLNT</v>
          </cell>
          <cell r="L1756" t="str">
            <v>PLNT</v>
          </cell>
        </row>
        <row r="1757">
          <cell r="B1757" t="str">
            <v>CWC</v>
          </cell>
          <cell r="C1757" t="str">
            <v>CWC</v>
          </cell>
          <cell r="D1757" t="str">
            <v>CWC</v>
          </cell>
          <cell r="E1757" t="str">
            <v>CWC</v>
          </cell>
          <cell r="F1757" t="str">
            <v>CWC</v>
          </cell>
          <cell r="H1757" t="str">
            <v>PLNT</v>
          </cell>
          <cell r="I1757" t="str">
            <v>PLNT</v>
          </cell>
          <cell r="J1757" t="str">
            <v>PLNT</v>
          </cell>
          <cell r="K1757" t="str">
            <v>PLNT</v>
          </cell>
          <cell r="L1757" t="str">
            <v>PLNT</v>
          </cell>
        </row>
        <row r="1758"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</row>
        <row r="1759">
          <cell r="B1759">
            <v>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</row>
        <row r="1760"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</row>
        <row r="1761">
          <cell r="B1761" t="str">
            <v>GP</v>
          </cell>
          <cell r="C1761" t="str">
            <v>GP</v>
          </cell>
          <cell r="D1761" t="str">
            <v>GP</v>
          </cell>
          <cell r="E1761" t="str">
            <v>GP</v>
          </cell>
          <cell r="F1761" t="str">
            <v>GP</v>
          </cell>
          <cell r="H1761" t="str">
            <v>PLNT</v>
          </cell>
          <cell r="I1761" t="str">
            <v>PLNT</v>
          </cell>
          <cell r="J1761" t="str">
            <v>PLNT</v>
          </cell>
          <cell r="K1761" t="str">
            <v>PLNT</v>
          </cell>
          <cell r="L1761" t="str">
            <v>PLNT</v>
          </cell>
        </row>
        <row r="1762">
          <cell r="B1762" t="str">
            <v>GP</v>
          </cell>
          <cell r="C1762" t="str">
            <v>GP</v>
          </cell>
          <cell r="D1762" t="str">
            <v>GP</v>
          </cell>
          <cell r="E1762" t="str">
            <v>GP</v>
          </cell>
          <cell r="F1762" t="str">
            <v>GP</v>
          </cell>
          <cell r="H1762" t="str">
            <v>PLNT</v>
          </cell>
          <cell r="I1762" t="str">
            <v>PLNT</v>
          </cell>
          <cell r="J1762" t="str">
            <v>PLNT</v>
          </cell>
          <cell r="K1762" t="str">
            <v>PLNT</v>
          </cell>
          <cell r="L1762" t="str">
            <v>PLNT</v>
          </cell>
        </row>
        <row r="1763">
          <cell r="B1763" t="str">
            <v>P</v>
          </cell>
          <cell r="C1763" t="str">
            <v>P</v>
          </cell>
          <cell r="D1763" t="str">
            <v>P</v>
          </cell>
          <cell r="E1763" t="str">
            <v>P</v>
          </cell>
          <cell r="F1763" t="str">
            <v>P</v>
          </cell>
          <cell r="H1763" t="str">
            <v>PLNT</v>
          </cell>
          <cell r="I1763" t="str">
            <v>PLNT</v>
          </cell>
          <cell r="J1763" t="str">
            <v>PLNT</v>
          </cell>
          <cell r="K1763" t="str">
            <v>PLNT</v>
          </cell>
          <cell r="L1763" t="str">
            <v>PLNT</v>
          </cell>
        </row>
        <row r="1764">
          <cell r="B1764" t="str">
            <v>PTD</v>
          </cell>
          <cell r="C1764" t="str">
            <v>PTD</v>
          </cell>
          <cell r="D1764" t="str">
            <v>PTD</v>
          </cell>
          <cell r="E1764" t="str">
            <v>PTD</v>
          </cell>
          <cell r="F1764" t="str">
            <v>PTD</v>
          </cell>
          <cell r="H1764" t="str">
            <v>PLNT</v>
          </cell>
          <cell r="I1764" t="str">
            <v>PLNT</v>
          </cell>
          <cell r="J1764" t="str">
            <v>PLNT</v>
          </cell>
          <cell r="K1764" t="str">
            <v>PLNT</v>
          </cell>
          <cell r="L1764" t="str">
            <v>PLNT</v>
          </cell>
        </row>
        <row r="1765">
          <cell r="B1765" t="str">
            <v>P</v>
          </cell>
          <cell r="C1765" t="str">
            <v>P</v>
          </cell>
          <cell r="D1765" t="str">
            <v>P</v>
          </cell>
          <cell r="E1765" t="str">
            <v>P</v>
          </cell>
          <cell r="F1765" t="str">
            <v>P</v>
          </cell>
          <cell r="H1765" t="str">
            <v>PLNT</v>
          </cell>
          <cell r="I1765" t="str">
            <v>PLNT</v>
          </cell>
          <cell r="J1765" t="str">
            <v>PLNT</v>
          </cell>
          <cell r="K1765" t="str">
            <v>PLNT</v>
          </cell>
          <cell r="L1765" t="str">
            <v>PLNT</v>
          </cell>
        </row>
        <row r="1766">
          <cell r="B1766" t="str">
            <v>T</v>
          </cell>
          <cell r="C1766" t="str">
            <v>T</v>
          </cell>
          <cell r="D1766" t="str">
            <v>T</v>
          </cell>
          <cell r="E1766" t="str">
            <v>T</v>
          </cell>
          <cell r="F1766" t="str">
            <v>T</v>
          </cell>
          <cell r="H1766" t="str">
            <v>PLNT</v>
          </cell>
          <cell r="I1766" t="str">
            <v>PLNT</v>
          </cell>
          <cell r="J1766" t="str">
            <v>PLNT</v>
          </cell>
          <cell r="K1766" t="str">
            <v>PLNT</v>
          </cell>
          <cell r="L1766" t="str">
            <v>PLNT</v>
          </cell>
        </row>
        <row r="1767">
          <cell r="B1767" t="str">
            <v>P</v>
          </cell>
          <cell r="C1767" t="str">
            <v>P</v>
          </cell>
          <cell r="D1767" t="str">
            <v>P</v>
          </cell>
          <cell r="E1767" t="str">
            <v>P</v>
          </cell>
          <cell r="F1767" t="str">
            <v>P</v>
          </cell>
          <cell r="H1767" t="str">
            <v>PLNT</v>
          </cell>
          <cell r="I1767" t="str">
            <v>PLNT</v>
          </cell>
          <cell r="J1767" t="str">
            <v>PLNT</v>
          </cell>
          <cell r="K1767" t="str">
            <v>PLNT</v>
          </cell>
          <cell r="L1767" t="str">
            <v>PLNT</v>
          </cell>
        </row>
        <row r="1768">
          <cell r="B1768" t="str">
            <v>P</v>
          </cell>
          <cell r="C1768" t="str">
            <v>P</v>
          </cell>
          <cell r="D1768" t="str">
            <v>P</v>
          </cell>
          <cell r="E1768" t="str">
            <v>P</v>
          </cell>
          <cell r="F1768" t="str">
            <v>P</v>
          </cell>
          <cell r="H1768" t="str">
            <v>PLNT</v>
          </cell>
          <cell r="I1768" t="str">
            <v>PLNT</v>
          </cell>
          <cell r="J1768" t="str">
            <v>PLNT</v>
          </cell>
          <cell r="K1768" t="str">
            <v>PLNT</v>
          </cell>
          <cell r="L1768" t="str">
            <v>PLNT</v>
          </cell>
        </row>
        <row r="1769">
          <cell r="B1769" t="str">
            <v>P</v>
          </cell>
          <cell r="C1769" t="str">
            <v>P</v>
          </cell>
          <cell r="D1769" t="str">
            <v>P</v>
          </cell>
          <cell r="E1769" t="str">
            <v>P</v>
          </cell>
          <cell r="F1769" t="str">
            <v>P</v>
          </cell>
          <cell r="H1769" t="str">
            <v>PLNT</v>
          </cell>
          <cell r="I1769" t="str">
            <v>PLNT</v>
          </cell>
          <cell r="J1769" t="str">
            <v>PLNT</v>
          </cell>
          <cell r="K1769" t="str">
            <v>PLNT</v>
          </cell>
          <cell r="L1769" t="str">
            <v>PLNT</v>
          </cell>
        </row>
        <row r="1770"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B1772">
            <v>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B1775">
            <v>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B1776" t="str">
            <v>P</v>
          </cell>
          <cell r="C1776" t="str">
            <v>P</v>
          </cell>
          <cell r="D1776" t="str">
            <v>P</v>
          </cell>
          <cell r="E1776" t="str">
            <v>P</v>
          </cell>
          <cell r="F1776" t="str">
            <v>P</v>
          </cell>
          <cell r="H1776" t="str">
            <v>PLNT</v>
          </cell>
          <cell r="I1776" t="str">
            <v>PLNT</v>
          </cell>
          <cell r="J1776" t="str">
            <v>PLNT</v>
          </cell>
          <cell r="K1776" t="str">
            <v>PLNT</v>
          </cell>
          <cell r="L1776" t="str">
            <v>PLNT</v>
          </cell>
        </row>
        <row r="1777"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B1780">
            <v>0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B1781" t="str">
            <v>P</v>
          </cell>
          <cell r="C1781" t="str">
            <v>P</v>
          </cell>
          <cell r="D1781" t="str">
            <v>P</v>
          </cell>
          <cell r="E1781" t="str">
            <v>P</v>
          </cell>
          <cell r="F1781" t="str">
            <v>P</v>
          </cell>
          <cell r="H1781" t="str">
            <v>PLNT</v>
          </cell>
          <cell r="I1781" t="str">
            <v>PLNT</v>
          </cell>
          <cell r="J1781" t="str">
            <v>PLNT</v>
          </cell>
          <cell r="K1781" t="str">
            <v>PLNT</v>
          </cell>
          <cell r="L1781" t="str">
            <v>PLNT</v>
          </cell>
        </row>
        <row r="1782">
          <cell r="B1782" t="str">
            <v>P</v>
          </cell>
          <cell r="C1782" t="str">
            <v>P</v>
          </cell>
          <cell r="D1782" t="str">
            <v>P</v>
          </cell>
          <cell r="E1782" t="str">
            <v>P</v>
          </cell>
          <cell r="F1782" t="str">
            <v>P</v>
          </cell>
          <cell r="H1782" t="str">
            <v>PLNT</v>
          </cell>
          <cell r="I1782" t="str">
            <v>PLNT</v>
          </cell>
          <cell r="J1782" t="str">
            <v>PLNT</v>
          </cell>
          <cell r="K1782" t="str">
            <v>PLNT</v>
          </cell>
          <cell r="L1782" t="str">
            <v>PLNT</v>
          </cell>
        </row>
        <row r="1783">
          <cell r="B1783" t="str">
            <v>P</v>
          </cell>
          <cell r="C1783" t="str">
            <v>P</v>
          </cell>
          <cell r="D1783" t="str">
            <v>P</v>
          </cell>
          <cell r="E1783" t="str">
            <v>P</v>
          </cell>
          <cell r="F1783" t="str">
            <v>P</v>
          </cell>
          <cell r="H1783" t="str">
            <v>PLNT</v>
          </cell>
          <cell r="I1783" t="str">
            <v>PLNT</v>
          </cell>
          <cell r="J1783" t="str">
            <v>PLNT</v>
          </cell>
          <cell r="K1783" t="str">
            <v>PLNT</v>
          </cell>
          <cell r="L1783" t="str">
            <v>PLNT</v>
          </cell>
        </row>
        <row r="1784"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B1787" t="str">
            <v>P</v>
          </cell>
          <cell r="C1787" t="str">
            <v>P</v>
          </cell>
          <cell r="D1787" t="str">
            <v>P</v>
          </cell>
          <cell r="E1787" t="str">
            <v>P</v>
          </cell>
          <cell r="F1787" t="str">
            <v>P</v>
          </cell>
          <cell r="H1787" t="str">
            <v>PLNT</v>
          </cell>
          <cell r="I1787" t="str">
            <v>PLNT</v>
          </cell>
          <cell r="J1787" t="str">
            <v>PLNT</v>
          </cell>
          <cell r="K1787" t="str">
            <v>PLNT</v>
          </cell>
          <cell r="L1787" t="str">
            <v>PLNT</v>
          </cell>
        </row>
        <row r="1788">
          <cell r="B1788" t="str">
            <v>P</v>
          </cell>
          <cell r="C1788" t="str">
            <v>P</v>
          </cell>
          <cell r="D1788" t="str">
            <v>P</v>
          </cell>
          <cell r="E1788" t="str">
            <v>P</v>
          </cell>
          <cell r="F1788" t="str">
            <v>P</v>
          </cell>
          <cell r="H1788" t="str">
            <v>PLNT</v>
          </cell>
          <cell r="I1788" t="str">
            <v>PLNT</v>
          </cell>
          <cell r="J1788" t="str">
            <v>PLNT</v>
          </cell>
          <cell r="K1788" t="str">
            <v>PLNT</v>
          </cell>
          <cell r="L1788" t="str">
            <v>PLNT</v>
          </cell>
        </row>
        <row r="1789"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B1792" t="str">
            <v>P</v>
          </cell>
          <cell r="C1792" t="str">
            <v>P</v>
          </cell>
          <cell r="D1792" t="str">
            <v>P</v>
          </cell>
          <cell r="E1792" t="str">
            <v>P</v>
          </cell>
          <cell r="F1792" t="str">
            <v>P</v>
          </cell>
          <cell r="H1792" t="str">
            <v>PLNT</v>
          </cell>
          <cell r="I1792" t="str">
            <v>PLNT</v>
          </cell>
          <cell r="J1792" t="str">
            <v>PLNT</v>
          </cell>
          <cell r="K1792" t="str">
            <v>PLNT</v>
          </cell>
          <cell r="L1792" t="str">
            <v>PLNT</v>
          </cell>
        </row>
        <row r="1793">
          <cell r="B1793">
            <v>0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B1797">
            <v>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B1802" t="str">
            <v>CUST</v>
          </cell>
          <cell r="C1802" t="str">
            <v>CUST</v>
          </cell>
          <cell r="D1802" t="str">
            <v>CUST</v>
          </cell>
          <cell r="E1802" t="str">
            <v>CUST</v>
          </cell>
          <cell r="F1802" t="str">
            <v>CUST</v>
          </cell>
          <cell r="H1802" t="str">
            <v>CUST</v>
          </cell>
          <cell r="I1802" t="str">
            <v>CUST</v>
          </cell>
          <cell r="J1802" t="str">
            <v>CUST</v>
          </cell>
          <cell r="K1802" t="str">
            <v>CUST</v>
          </cell>
          <cell r="L1802" t="str">
            <v>CUST</v>
          </cell>
        </row>
        <row r="1803">
          <cell r="B1803">
            <v>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B1806" t="str">
            <v>PTD</v>
          </cell>
          <cell r="C1806" t="str">
            <v>PTD</v>
          </cell>
          <cell r="D1806" t="str">
            <v>PTD</v>
          </cell>
          <cell r="E1806" t="str">
            <v>PTD</v>
          </cell>
          <cell r="F1806" t="str">
            <v>PTD</v>
          </cell>
          <cell r="H1806" t="str">
            <v>PLNT</v>
          </cell>
          <cell r="I1806" t="str">
            <v>PLNT</v>
          </cell>
          <cell r="J1806" t="str">
            <v>PLNT</v>
          </cell>
          <cell r="K1806" t="str">
            <v>PLNT</v>
          </cell>
          <cell r="L1806" t="str">
            <v>PLNT</v>
          </cell>
        </row>
        <row r="1807"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B1810" t="str">
            <v>PTD</v>
          </cell>
          <cell r="C1810" t="str">
            <v>PTD</v>
          </cell>
          <cell r="D1810" t="str">
            <v>PTD</v>
          </cell>
          <cell r="E1810" t="str">
            <v>PTD</v>
          </cell>
          <cell r="F1810" t="str">
            <v>PTD</v>
          </cell>
          <cell r="H1810" t="str">
            <v>PLNT</v>
          </cell>
          <cell r="I1810" t="str">
            <v>PLNT</v>
          </cell>
          <cell r="J1810" t="str">
            <v>PLNT</v>
          </cell>
          <cell r="K1810" t="str">
            <v>PLNT</v>
          </cell>
          <cell r="L1810" t="str">
            <v>PLNT</v>
          </cell>
        </row>
        <row r="1811"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B1814" t="str">
            <v>P</v>
          </cell>
          <cell r="C1814" t="str">
            <v>P</v>
          </cell>
          <cell r="D1814" t="str">
            <v>P</v>
          </cell>
          <cell r="E1814" t="str">
            <v>P</v>
          </cell>
          <cell r="F1814" t="str">
            <v>P</v>
          </cell>
          <cell r="H1814" t="str">
            <v>PLNT</v>
          </cell>
          <cell r="I1814" t="str">
            <v>PLNT</v>
          </cell>
          <cell r="J1814" t="str">
            <v>PLNT</v>
          </cell>
          <cell r="K1814" t="str">
            <v>PLNT</v>
          </cell>
          <cell r="L1814" t="str">
            <v>PLNT</v>
          </cell>
        </row>
        <row r="1815">
          <cell r="B1815" t="str">
            <v>PTD</v>
          </cell>
          <cell r="C1815" t="str">
            <v>PTD</v>
          </cell>
          <cell r="D1815" t="str">
            <v>PTD</v>
          </cell>
          <cell r="E1815" t="str">
            <v>PTD</v>
          </cell>
          <cell r="F1815" t="str">
            <v>PTD</v>
          </cell>
          <cell r="H1815" t="str">
            <v>PLNT</v>
          </cell>
          <cell r="I1815" t="str">
            <v>PLNT</v>
          </cell>
          <cell r="J1815" t="str">
            <v>PLNT</v>
          </cell>
          <cell r="K1815" t="str">
            <v>PLNT</v>
          </cell>
          <cell r="L1815" t="str">
            <v>PLNT</v>
          </cell>
        </row>
        <row r="1816"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B1817">
            <v>0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B1818">
            <v>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B1820" t="str">
            <v>P</v>
          </cell>
          <cell r="C1820" t="str">
            <v>P</v>
          </cell>
          <cell r="D1820" t="str">
            <v>P</v>
          </cell>
          <cell r="E1820" t="str">
            <v>P</v>
          </cell>
          <cell r="F1820" t="str">
            <v>P</v>
          </cell>
          <cell r="H1820" t="str">
            <v>PLNT</v>
          </cell>
          <cell r="I1820" t="str">
            <v>PLNT</v>
          </cell>
          <cell r="J1820" t="str">
            <v>PLNT</v>
          </cell>
          <cell r="K1820" t="str">
            <v>PLNT</v>
          </cell>
          <cell r="L1820" t="str">
            <v>PLNT</v>
          </cell>
        </row>
        <row r="1821"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B1822">
            <v>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B1823">
            <v>0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B1824" t="str">
            <v>P</v>
          </cell>
          <cell r="C1824" t="str">
            <v>P</v>
          </cell>
          <cell r="D1824" t="str">
            <v>P</v>
          </cell>
          <cell r="E1824" t="str">
            <v>P</v>
          </cell>
          <cell r="F1824" t="str">
            <v>P</v>
          </cell>
          <cell r="H1824" t="str">
            <v>PLNT</v>
          </cell>
          <cell r="I1824" t="str">
            <v>PLNT</v>
          </cell>
          <cell r="J1824" t="str">
            <v>PLNT</v>
          </cell>
          <cell r="K1824" t="str">
            <v>PLNT</v>
          </cell>
          <cell r="L1824" t="str">
            <v>PLNT</v>
          </cell>
        </row>
        <row r="1825"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B1828" t="str">
            <v>PTD</v>
          </cell>
          <cell r="C1828" t="str">
            <v>PTD</v>
          </cell>
          <cell r="D1828" t="str">
            <v>PTD</v>
          </cell>
          <cell r="E1828" t="str">
            <v>PTD</v>
          </cell>
          <cell r="F1828" t="str">
            <v>PTD</v>
          </cell>
          <cell r="H1828" t="str">
            <v>PLNT</v>
          </cell>
          <cell r="I1828" t="str">
            <v>PLNT</v>
          </cell>
          <cell r="J1828" t="str">
            <v>PLNT</v>
          </cell>
          <cell r="K1828" t="str">
            <v>PLNT</v>
          </cell>
          <cell r="L1828" t="str">
            <v>PLNT</v>
          </cell>
        </row>
        <row r="1829">
          <cell r="B1829" t="str">
            <v>P</v>
          </cell>
          <cell r="C1829" t="str">
            <v>P</v>
          </cell>
          <cell r="D1829" t="str">
            <v>P</v>
          </cell>
          <cell r="E1829" t="str">
            <v>P</v>
          </cell>
          <cell r="F1829" t="str">
            <v>P</v>
          </cell>
          <cell r="H1829" t="str">
            <v>PLNT</v>
          </cell>
          <cell r="I1829" t="str">
            <v>PLNT</v>
          </cell>
          <cell r="J1829" t="str">
            <v>PLNT</v>
          </cell>
          <cell r="K1829" t="str">
            <v>PLNT</v>
          </cell>
          <cell r="L1829" t="str">
            <v>PLNT</v>
          </cell>
        </row>
        <row r="1830">
          <cell r="B1830">
            <v>0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B1832" t="str">
            <v>P</v>
          </cell>
          <cell r="C1832" t="str">
            <v>P</v>
          </cell>
          <cell r="D1832" t="str">
            <v>P</v>
          </cell>
          <cell r="E1832" t="str">
            <v>P</v>
          </cell>
          <cell r="F1832" t="str">
            <v>P</v>
          </cell>
          <cell r="H1832" t="str">
            <v>PLNT</v>
          </cell>
          <cell r="I1832" t="str">
            <v>PLNT</v>
          </cell>
          <cell r="J1832" t="str">
            <v>PLNT</v>
          </cell>
          <cell r="K1832" t="str">
            <v>PLNT</v>
          </cell>
          <cell r="L1832" t="str">
            <v>PLNT</v>
          </cell>
        </row>
        <row r="1833">
          <cell r="B1833" t="str">
            <v>P</v>
          </cell>
          <cell r="C1833" t="str">
            <v>P</v>
          </cell>
          <cell r="D1833" t="str">
            <v>P</v>
          </cell>
          <cell r="E1833" t="str">
            <v>P</v>
          </cell>
          <cell r="F1833" t="str">
            <v>P</v>
          </cell>
          <cell r="H1833" t="str">
            <v>PLNT</v>
          </cell>
          <cell r="I1833" t="str">
            <v>PLNT</v>
          </cell>
          <cell r="J1833" t="str">
            <v>PLNT</v>
          </cell>
          <cell r="K1833" t="str">
            <v>PLNT</v>
          </cell>
          <cell r="L1833" t="str">
            <v>PLNT</v>
          </cell>
        </row>
        <row r="1834">
          <cell r="B1834">
            <v>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B1835">
            <v>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B1837" t="str">
            <v>DPW</v>
          </cell>
          <cell r="C1837" t="str">
            <v>DPW</v>
          </cell>
          <cell r="D1837" t="str">
            <v>DPW</v>
          </cell>
          <cell r="E1837" t="str">
            <v>DPW</v>
          </cell>
          <cell r="F1837" t="str">
            <v>DPW</v>
          </cell>
          <cell r="H1837" t="str">
            <v>PLNT</v>
          </cell>
          <cell r="I1837" t="str">
            <v>PLNT</v>
          </cell>
          <cell r="J1837" t="str">
            <v>PLNT</v>
          </cell>
          <cell r="K1837" t="str">
            <v>PLNT</v>
          </cell>
          <cell r="L1837" t="str">
            <v>PLNT</v>
          </cell>
        </row>
        <row r="1838">
          <cell r="B1838" t="str">
            <v>DPW</v>
          </cell>
          <cell r="C1838" t="str">
            <v>DPW</v>
          </cell>
          <cell r="D1838" t="str">
            <v>DPW</v>
          </cell>
          <cell r="E1838" t="str">
            <v>DPW</v>
          </cell>
          <cell r="F1838" t="str">
            <v>DPW</v>
          </cell>
          <cell r="H1838" t="str">
            <v>PLNT</v>
          </cell>
          <cell r="I1838" t="str">
            <v>PLNT</v>
          </cell>
          <cell r="J1838" t="str">
            <v>PLNT</v>
          </cell>
          <cell r="K1838" t="str">
            <v>PLNT</v>
          </cell>
          <cell r="L1838" t="str">
            <v>PLNT</v>
          </cell>
        </row>
        <row r="1839">
          <cell r="B1839" t="str">
            <v>T</v>
          </cell>
          <cell r="C1839" t="str">
            <v>T</v>
          </cell>
          <cell r="D1839" t="str">
            <v>T</v>
          </cell>
          <cell r="E1839" t="str">
            <v>T</v>
          </cell>
          <cell r="F1839" t="str">
            <v>T</v>
          </cell>
          <cell r="H1839" t="str">
            <v>PLNT</v>
          </cell>
          <cell r="I1839" t="str">
            <v>PLNT</v>
          </cell>
          <cell r="J1839" t="str">
            <v>PLNT</v>
          </cell>
          <cell r="K1839" t="str">
            <v>PLNT</v>
          </cell>
          <cell r="L1839" t="str">
            <v>PLNT</v>
          </cell>
        </row>
        <row r="1840">
          <cell r="B1840" t="str">
            <v>DPW</v>
          </cell>
          <cell r="C1840" t="str">
            <v>DPW</v>
          </cell>
          <cell r="D1840" t="str">
            <v>DPW</v>
          </cell>
          <cell r="E1840" t="str">
            <v>DPW</v>
          </cell>
          <cell r="F1840" t="str">
            <v>DPW</v>
          </cell>
          <cell r="H1840" t="str">
            <v>PLNT</v>
          </cell>
          <cell r="I1840" t="str">
            <v>PLNT</v>
          </cell>
          <cell r="J1840" t="str">
            <v>PLNT</v>
          </cell>
          <cell r="K1840" t="str">
            <v>PLNT</v>
          </cell>
          <cell r="L1840" t="str">
            <v>PLNT</v>
          </cell>
        </row>
        <row r="1841">
          <cell r="B1841" t="str">
            <v>CUST</v>
          </cell>
          <cell r="C1841" t="str">
            <v>CUST</v>
          </cell>
          <cell r="D1841" t="str">
            <v>CUST</v>
          </cell>
          <cell r="E1841" t="str">
            <v>CUST</v>
          </cell>
          <cell r="F1841" t="str">
            <v>CUST</v>
          </cell>
          <cell r="H1841" t="str">
            <v>CUST</v>
          </cell>
          <cell r="I1841" t="str">
            <v>CUST</v>
          </cell>
          <cell r="J1841" t="str">
            <v>CUST</v>
          </cell>
          <cell r="K1841" t="str">
            <v>CUST</v>
          </cell>
          <cell r="L1841" t="str">
            <v>CUST</v>
          </cell>
        </row>
        <row r="1842"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</row>
        <row r="1843"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B1844">
            <v>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B1845" t="str">
            <v>P</v>
          </cell>
          <cell r="C1845" t="str">
            <v>P</v>
          </cell>
          <cell r="D1845" t="str">
            <v>P</v>
          </cell>
          <cell r="E1845" t="str">
            <v>P</v>
          </cell>
          <cell r="F1845" t="str">
            <v>P</v>
          </cell>
          <cell r="H1845" t="str">
            <v>PLNT</v>
          </cell>
          <cell r="I1845" t="str">
            <v>PLNT</v>
          </cell>
          <cell r="J1845" t="str">
            <v>PLNT</v>
          </cell>
          <cell r="K1845" t="str">
            <v>PLNT</v>
          </cell>
          <cell r="L1845" t="str">
            <v>PLNT</v>
          </cell>
        </row>
        <row r="1846"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</row>
        <row r="1847"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</row>
        <row r="1849">
          <cell r="B1849" t="str">
            <v>P</v>
          </cell>
          <cell r="C1849" t="str">
            <v>P</v>
          </cell>
          <cell r="D1849" t="str">
            <v>P</v>
          </cell>
          <cell r="E1849" t="str">
            <v>P</v>
          </cell>
          <cell r="F1849" t="str">
            <v>P</v>
          </cell>
          <cell r="H1849" t="str">
            <v>PLNT</v>
          </cell>
          <cell r="I1849" t="str">
            <v>PLNT</v>
          </cell>
          <cell r="J1849" t="str">
            <v>PLNT</v>
          </cell>
          <cell r="K1849" t="str">
            <v>PLNT</v>
          </cell>
          <cell r="L1849" t="str">
            <v>PLNT</v>
          </cell>
        </row>
        <row r="1850">
          <cell r="B1850" t="str">
            <v>LABOR</v>
          </cell>
          <cell r="C1850" t="str">
            <v>LABOR</v>
          </cell>
          <cell r="D1850" t="str">
            <v>LABOR</v>
          </cell>
          <cell r="E1850" t="str">
            <v>LABOR</v>
          </cell>
          <cell r="F1850" t="str">
            <v>LABOR</v>
          </cell>
          <cell r="H1850" t="str">
            <v>PLNT</v>
          </cell>
          <cell r="I1850" t="str">
            <v>PLNT</v>
          </cell>
          <cell r="J1850" t="str">
            <v>PLNT</v>
          </cell>
          <cell r="K1850" t="str">
            <v>PLNT</v>
          </cell>
          <cell r="L1850" t="str">
            <v>PLNT</v>
          </cell>
        </row>
        <row r="1851">
          <cell r="B1851" t="str">
            <v>P</v>
          </cell>
          <cell r="C1851" t="str">
            <v>P</v>
          </cell>
          <cell r="D1851" t="str">
            <v>P</v>
          </cell>
          <cell r="E1851" t="str">
            <v>P</v>
          </cell>
          <cell r="F1851" t="str">
            <v>P</v>
          </cell>
          <cell r="H1851" t="str">
            <v>PLNT</v>
          </cell>
          <cell r="I1851" t="str">
            <v>PLNT</v>
          </cell>
          <cell r="J1851" t="str">
            <v>PLNT</v>
          </cell>
          <cell r="K1851" t="str">
            <v>PLNT</v>
          </cell>
          <cell r="L1851" t="str">
            <v>PLNT</v>
          </cell>
        </row>
        <row r="1852">
          <cell r="B1852" t="str">
            <v>P</v>
          </cell>
          <cell r="C1852" t="str">
            <v>P</v>
          </cell>
          <cell r="D1852" t="str">
            <v>P</v>
          </cell>
          <cell r="E1852" t="str">
            <v>P</v>
          </cell>
          <cell r="F1852" t="str">
            <v>P</v>
          </cell>
          <cell r="H1852" t="str">
            <v>PLNT</v>
          </cell>
          <cell r="I1852" t="str">
            <v>PLNT</v>
          </cell>
          <cell r="J1852" t="str">
            <v>PLNT</v>
          </cell>
          <cell r="K1852" t="str">
            <v>PLNT</v>
          </cell>
          <cell r="L1852" t="str">
            <v>PLNT</v>
          </cell>
        </row>
        <row r="1853">
          <cell r="B1853">
            <v>0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</row>
        <row r="1854">
          <cell r="B1854">
            <v>0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</row>
        <row r="1855"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B1856" t="str">
            <v>P</v>
          </cell>
          <cell r="C1856" t="str">
            <v>P</v>
          </cell>
          <cell r="D1856" t="str">
            <v>P</v>
          </cell>
          <cell r="E1856" t="str">
            <v>P</v>
          </cell>
          <cell r="F1856" t="str">
            <v>P</v>
          </cell>
          <cell r="H1856" t="str">
            <v>PLNT</v>
          </cell>
          <cell r="I1856" t="str">
            <v>PLNT</v>
          </cell>
          <cell r="J1856" t="str">
            <v>PLNT</v>
          </cell>
          <cell r="K1856" t="str">
            <v>PLNT</v>
          </cell>
          <cell r="L1856" t="str">
            <v>PLNT</v>
          </cell>
        </row>
        <row r="1857">
          <cell r="B1857" t="str">
            <v>CUST</v>
          </cell>
          <cell r="C1857" t="str">
            <v>CUST</v>
          </cell>
          <cell r="D1857" t="str">
            <v>CUST</v>
          </cell>
          <cell r="E1857" t="str">
            <v>CUST</v>
          </cell>
          <cell r="F1857" t="str">
            <v>CUST</v>
          </cell>
          <cell r="H1857" t="str">
            <v>PLNT</v>
          </cell>
          <cell r="I1857" t="str">
            <v>PLNT</v>
          </cell>
          <cell r="J1857" t="str">
            <v>PLNT</v>
          </cell>
          <cell r="K1857" t="str">
            <v>PLNT</v>
          </cell>
          <cell r="L1857" t="str">
            <v>PLNT</v>
          </cell>
        </row>
        <row r="1858">
          <cell r="B1858" t="str">
            <v>LABOR</v>
          </cell>
          <cell r="C1858" t="str">
            <v>LABOR</v>
          </cell>
          <cell r="D1858" t="str">
            <v>LABOR</v>
          </cell>
          <cell r="E1858" t="str">
            <v>LABOR</v>
          </cell>
          <cell r="F1858" t="str">
            <v>LABOR</v>
          </cell>
          <cell r="H1858" t="str">
            <v>DISom</v>
          </cell>
          <cell r="I1858" t="str">
            <v>DISom</v>
          </cell>
          <cell r="J1858" t="str">
            <v>DISom</v>
          </cell>
          <cell r="K1858" t="str">
            <v>DISom</v>
          </cell>
          <cell r="L1858" t="str">
            <v>DISom</v>
          </cell>
        </row>
        <row r="1859">
          <cell r="B1859" t="str">
            <v>P</v>
          </cell>
          <cell r="C1859" t="str">
            <v>P</v>
          </cell>
          <cell r="D1859" t="str">
            <v>P</v>
          </cell>
          <cell r="E1859" t="str">
            <v>P</v>
          </cell>
          <cell r="F1859" t="str">
            <v>P</v>
          </cell>
          <cell r="H1859" t="str">
            <v>PLNT</v>
          </cell>
          <cell r="I1859" t="str">
            <v>PLNT</v>
          </cell>
          <cell r="J1859" t="str">
            <v>PLNT</v>
          </cell>
          <cell r="K1859" t="str">
            <v>PLNT</v>
          </cell>
          <cell r="L1859" t="str">
            <v>PLNT</v>
          </cell>
        </row>
        <row r="1860">
          <cell r="B1860" t="str">
            <v>IBT</v>
          </cell>
          <cell r="C1860" t="str">
            <v>IBT</v>
          </cell>
          <cell r="D1860" t="str">
            <v>IBT</v>
          </cell>
          <cell r="E1860" t="str">
            <v>IBT</v>
          </cell>
          <cell r="F1860" t="str">
            <v>IBT</v>
          </cell>
          <cell r="H1860" t="str">
            <v>PLNT</v>
          </cell>
          <cell r="I1860" t="str">
            <v>PLNT</v>
          </cell>
          <cell r="J1860" t="str">
            <v>PLNT</v>
          </cell>
          <cell r="K1860" t="str">
            <v>PLNT</v>
          </cell>
          <cell r="L1860" t="str">
            <v>PLNT</v>
          </cell>
        </row>
        <row r="1861">
          <cell r="B1861" t="str">
            <v>P</v>
          </cell>
          <cell r="C1861" t="str">
            <v>P</v>
          </cell>
          <cell r="D1861" t="str">
            <v>P</v>
          </cell>
          <cell r="E1861" t="str">
            <v>P</v>
          </cell>
          <cell r="F1861" t="str">
            <v>P</v>
          </cell>
          <cell r="H1861" t="str">
            <v>PLNT</v>
          </cell>
          <cell r="I1861" t="str">
            <v>PLNT</v>
          </cell>
          <cell r="J1861" t="str">
            <v>PLNT</v>
          </cell>
          <cell r="K1861" t="str">
            <v>PLNT</v>
          </cell>
          <cell r="L1861" t="str">
            <v>PLNT</v>
          </cell>
        </row>
        <row r="1862">
          <cell r="B1862" t="str">
            <v>P</v>
          </cell>
          <cell r="C1862" t="str">
            <v>P</v>
          </cell>
          <cell r="D1862" t="str">
            <v>P</v>
          </cell>
          <cell r="E1862" t="str">
            <v>P</v>
          </cell>
          <cell r="F1862" t="str">
            <v>P</v>
          </cell>
          <cell r="H1862" t="str">
            <v>PLNT</v>
          </cell>
          <cell r="I1862" t="str">
            <v>PLNT</v>
          </cell>
          <cell r="J1862" t="str">
            <v>PLNT</v>
          </cell>
          <cell r="K1862" t="str">
            <v>PLNT</v>
          </cell>
          <cell r="L1862" t="str">
            <v>PLNT</v>
          </cell>
        </row>
        <row r="1863">
          <cell r="B1863" t="str">
            <v>CUST</v>
          </cell>
          <cell r="C1863" t="str">
            <v>CUST</v>
          </cell>
          <cell r="D1863" t="str">
            <v>CUST</v>
          </cell>
          <cell r="E1863" t="str">
            <v>CUST</v>
          </cell>
          <cell r="F1863" t="str">
            <v>CUST</v>
          </cell>
          <cell r="H1863" t="str">
            <v>CUST</v>
          </cell>
          <cell r="I1863" t="str">
            <v>CUST</v>
          </cell>
          <cell r="J1863" t="str">
            <v>CUST</v>
          </cell>
          <cell r="K1863" t="str">
            <v>CUST</v>
          </cell>
          <cell r="L1863" t="str">
            <v>CUST</v>
          </cell>
        </row>
        <row r="1864">
          <cell r="B1864" t="str">
            <v>P</v>
          </cell>
          <cell r="C1864" t="str">
            <v>P</v>
          </cell>
          <cell r="D1864" t="str">
            <v>P</v>
          </cell>
          <cell r="E1864" t="str">
            <v>P</v>
          </cell>
          <cell r="F1864" t="str">
            <v>P</v>
          </cell>
          <cell r="H1864" t="str">
            <v>PLNT</v>
          </cell>
          <cell r="I1864" t="str">
            <v>PLNT</v>
          </cell>
          <cell r="J1864" t="str">
            <v>PLNT</v>
          </cell>
          <cell r="K1864" t="str">
            <v>PLNT</v>
          </cell>
          <cell r="L1864" t="str">
            <v>PLNT</v>
          </cell>
        </row>
        <row r="1865">
          <cell r="B1865" t="str">
            <v>P</v>
          </cell>
          <cell r="C1865" t="str">
            <v>P</v>
          </cell>
          <cell r="D1865" t="str">
            <v>P</v>
          </cell>
          <cell r="E1865" t="str">
            <v>P</v>
          </cell>
          <cell r="F1865" t="str">
            <v>P</v>
          </cell>
          <cell r="H1865" t="str">
            <v>PLNT</v>
          </cell>
          <cell r="I1865" t="str">
            <v>PLNT</v>
          </cell>
          <cell r="J1865" t="str">
            <v>PLNT</v>
          </cell>
          <cell r="K1865" t="str">
            <v>PLNT</v>
          </cell>
          <cell r="L1865" t="str">
            <v>PLNT</v>
          </cell>
        </row>
        <row r="1866">
          <cell r="B1866" t="str">
            <v>P</v>
          </cell>
          <cell r="C1866" t="str">
            <v>P</v>
          </cell>
          <cell r="D1866" t="str">
            <v>P</v>
          </cell>
          <cell r="E1866" t="str">
            <v>P</v>
          </cell>
          <cell r="F1866" t="str">
            <v>P</v>
          </cell>
          <cell r="H1866" t="str">
            <v>PLNT</v>
          </cell>
          <cell r="I1866" t="str">
            <v>PLNT</v>
          </cell>
          <cell r="J1866" t="str">
            <v>PLNT</v>
          </cell>
          <cell r="K1866" t="str">
            <v>PLNT</v>
          </cell>
          <cell r="L1866" t="str">
            <v>PLNT</v>
          </cell>
        </row>
        <row r="1867">
          <cell r="B1867" t="str">
            <v>PTD</v>
          </cell>
          <cell r="C1867" t="str">
            <v>PTD</v>
          </cell>
          <cell r="D1867" t="str">
            <v>PTD</v>
          </cell>
          <cell r="E1867" t="str">
            <v>PTD</v>
          </cell>
          <cell r="F1867" t="str">
            <v>PTD</v>
          </cell>
          <cell r="H1867" t="str">
            <v>PLNT</v>
          </cell>
          <cell r="I1867" t="str">
            <v>PLNT</v>
          </cell>
          <cell r="J1867" t="str">
            <v>PLNT</v>
          </cell>
          <cell r="K1867" t="str">
            <v>PLNT</v>
          </cell>
          <cell r="L1867" t="str">
            <v>PLNT</v>
          </cell>
        </row>
        <row r="1868">
          <cell r="B1868" t="str">
            <v>DPW</v>
          </cell>
          <cell r="C1868" t="str">
            <v>DPW</v>
          </cell>
          <cell r="D1868" t="str">
            <v>DPW</v>
          </cell>
          <cell r="E1868" t="str">
            <v>DPW</v>
          </cell>
          <cell r="F1868" t="str">
            <v>DPW</v>
          </cell>
          <cell r="H1868" t="str">
            <v>PLNT</v>
          </cell>
          <cell r="I1868" t="str">
            <v>PLNT</v>
          </cell>
          <cell r="J1868" t="str">
            <v>PLNT</v>
          </cell>
          <cell r="K1868" t="str">
            <v>PLNT</v>
          </cell>
          <cell r="L1868" t="str">
            <v>PLNT</v>
          </cell>
        </row>
        <row r="1869">
          <cell r="B1869" t="str">
            <v>P</v>
          </cell>
          <cell r="C1869" t="str">
            <v>P</v>
          </cell>
          <cell r="D1869" t="str">
            <v>P</v>
          </cell>
          <cell r="E1869" t="str">
            <v>P</v>
          </cell>
          <cell r="F1869" t="str">
            <v>P</v>
          </cell>
          <cell r="H1869" t="str">
            <v>PLNT</v>
          </cell>
          <cell r="I1869" t="str">
            <v>PLNT</v>
          </cell>
          <cell r="J1869" t="str">
            <v>PLNT</v>
          </cell>
          <cell r="K1869" t="str">
            <v>PLNT</v>
          </cell>
          <cell r="L1869" t="str">
            <v>PLNT</v>
          </cell>
        </row>
        <row r="1870">
          <cell r="B1870" t="str">
            <v xml:space="preserve"> </v>
          </cell>
          <cell r="C1870" t="str">
            <v xml:space="preserve"> </v>
          </cell>
          <cell r="D1870" t="str">
            <v xml:space="preserve"> </v>
          </cell>
          <cell r="E1870" t="str">
            <v xml:space="preserve"> </v>
          </cell>
          <cell r="F1870" t="str">
            <v xml:space="preserve"> 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B1871">
            <v>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B1873" t="str">
            <v>P</v>
          </cell>
          <cell r="C1873" t="str">
            <v>P</v>
          </cell>
          <cell r="D1873" t="str">
            <v>P</v>
          </cell>
          <cell r="E1873" t="str">
            <v>P</v>
          </cell>
          <cell r="F1873" t="str">
            <v>P</v>
          </cell>
          <cell r="H1873" t="str">
            <v>PLNT</v>
          </cell>
          <cell r="I1873" t="str">
            <v>PLNT</v>
          </cell>
          <cell r="J1873" t="str">
            <v>PLNT</v>
          </cell>
          <cell r="K1873" t="str">
            <v>PLNT</v>
          </cell>
          <cell r="L1873" t="str">
            <v>PLNT</v>
          </cell>
        </row>
        <row r="1874">
          <cell r="B1874" t="str">
            <v>PT</v>
          </cell>
          <cell r="C1874" t="str">
            <v>PT</v>
          </cell>
          <cell r="D1874" t="str">
            <v>PT</v>
          </cell>
          <cell r="E1874" t="str">
            <v>PT</v>
          </cell>
          <cell r="F1874" t="str">
            <v>PT</v>
          </cell>
          <cell r="H1874" t="str">
            <v>PLNT</v>
          </cell>
          <cell r="I1874" t="str">
            <v>PLNT</v>
          </cell>
          <cell r="J1874" t="str">
            <v>PLNT</v>
          </cell>
          <cell r="K1874" t="str">
            <v>PLNT</v>
          </cell>
          <cell r="L1874" t="str">
            <v>PLNT</v>
          </cell>
        </row>
        <row r="1875">
          <cell r="B1875" t="str">
            <v>T</v>
          </cell>
          <cell r="C1875" t="str">
            <v>T</v>
          </cell>
          <cell r="D1875" t="str">
            <v>T</v>
          </cell>
          <cell r="E1875" t="str">
            <v>T</v>
          </cell>
          <cell r="F1875" t="str">
            <v>T</v>
          </cell>
          <cell r="H1875" t="str">
            <v>PLNT</v>
          </cell>
          <cell r="I1875" t="str">
            <v>PLNT</v>
          </cell>
          <cell r="J1875" t="str">
            <v>PLNT</v>
          </cell>
          <cell r="K1875" t="str">
            <v>PLNT</v>
          </cell>
          <cell r="L1875" t="str">
            <v>PLNT</v>
          </cell>
        </row>
        <row r="1876">
          <cell r="B1876">
            <v>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B1877">
            <v>0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B1878">
            <v>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B1879" t="str">
            <v>GP</v>
          </cell>
          <cell r="C1879" t="str">
            <v>GP</v>
          </cell>
          <cell r="D1879" t="str">
            <v>GP</v>
          </cell>
          <cell r="E1879" t="str">
            <v>GP</v>
          </cell>
          <cell r="F1879" t="str">
            <v>GP</v>
          </cell>
          <cell r="H1879" t="str">
            <v>PLNT</v>
          </cell>
          <cell r="I1879" t="str">
            <v>PLNT</v>
          </cell>
          <cell r="J1879" t="str">
            <v>PLNT</v>
          </cell>
          <cell r="K1879" t="str">
            <v>PLNT</v>
          </cell>
          <cell r="L1879" t="str">
            <v>PLNT</v>
          </cell>
        </row>
        <row r="1880">
          <cell r="B1880" t="str">
            <v>ACCMDIT</v>
          </cell>
          <cell r="C1880" t="str">
            <v>ACCMDIT</v>
          </cell>
          <cell r="D1880" t="str">
            <v>ACCMDIT</v>
          </cell>
          <cell r="E1880" t="str">
            <v>ACCMDIT</v>
          </cell>
          <cell r="F1880" t="str">
            <v>ACCMDIT</v>
          </cell>
          <cell r="H1880" t="str">
            <v>PLNT</v>
          </cell>
          <cell r="I1880" t="str">
            <v>PLNT</v>
          </cell>
          <cell r="J1880" t="str">
            <v>PLNT</v>
          </cell>
          <cell r="K1880" t="str">
            <v>PLNT</v>
          </cell>
          <cell r="L1880" t="str">
            <v>PLNT</v>
          </cell>
        </row>
        <row r="1881">
          <cell r="B1881" t="str">
            <v>PT</v>
          </cell>
          <cell r="C1881" t="str">
            <v>PT</v>
          </cell>
          <cell r="D1881" t="str">
            <v>PT</v>
          </cell>
          <cell r="E1881" t="str">
            <v>PT</v>
          </cell>
          <cell r="F1881" t="str">
            <v>PT</v>
          </cell>
          <cell r="H1881" t="str">
            <v>PLNT</v>
          </cell>
          <cell r="I1881" t="str">
            <v>PLNT</v>
          </cell>
          <cell r="J1881" t="str">
            <v>PLNT</v>
          </cell>
          <cell r="K1881" t="str">
            <v>PLNT</v>
          </cell>
          <cell r="L1881" t="str">
            <v>PLNT</v>
          </cell>
        </row>
        <row r="1882">
          <cell r="B1882" t="str">
            <v>LABOR</v>
          </cell>
          <cell r="C1882" t="str">
            <v>LABOR</v>
          </cell>
          <cell r="D1882" t="str">
            <v>LABOR</v>
          </cell>
          <cell r="E1882" t="str">
            <v>LABOR</v>
          </cell>
          <cell r="F1882" t="str">
            <v>LABOR</v>
          </cell>
          <cell r="H1882" t="str">
            <v>DISom</v>
          </cell>
          <cell r="I1882" t="str">
            <v>DISom</v>
          </cell>
          <cell r="J1882" t="str">
            <v>DISom</v>
          </cell>
          <cell r="K1882" t="str">
            <v>DISom</v>
          </cell>
          <cell r="L1882" t="str">
            <v>DISom</v>
          </cell>
        </row>
        <row r="1883">
          <cell r="B1883" t="str">
            <v>PTD</v>
          </cell>
          <cell r="C1883" t="str">
            <v>PTD</v>
          </cell>
          <cell r="D1883" t="str">
            <v>PTD</v>
          </cell>
          <cell r="E1883" t="str">
            <v>PTD</v>
          </cell>
          <cell r="F1883" t="str">
            <v>PTD</v>
          </cell>
          <cell r="H1883" t="str">
            <v>PLNT</v>
          </cell>
          <cell r="I1883" t="str">
            <v>PLNT</v>
          </cell>
          <cell r="J1883" t="str">
            <v>PLNT</v>
          </cell>
          <cell r="K1883" t="str">
            <v>PLNT</v>
          </cell>
          <cell r="L1883" t="str">
            <v>PLNT</v>
          </cell>
        </row>
        <row r="1884">
          <cell r="B1884" t="str">
            <v>DPW</v>
          </cell>
          <cell r="C1884" t="str">
            <v>DPW</v>
          </cell>
          <cell r="D1884" t="str">
            <v>DPW</v>
          </cell>
          <cell r="E1884" t="str">
            <v>DPW</v>
          </cell>
          <cell r="F1884" t="str">
            <v>DPW</v>
          </cell>
          <cell r="H1884" t="str">
            <v>PLNT</v>
          </cell>
          <cell r="I1884" t="str">
            <v>PLNT</v>
          </cell>
          <cell r="J1884" t="str">
            <v>PLNT</v>
          </cell>
          <cell r="K1884" t="str">
            <v>PLNT</v>
          </cell>
          <cell r="L1884" t="str">
            <v>PLNT</v>
          </cell>
        </row>
        <row r="1885">
          <cell r="B1885" t="str">
            <v>P</v>
          </cell>
          <cell r="C1885" t="str">
            <v>P</v>
          </cell>
          <cell r="D1885" t="str">
            <v>P</v>
          </cell>
          <cell r="E1885" t="str">
            <v>P</v>
          </cell>
          <cell r="F1885" t="str">
            <v>P</v>
          </cell>
          <cell r="H1885" t="str">
            <v>PLNT</v>
          </cell>
          <cell r="I1885" t="str">
            <v>PLNT</v>
          </cell>
          <cell r="J1885" t="str">
            <v>PLNT</v>
          </cell>
          <cell r="K1885" t="str">
            <v>PLNT</v>
          </cell>
          <cell r="L1885" t="str">
            <v>PLNT</v>
          </cell>
        </row>
        <row r="1886">
          <cell r="B1886" t="str">
            <v>GP</v>
          </cell>
          <cell r="C1886" t="str">
            <v>GP</v>
          </cell>
          <cell r="D1886" t="str">
            <v>GP</v>
          </cell>
          <cell r="E1886" t="str">
            <v>GP</v>
          </cell>
          <cell r="F1886" t="str">
            <v>GP</v>
          </cell>
          <cell r="H1886" t="str">
            <v>PLNT</v>
          </cell>
          <cell r="I1886" t="str">
            <v>PLNT</v>
          </cell>
          <cell r="J1886" t="str">
            <v>PLNT</v>
          </cell>
          <cell r="K1886" t="str">
            <v>PLNT</v>
          </cell>
          <cell r="L1886" t="str">
            <v>PLNT</v>
          </cell>
        </row>
        <row r="1887">
          <cell r="B1887" t="str">
            <v>TAXDEPR</v>
          </cell>
          <cell r="C1887" t="str">
            <v>TAXDEPR</v>
          </cell>
          <cell r="D1887" t="str">
            <v>TAXDEPR</v>
          </cell>
          <cell r="E1887" t="str">
            <v>TAXDEPR</v>
          </cell>
          <cell r="F1887" t="str">
            <v>TAXDEPR</v>
          </cell>
          <cell r="H1887" t="str">
            <v>PLNT</v>
          </cell>
          <cell r="I1887" t="str">
            <v>PLNT</v>
          </cell>
          <cell r="J1887" t="str">
            <v>PLNT</v>
          </cell>
          <cell r="K1887" t="str">
            <v>PLNT</v>
          </cell>
          <cell r="L1887" t="str">
            <v>PLNT</v>
          </cell>
        </row>
        <row r="1888">
          <cell r="B1888" t="str">
            <v>P</v>
          </cell>
          <cell r="C1888" t="str">
            <v>P</v>
          </cell>
          <cell r="D1888" t="str">
            <v>P</v>
          </cell>
          <cell r="E1888" t="str">
            <v>P</v>
          </cell>
          <cell r="F1888" t="str">
            <v>P</v>
          </cell>
          <cell r="H1888" t="str">
            <v>PLNT</v>
          </cell>
          <cell r="I1888" t="str">
            <v>PLNT</v>
          </cell>
          <cell r="J1888" t="str">
            <v>PLNT</v>
          </cell>
          <cell r="K1888" t="str">
            <v>PLNT</v>
          </cell>
          <cell r="L1888" t="str">
            <v>PLNT</v>
          </cell>
        </row>
        <row r="1889">
          <cell r="B1889" t="str">
            <v>PT</v>
          </cell>
          <cell r="C1889" t="str">
            <v>PT</v>
          </cell>
          <cell r="D1889" t="str">
            <v>PT</v>
          </cell>
          <cell r="E1889" t="str">
            <v>PT</v>
          </cell>
          <cell r="F1889" t="str">
            <v>PT</v>
          </cell>
          <cell r="H1889" t="str">
            <v>PLNT</v>
          </cell>
          <cell r="I1889" t="str">
            <v>PLNT</v>
          </cell>
          <cell r="J1889" t="str">
            <v>PLNT</v>
          </cell>
          <cell r="K1889" t="str">
            <v>PLNT</v>
          </cell>
          <cell r="L1889" t="str">
            <v>PLNT</v>
          </cell>
        </row>
        <row r="1890">
          <cell r="B1890" t="str">
            <v>PT</v>
          </cell>
          <cell r="C1890" t="str">
            <v>PT</v>
          </cell>
          <cell r="D1890" t="str">
            <v>PT</v>
          </cell>
          <cell r="E1890" t="str">
            <v>PT</v>
          </cell>
          <cell r="F1890" t="str">
            <v>PT</v>
          </cell>
          <cell r="H1890" t="str">
            <v>PLNT</v>
          </cell>
          <cell r="I1890" t="str">
            <v>PLNT</v>
          </cell>
          <cell r="J1890" t="str">
            <v>PLNT</v>
          </cell>
          <cell r="K1890" t="str">
            <v>PLNT</v>
          </cell>
          <cell r="L1890" t="str">
            <v>PLNT</v>
          </cell>
        </row>
        <row r="1891">
          <cell r="B1891" t="str">
            <v>P</v>
          </cell>
          <cell r="C1891" t="str">
            <v>P</v>
          </cell>
          <cell r="D1891" t="str">
            <v>P</v>
          </cell>
          <cell r="E1891" t="str">
            <v>P</v>
          </cell>
          <cell r="F1891" t="str">
            <v>P</v>
          </cell>
          <cell r="H1891" t="str">
            <v>PLNT</v>
          </cell>
          <cell r="I1891" t="str">
            <v>PLNT</v>
          </cell>
          <cell r="J1891" t="str">
            <v>PLNT</v>
          </cell>
          <cell r="K1891" t="str">
            <v>PLNT</v>
          </cell>
          <cell r="L1891" t="str">
            <v>PLNT</v>
          </cell>
        </row>
        <row r="1892">
          <cell r="B1892" t="str">
            <v>P</v>
          </cell>
          <cell r="C1892" t="str">
            <v>P</v>
          </cell>
          <cell r="D1892" t="str">
            <v>P</v>
          </cell>
          <cell r="E1892" t="str">
            <v>P</v>
          </cell>
          <cell r="F1892" t="str">
            <v>P</v>
          </cell>
          <cell r="H1892" t="str">
            <v>PLNT</v>
          </cell>
          <cell r="I1892" t="str">
            <v>PLNT</v>
          </cell>
          <cell r="J1892" t="str">
            <v>PLNT</v>
          </cell>
          <cell r="K1892" t="str">
            <v>PLNT</v>
          </cell>
          <cell r="L1892" t="str">
            <v>PLNT</v>
          </cell>
        </row>
        <row r="1893">
          <cell r="B1893" t="str">
            <v>P</v>
          </cell>
          <cell r="C1893" t="str">
            <v>P</v>
          </cell>
          <cell r="D1893" t="str">
            <v>P</v>
          </cell>
          <cell r="E1893" t="str">
            <v>P</v>
          </cell>
          <cell r="F1893" t="str">
            <v>P</v>
          </cell>
          <cell r="H1893" t="str">
            <v>PLNT</v>
          </cell>
          <cell r="I1893" t="str">
            <v>PLNT</v>
          </cell>
          <cell r="J1893" t="str">
            <v>PLNT</v>
          </cell>
          <cell r="K1893" t="str">
            <v>PLNT</v>
          </cell>
          <cell r="L1893" t="str">
            <v>PLNT</v>
          </cell>
        </row>
        <row r="1894">
          <cell r="B1894">
            <v>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</row>
        <row r="1895"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B1897" t="str">
            <v>GP</v>
          </cell>
          <cell r="C1897" t="str">
            <v>GP</v>
          </cell>
          <cell r="D1897" t="str">
            <v>GP</v>
          </cell>
          <cell r="E1897" t="str">
            <v>GP</v>
          </cell>
          <cell r="F1897" t="str">
            <v>GP</v>
          </cell>
          <cell r="H1897" t="str">
            <v>PLNT</v>
          </cell>
          <cell r="I1897" t="str">
            <v>PLNT</v>
          </cell>
          <cell r="J1897" t="str">
            <v>PLNT</v>
          </cell>
          <cell r="K1897" t="str">
            <v>PLNT</v>
          </cell>
          <cell r="L1897" t="str">
            <v>PLNT</v>
          </cell>
        </row>
        <row r="1898">
          <cell r="B1898" t="str">
            <v>P</v>
          </cell>
          <cell r="C1898" t="str">
            <v>P</v>
          </cell>
          <cell r="D1898" t="str">
            <v>P</v>
          </cell>
          <cell r="E1898" t="str">
            <v>P</v>
          </cell>
          <cell r="F1898" t="str">
            <v>P</v>
          </cell>
          <cell r="H1898" t="str">
            <v>PLNT</v>
          </cell>
          <cell r="I1898" t="str">
            <v>PLNT</v>
          </cell>
          <cell r="J1898" t="str">
            <v>PLNT</v>
          </cell>
          <cell r="K1898" t="str">
            <v>PLNT</v>
          </cell>
          <cell r="L1898" t="str">
            <v>PLNT</v>
          </cell>
        </row>
        <row r="1899">
          <cell r="B1899" t="str">
            <v>P</v>
          </cell>
          <cell r="C1899" t="str">
            <v>P</v>
          </cell>
          <cell r="D1899" t="str">
            <v>P</v>
          </cell>
          <cell r="E1899" t="str">
            <v>P</v>
          </cell>
          <cell r="F1899" t="str">
            <v>P</v>
          </cell>
          <cell r="H1899" t="str">
            <v>PLNT</v>
          </cell>
          <cell r="I1899" t="str">
            <v>PLNT</v>
          </cell>
          <cell r="J1899" t="str">
            <v>PLNT</v>
          </cell>
          <cell r="K1899" t="str">
            <v>PLNT</v>
          </cell>
          <cell r="L1899" t="str">
            <v>PLNT</v>
          </cell>
        </row>
        <row r="1900">
          <cell r="B1900" t="str">
            <v>LABOR</v>
          </cell>
          <cell r="C1900" t="str">
            <v>LABOR</v>
          </cell>
          <cell r="D1900" t="str">
            <v>LABOR</v>
          </cell>
          <cell r="E1900" t="str">
            <v>LABOR</v>
          </cell>
          <cell r="F1900" t="str">
            <v>LABOR</v>
          </cell>
          <cell r="H1900" t="str">
            <v>DISom</v>
          </cell>
          <cell r="I1900" t="str">
            <v>DISom</v>
          </cell>
          <cell r="J1900" t="str">
            <v>DISom</v>
          </cell>
          <cell r="K1900" t="str">
            <v>DISom</v>
          </cell>
          <cell r="L1900" t="str">
            <v>DISom</v>
          </cell>
        </row>
        <row r="1901">
          <cell r="B1901" t="str">
            <v>GP</v>
          </cell>
          <cell r="C1901" t="str">
            <v>GP</v>
          </cell>
          <cell r="D1901" t="str">
            <v>GP</v>
          </cell>
          <cell r="E1901" t="str">
            <v>GP</v>
          </cell>
          <cell r="F1901" t="str">
            <v>GP</v>
          </cell>
          <cell r="H1901" t="str">
            <v>PLNT</v>
          </cell>
          <cell r="I1901" t="str">
            <v>PLNT</v>
          </cell>
          <cell r="J1901" t="str">
            <v>PLNT</v>
          </cell>
          <cell r="K1901" t="str">
            <v>PLNT</v>
          </cell>
          <cell r="L1901" t="str">
            <v>PLNT</v>
          </cell>
        </row>
        <row r="1902">
          <cell r="B1902" t="str">
            <v>PTD</v>
          </cell>
          <cell r="C1902" t="str">
            <v>PTD</v>
          </cell>
          <cell r="D1902" t="str">
            <v>PTD</v>
          </cell>
          <cell r="E1902" t="str">
            <v>PTD</v>
          </cell>
          <cell r="F1902" t="str">
            <v>PTD</v>
          </cell>
          <cell r="H1902" t="str">
            <v>PLNT</v>
          </cell>
          <cell r="I1902" t="str">
            <v>PLNT</v>
          </cell>
          <cell r="J1902" t="str">
            <v>PLNT</v>
          </cell>
          <cell r="K1902" t="str">
            <v>PLNT</v>
          </cell>
          <cell r="L1902" t="str">
            <v>PLNT</v>
          </cell>
        </row>
        <row r="1903">
          <cell r="B1903" t="str">
            <v>P</v>
          </cell>
          <cell r="C1903" t="str">
            <v>P</v>
          </cell>
          <cell r="D1903" t="str">
            <v>P</v>
          </cell>
          <cell r="E1903" t="str">
            <v>P</v>
          </cell>
          <cell r="F1903" t="str">
            <v>P</v>
          </cell>
          <cell r="H1903" t="str">
            <v>PLNT</v>
          </cell>
          <cell r="I1903" t="str">
            <v>PLNT</v>
          </cell>
          <cell r="J1903" t="str">
            <v>PLNT</v>
          </cell>
          <cell r="K1903" t="str">
            <v>PLNT</v>
          </cell>
          <cell r="L1903" t="str">
            <v>PLNT</v>
          </cell>
        </row>
        <row r="1904">
          <cell r="B1904" t="str">
            <v>P</v>
          </cell>
          <cell r="C1904" t="str">
            <v>P</v>
          </cell>
          <cell r="D1904" t="str">
            <v>P</v>
          </cell>
          <cell r="E1904" t="str">
            <v>P</v>
          </cell>
          <cell r="F1904" t="str">
            <v>P</v>
          </cell>
          <cell r="H1904" t="str">
            <v>PLNT</v>
          </cell>
          <cell r="I1904" t="str">
            <v>PLNT</v>
          </cell>
          <cell r="J1904" t="str">
            <v>PLNT</v>
          </cell>
          <cell r="K1904" t="str">
            <v>PLNT</v>
          </cell>
          <cell r="L1904" t="str">
            <v>PLNT</v>
          </cell>
        </row>
        <row r="1905">
          <cell r="B1905" t="str">
            <v>P</v>
          </cell>
          <cell r="C1905" t="str">
            <v>P</v>
          </cell>
          <cell r="D1905" t="str">
            <v>P</v>
          </cell>
          <cell r="E1905" t="str">
            <v>P</v>
          </cell>
          <cell r="F1905" t="str">
            <v>P</v>
          </cell>
          <cell r="H1905" t="str">
            <v>PLNT</v>
          </cell>
          <cell r="I1905" t="str">
            <v>PLNT</v>
          </cell>
          <cell r="J1905" t="str">
            <v>PLNT</v>
          </cell>
          <cell r="K1905" t="str">
            <v>PLNT</v>
          </cell>
          <cell r="L1905" t="str">
            <v>PLNT</v>
          </cell>
        </row>
        <row r="1906">
          <cell r="B1906" t="str">
            <v>P</v>
          </cell>
          <cell r="C1906" t="str">
            <v>P</v>
          </cell>
          <cell r="D1906" t="str">
            <v>P</v>
          </cell>
          <cell r="E1906" t="str">
            <v>P</v>
          </cell>
          <cell r="F1906" t="str">
            <v>P</v>
          </cell>
          <cell r="H1906" t="str">
            <v>PLNT</v>
          </cell>
          <cell r="I1906" t="str">
            <v>PLNT</v>
          </cell>
          <cell r="J1906" t="str">
            <v>PLNT</v>
          </cell>
          <cell r="K1906" t="str">
            <v>PLNT</v>
          </cell>
          <cell r="L1906" t="str">
            <v>PLNT</v>
          </cell>
        </row>
        <row r="1907">
          <cell r="B1907" t="str">
            <v xml:space="preserve"> </v>
          </cell>
          <cell r="C1907" t="str">
            <v xml:space="preserve"> </v>
          </cell>
          <cell r="D1907" t="str">
            <v xml:space="preserve"> </v>
          </cell>
          <cell r="E1907" t="str">
            <v xml:space="preserve"> </v>
          </cell>
          <cell r="F1907" t="str">
            <v xml:space="preserve"> 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</row>
        <row r="1909"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B1912" t="str">
            <v>PTD</v>
          </cell>
          <cell r="C1912" t="str">
            <v>PTD</v>
          </cell>
          <cell r="D1912" t="str">
            <v>PTD</v>
          </cell>
          <cell r="E1912" t="str">
            <v>PTD</v>
          </cell>
          <cell r="F1912" t="str">
            <v>PTD</v>
          </cell>
          <cell r="H1912" t="str">
            <v>PLNT</v>
          </cell>
          <cell r="I1912" t="str">
            <v>PLNT</v>
          </cell>
          <cell r="J1912" t="str">
            <v>PLNT</v>
          </cell>
          <cell r="K1912" t="str">
            <v>PLNT</v>
          </cell>
          <cell r="L1912" t="str">
            <v>PLNT</v>
          </cell>
        </row>
        <row r="1913">
          <cell r="B1913" t="str">
            <v>PTD</v>
          </cell>
          <cell r="C1913" t="str">
            <v>PTD</v>
          </cell>
          <cell r="D1913" t="str">
            <v>PTD</v>
          </cell>
          <cell r="E1913" t="str">
            <v>PTD</v>
          </cell>
          <cell r="F1913" t="str">
            <v>PTD</v>
          </cell>
          <cell r="H1913" t="str">
            <v>PLNT</v>
          </cell>
          <cell r="I1913" t="str">
            <v>PLNT</v>
          </cell>
          <cell r="J1913" t="str">
            <v>PLNT</v>
          </cell>
          <cell r="K1913" t="str">
            <v>PLNT</v>
          </cell>
          <cell r="L1913" t="str">
            <v>PLNT</v>
          </cell>
        </row>
        <row r="1914">
          <cell r="B1914" t="str">
            <v>PTD</v>
          </cell>
          <cell r="C1914" t="str">
            <v>PTD</v>
          </cell>
          <cell r="D1914" t="str">
            <v>PTD</v>
          </cell>
          <cell r="E1914" t="str">
            <v>PTD</v>
          </cell>
          <cell r="F1914" t="str">
            <v>PTD</v>
          </cell>
          <cell r="H1914" t="str">
            <v>PLNT</v>
          </cell>
          <cell r="I1914" t="str">
            <v>PLNT</v>
          </cell>
          <cell r="J1914" t="str">
            <v>PLNT</v>
          </cell>
          <cell r="K1914" t="str">
            <v>PLNT</v>
          </cell>
          <cell r="L1914" t="str">
            <v>PLNT</v>
          </cell>
        </row>
        <row r="1915">
          <cell r="B1915" t="str">
            <v>PTD</v>
          </cell>
          <cell r="C1915" t="str">
            <v>PTD</v>
          </cell>
          <cell r="D1915" t="str">
            <v>PTD</v>
          </cell>
          <cell r="E1915" t="str">
            <v>PTD</v>
          </cell>
          <cell r="F1915" t="str">
            <v>PTD</v>
          </cell>
          <cell r="H1915" t="str">
            <v>PLNT</v>
          </cell>
          <cell r="I1915" t="str">
            <v>PLNT</v>
          </cell>
          <cell r="J1915" t="str">
            <v>PLNT</v>
          </cell>
          <cell r="K1915" t="str">
            <v>PLNT</v>
          </cell>
          <cell r="L1915" t="str">
            <v>PLNT</v>
          </cell>
        </row>
        <row r="1916">
          <cell r="B1916" t="str">
            <v>PTD</v>
          </cell>
          <cell r="C1916" t="str">
            <v>PTD</v>
          </cell>
          <cell r="D1916" t="str">
            <v>PTD</v>
          </cell>
          <cell r="E1916" t="str">
            <v>PTD</v>
          </cell>
          <cell r="F1916" t="str">
            <v>PTD</v>
          </cell>
          <cell r="H1916" t="str">
            <v>PLNT</v>
          </cell>
          <cell r="I1916" t="str">
            <v>PLNT</v>
          </cell>
          <cell r="J1916" t="str">
            <v>PLNT</v>
          </cell>
          <cell r="K1916" t="str">
            <v>PLNT</v>
          </cell>
          <cell r="L1916" t="str">
            <v>PLNT</v>
          </cell>
        </row>
        <row r="1917">
          <cell r="B1917" t="str">
            <v>PTD</v>
          </cell>
          <cell r="C1917" t="str">
            <v>PTD</v>
          </cell>
          <cell r="D1917" t="str">
            <v>PTD</v>
          </cell>
          <cell r="E1917" t="str">
            <v>PTD</v>
          </cell>
          <cell r="F1917" t="str">
            <v>PTD</v>
          </cell>
          <cell r="H1917" t="str">
            <v>PLNT</v>
          </cell>
          <cell r="I1917" t="str">
            <v>PLNT</v>
          </cell>
          <cell r="J1917" t="str">
            <v>PLNT</v>
          </cell>
          <cell r="K1917" t="str">
            <v>PLNT</v>
          </cell>
          <cell r="L1917" t="str">
            <v>PLNT</v>
          </cell>
        </row>
        <row r="1918">
          <cell r="B1918" t="str">
            <v>PTD</v>
          </cell>
          <cell r="C1918" t="str">
            <v>PTD</v>
          </cell>
          <cell r="D1918" t="str">
            <v>PTD</v>
          </cell>
          <cell r="E1918" t="str">
            <v>PTD</v>
          </cell>
          <cell r="F1918" t="str">
            <v>PTD</v>
          </cell>
          <cell r="H1918" t="str">
            <v>PLNT</v>
          </cell>
          <cell r="I1918" t="str">
            <v>PLNT</v>
          </cell>
          <cell r="J1918" t="str">
            <v>PLNT</v>
          </cell>
          <cell r="K1918" t="str">
            <v>PLNT</v>
          </cell>
          <cell r="L1918" t="str">
            <v>PLNT</v>
          </cell>
        </row>
        <row r="1919">
          <cell r="B1919" t="str">
            <v>PTD</v>
          </cell>
          <cell r="C1919" t="str">
            <v>PTD</v>
          </cell>
          <cell r="D1919" t="str">
            <v>PTD</v>
          </cell>
          <cell r="E1919" t="str">
            <v>PTD</v>
          </cell>
          <cell r="F1919" t="str">
            <v>PTD</v>
          </cell>
          <cell r="H1919" t="str">
            <v>PLNT</v>
          </cell>
          <cell r="I1919" t="str">
            <v>PLNT</v>
          </cell>
          <cell r="J1919" t="str">
            <v>PLNT</v>
          </cell>
          <cell r="K1919" t="str">
            <v>PLNT</v>
          </cell>
          <cell r="L1919" t="str">
            <v>PLNT</v>
          </cell>
        </row>
        <row r="1920">
          <cell r="B1920">
            <v>0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B1921">
            <v>0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</row>
        <row r="1923"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B1926" t="str">
            <v>P</v>
          </cell>
          <cell r="C1926" t="str">
            <v>P</v>
          </cell>
          <cell r="D1926" t="str">
            <v>P</v>
          </cell>
          <cell r="E1926" t="str">
            <v>P</v>
          </cell>
          <cell r="F1926" t="str">
            <v>P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</row>
        <row r="1927">
          <cell r="B1927" t="str">
            <v>P</v>
          </cell>
          <cell r="C1927" t="str">
            <v>P</v>
          </cell>
          <cell r="D1927" t="str">
            <v>P</v>
          </cell>
          <cell r="E1927" t="str">
            <v>P</v>
          </cell>
          <cell r="F1927" t="str">
            <v>P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</row>
        <row r="1928">
          <cell r="B1928" t="str">
            <v>P</v>
          </cell>
          <cell r="C1928" t="str">
            <v>P</v>
          </cell>
          <cell r="D1928" t="str">
            <v>P</v>
          </cell>
          <cell r="E1928" t="str">
            <v>P</v>
          </cell>
          <cell r="F1928" t="str">
            <v>P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B1929" t="str">
            <v>P</v>
          </cell>
          <cell r="C1929" t="str">
            <v>P</v>
          </cell>
          <cell r="D1929" t="str">
            <v>P</v>
          </cell>
          <cell r="E1929" t="str">
            <v>P</v>
          </cell>
          <cell r="F1929" t="str">
            <v>P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B1930" t="str">
            <v>P</v>
          </cell>
          <cell r="C1930" t="str">
            <v>P</v>
          </cell>
          <cell r="D1930" t="str">
            <v>P</v>
          </cell>
          <cell r="E1930" t="str">
            <v>P</v>
          </cell>
          <cell r="F1930" t="str">
            <v>P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B1931" t="str">
            <v>P</v>
          </cell>
          <cell r="C1931" t="str">
            <v>P</v>
          </cell>
          <cell r="D1931" t="str">
            <v>P</v>
          </cell>
          <cell r="E1931" t="str">
            <v>P</v>
          </cell>
          <cell r="F1931" t="str">
            <v>P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B1934">
            <v>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B1935" t="str">
            <v>P</v>
          </cell>
          <cell r="C1935" t="str">
            <v>P</v>
          </cell>
          <cell r="D1935" t="str">
            <v>P</v>
          </cell>
          <cell r="E1935" t="str">
            <v>P</v>
          </cell>
          <cell r="F1935" t="str">
            <v>P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</row>
        <row r="1936">
          <cell r="B1936" t="str">
            <v>P</v>
          </cell>
          <cell r="C1936" t="str">
            <v>P</v>
          </cell>
          <cell r="D1936" t="str">
            <v>P</v>
          </cell>
          <cell r="E1936" t="str">
            <v>P</v>
          </cell>
          <cell r="F1936" t="str">
            <v>P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</row>
        <row r="1937">
          <cell r="B1937" t="str">
            <v>P</v>
          </cell>
          <cell r="C1937" t="str">
            <v>P</v>
          </cell>
          <cell r="D1937" t="str">
            <v>P</v>
          </cell>
          <cell r="E1937" t="str">
            <v>P</v>
          </cell>
          <cell r="F1937" t="str">
            <v>P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</row>
        <row r="1938">
          <cell r="B1938">
            <v>0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B1941">
            <v>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B1942" t="str">
            <v>P</v>
          </cell>
          <cell r="C1942" t="str">
            <v>P</v>
          </cell>
          <cell r="D1942" t="str">
            <v>P</v>
          </cell>
          <cell r="E1942" t="str">
            <v>P</v>
          </cell>
          <cell r="F1942" t="str">
            <v>P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</row>
        <row r="1943">
          <cell r="B1943" t="str">
            <v>P</v>
          </cell>
          <cell r="C1943" t="str">
            <v>P</v>
          </cell>
          <cell r="D1943" t="str">
            <v>P</v>
          </cell>
          <cell r="E1943" t="str">
            <v>P</v>
          </cell>
          <cell r="F1943" t="str">
            <v>P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</row>
        <row r="1944">
          <cell r="B1944" t="str">
            <v>P</v>
          </cell>
          <cell r="C1944" t="str">
            <v>P</v>
          </cell>
          <cell r="D1944" t="str">
            <v>P</v>
          </cell>
          <cell r="E1944" t="str">
            <v>P</v>
          </cell>
          <cell r="F1944" t="str">
            <v>P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</row>
        <row r="1945">
          <cell r="B1945" t="str">
            <v>P</v>
          </cell>
          <cell r="C1945" t="str">
            <v>P</v>
          </cell>
          <cell r="D1945" t="str">
            <v>P</v>
          </cell>
          <cell r="E1945" t="str">
            <v>P</v>
          </cell>
          <cell r="F1945" t="str">
            <v>P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</row>
        <row r="1946">
          <cell r="B1946">
            <v>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</row>
        <row r="1947">
          <cell r="B1947">
            <v>0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</row>
        <row r="1949">
          <cell r="B1949" t="str">
            <v>P</v>
          </cell>
          <cell r="C1949" t="str">
            <v>P</v>
          </cell>
          <cell r="D1949" t="str">
            <v>P</v>
          </cell>
          <cell r="E1949" t="str">
            <v>P</v>
          </cell>
          <cell r="F1949" t="str">
            <v>P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</row>
        <row r="1950">
          <cell r="B1950" t="str">
            <v>P</v>
          </cell>
          <cell r="C1950" t="str">
            <v>P</v>
          </cell>
          <cell r="D1950" t="str">
            <v>P</v>
          </cell>
          <cell r="E1950" t="str">
            <v>P</v>
          </cell>
          <cell r="F1950" t="str">
            <v>P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</row>
        <row r="1951">
          <cell r="B1951" t="str">
            <v>P</v>
          </cell>
          <cell r="C1951" t="str">
            <v>P</v>
          </cell>
          <cell r="D1951" t="str">
            <v>P</v>
          </cell>
          <cell r="E1951" t="str">
            <v>P</v>
          </cell>
          <cell r="F1951" t="str">
            <v>P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</row>
        <row r="1952">
          <cell r="B1952" t="str">
            <v>P</v>
          </cell>
          <cell r="C1952" t="str">
            <v>P</v>
          </cell>
          <cell r="D1952" t="str">
            <v>P</v>
          </cell>
          <cell r="E1952" t="str">
            <v>P</v>
          </cell>
          <cell r="F1952" t="str">
            <v>P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B1953" t="str">
            <v>P</v>
          </cell>
          <cell r="C1953" t="str">
            <v>P</v>
          </cell>
          <cell r="D1953" t="str">
            <v>P</v>
          </cell>
          <cell r="E1953" t="str">
            <v>P</v>
          </cell>
          <cell r="F1953" t="str">
            <v>P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</row>
        <row r="1956"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</row>
        <row r="1957">
          <cell r="B1957" t="str">
            <v>P</v>
          </cell>
          <cell r="C1957" t="str">
            <v>P</v>
          </cell>
          <cell r="D1957" t="str">
            <v>P</v>
          </cell>
          <cell r="E1957" t="str">
            <v>P</v>
          </cell>
          <cell r="F1957" t="str">
            <v>P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B1958" t="str">
            <v>P</v>
          </cell>
          <cell r="C1958" t="str">
            <v>P</v>
          </cell>
          <cell r="D1958" t="str">
            <v>P</v>
          </cell>
          <cell r="E1958" t="str">
            <v>P</v>
          </cell>
          <cell r="F1958" t="str">
            <v>P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</row>
        <row r="1963"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B1964" t="str">
            <v>T</v>
          </cell>
          <cell r="C1964" t="str">
            <v>T</v>
          </cell>
          <cell r="D1964" t="str">
            <v>T</v>
          </cell>
          <cell r="E1964" t="str">
            <v>T</v>
          </cell>
          <cell r="F1964" t="str">
            <v>T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B1965" t="str">
            <v>T</v>
          </cell>
          <cell r="C1965" t="str">
            <v>T</v>
          </cell>
          <cell r="D1965" t="str">
            <v>T</v>
          </cell>
          <cell r="E1965" t="str">
            <v>T</v>
          </cell>
          <cell r="F1965" t="str">
            <v>T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B1966" t="str">
            <v>T</v>
          </cell>
          <cell r="C1966" t="str">
            <v>T</v>
          </cell>
          <cell r="D1966" t="str">
            <v>T</v>
          </cell>
          <cell r="E1966" t="str">
            <v>T</v>
          </cell>
          <cell r="F1966" t="str">
            <v>T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</row>
        <row r="1967">
          <cell r="B1967">
            <v>0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</row>
        <row r="1968">
          <cell r="B1968">
            <v>0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</row>
        <row r="1970">
          <cell r="B1970" t="str">
            <v>DPW</v>
          </cell>
          <cell r="C1970" t="str">
            <v>DPW</v>
          </cell>
          <cell r="D1970" t="str">
            <v>DPW</v>
          </cell>
          <cell r="E1970" t="str">
            <v>DPW</v>
          </cell>
          <cell r="F1970" t="str">
            <v>DPW</v>
          </cell>
          <cell r="H1970" t="str">
            <v>PLNT2</v>
          </cell>
          <cell r="I1970" t="str">
            <v>PLNT2</v>
          </cell>
          <cell r="J1970" t="str">
            <v>PLNT2</v>
          </cell>
          <cell r="K1970" t="str">
            <v>PLNT2</v>
          </cell>
          <cell r="L1970" t="str">
            <v>PLNT2</v>
          </cell>
        </row>
        <row r="1971"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B1972">
            <v>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</row>
        <row r="1973"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</row>
        <row r="1974">
          <cell r="B1974" t="str">
            <v>DPW</v>
          </cell>
          <cell r="C1974" t="str">
            <v>DPW</v>
          </cell>
          <cell r="D1974" t="str">
            <v>DPW</v>
          </cell>
          <cell r="E1974" t="str">
            <v>DPW</v>
          </cell>
          <cell r="F1974" t="str">
            <v>DPW</v>
          </cell>
          <cell r="H1974" t="str">
            <v>PLNT2</v>
          </cell>
          <cell r="I1974" t="str">
            <v>PLNT2</v>
          </cell>
          <cell r="J1974" t="str">
            <v>PLNT2</v>
          </cell>
          <cell r="K1974" t="str">
            <v>PLNT2</v>
          </cell>
          <cell r="L1974" t="str">
            <v>PLNT2</v>
          </cell>
        </row>
        <row r="1975">
          <cell r="B1975">
            <v>0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</row>
        <row r="1976"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</row>
        <row r="1977"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B1978" t="str">
            <v>DPW</v>
          </cell>
          <cell r="C1978" t="str">
            <v>DPW</v>
          </cell>
          <cell r="D1978" t="str">
            <v>DPW</v>
          </cell>
          <cell r="E1978" t="str">
            <v>DPW</v>
          </cell>
          <cell r="F1978" t="str">
            <v>DPW</v>
          </cell>
          <cell r="H1978" t="str">
            <v>SUBS</v>
          </cell>
          <cell r="I1978" t="str">
            <v>SUBS</v>
          </cell>
          <cell r="J1978" t="str">
            <v>SUBS</v>
          </cell>
          <cell r="K1978" t="str">
            <v>SUBS</v>
          </cell>
          <cell r="L1978" t="str">
            <v>SUBS</v>
          </cell>
        </row>
        <row r="1979"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</row>
        <row r="1980">
          <cell r="B1980">
            <v>0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</row>
        <row r="1982">
          <cell r="B1982" t="str">
            <v>DPW</v>
          </cell>
          <cell r="C1982" t="str">
            <v>DPW</v>
          </cell>
          <cell r="D1982" t="str">
            <v>DPW</v>
          </cell>
          <cell r="E1982" t="str">
            <v>DPW</v>
          </cell>
          <cell r="F1982" t="str">
            <v>DPW</v>
          </cell>
          <cell r="H1982" t="str">
            <v>PC</v>
          </cell>
          <cell r="I1982" t="str">
            <v>PC</v>
          </cell>
          <cell r="J1982" t="str">
            <v>PC</v>
          </cell>
          <cell r="K1982" t="str">
            <v>PC</v>
          </cell>
          <cell r="L1982" t="str">
            <v>PC</v>
          </cell>
        </row>
        <row r="1983"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B1984">
            <v>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B1986" t="str">
            <v>DPW</v>
          </cell>
          <cell r="C1986" t="str">
            <v>DPW</v>
          </cell>
          <cell r="D1986" t="str">
            <v>DPW</v>
          </cell>
          <cell r="E1986" t="str">
            <v>DPW</v>
          </cell>
          <cell r="F1986" t="str">
            <v>DPW</v>
          </cell>
          <cell r="H1986" t="str">
            <v>PC</v>
          </cell>
          <cell r="I1986" t="str">
            <v>PC</v>
          </cell>
          <cell r="J1986" t="str">
            <v>PC</v>
          </cell>
          <cell r="K1986" t="str">
            <v>PC</v>
          </cell>
          <cell r="L1986" t="str">
            <v>PC</v>
          </cell>
        </row>
        <row r="1987"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</row>
        <row r="1988"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</row>
        <row r="1989"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</row>
        <row r="1990">
          <cell r="B1990" t="str">
            <v>DPW</v>
          </cell>
          <cell r="C1990" t="str">
            <v>DPW</v>
          </cell>
          <cell r="D1990" t="str">
            <v>DPW</v>
          </cell>
          <cell r="E1990" t="str">
            <v>DPW</v>
          </cell>
          <cell r="F1990" t="str">
            <v>DPW</v>
          </cell>
          <cell r="H1990" t="str">
            <v>PC</v>
          </cell>
          <cell r="I1990" t="str">
            <v>PC</v>
          </cell>
          <cell r="J1990" t="str">
            <v>PC</v>
          </cell>
          <cell r="K1990" t="str">
            <v>PC</v>
          </cell>
          <cell r="L1990" t="str">
            <v>PC</v>
          </cell>
        </row>
        <row r="1991"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</row>
        <row r="1992"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</row>
        <row r="1994">
          <cell r="B1994" t="str">
            <v>DPW</v>
          </cell>
          <cell r="C1994" t="str">
            <v>DPW</v>
          </cell>
          <cell r="D1994" t="str">
            <v>DPW</v>
          </cell>
          <cell r="E1994" t="str">
            <v>DPW</v>
          </cell>
          <cell r="F1994" t="str">
            <v>DPW</v>
          </cell>
          <cell r="H1994" t="str">
            <v>PC</v>
          </cell>
          <cell r="I1994" t="str">
            <v>PC</v>
          </cell>
          <cell r="J1994" t="str">
            <v>PC</v>
          </cell>
          <cell r="K1994" t="str">
            <v>PC</v>
          </cell>
          <cell r="L1994" t="str">
            <v>PC</v>
          </cell>
        </row>
        <row r="1995">
          <cell r="B1995">
            <v>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B1996">
            <v>0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</row>
        <row r="1997">
          <cell r="B1997">
            <v>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</row>
        <row r="1998">
          <cell r="B1998" t="str">
            <v>DPW</v>
          </cell>
          <cell r="C1998" t="str">
            <v>DPW</v>
          </cell>
          <cell r="D1998" t="str">
            <v>DPW</v>
          </cell>
          <cell r="E1998" t="str">
            <v>DPW</v>
          </cell>
          <cell r="F1998" t="str">
            <v>DPW</v>
          </cell>
          <cell r="H1998" t="str">
            <v>XFMR</v>
          </cell>
          <cell r="I1998" t="str">
            <v>XFMR</v>
          </cell>
          <cell r="J1998" t="str">
            <v>XFMR</v>
          </cell>
          <cell r="K1998" t="str">
            <v>XFMR</v>
          </cell>
          <cell r="L1998" t="str">
            <v>XFMR</v>
          </cell>
        </row>
        <row r="1999"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</row>
        <row r="2001"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B2002" t="str">
            <v>DPW</v>
          </cell>
          <cell r="C2002" t="str">
            <v>DPW</v>
          </cell>
          <cell r="D2002" t="str">
            <v>DPW</v>
          </cell>
          <cell r="E2002" t="str">
            <v>DPW</v>
          </cell>
          <cell r="F2002" t="str">
            <v>DPW</v>
          </cell>
          <cell r="H2002" t="str">
            <v>SERV</v>
          </cell>
          <cell r="I2002" t="str">
            <v>SERV</v>
          </cell>
          <cell r="J2002" t="str">
            <v>SERV</v>
          </cell>
          <cell r="K2002" t="str">
            <v>SERV</v>
          </cell>
          <cell r="L2002" t="str">
            <v>SERV</v>
          </cell>
        </row>
        <row r="2003"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</row>
        <row r="2005"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B2006" t="str">
            <v>DPW</v>
          </cell>
          <cell r="C2006" t="str">
            <v>DPW</v>
          </cell>
          <cell r="D2006" t="str">
            <v>DPW</v>
          </cell>
          <cell r="E2006" t="str">
            <v>DPW</v>
          </cell>
          <cell r="F2006" t="str">
            <v>DPW</v>
          </cell>
          <cell r="H2006" t="str">
            <v>METR</v>
          </cell>
          <cell r="I2006" t="str">
            <v>METR</v>
          </cell>
          <cell r="J2006" t="str">
            <v>METR</v>
          </cell>
          <cell r="K2006" t="str">
            <v>METR</v>
          </cell>
          <cell r="L2006" t="str">
            <v>METR</v>
          </cell>
        </row>
        <row r="2007"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</row>
        <row r="2009"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B2010" t="str">
            <v>DPW</v>
          </cell>
          <cell r="C2010" t="str">
            <v>DPW</v>
          </cell>
          <cell r="D2010" t="str">
            <v>DPW</v>
          </cell>
          <cell r="E2010" t="str">
            <v>DPW</v>
          </cell>
          <cell r="F2010" t="str">
            <v>DPW</v>
          </cell>
          <cell r="H2010" t="str">
            <v>PC</v>
          </cell>
          <cell r="I2010" t="str">
            <v>PC</v>
          </cell>
          <cell r="J2010" t="str">
            <v>PC</v>
          </cell>
          <cell r="K2010" t="str">
            <v>PC</v>
          </cell>
          <cell r="L2010" t="str">
            <v>PC</v>
          </cell>
        </row>
        <row r="2011"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</row>
        <row r="2013"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B2014" t="str">
            <v>DPW</v>
          </cell>
          <cell r="C2014" t="str">
            <v>DPW</v>
          </cell>
          <cell r="D2014" t="str">
            <v>DPW</v>
          </cell>
          <cell r="E2014" t="str">
            <v>DPW</v>
          </cell>
          <cell r="F2014" t="str">
            <v>DPW</v>
          </cell>
          <cell r="H2014" t="str">
            <v>PLNT2</v>
          </cell>
          <cell r="I2014" t="str">
            <v>PLNT2</v>
          </cell>
          <cell r="J2014" t="str">
            <v>PLNT2</v>
          </cell>
          <cell r="K2014" t="str">
            <v>PLNT2</v>
          </cell>
          <cell r="L2014" t="str">
            <v>PLNT2</v>
          </cell>
        </row>
        <row r="2015"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B2018" t="str">
            <v>DPW</v>
          </cell>
          <cell r="C2018" t="str">
            <v>DPW</v>
          </cell>
          <cell r="D2018" t="str">
            <v>DPW</v>
          </cell>
          <cell r="E2018" t="str">
            <v>DPW</v>
          </cell>
          <cell r="F2018" t="str">
            <v>DPW</v>
          </cell>
          <cell r="H2018" t="str">
            <v>PC</v>
          </cell>
          <cell r="I2018" t="str">
            <v>PC</v>
          </cell>
          <cell r="J2018" t="str">
            <v>PC</v>
          </cell>
          <cell r="K2018" t="str">
            <v>PC</v>
          </cell>
          <cell r="L2018" t="str">
            <v>PC</v>
          </cell>
        </row>
        <row r="2019"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</row>
        <row r="2022">
          <cell r="B2022" t="str">
            <v>DPW</v>
          </cell>
          <cell r="C2022" t="str">
            <v>DPW</v>
          </cell>
          <cell r="D2022" t="str">
            <v>DPW</v>
          </cell>
          <cell r="E2022" t="str">
            <v>DPW</v>
          </cell>
          <cell r="F2022" t="str">
            <v>DPW</v>
          </cell>
          <cell r="H2022" t="str">
            <v>PLNT</v>
          </cell>
          <cell r="I2022" t="str">
            <v>PLNT</v>
          </cell>
          <cell r="J2022" t="str">
            <v>PLNT</v>
          </cell>
          <cell r="K2022" t="str">
            <v>PLNT</v>
          </cell>
          <cell r="L2022" t="str">
            <v>PLNT</v>
          </cell>
        </row>
        <row r="2023"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B2026" t="str">
            <v>DPW</v>
          </cell>
          <cell r="C2026" t="str">
            <v>DPW</v>
          </cell>
          <cell r="D2026" t="str">
            <v>DPW</v>
          </cell>
          <cell r="E2026" t="str">
            <v>DPW</v>
          </cell>
          <cell r="F2026" t="str">
            <v>DPW</v>
          </cell>
          <cell r="H2026" t="str">
            <v>PLNT</v>
          </cell>
          <cell r="I2026" t="str">
            <v>PLNT</v>
          </cell>
          <cell r="J2026" t="str">
            <v>PLNT</v>
          </cell>
          <cell r="K2026" t="str">
            <v>PLNT</v>
          </cell>
          <cell r="L2026" t="str">
            <v>PLNT</v>
          </cell>
        </row>
        <row r="2027"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</row>
        <row r="2028"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</row>
        <row r="2030">
          <cell r="B2030" t="str">
            <v>DPW</v>
          </cell>
          <cell r="C2030" t="str">
            <v>DPW</v>
          </cell>
          <cell r="D2030" t="str">
            <v>DPW</v>
          </cell>
          <cell r="E2030" t="str">
            <v>DPW</v>
          </cell>
          <cell r="F2030" t="str">
            <v>DPW</v>
          </cell>
          <cell r="H2030" t="str">
            <v>PLNT</v>
          </cell>
          <cell r="I2030" t="str">
            <v>PLNT</v>
          </cell>
          <cell r="J2030" t="str">
            <v>PLNT</v>
          </cell>
          <cell r="K2030" t="str">
            <v>PLNT</v>
          </cell>
          <cell r="L2030" t="str">
            <v>PLNT</v>
          </cell>
        </row>
        <row r="2031"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</row>
        <row r="2032"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</row>
        <row r="2033"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</row>
        <row r="2036"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</row>
        <row r="2037">
          <cell r="B2037" t="str">
            <v>G-SITUS</v>
          </cell>
          <cell r="C2037" t="str">
            <v>G-SITUS</v>
          </cell>
          <cell r="D2037" t="str">
            <v>G-SITUS</v>
          </cell>
          <cell r="E2037" t="str">
            <v>G-SITUS</v>
          </cell>
          <cell r="F2037" t="str">
            <v>G-SITUS</v>
          </cell>
          <cell r="H2037" t="str">
            <v>PLNT</v>
          </cell>
          <cell r="I2037" t="str">
            <v>PLNT</v>
          </cell>
          <cell r="J2037" t="str">
            <v>PLNT</v>
          </cell>
          <cell r="K2037" t="str">
            <v>PLNT</v>
          </cell>
          <cell r="L2037" t="str">
            <v>PLNT</v>
          </cell>
        </row>
        <row r="2038">
          <cell r="B2038" t="str">
            <v>G-DGP</v>
          </cell>
          <cell r="C2038" t="str">
            <v>G-DGP</v>
          </cell>
          <cell r="D2038" t="str">
            <v>G-DGP</v>
          </cell>
          <cell r="E2038" t="str">
            <v>G-DGP</v>
          </cell>
          <cell r="F2038" t="str">
            <v>G-DGP</v>
          </cell>
          <cell r="H2038" t="str">
            <v>PLNT</v>
          </cell>
          <cell r="I2038" t="str">
            <v>PLNT</v>
          </cell>
          <cell r="J2038" t="str">
            <v>PLNT</v>
          </cell>
          <cell r="K2038" t="str">
            <v>PLNT</v>
          </cell>
          <cell r="L2038" t="str">
            <v>PLNT</v>
          </cell>
        </row>
        <row r="2039">
          <cell r="B2039" t="str">
            <v>G-DGU</v>
          </cell>
          <cell r="C2039" t="str">
            <v>G-DGU</v>
          </cell>
          <cell r="D2039" t="str">
            <v>G-DGU</v>
          </cell>
          <cell r="E2039" t="str">
            <v>G-DGU</v>
          </cell>
          <cell r="F2039" t="str">
            <v>G-DGU</v>
          </cell>
          <cell r="H2039" t="str">
            <v>PLNT</v>
          </cell>
          <cell r="I2039" t="str">
            <v>PLNT</v>
          </cell>
          <cell r="J2039" t="str">
            <v>PLNT</v>
          </cell>
          <cell r="K2039" t="str">
            <v>PLNT</v>
          </cell>
          <cell r="L2039" t="str">
            <v>PLNT</v>
          </cell>
        </row>
        <row r="2040">
          <cell r="B2040" t="str">
            <v>G-SG</v>
          </cell>
          <cell r="C2040" t="str">
            <v>G-SG</v>
          </cell>
          <cell r="D2040" t="str">
            <v>G-SG</v>
          </cell>
          <cell r="E2040" t="str">
            <v>G-SG</v>
          </cell>
          <cell r="F2040" t="str">
            <v>G-SG</v>
          </cell>
          <cell r="H2040" t="str">
            <v>PLNT</v>
          </cell>
          <cell r="I2040" t="str">
            <v>PLNT</v>
          </cell>
          <cell r="J2040" t="str">
            <v>PLNT</v>
          </cell>
          <cell r="K2040" t="str">
            <v>PLNT</v>
          </cell>
          <cell r="L2040" t="str">
            <v>PLNT</v>
          </cell>
        </row>
        <row r="2041">
          <cell r="B2041" t="str">
            <v>CUST</v>
          </cell>
          <cell r="C2041" t="str">
            <v>CUST</v>
          </cell>
          <cell r="D2041" t="str">
            <v>CUST</v>
          </cell>
          <cell r="E2041" t="str">
            <v>CUST</v>
          </cell>
          <cell r="F2041" t="str">
            <v>CUST</v>
          </cell>
          <cell r="H2041" t="str">
            <v>CUST</v>
          </cell>
          <cell r="I2041" t="str">
            <v>CUST</v>
          </cell>
          <cell r="J2041" t="str">
            <v>CUST</v>
          </cell>
          <cell r="K2041" t="str">
            <v>CUST</v>
          </cell>
          <cell r="L2041" t="str">
            <v>CUST</v>
          </cell>
        </row>
        <row r="2042">
          <cell r="B2042" t="str">
            <v>PTD</v>
          </cell>
          <cell r="C2042" t="str">
            <v>PTD</v>
          </cell>
          <cell r="D2042" t="str">
            <v>PTD</v>
          </cell>
          <cell r="E2042" t="str">
            <v>PTD</v>
          </cell>
          <cell r="F2042" t="str">
            <v>PTD</v>
          </cell>
          <cell r="H2042" t="str">
            <v>PLNT</v>
          </cell>
          <cell r="I2042" t="str">
            <v>PLNT</v>
          </cell>
          <cell r="J2042" t="str">
            <v>PLNT</v>
          </cell>
          <cell r="K2042" t="str">
            <v>PLNT</v>
          </cell>
          <cell r="L2042" t="str">
            <v>PLNT</v>
          </cell>
        </row>
        <row r="2043">
          <cell r="B2043" t="str">
            <v>P</v>
          </cell>
          <cell r="C2043" t="str">
            <v>P</v>
          </cell>
          <cell r="D2043" t="str">
            <v>P</v>
          </cell>
          <cell r="E2043" t="str">
            <v>P</v>
          </cell>
          <cell r="F2043" t="str">
            <v>P</v>
          </cell>
          <cell r="H2043" t="str">
            <v>PLNT</v>
          </cell>
          <cell r="I2043" t="str">
            <v>PLNT</v>
          </cell>
          <cell r="J2043" t="str">
            <v>PLNT</v>
          </cell>
          <cell r="K2043" t="str">
            <v>PLNT</v>
          </cell>
          <cell r="L2043" t="str">
            <v>PLNT</v>
          </cell>
        </row>
        <row r="2044">
          <cell r="B2044" t="str">
            <v>G-SG</v>
          </cell>
          <cell r="C2044" t="str">
            <v>G-SG</v>
          </cell>
          <cell r="D2044" t="str">
            <v>G-SG</v>
          </cell>
          <cell r="E2044" t="str">
            <v>G-SG</v>
          </cell>
          <cell r="F2044" t="str">
            <v>G-SG</v>
          </cell>
          <cell r="H2044" t="str">
            <v>PLNT</v>
          </cell>
          <cell r="I2044" t="str">
            <v>PLNT</v>
          </cell>
          <cell r="J2044" t="str">
            <v>PLNT</v>
          </cell>
          <cell r="K2044" t="str">
            <v>PLNT</v>
          </cell>
          <cell r="L2044" t="str">
            <v>PLNT</v>
          </cell>
        </row>
        <row r="2045">
          <cell r="B2045" t="str">
            <v>G-SG</v>
          </cell>
          <cell r="C2045" t="str">
            <v>G-SG</v>
          </cell>
          <cell r="D2045" t="str">
            <v>G-SG</v>
          </cell>
          <cell r="E2045" t="str">
            <v>G-SG</v>
          </cell>
          <cell r="F2045" t="str">
            <v>G-SG</v>
          </cell>
          <cell r="H2045" t="str">
            <v>PLNT</v>
          </cell>
          <cell r="I2045" t="str">
            <v>PLNT</v>
          </cell>
          <cell r="J2045" t="str">
            <v>PLNT</v>
          </cell>
          <cell r="K2045" t="str">
            <v>PLNT</v>
          </cell>
          <cell r="L2045" t="str">
            <v>PLNT</v>
          </cell>
        </row>
        <row r="2046"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</row>
        <row r="2049"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</row>
        <row r="2050">
          <cell r="B2050" t="str">
            <v>P</v>
          </cell>
          <cell r="C2050" t="str">
            <v>P</v>
          </cell>
          <cell r="D2050" t="str">
            <v>P</v>
          </cell>
          <cell r="E2050" t="str">
            <v>P</v>
          </cell>
          <cell r="F2050" t="str">
            <v>P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</row>
        <row r="2051">
          <cell r="B2051" t="str">
            <v>P</v>
          </cell>
          <cell r="C2051" t="str">
            <v>P</v>
          </cell>
          <cell r="D2051" t="str">
            <v>P</v>
          </cell>
          <cell r="E2051" t="str">
            <v>P</v>
          </cell>
          <cell r="F2051" t="str">
            <v>P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</row>
        <row r="2052">
          <cell r="B2052" t="str">
            <v>P</v>
          </cell>
          <cell r="C2052" t="str">
            <v>P</v>
          </cell>
          <cell r="D2052" t="str">
            <v>P</v>
          </cell>
          <cell r="E2052" t="str">
            <v>P</v>
          </cell>
          <cell r="F2052" t="str">
            <v>P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</row>
        <row r="2053"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</row>
        <row r="2054"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</row>
        <row r="2055"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</row>
        <row r="2056">
          <cell r="B2056" t="str">
            <v>P</v>
          </cell>
          <cell r="C2056" t="str">
            <v>P</v>
          </cell>
          <cell r="D2056" t="str">
            <v>P</v>
          </cell>
          <cell r="E2056" t="str">
            <v>P</v>
          </cell>
          <cell r="F2056" t="str">
            <v>P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</row>
        <row r="2057"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</row>
        <row r="2058"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</row>
        <row r="2059"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B2060" t="str">
            <v>PTD</v>
          </cell>
          <cell r="C2060" t="str">
            <v>PTD</v>
          </cell>
          <cell r="D2060" t="str">
            <v>PTD</v>
          </cell>
          <cell r="E2060" t="str">
            <v>PTD</v>
          </cell>
          <cell r="F2060" t="str">
            <v>PTD</v>
          </cell>
          <cell r="H2060" t="str">
            <v>PLNT</v>
          </cell>
          <cell r="I2060" t="str">
            <v>PLNT</v>
          </cell>
          <cell r="J2060" t="str">
            <v>PLNT</v>
          </cell>
          <cell r="K2060" t="str">
            <v>PLNT</v>
          </cell>
          <cell r="L2060" t="str">
            <v>PLNT</v>
          </cell>
        </row>
        <row r="2061"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</row>
        <row r="2062"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</row>
        <row r="2063">
          <cell r="B2063" t="str">
            <v>P</v>
          </cell>
          <cell r="C2063" t="str">
            <v>P</v>
          </cell>
          <cell r="D2063" t="str">
            <v>P</v>
          </cell>
          <cell r="E2063" t="str">
            <v>P</v>
          </cell>
          <cell r="F2063" t="str">
            <v>P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</row>
        <row r="2064"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</row>
        <row r="2065"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</row>
        <row r="2067">
          <cell r="B2067" t="str">
            <v>P</v>
          </cell>
          <cell r="C2067" t="str">
            <v>P</v>
          </cell>
          <cell r="D2067" t="str">
            <v>P</v>
          </cell>
          <cell r="E2067" t="str">
            <v>P</v>
          </cell>
          <cell r="F2067" t="str">
            <v>P</v>
          </cell>
          <cell r="H2067" t="str">
            <v>PLNT</v>
          </cell>
          <cell r="I2067" t="str">
            <v>PLNT</v>
          </cell>
          <cell r="J2067" t="str">
            <v>PLNT</v>
          </cell>
          <cell r="K2067" t="str">
            <v>PLNT</v>
          </cell>
          <cell r="L2067" t="str">
            <v>PLNT</v>
          </cell>
        </row>
        <row r="2068">
          <cell r="B2068" t="str">
            <v>P</v>
          </cell>
          <cell r="C2068" t="str">
            <v>P</v>
          </cell>
          <cell r="D2068" t="str">
            <v>P</v>
          </cell>
          <cell r="E2068" t="str">
            <v>P</v>
          </cell>
          <cell r="F2068" t="str">
            <v>P</v>
          </cell>
          <cell r="H2068" t="str">
            <v>PLNT</v>
          </cell>
          <cell r="I2068" t="str">
            <v>PLNT</v>
          </cell>
          <cell r="J2068" t="str">
            <v>PLNT</v>
          </cell>
          <cell r="K2068" t="str">
            <v>PLNT</v>
          </cell>
          <cell r="L2068" t="str">
            <v>PLNT</v>
          </cell>
        </row>
        <row r="2069"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</row>
        <row r="2070"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</row>
        <row r="2071">
          <cell r="B2071" t="str">
            <v>P</v>
          </cell>
          <cell r="C2071" t="str">
            <v>P</v>
          </cell>
          <cell r="D2071" t="str">
            <v>P</v>
          </cell>
          <cell r="E2071" t="str">
            <v>P</v>
          </cell>
          <cell r="F2071" t="str">
            <v>P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</row>
        <row r="2072"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</row>
        <row r="2073"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</row>
        <row r="2074"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</row>
        <row r="2077"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</row>
        <row r="2078"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</row>
        <row r="2079"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</row>
        <row r="2080"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</row>
        <row r="2081"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</row>
        <row r="2082">
          <cell r="B2082" t="str">
            <v>P</v>
          </cell>
          <cell r="C2082" t="str">
            <v>P</v>
          </cell>
          <cell r="D2082" t="str">
            <v>P</v>
          </cell>
          <cell r="E2082" t="str">
            <v>P</v>
          </cell>
          <cell r="F2082" t="str">
            <v>P</v>
          </cell>
          <cell r="H2082" t="str">
            <v>PLNT</v>
          </cell>
          <cell r="I2082" t="str">
            <v>PLNT</v>
          </cell>
          <cell r="J2082" t="str">
            <v>PLNT</v>
          </cell>
          <cell r="K2082" t="str">
            <v>PLNT</v>
          </cell>
          <cell r="L2082" t="str">
            <v>PLNT</v>
          </cell>
        </row>
        <row r="2083">
          <cell r="B2083" t="str">
            <v>P</v>
          </cell>
          <cell r="C2083" t="str">
            <v>P</v>
          </cell>
          <cell r="D2083" t="str">
            <v>P</v>
          </cell>
          <cell r="E2083" t="str">
            <v>P</v>
          </cell>
          <cell r="F2083" t="str">
            <v>P</v>
          </cell>
          <cell r="H2083" t="str">
            <v>PLNT</v>
          </cell>
          <cell r="I2083" t="str">
            <v>PLNT</v>
          </cell>
          <cell r="J2083" t="str">
            <v>PLNT</v>
          </cell>
          <cell r="K2083" t="str">
            <v>PLNT</v>
          </cell>
          <cell r="L2083" t="str">
            <v>PLNT</v>
          </cell>
        </row>
        <row r="2084"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</row>
        <row r="2085"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</row>
        <row r="2086"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</row>
        <row r="2087"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</row>
        <row r="2088">
          <cell r="B2088" t="str">
            <v>G-SITUS</v>
          </cell>
          <cell r="C2088" t="str">
            <v>G-SITUS</v>
          </cell>
          <cell r="D2088" t="str">
            <v>G-SITUS</v>
          </cell>
          <cell r="E2088" t="str">
            <v>G-SITUS</v>
          </cell>
          <cell r="F2088" t="str">
            <v>G-SITUS</v>
          </cell>
          <cell r="H2088" t="str">
            <v>PLNT</v>
          </cell>
          <cell r="I2088" t="str">
            <v>PLNT</v>
          </cell>
          <cell r="J2088" t="str">
            <v>PLNT</v>
          </cell>
          <cell r="K2088" t="str">
            <v>PLNT</v>
          </cell>
          <cell r="L2088" t="str">
            <v>PLNT</v>
          </cell>
        </row>
        <row r="2089">
          <cell r="B2089" t="str">
            <v>CUST</v>
          </cell>
          <cell r="C2089" t="str">
            <v>CUST</v>
          </cell>
          <cell r="D2089" t="str">
            <v>CUST</v>
          </cell>
          <cell r="E2089" t="str">
            <v>CUST</v>
          </cell>
          <cell r="F2089" t="str">
            <v>CUST</v>
          </cell>
          <cell r="H2089" t="str">
            <v>CUST</v>
          </cell>
          <cell r="I2089" t="str">
            <v>CUST</v>
          </cell>
          <cell r="J2089" t="str">
            <v>CUST</v>
          </cell>
          <cell r="K2089" t="str">
            <v>CUST</v>
          </cell>
          <cell r="L2089" t="str">
            <v>CUST</v>
          </cell>
        </row>
        <row r="2090">
          <cell r="B2090" t="str">
            <v>I-SG</v>
          </cell>
          <cell r="C2090" t="str">
            <v>I-SG</v>
          </cell>
          <cell r="D2090" t="str">
            <v>I-SG</v>
          </cell>
          <cell r="E2090" t="str">
            <v>I-SG</v>
          </cell>
          <cell r="F2090" t="str">
            <v>I-SG</v>
          </cell>
          <cell r="H2090" t="str">
            <v>PLNT</v>
          </cell>
          <cell r="I2090" t="str">
            <v>PLNT</v>
          </cell>
          <cell r="J2090" t="str">
            <v>PLNT</v>
          </cell>
          <cell r="K2090" t="str">
            <v>PLNT</v>
          </cell>
          <cell r="L2090" t="str">
            <v>PLNT</v>
          </cell>
        </row>
        <row r="2091">
          <cell r="B2091" t="str">
            <v>PTD</v>
          </cell>
          <cell r="C2091" t="str">
            <v>PTD</v>
          </cell>
          <cell r="D2091" t="str">
            <v>PTD</v>
          </cell>
          <cell r="E2091" t="str">
            <v>PTD</v>
          </cell>
          <cell r="F2091" t="str">
            <v>PTD</v>
          </cell>
          <cell r="H2091" t="str">
            <v>PLNT</v>
          </cell>
          <cell r="I2091" t="str">
            <v>PLNT</v>
          </cell>
          <cell r="J2091" t="str">
            <v>PLNT</v>
          </cell>
          <cell r="K2091" t="str">
            <v>PLNT</v>
          </cell>
          <cell r="L2091" t="str">
            <v>PLNT</v>
          </cell>
        </row>
        <row r="2092">
          <cell r="B2092" t="str">
            <v>P</v>
          </cell>
          <cell r="C2092" t="str">
            <v>P</v>
          </cell>
          <cell r="D2092" t="str">
            <v>P</v>
          </cell>
          <cell r="E2092" t="str">
            <v>P</v>
          </cell>
          <cell r="F2092" t="str">
            <v>P</v>
          </cell>
          <cell r="H2092" t="str">
            <v>PLNT</v>
          </cell>
          <cell r="I2092" t="str">
            <v>PLNT</v>
          </cell>
          <cell r="J2092" t="str">
            <v>PLNT</v>
          </cell>
          <cell r="K2092" t="str">
            <v>PLNT</v>
          </cell>
          <cell r="L2092" t="str">
            <v>PLNT</v>
          </cell>
        </row>
        <row r="2093"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</row>
        <row r="2094"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</row>
        <row r="2095"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</row>
        <row r="2096"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</row>
        <row r="2097">
          <cell r="B2097" t="str">
            <v>P</v>
          </cell>
          <cell r="C2097" t="str">
            <v>P</v>
          </cell>
          <cell r="D2097" t="str">
            <v>P</v>
          </cell>
          <cell r="E2097" t="str">
            <v>P</v>
          </cell>
          <cell r="F2097" t="str">
            <v>P</v>
          </cell>
          <cell r="H2097" t="str">
            <v>PLNT</v>
          </cell>
          <cell r="I2097" t="str">
            <v>PLNT</v>
          </cell>
          <cell r="J2097" t="str">
            <v>PLNT</v>
          </cell>
          <cell r="K2097" t="str">
            <v>PLNT</v>
          </cell>
          <cell r="L2097" t="str">
            <v>PLNT</v>
          </cell>
        </row>
        <row r="2098">
          <cell r="B2098" t="str">
            <v>P</v>
          </cell>
          <cell r="C2098" t="str">
            <v>P</v>
          </cell>
          <cell r="D2098" t="str">
            <v>P</v>
          </cell>
          <cell r="E2098" t="str">
            <v>P</v>
          </cell>
          <cell r="F2098" t="str">
            <v>P</v>
          </cell>
          <cell r="H2098" t="str">
            <v>PLNT</v>
          </cell>
          <cell r="I2098" t="str">
            <v>PLNT</v>
          </cell>
          <cell r="J2098" t="str">
            <v>PLNT</v>
          </cell>
          <cell r="K2098" t="str">
            <v>PLNT</v>
          </cell>
          <cell r="L2098" t="str">
            <v>PLNT</v>
          </cell>
        </row>
        <row r="2099">
          <cell r="B2099" t="str">
            <v>P</v>
          </cell>
          <cell r="C2099" t="str">
            <v>P</v>
          </cell>
          <cell r="D2099" t="str">
            <v>P</v>
          </cell>
          <cell r="E2099" t="str">
            <v>P</v>
          </cell>
          <cell r="F2099" t="str">
            <v>P</v>
          </cell>
          <cell r="H2099" t="str">
            <v>PLNT</v>
          </cell>
          <cell r="I2099" t="str">
            <v>PLNT</v>
          </cell>
          <cell r="J2099" t="str">
            <v>PLNT</v>
          </cell>
          <cell r="K2099" t="str">
            <v>PLNT</v>
          </cell>
          <cell r="L2099" t="str">
            <v>PLNT</v>
          </cell>
        </row>
        <row r="2100">
          <cell r="B2100" t="str">
            <v>P</v>
          </cell>
          <cell r="C2100" t="str">
            <v>P</v>
          </cell>
          <cell r="D2100" t="str">
            <v>P</v>
          </cell>
          <cell r="E2100" t="str">
            <v>P</v>
          </cell>
          <cell r="F2100" t="str">
            <v>P</v>
          </cell>
          <cell r="H2100" t="str">
            <v>PLNT</v>
          </cell>
          <cell r="I2100" t="str">
            <v>PLNT</v>
          </cell>
          <cell r="J2100" t="str">
            <v>PLNT</v>
          </cell>
          <cell r="K2100" t="str">
            <v>PLNT</v>
          </cell>
          <cell r="L2100" t="str">
            <v>PLNT</v>
          </cell>
        </row>
        <row r="2101"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</row>
        <row r="2102"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</row>
        <row r="2103"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</row>
        <row r="2104"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</row>
        <row r="2105">
          <cell r="B2105" t="str">
            <v>I-SITUS</v>
          </cell>
          <cell r="C2105" t="str">
            <v>I-SITUS</v>
          </cell>
          <cell r="D2105" t="str">
            <v>I-SITUS</v>
          </cell>
          <cell r="E2105" t="str">
            <v>I-SITUS</v>
          </cell>
          <cell r="F2105" t="str">
            <v>I-SITUS</v>
          </cell>
          <cell r="H2105" t="str">
            <v>PLNT</v>
          </cell>
          <cell r="I2105" t="str">
            <v>PLNT</v>
          </cell>
          <cell r="J2105" t="str">
            <v>PLNT</v>
          </cell>
          <cell r="K2105" t="str">
            <v>PLNT</v>
          </cell>
          <cell r="L2105" t="str">
            <v>PLNT</v>
          </cell>
        </row>
        <row r="2106">
          <cell r="B2106" t="str">
            <v>I-DGP</v>
          </cell>
          <cell r="C2106" t="str">
            <v>I-DGP</v>
          </cell>
          <cell r="D2106" t="str">
            <v>I-DGP</v>
          </cell>
          <cell r="E2106" t="str">
            <v>I-DGP</v>
          </cell>
          <cell r="F2106" t="str">
            <v>I-DGP</v>
          </cell>
          <cell r="H2106" t="str">
            <v>PLNT</v>
          </cell>
          <cell r="I2106" t="str">
            <v>PLNT</v>
          </cell>
          <cell r="J2106" t="str">
            <v>PLNT</v>
          </cell>
          <cell r="K2106" t="str">
            <v>PLNT</v>
          </cell>
          <cell r="L2106" t="str">
            <v>PLNT</v>
          </cell>
        </row>
        <row r="2107">
          <cell r="B2107" t="str">
            <v>I-DGU</v>
          </cell>
          <cell r="C2107" t="str">
            <v>I-DGU</v>
          </cell>
          <cell r="D2107" t="str">
            <v>I-DGU</v>
          </cell>
          <cell r="E2107" t="str">
            <v>I-DGU</v>
          </cell>
          <cell r="F2107" t="str">
            <v>I-DGU</v>
          </cell>
          <cell r="H2107" t="str">
            <v>PLNT</v>
          </cell>
          <cell r="I2107" t="str">
            <v>PLNT</v>
          </cell>
          <cell r="J2107" t="str">
            <v>PLNT</v>
          </cell>
          <cell r="K2107" t="str">
            <v>PLNT</v>
          </cell>
          <cell r="L2107" t="str">
            <v>PLNT</v>
          </cell>
        </row>
        <row r="2108">
          <cell r="B2108" t="str">
            <v>P</v>
          </cell>
          <cell r="C2108" t="str">
            <v>P</v>
          </cell>
          <cell r="D2108" t="str">
            <v>P</v>
          </cell>
          <cell r="E2108" t="str">
            <v>P</v>
          </cell>
          <cell r="F2108" t="str">
            <v>P</v>
          </cell>
          <cell r="H2108" t="str">
            <v>PLNT</v>
          </cell>
          <cell r="I2108" t="str">
            <v>PLNT</v>
          </cell>
          <cell r="J2108" t="str">
            <v>PLNT</v>
          </cell>
          <cell r="K2108" t="str">
            <v>PLNT</v>
          </cell>
          <cell r="L2108" t="str">
            <v>PLNT</v>
          </cell>
        </row>
        <row r="2109">
          <cell r="B2109" t="str">
            <v>I-SG</v>
          </cell>
          <cell r="C2109" t="str">
            <v>I-SG</v>
          </cell>
          <cell r="D2109" t="str">
            <v>I-SG</v>
          </cell>
          <cell r="E2109" t="str">
            <v>I-SG</v>
          </cell>
          <cell r="F2109" t="str">
            <v>I-SG</v>
          </cell>
          <cell r="H2109" t="str">
            <v>PLNT</v>
          </cell>
          <cell r="I2109" t="str">
            <v>PLNT</v>
          </cell>
          <cell r="J2109" t="str">
            <v>PLNT</v>
          </cell>
          <cell r="K2109" t="str">
            <v>PLNT</v>
          </cell>
          <cell r="L2109" t="str">
            <v>PLNT</v>
          </cell>
        </row>
        <row r="2110">
          <cell r="B2110" t="str">
            <v>I-SG</v>
          </cell>
          <cell r="C2110" t="str">
            <v>I-SG</v>
          </cell>
          <cell r="D2110" t="str">
            <v>I-SG</v>
          </cell>
          <cell r="E2110" t="str">
            <v>I-SG</v>
          </cell>
          <cell r="F2110" t="str">
            <v>I-SG</v>
          </cell>
          <cell r="H2110" t="str">
            <v>PLNT</v>
          </cell>
          <cell r="I2110" t="str">
            <v>PLNT</v>
          </cell>
          <cell r="J2110" t="str">
            <v>PLNT</v>
          </cell>
          <cell r="K2110" t="str">
            <v>PLNT</v>
          </cell>
          <cell r="L2110" t="str">
            <v>PLNT</v>
          </cell>
        </row>
        <row r="2111">
          <cell r="B2111" t="str">
            <v>I-SG</v>
          </cell>
          <cell r="C2111" t="str">
            <v>I-SG</v>
          </cell>
          <cell r="D2111" t="str">
            <v>I-SG</v>
          </cell>
          <cell r="E2111" t="str">
            <v>I-SG</v>
          </cell>
          <cell r="F2111" t="str">
            <v>I-SG</v>
          </cell>
          <cell r="H2111" t="str">
            <v>PLNT</v>
          </cell>
          <cell r="I2111" t="str">
            <v>PLNT</v>
          </cell>
          <cell r="J2111" t="str">
            <v>PLNT</v>
          </cell>
          <cell r="K2111" t="str">
            <v>PLNT</v>
          </cell>
          <cell r="L2111" t="str">
            <v>PLNT</v>
          </cell>
        </row>
        <row r="2112">
          <cell r="B2112" t="str">
            <v>CUST</v>
          </cell>
          <cell r="C2112" t="str">
            <v>CUST</v>
          </cell>
          <cell r="D2112" t="str">
            <v>CUST</v>
          </cell>
          <cell r="E2112" t="str">
            <v>CUST</v>
          </cell>
          <cell r="F2112" t="str">
            <v>CUST</v>
          </cell>
          <cell r="H2112" t="str">
            <v>CUST</v>
          </cell>
          <cell r="I2112" t="str">
            <v>CUST</v>
          </cell>
          <cell r="J2112" t="str">
            <v>CUST</v>
          </cell>
          <cell r="K2112" t="str">
            <v>CUST</v>
          </cell>
          <cell r="L2112" t="str">
            <v>CUST</v>
          </cell>
        </row>
        <row r="2113">
          <cell r="B2113" t="str">
            <v>P</v>
          </cell>
          <cell r="C2113" t="str">
            <v>P</v>
          </cell>
          <cell r="D2113" t="str">
            <v>P</v>
          </cell>
          <cell r="E2113" t="str">
            <v>P</v>
          </cell>
          <cell r="F2113" t="str">
            <v>P</v>
          </cell>
          <cell r="H2113" t="str">
            <v>PLNT</v>
          </cell>
          <cell r="I2113" t="str">
            <v>PLNT</v>
          </cell>
          <cell r="J2113" t="str">
            <v>PLNT</v>
          </cell>
          <cell r="K2113" t="str">
            <v>PLNT</v>
          </cell>
          <cell r="L2113" t="str">
            <v>PLNT</v>
          </cell>
        </row>
        <row r="2114">
          <cell r="B2114" t="str">
            <v>P</v>
          </cell>
          <cell r="C2114" t="str">
            <v>P</v>
          </cell>
          <cell r="D2114" t="str">
            <v>P</v>
          </cell>
          <cell r="E2114" t="str">
            <v>P</v>
          </cell>
          <cell r="F2114" t="str">
            <v>P</v>
          </cell>
          <cell r="H2114" t="str">
            <v>PLNT</v>
          </cell>
          <cell r="I2114" t="str">
            <v>PLNT</v>
          </cell>
          <cell r="J2114" t="str">
            <v>PLNT</v>
          </cell>
          <cell r="K2114" t="str">
            <v>PLNT</v>
          </cell>
          <cell r="L2114" t="str">
            <v>PLNT</v>
          </cell>
        </row>
        <row r="2115">
          <cell r="B2115" t="str">
            <v>PTD</v>
          </cell>
          <cell r="C2115" t="str">
            <v>PTD</v>
          </cell>
          <cell r="D2115" t="str">
            <v>PTD</v>
          </cell>
          <cell r="E2115" t="str">
            <v>PTD</v>
          </cell>
          <cell r="F2115" t="str">
            <v>PTD</v>
          </cell>
          <cell r="H2115" t="str">
            <v>PLNT</v>
          </cell>
          <cell r="I2115" t="str">
            <v>PLNT</v>
          </cell>
          <cell r="J2115" t="str">
            <v>PLNT</v>
          </cell>
          <cell r="K2115" t="str">
            <v>PLNT</v>
          </cell>
          <cell r="L2115" t="str">
            <v>PLNT</v>
          </cell>
        </row>
        <row r="2116"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</row>
        <row r="2117"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B2118" t="str">
            <v>NUTIL</v>
          </cell>
          <cell r="C2118" t="str">
            <v>NUTIL</v>
          </cell>
          <cell r="D2118" t="str">
            <v>NUTIL</v>
          </cell>
          <cell r="E2118" t="str">
            <v>NUTIL</v>
          </cell>
          <cell r="F2118" t="str">
            <v>NUTIL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</row>
        <row r="2119"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</row>
        <row r="2121"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</row>
        <row r="2122">
          <cell r="B2122" t="str">
            <v>G-SITUS</v>
          </cell>
          <cell r="C2122" t="str">
            <v>G-SITUS</v>
          </cell>
          <cell r="D2122" t="str">
            <v>G-SITUS</v>
          </cell>
          <cell r="E2122" t="str">
            <v>G-SITUS</v>
          </cell>
          <cell r="F2122" t="str">
            <v>G-SITUS</v>
          </cell>
          <cell r="H2122" t="str">
            <v>PLNT</v>
          </cell>
          <cell r="I2122" t="str">
            <v>PLNT</v>
          </cell>
          <cell r="J2122" t="str">
            <v>PLNT</v>
          </cell>
          <cell r="K2122" t="str">
            <v>PLNT</v>
          </cell>
          <cell r="L2122" t="str">
            <v>PLNT</v>
          </cell>
        </row>
        <row r="2123">
          <cell r="B2123" t="str">
            <v>P</v>
          </cell>
          <cell r="C2123" t="str">
            <v>P</v>
          </cell>
          <cell r="D2123" t="str">
            <v>P</v>
          </cell>
          <cell r="E2123" t="str">
            <v>P</v>
          </cell>
          <cell r="F2123" t="str">
            <v>P</v>
          </cell>
          <cell r="H2123" t="str">
            <v>PLNT</v>
          </cell>
          <cell r="I2123" t="str">
            <v>PLNT</v>
          </cell>
          <cell r="J2123" t="str">
            <v>PLNT</v>
          </cell>
          <cell r="K2123" t="str">
            <v>PLNT</v>
          </cell>
          <cell r="L2123" t="str">
            <v>PLNT</v>
          </cell>
        </row>
        <row r="2124">
          <cell r="B2124" t="str">
            <v>PTD</v>
          </cell>
          <cell r="C2124" t="str">
            <v>PTD</v>
          </cell>
          <cell r="D2124" t="str">
            <v>PTD</v>
          </cell>
          <cell r="E2124" t="str">
            <v>PTD</v>
          </cell>
          <cell r="F2124" t="str">
            <v>PTD</v>
          </cell>
          <cell r="H2124" t="str">
            <v>PLNT</v>
          </cell>
          <cell r="I2124" t="str">
            <v>PLNT</v>
          </cell>
          <cell r="J2124" t="str">
            <v>PLNT</v>
          </cell>
          <cell r="K2124" t="str">
            <v>PLNT</v>
          </cell>
          <cell r="L2124" t="str">
            <v>PLNT</v>
          </cell>
        </row>
      </sheetData>
      <sheetData sheetId="33">
        <row r="11">
          <cell r="B11" t="str">
            <v>DIS
SUBS</v>
          </cell>
          <cell r="C11" t="str">
            <v>DIS
P &amp; C</v>
          </cell>
          <cell r="D11" t="str">
            <v>DIS
XFMR</v>
          </cell>
          <cell r="E11" t="str">
            <v>DIS
SERVICE</v>
          </cell>
          <cell r="F11" t="str">
            <v>DIS
METER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</row>
        <row r="15">
          <cell r="A15" t="str">
            <v>SERV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</row>
        <row r="16">
          <cell r="A16" t="str">
            <v>METR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PLNT</v>
          </cell>
          <cell r="B19">
            <v>0.16351148859853293</v>
          </cell>
          <cell r="C19">
            <v>0.4976042979212642</v>
          </cell>
          <cell r="D19">
            <v>0.19209296581267485</v>
          </cell>
          <cell r="E19">
            <v>0.11509280904613828</v>
          </cell>
          <cell r="F19">
            <v>3.1698438621389588E-2</v>
          </cell>
        </row>
        <row r="20">
          <cell r="A20" t="str">
            <v>PLNT2</v>
          </cell>
          <cell r="B20">
            <v>0.24732655297686884</v>
          </cell>
          <cell r="C20">
            <v>0.7526734470231311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DISom</v>
          </cell>
          <cell r="B21">
            <v>9.7792734621011915E-2</v>
          </cell>
          <cell r="C21">
            <v>0.87795852878669345</v>
          </cell>
          <cell r="D21">
            <v>7.9301289741138554E-3</v>
          </cell>
          <cell r="E21">
            <v>0</v>
          </cell>
          <cell r="F21">
            <v>1.6318607618180596E-2</v>
          </cell>
        </row>
        <row r="22">
          <cell r="A22" t="str">
            <v>INTN</v>
          </cell>
          <cell r="B22">
            <v>0.16351148859853293</v>
          </cell>
          <cell r="C22">
            <v>0.4976042979212642</v>
          </cell>
          <cell r="D22">
            <v>0.19209296581267485</v>
          </cell>
          <cell r="E22">
            <v>0.11509280904613826</v>
          </cell>
          <cell r="F22">
            <v>3.1698438621389588E-2</v>
          </cell>
        </row>
        <row r="23">
          <cell r="A23" t="str">
            <v>GENL</v>
          </cell>
          <cell r="B23">
            <v>0.16351148859853296</v>
          </cell>
          <cell r="C23">
            <v>0.49760429792126426</v>
          </cell>
          <cell r="D23">
            <v>0.19209296581267482</v>
          </cell>
          <cell r="E23">
            <v>0.11509280904613829</v>
          </cell>
          <cell r="F23">
            <v>3.1698438621389588E-2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DRB</v>
          </cell>
          <cell r="B25">
            <v>0.18768206763892728</v>
          </cell>
          <cell r="C25">
            <v>0.47152544535443786</v>
          </cell>
          <cell r="D25">
            <v>0.20706429946211929</v>
          </cell>
          <cell r="E25">
            <v>0.11012283304048104</v>
          </cell>
          <cell r="F25">
            <v>2.3605354504034597E-2</v>
          </cell>
        </row>
      </sheetData>
      <sheetData sheetId="34">
        <row r="3">
          <cell r="D3" t="str">
            <v>2020 Protocol</v>
          </cell>
          <cell r="E3" t="str">
            <v>2020 Protocol</v>
          </cell>
          <cell r="F3">
            <v>0</v>
          </cell>
          <cell r="G3" t="str">
            <v>Option-1</v>
          </cell>
        </row>
        <row r="4">
          <cell r="D4" t="str">
            <v>(Non-Wgt)</v>
          </cell>
          <cell r="E4" t="str">
            <v>(Monthly Wgt)</v>
          </cell>
          <cell r="F4" t="str">
            <v>Rolled-In</v>
          </cell>
          <cell r="G4" t="str">
            <v>(Undefined)</v>
          </cell>
        </row>
        <row r="5">
          <cell r="D5" t="str">
            <v>C</v>
          </cell>
          <cell r="E5" t="str">
            <v>C</v>
          </cell>
          <cell r="F5" t="str">
            <v>C</v>
          </cell>
          <cell r="G5" t="str">
            <v>C</v>
          </cell>
        </row>
        <row r="6">
          <cell r="D6" t="str">
            <v>COS
Factor</v>
          </cell>
          <cell r="E6" t="str">
            <v>COS
Factor</v>
          </cell>
          <cell r="F6" t="str">
            <v>COS
Factor</v>
          </cell>
          <cell r="G6" t="str">
            <v>COS
Factor</v>
          </cell>
        </row>
        <row r="7">
          <cell r="D7" t="str">
            <v>A</v>
          </cell>
          <cell r="E7" t="str">
            <v>A</v>
          </cell>
          <cell r="F7" t="str">
            <v>A</v>
          </cell>
          <cell r="G7" t="str">
            <v>A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D9" t="str">
            <v>A</v>
          </cell>
          <cell r="E9" t="str">
            <v>A</v>
          </cell>
          <cell r="F9" t="str">
            <v>A</v>
          </cell>
          <cell r="G9" t="str">
            <v>A</v>
          </cell>
        </row>
        <row r="10">
          <cell r="D10" t="str">
            <v>F10</v>
          </cell>
          <cell r="E10" t="str">
            <v>F10</v>
          </cell>
          <cell r="F10" t="str">
            <v>F10</v>
          </cell>
          <cell r="G10" t="str">
            <v>F10</v>
          </cell>
        </row>
        <row r="11">
          <cell r="D11" t="str">
            <v>F30</v>
          </cell>
          <cell r="E11" t="str">
            <v>F30</v>
          </cell>
          <cell r="F11" t="str">
            <v>F30</v>
          </cell>
          <cell r="G11" t="str">
            <v>F30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D14" t="str">
            <v>A</v>
          </cell>
          <cell r="E14" t="str">
            <v>A</v>
          </cell>
          <cell r="F14" t="str">
            <v>A</v>
          </cell>
          <cell r="G14" t="str">
            <v>A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 t="str">
            <v>A</v>
          </cell>
          <cell r="E16" t="str">
            <v>A</v>
          </cell>
          <cell r="F16" t="str">
            <v>A</v>
          </cell>
          <cell r="G16" t="str">
            <v>A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D18" t="str">
            <v>A</v>
          </cell>
          <cell r="E18" t="str">
            <v>A</v>
          </cell>
          <cell r="F18" t="str">
            <v>A</v>
          </cell>
          <cell r="G18" t="str">
            <v>A</v>
          </cell>
        </row>
        <row r="19">
          <cell r="D19" t="str">
            <v>F10</v>
          </cell>
          <cell r="E19" t="str">
            <v>F10</v>
          </cell>
          <cell r="F19" t="str">
            <v>F10</v>
          </cell>
          <cell r="G19" t="str">
            <v>F10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D26" t="str">
            <v>F10</v>
          </cell>
          <cell r="E26" t="str">
            <v>F10</v>
          </cell>
          <cell r="F26" t="str">
            <v>F10</v>
          </cell>
          <cell r="G26" t="str">
            <v>F10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D29" t="str">
            <v>F11</v>
          </cell>
          <cell r="E29" t="str">
            <v>F11</v>
          </cell>
          <cell r="F29" t="str">
            <v>F11</v>
          </cell>
          <cell r="G29" t="str">
            <v>F11</v>
          </cell>
        </row>
        <row r="30">
          <cell r="D30" t="str">
            <v>F10</v>
          </cell>
          <cell r="E30" t="str">
            <v>F10</v>
          </cell>
          <cell r="F30" t="str">
            <v>F10</v>
          </cell>
          <cell r="G30" t="str">
            <v>F10</v>
          </cell>
        </row>
        <row r="31">
          <cell r="D31" t="str">
            <v>F10</v>
          </cell>
          <cell r="E31" t="str">
            <v>F85</v>
          </cell>
          <cell r="F31" t="str">
            <v>F10</v>
          </cell>
          <cell r="G31" t="str">
            <v>F10</v>
          </cell>
        </row>
        <row r="32">
          <cell r="D32" t="str">
            <v>F30</v>
          </cell>
          <cell r="E32" t="str">
            <v>F86</v>
          </cell>
          <cell r="F32" t="str">
            <v>F30</v>
          </cell>
          <cell r="G32" t="str">
            <v>F30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D35" t="str">
            <v>F11</v>
          </cell>
          <cell r="E35" t="str">
            <v>F11</v>
          </cell>
          <cell r="F35" t="str">
            <v>F11</v>
          </cell>
          <cell r="G35" t="str">
            <v>F11</v>
          </cell>
        </row>
        <row r="36">
          <cell r="D36" t="str">
            <v>F10</v>
          </cell>
          <cell r="E36" t="str">
            <v>F10</v>
          </cell>
          <cell r="F36" t="str">
            <v>F10</v>
          </cell>
          <cell r="G36" t="str">
            <v>F10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D38" t="str">
            <v>F140x</v>
          </cell>
          <cell r="E38" t="str">
            <v>F140x</v>
          </cell>
          <cell r="F38" t="str">
            <v>F140x</v>
          </cell>
          <cell r="G38" t="str">
            <v>F140x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D40" t="str">
            <v>A</v>
          </cell>
          <cell r="E40" t="str">
            <v>A</v>
          </cell>
          <cell r="F40" t="str">
            <v>A</v>
          </cell>
          <cell r="G40" t="str">
            <v>A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D45" t="str">
            <v>A</v>
          </cell>
          <cell r="E45" t="str">
            <v>A</v>
          </cell>
          <cell r="F45" t="str">
            <v>A</v>
          </cell>
          <cell r="G45" t="str">
            <v>A</v>
          </cell>
        </row>
        <row r="46">
          <cell r="D46" t="str">
            <v>F40</v>
          </cell>
          <cell r="E46" t="str">
            <v>F40</v>
          </cell>
          <cell r="F46" t="str">
            <v>F40</v>
          </cell>
          <cell r="G46" t="str">
            <v>F40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D49" t="str">
            <v>A</v>
          </cell>
          <cell r="E49" t="str">
            <v>A</v>
          </cell>
          <cell r="F49" t="str">
            <v>A</v>
          </cell>
          <cell r="G49" t="str">
            <v>A</v>
          </cell>
        </row>
        <row r="50">
          <cell r="D50" t="str">
            <v>F10</v>
          </cell>
          <cell r="E50" t="str">
            <v>F10</v>
          </cell>
          <cell r="F50" t="str">
            <v>F10</v>
          </cell>
          <cell r="G50" t="str">
            <v>F10</v>
          </cell>
        </row>
        <row r="51">
          <cell r="D51" t="str">
            <v>F40</v>
          </cell>
          <cell r="E51" t="str">
            <v>F40</v>
          </cell>
          <cell r="F51" t="str">
            <v>F40</v>
          </cell>
          <cell r="G51" t="str">
            <v>F40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D54" t="str">
            <v>F10</v>
          </cell>
          <cell r="E54" t="str">
            <v>F10</v>
          </cell>
          <cell r="F54" t="str">
            <v>F10</v>
          </cell>
          <cell r="G54" t="str">
            <v>F10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D56" t="str">
            <v>A</v>
          </cell>
          <cell r="E56" t="str">
            <v>A</v>
          </cell>
          <cell r="F56" t="str">
            <v>A</v>
          </cell>
          <cell r="G56" t="str">
            <v>A</v>
          </cell>
        </row>
        <row r="57">
          <cell r="D57" t="str">
            <v>F10</v>
          </cell>
          <cell r="E57" t="str">
            <v>F10</v>
          </cell>
          <cell r="F57" t="str">
            <v>F10</v>
          </cell>
          <cell r="G57" t="str">
            <v>F10</v>
          </cell>
        </row>
        <row r="58">
          <cell r="D58" t="str">
            <v>F10</v>
          </cell>
          <cell r="E58" t="str">
            <v>F10</v>
          </cell>
          <cell r="F58" t="str">
            <v>F10</v>
          </cell>
          <cell r="G58" t="str">
            <v>F10</v>
          </cell>
        </row>
        <row r="59">
          <cell r="D59" t="str">
            <v>F102x</v>
          </cell>
          <cell r="E59" t="str">
            <v>F102x</v>
          </cell>
          <cell r="F59" t="str">
            <v>F102x</v>
          </cell>
          <cell r="G59" t="str">
            <v>F102x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D62" t="str">
            <v>A</v>
          </cell>
          <cell r="E62" t="str">
            <v>A</v>
          </cell>
          <cell r="F62" t="str">
            <v>A</v>
          </cell>
          <cell r="G62" t="str">
            <v>A</v>
          </cell>
        </row>
        <row r="63">
          <cell r="D63" t="str">
            <v>F40</v>
          </cell>
          <cell r="E63" t="str">
            <v>F40</v>
          </cell>
          <cell r="F63" t="str">
            <v>F40</v>
          </cell>
          <cell r="G63" t="str">
            <v>F40</v>
          </cell>
        </row>
        <row r="64">
          <cell r="D64" t="str">
            <v>F30</v>
          </cell>
          <cell r="E64" t="str">
            <v>F30</v>
          </cell>
          <cell r="F64" t="str">
            <v>F30</v>
          </cell>
          <cell r="G64" t="str">
            <v>F30</v>
          </cell>
        </row>
        <row r="65">
          <cell r="D65" t="str">
            <v>F10</v>
          </cell>
          <cell r="E65" t="str">
            <v>F10</v>
          </cell>
          <cell r="F65" t="str">
            <v>F10</v>
          </cell>
          <cell r="G65" t="str">
            <v>F10</v>
          </cell>
        </row>
        <row r="66">
          <cell r="D66" t="str">
            <v>F10</v>
          </cell>
          <cell r="E66" t="str">
            <v>F10</v>
          </cell>
          <cell r="F66" t="str">
            <v>F10</v>
          </cell>
          <cell r="G66" t="str">
            <v>F10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D74" t="str">
            <v>F10</v>
          </cell>
          <cell r="E74" t="str">
            <v>F10</v>
          </cell>
          <cell r="F74" t="str">
            <v>F10</v>
          </cell>
          <cell r="G74" t="str">
            <v>F10</v>
          </cell>
        </row>
        <row r="75">
          <cell r="D75" t="str">
            <v>F10</v>
          </cell>
          <cell r="E75" t="str">
            <v>F10</v>
          </cell>
          <cell r="F75" t="str">
            <v>F10</v>
          </cell>
          <cell r="G75" t="str">
            <v>F10</v>
          </cell>
        </row>
        <row r="76">
          <cell r="D76" t="str">
            <v>F30</v>
          </cell>
          <cell r="E76" t="str">
            <v>F30</v>
          </cell>
          <cell r="F76" t="str">
            <v>F30</v>
          </cell>
          <cell r="G76" t="str">
            <v>F30</v>
          </cell>
        </row>
        <row r="77">
          <cell r="D77" t="str">
            <v>F10</v>
          </cell>
          <cell r="E77" t="str">
            <v>F10</v>
          </cell>
          <cell r="F77" t="str">
            <v>F10</v>
          </cell>
          <cell r="G77" t="str">
            <v>F10</v>
          </cell>
        </row>
        <row r="78">
          <cell r="D78" t="str">
            <v>F10</v>
          </cell>
          <cell r="E78" t="str">
            <v>F10</v>
          </cell>
          <cell r="F78" t="str">
            <v>F10</v>
          </cell>
          <cell r="G78" t="str">
            <v>F10</v>
          </cell>
        </row>
        <row r="79">
          <cell r="D79" t="str">
            <v>F10</v>
          </cell>
          <cell r="E79" t="str">
            <v>F10</v>
          </cell>
          <cell r="F79" t="str">
            <v>F102x</v>
          </cell>
          <cell r="G79" t="str">
            <v>F10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D84" t="str">
            <v>F80</v>
          </cell>
          <cell r="E84" t="str">
            <v>F80</v>
          </cell>
          <cell r="F84" t="str">
            <v>F80</v>
          </cell>
          <cell r="G84" t="str">
            <v>F80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D87" t="str">
            <v>F105</v>
          </cell>
          <cell r="E87" t="str">
            <v>F105</v>
          </cell>
          <cell r="F87" t="str">
            <v>F105</v>
          </cell>
          <cell r="G87" t="str">
            <v>F105</v>
          </cell>
        </row>
        <row r="88">
          <cell r="D88" t="str">
            <v>F105</v>
          </cell>
          <cell r="E88" t="str">
            <v>F105</v>
          </cell>
          <cell r="F88" t="str">
            <v>F105</v>
          </cell>
          <cell r="G88" t="str">
            <v>F105</v>
          </cell>
        </row>
        <row r="89">
          <cell r="D89" t="str">
            <v>F105</v>
          </cell>
          <cell r="E89" t="str">
            <v>F105</v>
          </cell>
          <cell r="F89" t="str">
            <v>F105</v>
          </cell>
          <cell r="G89" t="str">
            <v>F105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D97" t="str">
            <v>C</v>
          </cell>
          <cell r="E97" t="str">
            <v>C</v>
          </cell>
          <cell r="F97" t="str">
            <v>C</v>
          </cell>
          <cell r="G97" t="str">
            <v>C</v>
          </cell>
        </row>
        <row r="98">
          <cell r="D98" t="str">
            <v>COS
Factor</v>
          </cell>
          <cell r="E98" t="str">
            <v>COS
Factor</v>
          </cell>
          <cell r="F98" t="str">
            <v>COS
Factor</v>
          </cell>
          <cell r="G98" t="str">
            <v>COS
Factor</v>
          </cell>
        </row>
        <row r="99">
          <cell r="D99" t="str">
            <v>F10</v>
          </cell>
          <cell r="E99" t="str">
            <v>F10</v>
          </cell>
          <cell r="F99" t="str">
            <v>F10</v>
          </cell>
          <cell r="G99" t="str">
            <v>F10</v>
          </cell>
        </row>
        <row r="100">
          <cell r="D100" t="str">
            <v>F10</v>
          </cell>
          <cell r="E100" t="str">
            <v>F10</v>
          </cell>
          <cell r="F100" t="str">
            <v>F10</v>
          </cell>
          <cell r="G100" t="str">
            <v>F10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D103" t="str">
            <v>F30</v>
          </cell>
          <cell r="E103" t="str">
            <v>F90</v>
          </cell>
          <cell r="F103" t="str">
            <v>F30</v>
          </cell>
          <cell r="G103" t="str">
            <v>F30</v>
          </cell>
        </row>
        <row r="104">
          <cell r="D104" t="str">
            <v>F30</v>
          </cell>
          <cell r="E104" t="str">
            <v>F30</v>
          </cell>
          <cell r="F104" t="str">
            <v>F30</v>
          </cell>
          <cell r="G104" t="str">
            <v>F30</v>
          </cell>
        </row>
        <row r="105">
          <cell r="D105" t="str">
            <v>F30</v>
          </cell>
          <cell r="E105" t="str">
            <v>F93</v>
          </cell>
          <cell r="F105" t="str">
            <v>F30</v>
          </cell>
          <cell r="G105" t="str">
            <v>F30</v>
          </cell>
        </row>
        <row r="106">
          <cell r="D106" t="str">
            <v>F30</v>
          </cell>
          <cell r="E106" t="str">
            <v>F30</v>
          </cell>
          <cell r="F106" t="str">
            <v>F30</v>
          </cell>
          <cell r="G106" t="str">
            <v>F30</v>
          </cell>
        </row>
        <row r="107">
          <cell r="D107" t="str">
            <v>F30</v>
          </cell>
          <cell r="E107" t="str">
            <v>F91</v>
          </cell>
          <cell r="F107" t="str">
            <v>F30</v>
          </cell>
          <cell r="G107" t="str">
            <v>F30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D110" t="str">
            <v>F10</v>
          </cell>
          <cell r="E110" t="str">
            <v>F10</v>
          </cell>
          <cell r="F110" t="str">
            <v>F10</v>
          </cell>
          <cell r="G110" t="str">
            <v>F10</v>
          </cell>
        </row>
        <row r="111">
          <cell r="D111" t="str">
            <v>F10</v>
          </cell>
          <cell r="E111" t="str">
            <v>F10</v>
          </cell>
          <cell r="F111" t="str">
            <v>F10</v>
          </cell>
          <cell r="G111" t="str">
            <v>F10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D114" t="str">
            <v>F30</v>
          </cell>
          <cell r="E114" t="str">
            <v>F94</v>
          </cell>
          <cell r="F114" t="str">
            <v>F30</v>
          </cell>
          <cell r="G114" t="str">
            <v>F30</v>
          </cell>
        </row>
        <row r="115">
          <cell r="D115" t="str">
            <v>F30</v>
          </cell>
          <cell r="E115" t="str">
            <v>F30</v>
          </cell>
          <cell r="F115" t="str">
            <v>F30</v>
          </cell>
          <cell r="G115" t="str">
            <v>F30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D118" t="str">
            <v>F10</v>
          </cell>
          <cell r="E118" t="str">
            <v>F10</v>
          </cell>
          <cell r="F118" t="str">
            <v>F10</v>
          </cell>
          <cell r="G118" t="str">
            <v>F10</v>
          </cell>
        </row>
        <row r="119">
          <cell r="D119" t="str">
            <v>F10</v>
          </cell>
          <cell r="E119" t="str">
            <v>F10</v>
          </cell>
          <cell r="F119" t="str">
            <v>F10</v>
          </cell>
          <cell r="G119" t="str">
            <v>F10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D122" t="str">
            <v>F10</v>
          </cell>
          <cell r="E122" t="str">
            <v>F10</v>
          </cell>
          <cell r="F122" t="str">
            <v>F10</v>
          </cell>
          <cell r="G122" t="str">
            <v>F10</v>
          </cell>
        </row>
        <row r="123">
          <cell r="D123" t="str">
            <v>F30</v>
          </cell>
          <cell r="E123" t="str">
            <v>F30</v>
          </cell>
          <cell r="F123" t="str">
            <v>F30</v>
          </cell>
          <cell r="G123" t="str">
            <v>F30</v>
          </cell>
        </row>
        <row r="124">
          <cell r="D124" t="str">
            <v>F10</v>
          </cell>
          <cell r="E124" t="str">
            <v>F10</v>
          </cell>
          <cell r="F124" t="str">
            <v>F10</v>
          </cell>
          <cell r="G124" t="str">
            <v>F10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D127" t="str">
            <v>F10</v>
          </cell>
          <cell r="E127" t="str">
            <v>F10</v>
          </cell>
          <cell r="F127" t="str">
            <v>F10</v>
          </cell>
          <cell r="G127" t="str">
            <v>F10</v>
          </cell>
        </row>
        <row r="128">
          <cell r="D128" t="str">
            <v>F10</v>
          </cell>
          <cell r="E128" t="str">
            <v>F10</v>
          </cell>
          <cell r="F128" t="str">
            <v>F10</v>
          </cell>
          <cell r="G128" t="str">
            <v>F10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D131" t="str">
            <v>F10</v>
          </cell>
          <cell r="E131" t="str">
            <v>F10</v>
          </cell>
          <cell r="F131" t="str">
            <v>F10</v>
          </cell>
          <cell r="G131" t="str">
            <v>F10</v>
          </cell>
        </row>
        <row r="132">
          <cell r="D132" t="str">
            <v>F10</v>
          </cell>
          <cell r="E132" t="str">
            <v>F10</v>
          </cell>
          <cell r="F132" t="str">
            <v>F10</v>
          </cell>
          <cell r="G132" t="str">
            <v>F10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D135" t="str">
            <v>F10</v>
          </cell>
          <cell r="E135" t="str">
            <v>F10</v>
          </cell>
          <cell r="F135" t="str">
            <v>F10</v>
          </cell>
          <cell r="G135" t="str">
            <v>F10</v>
          </cell>
        </row>
        <row r="136">
          <cell r="D136" t="str">
            <v>F10</v>
          </cell>
          <cell r="E136" t="str">
            <v>F10</v>
          </cell>
          <cell r="F136" t="str">
            <v>F10</v>
          </cell>
          <cell r="G136" t="str">
            <v>F10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D139" t="str">
            <v>F10</v>
          </cell>
          <cell r="E139" t="str">
            <v>F10</v>
          </cell>
          <cell r="F139" t="str">
            <v>F10</v>
          </cell>
          <cell r="G139" t="str">
            <v>F10</v>
          </cell>
        </row>
        <row r="140">
          <cell r="D140" t="str">
            <v>F10</v>
          </cell>
          <cell r="E140" t="str">
            <v>F10</v>
          </cell>
          <cell r="F140" t="str">
            <v>F10</v>
          </cell>
          <cell r="G140" t="str">
            <v>F10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D143" t="str">
            <v>F10</v>
          </cell>
          <cell r="E143" t="str">
            <v>F10</v>
          </cell>
          <cell r="F143" t="str">
            <v>F10</v>
          </cell>
          <cell r="G143" t="str">
            <v>F10</v>
          </cell>
        </row>
        <row r="144">
          <cell r="D144" t="str">
            <v>F10</v>
          </cell>
          <cell r="E144" t="str">
            <v>F10</v>
          </cell>
          <cell r="F144" t="str">
            <v>F10</v>
          </cell>
          <cell r="G144" t="str">
            <v>F10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D147" t="str">
            <v>F10</v>
          </cell>
          <cell r="E147" t="str">
            <v>F10</v>
          </cell>
          <cell r="F147" t="str">
            <v>F10</v>
          </cell>
          <cell r="G147" t="str">
            <v>F10</v>
          </cell>
        </row>
        <row r="148">
          <cell r="D148" t="str">
            <v>F10</v>
          </cell>
          <cell r="E148" t="str">
            <v>F10</v>
          </cell>
          <cell r="F148" t="str">
            <v>F10</v>
          </cell>
          <cell r="G148" t="str">
            <v>F10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D157" t="str">
            <v>F10</v>
          </cell>
          <cell r="E157" t="str">
            <v>F10</v>
          </cell>
          <cell r="F157" t="str">
            <v>F10</v>
          </cell>
          <cell r="G157" t="str">
            <v>F10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D159" t="str">
            <v>F30</v>
          </cell>
          <cell r="E159" t="str">
            <v>F30</v>
          </cell>
          <cell r="F159" t="str">
            <v>F30</v>
          </cell>
          <cell r="G159" t="str">
            <v>F30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D161" t="str">
            <v>F10</v>
          </cell>
          <cell r="E161" t="str">
            <v>F10</v>
          </cell>
          <cell r="F161" t="str">
            <v>F10</v>
          </cell>
          <cell r="G161" t="str">
            <v>F10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D163" t="str">
            <v>F10</v>
          </cell>
          <cell r="E163" t="str">
            <v>F10</v>
          </cell>
          <cell r="F163" t="str">
            <v>F10</v>
          </cell>
          <cell r="G163" t="str">
            <v>F10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D165" t="str">
            <v>F10</v>
          </cell>
          <cell r="E165" t="str">
            <v>F10</v>
          </cell>
          <cell r="F165" t="str">
            <v>F10</v>
          </cell>
          <cell r="G165" t="str">
            <v>F10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D167" t="str">
            <v>F10</v>
          </cell>
          <cell r="E167" t="str">
            <v>F10</v>
          </cell>
          <cell r="F167" t="str">
            <v>F10</v>
          </cell>
          <cell r="G167" t="str">
            <v>F10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D169" t="str">
            <v>F10</v>
          </cell>
          <cell r="E169" t="str">
            <v>F10</v>
          </cell>
          <cell r="F169" t="str">
            <v>F10</v>
          </cell>
          <cell r="G169" t="str">
            <v>F10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D171" t="str">
            <v>F10</v>
          </cell>
          <cell r="E171" t="str">
            <v>F10</v>
          </cell>
          <cell r="F171" t="str">
            <v>F10</v>
          </cell>
          <cell r="G171" t="str">
            <v>F10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D173" t="str">
            <v>F10</v>
          </cell>
          <cell r="E173" t="str">
            <v>F10</v>
          </cell>
          <cell r="F173" t="str">
            <v>F10</v>
          </cell>
          <cell r="G173" t="str">
            <v>F10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D175" t="str">
            <v>F10</v>
          </cell>
          <cell r="E175" t="str">
            <v>F10</v>
          </cell>
          <cell r="F175" t="str">
            <v>F10</v>
          </cell>
          <cell r="G175" t="str">
            <v>F10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D177" t="str">
            <v>F10</v>
          </cell>
          <cell r="E177" t="str">
            <v>F10</v>
          </cell>
          <cell r="F177" t="str">
            <v>F10</v>
          </cell>
          <cell r="G177" t="str">
            <v>F10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D185" t="str">
            <v>C</v>
          </cell>
          <cell r="E185" t="str">
            <v>C</v>
          </cell>
          <cell r="F185" t="str">
            <v>C</v>
          </cell>
          <cell r="G185" t="str">
            <v>C</v>
          </cell>
        </row>
        <row r="186">
          <cell r="D186" t="str">
            <v>COS
Factor</v>
          </cell>
          <cell r="E186" t="str">
            <v>COS
Factor</v>
          </cell>
          <cell r="F186" t="str">
            <v>COS
Factor</v>
          </cell>
          <cell r="G186" t="str">
            <v>COS
Factor</v>
          </cell>
        </row>
        <row r="187">
          <cell r="D187" t="str">
            <v>F10</v>
          </cell>
          <cell r="E187" t="str">
            <v>F10</v>
          </cell>
          <cell r="F187" t="str">
            <v>F10</v>
          </cell>
          <cell r="G187" t="str">
            <v>F10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D189" t="str">
            <v>F10</v>
          </cell>
          <cell r="E189" t="str">
            <v>F10</v>
          </cell>
          <cell r="F189" t="str">
            <v>F10</v>
          </cell>
          <cell r="G189" t="str">
            <v>F10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D191" t="str">
            <v>F10</v>
          </cell>
          <cell r="E191" t="str">
            <v>F10</v>
          </cell>
          <cell r="F191" t="str">
            <v>F10</v>
          </cell>
          <cell r="G191" t="str">
            <v>F10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D193" t="str">
            <v>F10</v>
          </cell>
          <cell r="E193" t="str">
            <v>F10</v>
          </cell>
          <cell r="F193" t="str">
            <v>F10</v>
          </cell>
          <cell r="G193" t="str">
            <v>F10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D195" t="str">
            <v>F10</v>
          </cell>
          <cell r="E195" t="str">
            <v>F10</v>
          </cell>
          <cell r="F195" t="str">
            <v>F10</v>
          </cell>
          <cell r="G195" t="str">
            <v>F10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D197" t="str">
            <v>F10</v>
          </cell>
          <cell r="E197" t="str">
            <v>F10</v>
          </cell>
          <cell r="F197" t="str">
            <v>F10</v>
          </cell>
          <cell r="G197" t="str">
            <v>F10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D199" t="str">
            <v>F10</v>
          </cell>
          <cell r="E199" t="str">
            <v>F10</v>
          </cell>
          <cell r="F199" t="str">
            <v>F10</v>
          </cell>
          <cell r="G199" t="str">
            <v>F10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D201" t="str">
            <v>F10</v>
          </cell>
          <cell r="E201" t="str">
            <v>F10</v>
          </cell>
          <cell r="F201" t="str">
            <v>F10</v>
          </cell>
          <cell r="G201" t="str">
            <v>F10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D203" t="str">
            <v>F10</v>
          </cell>
          <cell r="E203" t="str">
            <v>F10</v>
          </cell>
          <cell r="F203" t="str">
            <v>F10</v>
          </cell>
          <cell r="G203" t="str">
            <v>F10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D205" t="str">
            <v>F10</v>
          </cell>
          <cell r="E205" t="str">
            <v>F10</v>
          </cell>
          <cell r="F205" t="str">
            <v>F10</v>
          </cell>
          <cell r="G205" t="str">
            <v>F10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D207" t="str">
            <v>F10</v>
          </cell>
          <cell r="E207" t="str">
            <v>F10</v>
          </cell>
          <cell r="F207" t="str">
            <v>F10</v>
          </cell>
          <cell r="G207" t="str">
            <v>F10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D215" t="str">
            <v>F10</v>
          </cell>
          <cell r="E215" t="str">
            <v>F10</v>
          </cell>
          <cell r="F215" t="str">
            <v>F10</v>
          </cell>
          <cell r="G215" t="str">
            <v>F10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 t="str">
            <v>F30</v>
          </cell>
          <cell r="E217" t="str">
            <v>F92</v>
          </cell>
          <cell r="F217" t="str">
            <v>F30</v>
          </cell>
          <cell r="G217" t="str">
            <v>F30</v>
          </cell>
        </row>
        <row r="218">
          <cell r="D218" t="str">
            <v>F30</v>
          </cell>
          <cell r="E218" t="str">
            <v>F93</v>
          </cell>
          <cell r="F218" t="str">
            <v>F30</v>
          </cell>
          <cell r="G218" t="str">
            <v>F30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D221" t="str">
            <v>F10</v>
          </cell>
          <cell r="E221" t="str">
            <v>F10</v>
          </cell>
          <cell r="F221" t="str">
            <v>F10</v>
          </cell>
          <cell r="G221" t="str">
            <v>F10</v>
          </cell>
        </row>
        <row r="222">
          <cell r="D222" t="str">
            <v>F10</v>
          </cell>
          <cell r="E222" t="str">
            <v>F10</v>
          </cell>
          <cell r="F222" t="str">
            <v>F10</v>
          </cell>
          <cell r="G222" t="str">
            <v>F10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D225" t="str">
            <v>F10</v>
          </cell>
          <cell r="E225" t="str">
            <v>F10</v>
          </cell>
          <cell r="F225" t="str">
            <v>F10</v>
          </cell>
          <cell r="G225" t="str">
            <v>F10</v>
          </cell>
        </row>
        <row r="226">
          <cell r="D226" t="str">
            <v>F10</v>
          </cell>
          <cell r="E226" t="str">
            <v>F10</v>
          </cell>
          <cell r="F226" t="str">
            <v>F10</v>
          </cell>
          <cell r="G226" t="str">
            <v>F10</v>
          </cell>
        </row>
        <row r="227">
          <cell r="D227" t="str">
            <v>F10</v>
          </cell>
          <cell r="E227" t="str">
            <v>F10</v>
          </cell>
          <cell r="F227" t="str">
            <v>F10</v>
          </cell>
          <cell r="G227" t="str">
            <v>F10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D230" t="str">
            <v>F10</v>
          </cell>
          <cell r="E230" t="str">
            <v>F10</v>
          </cell>
          <cell r="F230" t="str">
            <v>F10</v>
          </cell>
          <cell r="G230" t="str">
            <v>F10</v>
          </cell>
        </row>
        <row r="231">
          <cell r="D231" t="str">
            <v>F10</v>
          </cell>
          <cell r="E231" t="str">
            <v>F10</v>
          </cell>
          <cell r="F231" t="str">
            <v>F10</v>
          </cell>
          <cell r="G231" t="str">
            <v>F10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D234" t="str">
            <v>F10</v>
          </cell>
          <cell r="E234" t="str">
            <v>F10</v>
          </cell>
          <cell r="F234" t="str">
            <v>F10</v>
          </cell>
          <cell r="G234" t="str">
            <v>F10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D236" t="str">
            <v>F10</v>
          </cell>
          <cell r="E236" t="str">
            <v>F10</v>
          </cell>
          <cell r="F236" t="str">
            <v>F10</v>
          </cell>
          <cell r="G236" t="str">
            <v>F10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D238" t="str">
            <v>F10</v>
          </cell>
          <cell r="E238" t="str">
            <v>F10</v>
          </cell>
          <cell r="F238" t="str">
            <v>F10</v>
          </cell>
          <cell r="G238" t="str">
            <v>F10</v>
          </cell>
        </row>
        <row r="239">
          <cell r="D239" t="str">
            <v>F10</v>
          </cell>
          <cell r="E239" t="str">
            <v>F10</v>
          </cell>
          <cell r="F239" t="str">
            <v>F10</v>
          </cell>
          <cell r="G239" t="str">
            <v>F10</v>
          </cell>
        </row>
        <row r="240">
          <cell r="D240" t="str">
            <v>F10</v>
          </cell>
          <cell r="E240" t="str">
            <v>F10</v>
          </cell>
          <cell r="F240" t="str">
            <v>F10</v>
          </cell>
          <cell r="G240" t="str">
            <v>F10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D243" t="str">
            <v>F10</v>
          </cell>
          <cell r="E243" t="str">
            <v>F10</v>
          </cell>
          <cell r="F243" t="str">
            <v>F10</v>
          </cell>
          <cell r="G243" t="str">
            <v>F10</v>
          </cell>
        </row>
        <row r="244">
          <cell r="D244" t="str">
            <v>F10</v>
          </cell>
          <cell r="E244" t="str">
            <v>F10</v>
          </cell>
          <cell r="F244" t="str">
            <v>F10</v>
          </cell>
          <cell r="G244" t="str">
            <v>F10</v>
          </cell>
        </row>
        <row r="245">
          <cell r="D245" t="str">
            <v>F10</v>
          </cell>
          <cell r="E245" t="str">
            <v>F10</v>
          </cell>
          <cell r="F245" t="str">
            <v>F10</v>
          </cell>
          <cell r="G245" t="str">
            <v>F10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D254" t="str">
            <v>F10</v>
          </cell>
          <cell r="E254" t="str">
            <v>F10</v>
          </cell>
          <cell r="F254" t="str">
            <v>F10</v>
          </cell>
          <cell r="G254" t="str">
            <v>F10</v>
          </cell>
        </row>
        <row r="255">
          <cell r="D255" t="str">
            <v>F10</v>
          </cell>
          <cell r="E255" t="str">
            <v>F87</v>
          </cell>
          <cell r="F255" t="str">
            <v>F10</v>
          </cell>
          <cell r="G255" t="str">
            <v>F10</v>
          </cell>
        </row>
        <row r="256">
          <cell r="D256" t="str">
            <v>F30</v>
          </cell>
          <cell r="E256" t="str">
            <v>F89</v>
          </cell>
          <cell r="F256" t="str">
            <v>F30</v>
          </cell>
          <cell r="G256" t="str">
            <v>F30</v>
          </cell>
        </row>
        <row r="257">
          <cell r="D257" t="str">
            <v>F10</v>
          </cell>
          <cell r="E257" t="str">
            <v>F88</v>
          </cell>
          <cell r="F257" t="str">
            <v>F10</v>
          </cell>
          <cell r="G257" t="str">
            <v>F10</v>
          </cell>
        </row>
        <row r="258">
          <cell r="D258" t="str">
            <v>F10</v>
          </cell>
          <cell r="E258" t="str">
            <v>F88</v>
          </cell>
          <cell r="F258" t="str">
            <v>F10</v>
          </cell>
          <cell r="G258" t="str">
            <v>F10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D262" t="str">
            <v>F10</v>
          </cell>
          <cell r="E262" t="str">
            <v>F10</v>
          </cell>
          <cell r="F262" t="str">
            <v>F10</v>
          </cell>
          <cell r="G262" t="str">
            <v>F10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D264" t="str">
            <v>F10</v>
          </cell>
          <cell r="E264" t="str">
            <v>F10</v>
          </cell>
          <cell r="F264" t="str">
            <v>F10</v>
          </cell>
          <cell r="G264" t="str">
            <v>F10</v>
          </cell>
        </row>
        <row r="265">
          <cell r="D265" t="str">
            <v>F10</v>
          </cell>
          <cell r="E265" t="str">
            <v>F10</v>
          </cell>
          <cell r="F265" t="str">
            <v>F10</v>
          </cell>
          <cell r="G265" t="str">
            <v>F10</v>
          </cell>
        </row>
        <row r="266">
          <cell r="D266" t="str">
            <v>F10</v>
          </cell>
          <cell r="E266" t="str">
            <v>F10</v>
          </cell>
          <cell r="F266" t="str">
            <v>F10</v>
          </cell>
          <cell r="G266" t="str">
            <v>F10</v>
          </cell>
        </row>
        <row r="267">
          <cell r="D267" t="str">
            <v>F30</v>
          </cell>
          <cell r="E267" t="str">
            <v>F30</v>
          </cell>
          <cell r="F267" t="str">
            <v>F30</v>
          </cell>
          <cell r="G267" t="str">
            <v>F30</v>
          </cell>
        </row>
        <row r="268">
          <cell r="D268" t="str">
            <v>F10</v>
          </cell>
          <cell r="E268" t="str">
            <v>F10</v>
          </cell>
          <cell r="F268" t="str">
            <v>F10</v>
          </cell>
          <cell r="G268" t="str">
            <v>F10</v>
          </cell>
        </row>
        <row r="269">
          <cell r="D269" t="str">
            <v>F10</v>
          </cell>
          <cell r="E269" t="str">
            <v>F10</v>
          </cell>
          <cell r="F269" t="str">
            <v>F10</v>
          </cell>
          <cell r="G269" t="str">
            <v>F10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D273" t="str">
            <v>F10</v>
          </cell>
          <cell r="E273" t="str">
            <v>F10</v>
          </cell>
          <cell r="F273" t="str">
            <v>F10</v>
          </cell>
          <cell r="G273" t="str">
            <v>F10</v>
          </cell>
        </row>
        <row r="274">
          <cell r="D274" t="str">
            <v>F10</v>
          </cell>
          <cell r="E274" t="str">
            <v>F10</v>
          </cell>
          <cell r="F274" t="str">
            <v>F10</v>
          </cell>
          <cell r="G274" t="str">
            <v>F10</v>
          </cell>
        </row>
        <row r="275">
          <cell r="D275" t="str">
            <v>F10</v>
          </cell>
          <cell r="E275" t="str">
            <v>F10</v>
          </cell>
          <cell r="F275" t="str">
            <v>F10</v>
          </cell>
          <cell r="G275" t="str">
            <v>F10</v>
          </cell>
        </row>
        <row r="276">
          <cell r="D276" t="str">
            <v>F10</v>
          </cell>
          <cell r="E276" t="str">
            <v>F10</v>
          </cell>
          <cell r="F276" t="str">
            <v>F10</v>
          </cell>
          <cell r="G276" t="str">
            <v>F10</v>
          </cell>
        </row>
        <row r="277">
          <cell r="D277" t="str">
            <v>F10</v>
          </cell>
          <cell r="E277" t="str">
            <v>F10</v>
          </cell>
          <cell r="F277" t="str">
            <v>F10</v>
          </cell>
          <cell r="G277" t="str">
            <v>F10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D287" t="str">
            <v>C</v>
          </cell>
          <cell r="E287" t="str">
            <v>C</v>
          </cell>
          <cell r="F287" t="str">
            <v>C</v>
          </cell>
          <cell r="G287" t="str">
            <v>C</v>
          </cell>
        </row>
        <row r="288">
          <cell r="D288" t="str">
            <v>COS
Factor</v>
          </cell>
          <cell r="E288" t="str">
            <v>COS
Factor</v>
          </cell>
          <cell r="F288" t="str">
            <v>COS
Factor</v>
          </cell>
          <cell r="G288" t="str">
            <v>COS
Factor</v>
          </cell>
        </row>
        <row r="289">
          <cell r="D289" t="str">
            <v>F106</v>
          </cell>
          <cell r="E289" t="str">
            <v>F106</v>
          </cell>
          <cell r="F289" t="str">
            <v>F106</v>
          </cell>
          <cell r="G289" t="str">
            <v>F106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D291" t="str">
            <v>F106</v>
          </cell>
          <cell r="E291" t="str">
            <v>F106</v>
          </cell>
          <cell r="F291" t="str">
            <v>F106</v>
          </cell>
          <cell r="G291" t="str">
            <v>F106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D293" t="str">
            <v>F106</v>
          </cell>
          <cell r="E293" t="str">
            <v>F106</v>
          </cell>
          <cell r="F293" t="str">
            <v>F106</v>
          </cell>
          <cell r="G293" t="str">
            <v>F106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D295" t="str">
            <v>F106</v>
          </cell>
          <cell r="E295" t="str">
            <v>F106</v>
          </cell>
          <cell r="F295" t="str">
            <v>F106</v>
          </cell>
          <cell r="G295" t="str">
            <v>F106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D297" t="str">
            <v>F106</v>
          </cell>
          <cell r="E297" t="str">
            <v>F106</v>
          </cell>
          <cell r="F297" t="str">
            <v>F106</v>
          </cell>
          <cell r="G297" t="str">
            <v>F106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D299" t="str">
            <v>F10</v>
          </cell>
          <cell r="E299" t="str">
            <v>F95</v>
          </cell>
          <cell r="F299" t="str">
            <v>F10</v>
          </cell>
          <cell r="G299" t="str">
            <v>F10</v>
          </cell>
        </row>
        <row r="300">
          <cell r="D300" t="str">
            <v>F30</v>
          </cell>
          <cell r="E300" t="str">
            <v>F96</v>
          </cell>
          <cell r="F300" t="str">
            <v>F30</v>
          </cell>
          <cell r="G300" t="str">
            <v>F30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D303" t="str">
            <v>F106</v>
          </cell>
          <cell r="E303" t="str">
            <v>F106</v>
          </cell>
          <cell r="F303" t="str">
            <v>F106</v>
          </cell>
          <cell r="G303" t="str">
            <v>F106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D305" t="str">
            <v>F106</v>
          </cell>
          <cell r="E305" t="str">
            <v>F106</v>
          </cell>
          <cell r="F305" t="str">
            <v>F106</v>
          </cell>
          <cell r="G305" t="str">
            <v>F106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D307" t="str">
            <v>F106</v>
          </cell>
          <cell r="E307" t="str">
            <v>F106</v>
          </cell>
          <cell r="F307" t="str">
            <v>F106</v>
          </cell>
          <cell r="G307" t="str">
            <v>F106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D309" t="str">
            <v>F106</v>
          </cell>
          <cell r="E309" t="str">
            <v>F106</v>
          </cell>
          <cell r="F309" t="str">
            <v>F106</v>
          </cell>
          <cell r="G309" t="str">
            <v>F106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D311" t="str">
            <v>F106</v>
          </cell>
          <cell r="E311" t="str">
            <v>F106</v>
          </cell>
          <cell r="F311" t="str">
            <v>F106</v>
          </cell>
          <cell r="G311" t="str">
            <v>F106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D313" t="str">
            <v>F106</v>
          </cell>
          <cell r="E313" t="str">
            <v>F106</v>
          </cell>
          <cell r="F313" t="str">
            <v>F106</v>
          </cell>
          <cell r="G313" t="str">
            <v>F106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D315" t="str">
            <v>F106</v>
          </cell>
          <cell r="E315" t="str">
            <v>F106</v>
          </cell>
          <cell r="F315" t="str">
            <v>F106</v>
          </cell>
          <cell r="G315" t="str">
            <v>F106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D317" t="str">
            <v>F106</v>
          </cell>
          <cell r="E317" t="str">
            <v>F106</v>
          </cell>
          <cell r="F317" t="str">
            <v>F106</v>
          </cell>
          <cell r="G317" t="str">
            <v>F106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D335" t="str">
            <v>C</v>
          </cell>
          <cell r="E335" t="str">
            <v>C</v>
          </cell>
          <cell r="F335" t="str">
            <v>C</v>
          </cell>
          <cell r="G335" t="str">
            <v>C</v>
          </cell>
        </row>
        <row r="336">
          <cell r="D336" t="str">
            <v>COS
Factor</v>
          </cell>
          <cell r="E336" t="str">
            <v>COS
Factor</v>
          </cell>
          <cell r="F336" t="str">
            <v>COS
Factor</v>
          </cell>
          <cell r="G336" t="str">
            <v>COS
Factor</v>
          </cell>
        </row>
        <row r="337">
          <cell r="D337" t="str">
            <v>F131</v>
          </cell>
          <cell r="E337" t="str">
            <v>F131</v>
          </cell>
          <cell r="F337" t="str">
            <v>F131</v>
          </cell>
          <cell r="G337" t="str">
            <v>F131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D339" t="str">
            <v>F20</v>
          </cell>
          <cell r="E339" t="str">
            <v>F20</v>
          </cell>
          <cell r="F339" t="str">
            <v>F20</v>
          </cell>
          <cell r="G339" t="str">
            <v>F20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D341" t="str">
            <v>F120</v>
          </cell>
          <cell r="E341" t="str">
            <v>F120</v>
          </cell>
          <cell r="F341" t="str">
            <v>F120</v>
          </cell>
          <cell r="G341" t="str">
            <v>F120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D343" t="str">
            <v>F132</v>
          </cell>
          <cell r="E343" t="str">
            <v>F132</v>
          </cell>
          <cell r="F343" t="str">
            <v>F132</v>
          </cell>
          <cell r="G343" t="str">
            <v>F132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D345" t="str">
            <v>F133</v>
          </cell>
          <cell r="E345" t="str">
            <v>F133</v>
          </cell>
          <cell r="F345" t="str">
            <v>F133</v>
          </cell>
          <cell r="G345" t="str">
            <v>F133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D347" t="str">
            <v>F130</v>
          </cell>
          <cell r="E347" t="str">
            <v>F130</v>
          </cell>
          <cell r="F347" t="str">
            <v>F130</v>
          </cell>
          <cell r="G347" t="str">
            <v>F130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D349" t="str">
            <v>F127</v>
          </cell>
          <cell r="E349" t="str">
            <v>F127</v>
          </cell>
          <cell r="F349" t="str">
            <v>F127</v>
          </cell>
          <cell r="G349" t="str">
            <v>F127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D351" t="str">
            <v>F20</v>
          </cell>
          <cell r="E351" t="str">
            <v>F20</v>
          </cell>
          <cell r="F351" t="str">
            <v>F20</v>
          </cell>
          <cell r="G351" t="str">
            <v>F20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D353" t="str">
            <v>F131</v>
          </cell>
          <cell r="E353" t="str">
            <v>F131</v>
          </cell>
          <cell r="F353" t="str">
            <v>F131</v>
          </cell>
          <cell r="G353" t="str">
            <v>F131</v>
          </cell>
        </row>
        <row r="354"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D355" t="str">
            <v>F131</v>
          </cell>
          <cell r="E355" t="str">
            <v>F131</v>
          </cell>
          <cell r="F355" t="str">
            <v>F131</v>
          </cell>
          <cell r="G355" t="str">
            <v>F131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D357" t="str">
            <v>F131</v>
          </cell>
          <cell r="E357" t="str">
            <v>F131</v>
          </cell>
          <cell r="F357" t="str">
            <v>F131</v>
          </cell>
          <cell r="G357" t="str">
            <v>F131</v>
          </cell>
        </row>
        <row r="358"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D359" t="str">
            <v>F119</v>
          </cell>
          <cell r="E359" t="str">
            <v>F119</v>
          </cell>
          <cell r="F359" t="str">
            <v>F119</v>
          </cell>
          <cell r="G359" t="str">
            <v>F119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D361" t="str">
            <v>F120</v>
          </cell>
          <cell r="E361" t="str">
            <v>F120</v>
          </cell>
          <cell r="F361" t="str">
            <v>F120</v>
          </cell>
          <cell r="G361" t="str">
            <v>F120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D363" t="str">
            <v>F134</v>
          </cell>
          <cell r="E363" t="str">
            <v>F134</v>
          </cell>
          <cell r="F363" t="str">
            <v>F134</v>
          </cell>
          <cell r="G363" t="str">
            <v>F134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D365" t="str">
            <v>F135</v>
          </cell>
          <cell r="E365" t="str">
            <v>F135</v>
          </cell>
          <cell r="F365" t="str">
            <v>F135</v>
          </cell>
          <cell r="G365" t="str">
            <v>F135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D367" t="str">
            <v>F125</v>
          </cell>
          <cell r="E367" t="str">
            <v>F125</v>
          </cell>
          <cell r="F367" t="str">
            <v>F125</v>
          </cell>
          <cell r="G367" t="str">
            <v>F125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D369" t="str">
            <v>F130</v>
          </cell>
          <cell r="E369" t="str">
            <v>F130</v>
          </cell>
          <cell r="F369" t="str">
            <v>F130</v>
          </cell>
          <cell r="G369" t="str">
            <v>F130</v>
          </cell>
        </row>
        <row r="370"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D371" t="str">
            <v>F127</v>
          </cell>
          <cell r="E371" t="str">
            <v>F127</v>
          </cell>
          <cell r="F371" t="str">
            <v>F127</v>
          </cell>
          <cell r="G371" t="str">
            <v>F127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D373" t="str">
            <v>F131</v>
          </cell>
          <cell r="E373" t="str">
            <v>F131</v>
          </cell>
          <cell r="F373" t="str">
            <v>F131</v>
          </cell>
          <cell r="G373" t="str">
            <v>F131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D381" t="str">
            <v>F136</v>
          </cell>
          <cell r="E381" t="str">
            <v>F136</v>
          </cell>
          <cell r="F381" t="str">
            <v>F136</v>
          </cell>
          <cell r="G381" t="str">
            <v>F136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D383" t="str">
            <v>F47</v>
          </cell>
          <cell r="E383" t="str">
            <v>F47</v>
          </cell>
          <cell r="F383" t="str">
            <v>F47</v>
          </cell>
          <cell r="G383" t="str">
            <v>F47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D385" t="str">
            <v>F48</v>
          </cell>
          <cell r="E385" t="str">
            <v>F48</v>
          </cell>
          <cell r="F385" t="str">
            <v>F48</v>
          </cell>
          <cell r="G385" t="str">
            <v>F48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D387" t="str">
            <v>F80</v>
          </cell>
          <cell r="E387" t="str">
            <v>F80</v>
          </cell>
          <cell r="F387" t="str">
            <v>F80</v>
          </cell>
          <cell r="G387" t="str">
            <v>F80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D389" t="str">
            <v>F136</v>
          </cell>
          <cell r="E389" t="str">
            <v>F136</v>
          </cell>
          <cell r="F389" t="str">
            <v>F136</v>
          </cell>
          <cell r="G389" t="str">
            <v>F136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D395" t="str">
            <v>C</v>
          </cell>
          <cell r="E395" t="str">
            <v>C</v>
          </cell>
          <cell r="F395" t="str">
            <v>C</v>
          </cell>
          <cell r="G395" t="str">
            <v>C</v>
          </cell>
        </row>
        <row r="396">
          <cell r="D396" t="str">
            <v>COS
Factor</v>
          </cell>
          <cell r="E396" t="str">
            <v>COS
Factor</v>
          </cell>
          <cell r="F396" t="str">
            <v>COS
Factor</v>
          </cell>
          <cell r="G396" t="str">
            <v>COS
Factor</v>
          </cell>
        </row>
        <row r="397">
          <cell r="D397" t="str">
            <v>F40</v>
          </cell>
          <cell r="E397" t="str">
            <v>F40</v>
          </cell>
          <cell r="F397" t="str">
            <v>F40</v>
          </cell>
          <cell r="G397" t="str">
            <v>F40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D399" t="str">
            <v>F40</v>
          </cell>
          <cell r="E399" t="str">
            <v>F40</v>
          </cell>
          <cell r="F399" t="str">
            <v>F40</v>
          </cell>
          <cell r="G399" t="str">
            <v>F40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D401" t="str">
            <v>F40</v>
          </cell>
          <cell r="E401" t="str">
            <v>F40</v>
          </cell>
          <cell r="F401" t="str">
            <v>F40</v>
          </cell>
          <cell r="G401" t="str">
            <v>F40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D403" t="str">
            <v>F40</v>
          </cell>
          <cell r="E403" t="str">
            <v>F40</v>
          </cell>
          <cell r="F403" t="str">
            <v>F40</v>
          </cell>
          <cell r="G403" t="str">
            <v>F40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D411" t="str">
            <v>F40</v>
          </cell>
          <cell r="E411" t="str">
            <v>F40</v>
          </cell>
          <cell r="F411" t="str">
            <v>F40</v>
          </cell>
          <cell r="G411" t="str">
            <v>F40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D413" t="str">
            <v>F40</v>
          </cell>
          <cell r="E413" t="str">
            <v>F40</v>
          </cell>
          <cell r="F413" t="str">
            <v>F40</v>
          </cell>
          <cell r="G413" t="str">
            <v>F40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D415" t="str">
            <v>F40</v>
          </cell>
          <cell r="E415" t="str">
            <v>F40</v>
          </cell>
          <cell r="F415" t="str">
            <v>F40</v>
          </cell>
          <cell r="G415" t="str">
            <v>F40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D417" t="str">
            <v>F40</v>
          </cell>
          <cell r="E417" t="str">
            <v>F40</v>
          </cell>
          <cell r="F417" t="str">
            <v>F40</v>
          </cell>
          <cell r="G417" t="str">
            <v>F40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D425" t="str">
            <v>F102x</v>
          </cell>
          <cell r="E425" t="str">
            <v>F102x</v>
          </cell>
          <cell r="F425" t="str">
            <v>F102x</v>
          </cell>
          <cell r="G425" t="str">
            <v>F102x</v>
          </cell>
        </row>
        <row r="426">
          <cell r="D426" t="str">
            <v>F42</v>
          </cell>
          <cell r="E426" t="str">
            <v>F42</v>
          </cell>
          <cell r="F426" t="str">
            <v>F42</v>
          </cell>
          <cell r="G426" t="str">
            <v>F42</v>
          </cell>
        </row>
        <row r="427">
          <cell r="D427" t="str">
            <v>F102x</v>
          </cell>
          <cell r="E427" t="str">
            <v>F102x</v>
          </cell>
          <cell r="F427" t="str">
            <v>F102x</v>
          </cell>
          <cell r="G427" t="str">
            <v>F102x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D430" t="str">
            <v>F102x</v>
          </cell>
          <cell r="E430" t="str">
            <v>F102x</v>
          </cell>
          <cell r="F430" t="str">
            <v>F102x</v>
          </cell>
          <cell r="G430" t="str">
            <v>F102x</v>
          </cell>
        </row>
        <row r="431">
          <cell r="D431" t="str">
            <v>F42</v>
          </cell>
          <cell r="E431" t="str">
            <v>F42</v>
          </cell>
          <cell r="F431" t="str">
            <v>F42</v>
          </cell>
          <cell r="G431" t="str">
            <v>F42</v>
          </cell>
        </row>
        <row r="432">
          <cell r="D432" t="str">
            <v>F102x</v>
          </cell>
          <cell r="E432" t="str">
            <v>F102x</v>
          </cell>
          <cell r="F432" t="str">
            <v>F102x</v>
          </cell>
          <cell r="G432" t="str">
            <v>F102x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D435" t="str">
            <v>F102x</v>
          </cell>
          <cell r="E435" t="str">
            <v>F102x</v>
          </cell>
          <cell r="F435" t="str">
            <v>F102x</v>
          </cell>
          <cell r="G435" t="str">
            <v>F102x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D437" t="str">
            <v>F102x</v>
          </cell>
          <cell r="E437" t="str">
            <v>F102x</v>
          </cell>
          <cell r="F437" t="str">
            <v>F102x</v>
          </cell>
          <cell r="G437" t="str">
            <v>F102x</v>
          </cell>
        </row>
        <row r="438">
          <cell r="D438" t="str">
            <v>F42</v>
          </cell>
          <cell r="E438" t="str">
            <v>F42</v>
          </cell>
          <cell r="F438" t="str">
            <v>F42</v>
          </cell>
          <cell r="G438" t="str">
            <v>F42</v>
          </cell>
        </row>
        <row r="439">
          <cell r="D439" t="str">
            <v>F102x</v>
          </cell>
          <cell r="E439" t="str">
            <v>F102x</v>
          </cell>
          <cell r="F439" t="str">
            <v>F102x</v>
          </cell>
          <cell r="G439" t="str">
            <v>F102x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D442" t="str">
            <v>F102x</v>
          </cell>
          <cell r="E442" t="str">
            <v>F102x</v>
          </cell>
          <cell r="F442" t="str">
            <v>F102x</v>
          </cell>
          <cell r="G442" t="str">
            <v>F102x</v>
          </cell>
        </row>
        <row r="443">
          <cell r="D443" t="str">
            <v>F10</v>
          </cell>
          <cell r="E443" t="str">
            <v>F10</v>
          </cell>
          <cell r="F443" t="str">
            <v>F10</v>
          </cell>
          <cell r="G443" t="str">
            <v>F10</v>
          </cell>
        </row>
        <row r="444">
          <cell r="D444" t="str">
            <v>F102x</v>
          </cell>
          <cell r="E444" t="str">
            <v>F102x</v>
          </cell>
          <cell r="F444" t="str">
            <v>F102x</v>
          </cell>
          <cell r="G444" t="str">
            <v>F102x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D446" t="str">
            <v>F102x</v>
          </cell>
          <cell r="E446" t="str">
            <v>F102x</v>
          </cell>
          <cell r="F446" t="str">
            <v>F102x</v>
          </cell>
          <cell r="G446" t="str">
            <v>F102x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D448" t="str">
            <v>F138x</v>
          </cell>
          <cell r="E448" t="str">
            <v>F138x</v>
          </cell>
          <cell r="F448" t="str">
            <v>F138x</v>
          </cell>
          <cell r="G448" t="str">
            <v>F138x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D450" t="str">
            <v>F102</v>
          </cell>
          <cell r="E450" t="str">
            <v>F102</v>
          </cell>
          <cell r="F450" t="str">
            <v>F102</v>
          </cell>
          <cell r="G450" t="str">
            <v>F102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D452" t="str">
            <v>F102</v>
          </cell>
          <cell r="E452" t="str">
            <v>F102</v>
          </cell>
          <cell r="F452" t="str">
            <v>F102</v>
          </cell>
          <cell r="G452" t="str">
            <v>F102</v>
          </cell>
        </row>
        <row r="453">
          <cell r="D453" t="str">
            <v>F103</v>
          </cell>
          <cell r="E453" t="str">
            <v>F103</v>
          </cell>
          <cell r="F453" t="str">
            <v>F103</v>
          </cell>
          <cell r="G453" t="str">
            <v>F103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D455" t="str">
            <v>F102x</v>
          </cell>
          <cell r="E455" t="str">
            <v>F102x</v>
          </cell>
          <cell r="F455" t="str">
            <v>F102x</v>
          </cell>
          <cell r="G455" t="str">
            <v>F102x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D458" t="str">
            <v>F102x</v>
          </cell>
          <cell r="E458" t="str">
            <v>F102x</v>
          </cell>
          <cell r="F458" t="str">
            <v>F102x</v>
          </cell>
          <cell r="G458" t="str">
            <v>F102x</v>
          </cell>
        </row>
        <row r="459">
          <cell r="D459" t="str">
            <v>F42</v>
          </cell>
          <cell r="E459" t="str">
            <v>F42</v>
          </cell>
          <cell r="F459" t="str">
            <v>F42</v>
          </cell>
          <cell r="G459" t="str">
            <v>F42</v>
          </cell>
        </row>
        <row r="460">
          <cell r="D460" t="str">
            <v>F138x</v>
          </cell>
          <cell r="E460" t="str">
            <v>F138x</v>
          </cell>
          <cell r="F460" t="str">
            <v>F138x</v>
          </cell>
          <cell r="G460" t="str">
            <v>F138x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D462" t="str">
            <v>F102x</v>
          </cell>
          <cell r="E462" t="str">
            <v>F102x</v>
          </cell>
          <cell r="F462" t="str">
            <v>F102x</v>
          </cell>
          <cell r="G462" t="str">
            <v>F102x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D464" t="str">
            <v>F108</v>
          </cell>
          <cell r="E464" t="str">
            <v>F108</v>
          </cell>
          <cell r="F464" t="str">
            <v>F108</v>
          </cell>
          <cell r="G464" t="str">
            <v>F108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D473" t="str">
            <v>C</v>
          </cell>
          <cell r="E473" t="str">
            <v>C</v>
          </cell>
          <cell r="F473" t="str">
            <v>C</v>
          </cell>
          <cell r="G473" t="str">
            <v>C</v>
          </cell>
        </row>
        <row r="474">
          <cell r="D474" t="str">
            <v>COS
Factor</v>
          </cell>
          <cell r="E474" t="str">
            <v>COS
Factor</v>
          </cell>
          <cell r="F474" t="str">
            <v>COS
Factor</v>
          </cell>
          <cell r="G474" t="str">
            <v>COS
Factor</v>
          </cell>
        </row>
        <row r="475">
          <cell r="D475" t="str">
            <v>F10</v>
          </cell>
          <cell r="E475" t="str">
            <v>F10</v>
          </cell>
          <cell r="F475" t="str">
            <v>F10</v>
          </cell>
          <cell r="G475" t="str">
            <v>F10</v>
          </cell>
        </row>
        <row r="476"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D477" t="str">
            <v>F10</v>
          </cell>
          <cell r="E477" t="str">
            <v>F10</v>
          </cell>
          <cell r="F477" t="str">
            <v>F10</v>
          </cell>
          <cell r="G477" t="str">
            <v>F10</v>
          </cell>
        </row>
        <row r="478"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D479" t="str">
            <v>F10</v>
          </cell>
          <cell r="E479" t="str">
            <v>F10</v>
          </cell>
          <cell r="F479" t="str">
            <v>F10</v>
          </cell>
          <cell r="G479" t="str">
            <v>F10</v>
          </cell>
        </row>
        <row r="480"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D481" t="str">
            <v>F10</v>
          </cell>
          <cell r="E481" t="str">
            <v>F10</v>
          </cell>
          <cell r="F481" t="str">
            <v>F10</v>
          </cell>
          <cell r="G481" t="str">
            <v>F10</v>
          </cell>
        </row>
        <row r="482">
          <cell r="D482" t="str">
            <v>F10</v>
          </cell>
          <cell r="E482" t="str">
            <v>F10</v>
          </cell>
          <cell r="F482" t="str">
            <v>F10</v>
          </cell>
          <cell r="G482" t="str">
            <v>F10</v>
          </cell>
        </row>
        <row r="483">
          <cell r="D483" t="str">
            <v>F10</v>
          </cell>
          <cell r="E483" t="str">
            <v>F10</v>
          </cell>
          <cell r="F483" t="str">
            <v>F10</v>
          </cell>
          <cell r="G483" t="str">
            <v>F10</v>
          </cell>
        </row>
        <row r="484">
          <cell r="D484" t="str">
            <v>F10</v>
          </cell>
          <cell r="E484" t="str">
            <v>F10</v>
          </cell>
          <cell r="F484" t="str">
            <v>F10</v>
          </cell>
          <cell r="G484" t="str">
            <v>F10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D487" t="str">
            <v>F106</v>
          </cell>
          <cell r="E487" t="str">
            <v>F106</v>
          </cell>
          <cell r="F487" t="str">
            <v>F106</v>
          </cell>
          <cell r="G487" t="str">
            <v>F106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D490" t="str">
            <v>F118</v>
          </cell>
          <cell r="E490" t="str">
            <v>F118</v>
          </cell>
          <cell r="F490" t="str">
            <v>F118</v>
          </cell>
          <cell r="G490" t="str">
            <v>F118</v>
          </cell>
        </row>
        <row r="491">
          <cell r="D491" t="str">
            <v>F119</v>
          </cell>
          <cell r="E491" t="str">
            <v>F119</v>
          </cell>
          <cell r="F491" t="str">
            <v>F119</v>
          </cell>
          <cell r="G491" t="str">
            <v>F119</v>
          </cell>
        </row>
        <row r="492">
          <cell r="D492" t="str">
            <v>F120</v>
          </cell>
          <cell r="E492" t="str">
            <v>F120</v>
          </cell>
          <cell r="F492" t="str">
            <v>F120</v>
          </cell>
          <cell r="G492" t="str">
            <v>F120</v>
          </cell>
        </row>
        <row r="493">
          <cell r="D493" t="str">
            <v>F121</v>
          </cell>
          <cell r="E493" t="str">
            <v>F121</v>
          </cell>
          <cell r="F493" t="str">
            <v>F121</v>
          </cell>
          <cell r="G493" t="str">
            <v>F121</v>
          </cell>
        </row>
        <row r="494">
          <cell r="D494" t="str">
            <v>F122</v>
          </cell>
          <cell r="E494" t="str">
            <v>F122</v>
          </cell>
          <cell r="F494" t="str">
            <v>F122</v>
          </cell>
          <cell r="G494" t="str">
            <v>F122</v>
          </cell>
        </row>
        <row r="495">
          <cell r="D495" t="str">
            <v>F123</v>
          </cell>
          <cell r="E495" t="str">
            <v>F123</v>
          </cell>
          <cell r="F495" t="str">
            <v>F123</v>
          </cell>
          <cell r="G495" t="str">
            <v>F123</v>
          </cell>
        </row>
        <row r="496">
          <cell r="D496" t="str">
            <v>F124</v>
          </cell>
          <cell r="E496" t="str">
            <v>F124</v>
          </cell>
          <cell r="F496" t="str">
            <v>F124</v>
          </cell>
          <cell r="G496" t="str">
            <v>F124</v>
          </cell>
        </row>
        <row r="497">
          <cell r="D497" t="str">
            <v>F125</v>
          </cell>
          <cell r="E497" t="str">
            <v>F125</v>
          </cell>
          <cell r="F497" t="str">
            <v>F125</v>
          </cell>
          <cell r="G497" t="str">
            <v>F125</v>
          </cell>
        </row>
        <row r="498">
          <cell r="D498" t="str">
            <v>F126</v>
          </cell>
          <cell r="E498" t="str">
            <v>F126</v>
          </cell>
          <cell r="F498" t="str">
            <v>F126</v>
          </cell>
          <cell r="G498" t="str">
            <v>F126</v>
          </cell>
        </row>
        <row r="499">
          <cell r="D499" t="str">
            <v>F127</v>
          </cell>
          <cell r="E499" t="str">
            <v>F127</v>
          </cell>
          <cell r="F499" t="str">
            <v>F127</v>
          </cell>
          <cell r="G499" t="str">
            <v>F127</v>
          </cell>
        </row>
        <row r="500">
          <cell r="D500" t="str">
            <v>F128</v>
          </cell>
          <cell r="E500" t="str">
            <v>F128</v>
          </cell>
          <cell r="F500" t="str">
            <v>F128</v>
          </cell>
          <cell r="G500" t="str">
            <v>F128</v>
          </cell>
        </row>
        <row r="501">
          <cell r="D501" t="str">
            <v>F129</v>
          </cell>
          <cell r="E501" t="str">
            <v>F129</v>
          </cell>
          <cell r="F501" t="str">
            <v>F129</v>
          </cell>
          <cell r="G501" t="str">
            <v>F129</v>
          </cell>
        </row>
        <row r="502">
          <cell r="D502" t="str">
            <v>F130</v>
          </cell>
          <cell r="E502" t="str">
            <v>F130</v>
          </cell>
          <cell r="F502" t="str">
            <v>F130</v>
          </cell>
          <cell r="G502" t="str">
            <v>F130</v>
          </cell>
        </row>
        <row r="503"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D506" t="str">
            <v>F107x</v>
          </cell>
          <cell r="E506" t="str">
            <v>F107x</v>
          </cell>
          <cell r="F506" t="str">
            <v>F107x</v>
          </cell>
          <cell r="G506" t="str">
            <v>F107x</v>
          </cell>
        </row>
        <row r="507">
          <cell r="D507" t="str">
            <v>F105x</v>
          </cell>
          <cell r="E507" t="str">
            <v>F105x</v>
          </cell>
          <cell r="F507" t="str">
            <v>F105x</v>
          </cell>
          <cell r="G507" t="str">
            <v>F105x</v>
          </cell>
        </row>
        <row r="508">
          <cell r="D508" t="str">
            <v>F105x</v>
          </cell>
          <cell r="E508" t="str">
            <v>F105x</v>
          </cell>
          <cell r="F508" t="str">
            <v>F105x</v>
          </cell>
          <cell r="G508" t="str">
            <v>F105x</v>
          </cell>
        </row>
        <row r="509">
          <cell r="D509" t="str">
            <v>F30</v>
          </cell>
          <cell r="E509" t="str">
            <v>F30</v>
          </cell>
          <cell r="F509" t="str">
            <v>F30</v>
          </cell>
          <cell r="G509" t="str">
            <v>F30</v>
          </cell>
        </row>
        <row r="510">
          <cell r="D510" t="str">
            <v>F42</v>
          </cell>
          <cell r="E510" t="str">
            <v>F42</v>
          </cell>
          <cell r="F510" t="str">
            <v>F42</v>
          </cell>
          <cell r="G510" t="str">
            <v>F42</v>
          </cell>
        </row>
        <row r="511">
          <cell r="D511" t="str">
            <v>F105x</v>
          </cell>
          <cell r="E511" t="str">
            <v>F105x</v>
          </cell>
          <cell r="F511" t="str">
            <v>F105x</v>
          </cell>
          <cell r="G511" t="str">
            <v>F105x</v>
          </cell>
        </row>
        <row r="512">
          <cell r="D512" t="str">
            <v>F102x</v>
          </cell>
          <cell r="E512" t="str">
            <v>F102x</v>
          </cell>
          <cell r="F512" t="str">
            <v>F102x</v>
          </cell>
          <cell r="G512" t="str">
            <v>F102x</v>
          </cell>
        </row>
        <row r="513">
          <cell r="D513" t="str">
            <v>F10</v>
          </cell>
          <cell r="E513" t="str">
            <v>F10</v>
          </cell>
          <cell r="F513" t="str">
            <v>F105x</v>
          </cell>
          <cell r="G513" t="str">
            <v>F10</v>
          </cell>
        </row>
        <row r="514">
          <cell r="D514" t="str">
            <v>F10</v>
          </cell>
          <cell r="E514" t="str">
            <v>F10</v>
          </cell>
          <cell r="F514" t="str">
            <v>F102x</v>
          </cell>
          <cell r="G514" t="str">
            <v>F10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D517" t="str">
            <v>F105x</v>
          </cell>
          <cell r="E517" t="str">
            <v>F105x</v>
          </cell>
          <cell r="F517" t="str">
            <v>F105x</v>
          </cell>
          <cell r="G517" t="str">
            <v>F105x</v>
          </cell>
        </row>
        <row r="518"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D519" t="str">
            <v>F30</v>
          </cell>
          <cell r="E519" t="str">
            <v>F30</v>
          </cell>
          <cell r="F519" t="str">
            <v>F30</v>
          </cell>
          <cell r="G519" t="str">
            <v>F30</v>
          </cell>
        </row>
        <row r="520"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D521" t="str">
            <v>F10</v>
          </cell>
          <cell r="E521" t="str">
            <v>F10</v>
          </cell>
          <cell r="F521" t="str">
            <v>F10</v>
          </cell>
          <cell r="G521" t="str">
            <v>F10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D530" t="str">
            <v>F10</v>
          </cell>
          <cell r="E530" t="str">
            <v>F10</v>
          </cell>
          <cell r="F530" t="str">
            <v>F10</v>
          </cell>
          <cell r="G530" t="str">
            <v>F10</v>
          </cell>
        </row>
        <row r="531">
          <cell r="D531" t="str">
            <v>F10</v>
          </cell>
          <cell r="E531" t="str">
            <v>F10</v>
          </cell>
          <cell r="F531" t="str">
            <v>F10</v>
          </cell>
          <cell r="G531" t="str">
            <v>F10</v>
          </cell>
        </row>
        <row r="532">
          <cell r="D532" t="str">
            <v>F102x</v>
          </cell>
          <cell r="E532" t="str">
            <v>F102x</v>
          </cell>
          <cell r="F532" t="str">
            <v>F102x</v>
          </cell>
          <cell r="G532" t="str">
            <v>F102x</v>
          </cell>
        </row>
        <row r="533">
          <cell r="D533" t="str">
            <v>F10</v>
          </cell>
          <cell r="E533" t="str">
            <v>F10</v>
          </cell>
          <cell r="F533" t="str">
            <v>F10</v>
          </cell>
          <cell r="G533" t="str">
            <v>F10</v>
          </cell>
        </row>
        <row r="534">
          <cell r="D534" t="str">
            <v>F42</v>
          </cell>
          <cell r="E534" t="str">
            <v>F42</v>
          </cell>
          <cell r="F534" t="str">
            <v>F42</v>
          </cell>
          <cell r="G534" t="str">
            <v>F42</v>
          </cell>
        </row>
        <row r="535">
          <cell r="D535" t="str">
            <v>F10</v>
          </cell>
          <cell r="E535" t="str">
            <v>F10</v>
          </cell>
          <cell r="F535" t="str">
            <v>F105x</v>
          </cell>
          <cell r="G535" t="str">
            <v>F10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D538" t="str">
            <v>F10</v>
          </cell>
          <cell r="E538" t="str">
            <v>F10</v>
          </cell>
          <cell r="F538" t="str">
            <v>F10</v>
          </cell>
          <cell r="G538" t="str">
            <v>F10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D541" t="str">
            <v>F107x</v>
          </cell>
          <cell r="E541" t="str">
            <v>F107x</v>
          </cell>
          <cell r="F541" t="str">
            <v>F107x</v>
          </cell>
          <cell r="G541" t="str">
            <v>F107x</v>
          </cell>
        </row>
        <row r="542">
          <cell r="D542" t="str">
            <v>F30</v>
          </cell>
          <cell r="E542" t="str">
            <v>F30</v>
          </cell>
          <cell r="F542" t="str">
            <v>F30</v>
          </cell>
          <cell r="G542" t="str">
            <v>F30</v>
          </cell>
        </row>
        <row r="543">
          <cell r="D543" t="str">
            <v>F105x</v>
          </cell>
          <cell r="E543" t="str">
            <v>F105x</v>
          </cell>
          <cell r="F543" t="str">
            <v>F105x</v>
          </cell>
          <cell r="G543" t="str">
            <v>F105x</v>
          </cell>
        </row>
        <row r="544">
          <cell r="D544" t="str">
            <v>F102x</v>
          </cell>
          <cell r="E544" t="str">
            <v>F102x</v>
          </cell>
          <cell r="F544" t="str">
            <v>F102x</v>
          </cell>
          <cell r="G544" t="str">
            <v>F102x</v>
          </cell>
        </row>
        <row r="545">
          <cell r="D545" t="str">
            <v>F42</v>
          </cell>
          <cell r="E545" t="str">
            <v>F42</v>
          </cell>
          <cell r="F545" t="str">
            <v>F42</v>
          </cell>
          <cell r="G545" t="str">
            <v>F42</v>
          </cell>
        </row>
        <row r="546">
          <cell r="D546" t="str">
            <v>F105x</v>
          </cell>
          <cell r="E546" t="str">
            <v>F105x</v>
          </cell>
          <cell r="F546" t="str">
            <v>F105x</v>
          </cell>
          <cell r="G546" t="str">
            <v>F105x</v>
          </cell>
        </row>
        <row r="547">
          <cell r="D547" t="str">
            <v>F105x</v>
          </cell>
          <cell r="E547" t="str">
            <v>F105x</v>
          </cell>
          <cell r="F547" t="str">
            <v>F105x</v>
          </cell>
          <cell r="G547" t="str">
            <v>F105x</v>
          </cell>
        </row>
        <row r="548">
          <cell r="D548" t="str">
            <v>F105x</v>
          </cell>
          <cell r="E548" t="str">
            <v>F105x</v>
          </cell>
          <cell r="F548" t="str">
            <v>F105x</v>
          </cell>
          <cell r="G548" t="str">
            <v>F105x</v>
          </cell>
        </row>
        <row r="549">
          <cell r="D549" t="str">
            <v>F105x</v>
          </cell>
          <cell r="E549" t="str">
            <v>F105x</v>
          </cell>
          <cell r="F549" t="str">
            <v>F105x</v>
          </cell>
          <cell r="G549" t="str">
            <v>F105x</v>
          </cell>
        </row>
        <row r="550">
          <cell r="D550" t="str">
            <v>F105x</v>
          </cell>
          <cell r="E550" t="str">
            <v>F105x</v>
          </cell>
          <cell r="F550" t="str">
            <v>F105x</v>
          </cell>
          <cell r="G550" t="str">
            <v>F105x</v>
          </cell>
        </row>
        <row r="551">
          <cell r="D551" t="str">
            <v>F10</v>
          </cell>
          <cell r="E551" t="str">
            <v>F10</v>
          </cell>
          <cell r="F551" t="str">
            <v>F10</v>
          </cell>
          <cell r="G551" t="str">
            <v>F10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D557" t="str">
            <v>C</v>
          </cell>
          <cell r="E557" t="str">
            <v>C</v>
          </cell>
          <cell r="F557" t="str">
            <v>C</v>
          </cell>
          <cell r="G557" t="str">
            <v>C</v>
          </cell>
        </row>
        <row r="558">
          <cell r="D558" t="str">
            <v>COS
Factor</v>
          </cell>
          <cell r="E558" t="str">
            <v>COS
Factor</v>
          </cell>
          <cell r="F558" t="str">
            <v>COS
Factor</v>
          </cell>
          <cell r="G558" t="str">
            <v>COS
Factor</v>
          </cell>
        </row>
        <row r="559">
          <cell r="D559" t="str">
            <v>F10</v>
          </cell>
          <cell r="E559" t="str">
            <v>F10</v>
          </cell>
          <cell r="F559" t="str">
            <v>F10</v>
          </cell>
          <cell r="G559" t="str">
            <v>F10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D561" t="str">
            <v>F10</v>
          </cell>
          <cell r="E561" t="str">
            <v>F10</v>
          </cell>
          <cell r="F561" t="str">
            <v>F10</v>
          </cell>
          <cell r="G561" t="str">
            <v>F10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D563" t="str">
            <v>F10</v>
          </cell>
          <cell r="E563" t="str">
            <v>F10</v>
          </cell>
          <cell r="F563" t="str">
            <v>F10</v>
          </cell>
          <cell r="G563" t="str">
            <v>F10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D565" t="str">
            <v>F10</v>
          </cell>
          <cell r="E565" t="str">
            <v>F10</v>
          </cell>
          <cell r="F565" t="str">
            <v>F10</v>
          </cell>
          <cell r="G565" t="str">
            <v>F10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D567" t="str">
            <v>F151</v>
          </cell>
          <cell r="E567" t="str">
            <v>F151</v>
          </cell>
          <cell r="F567" t="str">
            <v>F151</v>
          </cell>
          <cell r="G567" t="str">
            <v>F151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D576" t="str">
            <v>F101x</v>
          </cell>
          <cell r="E576" t="str">
            <v>F101x</v>
          </cell>
          <cell r="F576" t="str">
            <v>F101x</v>
          </cell>
          <cell r="G576" t="str">
            <v>F101x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D582" t="str">
            <v>F101x</v>
          </cell>
          <cell r="E582" t="str">
            <v>F101x</v>
          </cell>
          <cell r="F582" t="str">
            <v>F101x</v>
          </cell>
          <cell r="G582" t="str">
            <v>F101x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D584" t="str">
            <v>F101x</v>
          </cell>
          <cell r="E584" t="str">
            <v>F101x</v>
          </cell>
          <cell r="F584" t="str">
            <v>F101x</v>
          </cell>
          <cell r="G584" t="str">
            <v>F101x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0</v>
          </cell>
        </row>
        <row r="590">
          <cell r="D590" t="str">
            <v>F104x</v>
          </cell>
          <cell r="E590" t="str">
            <v>F104x</v>
          </cell>
          <cell r="F590" t="str">
            <v>F104x</v>
          </cell>
          <cell r="G590" t="str">
            <v>F104x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D595" t="str">
            <v>F101x</v>
          </cell>
          <cell r="E595" t="str">
            <v>F101x</v>
          </cell>
          <cell r="F595" t="str">
            <v>F101x</v>
          </cell>
          <cell r="G595" t="str">
            <v>F101x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D597" t="str">
            <v>F101x</v>
          </cell>
          <cell r="E597" t="str">
            <v>F101x</v>
          </cell>
          <cell r="F597" t="str">
            <v>F101x</v>
          </cell>
          <cell r="G597" t="str">
            <v>F101x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0</v>
          </cell>
        </row>
        <row r="599">
          <cell r="D599" t="str">
            <v>F101x</v>
          </cell>
          <cell r="E599" t="str">
            <v>F101x</v>
          </cell>
          <cell r="F599" t="str">
            <v>F101x</v>
          </cell>
          <cell r="G599" t="str">
            <v>F101x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D601" t="str">
            <v>F101x</v>
          </cell>
          <cell r="E601" t="str">
            <v>F101x</v>
          </cell>
          <cell r="F601" t="str">
            <v>F101x</v>
          </cell>
          <cell r="G601" t="str">
            <v>F101x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D606" t="str">
            <v>F101x</v>
          </cell>
          <cell r="E606" t="str">
            <v>F101x</v>
          </cell>
          <cell r="F606" t="str">
            <v>F101x</v>
          </cell>
          <cell r="G606" t="str">
            <v>F101x</v>
          </cell>
        </row>
        <row r="607">
          <cell r="D607" t="str">
            <v>F104x</v>
          </cell>
          <cell r="E607" t="str">
            <v>F104x</v>
          </cell>
          <cell r="F607" t="str">
            <v>F104x</v>
          </cell>
          <cell r="G607" t="str">
            <v>F104x</v>
          </cell>
        </row>
        <row r="608">
          <cell r="D608" t="str">
            <v>F102x</v>
          </cell>
          <cell r="E608" t="str">
            <v>F102x</v>
          </cell>
          <cell r="F608" t="str">
            <v>F102x</v>
          </cell>
          <cell r="G608" t="str">
            <v>F102x</v>
          </cell>
        </row>
        <row r="609">
          <cell r="D609" t="str">
            <v>F30</v>
          </cell>
          <cell r="E609" t="str">
            <v>F30</v>
          </cell>
          <cell r="F609" t="str">
            <v>F30</v>
          </cell>
          <cell r="G609" t="str">
            <v>F30</v>
          </cell>
        </row>
        <row r="610">
          <cell r="D610" t="str">
            <v>F10</v>
          </cell>
          <cell r="E610" t="str">
            <v>F10</v>
          </cell>
          <cell r="F610" t="str">
            <v>F10</v>
          </cell>
          <cell r="G610" t="str">
            <v>F10</v>
          </cell>
        </row>
        <row r="611">
          <cell r="D611" t="str">
            <v>F10</v>
          </cell>
          <cell r="E611" t="str">
            <v>F10</v>
          </cell>
          <cell r="F611" t="str">
            <v>F10</v>
          </cell>
          <cell r="G611" t="str">
            <v>F10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D615" t="str">
            <v>F101x</v>
          </cell>
          <cell r="E615" t="str">
            <v>F101x</v>
          </cell>
          <cell r="F615" t="str">
            <v>F101x</v>
          </cell>
          <cell r="G615" t="str">
            <v>F101x</v>
          </cell>
        </row>
        <row r="616">
          <cell r="D616" t="str">
            <v>F30</v>
          </cell>
          <cell r="E616" t="str">
            <v>F30</v>
          </cell>
          <cell r="F616" t="str">
            <v>F30</v>
          </cell>
          <cell r="G616" t="str">
            <v>F30</v>
          </cell>
        </row>
        <row r="617">
          <cell r="D617" t="str">
            <v>F104x</v>
          </cell>
          <cell r="E617" t="str">
            <v>F104x</v>
          </cell>
          <cell r="F617" t="str">
            <v>F104x</v>
          </cell>
          <cell r="G617" t="str">
            <v>F104x</v>
          </cell>
        </row>
        <row r="618">
          <cell r="D618" t="str">
            <v>F102x</v>
          </cell>
          <cell r="E618" t="str">
            <v>F102x</v>
          </cell>
          <cell r="F618" t="str">
            <v>F102x</v>
          </cell>
          <cell r="G618" t="str">
            <v>F102x</v>
          </cell>
        </row>
        <row r="619">
          <cell r="D619" t="str">
            <v>F10</v>
          </cell>
          <cell r="E619" t="str">
            <v>F10</v>
          </cell>
          <cell r="F619" t="str">
            <v>F10</v>
          </cell>
          <cell r="G619" t="str">
            <v>F10</v>
          </cell>
        </row>
        <row r="620">
          <cell r="D620" t="str">
            <v>F80</v>
          </cell>
          <cell r="E620" t="str">
            <v>F80</v>
          </cell>
          <cell r="F620" t="str">
            <v>F80</v>
          </cell>
          <cell r="G620" t="str">
            <v>F80</v>
          </cell>
        </row>
        <row r="621"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D624" t="str">
            <v>F101x</v>
          </cell>
          <cell r="E624" t="str">
            <v>F101x</v>
          </cell>
          <cell r="F624" t="str">
            <v>F101x</v>
          </cell>
          <cell r="G624" t="str">
            <v>F101x</v>
          </cell>
        </row>
        <row r="625">
          <cell r="D625" t="str">
            <v>F10</v>
          </cell>
          <cell r="E625" t="str">
            <v>F10</v>
          </cell>
          <cell r="F625" t="str">
            <v>F10</v>
          </cell>
          <cell r="G625" t="str">
            <v>F10</v>
          </cell>
        </row>
        <row r="626">
          <cell r="D626" t="str">
            <v>F104x</v>
          </cell>
          <cell r="E626" t="str">
            <v>F104x</v>
          </cell>
          <cell r="F626" t="str">
            <v>F104x</v>
          </cell>
          <cell r="G626" t="str">
            <v>F104x</v>
          </cell>
        </row>
        <row r="627">
          <cell r="D627" t="str">
            <v>F104x</v>
          </cell>
          <cell r="E627" t="str">
            <v>F104x</v>
          </cell>
          <cell r="F627" t="str">
            <v>F104x</v>
          </cell>
          <cell r="G627" t="str">
            <v>F104x</v>
          </cell>
        </row>
        <row r="628">
          <cell r="D628" t="str">
            <v>F10</v>
          </cell>
          <cell r="E628" t="str">
            <v>F10</v>
          </cell>
          <cell r="F628" t="str">
            <v>F10</v>
          </cell>
          <cell r="G628" t="str">
            <v>F10</v>
          </cell>
        </row>
        <row r="629">
          <cell r="D629" t="str">
            <v>F10</v>
          </cell>
          <cell r="E629" t="str">
            <v>F10</v>
          </cell>
          <cell r="F629" t="str">
            <v>F10</v>
          </cell>
          <cell r="G629" t="str">
            <v>F10</v>
          </cell>
        </row>
        <row r="630">
          <cell r="D630" t="str">
            <v>F30</v>
          </cell>
          <cell r="E630" t="str">
            <v>F30</v>
          </cell>
          <cell r="F630" t="str">
            <v>F30</v>
          </cell>
          <cell r="G630" t="str">
            <v>F30</v>
          </cell>
        </row>
        <row r="631">
          <cell r="D631" t="str">
            <v>F10</v>
          </cell>
          <cell r="E631" t="str">
            <v>F10</v>
          </cell>
          <cell r="F631" t="str">
            <v>F10</v>
          </cell>
          <cell r="G631" t="str">
            <v>F10</v>
          </cell>
        </row>
        <row r="632">
          <cell r="D632" t="str">
            <v>F102x</v>
          </cell>
          <cell r="E632" t="str">
            <v>F102x</v>
          </cell>
          <cell r="F632" t="str">
            <v>F102x</v>
          </cell>
          <cell r="G632" t="str">
            <v>F102x</v>
          </cell>
        </row>
        <row r="633">
          <cell r="D633" t="str">
            <v>F102x</v>
          </cell>
          <cell r="E633" t="str">
            <v>F102x</v>
          </cell>
          <cell r="F633" t="str">
            <v>F102x</v>
          </cell>
          <cell r="G633" t="str">
            <v>F102x</v>
          </cell>
        </row>
        <row r="634">
          <cell r="D634" t="str">
            <v>F104x</v>
          </cell>
          <cell r="E634" t="str">
            <v>F104x</v>
          </cell>
          <cell r="F634" t="str">
            <v>F104x</v>
          </cell>
          <cell r="G634" t="str">
            <v>F104x</v>
          </cell>
        </row>
        <row r="635">
          <cell r="D635" t="str">
            <v>F80</v>
          </cell>
          <cell r="E635" t="str">
            <v>F80</v>
          </cell>
          <cell r="F635" t="str">
            <v>F80</v>
          </cell>
          <cell r="G635" t="str">
            <v>F80</v>
          </cell>
        </row>
        <row r="636">
          <cell r="D636" t="str">
            <v>F151x</v>
          </cell>
          <cell r="E636" t="str">
            <v>F151x</v>
          </cell>
          <cell r="F636" t="str">
            <v>F151x</v>
          </cell>
          <cell r="G636" t="str">
            <v>F151x</v>
          </cell>
        </row>
        <row r="637">
          <cell r="D637" t="str">
            <v>F151x</v>
          </cell>
          <cell r="E637" t="str">
            <v>F151x</v>
          </cell>
          <cell r="F637" t="str">
            <v>F151x</v>
          </cell>
          <cell r="G637" t="str">
            <v>F151x</v>
          </cell>
        </row>
        <row r="638"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D642">
            <v>0</v>
          </cell>
          <cell r="E642">
            <v>0</v>
          </cell>
          <cell r="F642">
            <v>0</v>
          </cell>
          <cell r="G642">
            <v>0</v>
          </cell>
        </row>
        <row r="643">
          <cell r="D643" t="str">
            <v>F101x</v>
          </cell>
          <cell r="E643" t="str">
            <v>F101x</v>
          </cell>
          <cell r="F643" t="str">
            <v>F101x</v>
          </cell>
          <cell r="G643" t="str">
            <v>F101x</v>
          </cell>
        </row>
        <row r="644">
          <cell r="D644" t="str">
            <v>F10</v>
          </cell>
          <cell r="E644" t="str">
            <v>F10</v>
          </cell>
          <cell r="F644" t="str">
            <v>F10</v>
          </cell>
          <cell r="G644" t="str">
            <v>F10</v>
          </cell>
        </row>
        <row r="645">
          <cell r="D645" t="str">
            <v>F10</v>
          </cell>
          <cell r="E645" t="str">
            <v>F10</v>
          </cell>
          <cell r="F645" t="str">
            <v>F10</v>
          </cell>
          <cell r="G645" t="str">
            <v>F10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D648" t="str">
            <v>F101x</v>
          </cell>
          <cell r="E648" t="str">
            <v>F101x</v>
          </cell>
          <cell r="F648" t="str">
            <v>F101x</v>
          </cell>
          <cell r="G648" t="str">
            <v>F101x</v>
          </cell>
        </row>
        <row r="649">
          <cell r="D649" t="str">
            <v>F30</v>
          </cell>
          <cell r="E649" t="str">
            <v>F30</v>
          </cell>
          <cell r="F649" t="str">
            <v>F30</v>
          </cell>
          <cell r="G649" t="str">
            <v>F30</v>
          </cell>
        </row>
        <row r="650">
          <cell r="D650" t="str">
            <v>F104x</v>
          </cell>
          <cell r="E650" t="str">
            <v>F104x</v>
          </cell>
          <cell r="F650" t="str">
            <v>F104x</v>
          </cell>
          <cell r="G650" t="str">
            <v>F104x</v>
          </cell>
        </row>
        <row r="651">
          <cell r="D651" t="str">
            <v>F150x</v>
          </cell>
          <cell r="E651" t="str">
            <v>F150x</v>
          </cell>
          <cell r="F651" t="str">
            <v>F150x</v>
          </cell>
          <cell r="G651" t="str">
            <v>F150x</v>
          </cell>
        </row>
        <row r="652">
          <cell r="D652" t="str">
            <v>F10</v>
          </cell>
          <cell r="E652" t="str">
            <v>F10</v>
          </cell>
          <cell r="F652" t="str">
            <v>F10</v>
          </cell>
          <cell r="G652" t="str">
            <v>F10</v>
          </cell>
        </row>
        <row r="653">
          <cell r="D653" t="str">
            <v>F102x</v>
          </cell>
          <cell r="E653" t="str">
            <v>F102x</v>
          </cell>
          <cell r="F653" t="str">
            <v>F102x</v>
          </cell>
          <cell r="G653" t="str">
            <v>F102x</v>
          </cell>
        </row>
        <row r="654"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D657" t="str">
            <v>F101x</v>
          </cell>
          <cell r="E657" t="str">
            <v>F101x</v>
          </cell>
          <cell r="F657" t="str">
            <v>F101x</v>
          </cell>
          <cell r="G657" t="str">
            <v>F101x</v>
          </cell>
        </row>
        <row r="658">
          <cell r="D658" t="str">
            <v>F80</v>
          </cell>
          <cell r="E658" t="str">
            <v>F80</v>
          </cell>
          <cell r="F658" t="str">
            <v>F80</v>
          </cell>
          <cell r="G658" t="str">
            <v>F80</v>
          </cell>
        </row>
        <row r="659">
          <cell r="D659" t="str">
            <v>F104x</v>
          </cell>
          <cell r="E659" t="str">
            <v>F104x</v>
          </cell>
          <cell r="F659" t="str">
            <v>F104x</v>
          </cell>
          <cell r="G659" t="str">
            <v>F104x</v>
          </cell>
        </row>
        <row r="660">
          <cell r="D660" t="str">
            <v>F40</v>
          </cell>
          <cell r="E660" t="str">
            <v>F40</v>
          </cell>
          <cell r="F660" t="str">
            <v>F40</v>
          </cell>
          <cell r="G660" t="str">
            <v>F40</v>
          </cell>
        </row>
        <row r="661">
          <cell r="D661" t="str">
            <v>F10</v>
          </cell>
          <cell r="E661" t="str">
            <v>F10</v>
          </cell>
          <cell r="F661" t="str">
            <v>F10</v>
          </cell>
          <cell r="G661" t="str">
            <v>F10</v>
          </cell>
        </row>
        <row r="662">
          <cell r="D662" t="str">
            <v>F10</v>
          </cell>
          <cell r="E662" t="str">
            <v>F10</v>
          </cell>
          <cell r="F662" t="str">
            <v>F10</v>
          </cell>
          <cell r="G662" t="str">
            <v>F10</v>
          </cell>
        </row>
        <row r="663">
          <cell r="D663" t="str">
            <v>F30</v>
          </cell>
          <cell r="E663" t="str">
            <v>F30</v>
          </cell>
          <cell r="F663" t="str">
            <v>F30</v>
          </cell>
          <cell r="G663" t="str">
            <v>F30</v>
          </cell>
        </row>
        <row r="664">
          <cell r="D664" t="str">
            <v>F10</v>
          </cell>
          <cell r="E664" t="str">
            <v>F10</v>
          </cell>
          <cell r="F664" t="str">
            <v>F10</v>
          </cell>
          <cell r="G664" t="str">
            <v>F10</v>
          </cell>
        </row>
        <row r="665">
          <cell r="D665" t="str">
            <v>F102x</v>
          </cell>
          <cell r="E665" t="str">
            <v>F102x</v>
          </cell>
          <cell r="F665" t="str">
            <v>F102x</v>
          </cell>
          <cell r="G665" t="str">
            <v>F102x</v>
          </cell>
        </row>
        <row r="666">
          <cell r="D666" t="str">
            <v>F102x</v>
          </cell>
          <cell r="E666" t="str">
            <v>F102x</v>
          </cell>
          <cell r="F666" t="str">
            <v>F102x</v>
          </cell>
          <cell r="G666" t="str">
            <v>F102x</v>
          </cell>
        </row>
        <row r="667">
          <cell r="D667" t="str">
            <v>F151x</v>
          </cell>
          <cell r="E667" t="str">
            <v>F151x</v>
          </cell>
          <cell r="F667" t="str">
            <v>F151x</v>
          </cell>
          <cell r="G667" t="str">
            <v>F151x</v>
          </cell>
        </row>
        <row r="668">
          <cell r="D668" t="str">
            <v>F104x</v>
          </cell>
          <cell r="E668" t="str">
            <v>F104x</v>
          </cell>
          <cell r="F668" t="str">
            <v>F104x</v>
          </cell>
          <cell r="G668" t="str">
            <v>F104x</v>
          </cell>
        </row>
        <row r="669">
          <cell r="D669">
            <v>0</v>
          </cell>
          <cell r="E669">
            <v>0</v>
          </cell>
          <cell r="F669">
            <v>0</v>
          </cell>
          <cell r="G669">
            <v>0</v>
          </cell>
        </row>
        <row r="670">
          <cell r="D670">
            <v>0</v>
          </cell>
          <cell r="E670">
            <v>0</v>
          </cell>
          <cell r="F670">
            <v>0</v>
          </cell>
          <cell r="G670">
            <v>0</v>
          </cell>
        </row>
        <row r="671">
          <cell r="D671">
            <v>0</v>
          </cell>
          <cell r="E671">
            <v>0</v>
          </cell>
          <cell r="F671">
            <v>0</v>
          </cell>
          <cell r="G671">
            <v>0</v>
          </cell>
        </row>
        <row r="672">
          <cell r="D672">
            <v>0</v>
          </cell>
          <cell r="E672">
            <v>0</v>
          </cell>
          <cell r="F672">
            <v>0</v>
          </cell>
          <cell r="G672">
            <v>0</v>
          </cell>
        </row>
        <row r="673">
          <cell r="D673">
            <v>0</v>
          </cell>
          <cell r="E673">
            <v>0</v>
          </cell>
          <cell r="F673">
            <v>0</v>
          </cell>
          <cell r="G673">
            <v>0</v>
          </cell>
        </row>
        <row r="674">
          <cell r="D674">
            <v>0</v>
          </cell>
          <cell r="E674">
            <v>0</v>
          </cell>
          <cell r="F674">
            <v>0</v>
          </cell>
          <cell r="G674">
            <v>0</v>
          </cell>
        </row>
        <row r="675">
          <cell r="D675">
            <v>0</v>
          </cell>
          <cell r="E675">
            <v>0</v>
          </cell>
          <cell r="F675">
            <v>0</v>
          </cell>
          <cell r="G675">
            <v>0</v>
          </cell>
        </row>
        <row r="676">
          <cell r="D676">
            <v>0</v>
          </cell>
          <cell r="E676">
            <v>0</v>
          </cell>
          <cell r="F676">
            <v>0</v>
          </cell>
          <cell r="G676">
            <v>0</v>
          </cell>
        </row>
        <row r="677">
          <cell r="D677">
            <v>0</v>
          </cell>
          <cell r="E677">
            <v>0</v>
          </cell>
          <cell r="F677">
            <v>0</v>
          </cell>
          <cell r="G677">
            <v>0</v>
          </cell>
        </row>
        <row r="678">
          <cell r="D678">
            <v>0</v>
          </cell>
          <cell r="E678">
            <v>0</v>
          </cell>
          <cell r="F678">
            <v>0</v>
          </cell>
          <cell r="G678">
            <v>0</v>
          </cell>
        </row>
        <row r="679">
          <cell r="D679" t="str">
            <v>F150x</v>
          </cell>
          <cell r="E679" t="str">
            <v>F150x</v>
          </cell>
          <cell r="F679" t="str">
            <v>F150x</v>
          </cell>
          <cell r="G679" t="str">
            <v>F150x</v>
          </cell>
        </row>
        <row r="680">
          <cell r="D680" t="str">
            <v>F10</v>
          </cell>
          <cell r="E680" t="str">
            <v>F10</v>
          </cell>
          <cell r="F680" t="str">
            <v>F10</v>
          </cell>
          <cell r="G680" t="str">
            <v>F10</v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82">
          <cell r="D682">
            <v>0</v>
          </cell>
          <cell r="E682">
            <v>0</v>
          </cell>
          <cell r="F682">
            <v>0</v>
          </cell>
          <cell r="G682">
            <v>0</v>
          </cell>
        </row>
        <row r="683">
          <cell r="D683">
            <v>0</v>
          </cell>
          <cell r="E683">
            <v>0</v>
          </cell>
          <cell r="F683">
            <v>0</v>
          </cell>
          <cell r="G683">
            <v>0</v>
          </cell>
        </row>
        <row r="684">
          <cell r="D684">
            <v>0</v>
          </cell>
          <cell r="E684">
            <v>0</v>
          </cell>
          <cell r="F684">
            <v>0</v>
          </cell>
          <cell r="G684">
            <v>0</v>
          </cell>
        </row>
        <row r="685">
          <cell r="D685">
            <v>0</v>
          </cell>
          <cell r="E685">
            <v>0</v>
          </cell>
          <cell r="F685">
            <v>0</v>
          </cell>
          <cell r="G685">
            <v>0</v>
          </cell>
        </row>
        <row r="686">
          <cell r="D686">
            <v>0</v>
          </cell>
          <cell r="E686">
            <v>0</v>
          </cell>
          <cell r="F686">
            <v>0</v>
          </cell>
          <cell r="G686">
            <v>0</v>
          </cell>
        </row>
        <row r="687">
          <cell r="D687">
            <v>0</v>
          </cell>
          <cell r="E687">
            <v>0</v>
          </cell>
          <cell r="F687">
            <v>0</v>
          </cell>
          <cell r="G687">
            <v>0</v>
          </cell>
        </row>
        <row r="688">
          <cell r="D688">
            <v>0</v>
          </cell>
          <cell r="E688">
            <v>0</v>
          </cell>
          <cell r="F688">
            <v>0</v>
          </cell>
          <cell r="G688">
            <v>0</v>
          </cell>
        </row>
        <row r="689">
          <cell r="D689">
            <v>0</v>
          </cell>
          <cell r="E689">
            <v>0</v>
          </cell>
          <cell r="F689">
            <v>0</v>
          </cell>
          <cell r="G689">
            <v>0</v>
          </cell>
        </row>
        <row r="690">
          <cell r="D690">
            <v>0</v>
          </cell>
          <cell r="E690">
            <v>0</v>
          </cell>
          <cell r="F690">
            <v>0</v>
          </cell>
          <cell r="G690">
            <v>0</v>
          </cell>
        </row>
        <row r="691">
          <cell r="D691" t="str">
            <v>F104x</v>
          </cell>
          <cell r="E691" t="str">
            <v>F104x</v>
          </cell>
          <cell r="F691" t="str">
            <v>F104x</v>
          </cell>
          <cell r="G691" t="str">
            <v>F104x</v>
          </cell>
        </row>
        <row r="692">
          <cell r="D692">
            <v>0</v>
          </cell>
          <cell r="E692">
            <v>0</v>
          </cell>
          <cell r="F692">
            <v>0</v>
          </cell>
          <cell r="G692">
            <v>0</v>
          </cell>
        </row>
        <row r="693">
          <cell r="D693">
            <v>0</v>
          </cell>
          <cell r="E693">
            <v>0</v>
          </cell>
          <cell r="F693">
            <v>0</v>
          </cell>
          <cell r="G693">
            <v>0</v>
          </cell>
        </row>
        <row r="694">
          <cell r="D694">
            <v>0</v>
          </cell>
          <cell r="E694">
            <v>0</v>
          </cell>
          <cell r="F694">
            <v>0</v>
          </cell>
          <cell r="G694">
            <v>0</v>
          </cell>
        </row>
        <row r="695">
          <cell r="D695" t="str">
            <v>F101x</v>
          </cell>
          <cell r="E695" t="str">
            <v>F101x</v>
          </cell>
          <cell r="F695" t="str">
            <v>F101x</v>
          </cell>
          <cell r="G695" t="str">
            <v>F101x</v>
          </cell>
        </row>
        <row r="696">
          <cell r="D696">
            <v>0</v>
          </cell>
          <cell r="E696">
            <v>0</v>
          </cell>
          <cell r="F696">
            <v>0</v>
          </cell>
          <cell r="G696">
            <v>0</v>
          </cell>
        </row>
        <row r="697">
          <cell r="D697">
            <v>0</v>
          </cell>
          <cell r="E697">
            <v>0</v>
          </cell>
          <cell r="F697">
            <v>0</v>
          </cell>
          <cell r="G697">
            <v>0</v>
          </cell>
        </row>
        <row r="698">
          <cell r="D698">
            <v>0</v>
          </cell>
          <cell r="E698">
            <v>0</v>
          </cell>
          <cell r="F698">
            <v>0</v>
          </cell>
          <cell r="G698">
            <v>0</v>
          </cell>
        </row>
        <row r="699">
          <cell r="D699">
            <v>0</v>
          </cell>
          <cell r="E699">
            <v>0</v>
          </cell>
          <cell r="F699">
            <v>0</v>
          </cell>
          <cell r="G699">
            <v>0</v>
          </cell>
        </row>
        <row r="700">
          <cell r="D700">
            <v>0</v>
          </cell>
          <cell r="E700">
            <v>0</v>
          </cell>
          <cell r="F700">
            <v>0</v>
          </cell>
          <cell r="G700">
            <v>0</v>
          </cell>
        </row>
        <row r="701">
          <cell r="D701">
            <v>0</v>
          </cell>
          <cell r="E701">
            <v>0</v>
          </cell>
          <cell r="F701">
            <v>0</v>
          </cell>
          <cell r="G701">
            <v>0</v>
          </cell>
        </row>
        <row r="702">
          <cell r="D702">
            <v>0</v>
          </cell>
          <cell r="E702">
            <v>0</v>
          </cell>
          <cell r="F702">
            <v>0</v>
          </cell>
          <cell r="G702">
            <v>0</v>
          </cell>
        </row>
        <row r="703">
          <cell r="D703">
            <v>0</v>
          </cell>
          <cell r="E703">
            <v>0</v>
          </cell>
          <cell r="F703">
            <v>0</v>
          </cell>
          <cell r="G703">
            <v>0</v>
          </cell>
        </row>
        <row r="704">
          <cell r="D704" t="str">
            <v>F30</v>
          </cell>
          <cell r="E704" t="str">
            <v>F30</v>
          </cell>
          <cell r="F704" t="str">
            <v>F30</v>
          </cell>
          <cell r="G704" t="str">
            <v>F30</v>
          </cell>
        </row>
        <row r="705">
          <cell r="D705" t="str">
            <v>F10</v>
          </cell>
          <cell r="E705" t="str">
            <v>F10</v>
          </cell>
          <cell r="F705" t="str">
            <v>F10</v>
          </cell>
          <cell r="G705" t="str">
            <v>F10</v>
          </cell>
        </row>
        <row r="706">
          <cell r="D706" t="str">
            <v>F102x</v>
          </cell>
          <cell r="E706" t="str">
            <v>F102x</v>
          </cell>
          <cell r="F706" t="str">
            <v>F102x</v>
          </cell>
          <cell r="G706" t="str">
            <v>F102x</v>
          </cell>
        </row>
        <row r="707">
          <cell r="D707" t="str">
            <v>F107x</v>
          </cell>
          <cell r="E707" t="str">
            <v>F107x</v>
          </cell>
          <cell r="F707" t="str">
            <v>F107x</v>
          </cell>
          <cell r="G707" t="str">
            <v>F107x</v>
          </cell>
        </row>
        <row r="708">
          <cell r="D708">
            <v>0</v>
          </cell>
          <cell r="E708">
            <v>0</v>
          </cell>
          <cell r="F708">
            <v>0</v>
          </cell>
          <cell r="G708">
            <v>0</v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0">
          <cell r="D710">
            <v>0</v>
          </cell>
          <cell r="E710">
            <v>0</v>
          </cell>
          <cell r="F710">
            <v>0</v>
          </cell>
          <cell r="G710">
            <v>0</v>
          </cell>
        </row>
        <row r="711">
          <cell r="D711">
            <v>0</v>
          </cell>
          <cell r="E711">
            <v>0</v>
          </cell>
          <cell r="F711">
            <v>0</v>
          </cell>
          <cell r="G711">
            <v>0</v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D713">
            <v>0</v>
          </cell>
          <cell r="E713">
            <v>0</v>
          </cell>
          <cell r="F713">
            <v>0</v>
          </cell>
          <cell r="G713">
            <v>0</v>
          </cell>
        </row>
        <row r="714">
          <cell r="D714">
            <v>0</v>
          </cell>
          <cell r="E714">
            <v>0</v>
          </cell>
          <cell r="F714">
            <v>0</v>
          </cell>
          <cell r="G714">
            <v>0</v>
          </cell>
        </row>
        <row r="715">
          <cell r="D715">
            <v>0</v>
          </cell>
          <cell r="E715">
            <v>0</v>
          </cell>
          <cell r="F715">
            <v>0</v>
          </cell>
          <cell r="G715">
            <v>0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</row>
        <row r="717">
          <cell r="D717">
            <v>0</v>
          </cell>
          <cell r="E717">
            <v>0</v>
          </cell>
          <cell r="F717">
            <v>0</v>
          </cell>
          <cell r="G717">
            <v>0</v>
          </cell>
        </row>
        <row r="718">
          <cell r="D718">
            <v>0</v>
          </cell>
          <cell r="E718">
            <v>0</v>
          </cell>
          <cell r="F718">
            <v>0</v>
          </cell>
          <cell r="G718">
            <v>0</v>
          </cell>
        </row>
        <row r="719">
          <cell r="D719">
            <v>0</v>
          </cell>
          <cell r="E719">
            <v>0</v>
          </cell>
          <cell r="F719">
            <v>0</v>
          </cell>
          <cell r="G719">
            <v>0</v>
          </cell>
        </row>
        <row r="720">
          <cell r="D720" t="str">
            <v>C</v>
          </cell>
          <cell r="E720" t="str">
            <v>C</v>
          </cell>
          <cell r="F720" t="str">
            <v>C</v>
          </cell>
          <cell r="G720" t="str">
            <v>C</v>
          </cell>
        </row>
        <row r="721">
          <cell r="D721" t="str">
            <v>COS
Factor</v>
          </cell>
          <cell r="E721" t="str">
            <v>COS
Factor</v>
          </cell>
          <cell r="F721" t="str">
            <v>COS
Factor</v>
          </cell>
          <cell r="G721" t="str">
            <v>COS
Factor</v>
          </cell>
        </row>
        <row r="722">
          <cell r="D722" t="str">
            <v>F10</v>
          </cell>
          <cell r="E722" t="str">
            <v>F10</v>
          </cell>
          <cell r="F722" t="str">
            <v>F10</v>
          </cell>
          <cell r="G722" t="str">
            <v>F10</v>
          </cell>
        </row>
        <row r="723">
          <cell r="D723">
            <v>0</v>
          </cell>
          <cell r="E723">
            <v>0</v>
          </cell>
          <cell r="F723">
            <v>0</v>
          </cell>
          <cell r="G723">
            <v>0</v>
          </cell>
        </row>
        <row r="724">
          <cell r="D724">
            <v>0</v>
          </cell>
          <cell r="E724">
            <v>0</v>
          </cell>
          <cell r="F724">
            <v>0</v>
          </cell>
          <cell r="G724">
            <v>0</v>
          </cell>
        </row>
        <row r="725">
          <cell r="D725" t="str">
            <v>F10</v>
          </cell>
          <cell r="E725" t="str">
            <v>F10</v>
          </cell>
          <cell r="F725" t="str">
            <v>F10</v>
          </cell>
          <cell r="G725" t="str">
            <v>F10</v>
          </cell>
        </row>
        <row r="726">
          <cell r="D726">
            <v>0</v>
          </cell>
          <cell r="E726">
            <v>0</v>
          </cell>
          <cell r="F726">
            <v>0</v>
          </cell>
          <cell r="G726">
            <v>0</v>
          </cell>
        </row>
        <row r="727"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D728" t="str">
            <v>F10</v>
          </cell>
          <cell r="E728" t="str">
            <v>F10</v>
          </cell>
          <cell r="F728" t="str">
            <v>F10</v>
          </cell>
          <cell r="G728" t="str">
            <v>F10</v>
          </cell>
        </row>
        <row r="729"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D731" t="str">
            <v>F10</v>
          </cell>
          <cell r="E731" t="str">
            <v>F10</v>
          </cell>
          <cell r="F731" t="str">
            <v>F10</v>
          </cell>
          <cell r="G731" t="str">
            <v>F10</v>
          </cell>
        </row>
        <row r="732"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D734" t="str">
            <v>F10</v>
          </cell>
          <cell r="E734" t="str">
            <v>F10</v>
          </cell>
          <cell r="F734" t="str">
            <v>F10</v>
          </cell>
          <cell r="G734" t="str">
            <v>F10</v>
          </cell>
        </row>
        <row r="735"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D736">
            <v>0</v>
          </cell>
          <cell r="E736">
            <v>0</v>
          </cell>
          <cell r="F736">
            <v>0</v>
          </cell>
          <cell r="G736">
            <v>0</v>
          </cell>
        </row>
        <row r="737">
          <cell r="D737" t="str">
            <v>F10</v>
          </cell>
          <cell r="E737" t="str">
            <v>F10</v>
          </cell>
          <cell r="F737" t="str">
            <v>F10</v>
          </cell>
          <cell r="G737" t="str">
            <v>F10</v>
          </cell>
        </row>
        <row r="738">
          <cell r="D738">
            <v>0</v>
          </cell>
          <cell r="E738">
            <v>0</v>
          </cell>
          <cell r="F738">
            <v>0</v>
          </cell>
          <cell r="G738">
            <v>0</v>
          </cell>
        </row>
        <row r="739">
          <cell r="D739">
            <v>0</v>
          </cell>
          <cell r="E739">
            <v>0</v>
          </cell>
          <cell r="F739">
            <v>0</v>
          </cell>
          <cell r="G739">
            <v>0</v>
          </cell>
        </row>
        <row r="740">
          <cell r="D740" t="str">
            <v>F10</v>
          </cell>
          <cell r="E740" t="str">
            <v>F10</v>
          </cell>
          <cell r="F740" t="str">
            <v>F10</v>
          </cell>
          <cell r="G740" t="str">
            <v>F10</v>
          </cell>
        </row>
        <row r="741">
          <cell r="D741">
            <v>0</v>
          </cell>
          <cell r="E741">
            <v>0</v>
          </cell>
          <cell r="F741">
            <v>0</v>
          </cell>
          <cell r="G741">
            <v>0</v>
          </cell>
        </row>
        <row r="742">
          <cell r="D742">
            <v>0</v>
          </cell>
          <cell r="E742">
            <v>0</v>
          </cell>
          <cell r="F742">
            <v>0</v>
          </cell>
          <cell r="G742">
            <v>0</v>
          </cell>
        </row>
        <row r="743">
          <cell r="D743">
            <v>0</v>
          </cell>
          <cell r="E743">
            <v>0</v>
          </cell>
          <cell r="F743">
            <v>0</v>
          </cell>
          <cell r="G743">
            <v>0</v>
          </cell>
        </row>
        <row r="744">
          <cell r="D744">
            <v>0</v>
          </cell>
          <cell r="E744">
            <v>0</v>
          </cell>
          <cell r="F744">
            <v>0</v>
          </cell>
          <cell r="G744">
            <v>0</v>
          </cell>
        </row>
        <row r="745">
          <cell r="D745">
            <v>0</v>
          </cell>
          <cell r="E745">
            <v>0</v>
          </cell>
          <cell r="F745">
            <v>0</v>
          </cell>
          <cell r="G745">
            <v>0</v>
          </cell>
        </row>
        <row r="746">
          <cell r="D746">
            <v>0</v>
          </cell>
          <cell r="E746">
            <v>0</v>
          </cell>
          <cell r="F746">
            <v>0</v>
          </cell>
          <cell r="G746">
            <v>0</v>
          </cell>
        </row>
        <row r="747">
          <cell r="D747">
            <v>0</v>
          </cell>
          <cell r="E747">
            <v>0</v>
          </cell>
          <cell r="F747">
            <v>0</v>
          </cell>
          <cell r="G747">
            <v>0</v>
          </cell>
        </row>
        <row r="748">
          <cell r="D748">
            <v>0</v>
          </cell>
          <cell r="E748">
            <v>0</v>
          </cell>
          <cell r="F748">
            <v>0</v>
          </cell>
          <cell r="G748">
            <v>0</v>
          </cell>
        </row>
        <row r="749">
          <cell r="D749">
            <v>0</v>
          </cell>
          <cell r="E749">
            <v>0</v>
          </cell>
          <cell r="F749">
            <v>0</v>
          </cell>
          <cell r="G749">
            <v>0</v>
          </cell>
        </row>
        <row r="750">
          <cell r="D750" t="str">
            <v>F10</v>
          </cell>
          <cell r="E750" t="str">
            <v>F10</v>
          </cell>
          <cell r="F750" t="str">
            <v>F10</v>
          </cell>
          <cell r="G750" t="str">
            <v>F10</v>
          </cell>
        </row>
        <row r="751"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D752" t="str">
            <v>F10</v>
          </cell>
          <cell r="E752" t="str">
            <v>F10</v>
          </cell>
          <cell r="F752" t="str">
            <v>F10</v>
          </cell>
          <cell r="G752" t="str">
            <v>F10</v>
          </cell>
        </row>
        <row r="753">
          <cell r="D753">
            <v>0</v>
          </cell>
          <cell r="E753">
            <v>0</v>
          </cell>
          <cell r="F753">
            <v>0</v>
          </cell>
          <cell r="G753">
            <v>0</v>
          </cell>
        </row>
        <row r="754">
          <cell r="D754" t="str">
            <v>F10</v>
          </cell>
          <cell r="E754" t="str">
            <v>F10</v>
          </cell>
          <cell r="F754" t="str">
            <v>F10</v>
          </cell>
          <cell r="G754" t="str">
            <v>F10</v>
          </cell>
        </row>
        <row r="755">
          <cell r="D755">
            <v>0</v>
          </cell>
          <cell r="E755">
            <v>0</v>
          </cell>
          <cell r="F755">
            <v>0</v>
          </cell>
          <cell r="G755">
            <v>0</v>
          </cell>
        </row>
        <row r="756">
          <cell r="D756" t="str">
            <v>F10</v>
          </cell>
          <cell r="E756" t="str">
            <v>F10</v>
          </cell>
          <cell r="F756" t="str">
            <v>F10</v>
          </cell>
          <cell r="G756" t="str">
            <v>F10</v>
          </cell>
        </row>
        <row r="757">
          <cell r="D757">
            <v>0</v>
          </cell>
          <cell r="E757">
            <v>0</v>
          </cell>
          <cell r="F757">
            <v>0</v>
          </cell>
          <cell r="G757">
            <v>0</v>
          </cell>
        </row>
        <row r="758">
          <cell r="D758" t="str">
            <v>F10</v>
          </cell>
          <cell r="E758" t="str">
            <v>F10</v>
          </cell>
          <cell r="F758" t="str">
            <v>F10</v>
          </cell>
          <cell r="G758" t="str">
            <v>F10</v>
          </cell>
        </row>
        <row r="759">
          <cell r="D759">
            <v>0</v>
          </cell>
          <cell r="E759">
            <v>0</v>
          </cell>
          <cell r="F759">
            <v>0</v>
          </cell>
          <cell r="G759">
            <v>0</v>
          </cell>
        </row>
        <row r="760">
          <cell r="D760" t="str">
            <v>F10</v>
          </cell>
          <cell r="E760" t="str">
            <v>F10</v>
          </cell>
          <cell r="F760" t="str">
            <v>F10</v>
          </cell>
          <cell r="G760" t="str">
            <v>F10</v>
          </cell>
        </row>
        <row r="761">
          <cell r="D761">
            <v>0</v>
          </cell>
          <cell r="E761">
            <v>0</v>
          </cell>
          <cell r="F761">
            <v>0</v>
          </cell>
          <cell r="G761">
            <v>0</v>
          </cell>
        </row>
        <row r="762">
          <cell r="D762" t="str">
            <v>F10</v>
          </cell>
          <cell r="E762" t="str">
            <v>F10</v>
          </cell>
          <cell r="F762" t="str">
            <v>F10</v>
          </cell>
          <cell r="G762" t="str">
            <v>F10</v>
          </cell>
        </row>
        <row r="763"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D764">
            <v>0</v>
          </cell>
          <cell r="E764">
            <v>0</v>
          </cell>
          <cell r="F764">
            <v>0</v>
          </cell>
          <cell r="G764">
            <v>0</v>
          </cell>
        </row>
        <row r="765"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D766">
            <v>0</v>
          </cell>
          <cell r="E766">
            <v>0</v>
          </cell>
          <cell r="F766">
            <v>0</v>
          </cell>
          <cell r="G766">
            <v>0</v>
          </cell>
        </row>
        <row r="767">
          <cell r="D767">
            <v>0</v>
          </cell>
          <cell r="E767">
            <v>0</v>
          </cell>
          <cell r="F767">
            <v>0</v>
          </cell>
          <cell r="G767">
            <v>0</v>
          </cell>
        </row>
        <row r="768"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D770" t="str">
            <v>F10</v>
          </cell>
          <cell r="E770" t="str">
            <v>F10</v>
          </cell>
          <cell r="F770" t="str">
            <v>F10</v>
          </cell>
          <cell r="G770" t="str">
            <v>F10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D772" t="str">
            <v>F10</v>
          </cell>
          <cell r="E772" t="str">
            <v>F10</v>
          </cell>
          <cell r="F772" t="str">
            <v>F10</v>
          </cell>
          <cell r="G772" t="str">
            <v>F10</v>
          </cell>
        </row>
        <row r="773"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D774" t="str">
            <v>F10</v>
          </cell>
          <cell r="E774" t="str">
            <v>F10</v>
          </cell>
          <cell r="F774" t="str">
            <v>F10</v>
          </cell>
          <cell r="G774" t="str">
            <v>F10</v>
          </cell>
        </row>
        <row r="775">
          <cell r="D775">
            <v>0</v>
          </cell>
          <cell r="E775">
            <v>0</v>
          </cell>
          <cell r="F775">
            <v>0</v>
          </cell>
          <cell r="G775">
            <v>0</v>
          </cell>
        </row>
        <row r="776">
          <cell r="D776" t="str">
            <v>F10</v>
          </cell>
          <cell r="E776" t="str">
            <v>F10</v>
          </cell>
          <cell r="F776" t="str">
            <v>F10</v>
          </cell>
          <cell r="G776" t="str">
            <v>F10</v>
          </cell>
        </row>
        <row r="777"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D778" t="str">
            <v>F10</v>
          </cell>
          <cell r="E778" t="str">
            <v>F10</v>
          </cell>
          <cell r="F778" t="str">
            <v>F10</v>
          </cell>
          <cell r="G778" t="str">
            <v>F10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D780" t="str">
            <v>F10</v>
          </cell>
          <cell r="E780" t="str">
            <v>F10</v>
          </cell>
          <cell r="F780" t="str">
            <v>F10</v>
          </cell>
          <cell r="G780" t="str">
            <v>F10</v>
          </cell>
        </row>
        <row r="781"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D782" t="str">
            <v>F10</v>
          </cell>
          <cell r="E782" t="str">
            <v>F10</v>
          </cell>
          <cell r="F782" t="str">
            <v>F10</v>
          </cell>
          <cell r="G782" t="str">
            <v>F10</v>
          </cell>
        </row>
        <row r="783"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D784" t="str">
            <v>F10</v>
          </cell>
          <cell r="E784" t="str">
            <v>F10</v>
          </cell>
          <cell r="F784" t="str">
            <v>F10</v>
          </cell>
          <cell r="G784" t="str">
            <v>F10</v>
          </cell>
        </row>
        <row r="785"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D788">
            <v>0</v>
          </cell>
          <cell r="E788">
            <v>0</v>
          </cell>
          <cell r="F788">
            <v>0</v>
          </cell>
          <cell r="G788">
            <v>0</v>
          </cell>
        </row>
        <row r="789">
          <cell r="D789" t="str">
            <v>C</v>
          </cell>
          <cell r="E789" t="str">
            <v>C</v>
          </cell>
          <cell r="F789" t="str">
            <v>C</v>
          </cell>
          <cell r="G789" t="str">
            <v>C</v>
          </cell>
        </row>
        <row r="790">
          <cell r="D790" t="str">
            <v>COS
Factor</v>
          </cell>
          <cell r="E790" t="str">
            <v>COS
Factor</v>
          </cell>
          <cell r="F790" t="str">
            <v>COS
Factor</v>
          </cell>
          <cell r="G790" t="str">
            <v>COS
Factor</v>
          </cell>
        </row>
        <row r="791">
          <cell r="D791" t="str">
            <v>F10</v>
          </cell>
          <cell r="E791" t="str">
            <v>F10</v>
          </cell>
          <cell r="F791" t="str">
            <v>F10</v>
          </cell>
          <cell r="G791" t="str">
            <v>F10</v>
          </cell>
        </row>
        <row r="792">
          <cell r="D792" t="str">
            <v>F10</v>
          </cell>
          <cell r="E792" t="str">
            <v>F10</v>
          </cell>
          <cell r="F792" t="str">
            <v>F10</v>
          </cell>
          <cell r="G792" t="str">
            <v>F10</v>
          </cell>
        </row>
        <row r="793">
          <cell r="D793" t="str">
            <v>F10</v>
          </cell>
          <cell r="E793" t="str">
            <v>F10</v>
          </cell>
          <cell r="F793" t="str">
            <v>F10</v>
          </cell>
          <cell r="G793" t="str">
            <v>F10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D796" t="str">
            <v>F10</v>
          </cell>
          <cell r="E796" t="str">
            <v>F10</v>
          </cell>
          <cell r="F796" t="str">
            <v>F10</v>
          </cell>
          <cell r="G796" t="str">
            <v>F10</v>
          </cell>
        </row>
        <row r="797">
          <cell r="D797" t="str">
            <v>F10</v>
          </cell>
          <cell r="E797" t="str">
            <v>F10</v>
          </cell>
          <cell r="F797" t="str">
            <v>F10</v>
          </cell>
          <cell r="G797" t="str">
            <v>F10</v>
          </cell>
        </row>
        <row r="798">
          <cell r="D798" t="str">
            <v>F10</v>
          </cell>
          <cell r="E798" t="str">
            <v>F10</v>
          </cell>
          <cell r="F798" t="str">
            <v>F10</v>
          </cell>
          <cell r="G798" t="str">
            <v>F10</v>
          </cell>
        </row>
        <row r="799"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D801" t="str">
            <v>F10</v>
          </cell>
          <cell r="E801" t="str">
            <v>F10</v>
          </cell>
          <cell r="F801" t="str">
            <v>F10</v>
          </cell>
          <cell r="G801" t="str">
            <v>F10</v>
          </cell>
        </row>
        <row r="802">
          <cell r="D802" t="str">
            <v>F10</v>
          </cell>
          <cell r="E802" t="str">
            <v>F10</v>
          </cell>
          <cell r="F802" t="str">
            <v>F10</v>
          </cell>
          <cell r="G802" t="str">
            <v>F10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D805" t="str">
            <v>F10</v>
          </cell>
          <cell r="E805" t="str">
            <v>F10</v>
          </cell>
          <cell r="F805" t="str">
            <v>F10</v>
          </cell>
          <cell r="G805" t="str">
            <v>F10</v>
          </cell>
        </row>
        <row r="806">
          <cell r="D806" t="str">
            <v>F10</v>
          </cell>
          <cell r="E806" t="str">
            <v>F10</v>
          </cell>
          <cell r="F806" t="str">
            <v>F10</v>
          </cell>
          <cell r="G806" t="str">
            <v>F10</v>
          </cell>
        </row>
        <row r="807">
          <cell r="D807" t="str">
            <v>F10</v>
          </cell>
          <cell r="E807" t="str">
            <v>F10</v>
          </cell>
          <cell r="F807" t="str">
            <v>F10</v>
          </cell>
          <cell r="G807" t="str">
            <v>F10</v>
          </cell>
        </row>
        <row r="808"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D810" t="str">
            <v>F10</v>
          </cell>
          <cell r="E810" t="str">
            <v>F10</v>
          </cell>
          <cell r="F810" t="str">
            <v>F10</v>
          </cell>
          <cell r="G810" t="str">
            <v>F10</v>
          </cell>
        </row>
        <row r="811">
          <cell r="D811" t="str">
            <v>F10</v>
          </cell>
          <cell r="E811" t="str">
            <v>F10</v>
          </cell>
          <cell r="F811" t="str">
            <v>F10</v>
          </cell>
          <cell r="G811" t="str">
            <v>F10</v>
          </cell>
        </row>
        <row r="812">
          <cell r="D812" t="str">
            <v>F10</v>
          </cell>
          <cell r="E812" t="str">
            <v>F10</v>
          </cell>
          <cell r="F812" t="str">
            <v>F10</v>
          </cell>
          <cell r="G812" t="str">
            <v>F10</v>
          </cell>
        </row>
        <row r="813"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D815" t="str">
            <v>F10</v>
          </cell>
          <cell r="E815" t="str">
            <v>F10</v>
          </cell>
          <cell r="F815" t="str">
            <v>F10</v>
          </cell>
          <cell r="G815" t="str">
            <v>F10</v>
          </cell>
        </row>
        <row r="816">
          <cell r="D816" t="str">
            <v>F10</v>
          </cell>
          <cell r="E816" t="str">
            <v>F10</v>
          </cell>
          <cell r="F816" t="str">
            <v>F10</v>
          </cell>
          <cell r="G816" t="str">
            <v>F10</v>
          </cell>
        </row>
        <row r="817">
          <cell r="D817" t="str">
            <v>F10</v>
          </cell>
          <cell r="E817" t="str">
            <v>F10</v>
          </cell>
          <cell r="F817" t="str">
            <v>F10</v>
          </cell>
          <cell r="G817" t="str">
            <v>F10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D820" t="str">
            <v>F10</v>
          </cell>
          <cell r="E820" t="str">
            <v>F10</v>
          </cell>
          <cell r="F820" t="str">
            <v>F10</v>
          </cell>
          <cell r="G820" t="str">
            <v>F10</v>
          </cell>
        </row>
        <row r="821">
          <cell r="D821" t="str">
            <v>F10</v>
          </cell>
          <cell r="E821" t="str">
            <v>F10</v>
          </cell>
          <cell r="F821" t="str">
            <v>F10</v>
          </cell>
          <cell r="G821" t="str">
            <v>F10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D823" t="str">
            <v>F10</v>
          </cell>
          <cell r="E823" t="str">
            <v>F10</v>
          </cell>
          <cell r="F823" t="str">
            <v>F10</v>
          </cell>
          <cell r="G823" t="str">
            <v>F10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D828" t="str">
            <v>F10</v>
          </cell>
          <cell r="E828" t="str">
            <v>F10</v>
          </cell>
          <cell r="F828" t="str">
            <v>F10</v>
          </cell>
          <cell r="G828" t="str">
            <v>F10</v>
          </cell>
        </row>
        <row r="829"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D832">
            <v>0</v>
          </cell>
          <cell r="E832">
            <v>0</v>
          </cell>
          <cell r="F832">
            <v>0</v>
          </cell>
          <cell r="G832">
            <v>0</v>
          </cell>
        </row>
        <row r="833"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D834" t="str">
            <v>F10</v>
          </cell>
          <cell r="E834" t="str">
            <v>F10</v>
          </cell>
          <cell r="F834" t="str">
            <v>F10</v>
          </cell>
          <cell r="G834" t="str">
            <v>F10</v>
          </cell>
        </row>
        <row r="835">
          <cell r="D835" t="str">
            <v>A</v>
          </cell>
          <cell r="E835" t="str">
            <v>A</v>
          </cell>
          <cell r="F835" t="str">
            <v>A</v>
          </cell>
          <cell r="G835" t="str">
            <v>A</v>
          </cell>
        </row>
        <row r="836">
          <cell r="D836">
            <v>0</v>
          </cell>
          <cell r="E836">
            <v>0</v>
          </cell>
          <cell r="F836">
            <v>0</v>
          </cell>
          <cell r="G836">
            <v>0</v>
          </cell>
        </row>
        <row r="837"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D838" t="str">
            <v>F10</v>
          </cell>
          <cell r="E838" t="str">
            <v>F10</v>
          </cell>
          <cell r="F838" t="str">
            <v>F10</v>
          </cell>
          <cell r="G838" t="str">
            <v>F10</v>
          </cell>
        </row>
        <row r="839">
          <cell r="D839" t="str">
            <v>A</v>
          </cell>
          <cell r="E839" t="str">
            <v>A</v>
          </cell>
          <cell r="F839" t="str">
            <v>A</v>
          </cell>
          <cell r="G839" t="str">
            <v>A</v>
          </cell>
        </row>
        <row r="840">
          <cell r="D840">
            <v>0</v>
          </cell>
          <cell r="E840">
            <v>0</v>
          </cell>
          <cell r="F840">
            <v>0</v>
          </cell>
          <cell r="G840">
            <v>0</v>
          </cell>
        </row>
        <row r="841"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D842" t="str">
            <v>F10</v>
          </cell>
          <cell r="E842" t="str">
            <v>F10</v>
          </cell>
          <cell r="F842" t="str">
            <v>F10</v>
          </cell>
          <cell r="G842" t="str">
            <v>F10</v>
          </cell>
        </row>
        <row r="843">
          <cell r="D843" t="str">
            <v>A</v>
          </cell>
          <cell r="E843" t="str">
            <v>A</v>
          </cell>
          <cell r="F843" t="str">
            <v>A</v>
          </cell>
          <cell r="G843" t="str">
            <v>A</v>
          </cell>
        </row>
        <row r="844"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D846" t="str">
            <v>F10</v>
          </cell>
          <cell r="E846" t="str">
            <v>F10</v>
          </cell>
          <cell r="F846" t="str">
            <v>F10</v>
          </cell>
          <cell r="G846" t="str">
            <v>F10</v>
          </cell>
        </row>
        <row r="847">
          <cell r="D847" t="str">
            <v>A</v>
          </cell>
          <cell r="E847" t="str">
            <v>A</v>
          </cell>
          <cell r="F847" t="str">
            <v>A</v>
          </cell>
          <cell r="G847" t="str">
            <v>A</v>
          </cell>
        </row>
        <row r="848">
          <cell r="D848">
            <v>0</v>
          </cell>
          <cell r="E848">
            <v>0</v>
          </cell>
          <cell r="F848">
            <v>0</v>
          </cell>
          <cell r="G848">
            <v>0</v>
          </cell>
        </row>
        <row r="849">
          <cell r="D849">
            <v>0</v>
          </cell>
          <cell r="E849">
            <v>0</v>
          </cell>
          <cell r="F849">
            <v>0</v>
          </cell>
          <cell r="G849">
            <v>0</v>
          </cell>
        </row>
        <row r="850">
          <cell r="D850" t="str">
            <v>F10</v>
          </cell>
          <cell r="E850" t="str">
            <v>F10</v>
          </cell>
          <cell r="F850" t="str">
            <v>F10</v>
          </cell>
          <cell r="G850" t="str">
            <v>F10</v>
          </cell>
        </row>
        <row r="851">
          <cell r="D851" t="str">
            <v>A</v>
          </cell>
          <cell r="E851" t="str">
            <v>A</v>
          </cell>
          <cell r="F851" t="str">
            <v>A</v>
          </cell>
          <cell r="G851" t="str">
            <v>A</v>
          </cell>
        </row>
        <row r="852"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D854" t="str">
            <v>F10</v>
          </cell>
          <cell r="E854" t="str">
            <v>F10</v>
          </cell>
          <cell r="F854" t="str">
            <v>F10</v>
          </cell>
          <cell r="G854" t="str">
            <v>F10</v>
          </cell>
        </row>
        <row r="855">
          <cell r="D855" t="str">
            <v>A</v>
          </cell>
          <cell r="E855" t="str">
            <v>A</v>
          </cell>
          <cell r="F855" t="str">
            <v>A</v>
          </cell>
          <cell r="G855" t="str">
            <v>A</v>
          </cell>
        </row>
        <row r="856"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D858" t="str">
            <v>F10</v>
          </cell>
          <cell r="E858" t="str">
            <v>F10</v>
          </cell>
          <cell r="F858" t="str">
            <v>F10</v>
          </cell>
          <cell r="G858" t="str">
            <v>F10</v>
          </cell>
        </row>
        <row r="859">
          <cell r="D859" t="str">
            <v>A</v>
          </cell>
          <cell r="E859" t="str">
            <v>A</v>
          </cell>
          <cell r="F859" t="str">
            <v>A</v>
          </cell>
          <cell r="G859" t="str">
            <v>A</v>
          </cell>
        </row>
        <row r="860"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D862" t="str">
            <v>F10</v>
          </cell>
          <cell r="E862" t="str">
            <v>F10</v>
          </cell>
          <cell r="F862" t="str">
            <v>F10</v>
          </cell>
          <cell r="G862" t="str">
            <v>F10</v>
          </cell>
        </row>
        <row r="863">
          <cell r="D863" t="str">
            <v>A</v>
          </cell>
          <cell r="E863" t="str">
            <v>A</v>
          </cell>
          <cell r="F863" t="str">
            <v>A</v>
          </cell>
          <cell r="G863" t="str">
            <v>A</v>
          </cell>
        </row>
        <row r="864"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D866" t="str">
            <v>F10</v>
          </cell>
          <cell r="E866" t="str">
            <v>F10</v>
          </cell>
          <cell r="F866" t="str">
            <v>F10</v>
          </cell>
          <cell r="G866" t="str">
            <v>F10</v>
          </cell>
        </row>
        <row r="867">
          <cell r="D867" t="str">
            <v>A</v>
          </cell>
          <cell r="E867" t="str">
            <v>A</v>
          </cell>
          <cell r="F867" t="str">
            <v>A</v>
          </cell>
          <cell r="G867" t="str">
            <v>A</v>
          </cell>
        </row>
        <row r="868"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D870" t="str">
            <v>F10</v>
          </cell>
          <cell r="E870" t="str">
            <v>F10</v>
          </cell>
          <cell r="F870" t="str">
            <v>F10</v>
          </cell>
          <cell r="G870" t="str">
            <v>F10</v>
          </cell>
        </row>
        <row r="871">
          <cell r="D871" t="str">
            <v>F10</v>
          </cell>
          <cell r="E871" t="str">
            <v>F10</v>
          </cell>
          <cell r="F871" t="str">
            <v>F10</v>
          </cell>
          <cell r="G871" t="str">
            <v>F10</v>
          </cell>
        </row>
        <row r="872"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D875" t="str">
            <v>C</v>
          </cell>
          <cell r="E875" t="str">
            <v>C</v>
          </cell>
          <cell r="F875" t="str">
            <v>C</v>
          </cell>
          <cell r="G875" t="str">
            <v>C</v>
          </cell>
        </row>
        <row r="876">
          <cell r="D876" t="str">
            <v>COS
Factor</v>
          </cell>
          <cell r="E876" t="str">
            <v>COS
Factor</v>
          </cell>
          <cell r="F876" t="str">
            <v>COS
Factor</v>
          </cell>
          <cell r="G876" t="str">
            <v>COS
Factor</v>
          </cell>
        </row>
        <row r="877"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D879" t="str">
            <v>F20</v>
          </cell>
          <cell r="E879" t="str">
            <v>F20</v>
          </cell>
          <cell r="F879" t="str">
            <v>F20</v>
          </cell>
          <cell r="G879" t="str">
            <v>F20</v>
          </cell>
        </row>
        <row r="880">
          <cell r="D880" t="str">
            <v>A</v>
          </cell>
          <cell r="E880" t="str">
            <v>A</v>
          </cell>
          <cell r="F880" t="str">
            <v>A</v>
          </cell>
          <cell r="G880" t="str">
            <v>A</v>
          </cell>
        </row>
        <row r="881"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D883" t="str">
            <v>F20</v>
          </cell>
          <cell r="E883" t="str">
            <v>F20</v>
          </cell>
          <cell r="F883" t="str">
            <v>F20</v>
          </cell>
          <cell r="G883" t="str">
            <v>F20</v>
          </cell>
        </row>
        <row r="884">
          <cell r="D884" t="str">
            <v>A</v>
          </cell>
          <cell r="E884" t="str">
            <v>A</v>
          </cell>
          <cell r="F884" t="str">
            <v>A</v>
          </cell>
          <cell r="G884" t="str">
            <v>A</v>
          </cell>
        </row>
        <row r="885">
          <cell r="D885">
            <v>0</v>
          </cell>
          <cell r="E885">
            <v>0</v>
          </cell>
          <cell r="F885">
            <v>0</v>
          </cell>
          <cell r="G885">
            <v>0</v>
          </cell>
        </row>
        <row r="886">
          <cell r="D886">
            <v>0</v>
          </cell>
          <cell r="E886">
            <v>0</v>
          </cell>
          <cell r="F886">
            <v>0</v>
          </cell>
          <cell r="G886">
            <v>0</v>
          </cell>
        </row>
        <row r="887">
          <cell r="D887" t="str">
            <v>F20</v>
          </cell>
          <cell r="E887" t="str">
            <v>F20</v>
          </cell>
          <cell r="F887" t="str">
            <v>F20</v>
          </cell>
          <cell r="G887" t="str">
            <v>F20</v>
          </cell>
        </row>
        <row r="888">
          <cell r="D888" t="str">
            <v>A</v>
          </cell>
          <cell r="E888" t="str">
            <v>A</v>
          </cell>
          <cell r="F888" t="str">
            <v>A</v>
          </cell>
          <cell r="G888" t="str">
            <v>A</v>
          </cell>
        </row>
        <row r="889">
          <cell r="D889">
            <v>0</v>
          </cell>
          <cell r="E889">
            <v>0</v>
          </cell>
          <cell r="F889">
            <v>0</v>
          </cell>
          <cell r="G889">
            <v>0</v>
          </cell>
        </row>
        <row r="890">
          <cell r="D890">
            <v>0</v>
          </cell>
          <cell r="E890">
            <v>0</v>
          </cell>
          <cell r="F890">
            <v>0</v>
          </cell>
          <cell r="G890">
            <v>0</v>
          </cell>
        </row>
        <row r="891">
          <cell r="D891" t="str">
            <v>F20</v>
          </cell>
          <cell r="E891" t="str">
            <v>F20</v>
          </cell>
          <cell r="F891" t="str">
            <v>F20</v>
          </cell>
          <cell r="G891" t="str">
            <v>F20</v>
          </cell>
        </row>
        <row r="892">
          <cell r="D892" t="str">
            <v>F22</v>
          </cell>
          <cell r="E892" t="str">
            <v>F22</v>
          </cell>
          <cell r="F892" t="str">
            <v>F22</v>
          </cell>
          <cell r="G892" t="str">
            <v>F22</v>
          </cell>
        </row>
        <row r="893">
          <cell r="D893" t="str">
            <v>A</v>
          </cell>
          <cell r="E893" t="str">
            <v>A</v>
          </cell>
          <cell r="F893" t="str">
            <v>A</v>
          </cell>
          <cell r="G893" t="str">
            <v>A</v>
          </cell>
        </row>
        <row r="894">
          <cell r="D894">
            <v>0</v>
          </cell>
          <cell r="E894">
            <v>0</v>
          </cell>
          <cell r="F894">
            <v>0</v>
          </cell>
          <cell r="G894">
            <v>0</v>
          </cell>
        </row>
        <row r="895">
          <cell r="D895">
            <v>0</v>
          </cell>
          <cell r="E895">
            <v>0</v>
          </cell>
          <cell r="F895">
            <v>0</v>
          </cell>
          <cell r="G895">
            <v>0</v>
          </cell>
        </row>
        <row r="896">
          <cell r="D896" t="str">
            <v>F20</v>
          </cell>
          <cell r="E896" t="str">
            <v>F20</v>
          </cell>
          <cell r="F896" t="str">
            <v>F20</v>
          </cell>
          <cell r="G896" t="str">
            <v>F20</v>
          </cell>
        </row>
        <row r="897">
          <cell r="D897" t="str">
            <v>F22</v>
          </cell>
          <cell r="E897" t="str">
            <v>F22</v>
          </cell>
          <cell r="F897" t="str">
            <v>F22</v>
          </cell>
          <cell r="G897" t="str">
            <v>F22</v>
          </cell>
        </row>
        <row r="898">
          <cell r="D898" t="str">
            <v>A</v>
          </cell>
          <cell r="E898" t="str">
            <v>A</v>
          </cell>
          <cell r="F898" t="str">
            <v>A</v>
          </cell>
          <cell r="G898" t="str">
            <v>A</v>
          </cell>
        </row>
        <row r="899">
          <cell r="D899">
            <v>0</v>
          </cell>
          <cell r="E899">
            <v>0</v>
          </cell>
          <cell r="F899">
            <v>0</v>
          </cell>
          <cell r="G899">
            <v>0</v>
          </cell>
        </row>
        <row r="900"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D901" t="str">
            <v>F20</v>
          </cell>
          <cell r="E901" t="str">
            <v>F20</v>
          </cell>
          <cell r="F901" t="str">
            <v>F20</v>
          </cell>
          <cell r="G901" t="str">
            <v>F20</v>
          </cell>
        </row>
        <row r="902">
          <cell r="D902" t="str">
            <v>F22</v>
          </cell>
          <cell r="E902" t="str">
            <v>F22</v>
          </cell>
          <cell r="F902" t="str">
            <v>F22</v>
          </cell>
          <cell r="G902" t="str">
            <v>F22</v>
          </cell>
        </row>
        <row r="903">
          <cell r="D903" t="str">
            <v>A</v>
          </cell>
          <cell r="E903" t="str">
            <v>A</v>
          </cell>
          <cell r="F903" t="str">
            <v>A</v>
          </cell>
          <cell r="G903" t="str">
            <v>A</v>
          </cell>
        </row>
        <row r="904"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D906" t="str">
            <v>F20</v>
          </cell>
          <cell r="E906" t="str">
            <v>F20</v>
          </cell>
          <cell r="F906" t="str">
            <v>F20</v>
          </cell>
          <cell r="G906" t="str">
            <v>F20</v>
          </cell>
        </row>
        <row r="907">
          <cell r="D907" t="str">
            <v>F22</v>
          </cell>
          <cell r="E907" t="str">
            <v>F22</v>
          </cell>
          <cell r="F907" t="str">
            <v>F22</v>
          </cell>
          <cell r="G907" t="str">
            <v>F22</v>
          </cell>
        </row>
        <row r="908">
          <cell r="D908" t="str">
            <v>A</v>
          </cell>
          <cell r="E908" t="str">
            <v>A</v>
          </cell>
          <cell r="F908" t="str">
            <v>A</v>
          </cell>
          <cell r="G908" t="str">
            <v>A</v>
          </cell>
        </row>
        <row r="909">
          <cell r="D909">
            <v>0</v>
          </cell>
          <cell r="E909">
            <v>0</v>
          </cell>
          <cell r="F909">
            <v>0</v>
          </cell>
          <cell r="G909">
            <v>0</v>
          </cell>
        </row>
        <row r="910">
          <cell r="D910">
            <v>0</v>
          </cell>
          <cell r="E910">
            <v>0</v>
          </cell>
          <cell r="F910">
            <v>0</v>
          </cell>
          <cell r="G910">
            <v>0</v>
          </cell>
        </row>
        <row r="911">
          <cell r="D911" t="str">
            <v>F21</v>
          </cell>
          <cell r="E911" t="str">
            <v>F21</v>
          </cell>
          <cell r="F911" t="str">
            <v>F21</v>
          </cell>
          <cell r="G911" t="str">
            <v>F21</v>
          </cell>
        </row>
        <row r="912">
          <cell r="D912" t="str">
            <v>A</v>
          </cell>
          <cell r="E912" t="str">
            <v>A</v>
          </cell>
          <cell r="F912" t="str">
            <v>A</v>
          </cell>
          <cell r="G912" t="str">
            <v>A</v>
          </cell>
        </row>
        <row r="913">
          <cell r="D913">
            <v>0</v>
          </cell>
          <cell r="E913">
            <v>0</v>
          </cell>
          <cell r="F913">
            <v>0</v>
          </cell>
          <cell r="G913">
            <v>0</v>
          </cell>
        </row>
        <row r="914">
          <cell r="D914">
            <v>0</v>
          </cell>
          <cell r="E914">
            <v>0</v>
          </cell>
          <cell r="F914">
            <v>0</v>
          </cell>
          <cell r="G914">
            <v>0</v>
          </cell>
        </row>
        <row r="915">
          <cell r="D915" t="str">
            <v>F70</v>
          </cell>
          <cell r="E915" t="str">
            <v>F70</v>
          </cell>
          <cell r="F915" t="str">
            <v>F70</v>
          </cell>
          <cell r="G915" t="str">
            <v>F70</v>
          </cell>
        </row>
        <row r="916">
          <cell r="D916" t="str">
            <v>A</v>
          </cell>
          <cell r="E916" t="str">
            <v>A</v>
          </cell>
          <cell r="F916" t="str">
            <v>A</v>
          </cell>
          <cell r="G916" t="str">
            <v>A</v>
          </cell>
        </row>
        <row r="917"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D919" t="str">
            <v>F60</v>
          </cell>
          <cell r="E919" t="str">
            <v>F60</v>
          </cell>
          <cell r="F919" t="str">
            <v>F60</v>
          </cell>
          <cell r="G919" t="str">
            <v>F60</v>
          </cell>
        </row>
        <row r="920">
          <cell r="D920" t="str">
            <v>A</v>
          </cell>
          <cell r="E920" t="str">
            <v>A</v>
          </cell>
          <cell r="F920" t="str">
            <v>A</v>
          </cell>
          <cell r="G920" t="str">
            <v>A</v>
          </cell>
        </row>
        <row r="921">
          <cell r="D921">
            <v>0</v>
          </cell>
          <cell r="E921">
            <v>0</v>
          </cell>
          <cell r="F921">
            <v>0</v>
          </cell>
          <cell r="G921">
            <v>0</v>
          </cell>
        </row>
        <row r="922">
          <cell r="D922">
            <v>0</v>
          </cell>
          <cell r="E922">
            <v>0</v>
          </cell>
          <cell r="F922">
            <v>0</v>
          </cell>
          <cell r="G922">
            <v>0</v>
          </cell>
        </row>
        <row r="923">
          <cell r="D923" t="str">
            <v>F20</v>
          </cell>
          <cell r="E923" t="str">
            <v>F20</v>
          </cell>
          <cell r="F923" t="str">
            <v>F20</v>
          </cell>
          <cell r="G923" t="str">
            <v>F20</v>
          </cell>
        </row>
        <row r="924">
          <cell r="D924" t="str">
            <v>F22</v>
          </cell>
          <cell r="E924" t="str">
            <v>F22</v>
          </cell>
          <cell r="F924" t="str">
            <v>F22</v>
          </cell>
          <cell r="G924" t="str">
            <v>F22</v>
          </cell>
        </row>
        <row r="925">
          <cell r="D925" t="str">
            <v>A</v>
          </cell>
          <cell r="E925" t="str">
            <v>A</v>
          </cell>
          <cell r="F925" t="str">
            <v>A</v>
          </cell>
          <cell r="G925" t="str">
            <v>A</v>
          </cell>
        </row>
        <row r="926"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D928" t="str">
            <v>F20</v>
          </cell>
          <cell r="E928" t="str">
            <v>F20</v>
          </cell>
          <cell r="F928" t="str">
            <v>F20</v>
          </cell>
          <cell r="G928" t="str">
            <v>F20</v>
          </cell>
        </row>
        <row r="929">
          <cell r="D929" t="str">
            <v>F22</v>
          </cell>
          <cell r="E929" t="str">
            <v>F22</v>
          </cell>
          <cell r="F929" t="str">
            <v>F22</v>
          </cell>
          <cell r="G929" t="str">
            <v>F22</v>
          </cell>
        </row>
        <row r="930">
          <cell r="D930" t="str">
            <v>A</v>
          </cell>
          <cell r="E930" t="str">
            <v>A</v>
          </cell>
          <cell r="F930" t="str">
            <v>A</v>
          </cell>
          <cell r="G930" t="str">
            <v>A</v>
          </cell>
        </row>
        <row r="931"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D933" t="str">
            <v>A</v>
          </cell>
          <cell r="E933" t="str">
            <v>A</v>
          </cell>
          <cell r="F933" t="str">
            <v>A</v>
          </cell>
          <cell r="G933" t="str">
            <v>A</v>
          </cell>
        </row>
        <row r="934"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D936" t="str">
            <v>F22</v>
          </cell>
          <cell r="E936" t="str">
            <v>F22</v>
          </cell>
          <cell r="F936" t="str">
            <v>F22</v>
          </cell>
          <cell r="G936" t="str">
            <v>F22</v>
          </cell>
        </row>
        <row r="937">
          <cell r="D937" t="str">
            <v>F20</v>
          </cell>
          <cell r="E937" t="str">
            <v>F20</v>
          </cell>
          <cell r="F937" t="str">
            <v>F20</v>
          </cell>
          <cell r="G937" t="str">
            <v>F20</v>
          </cell>
        </row>
        <row r="938"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D942" t="str">
            <v>C</v>
          </cell>
          <cell r="E942" t="str">
            <v>C</v>
          </cell>
          <cell r="F942" t="str">
            <v>C</v>
          </cell>
          <cell r="G942" t="str">
            <v>C</v>
          </cell>
        </row>
        <row r="943">
          <cell r="D943" t="str">
            <v>COS
Factor</v>
          </cell>
          <cell r="E943" t="str">
            <v>COS
Factor</v>
          </cell>
          <cell r="F943" t="str">
            <v>COS
Factor</v>
          </cell>
          <cell r="G943" t="str">
            <v>COS
Factor</v>
          </cell>
        </row>
        <row r="944">
          <cell r="D944">
            <v>0</v>
          </cell>
          <cell r="E944">
            <v>0</v>
          </cell>
          <cell r="F944">
            <v>0</v>
          </cell>
          <cell r="G944">
            <v>0</v>
          </cell>
        </row>
        <row r="945">
          <cell r="D945" t="str">
            <v>F107x</v>
          </cell>
          <cell r="E945" t="str">
            <v>F107x</v>
          </cell>
          <cell r="F945" t="str">
            <v>F107x</v>
          </cell>
          <cell r="G945" t="str">
            <v>F107x</v>
          </cell>
        </row>
        <row r="946">
          <cell r="D946" t="str">
            <v>F42</v>
          </cell>
          <cell r="E946" t="str">
            <v>F42</v>
          </cell>
          <cell r="F946" t="str">
            <v>F42</v>
          </cell>
          <cell r="G946" t="str">
            <v>F42</v>
          </cell>
        </row>
        <row r="947">
          <cell r="D947" t="str">
            <v>F105x</v>
          </cell>
          <cell r="E947" t="str">
            <v>F105x</v>
          </cell>
          <cell r="F947" t="str">
            <v>F105x</v>
          </cell>
          <cell r="G947" t="str">
            <v>F105x</v>
          </cell>
        </row>
        <row r="948">
          <cell r="D948" t="str">
            <v>F105x</v>
          </cell>
          <cell r="E948" t="str">
            <v>F105x</v>
          </cell>
          <cell r="F948" t="str">
            <v>F105x</v>
          </cell>
          <cell r="G948" t="str">
            <v>F105x</v>
          </cell>
        </row>
        <row r="949">
          <cell r="D949" t="str">
            <v>F102x</v>
          </cell>
          <cell r="E949" t="str">
            <v>F102x</v>
          </cell>
          <cell r="F949" t="str">
            <v>F102x</v>
          </cell>
          <cell r="G949" t="str">
            <v>F102x</v>
          </cell>
        </row>
        <row r="950"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D953" t="str">
            <v>F107x</v>
          </cell>
          <cell r="E953" t="str">
            <v>F107x</v>
          </cell>
          <cell r="F953" t="str">
            <v>F107x</v>
          </cell>
          <cell r="G953" t="str">
            <v>F107x</v>
          </cell>
        </row>
        <row r="954">
          <cell r="D954" t="str">
            <v>F105x</v>
          </cell>
          <cell r="E954" t="str">
            <v>F105x</v>
          </cell>
          <cell r="F954" t="str">
            <v>F105x</v>
          </cell>
          <cell r="G954" t="str">
            <v>F105x</v>
          </cell>
        </row>
        <row r="955">
          <cell r="D955" t="str">
            <v>F105x</v>
          </cell>
          <cell r="E955" t="str">
            <v>F105x</v>
          </cell>
          <cell r="F955" t="str">
            <v>F105x</v>
          </cell>
          <cell r="G955" t="str">
            <v>F105x</v>
          </cell>
        </row>
        <row r="956">
          <cell r="D956" t="str">
            <v>F105x</v>
          </cell>
          <cell r="E956" t="str">
            <v>F105x</v>
          </cell>
          <cell r="F956" t="str">
            <v>F105x</v>
          </cell>
          <cell r="G956" t="str">
            <v>F105x</v>
          </cell>
        </row>
        <row r="957">
          <cell r="D957" t="str">
            <v>F42</v>
          </cell>
          <cell r="E957" t="str">
            <v>F42</v>
          </cell>
          <cell r="F957" t="str">
            <v>F42</v>
          </cell>
          <cell r="G957" t="str">
            <v>F42</v>
          </cell>
        </row>
        <row r="958">
          <cell r="D958" t="str">
            <v>F102x</v>
          </cell>
          <cell r="E958" t="str">
            <v>F102x</v>
          </cell>
          <cell r="F958" t="str">
            <v>F102x</v>
          </cell>
          <cell r="G958" t="str">
            <v>F102x</v>
          </cell>
        </row>
        <row r="959">
          <cell r="D959" t="str">
            <v>F102x</v>
          </cell>
          <cell r="E959" t="str">
            <v>F102x</v>
          </cell>
          <cell r="F959" t="str">
            <v>F102x</v>
          </cell>
          <cell r="G959" t="str">
            <v>F102x</v>
          </cell>
        </row>
        <row r="960"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D964" t="str">
            <v>F107x</v>
          </cell>
          <cell r="E964" t="str">
            <v>F107x</v>
          </cell>
          <cell r="F964" t="str">
            <v>F107x</v>
          </cell>
          <cell r="G964" t="str">
            <v>F107x</v>
          </cell>
        </row>
        <row r="965">
          <cell r="D965" t="str">
            <v>F105x</v>
          </cell>
          <cell r="E965" t="str">
            <v>F105x</v>
          </cell>
          <cell r="F965" t="str">
            <v>F105x</v>
          </cell>
          <cell r="G965" t="str">
            <v>F105x</v>
          </cell>
        </row>
        <row r="966">
          <cell r="D966" t="str">
            <v>F105x</v>
          </cell>
          <cell r="E966" t="str">
            <v>F105x</v>
          </cell>
          <cell r="F966" t="str">
            <v>F105x</v>
          </cell>
          <cell r="G966" t="str">
            <v>F105x</v>
          </cell>
        </row>
        <row r="967">
          <cell r="D967" t="str">
            <v>F42</v>
          </cell>
          <cell r="E967" t="str">
            <v>F42</v>
          </cell>
          <cell r="F967" t="str">
            <v>F42</v>
          </cell>
          <cell r="G967" t="str">
            <v>F42</v>
          </cell>
        </row>
        <row r="968">
          <cell r="D968" t="str">
            <v>F105x</v>
          </cell>
          <cell r="E968" t="str">
            <v>F105x</v>
          </cell>
          <cell r="F968" t="str">
            <v>F105x</v>
          </cell>
          <cell r="G968" t="str">
            <v>F105x</v>
          </cell>
        </row>
        <row r="969">
          <cell r="D969" t="str">
            <v>F30</v>
          </cell>
          <cell r="E969" t="str">
            <v>F30</v>
          </cell>
          <cell r="F969" t="str">
            <v>F30</v>
          </cell>
          <cell r="G969" t="str">
            <v>F30</v>
          </cell>
        </row>
        <row r="970">
          <cell r="D970" t="str">
            <v>F102x</v>
          </cell>
          <cell r="E970" t="str">
            <v>F102x</v>
          </cell>
          <cell r="F970" t="str">
            <v>F102x</v>
          </cell>
          <cell r="G970" t="str">
            <v>F102x</v>
          </cell>
        </row>
        <row r="971">
          <cell r="D971" t="str">
            <v>F10</v>
          </cell>
          <cell r="E971" t="str">
            <v>F10</v>
          </cell>
          <cell r="F971" t="str">
            <v>F105x</v>
          </cell>
          <cell r="G971" t="str">
            <v>F10</v>
          </cell>
        </row>
        <row r="972">
          <cell r="D972" t="str">
            <v>F10</v>
          </cell>
          <cell r="E972" t="str">
            <v>F10</v>
          </cell>
          <cell r="F972" t="str">
            <v>F105x</v>
          </cell>
          <cell r="G972" t="str">
            <v>F10</v>
          </cell>
        </row>
        <row r="973"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D976" t="str">
            <v>F107x</v>
          </cell>
          <cell r="E976" t="str">
            <v>F107x</v>
          </cell>
          <cell r="F976" t="str">
            <v>F107x</v>
          </cell>
          <cell r="G976" t="str">
            <v>F107x</v>
          </cell>
        </row>
        <row r="977">
          <cell r="D977" t="str">
            <v>F102x</v>
          </cell>
          <cell r="E977" t="str">
            <v>F102x</v>
          </cell>
          <cell r="F977" t="str">
            <v>F102x</v>
          </cell>
          <cell r="G977" t="str">
            <v>F102x</v>
          </cell>
        </row>
        <row r="978">
          <cell r="D978" t="str">
            <v>F105x</v>
          </cell>
          <cell r="E978" t="str">
            <v>F105x</v>
          </cell>
          <cell r="F978" t="str">
            <v>F105x</v>
          </cell>
          <cell r="G978" t="str">
            <v>F105x</v>
          </cell>
        </row>
        <row r="979">
          <cell r="D979" t="str">
            <v>F42</v>
          </cell>
          <cell r="E979" t="str">
            <v>F42</v>
          </cell>
          <cell r="F979" t="str">
            <v>F42</v>
          </cell>
          <cell r="G979" t="str">
            <v>F42</v>
          </cell>
        </row>
        <row r="980">
          <cell r="D980" t="str">
            <v>F105x</v>
          </cell>
          <cell r="E980" t="str">
            <v>F105x</v>
          </cell>
          <cell r="F980" t="str">
            <v>F105x</v>
          </cell>
          <cell r="G980" t="str">
            <v>F105x</v>
          </cell>
        </row>
        <row r="981">
          <cell r="D981" t="str">
            <v>F30</v>
          </cell>
          <cell r="E981" t="str">
            <v>F30</v>
          </cell>
          <cell r="F981" t="str">
            <v>F30</v>
          </cell>
          <cell r="G981" t="str">
            <v>F30</v>
          </cell>
        </row>
        <row r="982">
          <cell r="D982" t="str">
            <v>F105x</v>
          </cell>
          <cell r="E982" t="str">
            <v>F105x</v>
          </cell>
          <cell r="F982" t="str">
            <v>F105x</v>
          </cell>
          <cell r="G982" t="str">
            <v>F105x</v>
          </cell>
        </row>
        <row r="983">
          <cell r="D983" t="str">
            <v>F10</v>
          </cell>
          <cell r="E983" t="str">
            <v>F10</v>
          </cell>
          <cell r="F983" t="str">
            <v>F105x</v>
          </cell>
          <cell r="G983" t="str">
            <v>F10</v>
          </cell>
        </row>
        <row r="984">
          <cell r="D984" t="str">
            <v>F10</v>
          </cell>
          <cell r="E984" t="str">
            <v>F10</v>
          </cell>
          <cell r="F984" t="str">
            <v>F10</v>
          </cell>
          <cell r="G984" t="str">
            <v>F10</v>
          </cell>
        </row>
        <row r="985"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D988" t="str">
            <v>F107x</v>
          </cell>
          <cell r="E988" t="str">
            <v>F107x</v>
          </cell>
          <cell r="F988" t="str">
            <v>F107x</v>
          </cell>
          <cell r="G988" t="str">
            <v>F107x</v>
          </cell>
        </row>
        <row r="989">
          <cell r="D989" t="str">
            <v>F105x</v>
          </cell>
          <cell r="E989" t="str">
            <v>F105x</v>
          </cell>
          <cell r="F989" t="str">
            <v>F105x</v>
          </cell>
          <cell r="G989" t="str">
            <v>F105x</v>
          </cell>
        </row>
        <row r="990">
          <cell r="D990" t="str">
            <v>F105x</v>
          </cell>
          <cell r="E990" t="str">
            <v>F105x</v>
          </cell>
          <cell r="F990" t="str">
            <v>F105x</v>
          </cell>
          <cell r="G990" t="str">
            <v>F105x</v>
          </cell>
        </row>
        <row r="991">
          <cell r="D991" t="str">
            <v>F102x</v>
          </cell>
          <cell r="E991" t="str">
            <v>F102x</v>
          </cell>
          <cell r="F991" t="str">
            <v>F102x</v>
          </cell>
          <cell r="G991" t="str">
            <v>F102x</v>
          </cell>
        </row>
        <row r="992">
          <cell r="D992" t="str">
            <v>F105x</v>
          </cell>
          <cell r="E992" t="str">
            <v>F105x</v>
          </cell>
          <cell r="F992" t="str">
            <v>F105x</v>
          </cell>
          <cell r="G992" t="str">
            <v>F105x</v>
          </cell>
        </row>
        <row r="993">
          <cell r="D993" t="str">
            <v>F10</v>
          </cell>
          <cell r="E993" t="str">
            <v>F10</v>
          </cell>
          <cell r="F993" t="str">
            <v>F102x</v>
          </cell>
          <cell r="G993" t="str">
            <v>F10</v>
          </cell>
        </row>
        <row r="994"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D997" t="str">
            <v>F107x</v>
          </cell>
          <cell r="E997" t="str">
            <v>F107x</v>
          </cell>
          <cell r="F997" t="str">
            <v>F107x</v>
          </cell>
          <cell r="G997" t="str">
            <v>F107x</v>
          </cell>
        </row>
        <row r="998">
          <cell r="D998" t="str">
            <v>F105x</v>
          </cell>
          <cell r="E998" t="str">
            <v>F105x</v>
          </cell>
          <cell r="F998" t="str">
            <v>F105x</v>
          </cell>
          <cell r="G998" t="str">
            <v>F105x</v>
          </cell>
        </row>
        <row r="999">
          <cell r="D999" t="str">
            <v>F105x</v>
          </cell>
          <cell r="E999" t="str">
            <v>F105x</v>
          </cell>
          <cell r="F999" t="str">
            <v>F105x</v>
          </cell>
          <cell r="G999" t="str">
            <v>F105x</v>
          </cell>
        </row>
        <row r="1000">
          <cell r="D1000" t="str">
            <v>F102x</v>
          </cell>
          <cell r="E1000" t="str">
            <v>F102x</v>
          </cell>
          <cell r="F1000" t="str">
            <v>F102x</v>
          </cell>
          <cell r="G1000" t="str">
            <v>F102x</v>
          </cell>
        </row>
        <row r="1001">
          <cell r="D1001" t="str">
            <v>F30</v>
          </cell>
          <cell r="E1001" t="str">
            <v>F30</v>
          </cell>
          <cell r="F1001" t="str">
            <v>F30</v>
          </cell>
          <cell r="G1001" t="str">
            <v>F30</v>
          </cell>
        </row>
        <row r="1002">
          <cell r="D1002" t="str">
            <v>F105x</v>
          </cell>
          <cell r="E1002" t="str">
            <v>F105x</v>
          </cell>
          <cell r="F1002" t="str">
            <v>F105x</v>
          </cell>
          <cell r="G1002" t="str">
            <v>F105x</v>
          </cell>
        </row>
        <row r="1003">
          <cell r="D1003" t="str">
            <v>F10</v>
          </cell>
          <cell r="E1003" t="str">
            <v>F10</v>
          </cell>
          <cell r="F1003" t="str">
            <v>F105x</v>
          </cell>
          <cell r="G1003" t="str">
            <v>F10</v>
          </cell>
        </row>
        <row r="1004">
          <cell r="D1004" t="str">
            <v>F10</v>
          </cell>
          <cell r="E1004" t="str">
            <v>F10</v>
          </cell>
          <cell r="F1004" t="str">
            <v>F102x</v>
          </cell>
          <cell r="G1004" t="str">
            <v>F10</v>
          </cell>
        </row>
        <row r="1005"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D1008" t="str">
            <v>F107x</v>
          </cell>
          <cell r="E1008" t="str">
            <v>F107x</v>
          </cell>
          <cell r="F1008" t="str">
            <v>F107x</v>
          </cell>
          <cell r="G1008" t="str">
            <v>F107x</v>
          </cell>
        </row>
        <row r="1009">
          <cell r="D1009" t="str">
            <v>F105x</v>
          </cell>
          <cell r="E1009" t="str">
            <v>F105x</v>
          </cell>
          <cell r="F1009" t="str">
            <v>F105x</v>
          </cell>
          <cell r="G1009" t="str">
            <v>F105x</v>
          </cell>
        </row>
        <row r="1010">
          <cell r="D1010" t="str">
            <v>F105x</v>
          </cell>
          <cell r="E1010" t="str">
            <v>F105x</v>
          </cell>
          <cell r="F1010" t="str">
            <v>F105x</v>
          </cell>
          <cell r="G1010" t="str">
            <v>F105x</v>
          </cell>
        </row>
        <row r="1011">
          <cell r="D1011" t="str">
            <v>F102x</v>
          </cell>
          <cell r="E1011" t="str">
            <v>F102x</v>
          </cell>
          <cell r="F1011" t="str">
            <v>F102x</v>
          </cell>
          <cell r="G1011" t="str">
            <v>F102x</v>
          </cell>
        </row>
        <row r="1012">
          <cell r="D1012" t="str">
            <v>F30</v>
          </cell>
          <cell r="E1012" t="str">
            <v>F30</v>
          </cell>
          <cell r="F1012" t="str">
            <v>F30</v>
          </cell>
          <cell r="G1012" t="str">
            <v>F30</v>
          </cell>
        </row>
        <row r="1013">
          <cell r="D1013" t="str">
            <v>F105x</v>
          </cell>
          <cell r="E1013" t="str">
            <v>F105x</v>
          </cell>
          <cell r="F1013" t="str">
            <v>F105x</v>
          </cell>
          <cell r="G1013" t="str">
            <v>F105x</v>
          </cell>
        </row>
        <row r="1014">
          <cell r="D1014" t="str">
            <v>F10</v>
          </cell>
          <cell r="E1014" t="str">
            <v>F10</v>
          </cell>
          <cell r="F1014" t="str">
            <v>F105x</v>
          </cell>
          <cell r="G1014" t="str">
            <v>F10</v>
          </cell>
        </row>
        <row r="1015">
          <cell r="D1015" t="str">
            <v>F10</v>
          </cell>
          <cell r="E1015" t="str">
            <v>F10</v>
          </cell>
          <cell r="F1015" t="str">
            <v>F102x</v>
          </cell>
          <cell r="G1015" t="str">
            <v>F10</v>
          </cell>
        </row>
        <row r="1016"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D1018">
            <v>0</v>
          </cell>
          <cell r="E1018">
            <v>0</v>
          </cell>
          <cell r="F1018">
            <v>0</v>
          </cell>
          <cell r="G1018">
            <v>0</v>
          </cell>
        </row>
        <row r="1019">
          <cell r="D1019" t="str">
            <v>F107x</v>
          </cell>
          <cell r="E1019" t="str">
            <v>F107x</v>
          </cell>
          <cell r="F1019" t="str">
            <v>F107x</v>
          </cell>
          <cell r="G1019" t="str">
            <v>F107x</v>
          </cell>
        </row>
        <row r="1020">
          <cell r="D1020" t="str">
            <v>F105x</v>
          </cell>
          <cell r="E1020" t="str">
            <v>F105x</v>
          </cell>
          <cell r="F1020" t="str">
            <v>F105x</v>
          </cell>
          <cell r="G1020" t="str">
            <v>F105x</v>
          </cell>
        </row>
        <row r="1021">
          <cell r="D1021" t="str">
            <v>F105x</v>
          </cell>
          <cell r="E1021" t="str">
            <v>F105x</v>
          </cell>
          <cell r="F1021" t="str">
            <v>F105x</v>
          </cell>
          <cell r="G1021" t="str">
            <v>F105x</v>
          </cell>
        </row>
        <row r="1022">
          <cell r="D1022" t="str">
            <v>F102x</v>
          </cell>
          <cell r="E1022" t="str">
            <v>F102x</v>
          </cell>
          <cell r="F1022" t="str">
            <v>F102x</v>
          </cell>
          <cell r="G1022" t="str">
            <v>F102x</v>
          </cell>
        </row>
        <row r="1023">
          <cell r="D1023" t="str">
            <v>F105x</v>
          </cell>
          <cell r="E1023" t="str">
            <v>F105x</v>
          </cell>
          <cell r="F1023" t="str">
            <v>F105x</v>
          </cell>
          <cell r="G1023" t="str">
            <v>F105x</v>
          </cell>
        </row>
        <row r="1024">
          <cell r="D1024" t="str">
            <v>F30</v>
          </cell>
          <cell r="E1024" t="str">
            <v>F30</v>
          </cell>
          <cell r="F1024" t="str">
            <v>F30</v>
          </cell>
          <cell r="G1024" t="str">
            <v>F30</v>
          </cell>
        </row>
        <row r="1025">
          <cell r="D1025" t="str">
            <v>F10</v>
          </cell>
          <cell r="E1025" t="str">
            <v>F10</v>
          </cell>
          <cell r="F1025" t="str">
            <v>F105x</v>
          </cell>
          <cell r="G1025" t="str">
            <v>F10</v>
          </cell>
        </row>
        <row r="1026">
          <cell r="D1026" t="str">
            <v>F10</v>
          </cell>
          <cell r="E1026" t="str">
            <v>F10</v>
          </cell>
          <cell r="F1026" t="str">
            <v>F102x</v>
          </cell>
          <cell r="G1026" t="str">
            <v>F10</v>
          </cell>
        </row>
        <row r="1027"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D1030" t="str">
            <v>F107x</v>
          </cell>
          <cell r="E1030" t="str">
            <v>F107x</v>
          </cell>
          <cell r="F1030" t="str">
            <v>F107x</v>
          </cell>
          <cell r="G1030" t="str">
            <v>F107x</v>
          </cell>
        </row>
        <row r="1031">
          <cell r="D1031" t="str">
            <v>F105x</v>
          </cell>
          <cell r="E1031" t="str">
            <v>F105x</v>
          </cell>
          <cell r="F1031" t="str">
            <v>F105x</v>
          </cell>
          <cell r="G1031" t="str">
            <v>F105x</v>
          </cell>
        </row>
        <row r="1032">
          <cell r="D1032" t="str">
            <v>F105x</v>
          </cell>
          <cell r="E1032" t="str">
            <v>F105x</v>
          </cell>
          <cell r="F1032" t="str">
            <v>F105x</v>
          </cell>
          <cell r="G1032" t="str">
            <v>F105x</v>
          </cell>
        </row>
        <row r="1033">
          <cell r="D1033" t="str">
            <v>F102x</v>
          </cell>
          <cell r="E1033" t="str">
            <v>F102x</v>
          </cell>
          <cell r="F1033" t="str">
            <v>F102x</v>
          </cell>
          <cell r="G1033" t="str">
            <v>F102x</v>
          </cell>
        </row>
        <row r="1034">
          <cell r="D1034" t="str">
            <v>F42</v>
          </cell>
          <cell r="E1034" t="str">
            <v>F42</v>
          </cell>
          <cell r="F1034" t="str">
            <v>F42</v>
          </cell>
          <cell r="G1034" t="str">
            <v>F42</v>
          </cell>
        </row>
        <row r="1035">
          <cell r="D1035" t="str">
            <v>F105x</v>
          </cell>
          <cell r="E1035" t="str">
            <v>F105x</v>
          </cell>
          <cell r="F1035" t="str">
            <v>F105x</v>
          </cell>
          <cell r="G1035" t="str">
            <v>F105x</v>
          </cell>
        </row>
        <row r="1036">
          <cell r="D1036" t="str">
            <v>F30</v>
          </cell>
          <cell r="E1036" t="str">
            <v>F30</v>
          </cell>
          <cell r="F1036" t="str">
            <v>F30</v>
          </cell>
          <cell r="G1036" t="str">
            <v>F30</v>
          </cell>
        </row>
        <row r="1037">
          <cell r="D1037" t="str">
            <v>F10</v>
          </cell>
          <cell r="E1037" t="str">
            <v>F10</v>
          </cell>
          <cell r="F1037" t="str">
            <v>F105x</v>
          </cell>
          <cell r="G1037" t="str">
            <v>F10</v>
          </cell>
        </row>
        <row r="1038">
          <cell r="D1038" t="str">
            <v>F10</v>
          </cell>
          <cell r="E1038" t="str">
            <v>F10</v>
          </cell>
          <cell r="F1038" t="str">
            <v>F102x</v>
          </cell>
          <cell r="G1038" t="str">
            <v>F10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D1043" t="str">
            <v>C</v>
          </cell>
          <cell r="E1043" t="str">
            <v>C</v>
          </cell>
          <cell r="F1043" t="str">
            <v>C</v>
          </cell>
          <cell r="G1043" t="str">
            <v>C</v>
          </cell>
        </row>
        <row r="1044">
          <cell r="D1044" t="str">
            <v>COS
Factor</v>
          </cell>
          <cell r="E1044" t="str">
            <v>COS
Factor</v>
          </cell>
          <cell r="F1044" t="str">
            <v>COS
Factor</v>
          </cell>
          <cell r="G1044" t="str">
            <v>COS
Factor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D1046" t="str">
            <v>F107x</v>
          </cell>
          <cell r="E1046" t="str">
            <v>F107x</v>
          </cell>
          <cell r="F1046" t="str">
            <v>F107x</v>
          </cell>
          <cell r="G1046" t="str">
            <v>F107x</v>
          </cell>
        </row>
        <row r="1047">
          <cell r="D1047" t="str">
            <v>F105x</v>
          </cell>
          <cell r="E1047" t="str">
            <v>F105x</v>
          </cell>
          <cell r="F1047" t="str">
            <v>F105x</v>
          </cell>
          <cell r="G1047" t="str">
            <v>F105x</v>
          </cell>
        </row>
        <row r="1048">
          <cell r="D1048" t="str">
            <v>F105x</v>
          </cell>
          <cell r="E1048" t="str">
            <v>F105x</v>
          </cell>
          <cell r="F1048" t="str">
            <v>F105x</v>
          </cell>
          <cell r="G1048" t="str">
            <v>F105x</v>
          </cell>
        </row>
        <row r="1049">
          <cell r="D1049" t="str">
            <v>F42</v>
          </cell>
          <cell r="E1049" t="str">
            <v>F42</v>
          </cell>
          <cell r="F1049" t="str">
            <v>F42</v>
          </cell>
          <cell r="G1049" t="str">
            <v>F42</v>
          </cell>
        </row>
        <row r="1050">
          <cell r="D1050" t="str">
            <v>F102x</v>
          </cell>
          <cell r="E1050" t="str">
            <v>F102x</v>
          </cell>
          <cell r="F1050" t="str">
            <v>F102x</v>
          </cell>
          <cell r="G1050" t="str">
            <v>F102x</v>
          </cell>
        </row>
        <row r="1051">
          <cell r="D1051" t="str">
            <v>F30</v>
          </cell>
          <cell r="E1051" t="str">
            <v>F30</v>
          </cell>
          <cell r="F1051" t="str">
            <v>F30</v>
          </cell>
          <cell r="G1051" t="str">
            <v>F30</v>
          </cell>
        </row>
        <row r="1052">
          <cell r="D1052" t="str">
            <v>F105x</v>
          </cell>
          <cell r="E1052" t="str">
            <v>F105x</v>
          </cell>
          <cell r="F1052" t="str">
            <v>F105x</v>
          </cell>
          <cell r="G1052" t="str">
            <v>F105x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</row>
        <row r="1055">
          <cell r="D1055" t="str">
            <v>F30</v>
          </cell>
          <cell r="E1055" t="str">
            <v>F30</v>
          </cell>
          <cell r="F1055" t="str">
            <v>F30</v>
          </cell>
          <cell r="G1055" t="str">
            <v>F30</v>
          </cell>
        </row>
        <row r="1056">
          <cell r="D1056" t="str">
            <v>F30</v>
          </cell>
          <cell r="E1056" t="str">
            <v>F30</v>
          </cell>
          <cell r="F1056" t="str">
            <v>F30</v>
          </cell>
          <cell r="G1056" t="str">
            <v>F30</v>
          </cell>
        </row>
        <row r="1057">
          <cell r="D1057" t="str">
            <v>F30</v>
          </cell>
          <cell r="E1057" t="str">
            <v>F30</v>
          </cell>
          <cell r="F1057" t="str">
            <v>F30</v>
          </cell>
          <cell r="G1057" t="str">
            <v>F30</v>
          </cell>
        </row>
        <row r="1058"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D1060" t="str">
            <v>F107x</v>
          </cell>
          <cell r="E1060" t="str">
            <v>F107x</v>
          </cell>
          <cell r="F1060" t="str">
            <v>F107x</v>
          </cell>
          <cell r="G1060" t="str">
            <v>F107x</v>
          </cell>
        </row>
        <row r="1061">
          <cell r="D1061" t="str">
            <v>F105x</v>
          </cell>
          <cell r="E1061" t="str">
            <v>F105x</v>
          </cell>
          <cell r="F1061" t="str">
            <v>F105x</v>
          </cell>
          <cell r="G1061" t="str">
            <v>F105x</v>
          </cell>
        </row>
        <row r="1062">
          <cell r="D1062" t="str">
            <v>F102x</v>
          </cell>
          <cell r="E1062" t="str">
            <v>F102x</v>
          </cell>
          <cell r="F1062" t="str">
            <v>F102x</v>
          </cell>
          <cell r="G1062" t="str">
            <v>F102x</v>
          </cell>
        </row>
        <row r="1063"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D1066" t="str">
            <v>F30</v>
          </cell>
          <cell r="E1066" t="str">
            <v>F30</v>
          </cell>
          <cell r="F1066" t="str">
            <v>F30</v>
          </cell>
          <cell r="G1066" t="str">
            <v>F30</v>
          </cell>
        </row>
        <row r="1067">
          <cell r="D1067" t="str">
            <v>F30</v>
          </cell>
          <cell r="E1067" t="str">
            <v>F30</v>
          </cell>
          <cell r="F1067" t="str">
            <v>F30</v>
          </cell>
          <cell r="G1067" t="str">
            <v>F30</v>
          </cell>
        </row>
        <row r="1068"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D1069" t="str">
            <v>F102x</v>
          </cell>
          <cell r="E1069" t="str">
            <v>F102x</v>
          </cell>
          <cell r="F1069" t="str">
            <v>F102x</v>
          </cell>
          <cell r="G1069" t="str">
            <v>F102x</v>
          </cell>
        </row>
        <row r="1070">
          <cell r="D1070" t="str">
            <v>F102x</v>
          </cell>
          <cell r="E1070" t="str">
            <v>F102x</v>
          </cell>
          <cell r="F1070" t="str">
            <v>F102x</v>
          </cell>
          <cell r="G1070" t="str">
            <v>F102x</v>
          </cell>
        </row>
        <row r="1071">
          <cell r="D1071">
            <v>0</v>
          </cell>
          <cell r="E1071">
            <v>0</v>
          </cell>
          <cell r="F1071">
            <v>0</v>
          </cell>
          <cell r="G1071">
            <v>0</v>
          </cell>
        </row>
        <row r="1072">
          <cell r="D1072">
            <v>0</v>
          </cell>
          <cell r="E1072">
            <v>0</v>
          </cell>
          <cell r="F1072">
            <v>0</v>
          </cell>
          <cell r="G1072">
            <v>0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</row>
        <row r="1074">
          <cell r="D1074">
            <v>0</v>
          </cell>
          <cell r="E1074">
            <v>0</v>
          </cell>
          <cell r="F1074">
            <v>0</v>
          </cell>
          <cell r="G1074">
            <v>0</v>
          </cell>
        </row>
        <row r="1075">
          <cell r="D1075">
            <v>0</v>
          </cell>
          <cell r="E1075">
            <v>0</v>
          </cell>
          <cell r="F1075">
            <v>0</v>
          </cell>
          <cell r="G1075">
            <v>0</v>
          </cell>
        </row>
        <row r="1076">
          <cell r="D1076">
            <v>0</v>
          </cell>
          <cell r="E1076">
            <v>0</v>
          </cell>
          <cell r="F1076">
            <v>0</v>
          </cell>
          <cell r="G1076">
            <v>0</v>
          </cell>
        </row>
        <row r="1077">
          <cell r="D1077">
            <v>0</v>
          </cell>
          <cell r="E1077">
            <v>0</v>
          </cell>
          <cell r="F1077">
            <v>0</v>
          </cell>
          <cell r="G1077">
            <v>0</v>
          </cell>
        </row>
        <row r="1078">
          <cell r="D1078">
            <v>0</v>
          </cell>
          <cell r="E1078">
            <v>0</v>
          </cell>
          <cell r="F1078">
            <v>0</v>
          </cell>
          <cell r="G1078">
            <v>0</v>
          </cell>
        </row>
        <row r="1079">
          <cell r="D1079" t="str">
            <v>F107x</v>
          </cell>
          <cell r="E1079" t="str">
            <v>F107x</v>
          </cell>
          <cell r="F1079" t="str">
            <v>F107x</v>
          </cell>
          <cell r="G1079" t="str">
            <v>F107x</v>
          </cell>
        </row>
        <row r="1080">
          <cell r="D1080" t="str">
            <v>F102x</v>
          </cell>
          <cell r="E1080" t="str">
            <v>F102x</v>
          </cell>
          <cell r="F1080" t="str">
            <v>F102x</v>
          </cell>
          <cell r="G1080" t="str">
            <v>F102x</v>
          </cell>
        </row>
        <row r="1081">
          <cell r="D1081" t="str">
            <v>F105x</v>
          </cell>
          <cell r="E1081" t="str">
            <v>F105x</v>
          </cell>
          <cell r="F1081" t="str">
            <v>F105x</v>
          </cell>
          <cell r="G1081" t="str">
            <v>F105x</v>
          </cell>
        </row>
        <row r="1082">
          <cell r="D1082">
            <v>0</v>
          </cell>
          <cell r="E1082">
            <v>0</v>
          </cell>
          <cell r="F1082">
            <v>0</v>
          </cell>
          <cell r="G1082">
            <v>0</v>
          </cell>
        </row>
        <row r="1083">
          <cell r="D1083">
            <v>0</v>
          </cell>
          <cell r="E1083">
            <v>0</v>
          </cell>
          <cell r="F1083">
            <v>0</v>
          </cell>
          <cell r="G1083">
            <v>0</v>
          </cell>
        </row>
        <row r="1084"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D1085" t="str">
            <v>F107x</v>
          </cell>
          <cell r="E1085" t="str">
            <v>F107x</v>
          </cell>
          <cell r="F1085" t="str">
            <v>F107x</v>
          </cell>
          <cell r="G1085" t="str">
            <v>F107x</v>
          </cell>
        </row>
        <row r="1086">
          <cell r="D1086" t="str">
            <v>F105x</v>
          </cell>
          <cell r="E1086" t="str">
            <v>F105x</v>
          </cell>
          <cell r="F1086" t="str">
            <v>F105x</v>
          </cell>
          <cell r="G1086" t="str">
            <v>F105x</v>
          </cell>
        </row>
        <row r="1087">
          <cell r="D1087" t="str">
            <v>F105x</v>
          </cell>
          <cell r="E1087" t="str">
            <v>F105x</v>
          </cell>
          <cell r="F1087" t="str">
            <v>F105x</v>
          </cell>
          <cell r="G1087" t="str">
            <v>F105x</v>
          </cell>
        </row>
        <row r="1088">
          <cell r="D1088" t="str">
            <v>F105x</v>
          </cell>
          <cell r="E1088" t="str">
            <v>F105x</v>
          </cell>
          <cell r="F1088" t="str">
            <v>F105x</v>
          </cell>
          <cell r="G1088" t="str">
            <v>F105x</v>
          </cell>
        </row>
        <row r="1089">
          <cell r="D1089" t="str">
            <v>F105x</v>
          </cell>
          <cell r="E1089" t="str">
            <v>F105x</v>
          </cell>
          <cell r="F1089" t="str">
            <v>F105x</v>
          </cell>
          <cell r="G1089" t="str">
            <v>F105x</v>
          </cell>
        </row>
        <row r="1090">
          <cell r="D1090" t="str">
            <v>F105x</v>
          </cell>
          <cell r="E1090" t="str">
            <v>F105x</v>
          </cell>
          <cell r="F1090" t="str">
            <v>F105x</v>
          </cell>
          <cell r="G1090" t="str">
            <v>F105x</v>
          </cell>
        </row>
        <row r="1091">
          <cell r="D1091">
            <v>0</v>
          </cell>
          <cell r="E1091">
            <v>0</v>
          </cell>
          <cell r="F1091">
            <v>0</v>
          </cell>
          <cell r="G1091">
            <v>0</v>
          </cell>
        </row>
        <row r="1092">
          <cell r="D1092">
            <v>0</v>
          </cell>
          <cell r="E1092">
            <v>0</v>
          </cell>
          <cell r="F1092">
            <v>0</v>
          </cell>
          <cell r="G1092">
            <v>0</v>
          </cell>
        </row>
        <row r="1093">
          <cell r="D1093">
            <v>0</v>
          </cell>
          <cell r="E1093">
            <v>0</v>
          </cell>
          <cell r="F1093">
            <v>0</v>
          </cell>
          <cell r="G1093">
            <v>0</v>
          </cell>
        </row>
        <row r="1094">
          <cell r="D1094" t="str">
            <v>F107x</v>
          </cell>
          <cell r="E1094" t="str">
            <v>F107x</v>
          </cell>
          <cell r="F1094" t="str">
            <v>F107x</v>
          </cell>
          <cell r="G1094" t="str">
            <v>F107x</v>
          </cell>
        </row>
        <row r="1095">
          <cell r="D1095" t="str">
            <v>F105x</v>
          </cell>
          <cell r="E1095" t="str">
            <v>F105x</v>
          </cell>
          <cell r="F1095" t="str">
            <v>F105x</v>
          </cell>
          <cell r="G1095" t="str">
            <v>F105x</v>
          </cell>
        </row>
        <row r="1096">
          <cell r="D1096" t="str">
            <v>F102x</v>
          </cell>
          <cell r="E1096" t="str">
            <v>F102x</v>
          </cell>
          <cell r="F1096" t="str">
            <v>F102x</v>
          </cell>
          <cell r="G1096" t="str">
            <v>F102x</v>
          </cell>
        </row>
        <row r="1097">
          <cell r="D1097" t="str">
            <v>F30</v>
          </cell>
          <cell r="E1097" t="str">
            <v>F30</v>
          </cell>
          <cell r="F1097" t="str">
            <v>F30</v>
          </cell>
          <cell r="G1097" t="str">
            <v>F30</v>
          </cell>
        </row>
        <row r="1098">
          <cell r="D1098" t="str">
            <v>F42</v>
          </cell>
          <cell r="E1098" t="str">
            <v>F42</v>
          </cell>
          <cell r="F1098" t="str">
            <v>F42</v>
          </cell>
          <cell r="G1098" t="str">
            <v>F42</v>
          </cell>
        </row>
        <row r="1099">
          <cell r="D1099" t="str">
            <v>F10</v>
          </cell>
          <cell r="E1099" t="str">
            <v>F105x</v>
          </cell>
          <cell r="F1099" t="str">
            <v>F10</v>
          </cell>
          <cell r="G1099" t="str">
            <v>F10</v>
          </cell>
        </row>
        <row r="1100">
          <cell r="D1100" t="str">
            <v>F105x</v>
          </cell>
          <cell r="E1100" t="str">
            <v>F105x</v>
          </cell>
          <cell r="F1100" t="str">
            <v>F105x</v>
          </cell>
          <cell r="G1100" t="str">
            <v>F105x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</row>
        <row r="1102"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D1103" t="str">
            <v>F102x</v>
          </cell>
          <cell r="E1103" t="str">
            <v>F102x</v>
          </cell>
          <cell r="F1103" t="str">
            <v>F102x</v>
          </cell>
          <cell r="G1103" t="str">
            <v>F102x</v>
          </cell>
        </row>
        <row r="1104">
          <cell r="D1104">
            <v>0</v>
          </cell>
          <cell r="E1104">
            <v>0</v>
          </cell>
          <cell r="F1104">
            <v>0</v>
          </cell>
          <cell r="G1104">
            <v>0</v>
          </cell>
        </row>
        <row r="1105">
          <cell r="D1105">
            <v>0</v>
          </cell>
          <cell r="E1105">
            <v>0</v>
          </cell>
          <cell r="F1105">
            <v>0</v>
          </cell>
          <cell r="G1105">
            <v>0</v>
          </cell>
        </row>
        <row r="1106">
          <cell r="D1106">
            <v>0</v>
          </cell>
          <cell r="E1106">
            <v>0</v>
          </cell>
          <cell r="F1106">
            <v>0</v>
          </cell>
          <cell r="G1106">
            <v>0</v>
          </cell>
        </row>
        <row r="1107">
          <cell r="D1107">
            <v>0</v>
          </cell>
          <cell r="E1107">
            <v>0</v>
          </cell>
          <cell r="F1107">
            <v>0</v>
          </cell>
          <cell r="G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</row>
        <row r="1109"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D1111">
            <v>0</v>
          </cell>
          <cell r="E1111">
            <v>0</v>
          </cell>
          <cell r="F1111">
            <v>0</v>
          </cell>
          <cell r="G1111">
            <v>0</v>
          </cell>
        </row>
        <row r="1112">
          <cell r="D1112">
            <v>0</v>
          </cell>
          <cell r="E1112">
            <v>0</v>
          </cell>
          <cell r="F1112">
            <v>0</v>
          </cell>
          <cell r="G1112">
            <v>0</v>
          </cell>
        </row>
        <row r="1113">
          <cell r="D1113" t="str">
            <v>C</v>
          </cell>
          <cell r="E1113" t="str">
            <v>C</v>
          </cell>
          <cell r="F1113" t="str">
            <v>C</v>
          </cell>
          <cell r="G1113" t="str">
            <v>C</v>
          </cell>
        </row>
        <row r="1114">
          <cell r="D1114" t="str">
            <v>COS
Factor</v>
          </cell>
          <cell r="E1114" t="str">
            <v>COS
Factor</v>
          </cell>
          <cell r="F1114" t="str">
            <v>COS
Factor</v>
          </cell>
          <cell r="G1114" t="str">
            <v>COS
Factor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</row>
        <row r="1116">
          <cell r="D1116" t="str">
            <v>F20</v>
          </cell>
          <cell r="E1116" t="str">
            <v>F20</v>
          </cell>
          <cell r="F1116" t="str">
            <v>F20</v>
          </cell>
          <cell r="G1116" t="str">
            <v>F20</v>
          </cell>
        </row>
        <row r="1117">
          <cell r="D1117" t="str">
            <v>F10</v>
          </cell>
          <cell r="E1117" t="str">
            <v>F10</v>
          </cell>
          <cell r="F1117" t="str">
            <v>F10</v>
          </cell>
          <cell r="G1117" t="str">
            <v>F10</v>
          </cell>
        </row>
        <row r="1118">
          <cell r="D1118" t="str">
            <v>F10</v>
          </cell>
          <cell r="E1118" t="str">
            <v>F10</v>
          </cell>
          <cell r="F1118" t="str">
            <v>F10</v>
          </cell>
          <cell r="G1118" t="str">
            <v>F10</v>
          </cell>
        </row>
        <row r="1119">
          <cell r="D1119" t="str">
            <v>F10</v>
          </cell>
          <cell r="E1119" t="str">
            <v>F10</v>
          </cell>
          <cell r="F1119" t="str">
            <v>F10</v>
          </cell>
          <cell r="G1119" t="str">
            <v>F10</v>
          </cell>
        </row>
        <row r="1120">
          <cell r="D1120" t="str">
            <v>F30</v>
          </cell>
          <cell r="E1120" t="str">
            <v>F30</v>
          </cell>
          <cell r="F1120" t="str">
            <v>F30</v>
          </cell>
          <cell r="G1120" t="str">
            <v>F30</v>
          </cell>
        </row>
        <row r="1121">
          <cell r="D1121" t="str">
            <v>F102</v>
          </cell>
          <cell r="E1121" t="str">
            <v>F102</v>
          </cell>
          <cell r="F1121" t="str">
            <v>F102</v>
          </cell>
          <cell r="G1121" t="str">
            <v>F102</v>
          </cell>
        </row>
        <row r="1122"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D1123">
            <v>0</v>
          </cell>
          <cell r="E1123">
            <v>0</v>
          </cell>
          <cell r="F1123">
            <v>0</v>
          </cell>
          <cell r="G1123">
            <v>0</v>
          </cell>
        </row>
        <row r="1124">
          <cell r="D1124" t="str">
            <v>F10</v>
          </cell>
          <cell r="E1124" t="str">
            <v>F10</v>
          </cell>
          <cell r="F1124" t="str">
            <v>F10</v>
          </cell>
          <cell r="G1124" t="str">
            <v>F10</v>
          </cell>
        </row>
        <row r="1125">
          <cell r="D1125">
            <v>0</v>
          </cell>
          <cell r="E1125">
            <v>0</v>
          </cell>
          <cell r="F1125">
            <v>0</v>
          </cell>
          <cell r="G1125">
            <v>0</v>
          </cell>
        </row>
        <row r="1126">
          <cell r="D1126" t="str">
            <v>F10</v>
          </cell>
          <cell r="E1126" t="str">
            <v>F10</v>
          </cell>
          <cell r="F1126" t="str">
            <v>F10</v>
          </cell>
          <cell r="G1126" t="str">
            <v>F10</v>
          </cell>
        </row>
        <row r="1127"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D1128" t="str">
            <v>F102x</v>
          </cell>
          <cell r="E1128" t="str">
            <v>F102x</v>
          </cell>
          <cell r="F1128" t="str">
            <v>F102x</v>
          </cell>
          <cell r="G1128" t="str">
            <v>F102x</v>
          </cell>
        </row>
        <row r="1129">
          <cell r="D1129">
            <v>0</v>
          </cell>
          <cell r="E1129">
            <v>0</v>
          </cell>
          <cell r="F1129">
            <v>0</v>
          </cell>
          <cell r="G1129">
            <v>0</v>
          </cell>
        </row>
        <row r="1130">
          <cell r="D1130" t="str">
            <v>F11</v>
          </cell>
          <cell r="E1130" t="str">
            <v>F11</v>
          </cell>
          <cell r="F1130" t="str">
            <v>F11</v>
          </cell>
          <cell r="G1130" t="str">
            <v>F11</v>
          </cell>
        </row>
        <row r="1131"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D1132" t="str">
            <v>F30</v>
          </cell>
          <cell r="E1132" t="str">
            <v>F30</v>
          </cell>
          <cell r="F1132" t="str">
            <v>F30</v>
          </cell>
          <cell r="G1132" t="str">
            <v>F30</v>
          </cell>
        </row>
        <row r="1133">
          <cell r="D1133" t="str">
            <v>F30</v>
          </cell>
          <cell r="E1133" t="str">
            <v>F30</v>
          </cell>
          <cell r="F1133" t="str">
            <v>F30</v>
          </cell>
          <cell r="G1133" t="str">
            <v>F30</v>
          </cell>
        </row>
        <row r="1134"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D1136" t="str">
            <v>F30</v>
          </cell>
          <cell r="E1136" t="str">
            <v>F30</v>
          </cell>
          <cell r="F1136" t="str">
            <v>F30</v>
          </cell>
          <cell r="G1136" t="str">
            <v>F30</v>
          </cell>
        </row>
        <row r="1137"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D1138" t="str">
            <v>F30</v>
          </cell>
          <cell r="E1138" t="str">
            <v>F30</v>
          </cell>
          <cell r="F1138" t="str">
            <v>F30</v>
          </cell>
          <cell r="G1138" t="str">
            <v>F30</v>
          </cell>
        </row>
        <row r="1139"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D1140" t="str">
            <v>F30</v>
          </cell>
          <cell r="E1140" t="str">
            <v>F30</v>
          </cell>
          <cell r="F1140" t="str">
            <v>F30</v>
          </cell>
          <cell r="G1140" t="str">
            <v>F30</v>
          </cell>
        </row>
        <row r="1141"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D1142" t="str">
            <v>F30</v>
          </cell>
          <cell r="E1142" t="str">
            <v>F30</v>
          </cell>
          <cell r="F1142" t="str">
            <v>F30</v>
          </cell>
          <cell r="G1142" t="str">
            <v>F30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</row>
        <row r="1144">
          <cell r="D1144" t="str">
            <v>F102x</v>
          </cell>
          <cell r="E1144" t="str">
            <v>F102x</v>
          </cell>
          <cell r="F1144" t="str">
            <v>F102x</v>
          </cell>
          <cell r="G1144" t="str">
            <v>F102x</v>
          </cell>
        </row>
        <row r="1145">
          <cell r="D1145">
            <v>0</v>
          </cell>
          <cell r="E1145">
            <v>0</v>
          </cell>
          <cell r="F1145">
            <v>0</v>
          </cell>
          <cell r="G1145">
            <v>0</v>
          </cell>
        </row>
        <row r="1146">
          <cell r="D1146" t="str">
            <v>F102x</v>
          </cell>
          <cell r="E1146" t="str">
            <v>F102x</v>
          </cell>
          <cell r="F1146" t="str">
            <v>F102x</v>
          </cell>
          <cell r="G1146" t="str">
            <v>F102x</v>
          </cell>
        </row>
        <row r="1147">
          <cell r="D1147">
            <v>0</v>
          </cell>
          <cell r="E1147">
            <v>0</v>
          </cell>
          <cell r="F1147">
            <v>0</v>
          </cell>
          <cell r="G1147">
            <v>0</v>
          </cell>
        </row>
        <row r="1148">
          <cell r="D1148" t="str">
            <v>F102x</v>
          </cell>
          <cell r="E1148" t="str">
            <v>F102x</v>
          </cell>
          <cell r="F1148" t="str">
            <v>F102x</v>
          </cell>
          <cell r="G1148" t="str">
            <v>F102x</v>
          </cell>
        </row>
        <row r="1149">
          <cell r="D1149">
            <v>0</v>
          </cell>
          <cell r="E1149">
            <v>0</v>
          </cell>
          <cell r="F1149">
            <v>0</v>
          </cell>
          <cell r="G1149">
            <v>0</v>
          </cell>
        </row>
        <row r="1150">
          <cell r="D1150" t="str">
            <v>F102x</v>
          </cell>
          <cell r="E1150" t="str">
            <v>F102x</v>
          </cell>
          <cell r="F1150" t="str">
            <v>F102x</v>
          </cell>
          <cell r="G1150" t="str">
            <v>F102x</v>
          </cell>
        </row>
        <row r="1151">
          <cell r="D1151" t="str">
            <v>F102x</v>
          </cell>
          <cell r="E1151" t="str">
            <v>F102x</v>
          </cell>
          <cell r="F1151" t="str">
            <v>F102x</v>
          </cell>
          <cell r="G1151" t="str">
            <v>F102x</v>
          </cell>
        </row>
        <row r="1152">
          <cell r="D1152" t="str">
            <v>F102x</v>
          </cell>
          <cell r="E1152" t="str">
            <v>F102x</v>
          </cell>
          <cell r="F1152" t="str">
            <v>F102x</v>
          </cell>
          <cell r="G1152" t="str">
            <v>F102x</v>
          </cell>
        </row>
        <row r="1153">
          <cell r="D1153" t="str">
            <v>F30</v>
          </cell>
          <cell r="E1153" t="str">
            <v>F30</v>
          </cell>
          <cell r="F1153" t="str">
            <v>F30</v>
          </cell>
          <cell r="G1153" t="str">
            <v>F30</v>
          </cell>
        </row>
        <row r="1154">
          <cell r="D1154" t="str">
            <v>F102x</v>
          </cell>
          <cell r="E1154" t="str">
            <v>F102x</v>
          </cell>
          <cell r="F1154" t="str">
            <v>F102x</v>
          </cell>
          <cell r="G1154" t="str">
            <v>F102x</v>
          </cell>
        </row>
        <row r="1155">
          <cell r="D1155">
            <v>0</v>
          </cell>
          <cell r="E1155">
            <v>0</v>
          </cell>
          <cell r="F1155">
            <v>0</v>
          </cell>
          <cell r="G1155">
            <v>0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D1157" t="str">
            <v>F102x</v>
          </cell>
          <cell r="E1157" t="str">
            <v>F102x</v>
          </cell>
          <cell r="F1157" t="str">
            <v>F102x</v>
          </cell>
          <cell r="G1157" t="str">
            <v>F102x</v>
          </cell>
        </row>
        <row r="1158">
          <cell r="D1158" t="str">
            <v>F102x</v>
          </cell>
          <cell r="E1158" t="str">
            <v>F102x</v>
          </cell>
          <cell r="F1158" t="str">
            <v>F102x</v>
          </cell>
          <cell r="G1158" t="str">
            <v>F102x</v>
          </cell>
        </row>
        <row r="1159">
          <cell r="D1159" t="str">
            <v>F102x</v>
          </cell>
          <cell r="E1159" t="str">
            <v>F102x</v>
          </cell>
          <cell r="F1159" t="str">
            <v>F102x</v>
          </cell>
          <cell r="G1159" t="str">
            <v>F102x</v>
          </cell>
        </row>
        <row r="1160">
          <cell r="D1160" t="str">
            <v>F102x</v>
          </cell>
          <cell r="E1160" t="str">
            <v>F102x</v>
          </cell>
          <cell r="F1160" t="str">
            <v>F102x</v>
          </cell>
          <cell r="G1160" t="str">
            <v>F102x</v>
          </cell>
        </row>
        <row r="1161">
          <cell r="D1161" t="str">
            <v>F30</v>
          </cell>
          <cell r="E1161" t="str">
            <v>F30</v>
          </cell>
          <cell r="F1161" t="str">
            <v>F30</v>
          </cell>
          <cell r="G1161" t="str">
            <v>F30</v>
          </cell>
        </row>
        <row r="1162">
          <cell r="D1162" t="str">
            <v>F102x</v>
          </cell>
          <cell r="E1162" t="str">
            <v>F102x</v>
          </cell>
          <cell r="F1162" t="str">
            <v>F102x</v>
          </cell>
          <cell r="G1162" t="str">
            <v>F102x</v>
          </cell>
        </row>
        <row r="1163">
          <cell r="D1163" t="str">
            <v>F102x</v>
          </cell>
          <cell r="E1163" t="str">
            <v>F102x</v>
          </cell>
          <cell r="F1163" t="str">
            <v>F102x</v>
          </cell>
          <cell r="G1163" t="str">
            <v>F102x</v>
          </cell>
        </row>
        <row r="1164"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D1166" t="str">
            <v>F102x</v>
          </cell>
          <cell r="E1166" t="str">
            <v>F102x</v>
          </cell>
          <cell r="F1166" t="str">
            <v>F102x</v>
          </cell>
          <cell r="G1166" t="str">
            <v>F102x</v>
          </cell>
        </row>
        <row r="1167">
          <cell r="D1167" t="str">
            <v>F102x</v>
          </cell>
          <cell r="E1167" t="str">
            <v>F102x</v>
          </cell>
          <cell r="F1167" t="str">
            <v>F102x</v>
          </cell>
          <cell r="G1167" t="str">
            <v>F102x</v>
          </cell>
        </row>
        <row r="1168">
          <cell r="D1168" t="str">
            <v>F102x</v>
          </cell>
          <cell r="E1168" t="str">
            <v>F102x</v>
          </cell>
          <cell r="F1168" t="str">
            <v>F102x</v>
          </cell>
          <cell r="G1168" t="str">
            <v>F102x</v>
          </cell>
        </row>
        <row r="1169">
          <cell r="D1169" t="str">
            <v>F102x</v>
          </cell>
          <cell r="E1169" t="str">
            <v>F102x</v>
          </cell>
          <cell r="F1169" t="str">
            <v>F102x</v>
          </cell>
          <cell r="G1169" t="str">
            <v>F102x</v>
          </cell>
        </row>
        <row r="1170">
          <cell r="D1170" t="str">
            <v>F102x</v>
          </cell>
          <cell r="E1170" t="str">
            <v>F102x</v>
          </cell>
          <cell r="F1170" t="str">
            <v>F102x</v>
          </cell>
          <cell r="G1170" t="str">
            <v>F102x</v>
          </cell>
        </row>
        <row r="1171">
          <cell r="D1171" t="str">
            <v>F30</v>
          </cell>
          <cell r="E1171" t="str">
            <v>F30</v>
          </cell>
          <cell r="F1171" t="str">
            <v>F30</v>
          </cell>
          <cell r="G1171" t="str">
            <v>F30</v>
          </cell>
        </row>
        <row r="1172">
          <cell r="D1172" t="str">
            <v>F102x</v>
          </cell>
          <cell r="E1172" t="str">
            <v>F102x</v>
          </cell>
          <cell r="F1172" t="str">
            <v>F102x</v>
          </cell>
          <cell r="G1172" t="str">
            <v>F102x</v>
          </cell>
        </row>
        <row r="1173">
          <cell r="D1173" t="str">
            <v>F102x</v>
          </cell>
          <cell r="E1173" t="str">
            <v>F102x</v>
          </cell>
          <cell r="F1173" t="str">
            <v>F102x</v>
          </cell>
          <cell r="G1173" t="str">
            <v>F102x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D1178" t="str">
            <v>F137x</v>
          </cell>
          <cell r="E1178" t="str">
            <v>F137x</v>
          </cell>
          <cell r="F1178" t="str">
            <v>F137x</v>
          </cell>
          <cell r="G1178" t="str">
            <v>F137x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D1181" t="str">
            <v>F10</v>
          </cell>
          <cell r="E1181" t="str">
            <v>F10</v>
          </cell>
          <cell r="F1181" t="str">
            <v>F10</v>
          </cell>
          <cell r="G1181" t="str">
            <v>F10</v>
          </cell>
        </row>
        <row r="1182"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D1183" t="str">
            <v>F10</v>
          </cell>
          <cell r="E1183" t="str">
            <v>F10</v>
          </cell>
          <cell r="F1183" t="str">
            <v>F10</v>
          </cell>
          <cell r="G1183" t="str">
            <v>F10</v>
          </cell>
        </row>
        <row r="1184">
          <cell r="D1184">
            <v>0</v>
          </cell>
          <cell r="E1184">
            <v>0</v>
          </cell>
          <cell r="F1184">
            <v>0</v>
          </cell>
          <cell r="G1184">
            <v>0</v>
          </cell>
        </row>
        <row r="1185">
          <cell r="D1185" t="str">
            <v>F30</v>
          </cell>
          <cell r="E1185" t="str">
            <v>F30</v>
          </cell>
          <cell r="F1185" t="str">
            <v>F30</v>
          </cell>
          <cell r="G1185" t="str">
            <v>F30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D1190" t="str">
            <v>C</v>
          </cell>
          <cell r="E1190" t="str">
            <v>C</v>
          </cell>
          <cell r="F1190" t="str">
            <v>C</v>
          </cell>
          <cell r="G1190" t="str">
            <v>C</v>
          </cell>
        </row>
        <row r="1191">
          <cell r="D1191" t="str">
            <v>COS
Factor</v>
          </cell>
          <cell r="E1191" t="str">
            <v>COS
Factor</v>
          </cell>
          <cell r="F1191" t="str">
            <v>COS
Factor</v>
          </cell>
          <cell r="G1191" t="str">
            <v>COS
Factor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</row>
        <row r="1193">
          <cell r="D1193" t="str">
            <v>F51</v>
          </cell>
          <cell r="E1193" t="str">
            <v>F51</v>
          </cell>
          <cell r="F1193" t="str">
            <v>F51</v>
          </cell>
          <cell r="G1193" t="str">
            <v>F51</v>
          </cell>
        </row>
        <row r="1194"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D1195" t="str">
            <v>F102x</v>
          </cell>
          <cell r="E1195" t="str">
            <v>F102x</v>
          </cell>
          <cell r="F1195" t="str">
            <v>F102x</v>
          </cell>
          <cell r="G1195" t="str">
            <v>F102x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D1197" t="str">
            <v>F102x</v>
          </cell>
          <cell r="E1197" t="str">
            <v>F102x</v>
          </cell>
          <cell r="F1197" t="str">
            <v>F102x</v>
          </cell>
          <cell r="G1197" t="str">
            <v>F102x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D1199" t="str">
            <v>F102x</v>
          </cell>
          <cell r="E1199" t="str">
            <v>F102x</v>
          </cell>
          <cell r="F1199" t="str">
            <v>F102x</v>
          </cell>
          <cell r="G1199" t="str">
            <v>F102x</v>
          </cell>
        </row>
        <row r="1200">
          <cell r="D1200">
            <v>0</v>
          </cell>
          <cell r="E1200">
            <v>0</v>
          </cell>
          <cell r="F1200">
            <v>0</v>
          </cell>
          <cell r="G1200">
            <v>0</v>
          </cell>
        </row>
        <row r="1201">
          <cell r="D1201" t="str">
            <v>F30</v>
          </cell>
          <cell r="E1201" t="str">
            <v>F30</v>
          </cell>
          <cell r="F1201" t="str">
            <v>F30</v>
          </cell>
          <cell r="G1201" t="str">
            <v>F30</v>
          </cell>
        </row>
        <row r="1202"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D1203" t="str">
            <v>F10</v>
          </cell>
          <cell r="E1203" t="str">
            <v>F10</v>
          </cell>
          <cell r="F1203" t="str">
            <v>F10</v>
          </cell>
          <cell r="G1203" t="str">
            <v>F10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D1205" t="str">
            <v>F30</v>
          </cell>
          <cell r="E1205" t="str">
            <v>F30</v>
          </cell>
          <cell r="F1205" t="str">
            <v>F30</v>
          </cell>
          <cell r="G1205" t="str">
            <v>F30</v>
          </cell>
        </row>
        <row r="1206">
          <cell r="D1206" t="str">
            <v>F102x</v>
          </cell>
          <cell r="E1206" t="str">
            <v>F102x</v>
          </cell>
          <cell r="F1206" t="str">
            <v>F102x</v>
          </cell>
          <cell r="G1206" t="str">
            <v>F102x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</row>
        <row r="1208">
          <cell r="D1208" t="str">
            <v>F10</v>
          </cell>
          <cell r="E1208" t="str">
            <v>F10</v>
          </cell>
          <cell r="F1208" t="str">
            <v>F10</v>
          </cell>
          <cell r="G1208" t="str">
            <v>F10</v>
          </cell>
        </row>
        <row r="1209">
          <cell r="D1209">
            <v>0</v>
          </cell>
          <cell r="E1209">
            <v>0</v>
          </cell>
          <cell r="F1209">
            <v>0</v>
          </cell>
          <cell r="G1209">
            <v>0</v>
          </cell>
        </row>
        <row r="1210">
          <cell r="D1210" t="str">
            <v>F50</v>
          </cell>
          <cell r="E1210" t="str">
            <v>F50</v>
          </cell>
          <cell r="F1210" t="str">
            <v>F50</v>
          </cell>
          <cell r="G1210" t="str">
            <v>F50</v>
          </cell>
        </row>
        <row r="1211"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D1212" t="str">
            <v>F30</v>
          </cell>
          <cell r="E1212" t="str">
            <v>F30</v>
          </cell>
          <cell r="F1212" t="str">
            <v>F30</v>
          </cell>
          <cell r="G1212" t="str">
            <v>F30</v>
          </cell>
        </row>
        <row r="1213"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D1214" t="str">
            <v>F10</v>
          </cell>
          <cell r="E1214" t="str">
            <v>F10</v>
          </cell>
          <cell r="F1214" t="str">
            <v>F10</v>
          </cell>
          <cell r="G1214" t="str">
            <v>F10</v>
          </cell>
        </row>
        <row r="1215"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D1216" t="str">
            <v>F104x</v>
          </cell>
          <cell r="E1216" t="str">
            <v>F104x</v>
          </cell>
          <cell r="F1216" t="str">
            <v>F104x</v>
          </cell>
          <cell r="G1216" t="str">
            <v>F104x</v>
          </cell>
        </row>
        <row r="1217">
          <cell r="D1217" t="str">
            <v>F42</v>
          </cell>
          <cell r="E1217" t="str">
            <v>F42</v>
          </cell>
          <cell r="F1217" t="str">
            <v>F42</v>
          </cell>
          <cell r="G1217" t="str">
            <v>F42</v>
          </cell>
        </row>
        <row r="1218">
          <cell r="D1218" t="str">
            <v>F138x</v>
          </cell>
          <cell r="E1218" t="str">
            <v>F138x</v>
          </cell>
          <cell r="F1218" t="str">
            <v>F138x</v>
          </cell>
          <cell r="G1218" t="str">
            <v>F138x</v>
          </cell>
        </row>
        <row r="1219">
          <cell r="D1219" t="str">
            <v>F104x</v>
          </cell>
          <cell r="E1219" t="str">
            <v>F104x</v>
          </cell>
          <cell r="F1219" t="str">
            <v>F104x</v>
          </cell>
          <cell r="G1219" t="str">
            <v>F104x</v>
          </cell>
        </row>
        <row r="1220">
          <cell r="D1220" t="str">
            <v>F141</v>
          </cell>
          <cell r="E1220" t="str">
            <v>F141</v>
          </cell>
          <cell r="F1220" t="str">
            <v>F141</v>
          </cell>
          <cell r="G1220" t="str">
            <v>F141</v>
          </cell>
        </row>
        <row r="1221">
          <cell r="D1221" t="str">
            <v>F104x</v>
          </cell>
          <cell r="E1221" t="str">
            <v>F104x</v>
          </cell>
          <cell r="F1221" t="str">
            <v>F104x</v>
          </cell>
          <cell r="G1221" t="str">
            <v>F104x</v>
          </cell>
        </row>
        <row r="1222">
          <cell r="D1222" t="str">
            <v>F104x</v>
          </cell>
          <cell r="E1222" t="str">
            <v>F104x</v>
          </cell>
          <cell r="F1222" t="str">
            <v>F104x</v>
          </cell>
          <cell r="G1222" t="str">
            <v>F104x</v>
          </cell>
        </row>
        <row r="1223">
          <cell r="D1223" t="str">
            <v>F104x</v>
          </cell>
          <cell r="E1223" t="str">
            <v>F104x</v>
          </cell>
          <cell r="F1223" t="str">
            <v>F104x</v>
          </cell>
          <cell r="G1223" t="str">
            <v>F104x</v>
          </cell>
        </row>
        <row r="1224">
          <cell r="D1224" t="str">
            <v>F104x</v>
          </cell>
          <cell r="E1224" t="str">
            <v>F104x</v>
          </cell>
          <cell r="F1224" t="str">
            <v>F104x</v>
          </cell>
          <cell r="G1224" t="str">
            <v>F104x</v>
          </cell>
        </row>
        <row r="1225">
          <cell r="D1225" t="str">
            <v>F104x</v>
          </cell>
          <cell r="E1225" t="str">
            <v>F104x</v>
          </cell>
          <cell r="F1225" t="str">
            <v>F104x</v>
          </cell>
          <cell r="G1225" t="str">
            <v>F104x</v>
          </cell>
        </row>
        <row r="1226">
          <cell r="D1226" t="str">
            <v>F104x</v>
          </cell>
          <cell r="E1226" t="str">
            <v>F104x</v>
          </cell>
          <cell r="F1226" t="str">
            <v>F104x</v>
          </cell>
          <cell r="G1226" t="str">
            <v>F104x</v>
          </cell>
        </row>
        <row r="1227">
          <cell r="D1227" t="str">
            <v>F10</v>
          </cell>
          <cell r="E1227" t="str">
            <v>F10</v>
          </cell>
          <cell r="F1227" t="str">
            <v>F102x</v>
          </cell>
          <cell r="G1227" t="str">
            <v>F10</v>
          </cell>
        </row>
        <row r="1228"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D1229">
            <v>0</v>
          </cell>
          <cell r="E1229">
            <v>0</v>
          </cell>
          <cell r="F1229">
            <v>0</v>
          </cell>
          <cell r="G1229">
            <v>0</v>
          </cell>
        </row>
        <row r="1230">
          <cell r="D1230" t="str">
            <v>F104x</v>
          </cell>
          <cell r="E1230" t="str">
            <v>F104x</v>
          </cell>
          <cell r="F1230" t="str">
            <v>F104x</v>
          </cell>
          <cell r="G1230" t="str">
            <v>F104x</v>
          </cell>
        </row>
        <row r="1231"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D1232" t="str">
            <v>F104x</v>
          </cell>
          <cell r="E1232" t="str">
            <v>F104x</v>
          </cell>
          <cell r="F1232" t="str">
            <v>F104x</v>
          </cell>
          <cell r="G1232" t="str">
            <v>F104x</v>
          </cell>
        </row>
        <row r="1233">
          <cell r="D1233" t="str">
            <v>F104x</v>
          </cell>
          <cell r="E1233" t="str">
            <v>F104x</v>
          </cell>
          <cell r="F1233" t="str">
            <v>F104x</v>
          </cell>
          <cell r="G1233" t="str">
            <v>F104x</v>
          </cell>
        </row>
        <row r="1234">
          <cell r="D1234" t="str">
            <v>F104x</v>
          </cell>
          <cell r="E1234" t="str">
            <v>F104x</v>
          </cell>
          <cell r="F1234" t="str">
            <v>F104x</v>
          </cell>
          <cell r="G1234" t="str">
            <v>F104x</v>
          </cell>
        </row>
        <row r="1235">
          <cell r="D1235" t="str">
            <v>F138x</v>
          </cell>
          <cell r="E1235" t="str">
            <v>F138x</v>
          </cell>
          <cell r="F1235" t="str">
            <v>F138x</v>
          </cell>
          <cell r="G1235" t="str">
            <v>F138x</v>
          </cell>
        </row>
        <row r="1236">
          <cell r="D1236" t="str">
            <v>F104x</v>
          </cell>
          <cell r="E1236" t="str">
            <v>F104x</v>
          </cell>
          <cell r="F1236" t="str">
            <v>F104x</v>
          </cell>
          <cell r="G1236" t="str">
            <v>F104x</v>
          </cell>
        </row>
        <row r="1237">
          <cell r="D1237" t="str">
            <v>F104x</v>
          </cell>
          <cell r="E1237" t="str">
            <v>F104x</v>
          </cell>
          <cell r="F1237" t="str">
            <v>F104x</v>
          </cell>
          <cell r="G1237" t="str">
            <v>F104x</v>
          </cell>
        </row>
        <row r="1238">
          <cell r="D1238" t="str">
            <v>F104x</v>
          </cell>
          <cell r="E1238" t="str">
            <v>F104x</v>
          </cell>
          <cell r="F1238" t="str">
            <v>F104x</v>
          </cell>
          <cell r="G1238" t="str">
            <v>F104x</v>
          </cell>
        </row>
        <row r="1239">
          <cell r="D1239" t="str">
            <v>F104x</v>
          </cell>
          <cell r="E1239" t="str">
            <v>F104x</v>
          </cell>
          <cell r="F1239" t="str">
            <v>F104x</v>
          </cell>
          <cell r="G1239" t="str">
            <v>F104x</v>
          </cell>
        </row>
        <row r="1240">
          <cell r="D1240" t="str">
            <v>F104x</v>
          </cell>
          <cell r="E1240" t="str">
            <v>F104x</v>
          </cell>
          <cell r="F1240" t="str">
            <v>F104x</v>
          </cell>
          <cell r="G1240" t="str">
            <v>F104x</v>
          </cell>
        </row>
        <row r="1241">
          <cell r="D1241" t="str">
            <v>F104x</v>
          </cell>
          <cell r="E1241" t="str">
            <v>F104x</v>
          </cell>
          <cell r="F1241" t="str">
            <v>F104x</v>
          </cell>
          <cell r="G1241" t="str">
            <v>F104x</v>
          </cell>
        </row>
        <row r="1242">
          <cell r="D1242" t="str">
            <v>F104x</v>
          </cell>
          <cell r="E1242" t="str">
            <v>F104x</v>
          </cell>
          <cell r="F1242" t="str">
            <v>F104x</v>
          </cell>
          <cell r="G1242" t="str">
            <v>F104x</v>
          </cell>
        </row>
        <row r="1243">
          <cell r="D1243" t="str">
            <v>F104x</v>
          </cell>
          <cell r="E1243" t="str">
            <v>F104x</v>
          </cell>
          <cell r="F1243" t="str">
            <v>F104x</v>
          </cell>
          <cell r="G1243" t="str">
            <v>F104x</v>
          </cell>
        </row>
        <row r="1244">
          <cell r="D1244" t="str">
            <v>F104x</v>
          </cell>
          <cell r="E1244" t="str">
            <v>F104x</v>
          </cell>
          <cell r="F1244" t="str">
            <v>F104x</v>
          </cell>
          <cell r="G1244" t="str">
            <v>F104x</v>
          </cell>
        </row>
        <row r="1245">
          <cell r="D1245" t="str">
            <v>F104x</v>
          </cell>
          <cell r="E1245" t="str">
            <v>F104x</v>
          </cell>
          <cell r="F1245" t="str">
            <v>F104x</v>
          </cell>
          <cell r="G1245" t="str">
            <v>F104x</v>
          </cell>
        </row>
        <row r="1246">
          <cell r="D1246" t="str">
            <v>F104x</v>
          </cell>
          <cell r="E1246" t="str">
            <v>F104x</v>
          </cell>
          <cell r="F1246" t="str">
            <v>F104x</v>
          </cell>
          <cell r="G1246" t="str">
            <v>F104x</v>
          </cell>
        </row>
        <row r="1247"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D1250" t="str">
            <v>F104x</v>
          </cell>
          <cell r="E1250" t="str">
            <v>F104x</v>
          </cell>
          <cell r="F1250" t="str">
            <v>F104x</v>
          </cell>
          <cell r="G1250" t="str">
            <v>F104x</v>
          </cell>
        </row>
        <row r="1251">
          <cell r="D1251" t="str">
            <v>F104x</v>
          </cell>
          <cell r="E1251" t="str">
            <v>F104x</v>
          </cell>
          <cell r="F1251" t="str">
            <v>F104x</v>
          </cell>
          <cell r="G1251" t="str">
            <v>F104x</v>
          </cell>
        </row>
        <row r="1252">
          <cell r="D1252" t="str">
            <v>F104x</v>
          </cell>
          <cell r="E1252" t="str">
            <v>F104x</v>
          </cell>
          <cell r="F1252" t="str">
            <v>F104x</v>
          </cell>
          <cell r="G1252" t="str">
            <v>F104x</v>
          </cell>
        </row>
        <row r="1253">
          <cell r="D1253" t="str">
            <v>F138x</v>
          </cell>
          <cell r="E1253" t="str">
            <v>F138x</v>
          </cell>
          <cell r="F1253" t="str">
            <v>F138x</v>
          </cell>
          <cell r="G1253" t="str">
            <v>F138x</v>
          </cell>
        </row>
        <row r="1254">
          <cell r="D1254" t="str">
            <v>F104x</v>
          </cell>
          <cell r="E1254" t="str">
            <v>F104x</v>
          </cell>
          <cell r="F1254" t="str">
            <v>F104x</v>
          </cell>
          <cell r="G1254" t="str">
            <v>F104x</v>
          </cell>
        </row>
        <row r="1255">
          <cell r="D1255" t="str">
            <v>F104x</v>
          </cell>
          <cell r="E1255" t="str">
            <v>F104x</v>
          </cell>
          <cell r="F1255" t="str">
            <v>F104x</v>
          </cell>
          <cell r="G1255" t="str">
            <v>F104x</v>
          </cell>
        </row>
        <row r="1256">
          <cell r="D1256" t="str">
            <v>F104x</v>
          </cell>
          <cell r="E1256" t="str">
            <v>F104x</v>
          </cell>
          <cell r="F1256" t="str">
            <v>F104x</v>
          </cell>
          <cell r="G1256" t="str">
            <v>F104x</v>
          </cell>
        </row>
        <row r="1257">
          <cell r="D1257" t="str">
            <v>F104x</v>
          </cell>
          <cell r="E1257" t="str">
            <v>F104x</v>
          </cell>
          <cell r="F1257" t="str">
            <v>F104x</v>
          </cell>
          <cell r="G1257" t="str">
            <v>F104x</v>
          </cell>
        </row>
        <row r="1258">
          <cell r="D1258" t="str">
            <v>F104x</v>
          </cell>
          <cell r="E1258" t="str">
            <v>F104x</v>
          </cell>
          <cell r="F1258" t="str">
            <v>F104x</v>
          </cell>
          <cell r="G1258" t="str">
            <v>F104x</v>
          </cell>
        </row>
        <row r="1259">
          <cell r="D1259" t="str">
            <v>F104x</v>
          </cell>
          <cell r="E1259" t="str">
            <v>F104x</v>
          </cell>
          <cell r="F1259" t="str">
            <v>F104x</v>
          </cell>
          <cell r="G1259" t="str">
            <v>F104x</v>
          </cell>
        </row>
        <row r="1260">
          <cell r="D1260">
            <v>0</v>
          </cell>
          <cell r="E1260">
            <v>0</v>
          </cell>
          <cell r="F1260">
            <v>0</v>
          </cell>
          <cell r="G1260">
            <v>0</v>
          </cell>
        </row>
        <row r="1261">
          <cell r="D1261">
            <v>0</v>
          </cell>
          <cell r="E1261">
            <v>0</v>
          </cell>
          <cell r="F1261">
            <v>0</v>
          </cell>
          <cell r="G1261">
            <v>0</v>
          </cell>
        </row>
        <row r="1262">
          <cell r="D1262" t="str">
            <v>F104x</v>
          </cell>
          <cell r="E1262" t="str">
            <v>F104x</v>
          </cell>
          <cell r="F1262" t="str">
            <v>F104x</v>
          </cell>
          <cell r="G1262" t="str">
            <v>F104x</v>
          </cell>
        </row>
        <row r="1263">
          <cell r="D1263">
            <v>0</v>
          </cell>
          <cell r="E1263">
            <v>0</v>
          </cell>
          <cell r="F1263">
            <v>0</v>
          </cell>
          <cell r="G1263">
            <v>0</v>
          </cell>
        </row>
        <row r="1264"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D1265">
            <v>0</v>
          </cell>
          <cell r="E1265">
            <v>0</v>
          </cell>
          <cell r="F1265">
            <v>0</v>
          </cell>
          <cell r="G1265">
            <v>0</v>
          </cell>
        </row>
        <row r="1266"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D1268" t="str">
            <v>F10</v>
          </cell>
          <cell r="E1268" t="str">
            <v>F10</v>
          </cell>
          <cell r="F1268" t="str">
            <v>F10</v>
          </cell>
          <cell r="G1268" t="str">
            <v>F10</v>
          </cell>
        </row>
        <row r="1269">
          <cell r="D1269">
            <v>0</v>
          </cell>
          <cell r="E1269">
            <v>0</v>
          </cell>
          <cell r="F1269">
            <v>0</v>
          </cell>
          <cell r="G1269">
            <v>0</v>
          </cell>
        </row>
        <row r="1270">
          <cell r="D1270" t="str">
            <v>F10</v>
          </cell>
          <cell r="E1270" t="str">
            <v>F10</v>
          </cell>
          <cell r="F1270" t="str">
            <v>F10</v>
          </cell>
          <cell r="G1270" t="str">
            <v>F10</v>
          </cell>
        </row>
        <row r="1271">
          <cell r="D1271">
            <v>0</v>
          </cell>
          <cell r="E1271">
            <v>0</v>
          </cell>
          <cell r="F1271">
            <v>0</v>
          </cell>
          <cell r="G1271">
            <v>0</v>
          </cell>
        </row>
        <row r="1272">
          <cell r="D1272" t="str">
            <v>F10</v>
          </cell>
          <cell r="E1272" t="str">
            <v>F10</v>
          </cell>
          <cell r="F1272" t="str">
            <v>F10</v>
          </cell>
          <cell r="G1272" t="str">
            <v>F10</v>
          </cell>
        </row>
        <row r="1273"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D1274" t="str">
            <v>F10</v>
          </cell>
          <cell r="E1274" t="str">
            <v>F10</v>
          </cell>
          <cell r="F1274" t="str">
            <v>F10</v>
          </cell>
          <cell r="G1274" t="str">
            <v>F10</v>
          </cell>
        </row>
        <row r="1275">
          <cell r="D1275" t="str">
            <v>F10</v>
          </cell>
          <cell r="E1275" t="str">
            <v>F10</v>
          </cell>
          <cell r="F1275" t="str">
            <v>F10</v>
          </cell>
          <cell r="G1275" t="str">
            <v>F10</v>
          </cell>
        </row>
        <row r="1276">
          <cell r="D1276" t="str">
            <v>F10</v>
          </cell>
          <cell r="E1276" t="str">
            <v>F10</v>
          </cell>
          <cell r="F1276" t="str">
            <v>F10</v>
          </cell>
          <cell r="G1276" t="str">
            <v>F10</v>
          </cell>
        </row>
        <row r="1277">
          <cell r="D1277" t="str">
            <v>F10</v>
          </cell>
          <cell r="E1277" t="str">
            <v>F10</v>
          </cell>
          <cell r="F1277" t="str">
            <v>F10</v>
          </cell>
          <cell r="G1277" t="str">
            <v>F10</v>
          </cell>
        </row>
        <row r="1278">
          <cell r="D1278" t="str">
            <v>F10</v>
          </cell>
          <cell r="E1278" t="str">
            <v>F10</v>
          </cell>
          <cell r="F1278" t="str">
            <v>F10</v>
          </cell>
          <cell r="G1278" t="str">
            <v>F10</v>
          </cell>
        </row>
        <row r="1279"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D1280">
            <v>0</v>
          </cell>
          <cell r="E1280">
            <v>0</v>
          </cell>
          <cell r="F1280">
            <v>0</v>
          </cell>
          <cell r="G1280">
            <v>0</v>
          </cell>
        </row>
        <row r="1281">
          <cell r="D1281" t="str">
            <v>F10</v>
          </cell>
          <cell r="E1281" t="str">
            <v>F10</v>
          </cell>
          <cell r="F1281" t="str">
            <v>F10</v>
          </cell>
          <cell r="G1281" t="str">
            <v>F10</v>
          </cell>
        </row>
        <row r="1282">
          <cell r="D1282">
            <v>0</v>
          </cell>
          <cell r="E1282">
            <v>0</v>
          </cell>
          <cell r="F1282">
            <v>0</v>
          </cell>
          <cell r="G1282">
            <v>0</v>
          </cell>
        </row>
        <row r="1283"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D1285">
            <v>0</v>
          </cell>
          <cell r="E1285">
            <v>0</v>
          </cell>
          <cell r="F1285">
            <v>0</v>
          </cell>
          <cell r="G1285">
            <v>0</v>
          </cell>
        </row>
        <row r="1286">
          <cell r="D1286">
            <v>0</v>
          </cell>
          <cell r="E1286">
            <v>0</v>
          </cell>
          <cell r="F1286">
            <v>0</v>
          </cell>
          <cell r="G1286">
            <v>0</v>
          </cell>
        </row>
        <row r="1287"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D1288">
            <v>0</v>
          </cell>
          <cell r="E1288">
            <v>0</v>
          </cell>
          <cell r="F1288">
            <v>0</v>
          </cell>
          <cell r="G1288">
            <v>0</v>
          </cell>
        </row>
        <row r="1289">
          <cell r="D1289">
            <v>0</v>
          </cell>
          <cell r="E1289">
            <v>0</v>
          </cell>
          <cell r="F1289">
            <v>0</v>
          </cell>
          <cell r="G1289">
            <v>0</v>
          </cell>
        </row>
        <row r="1290">
          <cell r="D1290" t="str">
            <v>F106</v>
          </cell>
          <cell r="E1290" t="str">
            <v>F106</v>
          </cell>
          <cell r="F1290" t="str">
            <v>F106</v>
          </cell>
          <cell r="G1290" t="str">
            <v>F106</v>
          </cell>
        </row>
        <row r="1291"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D1293">
            <v>0</v>
          </cell>
          <cell r="E1293">
            <v>0</v>
          </cell>
          <cell r="F1293">
            <v>0</v>
          </cell>
          <cell r="G1293">
            <v>0</v>
          </cell>
        </row>
        <row r="1294">
          <cell r="D1294">
            <v>0</v>
          </cell>
          <cell r="E1294">
            <v>0</v>
          </cell>
          <cell r="F1294">
            <v>0</v>
          </cell>
          <cell r="G1294">
            <v>0</v>
          </cell>
        </row>
        <row r="1295">
          <cell r="D1295" t="str">
            <v>F118</v>
          </cell>
          <cell r="E1295" t="str">
            <v>F118</v>
          </cell>
          <cell r="F1295" t="str">
            <v>F118</v>
          </cell>
          <cell r="G1295" t="str">
            <v>F118</v>
          </cell>
        </row>
        <row r="1296">
          <cell r="D1296">
            <v>0</v>
          </cell>
          <cell r="E1296">
            <v>0</v>
          </cell>
          <cell r="F1296">
            <v>0</v>
          </cell>
          <cell r="G1296">
            <v>0</v>
          </cell>
        </row>
        <row r="1297">
          <cell r="D1297" t="str">
            <v>F119</v>
          </cell>
          <cell r="E1297" t="str">
            <v>F119</v>
          </cell>
          <cell r="F1297" t="str">
            <v>F119</v>
          </cell>
          <cell r="G1297" t="str">
            <v>F119</v>
          </cell>
        </row>
        <row r="1298"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D1299" t="str">
            <v>F120</v>
          </cell>
          <cell r="E1299" t="str">
            <v>F120</v>
          </cell>
          <cell r="F1299" t="str">
            <v>F120</v>
          </cell>
          <cell r="G1299" t="str">
            <v>F120</v>
          </cell>
        </row>
        <row r="1300">
          <cell r="D1300">
            <v>0</v>
          </cell>
          <cell r="E1300">
            <v>0</v>
          </cell>
          <cell r="F1300">
            <v>0</v>
          </cell>
          <cell r="G1300">
            <v>0</v>
          </cell>
        </row>
        <row r="1301">
          <cell r="D1301">
            <v>0</v>
          </cell>
          <cell r="E1301">
            <v>0</v>
          </cell>
          <cell r="F1301">
            <v>0</v>
          </cell>
          <cell r="G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  <cell r="G1302">
            <v>0</v>
          </cell>
        </row>
        <row r="1303">
          <cell r="D1303" t="str">
            <v>C</v>
          </cell>
          <cell r="E1303" t="str">
            <v>C</v>
          </cell>
          <cell r="F1303" t="str">
            <v>C</v>
          </cell>
          <cell r="G1303" t="str">
            <v>C</v>
          </cell>
        </row>
        <row r="1304">
          <cell r="D1304" t="str">
            <v>COS
Factor</v>
          </cell>
          <cell r="E1304" t="str">
            <v>COS
Factor</v>
          </cell>
          <cell r="F1304" t="str">
            <v>COS
Factor</v>
          </cell>
          <cell r="G1304" t="str">
            <v>COS
Factor</v>
          </cell>
        </row>
        <row r="1305"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D1306" t="str">
            <v>F121</v>
          </cell>
          <cell r="E1306" t="str">
            <v>F121</v>
          </cell>
          <cell r="F1306" t="str">
            <v>F121</v>
          </cell>
          <cell r="G1306" t="str">
            <v>F121</v>
          </cell>
        </row>
        <row r="1307">
          <cell r="D1307">
            <v>0</v>
          </cell>
          <cell r="E1307">
            <v>0</v>
          </cell>
          <cell r="F1307">
            <v>0</v>
          </cell>
          <cell r="G1307">
            <v>0</v>
          </cell>
        </row>
        <row r="1308">
          <cell r="D1308" t="str">
            <v>F122</v>
          </cell>
          <cell r="E1308" t="str">
            <v>F122</v>
          </cell>
          <cell r="F1308" t="str">
            <v>F122</v>
          </cell>
          <cell r="G1308" t="str">
            <v>F122</v>
          </cell>
        </row>
        <row r="1309">
          <cell r="D1309">
            <v>0</v>
          </cell>
          <cell r="E1309">
            <v>0</v>
          </cell>
          <cell r="F1309">
            <v>0</v>
          </cell>
          <cell r="G1309">
            <v>0</v>
          </cell>
        </row>
        <row r="1310">
          <cell r="D1310" t="str">
            <v>F123</v>
          </cell>
          <cell r="E1310" t="str">
            <v>F123</v>
          </cell>
          <cell r="F1310" t="str">
            <v>F123</v>
          </cell>
          <cell r="G1310" t="str">
            <v>F123</v>
          </cell>
        </row>
        <row r="1311">
          <cell r="D1311">
            <v>0</v>
          </cell>
          <cell r="E1311">
            <v>0</v>
          </cell>
          <cell r="F1311">
            <v>0</v>
          </cell>
          <cell r="G1311">
            <v>0</v>
          </cell>
        </row>
        <row r="1312">
          <cell r="D1312" t="str">
            <v>F124</v>
          </cell>
          <cell r="E1312" t="str">
            <v>F124</v>
          </cell>
          <cell r="F1312" t="str">
            <v>F124</v>
          </cell>
          <cell r="G1312" t="str">
            <v>F124</v>
          </cell>
        </row>
        <row r="1313">
          <cell r="D1313">
            <v>0</v>
          </cell>
          <cell r="E1313">
            <v>0</v>
          </cell>
          <cell r="F1313">
            <v>0</v>
          </cell>
          <cell r="G1313">
            <v>0</v>
          </cell>
        </row>
        <row r="1314">
          <cell r="D1314" t="str">
            <v>F125</v>
          </cell>
          <cell r="E1314" t="str">
            <v>F125</v>
          </cell>
          <cell r="F1314" t="str">
            <v>F125</v>
          </cell>
          <cell r="G1314" t="str">
            <v>F125</v>
          </cell>
        </row>
        <row r="1315">
          <cell r="D1315">
            <v>0</v>
          </cell>
          <cell r="E1315">
            <v>0</v>
          </cell>
          <cell r="F1315">
            <v>0</v>
          </cell>
          <cell r="G1315">
            <v>0</v>
          </cell>
        </row>
        <row r="1316">
          <cell r="D1316" t="str">
            <v>F126</v>
          </cell>
          <cell r="E1316" t="str">
            <v>F126</v>
          </cell>
          <cell r="F1316" t="str">
            <v>F126</v>
          </cell>
          <cell r="G1316" t="str">
            <v>F126</v>
          </cell>
        </row>
        <row r="1317">
          <cell r="D1317">
            <v>0</v>
          </cell>
          <cell r="E1317">
            <v>0</v>
          </cell>
          <cell r="F1317">
            <v>0</v>
          </cell>
          <cell r="G1317">
            <v>0</v>
          </cell>
        </row>
        <row r="1318">
          <cell r="D1318" t="str">
            <v>F127</v>
          </cell>
          <cell r="E1318" t="str">
            <v>F127</v>
          </cell>
          <cell r="F1318" t="str">
            <v>F127</v>
          </cell>
          <cell r="G1318" t="str">
            <v>F127</v>
          </cell>
        </row>
        <row r="1319">
          <cell r="D1319">
            <v>0</v>
          </cell>
          <cell r="E1319">
            <v>0</v>
          </cell>
          <cell r="F1319">
            <v>0</v>
          </cell>
          <cell r="G1319">
            <v>0</v>
          </cell>
        </row>
        <row r="1320">
          <cell r="D1320" t="str">
            <v>F128</v>
          </cell>
          <cell r="E1320" t="str">
            <v>F128</v>
          </cell>
          <cell r="F1320" t="str">
            <v>F128</v>
          </cell>
          <cell r="G1320" t="str">
            <v>F128</v>
          </cell>
        </row>
        <row r="1321">
          <cell r="D1321">
            <v>0</v>
          </cell>
          <cell r="E1321">
            <v>0</v>
          </cell>
          <cell r="F1321">
            <v>0</v>
          </cell>
          <cell r="G1321">
            <v>0</v>
          </cell>
        </row>
        <row r="1322">
          <cell r="D1322" t="str">
            <v>F129</v>
          </cell>
          <cell r="E1322" t="str">
            <v>F129</v>
          </cell>
          <cell r="F1322" t="str">
            <v>F129</v>
          </cell>
          <cell r="G1322" t="str">
            <v>F129</v>
          </cell>
        </row>
        <row r="1323">
          <cell r="D1323">
            <v>0</v>
          </cell>
          <cell r="E1323">
            <v>0</v>
          </cell>
          <cell r="F1323">
            <v>0</v>
          </cell>
          <cell r="G1323">
            <v>0</v>
          </cell>
        </row>
        <row r="1324">
          <cell r="D1324" t="str">
            <v>F130</v>
          </cell>
          <cell r="E1324" t="str">
            <v>F130</v>
          </cell>
          <cell r="F1324" t="str">
            <v>F130</v>
          </cell>
          <cell r="G1324" t="str">
            <v>F130</v>
          </cell>
        </row>
        <row r="1325"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D1326" t="str">
            <v>F121</v>
          </cell>
          <cell r="E1326" t="str">
            <v>F121</v>
          </cell>
          <cell r="F1326" t="str">
            <v>F121</v>
          </cell>
          <cell r="G1326" t="str">
            <v>F121</v>
          </cell>
        </row>
        <row r="1327">
          <cell r="D1327">
            <v>0</v>
          </cell>
          <cell r="E1327">
            <v>0</v>
          </cell>
          <cell r="F1327">
            <v>0</v>
          </cell>
          <cell r="G1327">
            <v>0</v>
          </cell>
        </row>
        <row r="1328">
          <cell r="D1328" t="str">
            <v>F120</v>
          </cell>
          <cell r="E1328" t="str">
            <v>F120</v>
          </cell>
          <cell r="F1328" t="str">
            <v>F120</v>
          </cell>
          <cell r="G1328" t="str">
            <v>F120</v>
          </cell>
        </row>
        <row r="1329">
          <cell r="D1329">
            <v>0</v>
          </cell>
          <cell r="E1329">
            <v>0</v>
          </cell>
          <cell r="F1329">
            <v>0</v>
          </cell>
          <cell r="G1329">
            <v>0</v>
          </cell>
        </row>
        <row r="1330">
          <cell r="D1330" t="str">
            <v>F102x</v>
          </cell>
          <cell r="E1330" t="str">
            <v>F102x</v>
          </cell>
          <cell r="F1330" t="str">
            <v>F102x</v>
          </cell>
          <cell r="G1330" t="str">
            <v>F102x</v>
          </cell>
        </row>
        <row r="1331">
          <cell r="D1331">
            <v>0</v>
          </cell>
          <cell r="E1331">
            <v>0</v>
          </cell>
          <cell r="F1331">
            <v>0</v>
          </cell>
          <cell r="G1331">
            <v>0</v>
          </cell>
        </row>
        <row r="1332"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D1333">
            <v>0</v>
          </cell>
          <cell r="E1333">
            <v>0</v>
          </cell>
          <cell r="F1333">
            <v>0</v>
          </cell>
          <cell r="G1333">
            <v>0</v>
          </cell>
        </row>
        <row r="1334"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D1335">
            <v>0</v>
          </cell>
          <cell r="E1335">
            <v>0</v>
          </cell>
          <cell r="F1335">
            <v>0</v>
          </cell>
          <cell r="G1335">
            <v>0</v>
          </cell>
        </row>
        <row r="1336"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D1337" t="str">
            <v>F107x</v>
          </cell>
          <cell r="E1337" t="str">
            <v>F107x</v>
          </cell>
          <cell r="F1337" t="str">
            <v>F107x</v>
          </cell>
          <cell r="G1337" t="str">
            <v>F107x</v>
          </cell>
        </row>
        <row r="1338">
          <cell r="D1338" t="str">
            <v>F105x</v>
          </cell>
          <cell r="E1338" t="str">
            <v>F105x</v>
          </cell>
          <cell r="F1338" t="str">
            <v>F105x</v>
          </cell>
          <cell r="G1338" t="str">
            <v>F105x</v>
          </cell>
        </row>
        <row r="1339">
          <cell r="D1339" t="str">
            <v>F105x</v>
          </cell>
          <cell r="E1339" t="str">
            <v>F105x</v>
          </cell>
          <cell r="F1339" t="str">
            <v>F105x</v>
          </cell>
          <cell r="G1339" t="str">
            <v>F105x</v>
          </cell>
        </row>
        <row r="1340">
          <cell r="D1340" t="str">
            <v>F105x</v>
          </cell>
          <cell r="E1340" t="str">
            <v>F105x</v>
          </cell>
          <cell r="F1340" t="str">
            <v>F105x</v>
          </cell>
          <cell r="G1340" t="str">
            <v>F105x</v>
          </cell>
        </row>
        <row r="1341">
          <cell r="D1341" t="str">
            <v>F42</v>
          </cell>
          <cell r="E1341" t="str">
            <v>F42</v>
          </cell>
          <cell r="F1341" t="str">
            <v>F42</v>
          </cell>
          <cell r="G1341" t="str">
            <v>F42</v>
          </cell>
        </row>
        <row r="1342">
          <cell r="D1342" t="str">
            <v>F102x</v>
          </cell>
          <cell r="E1342" t="str">
            <v>F102x</v>
          </cell>
          <cell r="F1342" t="str">
            <v>F102x</v>
          </cell>
          <cell r="G1342" t="str">
            <v>F102x</v>
          </cell>
        </row>
        <row r="1343">
          <cell r="D1343" t="str">
            <v>F30</v>
          </cell>
          <cell r="E1343" t="str">
            <v>F30</v>
          </cell>
          <cell r="F1343" t="str">
            <v>F30</v>
          </cell>
          <cell r="G1343" t="str">
            <v>F30</v>
          </cell>
        </row>
        <row r="1344">
          <cell r="D1344" t="str">
            <v>F10</v>
          </cell>
          <cell r="E1344" t="str">
            <v>F10</v>
          </cell>
          <cell r="F1344" t="str">
            <v>F105x</v>
          </cell>
          <cell r="G1344" t="str">
            <v>F10</v>
          </cell>
        </row>
        <row r="1345">
          <cell r="D1345" t="str">
            <v>F10</v>
          </cell>
          <cell r="E1345" t="str">
            <v>F10</v>
          </cell>
          <cell r="F1345" t="str">
            <v>F105x</v>
          </cell>
          <cell r="G1345" t="str">
            <v>F10</v>
          </cell>
        </row>
        <row r="1346"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D1348" t="str">
            <v>F30</v>
          </cell>
          <cell r="E1348" t="str">
            <v>F30</v>
          </cell>
          <cell r="F1348" t="str">
            <v>F30</v>
          </cell>
          <cell r="G1348" t="str">
            <v>F30</v>
          </cell>
        </row>
        <row r="1349">
          <cell r="D1349">
            <v>0</v>
          </cell>
          <cell r="E1349">
            <v>0</v>
          </cell>
          <cell r="F1349">
            <v>0</v>
          </cell>
          <cell r="G1349">
            <v>0</v>
          </cell>
        </row>
        <row r="1350">
          <cell r="D1350" t="str">
            <v>F30</v>
          </cell>
          <cell r="E1350" t="str">
            <v>F30</v>
          </cell>
          <cell r="F1350" t="str">
            <v>F30</v>
          </cell>
          <cell r="G1350" t="str">
            <v>F30</v>
          </cell>
        </row>
        <row r="1351">
          <cell r="D1351" t="str">
            <v>F30</v>
          </cell>
          <cell r="E1351" t="str">
            <v>F30</v>
          </cell>
          <cell r="F1351" t="str">
            <v>F30</v>
          </cell>
          <cell r="G1351" t="str">
            <v>F30</v>
          </cell>
        </row>
        <row r="1352"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D1353" t="str">
            <v>F30</v>
          </cell>
          <cell r="E1353" t="str">
            <v>F30</v>
          </cell>
          <cell r="F1353" t="str">
            <v>F30</v>
          </cell>
          <cell r="G1353" t="str">
            <v>F30</v>
          </cell>
        </row>
        <row r="1354">
          <cell r="D1354" t="str">
            <v>F30</v>
          </cell>
          <cell r="E1354" t="str">
            <v>F30</v>
          </cell>
          <cell r="F1354" t="str">
            <v>F30</v>
          </cell>
          <cell r="G1354" t="str">
            <v>F30</v>
          </cell>
        </row>
        <row r="1355">
          <cell r="D1355" t="str">
            <v>F30</v>
          </cell>
          <cell r="E1355" t="str">
            <v>F30</v>
          </cell>
          <cell r="F1355" t="str">
            <v>F30</v>
          </cell>
          <cell r="G1355" t="str">
            <v>F30</v>
          </cell>
        </row>
        <row r="1356"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D1365" t="str">
            <v>F10</v>
          </cell>
          <cell r="E1365" t="str">
            <v>F10</v>
          </cell>
          <cell r="F1365" t="str">
            <v>F10</v>
          </cell>
          <cell r="G1365" t="str">
            <v>F10</v>
          </cell>
        </row>
        <row r="1366"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D1368" t="str">
            <v>F108x</v>
          </cell>
          <cell r="E1368" t="str">
            <v>F108x</v>
          </cell>
          <cell r="F1368" t="str">
            <v>F108x</v>
          </cell>
          <cell r="G1368" t="str">
            <v>F108x</v>
          </cell>
        </row>
        <row r="1369">
          <cell r="D1369" t="str">
            <v>F40</v>
          </cell>
          <cell r="E1369" t="str">
            <v>F40</v>
          </cell>
          <cell r="F1369" t="str">
            <v>F40</v>
          </cell>
          <cell r="G1369" t="str">
            <v>F40</v>
          </cell>
        </row>
        <row r="1370">
          <cell r="D1370" t="str">
            <v>F108x</v>
          </cell>
          <cell r="E1370" t="str">
            <v>F108x</v>
          </cell>
          <cell r="F1370" t="str">
            <v>F108x</v>
          </cell>
          <cell r="G1370" t="str">
            <v>F108x</v>
          </cell>
        </row>
        <row r="1371">
          <cell r="D1371" t="str">
            <v>F108x</v>
          </cell>
          <cell r="E1371" t="str">
            <v>F108x</v>
          </cell>
          <cell r="F1371" t="str">
            <v>F108x</v>
          </cell>
          <cell r="G1371" t="str">
            <v>F108x</v>
          </cell>
        </row>
        <row r="1372">
          <cell r="D1372" t="str">
            <v>F108x</v>
          </cell>
          <cell r="E1372" t="str">
            <v>F108x</v>
          </cell>
          <cell r="F1372" t="str">
            <v>F108x</v>
          </cell>
          <cell r="G1372" t="str">
            <v>F108x</v>
          </cell>
        </row>
        <row r="1373"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D1375" t="str">
            <v>F10</v>
          </cell>
          <cell r="E1375" t="str">
            <v>F10</v>
          </cell>
          <cell r="F1375" t="str">
            <v>F10</v>
          </cell>
          <cell r="G1375" t="str">
            <v>F10</v>
          </cell>
        </row>
        <row r="1376"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D1378" t="str">
            <v>F107x</v>
          </cell>
          <cell r="E1378" t="str">
            <v>F107x</v>
          </cell>
          <cell r="F1378" t="str">
            <v>F107x</v>
          </cell>
          <cell r="G1378" t="str">
            <v>F107x</v>
          </cell>
        </row>
        <row r="1379">
          <cell r="D1379" t="str">
            <v>F105x</v>
          </cell>
          <cell r="E1379" t="str">
            <v>F105x</v>
          </cell>
          <cell r="F1379" t="str">
            <v>F105x</v>
          </cell>
          <cell r="G1379" t="str">
            <v>F105x</v>
          </cell>
        </row>
        <row r="1380">
          <cell r="D1380" t="str">
            <v>F105x</v>
          </cell>
          <cell r="E1380" t="str">
            <v>F105x</v>
          </cell>
          <cell r="F1380" t="str">
            <v>F105x</v>
          </cell>
          <cell r="G1380" t="str">
            <v>F105x</v>
          </cell>
        </row>
        <row r="1381">
          <cell r="D1381" t="str">
            <v>F30</v>
          </cell>
          <cell r="E1381" t="str">
            <v>F30</v>
          </cell>
          <cell r="F1381" t="str">
            <v>F30</v>
          </cell>
          <cell r="G1381" t="str">
            <v>F30</v>
          </cell>
        </row>
        <row r="1382">
          <cell r="D1382" t="str">
            <v>F105x</v>
          </cell>
          <cell r="E1382" t="str">
            <v>F105x</v>
          </cell>
          <cell r="F1382" t="str">
            <v>F105x</v>
          </cell>
          <cell r="G1382" t="str">
            <v>F105x</v>
          </cell>
        </row>
        <row r="1383">
          <cell r="D1383" t="str">
            <v>F105x</v>
          </cell>
          <cell r="E1383" t="str">
            <v>F105x</v>
          </cell>
          <cell r="F1383" t="str">
            <v>F105x</v>
          </cell>
          <cell r="G1383" t="str">
            <v>F105x</v>
          </cell>
        </row>
        <row r="1384">
          <cell r="D1384" t="str">
            <v>F105x</v>
          </cell>
          <cell r="E1384" t="str">
            <v>F105x</v>
          </cell>
          <cell r="F1384" t="str">
            <v>F105x</v>
          </cell>
          <cell r="G1384" t="str">
            <v>F105x</v>
          </cell>
        </row>
        <row r="1385">
          <cell r="D1385" t="str">
            <v>F42</v>
          </cell>
          <cell r="E1385" t="str">
            <v>F42</v>
          </cell>
          <cell r="F1385" t="str">
            <v>F42</v>
          </cell>
          <cell r="G1385" t="str">
            <v>F42</v>
          </cell>
        </row>
        <row r="1386">
          <cell r="D1386" t="str">
            <v>F105x</v>
          </cell>
          <cell r="E1386" t="str">
            <v>F105x</v>
          </cell>
          <cell r="F1386" t="str">
            <v>F105x</v>
          </cell>
          <cell r="G1386" t="str">
            <v>F105x</v>
          </cell>
        </row>
        <row r="1387">
          <cell r="D1387" t="str">
            <v>F10</v>
          </cell>
          <cell r="E1387" t="str">
            <v>F10</v>
          </cell>
          <cell r="F1387" t="str">
            <v>F105x</v>
          </cell>
          <cell r="G1387" t="str">
            <v>F10</v>
          </cell>
        </row>
        <row r="1388">
          <cell r="D1388" t="str">
            <v>F102x</v>
          </cell>
          <cell r="E1388" t="str">
            <v>F102x</v>
          </cell>
          <cell r="F1388" t="str">
            <v>F102x</v>
          </cell>
          <cell r="G1388" t="str">
            <v>F102x</v>
          </cell>
        </row>
        <row r="1389"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D1391" t="str">
            <v>F30</v>
          </cell>
          <cell r="E1391" t="str">
            <v>F30</v>
          </cell>
          <cell r="F1391" t="str">
            <v>F30</v>
          </cell>
          <cell r="G1391" t="str">
            <v>F30</v>
          </cell>
        </row>
        <row r="1392"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</sheetData>
      <sheetData sheetId="35">
        <row r="13">
          <cell r="F13" t="str">
            <v>Residential
Sch 1</v>
          </cell>
          <cell r="G13" t="str">
            <v>General
Large Dist.
Sch 6</v>
          </cell>
          <cell r="H13" t="str">
            <v>General
+1 MW
Sch 8</v>
          </cell>
          <cell r="I13" t="str">
            <v>Street &amp; Area
Lighting
Sch. 7,11,12</v>
          </cell>
          <cell r="J13" t="str">
            <v>General
Trans
Sch 9</v>
          </cell>
          <cell r="K13" t="str">
            <v>Irrigation
Sch 10</v>
          </cell>
          <cell r="L13" t="str">
            <v>Traffic
Signals
Sch 15</v>
          </cell>
          <cell r="M13" t="str">
            <v>Outdoor
Lighting
Sch 15</v>
          </cell>
          <cell r="N13" t="str">
            <v>General
Small Dist.
Sch 23</v>
          </cell>
          <cell r="O13" t="str">
            <v>Industrial
Cust 1</v>
          </cell>
          <cell r="P13" t="str">
            <v>Industrial
Cust 2</v>
          </cell>
        </row>
        <row r="15">
          <cell r="A15" t="str">
            <v>F10</v>
          </cell>
          <cell r="F15">
            <v>0.35813996172964169</v>
          </cell>
          <cell r="G15">
            <v>0.2715254646558789</v>
          </cell>
          <cell r="H15">
            <v>7.9772204472460168E-2</v>
          </cell>
          <cell r="I15">
            <v>1.0735125251442033E-3</v>
          </cell>
          <cell r="J15">
            <v>0.17817489786137647</v>
          </cell>
          <cell r="K15">
            <v>8.3959257178266664E-3</v>
          </cell>
          <cell r="L15">
            <v>2.8224092378510452E-4</v>
          </cell>
          <cell r="M15">
            <v>3.6376898047443145E-4</v>
          </cell>
          <cell r="N15">
            <v>6.3135270608976932E-2</v>
          </cell>
          <cell r="O15">
            <v>2.2206264746511536E-2</v>
          </cell>
          <cell r="P15">
            <v>1.6930487777923851E-2</v>
          </cell>
        </row>
        <row r="16">
          <cell r="A16" t="str">
            <v>F11</v>
          </cell>
          <cell r="F16">
            <v>0.33821490987196479</v>
          </cell>
          <cell r="G16">
            <v>0.27177852096801752</v>
          </cell>
          <cell r="H16">
            <v>8.2598891692376608E-2</v>
          </cell>
          <cell r="I16">
            <v>1.4626758398592172E-3</v>
          </cell>
          <cell r="J16">
            <v>0.18854598308114204</v>
          </cell>
          <cell r="K16">
            <v>8.9753865084701151E-3</v>
          </cell>
          <cell r="L16">
            <v>3.0218073837868858E-4</v>
          </cell>
          <cell r="M16">
            <v>4.7657048989094053E-4</v>
          </cell>
          <cell r="N16">
            <v>6.268279158953316E-2</v>
          </cell>
          <cell r="O16">
            <v>2.3609285121362324E-2</v>
          </cell>
          <cell r="P16">
            <v>2.1352804099004634E-2</v>
          </cell>
        </row>
        <row r="17">
          <cell r="A17" t="str">
            <v>F12</v>
          </cell>
          <cell r="F17">
            <v>0.37806501358731864</v>
          </cell>
          <cell r="G17">
            <v>0.27127240834374033</v>
          </cell>
          <cell r="H17">
            <v>7.6945517252543741E-2</v>
          </cell>
          <cell r="I17">
            <v>6.8434921042918927E-4</v>
          </cell>
          <cell r="J17">
            <v>0.1678038126416109</v>
          </cell>
          <cell r="K17">
            <v>7.816464927183216E-3</v>
          </cell>
          <cell r="L17">
            <v>2.6230110919152051E-4</v>
          </cell>
          <cell r="M17">
            <v>2.5096747105792232E-4</v>
          </cell>
          <cell r="N17">
            <v>6.3587749628420689E-2</v>
          </cell>
          <cell r="O17">
            <v>2.0803244371660746E-2</v>
          </cell>
          <cell r="P17">
            <v>1.2508171456843074E-2</v>
          </cell>
        </row>
        <row r="18">
          <cell r="A18" t="str">
            <v>F20</v>
          </cell>
          <cell r="F18">
            <v>0.53289434983714301</v>
          </cell>
          <cell r="G18">
            <v>0.29976192279406727</v>
          </cell>
          <cell r="H18">
            <v>7.5251992373267601E-2</v>
          </cell>
          <cell r="I18">
            <v>1.6180521377271931E-4</v>
          </cell>
          <cell r="J18">
            <v>0</v>
          </cell>
          <cell r="K18">
            <v>1.5558443946847885E-2</v>
          </cell>
          <cell r="L18">
            <v>2.3276563992358432E-4</v>
          </cell>
          <cell r="M18">
            <v>6.2434020110106782E-5</v>
          </cell>
          <cell r="N18">
            <v>7.6076286174868057E-2</v>
          </cell>
          <cell r="O18">
            <v>0</v>
          </cell>
          <cell r="P18">
            <v>0</v>
          </cell>
        </row>
        <row r="19">
          <cell r="A19" t="str">
            <v>F21</v>
          </cell>
          <cell r="F19">
            <v>0.63134227358127437</v>
          </cell>
          <cell r="G19">
            <v>0.23221575368833883</v>
          </cell>
          <cell r="H19">
            <v>2.8456768355703321E-2</v>
          </cell>
          <cell r="I19">
            <v>2.2954503076252943E-3</v>
          </cell>
          <cell r="J19">
            <v>0</v>
          </cell>
          <cell r="K19">
            <v>2.50287624027247E-2</v>
          </cell>
          <cell r="L19">
            <v>1.5689801731709157E-4</v>
          </cell>
          <cell r="M19">
            <v>7.1229157649937112E-4</v>
          </cell>
          <cell r="N19">
            <v>7.9791802070516962E-2</v>
          </cell>
          <cell r="O19">
            <v>0</v>
          </cell>
          <cell r="P19">
            <v>0</v>
          </cell>
        </row>
        <row r="20">
          <cell r="A20" t="str">
            <v>F22</v>
          </cell>
          <cell r="F20">
            <v>0.88779640182846875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0.11220359817153133</v>
          </cell>
          <cell r="O20">
            <v>0</v>
          </cell>
          <cell r="P20">
            <v>0</v>
          </cell>
        </row>
        <row r="21">
          <cell r="A21" t="str">
            <v>F30</v>
          </cell>
          <cell r="F21">
            <v>0.29836480615661093</v>
          </cell>
          <cell r="G21">
            <v>0.27228463359229471</v>
          </cell>
          <cell r="H21">
            <v>8.8252266132209461E-2</v>
          </cell>
          <cell r="I21">
            <v>2.2410024692892452E-3</v>
          </cell>
          <cell r="J21">
            <v>0.20928815352067318</v>
          </cell>
          <cell r="K21">
            <v>1.0134308089757016E-2</v>
          </cell>
          <cell r="L21">
            <v>3.420603675658567E-4</v>
          </cell>
          <cell r="M21">
            <v>7.0217350872395874E-4</v>
          </cell>
          <cell r="N21">
            <v>6.1777833550645637E-2</v>
          </cell>
          <cell r="O21">
            <v>2.6415325871063905E-2</v>
          </cell>
          <cell r="P21">
            <v>3.0197436741166192E-2</v>
          </cell>
        </row>
        <row r="22">
          <cell r="A22" t="str">
            <v>F40</v>
          </cell>
          <cell r="F22">
            <v>0.86981333977363162</v>
          </cell>
          <cell r="G22">
            <v>1.6562455885057226E-2</v>
          </cell>
          <cell r="H22">
            <v>2.5272066907563599E-4</v>
          </cell>
          <cell r="I22">
            <v>8.5565084306089955E-3</v>
          </cell>
          <cell r="J22">
            <v>1.6729753419249724E-4</v>
          </cell>
          <cell r="K22">
            <v>3.658239414342606E-3</v>
          </cell>
          <cell r="L22">
            <v>2.7720694453471965E-3</v>
          </cell>
          <cell r="M22">
            <v>6.4586987442800448E-4</v>
          </cell>
          <cell r="N22">
            <v>9.7569471124416871E-2</v>
          </cell>
          <cell r="O22">
            <v>1.0139244496514984E-6</v>
          </cell>
          <cell r="P22">
            <v>1.0139244496514984E-6</v>
          </cell>
        </row>
        <row r="23">
          <cell r="A23" t="str">
            <v>F41</v>
          </cell>
          <cell r="F23">
            <v>0.8699503694982349</v>
          </cell>
          <cell r="G23">
            <v>1.9319110987168368E-2</v>
          </cell>
          <cell r="H23">
            <v>2.789026576587693E-3</v>
          </cell>
          <cell r="I23">
            <v>0</v>
          </cell>
          <cell r="J23">
            <v>2.7010460864221263E-3</v>
          </cell>
          <cell r="K23">
            <v>3.8791393998104024E-3</v>
          </cell>
          <cell r="L23">
            <v>2.7725061550357096E-3</v>
          </cell>
          <cell r="M23">
            <v>6.4597162427130464E-4</v>
          </cell>
          <cell r="N23">
            <v>9.7720477834860597E-2</v>
          </cell>
          <cell r="O23">
            <v>1.1117591880447541E-4</v>
          </cell>
          <cell r="P23">
            <v>1.1117591880447541E-4</v>
          </cell>
        </row>
        <row r="24">
          <cell r="A24" t="str">
            <v>F42</v>
          </cell>
          <cell r="F24">
            <v>0.87052581258056771</v>
          </cell>
          <cell r="G24">
            <v>1.8007472907809421E-2</v>
          </cell>
          <cell r="H24">
            <v>2.7476967384582176E-4</v>
          </cell>
          <cell r="I24">
            <v>7.7035796472103447E-3</v>
          </cell>
          <cell r="J24">
            <v>8.2906608011306131E-4</v>
          </cell>
          <cell r="K24">
            <v>2.8727789916456192E-3</v>
          </cell>
          <cell r="L24">
            <v>2.4969278903939629E-3</v>
          </cell>
          <cell r="M24">
            <v>5.8176410613787661E-4</v>
          </cell>
          <cell r="N24">
            <v>9.669777883645668E-2</v>
          </cell>
          <cell r="O24">
            <v>5.0246429097761293E-6</v>
          </cell>
          <cell r="P24">
            <v>5.0246429097761293E-6</v>
          </cell>
        </row>
        <row r="25">
          <cell r="A25" t="str">
            <v>F43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F44</v>
          </cell>
          <cell r="F26">
            <v>0</v>
          </cell>
          <cell r="G26">
            <v>0.1387906735027663</v>
          </cell>
          <cell r="H26">
            <v>1.3505305144649493E-3</v>
          </cell>
          <cell r="I26">
            <v>0</v>
          </cell>
          <cell r="J26">
            <v>3.9707905724439537E-4</v>
          </cell>
          <cell r="K26">
            <v>0</v>
          </cell>
          <cell r="L26">
            <v>0</v>
          </cell>
          <cell r="M26">
            <v>0</v>
          </cell>
          <cell r="N26">
            <v>0.85946171692552431</v>
          </cell>
          <cell r="O26">
            <v>0</v>
          </cell>
          <cell r="P26">
            <v>0</v>
          </cell>
        </row>
        <row r="27">
          <cell r="A27" t="str">
            <v>F45</v>
          </cell>
          <cell r="F27">
            <v>0</v>
          </cell>
          <cell r="G27">
            <v>0.15729693902145095</v>
          </cell>
          <cell r="H27">
            <v>1.2412629549288986E-2</v>
          </cell>
          <cell r="I27">
            <v>0</v>
          </cell>
          <cell r="J27">
            <v>1.4702337912750061E-2</v>
          </cell>
          <cell r="K27">
            <v>0.43480356712460833</v>
          </cell>
          <cell r="L27">
            <v>0</v>
          </cell>
          <cell r="M27">
            <v>0</v>
          </cell>
          <cell r="N27">
            <v>0.38054350445890583</v>
          </cell>
          <cell r="O27">
            <v>1.2051096649795132E-4</v>
          </cell>
          <cell r="P27">
            <v>1.2051096649795132E-4</v>
          </cell>
        </row>
        <row r="28">
          <cell r="A28" t="str">
            <v>F46</v>
          </cell>
          <cell r="F28">
            <v>0</v>
          </cell>
          <cell r="G28">
            <v>0</v>
          </cell>
          <cell r="H28">
            <v>0</v>
          </cell>
          <cell r="I28">
            <v>0.71456392887383569</v>
          </cell>
          <cell r="J28">
            <v>0</v>
          </cell>
          <cell r="K28">
            <v>0</v>
          </cell>
          <cell r="L28">
            <v>0.23149872988992379</v>
          </cell>
          <cell r="M28">
            <v>5.3937341236240471E-2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F47</v>
          </cell>
          <cell r="F29">
            <v>0.87154504124384879</v>
          </cell>
          <cell r="G29">
            <v>1.9354524088331122E-2</v>
          </cell>
          <cell r="H29">
            <v>2.7941390313154452E-3</v>
          </cell>
          <cell r="I29">
            <v>0</v>
          </cell>
          <cell r="J29">
            <v>2.7059972675798549E-3</v>
          </cell>
          <cell r="K29">
            <v>2.0531894981716658E-3</v>
          </cell>
          <cell r="L29">
            <v>2.777588326829632E-3</v>
          </cell>
          <cell r="M29">
            <v>6.4715572940397792E-4</v>
          </cell>
          <cell r="N29">
            <v>9.7899605392517741E-2</v>
          </cell>
          <cell r="O29">
            <v>1.1137971100081923E-4</v>
          </cell>
          <cell r="P29">
            <v>1.1137971100081923E-4</v>
          </cell>
        </row>
        <row r="30">
          <cell r="A30" t="str">
            <v>F48</v>
          </cell>
          <cell r="F30">
            <v>0.87170700003687007</v>
          </cell>
          <cell r="G30">
            <v>1.8031906647522845E-2</v>
          </cell>
          <cell r="H30">
            <v>2.7514249965687596E-4</v>
          </cell>
          <cell r="I30">
            <v>7.7140323776364959E-3</v>
          </cell>
          <cell r="J30">
            <v>8.3019101224042968E-4</v>
          </cell>
          <cell r="K30">
            <v>1.5198103044780161E-3</v>
          </cell>
          <cell r="L30">
            <v>2.5003158886138916E-3</v>
          </cell>
          <cell r="M30">
            <v>5.8255348246051542E-4</v>
          </cell>
          <cell r="N30">
            <v>9.6828984829160483E-2</v>
          </cell>
          <cell r="O30">
            <v>5.0314606802450285E-6</v>
          </cell>
          <cell r="P30">
            <v>5.0314606802450285E-6</v>
          </cell>
        </row>
        <row r="31">
          <cell r="A31" t="str">
            <v>F50</v>
          </cell>
          <cell r="F31">
            <v>0.35266832839603662</v>
          </cell>
          <cell r="G31">
            <v>5.1514463061520195E-2</v>
          </cell>
          <cell r="H31">
            <v>2.9741089307351721E-3</v>
          </cell>
          <cell r="I31">
            <v>6.0909392158023769E-3</v>
          </cell>
          <cell r="J31">
            <v>0</v>
          </cell>
          <cell r="K31">
            <v>2.4034601581976343E-3</v>
          </cell>
          <cell r="L31">
            <v>3.5273768927457016E-3</v>
          </cell>
          <cell r="M31">
            <v>5.077456297282323E-3</v>
          </cell>
          <cell r="N31">
            <v>0.57574386704767999</v>
          </cell>
          <cell r="O31">
            <v>0</v>
          </cell>
          <cell r="P31">
            <v>0</v>
          </cell>
        </row>
        <row r="32">
          <cell r="A32" t="str">
            <v>F51</v>
          </cell>
          <cell r="F32">
            <v>0.11886596185653295</v>
          </cell>
          <cell r="G32">
            <v>4.4267603866212389E-2</v>
          </cell>
          <cell r="H32">
            <v>0.15278530800125417</v>
          </cell>
          <cell r="I32">
            <v>5.0462787569879029E-4</v>
          </cell>
          <cell r="J32">
            <v>0.31577712755759307</v>
          </cell>
          <cell r="K32">
            <v>1.2884742679798545E-2</v>
          </cell>
          <cell r="L32">
            <v>0</v>
          </cell>
          <cell r="M32">
            <v>3.1636944559962512E-4</v>
          </cell>
          <cell r="N32">
            <v>0.35459825871731049</v>
          </cell>
          <cell r="O32">
            <v>0</v>
          </cell>
          <cell r="P32">
            <v>0</v>
          </cell>
        </row>
        <row r="33">
          <cell r="A33" t="str">
            <v>F60</v>
          </cell>
          <cell r="F33">
            <v>0.72048281319090746</v>
          </cell>
          <cell r="G33">
            <v>0.10158255134880706</v>
          </cell>
          <cell r="H33">
            <v>1.2945246527512434E-2</v>
          </cell>
          <cell r="I33">
            <v>0</v>
          </cell>
          <cell r="J33">
            <v>2.8234238963182338E-2</v>
          </cell>
          <cell r="K33">
            <v>1.0834227998598992E-2</v>
          </cell>
          <cell r="L33">
            <v>2.2551642240006956E-3</v>
          </cell>
          <cell r="M33">
            <v>5.2543511729643123E-4</v>
          </cell>
          <cell r="N33">
            <v>0.12054617923665066</v>
          </cell>
          <cell r="O33">
            <v>1.2970716965219466E-3</v>
          </cell>
          <cell r="P33">
            <v>1.2970716965219466E-3</v>
          </cell>
        </row>
        <row r="34">
          <cell r="A34" t="str">
            <v>F70</v>
          </cell>
          <cell r="F34">
            <v>0.81367660738756753</v>
          </cell>
          <cell r="G34">
            <v>6.3735743264090428E-2</v>
          </cell>
          <cell r="H34">
            <v>4.8674104629329281E-3</v>
          </cell>
          <cell r="I34">
            <v>0</v>
          </cell>
          <cell r="J34">
            <v>0</v>
          </cell>
          <cell r="K34">
            <v>0</v>
          </cell>
          <cell r="L34">
            <v>2.8671340330887721E-3</v>
          </cell>
          <cell r="M34">
            <v>6.6801915840436997E-4</v>
          </cell>
          <cell r="N34">
            <v>0.11418508569391581</v>
          </cell>
          <cell r="O34">
            <v>0</v>
          </cell>
          <cell r="P34">
            <v>0</v>
          </cell>
        </row>
        <row r="35">
          <cell r="A35" t="str">
            <v>F80</v>
          </cell>
          <cell r="F35">
            <v>0.6985631611281452</v>
          </cell>
          <cell r="G35">
            <v>0.14629509563781565</v>
          </cell>
          <cell r="H35">
            <v>4.1221033137497053E-2</v>
          </cell>
          <cell r="I35">
            <v>0</v>
          </cell>
          <cell r="J35">
            <v>7.5633118692552015E-2</v>
          </cell>
          <cell r="K35">
            <v>-5.3853309135974746E-4</v>
          </cell>
          <cell r="L35">
            <v>0</v>
          </cell>
          <cell r="M35">
            <v>0</v>
          </cell>
          <cell r="N35">
            <v>3.8826124495349855E-2</v>
          </cell>
          <cell r="O35">
            <v>0</v>
          </cell>
          <cell r="P35">
            <v>0</v>
          </cell>
        </row>
        <row r="36">
          <cell r="A36" t="str">
            <v>F101</v>
          </cell>
          <cell r="F36">
            <v>9.0909090909090912E-2</v>
          </cell>
          <cell r="G36">
            <v>9.0909090909090912E-2</v>
          </cell>
          <cell r="H36">
            <v>9.0909090909090912E-2</v>
          </cell>
          <cell r="I36">
            <v>9.0909090909090912E-2</v>
          </cell>
          <cell r="J36">
            <v>9.0909090909090912E-2</v>
          </cell>
          <cell r="K36">
            <v>9.0909090909090912E-2</v>
          </cell>
          <cell r="L36">
            <v>9.0909090909090912E-2</v>
          </cell>
          <cell r="M36">
            <v>9.0909090909090912E-2</v>
          </cell>
          <cell r="N36">
            <v>9.0909090909090912E-2</v>
          </cell>
          <cell r="O36">
            <v>9.0909090909090912E-2</v>
          </cell>
          <cell r="P36">
            <v>9.0909090909090912E-2</v>
          </cell>
        </row>
        <row r="37">
          <cell r="A37" t="str">
            <v>F101P</v>
          </cell>
          <cell r="F37">
            <v>9.0909090909090912E-2</v>
          </cell>
          <cell r="G37">
            <v>9.0909090909090912E-2</v>
          </cell>
          <cell r="H37">
            <v>9.0909090909090912E-2</v>
          </cell>
          <cell r="I37">
            <v>9.0909090909090912E-2</v>
          </cell>
          <cell r="J37">
            <v>9.0909090909090912E-2</v>
          </cell>
          <cell r="K37">
            <v>9.0909090909090912E-2</v>
          </cell>
          <cell r="L37">
            <v>9.0909090909090912E-2</v>
          </cell>
          <cell r="M37">
            <v>9.0909090909090912E-2</v>
          </cell>
          <cell r="N37">
            <v>9.0909090909090912E-2</v>
          </cell>
          <cell r="O37">
            <v>9.0909090909090912E-2</v>
          </cell>
          <cell r="P37">
            <v>9.0909090909090912E-2</v>
          </cell>
        </row>
        <row r="38">
          <cell r="A38" t="str">
            <v>F101T</v>
          </cell>
          <cell r="F38">
            <v>9.0909090909090912E-2</v>
          </cell>
          <cell r="G38">
            <v>9.0909090909090912E-2</v>
          </cell>
          <cell r="H38">
            <v>9.0909090909090912E-2</v>
          </cell>
          <cell r="I38">
            <v>9.0909090909090912E-2</v>
          </cell>
          <cell r="J38">
            <v>9.0909090909090912E-2</v>
          </cell>
          <cell r="K38">
            <v>9.0909090909090912E-2</v>
          </cell>
          <cell r="L38">
            <v>9.0909090909090912E-2</v>
          </cell>
          <cell r="M38">
            <v>9.0909090909090912E-2</v>
          </cell>
          <cell r="N38">
            <v>9.0909090909090912E-2</v>
          </cell>
          <cell r="O38">
            <v>9.0909090909090912E-2</v>
          </cell>
          <cell r="P38">
            <v>9.0909090909090912E-2</v>
          </cell>
        </row>
        <row r="39">
          <cell r="A39" t="str">
            <v>F101D</v>
          </cell>
          <cell r="F39">
            <v>9.0909090909090912E-2</v>
          </cell>
          <cell r="G39">
            <v>9.0909090909090912E-2</v>
          </cell>
          <cell r="H39">
            <v>9.0909090909090912E-2</v>
          </cell>
          <cell r="I39">
            <v>9.0909090909090912E-2</v>
          </cell>
          <cell r="J39">
            <v>9.0909090909090912E-2</v>
          </cell>
          <cell r="K39">
            <v>9.0909090909090912E-2</v>
          </cell>
          <cell r="L39">
            <v>9.0909090909090912E-2</v>
          </cell>
          <cell r="M39">
            <v>9.0909090909090912E-2</v>
          </cell>
          <cell r="N39">
            <v>9.0909090909090912E-2</v>
          </cell>
          <cell r="O39">
            <v>9.0909090909090912E-2</v>
          </cell>
          <cell r="P39">
            <v>9.0909090909090912E-2</v>
          </cell>
        </row>
        <row r="40">
          <cell r="A40" t="str">
            <v>F101R</v>
          </cell>
          <cell r="F40">
            <v>9.0909090909090912E-2</v>
          </cell>
          <cell r="G40">
            <v>9.0909090909090912E-2</v>
          </cell>
          <cell r="H40">
            <v>9.0909090909090912E-2</v>
          </cell>
          <cell r="I40">
            <v>9.0909090909090912E-2</v>
          </cell>
          <cell r="J40">
            <v>9.0909090909090912E-2</v>
          </cell>
          <cell r="K40">
            <v>9.0909090909090912E-2</v>
          </cell>
          <cell r="L40">
            <v>9.0909090909090912E-2</v>
          </cell>
          <cell r="M40">
            <v>9.0909090909090912E-2</v>
          </cell>
          <cell r="N40">
            <v>9.0909090909090912E-2</v>
          </cell>
          <cell r="O40">
            <v>9.0909090909090912E-2</v>
          </cell>
          <cell r="P40">
            <v>9.0909090909090912E-2</v>
          </cell>
        </row>
        <row r="41">
          <cell r="A41" t="str">
            <v>F101M</v>
          </cell>
          <cell r="F41">
            <v>9.0909090909090912E-2</v>
          </cell>
          <cell r="G41">
            <v>9.0909090909090912E-2</v>
          </cell>
          <cell r="H41">
            <v>9.0909090909090912E-2</v>
          </cell>
          <cell r="I41">
            <v>9.0909090909090912E-2</v>
          </cell>
          <cell r="J41">
            <v>9.0909090909090912E-2</v>
          </cell>
          <cell r="K41">
            <v>9.0909090909090912E-2</v>
          </cell>
          <cell r="L41">
            <v>9.0909090909090912E-2</v>
          </cell>
          <cell r="M41">
            <v>9.0909090909090912E-2</v>
          </cell>
          <cell r="N41">
            <v>9.0909090909090912E-2</v>
          </cell>
          <cell r="O41">
            <v>9.0909090909090912E-2</v>
          </cell>
          <cell r="P41">
            <v>9.0909090909090912E-2</v>
          </cell>
        </row>
        <row r="42">
          <cell r="A42" t="str">
            <v>F102</v>
          </cell>
          <cell r="F42">
            <v>9.0909090909090912E-2</v>
          </cell>
          <cell r="G42">
            <v>9.0909090909090912E-2</v>
          </cell>
          <cell r="H42">
            <v>9.0909090909090912E-2</v>
          </cell>
          <cell r="I42">
            <v>9.0909090909090912E-2</v>
          </cell>
          <cell r="J42">
            <v>9.0909090909090912E-2</v>
          </cell>
          <cell r="K42">
            <v>9.0909090909090912E-2</v>
          </cell>
          <cell r="L42">
            <v>9.0909090909090912E-2</v>
          </cell>
          <cell r="M42">
            <v>9.0909090909090912E-2</v>
          </cell>
          <cell r="N42">
            <v>9.0909090909090912E-2</v>
          </cell>
          <cell r="O42">
            <v>9.0909090909090912E-2</v>
          </cell>
          <cell r="P42">
            <v>9.0909090909090912E-2</v>
          </cell>
        </row>
        <row r="43">
          <cell r="A43" t="str">
            <v>F102P</v>
          </cell>
          <cell r="F43">
            <v>9.0909090909090912E-2</v>
          </cell>
          <cell r="G43">
            <v>9.0909090909090912E-2</v>
          </cell>
          <cell r="H43">
            <v>9.0909090909090912E-2</v>
          </cell>
          <cell r="I43">
            <v>9.0909090909090912E-2</v>
          </cell>
          <cell r="J43">
            <v>9.0909090909090912E-2</v>
          </cell>
          <cell r="K43">
            <v>9.0909090909090912E-2</v>
          </cell>
          <cell r="L43">
            <v>9.0909090909090912E-2</v>
          </cell>
          <cell r="M43">
            <v>9.0909090909090912E-2</v>
          </cell>
          <cell r="N43">
            <v>9.0909090909090912E-2</v>
          </cell>
          <cell r="O43">
            <v>9.0909090909090912E-2</v>
          </cell>
          <cell r="P43">
            <v>9.0909090909090912E-2</v>
          </cell>
        </row>
        <row r="44">
          <cell r="A44" t="str">
            <v>F102T</v>
          </cell>
          <cell r="F44">
            <v>9.0909090909090912E-2</v>
          </cell>
          <cell r="G44">
            <v>9.0909090909090912E-2</v>
          </cell>
          <cell r="H44">
            <v>9.0909090909090912E-2</v>
          </cell>
          <cell r="I44">
            <v>9.0909090909090912E-2</v>
          </cell>
          <cell r="J44">
            <v>9.0909090909090912E-2</v>
          </cell>
          <cell r="K44">
            <v>9.0909090909090912E-2</v>
          </cell>
          <cell r="L44">
            <v>9.0909090909090912E-2</v>
          </cell>
          <cell r="M44">
            <v>9.0909090909090912E-2</v>
          </cell>
          <cell r="N44">
            <v>9.0909090909090912E-2</v>
          </cell>
          <cell r="O44">
            <v>9.0909090909090912E-2</v>
          </cell>
          <cell r="P44">
            <v>9.0909090909090912E-2</v>
          </cell>
        </row>
        <row r="45">
          <cell r="A45" t="str">
            <v>F102D</v>
          </cell>
          <cell r="F45">
            <v>9.0909090909090912E-2</v>
          </cell>
          <cell r="G45">
            <v>9.0909090909090912E-2</v>
          </cell>
          <cell r="H45">
            <v>9.0909090909090912E-2</v>
          </cell>
          <cell r="I45">
            <v>9.0909090909090912E-2</v>
          </cell>
          <cell r="J45">
            <v>9.0909090909090912E-2</v>
          </cell>
          <cell r="K45">
            <v>9.0909090909090912E-2</v>
          </cell>
          <cell r="L45">
            <v>9.0909090909090912E-2</v>
          </cell>
          <cell r="M45">
            <v>9.0909090909090912E-2</v>
          </cell>
          <cell r="N45">
            <v>9.0909090909090912E-2</v>
          </cell>
          <cell r="O45">
            <v>9.0909090909090912E-2</v>
          </cell>
          <cell r="P45">
            <v>9.0909090909090912E-2</v>
          </cell>
        </row>
        <row r="46">
          <cell r="A46" t="str">
            <v>F102R</v>
          </cell>
          <cell r="F46">
            <v>9.0909090909090912E-2</v>
          </cell>
          <cell r="G46">
            <v>9.0909090909090912E-2</v>
          </cell>
          <cell r="H46">
            <v>9.0909090909090912E-2</v>
          </cell>
          <cell r="I46">
            <v>9.0909090909090912E-2</v>
          </cell>
          <cell r="J46">
            <v>9.0909090909090912E-2</v>
          </cell>
          <cell r="K46">
            <v>9.0909090909090912E-2</v>
          </cell>
          <cell r="L46">
            <v>9.0909090909090912E-2</v>
          </cell>
          <cell r="M46">
            <v>9.0909090909090912E-2</v>
          </cell>
          <cell r="N46">
            <v>9.0909090909090912E-2</v>
          </cell>
          <cell r="O46">
            <v>9.0909090909090912E-2</v>
          </cell>
          <cell r="P46">
            <v>9.0909090909090912E-2</v>
          </cell>
        </row>
        <row r="47">
          <cell r="A47" t="str">
            <v>F102M</v>
          </cell>
          <cell r="F47">
            <v>9.0909090909090912E-2</v>
          </cell>
          <cell r="G47">
            <v>9.0909090909090912E-2</v>
          </cell>
          <cell r="H47">
            <v>9.0909090909090912E-2</v>
          </cell>
          <cell r="I47">
            <v>9.0909090909090912E-2</v>
          </cell>
          <cell r="J47">
            <v>9.0909090909090912E-2</v>
          </cell>
          <cell r="K47">
            <v>9.0909090909090912E-2</v>
          </cell>
          <cell r="L47">
            <v>9.0909090909090912E-2</v>
          </cell>
          <cell r="M47">
            <v>9.0909090909090912E-2</v>
          </cell>
          <cell r="N47">
            <v>9.0909090909090912E-2</v>
          </cell>
          <cell r="O47">
            <v>9.0909090909090912E-2</v>
          </cell>
          <cell r="P47">
            <v>9.0909090909090912E-2</v>
          </cell>
        </row>
        <row r="48">
          <cell r="A48" t="str">
            <v>F103</v>
          </cell>
          <cell r="F48">
            <v>0.33333333333333331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0.33333333333333331</v>
          </cell>
          <cell r="L48">
            <v>0</v>
          </cell>
          <cell r="M48">
            <v>0</v>
          </cell>
          <cell r="N48">
            <v>0.33333333333333331</v>
          </cell>
          <cell r="O48">
            <v>0</v>
          </cell>
          <cell r="P48">
            <v>0</v>
          </cell>
        </row>
        <row r="49">
          <cell r="A49" t="str">
            <v>F104</v>
          </cell>
          <cell r="F49">
            <v>9.0909090909090912E-2</v>
          </cell>
          <cell r="G49">
            <v>9.0909090909090912E-2</v>
          </cell>
          <cell r="H49">
            <v>9.0909090909090912E-2</v>
          </cell>
          <cell r="I49">
            <v>9.0909090909090912E-2</v>
          </cell>
          <cell r="J49">
            <v>9.0909090909090912E-2</v>
          </cell>
          <cell r="K49">
            <v>9.0909090909090912E-2</v>
          </cell>
          <cell r="L49">
            <v>9.0909090909090912E-2</v>
          </cell>
          <cell r="M49">
            <v>9.0909090909090912E-2</v>
          </cell>
          <cell r="N49">
            <v>9.0909090909090912E-2</v>
          </cell>
          <cell r="O49">
            <v>9.0909090909090912E-2</v>
          </cell>
          <cell r="P49">
            <v>9.0909090909090912E-2</v>
          </cell>
        </row>
        <row r="50">
          <cell r="A50" t="str">
            <v>F104P</v>
          </cell>
          <cell r="F50">
            <v>9.0909090909090912E-2</v>
          </cell>
          <cell r="G50">
            <v>9.0909090909090912E-2</v>
          </cell>
          <cell r="H50">
            <v>9.0909090909090912E-2</v>
          </cell>
          <cell r="I50">
            <v>9.0909090909090912E-2</v>
          </cell>
          <cell r="J50">
            <v>9.0909090909090912E-2</v>
          </cell>
          <cell r="K50">
            <v>9.0909090909090912E-2</v>
          </cell>
          <cell r="L50">
            <v>9.0909090909090912E-2</v>
          </cell>
          <cell r="M50">
            <v>9.0909090909090912E-2</v>
          </cell>
          <cell r="N50">
            <v>9.0909090909090912E-2</v>
          </cell>
          <cell r="O50">
            <v>9.0909090909090912E-2</v>
          </cell>
          <cell r="P50">
            <v>9.0909090909090912E-2</v>
          </cell>
        </row>
        <row r="51">
          <cell r="A51" t="str">
            <v>F104T</v>
          </cell>
          <cell r="F51">
            <v>9.0909090909090912E-2</v>
          </cell>
          <cell r="G51">
            <v>9.0909090909090912E-2</v>
          </cell>
          <cell r="H51">
            <v>9.0909090909090912E-2</v>
          </cell>
          <cell r="I51">
            <v>9.0909090909090912E-2</v>
          </cell>
          <cell r="J51">
            <v>9.0909090909090912E-2</v>
          </cell>
          <cell r="K51">
            <v>9.0909090909090912E-2</v>
          </cell>
          <cell r="L51">
            <v>9.0909090909090912E-2</v>
          </cell>
          <cell r="M51">
            <v>9.0909090909090912E-2</v>
          </cell>
          <cell r="N51">
            <v>9.0909090909090912E-2</v>
          </cell>
          <cell r="O51">
            <v>9.0909090909090912E-2</v>
          </cell>
          <cell r="P51">
            <v>9.0909090909090912E-2</v>
          </cell>
        </row>
        <row r="52">
          <cell r="A52" t="str">
            <v>F104D</v>
          </cell>
          <cell r="F52">
            <v>9.0909090909090912E-2</v>
          </cell>
          <cell r="G52">
            <v>9.0909090909090912E-2</v>
          </cell>
          <cell r="H52">
            <v>9.0909090909090912E-2</v>
          </cell>
          <cell r="I52">
            <v>9.0909090909090912E-2</v>
          </cell>
          <cell r="J52">
            <v>9.0909090909090912E-2</v>
          </cell>
          <cell r="K52">
            <v>9.0909090909090912E-2</v>
          </cell>
          <cell r="L52">
            <v>9.0909090909090912E-2</v>
          </cell>
          <cell r="M52">
            <v>9.0909090909090912E-2</v>
          </cell>
          <cell r="N52">
            <v>9.0909090909090912E-2</v>
          </cell>
          <cell r="O52">
            <v>9.0909090909090912E-2</v>
          </cell>
          <cell r="P52">
            <v>9.0909090909090912E-2</v>
          </cell>
        </row>
        <row r="53">
          <cell r="A53" t="str">
            <v>F104R</v>
          </cell>
          <cell r="F53">
            <v>9.0909090909090912E-2</v>
          </cell>
          <cell r="G53">
            <v>9.0909090909090912E-2</v>
          </cell>
          <cell r="H53">
            <v>9.0909090909090912E-2</v>
          </cell>
          <cell r="I53">
            <v>9.0909090909090912E-2</v>
          </cell>
          <cell r="J53">
            <v>9.0909090909090912E-2</v>
          </cell>
          <cell r="K53">
            <v>9.0909090909090912E-2</v>
          </cell>
          <cell r="L53">
            <v>9.0909090909090912E-2</v>
          </cell>
          <cell r="M53">
            <v>9.0909090909090912E-2</v>
          </cell>
          <cell r="N53">
            <v>9.0909090909090912E-2</v>
          </cell>
          <cell r="O53">
            <v>9.0909090909090912E-2</v>
          </cell>
          <cell r="P53">
            <v>9.0909090909090912E-2</v>
          </cell>
        </row>
        <row r="54">
          <cell r="A54" t="str">
            <v>F104M</v>
          </cell>
          <cell r="F54">
            <v>9.0909090909090912E-2</v>
          </cell>
          <cell r="G54">
            <v>9.0909090909090912E-2</v>
          </cell>
          <cell r="H54">
            <v>9.0909090909090912E-2</v>
          </cell>
          <cell r="I54">
            <v>9.0909090909090912E-2</v>
          </cell>
          <cell r="J54">
            <v>9.0909090909090912E-2</v>
          </cell>
          <cell r="K54">
            <v>9.0909090909090912E-2</v>
          </cell>
          <cell r="L54">
            <v>9.0909090909090912E-2</v>
          </cell>
          <cell r="M54">
            <v>9.0909090909090912E-2</v>
          </cell>
          <cell r="N54">
            <v>9.0909090909090912E-2</v>
          </cell>
          <cell r="O54">
            <v>9.0909090909090912E-2</v>
          </cell>
          <cell r="P54">
            <v>9.0909090909090912E-2</v>
          </cell>
        </row>
        <row r="55">
          <cell r="A55" t="str">
            <v>F105</v>
          </cell>
          <cell r="F55">
            <v>9.0909090909090912E-2</v>
          </cell>
          <cell r="G55">
            <v>9.0909090909090912E-2</v>
          </cell>
          <cell r="H55">
            <v>9.0909090909090912E-2</v>
          </cell>
          <cell r="I55">
            <v>9.0909090909090912E-2</v>
          </cell>
          <cell r="J55">
            <v>9.0909090909090912E-2</v>
          </cell>
          <cell r="K55">
            <v>9.0909090909090912E-2</v>
          </cell>
          <cell r="L55">
            <v>9.0909090909090912E-2</v>
          </cell>
          <cell r="M55">
            <v>9.0909090909090912E-2</v>
          </cell>
          <cell r="N55">
            <v>9.0909090909090912E-2</v>
          </cell>
          <cell r="O55">
            <v>9.0909090909090912E-2</v>
          </cell>
          <cell r="P55">
            <v>9.0909090909090912E-2</v>
          </cell>
        </row>
        <row r="56">
          <cell r="A56" t="str">
            <v>F105P</v>
          </cell>
          <cell r="F56">
            <v>9.0909090909090912E-2</v>
          </cell>
          <cell r="G56">
            <v>9.0909090909090912E-2</v>
          </cell>
          <cell r="H56">
            <v>9.0909090909090912E-2</v>
          </cell>
          <cell r="I56">
            <v>9.0909090909090912E-2</v>
          </cell>
          <cell r="J56">
            <v>9.0909090909090912E-2</v>
          </cell>
          <cell r="K56">
            <v>9.0909090909090912E-2</v>
          </cell>
          <cell r="L56">
            <v>9.0909090909090912E-2</v>
          </cell>
          <cell r="M56">
            <v>9.0909090909090912E-2</v>
          </cell>
          <cell r="N56">
            <v>9.0909090909090912E-2</v>
          </cell>
          <cell r="O56">
            <v>9.0909090909090912E-2</v>
          </cell>
          <cell r="P56">
            <v>9.0909090909090912E-2</v>
          </cell>
        </row>
        <row r="57">
          <cell r="A57" t="str">
            <v>F105T</v>
          </cell>
          <cell r="F57">
            <v>9.0909090909090912E-2</v>
          </cell>
          <cell r="G57">
            <v>9.0909090909090912E-2</v>
          </cell>
          <cell r="H57">
            <v>9.0909090909090912E-2</v>
          </cell>
          <cell r="I57">
            <v>9.0909090909090912E-2</v>
          </cell>
          <cell r="J57">
            <v>9.0909090909090912E-2</v>
          </cell>
          <cell r="K57">
            <v>9.0909090909090912E-2</v>
          </cell>
          <cell r="L57">
            <v>9.0909090909090912E-2</v>
          </cell>
          <cell r="M57">
            <v>9.0909090909090912E-2</v>
          </cell>
          <cell r="N57">
            <v>9.0909090909090912E-2</v>
          </cell>
          <cell r="O57">
            <v>9.0909090909090912E-2</v>
          </cell>
          <cell r="P57">
            <v>9.0909090909090912E-2</v>
          </cell>
        </row>
        <row r="58">
          <cell r="A58" t="str">
            <v>F105D</v>
          </cell>
          <cell r="F58">
            <v>9.0909090909090912E-2</v>
          </cell>
          <cell r="G58">
            <v>9.0909090909090912E-2</v>
          </cell>
          <cell r="H58">
            <v>9.0909090909090912E-2</v>
          </cell>
          <cell r="I58">
            <v>9.0909090909090912E-2</v>
          </cell>
          <cell r="J58">
            <v>9.0909090909090912E-2</v>
          </cell>
          <cell r="K58">
            <v>9.0909090909090912E-2</v>
          </cell>
          <cell r="L58">
            <v>9.0909090909090912E-2</v>
          </cell>
          <cell r="M58">
            <v>9.0909090909090912E-2</v>
          </cell>
          <cell r="N58">
            <v>9.0909090909090912E-2</v>
          </cell>
          <cell r="O58">
            <v>9.0909090909090912E-2</v>
          </cell>
          <cell r="P58">
            <v>9.0909090909090912E-2</v>
          </cell>
        </row>
        <row r="59">
          <cell r="A59" t="str">
            <v>F105R</v>
          </cell>
          <cell r="F59">
            <v>9.0909090909090912E-2</v>
          </cell>
          <cell r="G59">
            <v>9.0909090909090912E-2</v>
          </cell>
          <cell r="H59">
            <v>9.0909090909090912E-2</v>
          </cell>
          <cell r="I59">
            <v>9.0909090909090912E-2</v>
          </cell>
          <cell r="J59">
            <v>9.0909090909090912E-2</v>
          </cell>
          <cell r="K59">
            <v>9.0909090909090912E-2</v>
          </cell>
          <cell r="L59">
            <v>9.0909090909090912E-2</v>
          </cell>
          <cell r="M59">
            <v>9.0909090909090912E-2</v>
          </cell>
          <cell r="N59">
            <v>9.0909090909090912E-2</v>
          </cell>
          <cell r="O59">
            <v>9.0909090909090912E-2</v>
          </cell>
          <cell r="P59">
            <v>9.0909090909090912E-2</v>
          </cell>
        </row>
        <row r="60">
          <cell r="A60" t="str">
            <v>F105M</v>
          </cell>
          <cell r="F60">
            <v>9.0909090909090912E-2</v>
          </cell>
          <cell r="G60">
            <v>9.0909090909090912E-2</v>
          </cell>
          <cell r="H60">
            <v>9.0909090909090912E-2</v>
          </cell>
          <cell r="I60">
            <v>9.0909090909090912E-2</v>
          </cell>
          <cell r="J60">
            <v>9.0909090909090912E-2</v>
          </cell>
          <cell r="K60">
            <v>9.0909090909090912E-2</v>
          </cell>
          <cell r="L60">
            <v>9.0909090909090912E-2</v>
          </cell>
          <cell r="M60">
            <v>9.0909090909090912E-2</v>
          </cell>
          <cell r="N60">
            <v>9.0909090909090912E-2</v>
          </cell>
          <cell r="O60">
            <v>9.0909090909090912E-2</v>
          </cell>
          <cell r="P60">
            <v>9.0909090909090912E-2</v>
          </cell>
        </row>
        <row r="61">
          <cell r="A61" t="str">
            <v>F106</v>
          </cell>
          <cell r="F61">
            <v>9.0909090909090912E-2</v>
          </cell>
          <cell r="G61">
            <v>9.0909090909090912E-2</v>
          </cell>
          <cell r="H61">
            <v>9.0909090909090912E-2</v>
          </cell>
          <cell r="I61">
            <v>9.0909090909090912E-2</v>
          </cell>
          <cell r="J61">
            <v>9.0909090909090912E-2</v>
          </cell>
          <cell r="K61">
            <v>9.0909090909090912E-2</v>
          </cell>
          <cell r="L61">
            <v>9.0909090909090912E-2</v>
          </cell>
          <cell r="M61">
            <v>9.0909090909090912E-2</v>
          </cell>
          <cell r="N61">
            <v>9.0909090909090912E-2</v>
          </cell>
          <cell r="O61">
            <v>9.0909090909090912E-2</v>
          </cell>
          <cell r="P61">
            <v>9.0909090909090912E-2</v>
          </cell>
        </row>
        <row r="62">
          <cell r="A62" t="str">
            <v>F107</v>
          </cell>
          <cell r="F62">
            <v>9.0909090909090912E-2</v>
          </cell>
          <cell r="G62">
            <v>9.0909090909090912E-2</v>
          </cell>
          <cell r="H62">
            <v>9.0909090909090912E-2</v>
          </cell>
          <cell r="I62">
            <v>9.0909090909090912E-2</v>
          </cell>
          <cell r="J62">
            <v>9.0909090909090912E-2</v>
          </cell>
          <cell r="K62">
            <v>9.0909090909090912E-2</v>
          </cell>
          <cell r="L62">
            <v>9.0909090909090912E-2</v>
          </cell>
          <cell r="M62">
            <v>9.0909090909090912E-2</v>
          </cell>
          <cell r="N62">
            <v>9.0909090909090912E-2</v>
          </cell>
          <cell r="O62">
            <v>9.0909090909090912E-2</v>
          </cell>
          <cell r="P62">
            <v>9.0909090909090912E-2</v>
          </cell>
        </row>
        <row r="63">
          <cell r="A63" t="str">
            <v>F107P</v>
          </cell>
          <cell r="F63">
            <v>0.35813996172964163</v>
          </cell>
          <cell r="G63">
            <v>0.2715254646558789</v>
          </cell>
          <cell r="H63">
            <v>7.9772204472460168E-2</v>
          </cell>
          <cell r="I63">
            <v>1.0735125251442031E-3</v>
          </cell>
          <cell r="J63">
            <v>0.1781748978613765</v>
          </cell>
          <cell r="K63">
            <v>8.3959257178266664E-3</v>
          </cell>
          <cell r="L63">
            <v>2.8224092378510452E-4</v>
          </cell>
          <cell r="M63">
            <v>3.6376898047443145E-4</v>
          </cell>
          <cell r="N63">
            <v>6.3135270608976932E-2</v>
          </cell>
          <cell r="O63">
            <v>2.220626474651154E-2</v>
          </cell>
          <cell r="P63">
            <v>1.6930487777923855E-2</v>
          </cell>
        </row>
        <row r="64">
          <cell r="A64" t="str">
            <v>F107T</v>
          </cell>
          <cell r="F64">
            <v>9.0909090909090912E-2</v>
          </cell>
          <cell r="G64">
            <v>9.0909090909090912E-2</v>
          </cell>
          <cell r="H64">
            <v>9.0909090909090912E-2</v>
          </cell>
          <cell r="I64">
            <v>9.0909090909090912E-2</v>
          </cell>
          <cell r="J64">
            <v>9.0909090909090912E-2</v>
          </cell>
          <cell r="K64">
            <v>9.0909090909090912E-2</v>
          </cell>
          <cell r="L64">
            <v>9.0909090909090912E-2</v>
          </cell>
          <cell r="M64">
            <v>9.0909090909090912E-2</v>
          </cell>
          <cell r="N64">
            <v>9.0909090909090912E-2</v>
          </cell>
          <cell r="O64">
            <v>9.0909090909090912E-2</v>
          </cell>
          <cell r="P64">
            <v>9.0909090909090912E-2</v>
          </cell>
        </row>
        <row r="65">
          <cell r="A65" t="str">
            <v>F107D</v>
          </cell>
          <cell r="F65">
            <v>9.0909090909090912E-2</v>
          </cell>
          <cell r="G65">
            <v>9.0909090909090912E-2</v>
          </cell>
          <cell r="H65">
            <v>9.0909090909090912E-2</v>
          </cell>
          <cell r="I65">
            <v>9.0909090909090912E-2</v>
          </cell>
          <cell r="J65">
            <v>9.0909090909090912E-2</v>
          </cell>
          <cell r="K65">
            <v>9.0909090909090912E-2</v>
          </cell>
          <cell r="L65">
            <v>9.0909090909090912E-2</v>
          </cell>
          <cell r="M65">
            <v>9.0909090909090912E-2</v>
          </cell>
          <cell r="N65">
            <v>9.0909090909090912E-2</v>
          </cell>
          <cell r="O65">
            <v>9.0909090909090912E-2</v>
          </cell>
          <cell r="P65">
            <v>9.0909090909090912E-2</v>
          </cell>
        </row>
        <row r="66">
          <cell r="A66" t="str">
            <v>F107R</v>
          </cell>
          <cell r="F66">
            <v>9.0909090909090912E-2</v>
          </cell>
          <cell r="G66">
            <v>9.0909090909090912E-2</v>
          </cell>
          <cell r="H66">
            <v>9.0909090909090912E-2</v>
          </cell>
          <cell r="I66">
            <v>9.0909090909090912E-2</v>
          </cell>
          <cell r="J66">
            <v>9.0909090909090912E-2</v>
          </cell>
          <cell r="K66">
            <v>9.0909090909090912E-2</v>
          </cell>
          <cell r="L66">
            <v>9.0909090909090912E-2</v>
          </cell>
          <cell r="M66">
            <v>9.0909090909090912E-2</v>
          </cell>
          <cell r="N66">
            <v>9.0909090909090912E-2</v>
          </cell>
          <cell r="O66">
            <v>9.0909090909090912E-2</v>
          </cell>
          <cell r="P66">
            <v>9.0909090909090912E-2</v>
          </cell>
        </row>
        <row r="67">
          <cell r="A67" t="str">
            <v>F107M</v>
          </cell>
          <cell r="F67">
            <v>9.0909090909090912E-2</v>
          </cell>
          <cell r="G67">
            <v>9.0909090909090912E-2</v>
          </cell>
          <cell r="H67">
            <v>9.0909090909090912E-2</v>
          </cell>
          <cell r="I67">
            <v>9.0909090909090912E-2</v>
          </cell>
          <cell r="J67">
            <v>9.0909090909090912E-2</v>
          </cell>
          <cell r="K67">
            <v>9.0909090909090912E-2</v>
          </cell>
          <cell r="L67">
            <v>9.0909090909090912E-2</v>
          </cell>
          <cell r="M67">
            <v>9.0909090909090912E-2</v>
          </cell>
          <cell r="N67">
            <v>9.0909090909090912E-2</v>
          </cell>
          <cell r="O67">
            <v>9.0909090909090912E-2</v>
          </cell>
          <cell r="P67">
            <v>9.0909090909090912E-2</v>
          </cell>
        </row>
        <row r="68">
          <cell r="A68" t="str">
            <v>F108</v>
          </cell>
          <cell r="F68">
            <v>0.11302134619049302</v>
          </cell>
          <cell r="G68">
            <v>0.10116123670226794</v>
          </cell>
          <cell r="H68">
            <v>8.9648095001355677E-2</v>
          </cell>
          <cell r="I68">
            <v>8.4490927805247543E-2</v>
          </cell>
          <cell r="J68">
            <v>9.6991574451587251E-2</v>
          </cell>
          <cell r="K68">
            <v>8.4915651928255745E-2</v>
          </cell>
          <cell r="L68">
            <v>8.4317098372298574E-2</v>
          </cell>
          <cell r="M68">
            <v>8.431560916121017E-2</v>
          </cell>
          <cell r="N68">
            <v>8.9197034587915322E-2</v>
          </cell>
          <cell r="O68">
            <v>8.5870793026962683E-2</v>
          </cell>
          <cell r="P68">
            <v>8.6070632772406105E-2</v>
          </cell>
        </row>
        <row r="69">
          <cell r="A69" t="str">
            <v>F108P</v>
          </cell>
          <cell r="F69">
            <v>0.13752757873925262</v>
          </cell>
          <cell r="G69">
            <v>0.13137149879521551</v>
          </cell>
          <cell r="H69">
            <v>9.026907054917066E-2</v>
          </cell>
          <cell r="I69">
            <v>7.1119876344355043E-2</v>
          </cell>
          <cell r="J69">
            <v>0.11714721959482845</v>
          </cell>
          <cell r="K69">
            <v>7.2877767776211938E-2</v>
          </cell>
          <cell r="L69">
            <v>7.0702376729950459E-2</v>
          </cell>
          <cell r="M69">
            <v>7.0781168978266279E-2</v>
          </cell>
          <cell r="N69">
            <v>8.4417190146755888E-2</v>
          </cell>
          <cell r="O69">
            <v>7.6496451963605203E-2</v>
          </cell>
          <cell r="P69">
            <v>7.7289800382387933E-2</v>
          </cell>
        </row>
        <row r="70">
          <cell r="A70" t="str">
            <v>F108T</v>
          </cell>
          <cell r="F70">
            <v>9.2533150632247443E-2</v>
          </cell>
          <cell r="G70">
            <v>9.200676266027763E-2</v>
          </cell>
          <cell r="H70">
            <v>9.0841407977670749E-2</v>
          </cell>
          <cell r="I70">
            <v>9.0363127248111769E-2</v>
          </cell>
          <cell r="J70">
            <v>9.1439437129363976E-2</v>
          </cell>
          <cell r="K70">
            <v>9.0407628230749076E-2</v>
          </cell>
          <cell r="L70">
            <v>9.0358318401237522E-2</v>
          </cell>
          <cell r="M70">
            <v>9.0358813877051289E-2</v>
          </cell>
          <cell r="N70">
            <v>9.0740299246776249E-2</v>
          </cell>
          <cell r="O70">
            <v>9.0491558711201278E-2</v>
          </cell>
          <cell r="P70">
            <v>9.0459495885313185E-2</v>
          </cell>
        </row>
        <row r="71">
          <cell r="A71" t="str">
            <v>F108D</v>
          </cell>
          <cell r="F71">
            <v>9.0909090909090898E-2</v>
          </cell>
          <cell r="G71">
            <v>9.0909090909090898E-2</v>
          </cell>
          <cell r="H71">
            <v>9.0909090909090898E-2</v>
          </cell>
          <cell r="I71">
            <v>9.0909090909090898E-2</v>
          </cell>
          <cell r="J71">
            <v>9.0909090909090898E-2</v>
          </cell>
          <cell r="K71">
            <v>9.0909090909090898E-2</v>
          </cell>
          <cell r="L71">
            <v>9.0909090909090898E-2</v>
          </cell>
          <cell r="M71">
            <v>9.0909090909090898E-2</v>
          </cell>
          <cell r="N71">
            <v>9.0909090909090898E-2</v>
          </cell>
          <cell r="O71">
            <v>9.0909090909090898E-2</v>
          </cell>
          <cell r="P71">
            <v>9.0909090909090898E-2</v>
          </cell>
        </row>
        <row r="72">
          <cell r="A72" t="str">
            <v>F108R</v>
          </cell>
          <cell r="F72">
            <v>0.87052581258056738</v>
          </cell>
          <cell r="G72">
            <v>1.8007472907809418E-2</v>
          </cell>
          <cell r="H72">
            <v>2.7476967384582166E-4</v>
          </cell>
          <cell r="I72">
            <v>7.7035796472103429E-3</v>
          </cell>
          <cell r="J72">
            <v>8.2906608011306109E-4</v>
          </cell>
          <cell r="K72">
            <v>2.8727789916456184E-3</v>
          </cell>
          <cell r="L72">
            <v>2.4969278903939616E-3</v>
          </cell>
          <cell r="M72">
            <v>5.817641061378764E-4</v>
          </cell>
          <cell r="N72">
            <v>9.6697778836456666E-2</v>
          </cell>
          <cell r="O72">
            <v>5.0246429097761277E-6</v>
          </cell>
          <cell r="P72">
            <v>5.0246429097761277E-6</v>
          </cell>
        </row>
        <row r="73">
          <cell r="A73" t="str">
            <v>F108M</v>
          </cell>
          <cell r="F73">
            <v>9.0909090909090912E-2</v>
          </cell>
          <cell r="G73">
            <v>9.0909090909090912E-2</v>
          </cell>
          <cell r="H73">
            <v>9.0909090909090912E-2</v>
          </cell>
          <cell r="I73">
            <v>9.0909090909090912E-2</v>
          </cell>
          <cell r="J73">
            <v>9.0909090909090912E-2</v>
          </cell>
          <cell r="K73">
            <v>9.0909090909090912E-2</v>
          </cell>
          <cell r="L73">
            <v>9.0909090909090912E-2</v>
          </cell>
          <cell r="M73">
            <v>9.0909090909090912E-2</v>
          </cell>
          <cell r="N73">
            <v>9.0909090909090912E-2</v>
          </cell>
          <cell r="O73">
            <v>9.0909090909090912E-2</v>
          </cell>
          <cell r="P73">
            <v>9.0909090909090912E-2</v>
          </cell>
        </row>
        <row r="74">
          <cell r="A74" t="str">
            <v>F110</v>
          </cell>
          <cell r="F74">
            <v>0.27148896442298642</v>
          </cell>
          <cell r="G74">
            <v>8.4681396598881825E-2</v>
          </cell>
          <cell r="H74">
            <v>7.0946588820706535E-2</v>
          </cell>
          <cell r="I74">
            <v>6.8465786970951806E-2</v>
          </cell>
          <cell r="J74">
            <v>7.613698033667024E-2</v>
          </cell>
          <cell r="K74">
            <v>6.7811785036708469E-2</v>
          </cell>
          <cell r="L74">
            <v>6.7313019760440143E-2</v>
          </cell>
          <cell r="M74">
            <v>6.6907499329526277E-2</v>
          </cell>
          <cell r="N74">
            <v>9.0709178440550348E-2</v>
          </cell>
          <cell r="O74">
            <v>6.7911364260076892E-2</v>
          </cell>
          <cell r="P74">
            <v>6.762743602250107E-2</v>
          </cell>
        </row>
        <row r="75">
          <cell r="A75" t="str">
            <v>F118</v>
          </cell>
          <cell r="F75">
            <v>0.5328943498371429</v>
          </cell>
          <cell r="G75">
            <v>0.29976192279406721</v>
          </cell>
          <cell r="H75">
            <v>7.5251992373267587E-2</v>
          </cell>
          <cell r="I75">
            <v>1.6180521377271928E-4</v>
          </cell>
          <cell r="J75">
            <v>0</v>
          </cell>
          <cell r="K75">
            <v>1.5558443946847883E-2</v>
          </cell>
          <cell r="L75">
            <v>2.3276563992358429E-4</v>
          </cell>
          <cell r="M75">
            <v>6.2434020110106769E-5</v>
          </cell>
          <cell r="N75">
            <v>7.6076286174868044E-2</v>
          </cell>
          <cell r="O75">
            <v>0</v>
          </cell>
          <cell r="P75">
            <v>0</v>
          </cell>
        </row>
        <row r="76">
          <cell r="A76" t="str">
            <v>F119</v>
          </cell>
          <cell r="F76">
            <v>0.5328943498371429</v>
          </cell>
          <cell r="G76">
            <v>0.29976192279406716</v>
          </cell>
          <cell r="H76">
            <v>7.5251992373267573E-2</v>
          </cell>
          <cell r="I76">
            <v>1.6180521377271925E-4</v>
          </cell>
          <cell r="J76">
            <v>0</v>
          </cell>
          <cell r="K76">
            <v>1.555844394684788E-2</v>
          </cell>
          <cell r="L76">
            <v>2.3276563992358424E-4</v>
          </cell>
          <cell r="M76">
            <v>6.2434020110106755E-5</v>
          </cell>
          <cell r="N76">
            <v>7.607628617486803E-2</v>
          </cell>
          <cell r="O76">
            <v>0</v>
          </cell>
          <cell r="P76">
            <v>0</v>
          </cell>
        </row>
        <row r="77">
          <cell r="A77" t="str">
            <v>F120</v>
          </cell>
          <cell r="F77">
            <v>0.5328943498371429</v>
          </cell>
          <cell r="G77">
            <v>0.29976192279406721</v>
          </cell>
          <cell r="H77">
            <v>7.5251992373267573E-2</v>
          </cell>
          <cell r="I77">
            <v>1.6180521377271928E-4</v>
          </cell>
          <cell r="J77">
            <v>0</v>
          </cell>
          <cell r="K77">
            <v>1.5558443946847881E-2</v>
          </cell>
          <cell r="L77">
            <v>2.3276563992358427E-4</v>
          </cell>
          <cell r="M77">
            <v>6.2434020110106769E-5</v>
          </cell>
          <cell r="N77">
            <v>7.6076286174868044E-2</v>
          </cell>
          <cell r="O77">
            <v>0</v>
          </cell>
          <cell r="P77">
            <v>0</v>
          </cell>
        </row>
        <row r="78">
          <cell r="A78" t="str">
            <v>F121</v>
          </cell>
          <cell r="F78">
            <v>9.0909090909090912E-2</v>
          </cell>
          <cell r="G78">
            <v>9.0909090909090912E-2</v>
          </cell>
          <cell r="H78">
            <v>9.0909090909090912E-2</v>
          </cell>
          <cell r="I78">
            <v>9.0909090909090912E-2</v>
          </cell>
          <cell r="J78">
            <v>9.0909090909090912E-2</v>
          </cell>
          <cell r="K78">
            <v>9.0909090909090912E-2</v>
          </cell>
          <cell r="L78">
            <v>9.0909090909090912E-2</v>
          </cell>
          <cell r="M78">
            <v>9.0909090909090912E-2</v>
          </cell>
          <cell r="N78">
            <v>9.0909090909090912E-2</v>
          </cell>
          <cell r="O78">
            <v>9.0909090909090912E-2</v>
          </cell>
          <cell r="P78">
            <v>9.0909090909090912E-2</v>
          </cell>
        </row>
        <row r="79">
          <cell r="A79" t="str">
            <v>F122</v>
          </cell>
          <cell r="F79">
            <v>9.0909090909090912E-2</v>
          </cell>
          <cell r="G79">
            <v>9.0909090909090912E-2</v>
          </cell>
          <cell r="H79">
            <v>9.0909090909090912E-2</v>
          </cell>
          <cell r="I79">
            <v>9.0909090909090912E-2</v>
          </cell>
          <cell r="J79">
            <v>9.0909090909090912E-2</v>
          </cell>
          <cell r="K79">
            <v>9.0909090909090912E-2</v>
          </cell>
          <cell r="L79">
            <v>9.0909090909090912E-2</v>
          </cell>
          <cell r="M79">
            <v>9.0909090909090912E-2</v>
          </cell>
          <cell r="N79">
            <v>9.0909090909090912E-2</v>
          </cell>
          <cell r="O79">
            <v>9.0909090909090912E-2</v>
          </cell>
          <cell r="P79">
            <v>9.0909090909090912E-2</v>
          </cell>
        </row>
        <row r="80">
          <cell r="A80" t="str">
            <v>F123</v>
          </cell>
          <cell r="F80">
            <v>9.0909090909090912E-2</v>
          </cell>
          <cell r="G80">
            <v>9.0909090909090912E-2</v>
          </cell>
          <cell r="H80">
            <v>9.0909090909090912E-2</v>
          </cell>
          <cell r="I80">
            <v>9.0909090909090912E-2</v>
          </cell>
          <cell r="J80">
            <v>9.0909090909090912E-2</v>
          </cell>
          <cell r="K80">
            <v>9.0909090909090912E-2</v>
          </cell>
          <cell r="L80">
            <v>9.0909090909090912E-2</v>
          </cell>
          <cell r="M80">
            <v>9.0909090909090912E-2</v>
          </cell>
          <cell r="N80">
            <v>9.0909090909090912E-2</v>
          </cell>
          <cell r="O80">
            <v>9.0909090909090912E-2</v>
          </cell>
          <cell r="P80">
            <v>9.0909090909090912E-2</v>
          </cell>
        </row>
        <row r="81">
          <cell r="A81" t="str">
            <v>F124</v>
          </cell>
          <cell r="F81">
            <v>9.0909090909090912E-2</v>
          </cell>
          <cell r="G81">
            <v>9.0909090909090912E-2</v>
          </cell>
          <cell r="H81">
            <v>9.0909090909090912E-2</v>
          </cell>
          <cell r="I81">
            <v>9.0909090909090912E-2</v>
          </cell>
          <cell r="J81">
            <v>9.0909090909090912E-2</v>
          </cell>
          <cell r="K81">
            <v>9.0909090909090912E-2</v>
          </cell>
          <cell r="L81">
            <v>9.0909090909090912E-2</v>
          </cell>
          <cell r="M81">
            <v>9.0909090909090912E-2</v>
          </cell>
          <cell r="N81">
            <v>9.0909090909090912E-2</v>
          </cell>
          <cell r="O81">
            <v>9.0909090909090912E-2</v>
          </cell>
          <cell r="P81">
            <v>9.0909090909090912E-2</v>
          </cell>
        </row>
        <row r="82">
          <cell r="A82" t="str">
            <v>F125</v>
          </cell>
          <cell r="F82">
            <v>0.63134227358127437</v>
          </cell>
          <cell r="G82">
            <v>0.23221575368833883</v>
          </cell>
          <cell r="H82">
            <v>2.8456768355703325E-2</v>
          </cell>
          <cell r="I82">
            <v>2.2954503076252943E-3</v>
          </cell>
          <cell r="J82">
            <v>0</v>
          </cell>
          <cell r="K82">
            <v>2.50287624027247E-2</v>
          </cell>
          <cell r="L82">
            <v>1.5689801731709157E-4</v>
          </cell>
          <cell r="M82">
            <v>7.1229157649937112E-4</v>
          </cell>
          <cell r="N82">
            <v>7.9791802070516962E-2</v>
          </cell>
          <cell r="O82">
            <v>0</v>
          </cell>
          <cell r="P82">
            <v>0</v>
          </cell>
        </row>
        <row r="83">
          <cell r="A83" t="str">
            <v>F126</v>
          </cell>
          <cell r="F83">
            <v>0.81367660738756775</v>
          </cell>
          <cell r="G83">
            <v>6.3735743264090441E-2</v>
          </cell>
          <cell r="H83">
            <v>4.8674104629329289E-3</v>
          </cell>
          <cell r="I83">
            <v>0</v>
          </cell>
          <cell r="J83">
            <v>0</v>
          </cell>
          <cell r="K83">
            <v>0</v>
          </cell>
          <cell r="L83">
            <v>2.8671340330887725E-3</v>
          </cell>
          <cell r="M83">
            <v>6.6801915840437008E-4</v>
          </cell>
          <cell r="N83">
            <v>0.11418508569391582</v>
          </cell>
          <cell r="O83">
            <v>0</v>
          </cell>
          <cell r="P83">
            <v>0</v>
          </cell>
        </row>
        <row r="84">
          <cell r="A84" t="str">
            <v>F127</v>
          </cell>
          <cell r="F84">
            <v>0.72048281319090757</v>
          </cell>
          <cell r="G84">
            <v>0.10158255134880706</v>
          </cell>
          <cell r="H84">
            <v>1.2945246527512434E-2</v>
          </cell>
          <cell r="I84">
            <v>0</v>
          </cell>
          <cell r="J84">
            <v>2.8234238963182341E-2</v>
          </cell>
          <cell r="K84">
            <v>1.0834227998598992E-2</v>
          </cell>
          <cell r="L84">
            <v>2.2551642240006961E-3</v>
          </cell>
          <cell r="M84">
            <v>5.2543511729643134E-4</v>
          </cell>
          <cell r="N84">
            <v>0.12054617923665069</v>
          </cell>
          <cell r="O84">
            <v>1.2970716965219468E-3</v>
          </cell>
          <cell r="P84">
            <v>1.2970716965219468E-3</v>
          </cell>
        </row>
        <row r="85">
          <cell r="A85" t="str">
            <v>F128</v>
          </cell>
          <cell r="F85">
            <v>9.0909090909090912E-2</v>
          </cell>
          <cell r="G85">
            <v>9.0909090909090912E-2</v>
          </cell>
          <cell r="H85">
            <v>9.0909090909090912E-2</v>
          </cell>
          <cell r="I85">
            <v>9.0909090909090912E-2</v>
          </cell>
          <cell r="J85">
            <v>9.0909090909090912E-2</v>
          </cell>
          <cell r="K85">
            <v>9.0909090909090912E-2</v>
          </cell>
          <cell r="L85">
            <v>9.0909090909090912E-2</v>
          </cell>
          <cell r="M85">
            <v>9.0909090909090912E-2</v>
          </cell>
          <cell r="N85">
            <v>9.0909090909090912E-2</v>
          </cell>
          <cell r="O85">
            <v>9.0909090909090912E-2</v>
          </cell>
          <cell r="P85">
            <v>9.0909090909090912E-2</v>
          </cell>
        </row>
        <row r="86">
          <cell r="A86" t="str">
            <v>F129</v>
          </cell>
          <cell r="F86">
            <v>9.0909090909090912E-2</v>
          </cell>
          <cell r="G86">
            <v>9.0909090909090912E-2</v>
          </cell>
          <cell r="H86">
            <v>9.0909090909090912E-2</v>
          </cell>
          <cell r="I86">
            <v>9.0909090909090912E-2</v>
          </cell>
          <cell r="J86">
            <v>9.0909090909090912E-2</v>
          </cell>
          <cell r="K86">
            <v>9.0909090909090912E-2</v>
          </cell>
          <cell r="L86">
            <v>9.0909090909090912E-2</v>
          </cell>
          <cell r="M86">
            <v>9.0909090909090912E-2</v>
          </cell>
          <cell r="N86">
            <v>9.0909090909090912E-2</v>
          </cell>
          <cell r="O86">
            <v>9.0909090909090912E-2</v>
          </cell>
          <cell r="P86">
            <v>9.0909090909090912E-2</v>
          </cell>
        </row>
        <row r="87">
          <cell r="A87" t="str">
            <v>F130</v>
          </cell>
          <cell r="F87">
            <v>0</v>
          </cell>
          <cell r="G87">
            <v>0</v>
          </cell>
          <cell r="H87">
            <v>0</v>
          </cell>
          <cell r="I87">
            <v>9.0909090909090912E-2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F131</v>
          </cell>
          <cell r="F88">
            <v>0.21254284830921988</v>
          </cell>
          <cell r="G88">
            <v>0.14311600344894077</v>
          </cell>
          <cell r="H88">
            <v>8.4324581282504696E-2</v>
          </cell>
          <cell r="I88">
            <v>6.635762026263331E-2</v>
          </cell>
          <cell r="J88">
            <v>6.5491121002237515E-2</v>
          </cell>
          <cell r="K88">
            <v>6.9318061256622196E-2</v>
          </cell>
          <cell r="L88">
            <v>6.5198300933453107E-2</v>
          </cell>
          <cell r="M88">
            <v>6.5135837577581887E-2</v>
          </cell>
          <cell r="N88">
            <v>8.6327895690592821E-2</v>
          </cell>
          <cell r="O88">
            <v>6.5125963624727515E-2</v>
          </cell>
          <cell r="P88">
            <v>6.5125963624727515E-2</v>
          </cell>
        </row>
        <row r="89">
          <cell r="A89" t="str">
            <v>F132</v>
          </cell>
          <cell r="F89">
            <v>9.0909090909090912E-2</v>
          </cell>
          <cell r="G89">
            <v>9.0909090909090912E-2</v>
          </cell>
          <cell r="H89">
            <v>9.0909090909090912E-2</v>
          </cell>
          <cell r="I89">
            <v>9.0909090909090912E-2</v>
          </cell>
          <cell r="J89">
            <v>9.0909090909090912E-2</v>
          </cell>
          <cell r="K89">
            <v>9.0909090909090912E-2</v>
          </cell>
          <cell r="L89">
            <v>9.0909090909090912E-2</v>
          </cell>
          <cell r="M89">
            <v>9.0909090909090912E-2</v>
          </cell>
          <cell r="N89">
            <v>9.0909090909090912E-2</v>
          </cell>
          <cell r="O89">
            <v>9.0909090909090912E-2</v>
          </cell>
          <cell r="P89">
            <v>9.0909090909090912E-2</v>
          </cell>
        </row>
        <row r="90">
          <cell r="A90" t="str">
            <v>F133</v>
          </cell>
          <cell r="F90">
            <v>9.0909090909090912E-2</v>
          </cell>
          <cell r="G90">
            <v>9.0909090909090912E-2</v>
          </cell>
          <cell r="H90">
            <v>9.0909090909090912E-2</v>
          </cell>
          <cell r="I90">
            <v>9.0909090909090912E-2</v>
          </cell>
          <cell r="J90">
            <v>9.0909090909090912E-2</v>
          </cell>
          <cell r="K90">
            <v>9.0909090909090912E-2</v>
          </cell>
          <cell r="L90">
            <v>9.0909090909090912E-2</v>
          </cell>
          <cell r="M90">
            <v>9.0909090909090912E-2</v>
          </cell>
          <cell r="N90">
            <v>9.0909090909090912E-2</v>
          </cell>
          <cell r="O90">
            <v>9.0909090909090912E-2</v>
          </cell>
          <cell r="P90">
            <v>9.0909090909090912E-2</v>
          </cell>
        </row>
        <row r="91">
          <cell r="A91" t="str">
            <v>F134</v>
          </cell>
          <cell r="F91">
            <v>9.0909090909090912E-2</v>
          </cell>
          <cell r="G91">
            <v>9.0909090909090912E-2</v>
          </cell>
          <cell r="H91">
            <v>9.0909090909090912E-2</v>
          </cell>
          <cell r="I91">
            <v>9.0909090909090912E-2</v>
          </cell>
          <cell r="J91">
            <v>9.0909090909090912E-2</v>
          </cell>
          <cell r="K91">
            <v>9.0909090909090912E-2</v>
          </cell>
          <cell r="L91">
            <v>9.0909090909090912E-2</v>
          </cell>
          <cell r="M91">
            <v>9.0909090909090912E-2</v>
          </cell>
          <cell r="N91">
            <v>9.0909090909090912E-2</v>
          </cell>
          <cell r="O91">
            <v>9.0909090909090912E-2</v>
          </cell>
          <cell r="P91">
            <v>9.0909090909090912E-2</v>
          </cell>
        </row>
        <row r="92">
          <cell r="A92" t="str">
            <v>F135</v>
          </cell>
          <cell r="F92">
            <v>9.0909090909090912E-2</v>
          </cell>
          <cell r="G92">
            <v>9.0909090909090912E-2</v>
          </cell>
          <cell r="H92">
            <v>9.0909090909090912E-2</v>
          </cell>
          <cell r="I92">
            <v>9.0909090909090912E-2</v>
          </cell>
          <cell r="J92">
            <v>9.0909090909090912E-2</v>
          </cell>
          <cell r="K92">
            <v>9.0909090909090912E-2</v>
          </cell>
          <cell r="L92">
            <v>9.0909090909090912E-2</v>
          </cell>
          <cell r="M92">
            <v>9.0909090909090912E-2</v>
          </cell>
          <cell r="N92">
            <v>9.0909090909090912E-2</v>
          </cell>
          <cell r="O92">
            <v>9.0909090909090912E-2</v>
          </cell>
          <cell r="P92">
            <v>9.0909090909090912E-2</v>
          </cell>
        </row>
        <row r="93">
          <cell r="A93" t="str">
            <v>F136</v>
          </cell>
          <cell r="F93">
            <v>0.84893134557073502</v>
          </cell>
          <cell r="G93">
            <v>3.5096105062683194E-2</v>
          </cell>
          <cell r="H93">
            <v>6.0577453899308105E-3</v>
          </cell>
          <cell r="I93">
            <v>5.4674824789068118E-3</v>
          </cell>
          <cell r="J93">
            <v>1.095854251893221E-2</v>
          </cell>
          <cell r="K93">
            <v>1.3346133949109146E-3</v>
          </cell>
          <cell r="L93">
            <v>2.2161119389513565E-3</v>
          </cell>
          <cell r="M93">
            <v>5.163362491265596E-4</v>
          </cell>
          <cell r="N93">
            <v>8.9378979959453667E-2</v>
          </cell>
          <cell r="O93">
            <v>2.1368718184741975E-5</v>
          </cell>
          <cell r="P93">
            <v>2.1368718184741975E-5</v>
          </cell>
        </row>
        <row r="94">
          <cell r="A94" t="str">
            <v>F137</v>
          </cell>
          <cell r="F94">
            <v>0.33413345873451444</v>
          </cell>
          <cell r="G94">
            <v>0.24271161894096174</v>
          </cell>
          <cell r="H94">
            <v>8.0571056084069018E-2</v>
          </cell>
          <cell r="I94">
            <v>1.1361093729697781E-2</v>
          </cell>
          <cell r="J94">
            <v>0.16824894386175593</v>
          </cell>
          <cell r="K94">
            <v>1.7705017247225428E-2</v>
          </cell>
          <cell r="L94">
            <v>1.0043743847986819E-2</v>
          </cell>
          <cell r="M94">
            <v>1.0129288104070754E-2</v>
          </cell>
          <cell r="N94">
            <v>6.7172449344022445E-2</v>
          </cell>
          <cell r="O94">
            <v>2.9512595468803273E-2</v>
          </cell>
          <cell r="P94">
            <v>2.8410734636892216E-2</v>
          </cell>
        </row>
        <row r="95">
          <cell r="A95" t="str">
            <v>F137P</v>
          </cell>
          <cell r="F95">
            <v>0.33122379526170642</v>
          </cell>
          <cell r="G95">
            <v>0.27243589364719473</v>
          </cell>
          <cell r="H95">
            <v>8.3674302907582335E-2</v>
          </cell>
          <cell r="I95">
            <v>1.334836133121101E-3</v>
          </cell>
          <cell r="J95">
            <v>0.19289620218984571</v>
          </cell>
          <cell r="K95">
            <v>8.9450097002167495E-3</v>
          </cell>
          <cell r="L95">
            <v>2.6392619342590201E-5</v>
          </cell>
          <cell r="M95">
            <v>2.3753064910725963E-4</v>
          </cell>
          <cell r="N95">
            <v>6.2418749464455789E-2</v>
          </cell>
          <cell r="O95">
            <v>2.3945816965889058E-2</v>
          </cell>
          <cell r="P95">
            <v>2.286147046153807E-2</v>
          </cell>
        </row>
        <row r="96">
          <cell r="A96" t="str">
            <v>F137T</v>
          </cell>
          <cell r="F96">
            <v>0.24102496269847423</v>
          </cell>
          <cell r="G96">
            <v>0.193304040886835</v>
          </cell>
          <cell r="H96">
            <v>8.4800364426451891E-2</v>
          </cell>
          <cell r="I96">
            <v>3.9976644094009889E-2</v>
          </cell>
          <cell r="J96">
            <v>0.14123383575501933</v>
          </cell>
          <cell r="K96">
            <v>4.4142473835783951E-2</v>
          </cell>
          <cell r="L96">
            <v>3.9494516153795574E-2</v>
          </cell>
          <cell r="M96">
            <v>3.9547903836442078E-2</v>
          </cell>
          <cell r="N96">
            <v>7.5126196062890255E-2</v>
          </cell>
          <cell r="O96">
            <v>5.2041430845224147E-2</v>
          </cell>
          <cell r="P96">
            <v>4.9307631405073625E-2</v>
          </cell>
        </row>
        <row r="97">
          <cell r="A97" t="str">
            <v>F137D</v>
          </cell>
          <cell r="F97">
            <v>0.22085885878011507</v>
          </cell>
          <cell r="G97">
            <v>0.14736961852343544</v>
          </cell>
          <cell r="H97">
            <v>8.507379374651583E-2</v>
          </cell>
          <cell r="I97">
            <v>6.5964160497549912E-2</v>
          </cell>
          <cell r="J97">
            <v>6.5600462258709927E-2</v>
          </cell>
          <cell r="K97">
            <v>6.9094281986599088E-2</v>
          </cell>
          <cell r="L97">
            <v>6.473806521872924E-2</v>
          </cell>
          <cell r="M97">
            <v>6.4672348697304718E-2</v>
          </cell>
          <cell r="N97">
            <v>8.7159614803477212E-2</v>
          </cell>
          <cell r="O97">
            <v>6.4730025273968983E-2</v>
          </cell>
          <cell r="P97">
            <v>6.4738770213594435E-2</v>
          </cell>
        </row>
        <row r="98">
          <cell r="A98" t="str">
            <v>F137R</v>
          </cell>
          <cell r="F98">
            <v>0.98764398000434894</v>
          </cell>
          <cell r="G98">
            <v>2.1642244225848487E-2</v>
          </cell>
          <cell r="H98">
            <v>-1.0135863184003068E-2</v>
          </cell>
          <cell r="I98">
            <v>-9.1308091802988003E-3</v>
          </cell>
          <cell r="J98">
            <v>-5.2992464580851736E-3</v>
          </cell>
          <cell r="K98">
            <v>-1.4143795577613961E-2</v>
          </cell>
          <cell r="L98">
            <v>-1.3450179761251504E-2</v>
          </cell>
          <cell r="M98">
            <v>-1.5534106835764182E-2</v>
          </cell>
          <cell r="N98">
            <v>9.0685668138474423E-2</v>
          </cell>
          <cell r="O98">
            <v>-1.6139366119065728E-2</v>
          </cell>
          <cell r="P98">
            <v>-1.6138525252589447E-2</v>
          </cell>
        </row>
        <row r="99">
          <cell r="A99" t="str">
            <v>F137M</v>
          </cell>
          <cell r="F99">
            <v>9.0909090909090912E-2</v>
          </cell>
          <cell r="G99">
            <v>9.0909090909090912E-2</v>
          </cell>
          <cell r="H99">
            <v>9.0909090909090912E-2</v>
          </cell>
          <cell r="I99">
            <v>9.0909090909090912E-2</v>
          </cell>
          <cell r="J99">
            <v>9.0909090909090912E-2</v>
          </cell>
          <cell r="K99">
            <v>9.0909090909090912E-2</v>
          </cell>
          <cell r="L99">
            <v>9.0909090909090912E-2</v>
          </cell>
          <cell r="M99">
            <v>9.0909090909090912E-2</v>
          </cell>
          <cell r="N99">
            <v>9.0909090909090912E-2</v>
          </cell>
          <cell r="O99">
            <v>9.0909090909090912E-2</v>
          </cell>
          <cell r="P99">
            <v>9.0909090909090912E-2</v>
          </cell>
        </row>
        <row r="100">
          <cell r="A100" t="str">
            <v>F138</v>
          </cell>
          <cell r="F100">
            <v>0.35712279559996929</v>
          </cell>
          <cell r="G100">
            <v>0.19529558363823313</v>
          </cell>
          <cell r="H100">
            <v>7.3249816971983892E-2</v>
          </cell>
          <cell r="I100">
            <v>2.6360245070436952E-2</v>
          </cell>
          <cell r="J100">
            <v>0.12174662472620877</v>
          </cell>
          <cell r="K100">
            <v>3.0561969547442832E-2</v>
          </cell>
          <cell r="L100">
            <v>2.5236924505649398E-2</v>
          </cell>
          <cell r="M100">
            <v>2.5051685668496002E-2</v>
          </cell>
          <cell r="N100">
            <v>7.4991325806306311E-2</v>
          </cell>
          <cell r="O100">
            <v>3.6729024825096088E-2</v>
          </cell>
          <cell r="P100">
            <v>3.3654003640177378E-2</v>
          </cell>
        </row>
        <row r="101">
          <cell r="A101" t="str">
            <v>F138P</v>
          </cell>
          <cell r="F101">
            <v>0.36078143860042983</v>
          </cell>
          <cell r="G101">
            <v>0.27149191681869872</v>
          </cell>
          <cell r="H101">
            <v>7.9397468739489704E-2</v>
          </cell>
          <cell r="I101">
            <v>1.0219208955654371E-3</v>
          </cell>
          <cell r="J101">
            <v>0.17679999645942959</v>
          </cell>
          <cell r="K101">
            <v>8.319106230131143E-3</v>
          </cell>
          <cell r="L101">
            <v>2.7959748980897346E-4</v>
          </cell>
          <cell r="M101">
            <v>3.4881481221218431E-4</v>
          </cell>
          <cell r="N101">
            <v>6.3195256042034492E-2</v>
          </cell>
          <cell r="O101">
            <v>2.2020265437908228E-2</v>
          </cell>
          <cell r="P101">
            <v>1.634421847429126E-2</v>
          </cell>
        </row>
        <row r="102">
          <cell r="A102" t="str">
            <v>F138T</v>
          </cell>
          <cell r="F102">
            <v>9.0909090909090912E-2</v>
          </cell>
          <cell r="G102">
            <v>9.0909090909090912E-2</v>
          </cell>
          <cell r="H102">
            <v>9.0909090909090939E-2</v>
          </cell>
          <cell r="I102">
            <v>9.0909090909090967E-2</v>
          </cell>
          <cell r="J102">
            <v>9.0909090909090967E-2</v>
          </cell>
          <cell r="K102">
            <v>9.0909090909090967E-2</v>
          </cell>
          <cell r="L102">
            <v>9.0909090909090981E-2</v>
          </cell>
          <cell r="M102">
            <v>9.0909090909090981E-2</v>
          </cell>
          <cell r="N102">
            <v>9.0909090909090939E-2</v>
          </cell>
          <cell r="O102">
            <v>9.0909090909090953E-2</v>
          </cell>
          <cell r="P102">
            <v>9.0909090909090939E-2</v>
          </cell>
        </row>
        <row r="103">
          <cell r="A103" t="str">
            <v>F138D</v>
          </cell>
          <cell r="F103">
            <v>0.21511036322508459</v>
          </cell>
          <cell r="G103">
            <v>0.14484484295813713</v>
          </cell>
          <cell r="H103">
            <v>8.5343221156483878E-2</v>
          </cell>
          <cell r="I103">
            <v>6.715921947503177E-2</v>
          </cell>
          <cell r="J103">
            <v>6.6282252914544024E-2</v>
          </cell>
          <cell r="K103">
            <v>7.015542255873608E-2</v>
          </cell>
          <cell r="L103">
            <v>6.598589558303708E-2</v>
          </cell>
          <cell r="M103">
            <v>6.5922677670617977E-2</v>
          </cell>
          <cell r="N103">
            <v>8.7370735577251085E-2</v>
          </cell>
          <cell r="O103">
            <v>6.5912684440538175E-2</v>
          </cell>
          <cell r="P103">
            <v>6.5912684440538175E-2</v>
          </cell>
        </row>
        <row r="104">
          <cell r="A104" t="str">
            <v>F138R</v>
          </cell>
          <cell r="F104">
            <v>0.85235100038974809</v>
          </cell>
          <cell r="G104">
            <v>3.206101741212844E-2</v>
          </cell>
          <cell r="H104">
            <v>5.1071091351611812E-3</v>
          </cell>
          <cell r="I104">
            <v>5.973344245707308E-3</v>
          </cell>
          <cell r="J104">
            <v>9.191358189856131E-3</v>
          </cell>
          <cell r="K104">
            <v>1.7151325559511786E-3</v>
          </cell>
          <cell r="L104">
            <v>2.3071560579871393E-3</v>
          </cell>
          <cell r="M104">
            <v>5.3754879624645494E-4</v>
          </cell>
          <cell r="N104">
            <v>9.0720262420803333E-2</v>
          </cell>
          <cell r="O104">
            <v>1.8035398205342445E-5</v>
          </cell>
          <cell r="P104">
            <v>1.8035398205342445E-5</v>
          </cell>
        </row>
        <row r="105">
          <cell r="A105" t="str">
            <v>F138M</v>
          </cell>
          <cell r="F105">
            <v>9.0909090909090912E-2</v>
          </cell>
          <cell r="G105">
            <v>9.0909090909090912E-2</v>
          </cell>
          <cell r="H105">
            <v>9.0909090909090912E-2</v>
          </cell>
          <cell r="I105">
            <v>9.0909090909090912E-2</v>
          </cell>
          <cell r="J105">
            <v>9.0909090909090912E-2</v>
          </cell>
          <cell r="K105">
            <v>9.0909090909090912E-2</v>
          </cell>
          <cell r="L105">
            <v>9.0909090909090912E-2</v>
          </cell>
          <cell r="M105">
            <v>9.0909090909090912E-2</v>
          </cell>
          <cell r="N105">
            <v>9.0909090909090912E-2</v>
          </cell>
          <cell r="O105">
            <v>9.0909090909090912E-2</v>
          </cell>
          <cell r="P105">
            <v>9.0909090909090912E-2</v>
          </cell>
        </row>
        <row r="106">
          <cell r="A106" t="str">
            <v>F140</v>
          </cell>
          <cell r="F106">
            <v>0.40181753138234888</v>
          </cell>
          <cell r="G106">
            <v>0.26061407736349168</v>
          </cell>
          <cell r="H106">
            <v>7.4715845735735073E-2</v>
          </cell>
          <cell r="I106">
            <v>3.4305729987183474E-3</v>
          </cell>
          <cell r="J106">
            <v>0.14700627129728061</v>
          </cell>
          <cell r="K106">
            <v>9.4091849700837331E-3</v>
          </cell>
          <cell r="L106">
            <v>3.9621812094408151E-4</v>
          </cell>
          <cell r="M106">
            <v>4.4620175461926738E-4</v>
          </cell>
          <cell r="N106">
            <v>6.787968900692827E-2</v>
          </cell>
          <cell r="O106">
            <v>1.8119073841678983E-2</v>
          </cell>
          <cell r="P106">
            <v>1.6165333528171049E-2</v>
          </cell>
        </row>
        <row r="107">
          <cell r="A107" t="str">
            <v>F140P</v>
          </cell>
          <cell r="F107">
            <v>0.33504138123356703</v>
          </cell>
          <cell r="G107">
            <v>0.27491557738206152</v>
          </cell>
          <cell r="H107">
            <v>8.318423478531467E-2</v>
          </cell>
          <cell r="I107">
            <v>1.4705769737776281E-3</v>
          </cell>
          <cell r="J107">
            <v>0.18758083259013311</v>
          </cell>
          <cell r="K107">
            <v>8.9307986116212625E-3</v>
          </cell>
          <cell r="L107">
            <v>3.0483668243869074E-4</v>
          </cell>
          <cell r="M107">
            <v>5.0753591385037725E-4</v>
          </cell>
          <cell r="N107">
            <v>6.3548852042919254E-2</v>
          </cell>
          <cell r="O107">
            <v>2.322191285996052E-2</v>
          </cell>
          <cell r="P107">
            <v>2.1293460924355988E-2</v>
          </cell>
        </row>
        <row r="108">
          <cell r="A108" t="str">
            <v>F140T</v>
          </cell>
          <cell r="F108">
            <v>0.35104463090606708</v>
          </cell>
          <cell r="G108">
            <v>0.27954659369121193</v>
          </cell>
          <cell r="H108">
            <v>8.1645310739900653E-2</v>
          </cell>
          <cell r="I108">
            <v>1.2328636763541375E-3</v>
          </cell>
          <cell r="J108">
            <v>0.17691077441557887</v>
          </cell>
          <cell r="K108">
            <v>8.4539423186438117E-3</v>
          </cell>
          <cell r="L108">
            <v>2.7130117958816682E-4</v>
          </cell>
          <cell r="M108">
            <v>4.028000701353721E-4</v>
          </cell>
          <cell r="N108">
            <v>6.17092499801358E-2</v>
          </cell>
          <cell r="O108">
            <v>2.1457135229575739E-2</v>
          </cell>
          <cell r="P108">
            <v>1.7325397792808412E-2</v>
          </cell>
        </row>
        <row r="109">
          <cell r="A109" t="str">
            <v>F140D</v>
          </cell>
          <cell r="F109">
            <v>0.61048994725834316</v>
          </cell>
          <cell r="G109">
            <v>0.22480142513754894</v>
          </cell>
          <cell r="H109">
            <v>4.983209566474759E-2</v>
          </cell>
          <cell r="I109">
            <v>1.1840887924266016E-2</v>
          </cell>
          <cell r="J109">
            <v>1.6206603002752965E-3</v>
          </cell>
          <cell r="K109">
            <v>1.3106370587146548E-2</v>
          </cell>
          <cell r="L109">
            <v>5.5342212520187906E-4</v>
          </cell>
          <cell r="M109">
            <v>2.7314287769519732E-4</v>
          </cell>
          <cell r="N109">
            <v>8.7217726877515028E-2</v>
          </cell>
          <cell r="O109">
            <v>1.4303056592247554E-4</v>
          </cell>
          <cell r="P109">
            <v>1.2129068133793036E-4</v>
          </cell>
        </row>
        <row r="110">
          <cell r="A110" t="str">
            <v>F140R</v>
          </cell>
          <cell r="F110">
            <v>0.92965540592141405</v>
          </cell>
          <cell r="G110">
            <v>9.7227128683624302E-3</v>
          </cell>
          <cell r="H110">
            <v>-8.8240761200818179E-3</v>
          </cell>
          <cell r="I110">
            <v>6.8100481207267732E-3</v>
          </cell>
          <cell r="J110">
            <v>-1.8162918404791749E-2</v>
          </cell>
          <cell r="K110">
            <v>5.6675912300182879E-4</v>
          </cell>
          <cell r="L110">
            <v>2.6136550778535633E-3</v>
          </cell>
          <cell r="M110">
            <v>5.7521010085271674E-4</v>
          </cell>
          <cell r="N110">
            <v>7.9873040588948258E-2</v>
          </cell>
          <cell r="O110">
            <v>-1.6299618831104594E-3</v>
          </cell>
          <cell r="P110">
            <v>-1.199875393176036E-3</v>
          </cell>
        </row>
        <row r="111">
          <cell r="A111" t="str">
            <v>F140M</v>
          </cell>
          <cell r="F111">
            <v>0.42906031374685771</v>
          </cell>
          <cell r="G111">
            <v>0.25730406946704443</v>
          </cell>
          <cell r="H111">
            <v>7.116436214895934E-2</v>
          </cell>
          <cell r="I111">
            <v>3.269125432179631E-3</v>
          </cell>
          <cell r="J111">
            <v>0.13064594411964214</v>
          </cell>
          <cell r="K111">
            <v>9.7385794579157806E-3</v>
          </cell>
          <cell r="L111">
            <v>3.5268659629813913E-4</v>
          </cell>
          <cell r="M111">
            <v>3.4117513884349788E-4</v>
          </cell>
          <cell r="N111">
            <v>6.9466355269497182E-2</v>
          </cell>
          <cell r="O111">
            <v>1.6226961325999292E-2</v>
          </cell>
          <cell r="P111">
            <v>1.2430427296762718E-2</v>
          </cell>
        </row>
        <row r="112">
          <cell r="A112" t="str">
            <v>F141</v>
          </cell>
          <cell r="F112">
            <v>0.38452341873417689</v>
          </cell>
          <cell r="G112">
            <v>0.27504575146355281</v>
          </cell>
          <cell r="H112">
            <v>7.7419480420297268E-2</v>
          </cell>
          <cell r="I112">
            <v>4.4713015966620718E-3</v>
          </cell>
          <cell r="J112">
            <v>0.14197156672240743</v>
          </cell>
          <cell r="K112">
            <v>9.4369913482660883E-3</v>
          </cell>
          <cell r="L112">
            <v>4.2485676577430029E-4</v>
          </cell>
          <cell r="M112">
            <v>6.0803040651676303E-4</v>
          </cell>
          <cell r="N112">
            <v>7.3012172199791503E-2</v>
          </cell>
          <cell r="O112">
            <v>1.6516134630733779E-2</v>
          </cell>
          <cell r="P112">
            <v>1.657029571182117E-2</v>
          </cell>
        </row>
        <row r="113">
          <cell r="A113" t="str">
            <v>F150</v>
          </cell>
          <cell r="F113">
            <v>0.22597489040374896</v>
          </cell>
          <cell r="G113">
            <v>0.7041758100398432</v>
          </cell>
          <cell r="H113">
            <v>0.1189223357387889</v>
          </cell>
          <cell r="I113">
            <v>3.969250366879909E-2</v>
          </cell>
          <cell r="J113">
            <v>-0.30461456661734215</v>
          </cell>
          <cell r="K113">
            <v>2.060387929112021E-2</v>
          </cell>
          <cell r="L113">
            <v>1.5595304223053686E-3</v>
          </cell>
          <cell r="M113">
            <v>5.4130944550501202E-3</v>
          </cell>
          <cell r="N113">
            <v>0.26256215980492181</v>
          </cell>
          <cell r="O113">
            <v>-7.0879959094529266E-2</v>
          </cell>
          <cell r="P113">
            <v>-3.4096781127017028E-3</v>
          </cell>
        </row>
        <row r="114">
          <cell r="A114" t="str">
            <v>F150P</v>
          </cell>
          <cell r="F114">
            <v>0.44230943490634617</v>
          </cell>
          <cell r="G114">
            <v>0.20090707495342525</v>
          </cell>
          <cell r="H114">
            <v>6.4644817216073167E-2</v>
          </cell>
          <cell r="I114">
            <v>-6.5002069973307342E-4</v>
          </cell>
          <cell r="J114">
            <v>0.19784918879438224</v>
          </cell>
          <cell r="K114">
            <v>8.5481815063387853E-3</v>
          </cell>
          <cell r="L114">
            <v>1.7722916887435598E-4</v>
          </cell>
          <cell r="M114">
            <v>-5.004778016485617E-4</v>
          </cell>
          <cell r="N114">
            <v>4.1848603454189094E-2</v>
          </cell>
          <cell r="O114">
            <v>3.0869593385992215E-2</v>
          </cell>
          <cell r="P114">
            <v>1.3996375115761297E-2</v>
          </cell>
        </row>
        <row r="115">
          <cell r="A115" t="str">
            <v>F150T</v>
          </cell>
          <cell r="F115">
            <v>0.26678042134249946</v>
          </cell>
          <cell r="G115">
            <v>0.35398475716307298</v>
          </cell>
          <cell r="H115">
            <v>9.7692561480513765E-2</v>
          </cell>
          <cell r="I115">
            <v>2.7211245897124838E-3</v>
          </cell>
          <cell r="J115">
            <v>0.15859949569054582</v>
          </cell>
          <cell r="K115">
            <v>8.293230246905257E-3</v>
          </cell>
          <cell r="L115">
            <v>3.3664046017775064E-4</v>
          </cell>
          <cell r="M115">
            <v>1.0859194441555551E-3</v>
          </cell>
          <cell r="N115">
            <v>7.7523041159411277E-2</v>
          </cell>
          <cell r="O115">
            <v>1.2867004207199861E-2</v>
          </cell>
          <cell r="P115">
            <v>2.0115804215804906E-2</v>
          </cell>
        </row>
        <row r="116">
          <cell r="A116" t="str">
            <v>F150D</v>
          </cell>
          <cell r="F116">
            <v>0.51332651128822937</v>
          </cell>
          <cell r="G116">
            <v>0.28441438764027555</v>
          </cell>
          <cell r="H116">
            <v>5.8217849472572011E-2</v>
          </cell>
          <cell r="I116">
            <v>1.4793384683421378E-2</v>
          </cell>
          <cell r="J116">
            <v>-1.0067788137738697E-4</v>
          </cell>
          <cell r="K116">
            <v>1.4183039809345134E-2</v>
          </cell>
          <cell r="L116">
            <v>7.073171075856361E-4</v>
          </cell>
          <cell r="M116">
            <v>7.6696716979557128E-4</v>
          </cell>
          <cell r="N116">
            <v>0.11378350435713121</v>
          </cell>
          <cell r="O116">
            <v>-4.1043710247004764E-5</v>
          </cell>
          <cell r="P116">
            <v>-5.1239936731200306E-5</v>
          </cell>
        </row>
        <row r="117">
          <cell r="A117" t="str">
            <v>F150R</v>
          </cell>
          <cell r="F117">
            <v>0.84087268628044454</v>
          </cell>
          <cell r="G117">
            <v>-9.6951168654112838E-2</v>
          </cell>
          <cell r="H117">
            <v>2.22870735765608E-2</v>
          </cell>
          <cell r="I117">
            <v>1.2386953359886572E-3</v>
          </cell>
          <cell r="J117">
            <v>3.8133643095690832E-2</v>
          </cell>
          <cell r="K117">
            <v>2.6709980772826368E-3</v>
          </cell>
          <cell r="L117">
            <v>2.100860846154096E-3</v>
          </cell>
          <cell r="M117">
            <v>1.1775509261362142E-4</v>
          </cell>
          <cell r="N117">
            <v>0.19984497038925084</v>
          </cell>
          <cell r="O117">
            <v>-4.6481362622131381E-3</v>
          </cell>
          <cell r="P117">
            <v>-5.6673777776599533E-3</v>
          </cell>
        </row>
        <row r="118">
          <cell r="A118" t="str">
            <v>F150M</v>
          </cell>
          <cell r="F118">
            <v>0.32072576224813676</v>
          </cell>
          <cell r="G118">
            <v>0.33591361967725897</v>
          </cell>
          <cell r="H118">
            <v>8.7027724590936384E-2</v>
          </cell>
          <cell r="I118">
            <v>8.8963723266851386E-3</v>
          </cell>
          <cell r="J118">
            <v>0.11538587353266662</v>
          </cell>
          <cell r="K118">
            <v>9.6124434133878171E-3</v>
          </cell>
          <cell r="L118">
            <v>5.0235833739665874E-4</v>
          </cell>
          <cell r="M118">
            <v>1.2113402899543858E-3</v>
          </cell>
          <cell r="N118">
            <v>9.6791304589683755E-2</v>
          </cell>
          <cell r="O118">
            <v>9.2015811269337243E-3</v>
          </cell>
          <cell r="P118">
            <v>1.4731619866960002E-2</v>
          </cell>
        </row>
        <row r="119">
          <cell r="A119" t="str">
            <v>F151</v>
          </cell>
          <cell r="F119">
            <v>0.30262379816566398</v>
          </cell>
          <cell r="G119">
            <v>0.20682829066290209</v>
          </cell>
          <cell r="H119">
            <v>7.822725055406704E-2</v>
          </cell>
          <cell r="I119">
            <v>2.8815058086220542E-2</v>
          </cell>
          <cell r="J119">
            <v>0.13924153031523223</v>
          </cell>
          <cell r="K119">
            <v>3.4047601513394775E-2</v>
          </cell>
          <cell r="L119">
            <v>2.8044344603090056E-2</v>
          </cell>
          <cell r="M119">
            <v>2.8044308050333817E-2</v>
          </cell>
          <cell r="N119">
            <v>7.415194570836818E-2</v>
          </cell>
          <cell r="O119">
            <v>4.1633260492278765E-2</v>
          </cell>
          <cell r="P119">
            <v>3.8342611848448852E-2</v>
          </cell>
        </row>
        <row r="120">
          <cell r="A120" t="str">
            <v>F151P</v>
          </cell>
          <cell r="F120">
            <v>0.35258139237984359</v>
          </cell>
          <cell r="G120">
            <v>0.26777675121801026</v>
          </cell>
          <cell r="H120">
            <v>8.0005054740569306E-2</v>
          </cell>
          <cell r="I120">
            <v>2.938368773783001E-3</v>
          </cell>
          <cell r="J120">
            <v>0.17636982652561037</v>
          </cell>
          <cell r="K120">
            <v>1.0108912312944123E-2</v>
          </cell>
          <cell r="L120">
            <v>2.1632995537419182E-3</v>
          </cell>
          <cell r="M120">
            <v>2.2431910546998396E-3</v>
          </cell>
          <cell r="N120">
            <v>6.3711471634730232E-2</v>
          </cell>
          <cell r="O120">
            <v>2.3633098011584558E-2</v>
          </cell>
          <cell r="P120">
            <v>1.8468633794483037E-2</v>
          </cell>
        </row>
        <row r="121">
          <cell r="A121" t="str">
            <v>F151T</v>
          </cell>
          <cell r="F121">
            <v>9.1064681270753567E-2</v>
          </cell>
          <cell r="G121">
            <v>9.1014251539773924E-2</v>
          </cell>
          <cell r="H121">
            <v>9.0902606657540366E-2</v>
          </cell>
          <cell r="I121">
            <v>9.085678576153064E-2</v>
          </cell>
          <cell r="J121">
            <v>9.0959899853517129E-2</v>
          </cell>
          <cell r="K121">
            <v>9.0861049104734179E-2</v>
          </cell>
          <cell r="L121">
            <v>9.0856325057891665E-2</v>
          </cell>
          <cell r="M121">
            <v>9.0856372526134363E-2</v>
          </cell>
          <cell r="N121">
            <v>9.0892920102432315E-2</v>
          </cell>
          <cell r="O121">
            <v>9.0869089925907129E-2</v>
          </cell>
          <cell r="P121">
            <v>9.0866018199784793E-2</v>
          </cell>
        </row>
        <row r="122">
          <cell r="A122" t="str">
            <v>F151D</v>
          </cell>
          <cell r="F122">
            <v>0.29865580317413565</v>
          </cell>
          <cell r="G122">
            <v>0.10642519083076918</v>
          </cell>
          <cell r="H122">
            <v>6.4385518395750962E-2</v>
          </cell>
          <cell r="I122">
            <v>6.2903344632452007E-2</v>
          </cell>
          <cell r="J122">
            <v>6.2564911712406648E-2</v>
          </cell>
          <cell r="K122">
            <v>6.6047746172421401E-2</v>
          </cell>
          <cell r="L122">
            <v>6.1626736072275048E-2</v>
          </cell>
          <cell r="M122">
            <v>6.1396500888519646E-2</v>
          </cell>
          <cell r="N122">
            <v>9.3572611173010106E-2</v>
          </cell>
          <cell r="O122">
            <v>6.1210818474129715E-2</v>
          </cell>
          <cell r="P122">
            <v>6.1210818474129715E-2</v>
          </cell>
        </row>
        <row r="123">
          <cell r="A123" t="str">
            <v>F151R</v>
          </cell>
          <cell r="F123">
            <v>0.87052581258056749</v>
          </cell>
          <cell r="G123">
            <v>1.8007472907809415E-2</v>
          </cell>
          <cell r="H123">
            <v>2.7476967384582171E-4</v>
          </cell>
          <cell r="I123">
            <v>7.7035796472103429E-3</v>
          </cell>
          <cell r="J123">
            <v>8.2906608011306109E-4</v>
          </cell>
          <cell r="K123">
            <v>2.8727789916456184E-3</v>
          </cell>
          <cell r="L123">
            <v>2.496927890393962E-3</v>
          </cell>
          <cell r="M123">
            <v>5.817641061378765E-4</v>
          </cell>
          <cell r="N123">
            <v>9.6697778836456666E-2</v>
          </cell>
          <cell r="O123">
            <v>5.0246429097761285E-6</v>
          </cell>
          <cell r="P123">
            <v>5.0246429097761285E-6</v>
          </cell>
        </row>
        <row r="124">
          <cell r="A124" t="str">
            <v>F151M</v>
          </cell>
          <cell r="F124">
            <v>9.0909090909090912E-2</v>
          </cell>
          <cell r="G124">
            <v>9.0909090909090912E-2</v>
          </cell>
          <cell r="H124">
            <v>9.0909090909090912E-2</v>
          </cell>
          <cell r="I124">
            <v>9.0909090909090912E-2</v>
          </cell>
          <cell r="J124">
            <v>9.0909090909090912E-2</v>
          </cell>
          <cell r="K124">
            <v>9.0909090909090912E-2</v>
          </cell>
          <cell r="L124">
            <v>9.0909090909090912E-2</v>
          </cell>
          <cell r="M124">
            <v>9.0909090909090912E-2</v>
          </cell>
          <cell r="N124">
            <v>9.0909090909090912E-2</v>
          </cell>
          <cell r="O124">
            <v>9.0909090909090912E-2</v>
          </cell>
          <cell r="P124">
            <v>9.0909090909090912E-2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>
        <row r="81">
          <cell r="K81">
            <v>4808786.92</v>
          </cell>
        </row>
        <row r="172">
          <cell r="F172">
            <v>101601243.09654436</v>
          </cell>
        </row>
      </sheetData>
      <sheetData sheetId="44"/>
      <sheetData sheetId="45"/>
      <sheetData sheetId="46"/>
      <sheetData sheetId="4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"/>
      <sheetName val="RateSpread"/>
      <sheetName val="Blocking"/>
      <sheetName val="123"/>
      <sheetName val="LifeLine"/>
      <sheetName val="Table A1"/>
      <sheetName val="COS Lighting"/>
      <sheetName val="BD-Redesign"/>
      <sheetName val="BD-Redesign1"/>
      <sheetName val="Sch32 COS"/>
      <sheetName val="COS F101"/>
      <sheetName val="COS Target"/>
      <sheetName val="Unit Cost Target"/>
      <sheetName val="Checking-T"/>
      <sheetName val="Table A-Class"/>
      <sheetName val="Sch1"/>
      <sheetName val="Sh1-SF"/>
      <sheetName val="Sch1-MF"/>
      <sheetName val="Sch6"/>
      <sheetName val="Sch8"/>
      <sheetName val="Sch9"/>
      <sheetName val="Sch10"/>
      <sheetName val="Sch23"/>
      <sheetName val="Comparison"/>
      <sheetName val="Table 1 Revn"/>
      <sheetName val="Table 1 MWh"/>
      <sheetName val="Table 2"/>
      <sheetName val="Table 3"/>
      <sheetName val="Table 4"/>
      <sheetName val="Bill"/>
      <sheetName val="Energy"/>
      <sheetName val="Large Profile"/>
      <sheetName val="TempRevMay"/>
      <sheetName val="TempMWH"/>
      <sheetName val="TempRev"/>
      <sheetName val="123May"/>
      <sheetName val="6"/>
      <sheetName val="6-may"/>
      <sheetName val="6A"/>
      <sheetName val="7"/>
      <sheetName val="8"/>
      <sheetName val="9"/>
      <sheetName val="9A"/>
      <sheetName val="10"/>
      <sheetName val="11"/>
      <sheetName val="12E"/>
      <sheetName val="12F"/>
      <sheetName val="12P"/>
      <sheetName val="15M"/>
      <sheetName val="15T"/>
      <sheetName val="21"/>
      <sheetName val="Bill-21"/>
      <sheetName val="23"/>
      <sheetName val="23-may"/>
      <sheetName val="31"/>
      <sheetName val="32"/>
      <sheetName val="32-9"/>
      <sheetName val="32-forecast"/>
      <sheetName val="34"/>
      <sheetName val="C1"/>
      <sheetName val="C2"/>
      <sheetName val="C3"/>
      <sheetName val="C3-Forecast"/>
      <sheetName val="PTL"/>
      <sheetName val="305"/>
      <sheetName val="305vsCognos"/>
      <sheetName val="DwellingCode"/>
      <sheetName val="Sch32 Contract"/>
      <sheetName val="305 SUM"/>
      <sheetName val="Test Period"/>
    </sheetNames>
    <sheetDataSet>
      <sheetData sheetId="0"/>
      <sheetData sheetId="1">
        <row r="14">
          <cell r="M14">
            <v>725439.14017610007</v>
          </cell>
        </row>
        <row r="15">
          <cell r="M15">
            <v>311.24517270000001</v>
          </cell>
        </row>
        <row r="16">
          <cell r="M16">
            <v>331.58596409999996</v>
          </cell>
        </row>
        <row r="17">
          <cell r="M17">
            <v>15063.395000099999</v>
          </cell>
        </row>
        <row r="18">
          <cell r="M18">
            <v>17842.757076600003</v>
          </cell>
        </row>
        <row r="19">
          <cell r="M19">
            <v>22319.110467999999</v>
          </cell>
        </row>
        <row r="21">
          <cell r="V21">
            <v>-18993.072743958986</v>
          </cell>
          <cell r="W21">
            <v>-9496.5363833693227</v>
          </cell>
        </row>
        <row r="23">
          <cell r="M23">
            <v>474839.40324620006</v>
          </cell>
          <cell r="V23">
            <v>-9874.95370833173</v>
          </cell>
          <cell r="W23">
            <v>-4937.4768600877105</v>
          </cell>
        </row>
        <row r="24">
          <cell r="M24">
            <v>14928.267257</v>
          </cell>
          <cell r="V24">
            <v>-310.45432855968232</v>
          </cell>
          <cell r="W24">
            <v>-155.22716446601547</v>
          </cell>
        </row>
        <row r="25">
          <cell r="M25">
            <v>2514.5114955000004</v>
          </cell>
          <cell r="V25">
            <v>-52.292805625181032</v>
          </cell>
          <cell r="W25">
            <v>-26.146402843949645</v>
          </cell>
        </row>
        <row r="26">
          <cell r="M26">
            <v>44734.920740099995</v>
          </cell>
          <cell r="V26">
            <v>-930.32563943588787</v>
          </cell>
          <cell r="W26">
            <v>-465.16282027584481</v>
          </cell>
        </row>
        <row r="27">
          <cell r="M27">
            <v>3252.8100194999997</v>
          </cell>
          <cell r="V27">
            <v>-67.646762557962134</v>
          </cell>
          <cell r="W27">
            <v>-33.823381319547707</v>
          </cell>
        </row>
        <row r="28">
          <cell r="M28">
            <v>0</v>
          </cell>
          <cell r="V28">
            <v>0</v>
          </cell>
          <cell r="W28">
            <v>0</v>
          </cell>
        </row>
        <row r="29">
          <cell r="M29">
            <v>344.19866489999998</v>
          </cell>
          <cell r="V29">
            <v>-7.158095682709722</v>
          </cell>
          <cell r="W29">
            <v>-3.5790478456474526</v>
          </cell>
        </row>
        <row r="30">
          <cell r="Q30">
            <v>3.9369620636393127E-2</v>
          </cell>
          <cell r="AD30">
            <v>-1.779253193148179</v>
          </cell>
        </row>
        <row r="34">
          <cell r="M34">
            <v>152326.85547300003</v>
          </cell>
          <cell r="V34">
            <v>-3087.6127386299509</v>
          </cell>
          <cell r="W34">
            <v>-1543.8063711665654</v>
          </cell>
        </row>
        <row r="37">
          <cell r="M37">
            <v>282181.20853210002</v>
          </cell>
          <cell r="V37">
            <v>-5607.4113638109948</v>
          </cell>
          <cell r="W37">
            <v>-2803.705685268169</v>
          </cell>
        </row>
        <row r="41">
          <cell r="M41">
            <v>18573.374453500001</v>
          </cell>
          <cell r="V41">
            <v>-434.37069790773279</v>
          </cell>
          <cell r="W41">
            <v>-217.18534921435128</v>
          </cell>
        </row>
        <row r="42">
          <cell r="M42">
            <v>244.623762</v>
          </cell>
          <cell r="V42">
            <v>-4.8609999999999998</v>
          </cell>
          <cell r="W42">
            <v>-2.431</v>
          </cell>
        </row>
        <row r="46">
          <cell r="M46">
            <v>140715.94650230001</v>
          </cell>
          <cell r="V46">
            <v>-2904.5769778112995</v>
          </cell>
          <cell r="W46">
            <v>-1452.2884906474762</v>
          </cell>
        </row>
        <row r="47">
          <cell r="M47">
            <v>12986.189672500001</v>
          </cell>
          <cell r="V47">
            <v>-258.05700000000002</v>
          </cell>
          <cell r="W47">
            <v>-129.029</v>
          </cell>
        </row>
        <row r="48">
          <cell r="M48">
            <v>13649.724453500001</v>
          </cell>
          <cell r="V48">
            <v>-271.24299999999999</v>
          </cell>
          <cell r="W48">
            <v>-135.62100000000001</v>
          </cell>
        </row>
        <row r="50">
          <cell r="M50">
            <v>32883.941961600001</v>
          </cell>
          <cell r="V50">
            <v>-695.11500000000001</v>
          </cell>
          <cell r="W50">
            <v>-347.55700000000002</v>
          </cell>
        </row>
        <row r="51">
          <cell r="M51">
            <v>32991.778144999997</v>
          </cell>
          <cell r="V51">
            <v>-697.39400000000001</v>
          </cell>
          <cell r="W51">
            <v>-348.697</v>
          </cell>
        </row>
        <row r="56">
          <cell r="M56">
            <v>1404.0536836551485</v>
          </cell>
          <cell r="V56">
            <v>-23.835267421272736</v>
          </cell>
          <cell r="W56">
            <v>-11.917633724929987</v>
          </cell>
        </row>
        <row r="57">
          <cell r="M57">
            <v>3824.9332010673897</v>
          </cell>
          <cell r="V57">
            <v>-64.932207918581241</v>
          </cell>
          <cell r="W57">
            <v>-32.4661039982294</v>
          </cell>
        </row>
        <row r="58">
          <cell r="M58">
            <v>1374.6995729707035</v>
          </cell>
          <cell r="V58">
            <v>-23.33695094931565</v>
          </cell>
          <cell r="W58">
            <v>-11.668475488652609</v>
          </cell>
        </row>
        <row r="59">
          <cell r="M59">
            <v>790.87435599999981</v>
          </cell>
          <cell r="V59">
            <v>-13.888868830442107</v>
          </cell>
          <cell r="W59">
            <v>-6.9444344235499775</v>
          </cell>
        </row>
        <row r="60">
          <cell r="M60">
            <v>818.15905110000006</v>
          </cell>
          <cell r="V60">
            <v>-14.940078921871272</v>
          </cell>
          <cell r="W60">
            <v>-7.4700394698949539</v>
          </cell>
        </row>
      </sheetData>
      <sheetData sheetId="2"/>
      <sheetData sheetId="3">
        <row r="8">
          <cell r="S8">
            <v>0</v>
          </cell>
          <cell r="T8">
            <v>0</v>
          </cell>
        </row>
        <row r="15">
          <cell r="F15">
            <v>9213599.1333350316</v>
          </cell>
          <cell r="G15">
            <v>9198276.8000017013</v>
          </cell>
          <cell r="H15">
            <v>15322.33333333333</v>
          </cell>
          <cell r="I15">
            <v>17041.058750000539</v>
          </cell>
          <cell r="J15">
            <v>28.496875000000003</v>
          </cell>
          <cell r="M15">
            <v>1867909708</v>
          </cell>
          <cell r="N15">
            <v>1593554557</v>
          </cell>
          <cell r="P15">
            <v>1377768740</v>
          </cell>
          <cell r="Q15">
            <v>1101212309</v>
          </cell>
          <cell r="R15">
            <v>569898262</v>
          </cell>
          <cell r="S15">
            <v>0</v>
          </cell>
          <cell r="T15">
            <v>0</v>
          </cell>
          <cell r="X15">
            <v>16316464</v>
          </cell>
          <cell r="AE15">
            <v>0</v>
          </cell>
          <cell r="AG15">
            <v>3153882</v>
          </cell>
          <cell r="AH15">
            <v>2031579</v>
          </cell>
          <cell r="AI15">
            <v>837642</v>
          </cell>
          <cell r="AJ15">
            <v>3650177</v>
          </cell>
          <cell r="AK15">
            <v>2769371</v>
          </cell>
          <cell r="AL15">
            <v>4.2413541666666674</v>
          </cell>
          <cell r="AM15">
            <v>249.56681818181821</v>
          </cell>
          <cell r="AN15">
            <v>2157725.8666665284</v>
          </cell>
          <cell r="AO15">
            <v>12043.933333333331</v>
          </cell>
          <cell r="AP15">
            <v>5133.5599999999695</v>
          </cell>
          <cell r="AQ15">
            <v>21.559374999999999</v>
          </cell>
          <cell r="AX15">
            <v>-325220</v>
          </cell>
        </row>
        <row r="16">
          <cell r="F16">
            <v>4580.7333333333299</v>
          </cell>
          <cell r="G16">
            <v>4568.7333333333299</v>
          </cell>
          <cell r="H16">
            <v>12</v>
          </cell>
          <cell r="I16">
            <v>9.9312500000000004</v>
          </cell>
          <cell r="J16">
            <v>0</v>
          </cell>
          <cell r="M16">
            <v>929999</v>
          </cell>
          <cell r="N16">
            <v>777287</v>
          </cell>
          <cell r="P16">
            <v>679877</v>
          </cell>
          <cell r="Q16">
            <v>496816</v>
          </cell>
          <cell r="R16">
            <v>207082</v>
          </cell>
          <cell r="S16">
            <v>333042</v>
          </cell>
          <cell r="T16">
            <v>1050725</v>
          </cell>
          <cell r="X16">
            <v>0</v>
          </cell>
          <cell r="AE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1018.9333333333341</v>
          </cell>
          <cell r="AO16">
            <v>0</v>
          </cell>
          <cell r="AP16">
            <v>4.4237500000000001</v>
          </cell>
          <cell r="AQ16">
            <v>0</v>
          </cell>
          <cell r="AX16">
            <v>0</v>
          </cell>
        </row>
        <row r="17">
          <cell r="F17">
            <v>3278.9666666666699</v>
          </cell>
          <cell r="G17">
            <v>3278.9666666666699</v>
          </cell>
          <cell r="H17">
            <v>0</v>
          </cell>
          <cell r="I17">
            <v>0.1</v>
          </cell>
          <cell r="J17">
            <v>0</v>
          </cell>
          <cell r="X17">
            <v>0</v>
          </cell>
          <cell r="Y17">
            <v>228976</v>
          </cell>
          <cell r="Z17">
            <v>1067463</v>
          </cell>
          <cell r="AA17">
            <v>384603</v>
          </cell>
          <cell r="AB17">
            <v>2360279</v>
          </cell>
          <cell r="AL17">
            <v>0</v>
          </cell>
          <cell r="AM17">
            <v>0</v>
          </cell>
          <cell r="AN17">
            <v>201.06666666666672</v>
          </cell>
          <cell r="AO17">
            <v>0</v>
          </cell>
          <cell r="AP17">
            <v>0</v>
          </cell>
          <cell r="AQ17">
            <v>0</v>
          </cell>
          <cell r="AX17">
            <v>0</v>
          </cell>
        </row>
        <row r="18">
          <cell r="F18">
            <v>253674.66666666619</v>
          </cell>
          <cell r="G18">
            <v>253474.43333333288</v>
          </cell>
          <cell r="H18">
            <v>200.23333333333329</v>
          </cell>
          <cell r="I18">
            <v>52.0625</v>
          </cell>
          <cell r="J18">
            <v>0</v>
          </cell>
          <cell r="M18">
            <v>50852976</v>
          </cell>
          <cell r="N18">
            <v>34650982</v>
          </cell>
          <cell r="P18">
            <v>37426840</v>
          </cell>
          <cell r="Q18">
            <v>22662236</v>
          </cell>
          <cell r="R18">
            <v>6644784</v>
          </cell>
          <cell r="S18">
            <v>7500</v>
          </cell>
          <cell r="T18">
            <v>23518</v>
          </cell>
          <cell r="X18">
            <v>123079</v>
          </cell>
          <cell r="AE18">
            <v>0</v>
          </cell>
          <cell r="AG18">
            <v>26430</v>
          </cell>
          <cell r="AH18">
            <v>17502</v>
          </cell>
          <cell r="AI18">
            <v>5900</v>
          </cell>
          <cell r="AJ18">
            <v>34237</v>
          </cell>
          <cell r="AK18">
            <v>15987</v>
          </cell>
          <cell r="AL18">
            <v>0</v>
          </cell>
          <cell r="AM18">
            <v>0</v>
          </cell>
          <cell r="AN18">
            <v>120600.53333333343</v>
          </cell>
          <cell r="AO18">
            <v>168.4</v>
          </cell>
          <cell r="AP18">
            <v>20.868749999999999</v>
          </cell>
          <cell r="AQ18">
            <v>0</v>
          </cell>
          <cell r="AX18">
            <v>-4359</v>
          </cell>
        </row>
        <row r="19">
          <cell r="F19">
            <v>358674.66666666663</v>
          </cell>
          <cell r="G19">
            <v>358350.66666666663</v>
          </cell>
          <cell r="H19">
            <v>324</v>
          </cell>
          <cell r="I19">
            <v>41793.397499999999</v>
          </cell>
          <cell r="J19">
            <v>9.7675000000000001</v>
          </cell>
          <cell r="M19">
            <v>40695610</v>
          </cell>
          <cell r="N19">
            <v>39850831</v>
          </cell>
          <cell r="P19">
            <v>18985226</v>
          </cell>
          <cell r="Q19">
            <v>12068046</v>
          </cell>
          <cell r="R19">
            <v>6627668</v>
          </cell>
          <cell r="S19">
            <v>5872</v>
          </cell>
          <cell r="T19">
            <v>40803</v>
          </cell>
          <cell r="X19">
            <v>0</v>
          </cell>
          <cell r="AE19">
            <v>0</v>
          </cell>
          <cell r="AL19">
            <v>0</v>
          </cell>
          <cell r="AM19">
            <v>12</v>
          </cell>
          <cell r="AN19">
            <v>10626.899999999987</v>
          </cell>
          <cell r="AO19">
            <v>228</v>
          </cell>
          <cell r="AP19">
            <v>661.76374999999996</v>
          </cell>
          <cell r="AQ19">
            <v>2.5</v>
          </cell>
          <cell r="AX19">
            <v>0</v>
          </cell>
        </row>
        <row r="20">
          <cell r="F20">
            <v>56694.066666666578</v>
          </cell>
          <cell r="G20">
            <v>56694.066666666578</v>
          </cell>
          <cell r="H20">
            <v>0</v>
          </cell>
          <cell r="I20">
            <v>13201.804999999977</v>
          </cell>
          <cell r="J20">
            <v>0</v>
          </cell>
          <cell r="M20">
            <v>11548101</v>
          </cell>
          <cell r="N20">
            <v>9070978</v>
          </cell>
          <cell r="P20">
            <v>9080416</v>
          </cell>
          <cell r="Q20">
            <v>5694522</v>
          </cell>
          <cell r="R20">
            <v>1639713</v>
          </cell>
          <cell r="S20">
            <v>1261</v>
          </cell>
          <cell r="T20">
            <v>8120</v>
          </cell>
          <cell r="X20">
            <v>0</v>
          </cell>
          <cell r="AE20">
            <v>303.69499999999999</v>
          </cell>
          <cell r="AL20">
            <v>0</v>
          </cell>
          <cell r="AM20">
            <v>0</v>
          </cell>
          <cell r="AN20">
            <v>690.83333333333326</v>
          </cell>
          <cell r="AO20">
            <v>0</v>
          </cell>
          <cell r="AP20">
            <v>95.39</v>
          </cell>
          <cell r="AQ20">
            <v>0</v>
          </cell>
          <cell r="AX20">
            <v>0</v>
          </cell>
        </row>
      </sheetData>
      <sheetData sheetId="4"/>
      <sheetData sheetId="5"/>
      <sheetData sheetId="6"/>
      <sheetData sheetId="7">
        <row r="7">
          <cell r="B7">
            <v>0.22</v>
          </cell>
          <cell r="D7">
            <v>16738185.022599567</v>
          </cell>
          <cell r="E7">
            <v>3150762.7990320884</v>
          </cell>
          <cell r="F7">
            <v>195834</v>
          </cell>
          <cell r="H7">
            <v>295175.5</v>
          </cell>
          <cell r="I7">
            <v>233367.5</v>
          </cell>
          <cell r="J7">
            <v>0</v>
          </cell>
          <cell r="L7">
            <v>13491.679447852759</v>
          </cell>
        </row>
        <row r="8">
          <cell r="B8">
            <v>4.3259225059520533E-2</v>
          </cell>
          <cell r="D8">
            <v>27660372.477400444</v>
          </cell>
          <cell r="E8">
            <v>7099274.2009679126</v>
          </cell>
          <cell r="F8">
            <v>1401051</v>
          </cell>
          <cell r="H8">
            <v>668213.5</v>
          </cell>
          <cell r="I8">
            <v>418289.5</v>
          </cell>
          <cell r="J8">
            <v>0</v>
          </cell>
          <cell r="L8">
            <v>54286.820552147241</v>
          </cell>
        </row>
        <row r="9">
          <cell r="B9">
            <v>0.19469</v>
          </cell>
          <cell r="D9">
            <v>28489192.960666597</v>
          </cell>
          <cell r="E9">
            <v>5219922.7807393372</v>
          </cell>
          <cell r="F9">
            <v>338106.98885443184</v>
          </cell>
          <cell r="H9">
            <v>1056515.1250939311</v>
          </cell>
          <cell r="I9">
            <v>502344.50077107706</v>
          </cell>
          <cell r="J9">
            <v>689.99085923217501</v>
          </cell>
          <cell r="L9">
            <v>13700.011846547257</v>
          </cell>
        </row>
        <row r="10">
          <cell r="B10">
            <v>3.8282999999999998E-2</v>
          </cell>
          <cell r="D10">
            <v>59566029.039333321</v>
          </cell>
          <cell r="E10">
            <v>9097843.2192606572</v>
          </cell>
          <cell r="F10">
            <v>2623727.011145568</v>
          </cell>
          <cell r="H10">
            <v>3244722.3749060687</v>
          </cell>
          <cell r="I10">
            <v>868836.999228923</v>
          </cell>
          <cell r="J10">
            <v>2323.0091407678251</v>
          </cell>
          <cell r="L10">
            <v>67669.988153452752</v>
          </cell>
        </row>
        <row r="11">
          <cell r="B11">
            <v>0.06</v>
          </cell>
          <cell r="D11">
            <v>23100544</v>
          </cell>
          <cell r="E11">
            <v>5446462</v>
          </cell>
          <cell r="F11">
            <v>830941</v>
          </cell>
          <cell r="H11">
            <v>484267</v>
          </cell>
          <cell r="I11">
            <v>467860</v>
          </cell>
          <cell r="J11">
            <v>0</v>
          </cell>
          <cell r="L11">
            <v>35257.5</v>
          </cell>
        </row>
        <row r="12">
          <cell r="B12">
            <v>-2.3358E-2</v>
          </cell>
          <cell r="D12">
            <v>21298013.5</v>
          </cell>
          <cell r="E12">
            <v>4803575</v>
          </cell>
          <cell r="F12">
            <v>765944</v>
          </cell>
          <cell r="H12">
            <v>479122</v>
          </cell>
          <cell r="I12">
            <v>183797</v>
          </cell>
          <cell r="J12">
            <v>0</v>
          </cell>
          <cell r="L12">
            <v>32521</v>
          </cell>
        </row>
        <row r="13">
          <cell r="B13">
            <v>5.3096999999999998E-2</v>
          </cell>
          <cell r="D13">
            <v>47105532.5</v>
          </cell>
          <cell r="E13">
            <v>8833500.5</v>
          </cell>
          <cell r="F13">
            <v>1469173.5</v>
          </cell>
          <cell r="H13">
            <v>2242922.5</v>
          </cell>
          <cell r="I13">
            <v>1001125.5</v>
          </cell>
          <cell r="J13">
            <v>1005</v>
          </cell>
          <cell r="L13">
            <v>39867.5</v>
          </cell>
        </row>
        <row r="14">
          <cell r="B14">
            <v>-2.0670999999999998E-2</v>
          </cell>
          <cell r="D14">
            <v>40949689.5</v>
          </cell>
          <cell r="E14">
            <v>5484265.5</v>
          </cell>
          <cell r="F14">
            <v>1492660.5</v>
          </cell>
          <cell r="H14">
            <v>2058315</v>
          </cell>
          <cell r="I14">
            <v>370056</v>
          </cell>
          <cell r="J14">
            <v>2008</v>
          </cell>
          <cell r="L14">
            <v>41502.5</v>
          </cell>
        </row>
        <row r="22">
          <cell r="D22">
            <v>14061.016666649997</v>
          </cell>
          <cell r="E22">
            <v>2090.65</v>
          </cell>
          <cell r="F22">
            <v>118.29999999999998</v>
          </cell>
          <cell r="H22">
            <v>412.38333333333333</v>
          </cell>
          <cell r="I22">
            <v>12</v>
          </cell>
          <cell r="J22">
            <v>37.433333333333337</v>
          </cell>
          <cell r="L22">
            <v>55.716666666666669</v>
          </cell>
        </row>
        <row r="23">
          <cell r="D23">
            <v>19353983.668316837</v>
          </cell>
          <cell r="E23">
            <v>4185638.1212871289</v>
          </cell>
          <cell r="F23">
            <v>70433.487623762368</v>
          </cell>
          <cell r="H23">
            <v>471759</v>
          </cell>
          <cell r="I23">
            <v>13275</v>
          </cell>
          <cell r="J23">
            <v>9275</v>
          </cell>
          <cell r="L23">
            <v>111994.63366336633</v>
          </cell>
        </row>
        <row r="24">
          <cell r="D24">
            <v>44598391.331683159</v>
          </cell>
          <cell r="E24">
            <v>9571608.8787128702</v>
          </cell>
          <cell r="F24">
            <v>165608.5123762376</v>
          </cell>
          <cell r="H24">
            <v>1131389</v>
          </cell>
          <cell r="I24">
            <v>26685</v>
          </cell>
          <cell r="J24">
            <v>25125</v>
          </cell>
          <cell r="L24">
            <v>266833.36633663368</v>
          </cell>
        </row>
        <row r="25">
          <cell r="D25">
            <v>33445107.804455444</v>
          </cell>
          <cell r="E25">
            <v>7459634.6336633675</v>
          </cell>
          <cell r="F25">
            <v>120935.20792079209</v>
          </cell>
          <cell r="H25">
            <v>798767.5</v>
          </cell>
          <cell r="I25">
            <v>22525</v>
          </cell>
          <cell r="J25">
            <v>35390</v>
          </cell>
          <cell r="L25">
            <v>151504.07425742573</v>
          </cell>
        </row>
        <row r="26">
          <cell r="D26">
            <v>79863876.695544586</v>
          </cell>
          <cell r="E26">
            <v>16404117.366336634</v>
          </cell>
          <cell r="F26">
            <v>224349.79207920792</v>
          </cell>
          <cell r="H26">
            <v>2071239.9999999998</v>
          </cell>
          <cell r="I26">
            <v>46055</v>
          </cell>
          <cell r="J26">
            <v>145099.5</v>
          </cell>
          <cell r="L26">
            <v>460068.42574257427</v>
          </cell>
        </row>
        <row r="27">
          <cell r="D27">
            <v>35515983.674359836</v>
          </cell>
          <cell r="E27">
            <v>7640094.0521151097</v>
          </cell>
          <cell r="F27">
            <v>131086.04361391169</v>
          </cell>
          <cell r="H27">
            <v>890309.04943846958</v>
          </cell>
          <cell r="I27">
            <v>22191.806131162721</v>
          </cell>
          <cell r="J27">
            <v>19104.057330130072</v>
          </cell>
          <cell r="L27">
            <v>210382.32064704984</v>
          </cell>
        </row>
        <row r="28">
          <cell r="D28">
            <v>28436391.325640164</v>
          </cell>
          <cell r="E28">
            <v>6117152.9478848893</v>
          </cell>
          <cell r="F28">
            <v>104955.95638608832</v>
          </cell>
          <cell r="H28">
            <v>712838.95056153019</v>
          </cell>
          <cell r="I28">
            <v>17768.193868837279</v>
          </cell>
          <cell r="J28">
            <v>15295.942669869928</v>
          </cell>
          <cell r="L28">
            <v>168445.67935295016</v>
          </cell>
        </row>
        <row r="29">
          <cell r="D29">
            <v>62926201.625198364</v>
          </cell>
          <cell r="E29">
            <v>13252746.69534901</v>
          </cell>
          <cell r="F29">
            <v>191754.1986986617</v>
          </cell>
          <cell r="H29">
            <v>1593860.1109855603</v>
          </cell>
          <cell r="I29">
            <v>38085.937549427908</v>
          </cell>
          <cell r="J29">
            <v>100234.93475251488</v>
          </cell>
          <cell r="L29">
            <v>339637.09597473755</v>
          </cell>
        </row>
        <row r="30">
          <cell r="D30">
            <v>50382782.874801628</v>
          </cell>
          <cell r="E30">
            <v>10611005.304650979</v>
          </cell>
          <cell r="F30">
            <v>153530.8013013383</v>
          </cell>
          <cell r="H30">
            <v>1276147.3890144394</v>
          </cell>
          <cell r="I30">
            <v>30494.062450572088</v>
          </cell>
          <cell r="J30">
            <v>80254.565247485123</v>
          </cell>
          <cell r="L30">
            <v>271935.40402526245</v>
          </cell>
        </row>
        <row r="31">
          <cell r="D31">
            <v>33386.598958333328</v>
          </cell>
          <cell r="E31">
            <v>24029.583333333336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</row>
        <row r="32">
          <cell r="D32">
            <v>799246.5</v>
          </cell>
          <cell r="E32">
            <v>400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</row>
        <row r="38">
          <cell r="D38">
            <v>54</v>
          </cell>
          <cell r="E38">
            <v>2</v>
          </cell>
          <cell r="F38">
            <v>7</v>
          </cell>
        </row>
        <row r="39">
          <cell r="D39">
            <v>20514.5</v>
          </cell>
          <cell r="E39">
            <v>0</v>
          </cell>
          <cell r="F39">
            <v>1900</v>
          </cell>
        </row>
        <row r="40">
          <cell r="D40">
            <v>21924</v>
          </cell>
          <cell r="E40">
            <v>0</v>
          </cell>
          <cell r="F40">
            <v>7729.5</v>
          </cell>
        </row>
        <row r="41">
          <cell r="D41">
            <v>43500.5</v>
          </cell>
          <cell r="E41">
            <v>3467.5</v>
          </cell>
          <cell r="F41">
            <v>2874</v>
          </cell>
        </row>
        <row r="42">
          <cell r="D42">
            <v>25370.5</v>
          </cell>
          <cell r="E42">
            <v>75.5</v>
          </cell>
          <cell r="F42">
            <v>258.5</v>
          </cell>
        </row>
        <row r="43">
          <cell r="D43">
            <v>23568.242354788523</v>
          </cell>
          <cell r="E43">
            <v>0</v>
          </cell>
          <cell r="F43">
            <v>5347.7476761769631</v>
          </cell>
        </row>
        <row r="44">
          <cell r="D44">
            <v>18870.257645211477</v>
          </cell>
          <cell r="E44">
            <v>0</v>
          </cell>
          <cell r="F44">
            <v>4281.7523238230369</v>
          </cell>
        </row>
        <row r="45">
          <cell r="D45">
            <v>38247.544546028723</v>
          </cell>
          <cell r="E45">
            <v>1967.6068349026409</v>
          </cell>
          <cell r="F45">
            <v>1739.6354530997805</v>
          </cell>
        </row>
        <row r="46">
          <cell r="D46">
            <v>30623.455453971277</v>
          </cell>
          <cell r="E46">
            <v>1575.3931650973593</v>
          </cell>
          <cell r="F46">
            <v>1392.8645469002195</v>
          </cell>
        </row>
        <row r="47">
          <cell r="D47">
            <v>0</v>
          </cell>
          <cell r="E47">
            <v>0</v>
          </cell>
          <cell r="F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</row>
        <row r="55">
          <cell r="D55">
            <v>1083158.4146039609</v>
          </cell>
          <cell r="E55">
            <v>237102.33168316825</v>
          </cell>
          <cell r="F55">
            <v>3964.2846534653472</v>
          </cell>
          <cell r="H55">
            <v>30550</v>
          </cell>
          <cell r="I55">
            <v>716</v>
          </cell>
          <cell r="J55">
            <v>1329.6670792079208</v>
          </cell>
          <cell r="L55">
            <v>5287.6844059405939</v>
          </cell>
        </row>
        <row r="56">
          <cell r="D56">
            <v>396337.73143564368</v>
          </cell>
          <cell r="E56">
            <v>85670.315594059415</v>
          </cell>
          <cell r="F56">
            <v>1503.5334158415844</v>
          </cell>
          <cell r="H56">
            <v>11597.5</v>
          </cell>
          <cell r="I56">
            <v>265.5</v>
          </cell>
          <cell r="J56">
            <v>371</v>
          </cell>
          <cell r="L56">
            <v>2252.7326732673264</v>
          </cell>
        </row>
        <row r="57">
          <cell r="D57">
            <v>686820.68316831719</v>
          </cell>
          <cell r="E57">
            <v>151432.01608910886</v>
          </cell>
          <cell r="F57">
            <v>2460.7512376237623</v>
          </cell>
          <cell r="H57">
            <v>18952.5</v>
          </cell>
          <cell r="I57">
            <v>450.5</v>
          </cell>
          <cell r="J57">
            <v>958.66707920792078</v>
          </cell>
          <cell r="L57">
            <v>3034.9517326732675</v>
          </cell>
        </row>
        <row r="58">
          <cell r="F58">
            <v>0</v>
          </cell>
        </row>
        <row r="59">
          <cell r="D59">
            <v>63952375</v>
          </cell>
          <cell r="E59">
            <v>13757247</v>
          </cell>
          <cell r="F59">
            <v>236042</v>
          </cell>
          <cell r="H59">
            <v>1603148</v>
          </cell>
          <cell r="I59">
            <v>39960</v>
          </cell>
          <cell r="J59">
            <v>34400</v>
          </cell>
          <cell r="L59">
            <v>378828</v>
          </cell>
        </row>
        <row r="60">
          <cell r="D60">
            <v>113308984.5</v>
          </cell>
          <cell r="E60">
            <v>23863752</v>
          </cell>
          <cell r="F60">
            <v>345285</v>
          </cell>
          <cell r="H60">
            <v>2870007.5</v>
          </cell>
          <cell r="I60">
            <v>68580</v>
          </cell>
          <cell r="J60">
            <v>180489.5</v>
          </cell>
          <cell r="L60">
            <v>611572.5</v>
          </cell>
        </row>
        <row r="61">
          <cell r="F61">
            <v>0</v>
          </cell>
        </row>
        <row r="68">
          <cell r="D68">
            <v>2327</v>
          </cell>
          <cell r="E68">
            <v>79</v>
          </cell>
          <cell r="F68">
            <v>139.5</v>
          </cell>
        </row>
        <row r="69">
          <cell r="D69">
            <v>775.5</v>
          </cell>
          <cell r="E69">
            <v>0</v>
          </cell>
          <cell r="F69">
            <v>38</v>
          </cell>
        </row>
        <row r="70">
          <cell r="D70">
            <v>1551.5</v>
          </cell>
          <cell r="E70">
            <v>79</v>
          </cell>
          <cell r="F70">
            <v>101.5</v>
          </cell>
        </row>
        <row r="72">
          <cell r="D72">
            <v>42438.5</v>
          </cell>
          <cell r="E72">
            <v>0</v>
          </cell>
          <cell r="F72">
            <v>9629.5</v>
          </cell>
        </row>
        <row r="73">
          <cell r="D73">
            <v>68871</v>
          </cell>
          <cell r="E73">
            <v>3543</v>
          </cell>
          <cell r="F73">
            <v>3132.5</v>
          </cell>
        </row>
      </sheetData>
      <sheetData sheetId="8"/>
      <sheetData sheetId="9">
        <row r="15">
          <cell r="B15">
            <v>9.71933359316143</v>
          </cell>
          <cell r="C15">
            <v>8.7593335931614291</v>
          </cell>
          <cell r="D15">
            <v>9.2301884729287451</v>
          </cell>
          <cell r="E15">
            <v>8.1001884729287461</v>
          </cell>
          <cell r="F15">
            <v>5.3167732031743373</v>
          </cell>
        </row>
        <row r="29">
          <cell r="B29">
            <v>0.47533331804932771</v>
          </cell>
          <cell r="C29">
            <v>0.46897772216150208</v>
          </cell>
          <cell r="D29">
            <v>0.69940067806301498</v>
          </cell>
          <cell r="E29">
            <v>0.69004911800052748</v>
          </cell>
          <cell r="F29">
            <v>0.64571497837097103</v>
          </cell>
        </row>
        <row r="42">
          <cell r="B42">
            <v>0.38298037687285708</v>
          </cell>
          <cell r="C42">
            <v>0.37348812896188011</v>
          </cell>
          <cell r="D42">
            <v>0.58998891335713266</v>
          </cell>
          <cell r="E42">
            <v>0.57536591602227694</v>
          </cell>
          <cell r="F42">
            <v>0.55215096453014056</v>
          </cell>
        </row>
      </sheetData>
      <sheetData sheetId="10"/>
      <sheetData sheetId="11"/>
      <sheetData sheetId="12">
        <row r="21">
          <cell r="C21">
            <v>1991072378.2843997</v>
          </cell>
          <cell r="D21">
            <v>824015322.29981852</v>
          </cell>
          <cell r="E21">
            <v>506792188.93063062</v>
          </cell>
          <cell r="F21">
            <v>145688993.79795691</v>
          </cell>
          <cell r="G21">
            <v>6602986.819556863</v>
          </cell>
          <cell r="H21">
            <v>288156890.7667737</v>
          </cell>
          <cell r="I21">
            <v>18700056.840172794</v>
          </cell>
          <cell r="J21">
            <v>765398.96191146306</v>
          </cell>
          <cell r="K21">
            <v>790874.84867541841</v>
          </cell>
          <cell r="M21">
            <v>36208389.988141686</v>
          </cell>
          <cell r="N21">
            <v>31556113.744595375</v>
          </cell>
        </row>
        <row r="33">
          <cell r="C33">
            <v>18550956.738914341</v>
          </cell>
          <cell r="D33">
            <v>6643838.9365230203</v>
          </cell>
          <cell r="E33">
            <v>5037057.1483448297</v>
          </cell>
          <cell r="F33">
            <v>1479850.7141364384</v>
          </cell>
          <cell r="G33">
            <v>19914.684412632851</v>
          </cell>
          <cell r="H33">
            <v>3305314.8221868798</v>
          </cell>
          <cell r="I33">
            <v>155752.45477454085</v>
          </cell>
          <cell r="J33">
            <v>5235.8391670886958</v>
          </cell>
          <cell r="K33">
            <v>6748.2626197401551</v>
          </cell>
          <cell r="M33">
            <v>411947.45664541377</v>
          </cell>
          <cell r="N33">
            <v>314076.74633698328</v>
          </cell>
        </row>
        <row r="39">
          <cell r="C39">
            <v>417560889.85787803</v>
          </cell>
          <cell r="D39">
            <v>124955102.7360601</v>
          </cell>
          <cell r="E39">
            <v>113690719.46072581</v>
          </cell>
          <cell r="F39">
            <v>36798257.025808528</v>
          </cell>
          <cell r="G39">
            <v>928535.63343446807</v>
          </cell>
          <cell r="H39">
            <v>87198154.067556977</v>
          </cell>
          <cell r="I39">
            <v>4220941.1519937059</v>
          </cell>
          <cell r="J39">
            <v>142461.12882800435</v>
          </cell>
          <cell r="K39">
            <v>291107.61921613471</v>
          </cell>
          <cell r="M39">
            <v>11003979.606329594</v>
          </cell>
          <cell r="N39">
            <v>12527230.358310167</v>
          </cell>
        </row>
        <row r="45">
          <cell r="D45">
            <v>218972352.50635338</v>
          </cell>
          <cell r="E45">
            <v>165926068.4354316</v>
          </cell>
          <cell r="F45">
            <v>48724682.401492566</v>
          </cell>
          <cell r="G45">
            <v>598462.17642188619</v>
          </cell>
          <cell r="H45">
            <v>109018081.74075963</v>
          </cell>
          <cell r="I45">
            <v>5106794.7625593301</v>
          </cell>
          <cell r="J45">
            <v>170968.59537950539</v>
          </cell>
          <cell r="K45">
            <v>217579.90542771126</v>
          </cell>
          <cell r="M45">
            <v>13598256.965943886</v>
          </cell>
          <cell r="N45">
            <v>10259464.203391405</v>
          </cell>
        </row>
        <row r="51">
          <cell r="D51">
            <v>46001456.121074684</v>
          </cell>
          <cell r="E51">
            <v>34805458.811280563</v>
          </cell>
          <cell r="F51">
            <v>10232142.437238598</v>
          </cell>
          <cell r="G51">
            <v>119897.52674820059</v>
          </cell>
          <cell r="H51">
            <v>22966656.586086728</v>
          </cell>
          <cell r="I51">
            <v>1072514.8066086005</v>
          </cell>
          <cell r="J51">
            <v>35754.987843016461</v>
          </cell>
          <cell r="K51">
            <v>44963.39737821083</v>
          </cell>
          <cell r="M51">
            <v>2870817.2907364927</v>
          </cell>
          <cell r="N51">
            <v>2159828.8477343894</v>
          </cell>
        </row>
        <row r="63">
          <cell r="C63">
            <v>19463266.358698417</v>
          </cell>
          <cell r="D63">
            <v>6970573.4688380752</v>
          </cell>
          <cell r="E63">
            <v>5284772.441766724</v>
          </cell>
          <cell r="F63">
            <v>1552627.6636680458</v>
          </cell>
          <cell r="G63">
            <v>20894.060216280563</v>
          </cell>
          <cell r="H63">
            <v>3467865.4955098554</v>
          </cell>
          <cell r="I63">
            <v>163412.13857390665</v>
          </cell>
          <cell r="J63">
            <v>5493.3302769545899</v>
          </cell>
          <cell r="K63">
            <v>7080.1325600060227</v>
          </cell>
          <cell r="M63">
            <v>432206.44559312868</v>
          </cell>
          <cell r="N63">
            <v>329522.59320442012</v>
          </cell>
        </row>
        <row r="69">
          <cell r="C69">
            <v>3201477.6920453347</v>
          </cell>
          <cell r="D69">
            <v>1343014.8625186644</v>
          </cell>
          <cell r="E69">
            <v>866787.87792556547</v>
          </cell>
          <cell r="F69">
            <v>227521.09502075426</v>
          </cell>
          <cell r="G69">
            <v>-399.86983808426885</v>
          </cell>
          <cell r="H69">
            <v>468176.16064473661</v>
          </cell>
          <cell r="I69">
            <v>21166.561560956179</v>
          </cell>
          <cell r="J69">
            <v>707.00471351692886</v>
          </cell>
          <cell r="K69">
            <v>52.507000688207881</v>
          </cell>
          <cell r="M69">
            <v>57260.717241917213</v>
          </cell>
          <cell r="N69">
            <v>10603.699604179186</v>
          </cell>
        </row>
        <row r="75">
          <cell r="D75">
            <v>94069583.312087983</v>
          </cell>
          <cell r="E75">
            <v>71248583.679144189</v>
          </cell>
          <cell r="F75">
            <v>20947338.739968527</v>
          </cell>
          <cell r="G75">
            <v>277758.54033255205</v>
          </cell>
          <cell r="H75">
            <v>46748424.886199988</v>
          </cell>
          <cell r="I75">
            <v>2213651.5187218385</v>
          </cell>
          <cell r="J75">
            <v>66864.736405323842</v>
          </cell>
          <cell r="K75">
            <v>83497.771767512211</v>
          </cell>
          <cell r="M75">
            <v>5835456.8205666803</v>
          </cell>
          <cell r="N75">
            <v>4436157.254500214</v>
          </cell>
        </row>
        <row r="81">
          <cell r="D81">
            <v>29160715.617692821</v>
          </cell>
          <cell r="E81">
            <v>21999330.300989889</v>
          </cell>
          <cell r="F81">
            <v>6471365.1665644329</v>
          </cell>
          <cell r="G81">
            <v>84855.061080723404</v>
          </cell>
          <cell r="H81">
            <v>14476115.053927442</v>
          </cell>
          <cell r="I81">
            <v>684984.5517875771</v>
          </cell>
          <cell r="J81">
            <v>20592.182203977056</v>
          </cell>
          <cell r="K81">
            <v>25308.046139523918</v>
          </cell>
          <cell r="M81">
            <v>1811002.266533202</v>
          </cell>
          <cell r="N81">
            <v>1370303.2255143309</v>
          </cell>
        </row>
        <row r="87">
          <cell r="C87">
            <v>396030043.27259111</v>
          </cell>
          <cell r="D87">
            <v>250067457.85586035</v>
          </cell>
          <cell r="E87">
            <v>84674851.488026157</v>
          </cell>
          <cell r="F87">
            <v>18847578.117117625</v>
          </cell>
          <cell r="G87">
            <v>4263633.5059369728</v>
          </cell>
          <cell r="H87">
            <v>-246424.59216785041</v>
          </cell>
          <cell r="I87">
            <v>5021876.2856555711</v>
          </cell>
          <cell r="J87">
            <v>209401.08330370492</v>
          </cell>
          <cell r="K87">
            <v>88505.272376643043</v>
          </cell>
          <cell r="M87">
            <v>51088.43418781778</v>
          </cell>
          <cell r="N87">
            <v>44793.997045342818</v>
          </cell>
        </row>
        <row r="123">
          <cell r="C123">
            <v>42819676.961728759</v>
          </cell>
          <cell r="D123">
            <v>40927554.231821604</v>
          </cell>
          <cell r="E123">
            <v>175970.39642602939</v>
          </cell>
          <cell r="F123">
            <v>-457902.83071156684</v>
          </cell>
          <cell r="G123">
            <v>256976.61768138179</v>
          </cell>
          <cell r="H123">
            <v>-922734.30665142229</v>
          </cell>
          <cell r="I123">
            <v>-72886.896880993212</v>
          </cell>
          <cell r="J123">
            <v>103939.01386230187</v>
          </cell>
          <cell r="K123">
            <v>21989.581060871355</v>
          </cell>
          <cell r="M123">
            <v>-72523.722417710684</v>
          </cell>
          <cell r="N123">
            <v>-55122.540992552531</v>
          </cell>
        </row>
        <row r="129">
          <cell r="C129">
            <v>11854053.104647756</v>
          </cell>
          <cell r="D129">
            <v>4903672.6509878971</v>
          </cell>
          <cell r="E129">
            <v>3082588.8905694364</v>
          </cell>
          <cell r="F129">
            <v>865533.26765299472</v>
          </cell>
          <cell r="G129">
            <v>32458.883129849906</v>
          </cell>
          <cell r="H129">
            <v>1677260.8527207696</v>
          </cell>
          <cell r="I129">
            <v>111849.5048177623</v>
          </cell>
          <cell r="J129">
            <v>3981.0599280691022</v>
          </cell>
          <cell r="K129">
            <v>4042.3531283768598</v>
          </cell>
          <cell r="M129">
            <v>208897.70678128011</v>
          </cell>
          <cell r="N129">
            <v>159255.35994650843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2">
          <cell r="J12">
            <v>36991495</v>
          </cell>
        </row>
        <row r="13">
          <cell r="J13">
            <v>17487</v>
          </cell>
        </row>
        <row r="14">
          <cell r="J14">
            <v>22863</v>
          </cell>
        </row>
        <row r="15">
          <cell r="J15">
            <v>862476</v>
          </cell>
        </row>
        <row r="16">
          <cell r="J16">
            <v>668834</v>
          </cell>
        </row>
        <row r="17">
          <cell r="J17">
            <v>209507</v>
          </cell>
        </row>
        <row r="18">
          <cell r="J18">
            <v>716029</v>
          </cell>
        </row>
        <row r="19">
          <cell r="J19">
            <v>21392</v>
          </cell>
        </row>
        <row r="20">
          <cell r="J20">
            <v>51579</v>
          </cell>
        </row>
        <row r="21">
          <cell r="J21">
            <v>34</v>
          </cell>
        </row>
        <row r="22">
          <cell r="J22">
            <v>144</v>
          </cell>
        </row>
        <row r="23">
          <cell r="F23">
            <v>2277.3333333333298</v>
          </cell>
          <cell r="J23">
            <v>12711</v>
          </cell>
        </row>
        <row r="25">
          <cell r="J25">
            <v>576384</v>
          </cell>
        </row>
        <row r="26">
          <cell r="J26">
            <v>7239</v>
          </cell>
        </row>
        <row r="27">
          <cell r="J27">
            <v>818</v>
          </cell>
        </row>
        <row r="28">
          <cell r="F28">
            <v>2</v>
          </cell>
          <cell r="J28">
            <v>8</v>
          </cell>
        </row>
        <row r="45">
          <cell r="J45">
            <v>26762696</v>
          </cell>
        </row>
        <row r="46">
          <cell r="J46">
            <v>653301</v>
          </cell>
        </row>
        <row r="47">
          <cell r="J47">
            <v>31926</v>
          </cell>
        </row>
        <row r="48">
          <cell r="J48">
            <v>1507907</v>
          </cell>
        </row>
        <row r="49">
          <cell r="J49">
            <v>55861</v>
          </cell>
        </row>
        <row r="50">
          <cell r="J50">
            <v>1583</v>
          </cell>
        </row>
        <row r="51">
          <cell r="J51">
            <v>17350</v>
          </cell>
        </row>
        <row r="52">
          <cell r="F52">
            <v>3860.5833333333298</v>
          </cell>
          <cell r="J52">
            <v>38396</v>
          </cell>
        </row>
        <row r="53">
          <cell r="J53">
            <v>4950427</v>
          </cell>
        </row>
        <row r="54">
          <cell r="J54">
            <v>304568</v>
          </cell>
        </row>
        <row r="55">
          <cell r="J55">
            <v>8531</v>
          </cell>
        </row>
        <row r="56">
          <cell r="J56">
            <v>5102355</v>
          </cell>
        </row>
        <row r="57">
          <cell r="J57">
            <v>121585</v>
          </cell>
        </row>
        <row r="58">
          <cell r="J58">
            <v>77906</v>
          </cell>
        </row>
        <row r="59">
          <cell r="J59">
            <v>17601</v>
          </cell>
        </row>
        <row r="60">
          <cell r="J60">
            <v>6607774</v>
          </cell>
        </row>
        <row r="61">
          <cell r="J61">
            <v>51592</v>
          </cell>
        </row>
        <row r="62">
          <cell r="J62">
            <v>6097</v>
          </cell>
        </row>
        <row r="63">
          <cell r="J63">
            <v>714620</v>
          </cell>
        </row>
        <row r="64">
          <cell r="J64">
            <v>952892</v>
          </cell>
        </row>
        <row r="66">
          <cell r="F66">
            <v>2</v>
          </cell>
          <cell r="J66">
            <v>32</v>
          </cell>
        </row>
        <row r="83">
          <cell r="J83">
            <v>-9801655</v>
          </cell>
        </row>
        <row r="84">
          <cell r="J84">
            <v>-36163</v>
          </cell>
        </row>
        <row r="85">
          <cell r="J85">
            <v>-11805</v>
          </cell>
        </row>
        <row r="86">
          <cell r="J86">
            <v>-896706</v>
          </cell>
        </row>
        <row r="87">
          <cell r="J87">
            <v>-65582</v>
          </cell>
        </row>
        <row r="88">
          <cell r="J88">
            <v>-115</v>
          </cell>
        </row>
        <row r="89">
          <cell r="F89">
            <v>394</v>
          </cell>
          <cell r="J89">
            <v>-15790</v>
          </cell>
        </row>
        <row r="90">
          <cell r="J90">
            <v>-16409187</v>
          </cell>
        </row>
        <row r="91">
          <cell r="J91">
            <v>-58900180</v>
          </cell>
        </row>
        <row r="92">
          <cell r="J92">
            <v>-285680</v>
          </cell>
        </row>
        <row r="93">
          <cell r="J93">
            <v>-203</v>
          </cell>
        </row>
        <row r="94">
          <cell r="J94">
            <v>-772</v>
          </cell>
        </row>
        <row r="95">
          <cell r="J95">
            <v>-20362</v>
          </cell>
        </row>
        <row r="96">
          <cell r="J96">
            <v>-867916</v>
          </cell>
        </row>
        <row r="97">
          <cell r="J97">
            <v>-2869</v>
          </cell>
        </row>
        <row r="98">
          <cell r="J98">
            <v>-817118</v>
          </cell>
        </row>
        <row r="118">
          <cell r="J118">
            <v>377354</v>
          </cell>
        </row>
        <row r="119">
          <cell r="J119">
            <v>15646</v>
          </cell>
        </row>
        <row r="136">
          <cell r="F136">
            <v>193.916666666667</v>
          </cell>
          <cell r="J136">
            <v>-13404</v>
          </cell>
        </row>
        <row r="137">
          <cell r="F137">
            <v>717.16666666666697</v>
          </cell>
          <cell r="J137">
            <v>-501829</v>
          </cell>
        </row>
        <row r="138">
          <cell r="F138">
            <v>1005.41666666667</v>
          </cell>
          <cell r="J138">
            <v>-1535086</v>
          </cell>
        </row>
        <row r="139">
          <cell r="F139">
            <v>67</v>
          </cell>
          <cell r="J139">
            <v>-35087</v>
          </cell>
        </row>
        <row r="140">
          <cell r="F140">
            <v>169.5</v>
          </cell>
          <cell r="J140">
            <v>-112778</v>
          </cell>
        </row>
        <row r="141">
          <cell r="J141">
            <v>-32186</v>
          </cell>
        </row>
        <row r="142">
          <cell r="J142">
            <v>-161630</v>
          </cell>
        </row>
      </sheetData>
      <sheetData sheetId="27">
        <row r="12">
          <cell r="F12">
            <v>4301600</v>
          </cell>
        </row>
        <row r="13">
          <cell r="F13">
            <v>2003</v>
          </cell>
        </row>
        <row r="14">
          <cell r="F14">
            <v>2105</v>
          </cell>
        </row>
        <row r="15">
          <cell r="F15">
            <v>98698</v>
          </cell>
        </row>
        <row r="16">
          <cell r="F16">
            <v>85540</v>
          </cell>
        </row>
        <row r="17">
          <cell r="F17">
            <v>24549</v>
          </cell>
        </row>
        <row r="18">
          <cell r="F18">
            <v>57893</v>
          </cell>
        </row>
        <row r="19">
          <cell r="F19">
            <v>1984</v>
          </cell>
        </row>
        <row r="20">
          <cell r="F20">
            <v>4715</v>
          </cell>
        </row>
        <row r="21">
          <cell r="F21">
            <v>33</v>
          </cell>
        </row>
        <row r="22">
          <cell r="F22">
            <v>23</v>
          </cell>
        </row>
        <row r="23">
          <cell r="F23">
            <v>3843</v>
          </cell>
        </row>
        <row r="25">
          <cell r="F25">
            <v>66918</v>
          </cell>
        </row>
        <row r="26">
          <cell r="F26">
            <v>1014</v>
          </cell>
        </row>
        <row r="27">
          <cell r="F27">
            <v>81</v>
          </cell>
        </row>
        <row r="28">
          <cell r="F28">
            <v>1</v>
          </cell>
        </row>
        <row r="41">
          <cell r="L41">
            <v>6795.090000000062</v>
          </cell>
        </row>
        <row r="45">
          <cell r="F45">
            <v>2430886</v>
          </cell>
        </row>
        <row r="46">
          <cell r="F46">
            <v>61273</v>
          </cell>
        </row>
        <row r="47">
          <cell r="F47">
            <v>3599</v>
          </cell>
        </row>
        <row r="48">
          <cell r="F48">
            <v>190811</v>
          </cell>
        </row>
        <row r="49">
          <cell r="F49">
            <v>8044</v>
          </cell>
        </row>
        <row r="50">
          <cell r="F50">
            <v>163</v>
          </cell>
        </row>
        <row r="51">
          <cell r="F51">
            <v>1850</v>
          </cell>
        </row>
        <row r="52">
          <cell r="F52">
            <v>9758</v>
          </cell>
        </row>
        <row r="53">
          <cell r="F53">
            <v>391601</v>
          </cell>
        </row>
        <row r="54">
          <cell r="F54">
            <v>25662</v>
          </cell>
        </row>
        <row r="55">
          <cell r="F55">
            <v>806</v>
          </cell>
        </row>
        <row r="56">
          <cell r="F56">
            <v>317097</v>
          </cell>
        </row>
        <row r="57">
          <cell r="F57">
            <v>8886</v>
          </cell>
        </row>
        <row r="58">
          <cell r="F58">
            <v>6244</v>
          </cell>
        </row>
        <row r="59">
          <cell r="F59">
            <v>2008</v>
          </cell>
        </row>
        <row r="60">
          <cell r="F60">
            <v>714411</v>
          </cell>
        </row>
        <row r="61">
          <cell r="F61">
            <v>6025</v>
          </cell>
        </row>
        <row r="62">
          <cell r="F62">
            <v>646</v>
          </cell>
        </row>
        <row r="63">
          <cell r="F63">
            <v>48878</v>
          </cell>
        </row>
        <row r="64">
          <cell r="F64">
            <v>60349</v>
          </cell>
        </row>
        <row r="66">
          <cell r="F66">
            <v>3</v>
          </cell>
        </row>
        <row r="79">
          <cell r="L79">
            <v>3742344.1399999997</v>
          </cell>
        </row>
        <row r="83">
          <cell r="F83">
            <v>-781385.35258647613</v>
          </cell>
        </row>
        <row r="84">
          <cell r="F84">
            <v>-3174</v>
          </cell>
        </row>
        <row r="85">
          <cell r="F85">
            <v>-880</v>
          </cell>
        </row>
        <row r="86">
          <cell r="F86">
            <v>-98024</v>
          </cell>
        </row>
        <row r="87">
          <cell r="F87">
            <v>-8507</v>
          </cell>
        </row>
        <row r="88">
          <cell r="F88">
            <v>-42</v>
          </cell>
        </row>
        <row r="89">
          <cell r="F89">
            <v>-3114</v>
          </cell>
        </row>
        <row r="90">
          <cell r="F90">
            <v>-1127981</v>
          </cell>
        </row>
        <row r="91">
          <cell r="F91">
            <v>-2988512</v>
          </cell>
        </row>
        <row r="92">
          <cell r="F92">
            <v>-23865</v>
          </cell>
        </row>
        <row r="93">
          <cell r="F93">
            <v>-35</v>
          </cell>
        </row>
        <row r="94">
          <cell r="F94">
            <v>-71</v>
          </cell>
        </row>
        <row r="95">
          <cell r="F95">
            <v>-2422</v>
          </cell>
        </row>
        <row r="96">
          <cell r="F96">
            <v>-78953</v>
          </cell>
        </row>
        <row r="97">
          <cell r="F97">
            <v>-309</v>
          </cell>
        </row>
        <row r="98">
          <cell r="F98">
            <v>-56334</v>
          </cell>
        </row>
        <row r="114">
          <cell r="L114">
            <v>823369.79999999993</v>
          </cell>
        </row>
        <row r="118">
          <cell r="F118">
            <v>23011.63</v>
          </cell>
        </row>
        <row r="119">
          <cell r="F119">
            <v>988.36999999999898</v>
          </cell>
        </row>
        <row r="132">
          <cell r="L132">
            <v>231622.84</v>
          </cell>
        </row>
        <row r="136">
          <cell r="F136">
            <v>-3289</v>
          </cell>
        </row>
        <row r="137">
          <cell r="F137">
            <v>-143813</v>
          </cell>
        </row>
        <row r="138">
          <cell r="F138">
            <v>-92739</v>
          </cell>
        </row>
        <row r="139">
          <cell r="F139">
            <v>-4439</v>
          </cell>
        </row>
        <row r="140">
          <cell r="F140">
            <v>-13175</v>
          </cell>
        </row>
        <row r="141">
          <cell r="F141">
            <v>-2456</v>
          </cell>
        </row>
        <row r="142">
          <cell r="F142">
            <v>-16089</v>
          </cell>
        </row>
        <row r="155">
          <cell r="L155">
            <v>4655.0400000000009</v>
          </cell>
        </row>
      </sheetData>
      <sheetData sheetId="28"/>
      <sheetData sheetId="29">
        <row r="7">
          <cell r="P7">
            <v>9344849.0845141169</v>
          </cell>
        </row>
        <row r="8">
          <cell r="P8">
            <v>7464</v>
          </cell>
        </row>
        <row r="9">
          <cell r="P9">
            <v>216323</v>
          </cell>
        </row>
        <row r="10">
          <cell r="P10">
            <v>3780</v>
          </cell>
        </row>
        <row r="11">
          <cell r="P11">
            <v>348</v>
          </cell>
        </row>
        <row r="12">
          <cell r="P12">
            <v>12</v>
          </cell>
        </row>
        <row r="13">
          <cell r="P13">
            <v>26454</v>
          </cell>
        </row>
        <row r="14">
          <cell r="P14">
            <v>173250</v>
          </cell>
        </row>
        <row r="15">
          <cell r="P15">
            <v>24</v>
          </cell>
        </row>
        <row r="17">
          <cell r="P17">
            <v>415968</v>
          </cell>
        </row>
        <row r="19">
          <cell r="P19">
            <v>2448</v>
          </cell>
        </row>
        <row r="20">
          <cell r="P20">
            <v>204</v>
          </cell>
        </row>
        <row r="21">
          <cell r="P21">
            <v>12</v>
          </cell>
        </row>
        <row r="22">
          <cell r="P22">
            <v>5916</v>
          </cell>
        </row>
        <row r="23">
          <cell r="P23">
            <v>303702</v>
          </cell>
        </row>
        <row r="24">
          <cell r="P24">
            <v>322</v>
          </cell>
        </row>
        <row r="25">
          <cell r="P25">
            <v>3330</v>
          </cell>
        </row>
        <row r="26">
          <cell r="P26">
            <v>322</v>
          </cell>
        </row>
        <row r="31">
          <cell r="P31">
            <v>141468</v>
          </cell>
        </row>
        <row r="32">
          <cell r="P32">
            <v>28366</v>
          </cell>
        </row>
        <row r="33">
          <cell r="P33">
            <v>168</v>
          </cell>
        </row>
        <row r="34">
          <cell r="P34">
            <v>44639</v>
          </cell>
        </row>
        <row r="35">
          <cell r="P35">
            <v>1587</v>
          </cell>
        </row>
        <row r="36">
          <cell r="P36">
            <v>492</v>
          </cell>
        </row>
        <row r="37">
          <cell r="P37">
            <v>24</v>
          </cell>
        </row>
        <row r="38">
          <cell r="P38">
            <v>240</v>
          </cell>
        </row>
        <row r="39">
          <cell r="P39">
            <v>6444</v>
          </cell>
        </row>
        <row r="40">
          <cell r="P40">
            <v>13095</v>
          </cell>
        </row>
        <row r="41">
          <cell r="P41">
            <v>923789.33489688137</v>
          </cell>
        </row>
        <row r="42">
          <cell r="P42">
            <v>48</v>
          </cell>
        </row>
        <row r="45">
          <cell r="P45">
            <v>24</v>
          </cell>
        </row>
        <row r="46">
          <cell r="P46">
            <v>4032</v>
          </cell>
        </row>
        <row r="47">
          <cell r="P47">
            <v>1356</v>
          </cell>
        </row>
        <row r="48">
          <cell r="P48">
            <v>168</v>
          </cell>
        </row>
        <row r="49">
          <cell r="P49">
            <v>12360</v>
          </cell>
        </row>
        <row r="50">
          <cell r="P50">
            <v>611</v>
          </cell>
        </row>
        <row r="51">
          <cell r="P51">
            <v>1224</v>
          </cell>
        </row>
        <row r="56">
          <cell r="P56">
            <v>11868</v>
          </cell>
        </row>
        <row r="57">
          <cell r="P57">
            <v>3156</v>
          </cell>
        </row>
        <row r="58">
          <cell r="P58">
            <v>12</v>
          </cell>
        </row>
        <row r="59">
          <cell r="P59">
            <v>4836</v>
          </cell>
        </row>
        <row r="60">
          <cell r="P60">
            <v>1236</v>
          </cell>
        </row>
        <row r="61">
          <cell r="P61">
            <v>1380</v>
          </cell>
        </row>
        <row r="62">
          <cell r="P62">
            <v>84</v>
          </cell>
        </row>
        <row r="63">
          <cell r="P63">
            <v>72</v>
          </cell>
        </row>
        <row r="64">
          <cell r="P64">
            <v>144</v>
          </cell>
        </row>
        <row r="65">
          <cell r="P65">
            <v>36</v>
          </cell>
        </row>
        <row r="66">
          <cell r="P66">
            <v>37431.000000000007</v>
          </cell>
        </row>
        <row r="67">
          <cell r="P67">
            <v>36</v>
          </cell>
        </row>
        <row r="68">
          <cell r="P68">
            <v>12</v>
          </cell>
        </row>
        <row r="69">
          <cell r="P69">
            <v>12</v>
          </cell>
        </row>
        <row r="70">
          <cell r="P70">
            <v>12</v>
          </cell>
        </row>
        <row r="72">
          <cell r="P72">
            <v>198</v>
          </cell>
        </row>
        <row r="73">
          <cell r="P73">
            <v>429</v>
          </cell>
        </row>
        <row r="74">
          <cell r="P74">
            <v>462</v>
          </cell>
        </row>
        <row r="80">
          <cell r="P80">
            <v>42621.013056915959</v>
          </cell>
        </row>
        <row r="81">
          <cell r="P81">
            <v>668</v>
          </cell>
        </row>
        <row r="85">
          <cell r="P85">
            <v>1956</v>
          </cell>
        </row>
        <row r="86">
          <cell r="P86">
            <v>8580</v>
          </cell>
        </row>
        <row r="87">
          <cell r="P87">
            <v>11880</v>
          </cell>
        </row>
        <row r="88">
          <cell r="P88">
            <v>828</v>
          </cell>
        </row>
        <row r="89">
          <cell r="P89">
            <v>2040</v>
          </cell>
        </row>
        <row r="90">
          <cell r="P90">
            <v>1452</v>
          </cell>
        </row>
        <row r="91">
          <cell r="P91">
            <v>17880</v>
          </cell>
        </row>
        <row r="92">
          <cell r="P92">
            <v>1128</v>
          </cell>
        </row>
      </sheetData>
      <sheetData sheetId="30">
        <row r="7">
          <cell r="P7">
            <v>6307369906.5283775</v>
          </cell>
          <cell r="Q7">
            <v>3007523650.0609469</v>
          </cell>
          <cell r="R7">
            <v>3299846256.4674306</v>
          </cell>
          <cell r="S7">
            <v>2574663146.5606785</v>
          </cell>
          <cell r="T7">
            <v>3732706759.9676991</v>
          </cell>
        </row>
        <row r="8">
          <cell r="P8">
            <v>6392184.0452160826</v>
          </cell>
          <cell r="Q8">
            <v>2927493.2660247474</v>
          </cell>
          <cell r="R8">
            <v>3464690.7791913352</v>
          </cell>
          <cell r="S8">
            <v>2538960.9660247476</v>
          </cell>
          <cell r="T8">
            <v>3853223.079191335</v>
          </cell>
        </row>
        <row r="9">
          <cell r="P9">
            <v>134093071.70705788</v>
          </cell>
          <cell r="Q9">
            <v>59575129.583805196</v>
          </cell>
          <cell r="R9">
            <v>74517942.12325269</v>
          </cell>
          <cell r="S9">
            <v>49858247.188255906</v>
          </cell>
          <cell r="T9">
            <v>84234824.518801972</v>
          </cell>
        </row>
        <row r="10">
          <cell r="P10">
            <v>152445227.03459719</v>
          </cell>
          <cell r="R10">
            <v>86350444.844056189</v>
          </cell>
          <cell r="T10">
            <v>95452005.108341902</v>
          </cell>
        </row>
        <row r="11">
          <cell r="P11">
            <v>10146509</v>
          </cell>
          <cell r="Q11">
            <v>4598764</v>
          </cell>
          <cell r="R11">
            <v>5547745</v>
          </cell>
          <cell r="S11">
            <v>3884861</v>
          </cell>
          <cell r="T11">
            <v>6261648</v>
          </cell>
        </row>
        <row r="12">
          <cell r="Q12">
            <v>26592</v>
          </cell>
          <cell r="R12">
            <v>6774</v>
          </cell>
          <cell r="S12">
            <v>25685</v>
          </cell>
          <cell r="T12">
            <v>7681</v>
          </cell>
        </row>
        <row r="13">
          <cell r="P13">
            <v>2190362.1297112624</v>
          </cell>
        </row>
        <row r="14">
          <cell r="P14">
            <v>96513004.531002313</v>
          </cell>
          <cell r="Q14">
            <v>36743589.863586277</v>
          </cell>
          <cell r="R14">
            <v>59769414.667416036</v>
          </cell>
          <cell r="S14">
            <v>29379560.636753086</v>
          </cell>
          <cell r="T14">
            <v>67133443.894249231</v>
          </cell>
        </row>
        <row r="15">
          <cell r="P15">
            <v>1392</v>
          </cell>
        </row>
        <row r="17">
          <cell r="P17">
            <v>141202691.04164574</v>
          </cell>
          <cell r="Q17">
            <v>47156147.045808554</v>
          </cell>
          <cell r="R17">
            <v>94046543.995837182</v>
          </cell>
          <cell r="S17">
            <v>44008056.661832273</v>
          </cell>
          <cell r="T17">
            <v>97194634.379813462</v>
          </cell>
        </row>
        <row r="19">
          <cell r="P19">
            <v>1131554.8529529213</v>
          </cell>
          <cell r="Q19">
            <v>363192.14121781918</v>
          </cell>
          <cell r="R19">
            <v>768362.71173510212</v>
          </cell>
          <cell r="S19">
            <v>322216.20470988267</v>
          </cell>
          <cell r="T19">
            <v>809338.64824303868</v>
          </cell>
        </row>
        <row r="20">
          <cell r="Q20">
            <v>1752959.0476190476</v>
          </cell>
          <cell r="R20">
            <v>2820849.1373626376</v>
          </cell>
          <cell r="S20">
            <v>1454609.0476190476</v>
          </cell>
          <cell r="T20">
            <v>3119199.1373626376</v>
          </cell>
        </row>
        <row r="21">
          <cell r="P21">
            <v>0</v>
          </cell>
          <cell r="Q21">
            <v>0</v>
          </cell>
          <cell r="R21">
            <v>0</v>
          </cell>
        </row>
        <row r="22">
          <cell r="P22">
            <v>1559342.4796706466</v>
          </cell>
          <cell r="Q22">
            <v>733368.22123067221</v>
          </cell>
          <cell r="R22">
            <v>825974.25843997439</v>
          </cell>
          <cell r="S22">
            <v>692220.45092904801</v>
          </cell>
          <cell r="T22">
            <v>867122.02874159859</v>
          </cell>
        </row>
        <row r="23">
          <cell r="P23">
            <v>190360653.50344577</v>
          </cell>
          <cell r="Q23">
            <v>83491103.910419554</v>
          </cell>
          <cell r="R23">
            <v>106869549.59302622</v>
          </cell>
          <cell r="S23">
            <v>72247269.739200637</v>
          </cell>
          <cell r="T23">
            <v>118113383.76424514</v>
          </cell>
        </row>
        <row r="24">
          <cell r="P24">
            <v>199640</v>
          </cell>
          <cell r="Q24">
            <v>83700</v>
          </cell>
          <cell r="R24">
            <v>115940</v>
          </cell>
          <cell r="S24">
            <v>66960</v>
          </cell>
          <cell r="T24">
            <v>132680</v>
          </cell>
        </row>
        <row r="25">
          <cell r="P25">
            <v>2249675.6864646464</v>
          </cell>
          <cell r="Q25">
            <v>990544.01112507551</v>
          </cell>
          <cell r="R25">
            <v>1259131.6753395707</v>
          </cell>
          <cell r="S25">
            <v>831532.90001396439</v>
          </cell>
          <cell r="T25">
            <v>1418142.786450682</v>
          </cell>
        </row>
        <row r="26">
          <cell r="P26">
            <v>303109.33333333331</v>
          </cell>
          <cell r="Q26">
            <v>127080</v>
          </cell>
          <cell r="R26">
            <v>176029.33333333331</v>
          </cell>
          <cell r="S26">
            <v>101664</v>
          </cell>
          <cell r="T26">
            <v>201445.33333333331</v>
          </cell>
        </row>
        <row r="31">
          <cell r="P31">
            <v>4815860003.9150953</v>
          </cell>
          <cell r="R31">
            <v>2637671779.6798396</v>
          </cell>
          <cell r="T31">
            <v>3045070010.4919772</v>
          </cell>
        </row>
        <row r="32">
          <cell r="P32">
            <v>307351861.02522755</v>
          </cell>
          <cell r="Q32">
            <v>124911868.63040042</v>
          </cell>
          <cell r="R32">
            <v>182439992.39482713</v>
          </cell>
          <cell r="S32">
            <v>104421047.90486661</v>
          </cell>
          <cell r="T32">
            <v>202930813.12036094</v>
          </cell>
        </row>
        <row r="33">
          <cell r="Q33">
            <v>1526852</v>
          </cell>
          <cell r="R33">
            <v>1797193</v>
          </cell>
          <cell r="S33">
            <v>1247725</v>
          </cell>
          <cell r="T33">
            <v>2076320</v>
          </cell>
        </row>
        <row r="34">
          <cell r="P34">
            <v>6988898.6263882052</v>
          </cell>
        </row>
        <row r="35">
          <cell r="P35">
            <v>946091941.27456832</v>
          </cell>
        </row>
        <row r="36">
          <cell r="P36">
            <v>1313136656.9091597</v>
          </cell>
        </row>
        <row r="37">
          <cell r="P37">
            <v>23995187.423445866</v>
          </cell>
        </row>
        <row r="38">
          <cell r="P38">
            <v>170916</v>
          </cell>
        </row>
        <row r="39">
          <cell r="P39">
            <v>15043463.667792927</v>
          </cell>
        </row>
        <row r="40">
          <cell r="P40">
            <v>3239128.1853684746</v>
          </cell>
        </row>
        <row r="41">
          <cell r="P41">
            <v>1240259524.112345</v>
          </cell>
          <cell r="Q41">
            <v>551431536.17643392</v>
          </cell>
          <cell r="R41">
            <v>688827987.93591106</v>
          </cell>
          <cell r="S41">
            <v>453893588.36400259</v>
          </cell>
          <cell r="T41">
            <v>786365935.74834239</v>
          </cell>
        </row>
        <row r="42">
          <cell r="P42">
            <v>129233033.66666666</v>
          </cell>
        </row>
        <row r="45">
          <cell r="P45">
            <v>5995</v>
          </cell>
        </row>
        <row r="46">
          <cell r="Q46">
            <v>68150622.717435047</v>
          </cell>
          <cell r="R46">
            <v>91338353.088650778</v>
          </cell>
          <cell r="S46">
            <v>56616651.067244932</v>
          </cell>
          <cell r="T46">
            <v>102872324.73884089</v>
          </cell>
        </row>
        <row r="47">
          <cell r="P47">
            <v>12998906.024246655</v>
          </cell>
          <cell r="Q47">
            <v>2732088.1937152408</v>
          </cell>
          <cell r="R47">
            <v>10266817.830531415</v>
          </cell>
          <cell r="S47">
            <v>2162333.9254225576</v>
          </cell>
          <cell r="T47">
            <v>10836572.098824099</v>
          </cell>
        </row>
        <row r="48">
          <cell r="P48">
            <v>63225622.19696968</v>
          </cell>
        </row>
        <row r="49">
          <cell r="P49">
            <v>12398882.064506533</v>
          </cell>
          <cell r="Q49">
            <v>4234344.6368230842</v>
          </cell>
          <cell r="R49">
            <v>8164537.4276834484</v>
          </cell>
          <cell r="S49">
            <v>3640900.4933967893</v>
          </cell>
          <cell r="T49">
            <v>8757981.5711097438</v>
          </cell>
        </row>
        <row r="50">
          <cell r="Q50">
            <v>10344290.948182104</v>
          </cell>
          <cell r="R50">
            <v>13815665.669508683</v>
          </cell>
          <cell r="S50">
            <v>8593598.8227068186</v>
          </cell>
          <cell r="T50">
            <v>15566357.794983968</v>
          </cell>
        </row>
        <row r="51">
          <cell r="P51">
            <v>1226601.7809244886</v>
          </cell>
          <cell r="Q51">
            <v>420327.75548972632</v>
          </cell>
          <cell r="R51">
            <v>806274.02543476224</v>
          </cell>
          <cell r="S51">
            <v>361559.5005096466</v>
          </cell>
          <cell r="T51">
            <v>865042.28041484195</v>
          </cell>
        </row>
        <row r="56">
          <cell r="P56">
            <v>623608747.23923564</v>
          </cell>
          <cell r="R56">
            <v>339439011.92841631</v>
          </cell>
          <cell r="T56">
            <v>387499086.61919928</v>
          </cell>
        </row>
        <row r="57">
          <cell r="P57">
            <v>63085634.099411577</v>
          </cell>
          <cell r="Q57">
            <v>31865172.415111687</v>
          </cell>
          <cell r="R57">
            <v>31220461.68429989</v>
          </cell>
          <cell r="S57">
            <v>27158994.415111687</v>
          </cell>
          <cell r="T57">
            <v>35926639.684299886</v>
          </cell>
        </row>
        <row r="58">
          <cell r="Q58">
            <v>9700</v>
          </cell>
          <cell r="R58">
            <v>13580</v>
          </cell>
          <cell r="S58">
            <v>7760</v>
          </cell>
          <cell r="T58">
            <v>15520</v>
          </cell>
        </row>
        <row r="59">
          <cell r="P59">
            <v>1021723.7132091596</v>
          </cell>
        </row>
        <row r="60">
          <cell r="P60">
            <v>1011385880.7789969</v>
          </cell>
        </row>
        <row r="61">
          <cell r="P61">
            <v>3534195297.3959675</v>
          </cell>
        </row>
        <row r="62">
          <cell r="P62">
            <v>17945100</v>
          </cell>
        </row>
        <row r="63">
          <cell r="P63">
            <v>13122</v>
          </cell>
        </row>
        <row r="64">
          <cell r="P64">
            <v>27840</v>
          </cell>
        </row>
        <row r="65">
          <cell r="P65">
            <v>1837112</v>
          </cell>
        </row>
        <row r="66">
          <cell r="P66">
            <v>51746084.771338336</v>
          </cell>
          <cell r="Q66">
            <v>21987512.227569357</v>
          </cell>
          <cell r="R66">
            <v>29758572.54376898</v>
          </cell>
          <cell r="S66">
            <v>18247226.928067487</v>
          </cell>
          <cell r="T66">
            <v>33498857.843270849</v>
          </cell>
        </row>
        <row r="67">
          <cell r="P67">
            <v>60026109</v>
          </cell>
        </row>
        <row r="68">
          <cell r="P68">
            <v>617100000</v>
          </cell>
        </row>
        <row r="70">
          <cell r="P70">
            <v>1288626197</v>
          </cell>
        </row>
        <row r="72">
          <cell r="Q72">
            <v>2953264.3333333335</v>
          </cell>
          <cell r="R72">
            <v>3236175.1666666665</v>
          </cell>
          <cell r="S72">
            <v>2519405.666666667</v>
          </cell>
          <cell r="T72">
            <v>3670033.833333333</v>
          </cell>
        </row>
        <row r="73">
          <cell r="P73">
            <v>10434740.076923076</v>
          </cell>
          <cell r="Q73">
            <v>3890849.846153846</v>
          </cell>
          <cell r="R73">
            <v>6543890.2307692301</v>
          </cell>
          <cell r="S73">
            <v>3150034.4615384615</v>
          </cell>
          <cell r="T73">
            <v>7284705.6153846141</v>
          </cell>
        </row>
        <row r="74">
          <cell r="P74">
            <v>445309.39789915964</v>
          </cell>
          <cell r="Q74">
            <v>141590.95084033613</v>
          </cell>
          <cell r="R74">
            <v>303718.44705882354</v>
          </cell>
          <cell r="S74">
            <v>101069.3794117647</v>
          </cell>
          <cell r="T74">
            <v>344240.0184873949</v>
          </cell>
        </row>
        <row r="80">
          <cell r="P80">
            <v>221092043.13714117</v>
          </cell>
        </row>
        <row r="81">
          <cell r="P81">
            <v>9300429.5822001491</v>
          </cell>
        </row>
        <row r="85">
          <cell r="P85">
            <v>297000</v>
          </cell>
        </row>
        <row r="86">
          <cell r="P86">
            <v>13572508.23362934</v>
          </cell>
        </row>
        <row r="87">
          <cell r="P87">
            <v>23953132.664302297</v>
          </cell>
        </row>
        <row r="88">
          <cell r="P88">
            <v>981077.54006849322</v>
          </cell>
        </row>
        <row r="89">
          <cell r="P89">
            <v>1934664</v>
          </cell>
        </row>
        <row r="90">
          <cell r="P90">
            <v>1152582</v>
          </cell>
        </row>
        <row r="91">
          <cell r="P91">
            <v>3185904.2589480677</v>
          </cell>
        </row>
        <row r="92">
          <cell r="P92">
            <v>906565.39492630609</v>
          </cell>
        </row>
        <row r="109">
          <cell r="Q109">
            <v>296756776.9472512</v>
          </cell>
          <cell r="R109">
            <v>408698771.99930882</v>
          </cell>
        </row>
      </sheetData>
      <sheetData sheetId="31">
        <row r="6">
          <cell r="C6">
            <v>1963293243.0200026</v>
          </cell>
          <cell r="O6">
            <v>486042004.5480001</v>
          </cell>
        </row>
        <row r="7">
          <cell r="B7">
            <v>8289107.6240000026</v>
          </cell>
          <cell r="C7">
            <v>4825570030.6526632</v>
          </cell>
          <cell r="D7">
            <v>3459359.9759999993</v>
          </cell>
          <cell r="E7">
            <v>479685176.38966584</v>
          </cell>
          <cell r="G7">
            <v>1568486273.8899996</v>
          </cell>
          <cell r="H7">
            <v>4829747.648000001</v>
          </cell>
          <cell r="I7">
            <v>1314916860.1819999</v>
          </cell>
          <cell r="K7">
            <v>1462481720.1909995</v>
          </cell>
          <cell r="O7">
            <v>1265604184.0393338</v>
          </cell>
        </row>
        <row r="9">
          <cell r="L9">
            <v>0.81379813427318903</v>
          </cell>
          <cell r="M9">
            <v>0.97865323398143234</v>
          </cell>
          <cell r="P9">
            <v>1.1185941099117263</v>
          </cell>
          <cell r="Q9">
            <v>0.69995827735124105</v>
          </cell>
        </row>
        <row r="10">
          <cell r="C10">
            <v>1.5405859900215013</v>
          </cell>
          <cell r="L10">
            <v>0.8153977208412958</v>
          </cell>
          <cell r="M10">
            <v>0.78917940501629313</v>
          </cell>
          <cell r="P10">
            <v>1.1372413252842475</v>
          </cell>
          <cell r="Q10">
            <v>0.56972975514840463</v>
          </cell>
        </row>
        <row r="11">
          <cell r="C11">
            <v>0.86967534004754654</v>
          </cell>
          <cell r="L11">
            <v>0.8153977208412958</v>
          </cell>
          <cell r="M11">
            <v>0.78917940501629313</v>
          </cell>
          <cell r="O11">
            <v>0.8068952882198398</v>
          </cell>
          <cell r="P11">
            <v>1.1372413252842475</v>
          </cell>
          <cell r="Q11">
            <v>0.56972975514840463</v>
          </cell>
          <cell r="S11">
            <v>1.6631051794653182</v>
          </cell>
        </row>
        <row r="19">
          <cell r="C19">
            <v>1.6652748211280752</v>
          </cell>
        </row>
        <row r="20">
          <cell r="C20">
            <v>0.88236367477245436</v>
          </cell>
        </row>
      </sheetData>
      <sheetData sheetId="32">
        <row r="303">
          <cell r="C303">
            <v>-34783783</v>
          </cell>
          <cell r="M303">
            <v>-614336.99776102114</v>
          </cell>
        </row>
        <row r="304">
          <cell r="C304">
            <v>-27801712</v>
          </cell>
          <cell r="M304">
            <v>-491022.50559395901</v>
          </cell>
        </row>
        <row r="305">
          <cell r="C305">
            <v>-14387912.051893331</v>
          </cell>
          <cell r="M305">
            <v>-254113.43826546305</v>
          </cell>
        </row>
        <row r="306">
          <cell r="C306">
            <v>11094136.000000002</v>
          </cell>
          <cell r="M306">
            <v>195940.10815305699</v>
          </cell>
        </row>
        <row r="307">
          <cell r="C307">
            <v>12901093.480520798</v>
          </cell>
          <cell r="M307">
            <v>227853.85467295005</v>
          </cell>
        </row>
        <row r="309">
          <cell r="C309">
            <v>-38622</v>
          </cell>
          <cell r="M309">
            <v>-192435.88339398519</v>
          </cell>
        </row>
        <row r="310">
          <cell r="C310">
            <v>-28223.000000000004</v>
          </cell>
          <cell r="M310">
            <v>-153808.65872424396</v>
          </cell>
        </row>
        <row r="311">
          <cell r="C311">
            <v>-11762.581200751167</v>
          </cell>
          <cell r="M311">
            <v>-79598.891411582779</v>
          </cell>
        </row>
        <row r="312">
          <cell r="C312">
            <v>13468</v>
          </cell>
          <cell r="M312">
            <v>61376.586372247482</v>
          </cell>
        </row>
        <row r="313">
          <cell r="C313">
            <v>13557.584838101571</v>
          </cell>
          <cell r="M313">
            <v>71373.298317563749</v>
          </cell>
        </row>
        <row r="315">
          <cell r="C315">
            <v>-13265</v>
          </cell>
        </row>
        <row r="316">
          <cell r="C316">
            <v>-41845.21751272642</v>
          </cell>
        </row>
        <row r="318">
          <cell r="C318">
            <v>-776425</v>
          </cell>
        </row>
        <row r="319">
          <cell r="C319">
            <v>-470131</v>
          </cell>
        </row>
        <row r="320">
          <cell r="C320">
            <v>-137847.29328334596</v>
          </cell>
        </row>
        <row r="321">
          <cell r="C321">
            <v>380588</v>
          </cell>
        </row>
        <row r="322">
          <cell r="C322">
            <v>291894.1654300646</v>
          </cell>
        </row>
        <row r="324">
          <cell r="C324">
            <v>-935018.58348064939</v>
          </cell>
          <cell r="M324">
            <v>-27124.140146819922</v>
          </cell>
        </row>
        <row r="325">
          <cell r="C325">
            <v>568883.17478393042</v>
          </cell>
          <cell r="M325">
            <v>16502.845218933042</v>
          </cell>
        </row>
        <row r="327">
          <cell r="C327">
            <v>-403938.99999999994</v>
          </cell>
          <cell r="M327">
            <v>-5002.8975188181512</v>
          </cell>
          <cell r="W327">
            <v>-565.0487050610493</v>
          </cell>
        </row>
        <row r="328">
          <cell r="C328">
            <v>-272771.14584193361</v>
          </cell>
          <cell r="M328">
            <v>-3378.3469502518792</v>
          </cell>
          <cell r="W328">
            <v>-381.56499554636531</v>
          </cell>
        </row>
        <row r="329">
          <cell r="C329">
            <v>269438.99999999994</v>
          </cell>
          <cell r="M329">
            <v>3337.077391816199</v>
          </cell>
          <cell r="W329">
            <v>376.90383459617436</v>
          </cell>
        </row>
        <row r="330">
          <cell r="C330">
            <v>182086.0410271039</v>
          </cell>
          <cell r="M330">
            <v>2255.1865575394263</v>
          </cell>
          <cell r="W330">
            <v>254.71044314131137</v>
          </cell>
        </row>
        <row r="333">
          <cell r="C333">
            <v>-16292432.51855382</v>
          </cell>
          <cell r="M333">
            <v>-387783.81578208716</v>
          </cell>
          <cell r="W333">
            <v>-18950.666212203338</v>
          </cell>
        </row>
        <row r="334">
          <cell r="C334">
            <v>20199037.291971441</v>
          </cell>
          <cell r="M334">
            <v>480766.74537613109</v>
          </cell>
          <cell r="W334">
            <v>23494.663126091375</v>
          </cell>
        </row>
        <row r="336">
          <cell r="C336">
            <v>-465099.99999999994</v>
          </cell>
          <cell r="M336">
            <v>-16597.432189027066</v>
          </cell>
          <cell r="W336">
            <v>-470.21039666253688</v>
          </cell>
        </row>
        <row r="337">
          <cell r="C337">
            <v>-376373.56823757</v>
          </cell>
          <cell r="M337">
            <v>-13431.164860385337</v>
          </cell>
          <cell r="W337">
            <v>-380.50906216788258</v>
          </cell>
        </row>
        <row r="338">
          <cell r="C338">
            <v>636039</v>
          </cell>
          <cell r="M338">
            <v>22697.514882985568</v>
          </cell>
          <cell r="W338">
            <v>643.0276295051458</v>
          </cell>
        </row>
        <row r="339">
          <cell r="C339">
            <v>513438.66051264899</v>
          </cell>
          <cell r="M339">
            <v>18322.43248996685</v>
          </cell>
          <cell r="W339">
            <v>519.08018968293766</v>
          </cell>
        </row>
        <row r="341">
          <cell r="C341">
            <v>-9031.6772313924066</v>
          </cell>
        </row>
        <row r="342">
          <cell r="C342">
            <v>13719.383903844866</v>
          </cell>
        </row>
        <row r="348">
          <cell r="C348">
            <v>-2045913.9999999998</v>
          </cell>
          <cell r="M348">
            <v>-15835.644222656352</v>
          </cell>
          <cell r="W348">
            <v>-1871.3876989663331</v>
          </cell>
        </row>
        <row r="349">
          <cell r="C349">
            <v>-2044097.490409214</v>
          </cell>
          <cell r="M349">
            <v>-15821.584198820197</v>
          </cell>
          <cell r="W349">
            <v>-1869.7261463774898</v>
          </cell>
        </row>
        <row r="350">
          <cell r="C350">
            <v>2525630</v>
          </cell>
          <cell r="M350">
            <v>19548.709338744233</v>
          </cell>
          <cell r="W350">
            <v>2310.1816176732455</v>
          </cell>
        </row>
        <row r="351">
          <cell r="C351">
            <v>2251935.7326408755</v>
          </cell>
          <cell r="M351">
            <v>17430.279608227855</v>
          </cell>
          <cell r="W351">
            <v>2059.834787252481</v>
          </cell>
        </row>
      </sheetData>
      <sheetData sheetId="33"/>
      <sheetData sheetId="34">
        <row r="303">
          <cell r="C303">
            <v>-25232506</v>
          </cell>
          <cell r="M303">
            <v>-445646.23640927591</v>
          </cell>
        </row>
        <row r="304">
          <cell r="C304">
            <v>-20167641.000000004</v>
          </cell>
          <cell r="M304">
            <v>-356192.65517675522</v>
          </cell>
        </row>
        <row r="305">
          <cell r="C305">
            <v>-10437136.251089839</v>
          </cell>
          <cell r="M305">
            <v>-184336.44637552078</v>
          </cell>
        </row>
        <row r="306">
          <cell r="C306">
            <v>1542859.0000000005</v>
          </cell>
          <cell r="M306">
            <v>27249.346801311738</v>
          </cell>
        </row>
        <row r="307">
          <cell r="C307">
            <v>1316246.6797173093</v>
          </cell>
          <cell r="M307">
            <v>23247.012365804036</v>
          </cell>
        </row>
        <row r="309">
          <cell r="C309">
            <v>-27077</v>
          </cell>
          <cell r="M309">
            <v>-139594.92509351359</v>
          </cell>
        </row>
        <row r="310">
          <cell r="C310">
            <v>-19787</v>
          </cell>
          <cell r="M310">
            <v>-111574.34520011109</v>
          </cell>
        </row>
        <row r="311">
          <cell r="C311">
            <v>-8246.21751272642</v>
          </cell>
          <cell r="M311">
            <v>-57741.837182627889</v>
          </cell>
        </row>
        <row r="312">
          <cell r="C312">
            <v>1923</v>
          </cell>
          <cell r="M312">
            <v>8535.6280717758818</v>
          </cell>
        </row>
        <row r="313">
          <cell r="C313">
            <v>1605.2211500768205</v>
          </cell>
          <cell r="M313">
            <v>7281.9305644759888</v>
          </cell>
        </row>
        <row r="315">
          <cell r="C315">
            <v>-13265</v>
          </cell>
        </row>
        <row r="316">
          <cell r="C316">
            <v>-41845.21751272642</v>
          </cell>
        </row>
        <row r="318">
          <cell r="C318">
            <v>-456076.99999999994</v>
          </cell>
        </row>
        <row r="319">
          <cell r="C319">
            <v>-276158</v>
          </cell>
        </row>
        <row r="320">
          <cell r="C320">
            <v>-80972.421470698377</v>
          </cell>
        </row>
        <row r="321">
          <cell r="C321">
            <v>60240.000000000007</v>
          </cell>
        </row>
        <row r="322">
          <cell r="C322">
            <v>41046.293617416981</v>
          </cell>
        </row>
        <row r="324">
          <cell r="C324">
            <v>-423549.49684777466</v>
          </cell>
          <cell r="M324">
            <v>-12286.831635846156</v>
          </cell>
        </row>
        <row r="325">
          <cell r="C325">
            <v>57414.088151055752</v>
          </cell>
          <cell r="M325">
            <v>1665.5367079592793</v>
          </cell>
        </row>
        <row r="327">
          <cell r="C327">
            <v>-183727.99999999997</v>
          </cell>
          <cell r="M327">
            <v>-2275.5226787644206</v>
          </cell>
          <cell r="W327">
            <v>-257.0072919016398</v>
          </cell>
        </row>
        <row r="328">
          <cell r="C328">
            <v>-124067.71777897188</v>
          </cell>
          <cell r="M328">
            <v>-1536.6133932149387</v>
          </cell>
          <cell r="W328">
            <v>-173.55170773529619</v>
          </cell>
        </row>
        <row r="329">
          <cell r="C329">
            <v>49227.999999999978</v>
          </cell>
          <cell r="M329">
            <v>609.70255176246872</v>
          </cell>
          <cell r="W329">
            <v>68.862421436764777</v>
          </cell>
        </row>
        <row r="330">
          <cell r="C330">
            <v>33382.612964142172</v>
          </cell>
          <cell r="M330">
            <v>413.45300050248562</v>
          </cell>
          <cell r="W330">
            <v>46.697155330242275</v>
          </cell>
        </row>
        <row r="333">
          <cell r="C333">
            <v>-7441523.4428942781</v>
          </cell>
          <cell r="M333">
            <v>-177119.18417530105</v>
          </cell>
          <cell r="W333">
            <v>-8655.6643224380423</v>
          </cell>
        </row>
        <row r="334">
          <cell r="C334">
            <v>11348128.2163119</v>
          </cell>
          <cell r="M334">
            <v>270102.11376934499</v>
          </cell>
          <cell r="W334">
            <v>13199.661236326076</v>
          </cell>
        </row>
        <row r="336">
          <cell r="C336">
            <v>-210503.99999999991</v>
          </cell>
          <cell r="M336">
            <v>-7511.988530464314</v>
          </cell>
          <cell r="W336">
            <v>-212.81696267265241</v>
          </cell>
        </row>
        <row r="337">
          <cell r="C337">
            <v>-170346.42818607125</v>
          </cell>
          <cell r="M337">
            <v>-6078.9363372635707</v>
          </cell>
          <cell r="W337">
            <v>-172.21815000520087</v>
          </cell>
        </row>
        <row r="338">
          <cell r="C338">
            <v>381443</v>
          </cell>
          <cell r="M338">
            <v>13612.071224422816</v>
          </cell>
          <cell r="W338">
            <v>385.63419551526141</v>
          </cell>
        </row>
        <row r="339">
          <cell r="C339">
            <v>307411.52046115033</v>
          </cell>
          <cell r="M339">
            <v>10970.203966845087</v>
          </cell>
          <cell r="W339">
            <v>310.78927752025601</v>
          </cell>
        </row>
        <row r="341">
          <cell r="C341">
            <v>-2780.1460842578035</v>
          </cell>
        </row>
        <row r="342">
          <cell r="C342">
            <v>7467.8527567102637</v>
          </cell>
        </row>
        <row r="344">
          <cell r="C344">
            <v>-314425.00000000006</v>
          </cell>
          <cell r="M344">
            <v>-18193.847262141964</v>
          </cell>
          <cell r="W344">
            <v>-29.489474189130526</v>
          </cell>
        </row>
        <row r="345">
          <cell r="C345">
            <v>1090583</v>
          </cell>
          <cell r="M345">
            <v>63105.352719054041</v>
          </cell>
          <cell r="W345">
            <v>102.28423067378399</v>
          </cell>
        </row>
        <row r="346">
          <cell r="C346">
            <v>282680.81330318697</v>
          </cell>
          <cell r="M346">
            <v>16357.005776182719</v>
          </cell>
          <cell r="W346">
            <v>26.512232003392722</v>
          </cell>
        </row>
        <row r="348">
          <cell r="C348">
            <v>-1040243.9999999999</v>
          </cell>
          <cell r="M348">
            <v>-8051.6257715392412</v>
          </cell>
          <cell r="W348">
            <v>-951.50618526660173</v>
          </cell>
        </row>
        <row r="349">
          <cell r="C349">
            <v>-1039319.3357384758</v>
          </cell>
          <cell r="M349">
            <v>-8044.4687481888459</v>
          </cell>
          <cell r="W349">
            <v>-950.66039931240721</v>
          </cell>
        </row>
        <row r="350">
          <cell r="C350">
            <v>1519960</v>
          </cell>
          <cell r="M350">
            <v>11764.690887627121</v>
          </cell>
          <cell r="W350">
            <v>1390.3001039735141</v>
          </cell>
        </row>
        <row r="351">
          <cell r="C351">
            <v>1247157.5779701371</v>
          </cell>
          <cell r="M351">
            <v>9653.1641575965041</v>
          </cell>
          <cell r="W351">
            <v>1140.7690401873981</v>
          </cell>
        </row>
        <row r="354">
          <cell r="C354">
            <v>-2631559</v>
          </cell>
          <cell r="M354">
            <v>-104765.26120722033</v>
          </cell>
        </row>
        <row r="355">
          <cell r="C355">
            <v>-1590743.1999819179</v>
          </cell>
          <cell r="M355">
            <v>-63329.238242317639</v>
          </cell>
        </row>
        <row r="356">
          <cell r="C356">
            <v>-177386</v>
          </cell>
        </row>
        <row r="357">
          <cell r="C357">
            <v>-541876.7209180824</v>
          </cell>
        </row>
        <row r="358">
          <cell r="C358">
            <v>2462729.3197189313</v>
          </cell>
          <cell r="M358">
            <v>98043.965749213254</v>
          </cell>
        </row>
        <row r="359">
          <cell r="C359">
            <v>419522.17238106823</v>
          </cell>
        </row>
      </sheetData>
      <sheetData sheetId="35">
        <row r="15">
          <cell r="D15">
            <v>272211771.41069049</v>
          </cell>
          <cell r="E15">
            <v>146393506.14669591</v>
          </cell>
          <cell r="G15">
            <v>-269317043.02225828</v>
          </cell>
          <cell r="H15">
            <v>-118842687.83401309</v>
          </cell>
          <cell r="I15">
            <v>-30445546.701115057</v>
          </cell>
          <cell r="J15">
            <v>0</v>
          </cell>
          <cell r="K15">
            <v>0</v>
          </cell>
          <cell r="Q15">
            <v>-417670.94974032958</v>
          </cell>
          <cell r="R15">
            <v>-95983.174640331796</v>
          </cell>
          <cell r="S15">
            <v>-40167.336866874568</v>
          </cell>
          <cell r="T15">
            <v>409341.70475126599</v>
          </cell>
          <cell r="U15">
            <v>144479.75649626995</v>
          </cell>
        </row>
        <row r="16">
          <cell r="D16">
            <v>128841.81895682955</v>
          </cell>
          <cell r="E16">
            <v>65440.240517882849</v>
          </cell>
          <cell r="G16">
            <v>-135758.42645754985</v>
          </cell>
          <cell r="H16">
            <v>-53287.227170372294</v>
          </cell>
          <cell r="I16">
            <v>-5236.4058467902323</v>
          </cell>
          <cell r="J16">
            <v>-56580.938137616671</v>
          </cell>
          <cell r="K16">
            <v>-167720.20668547862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8">
          <cell r="D18">
            <v>7909204.4192286581</v>
          </cell>
          <cell r="E18">
            <v>3175283.6463631005</v>
          </cell>
          <cell r="G18">
            <v>-7909895.6366827898</v>
          </cell>
          <cell r="H18">
            <v>-2841321.1982880505</v>
          </cell>
          <cell r="I18">
            <v>-333271.23062091903</v>
          </cell>
          <cell r="J18">
            <v>-1662.9476385135906</v>
          </cell>
          <cell r="K18">
            <v>-6476.0617413363598</v>
          </cell>
          <cell r="Q18">
            <v>-3931.9434834897761</v>
          </cell>
          <cell r="R18">
            <v>-1061.7617420573436</v>
          </cell>
          <cell r="S18">
            <v>0</v>
          </cell>
          <cell r="T18">
            <v>3882.0554372323959</v>
          </cell>
          <cell r="U18">
            <v>1111.6497883147231</v>
          </cell>
        </row>
        <row r="19">
          <cell r="D19">
            <v>2062701.6351323926</v>
          </cell>
          <cell r="E19">
            <v>1081522.7742372684</v>
          </cell>
          <cell r="G19">
            <v>-1931172.9115689886</v>
          </cell>
          <cell r="H19">
            <v>-764605.11576091684</v>
          </cell>
          <cell r="I19">
            <v>-448446.38203975541</v>
          </cell>
          <cell r="J19">
            <v>-565.9850285590494</v>
          </cell>
          <cell r="K19">
            <v>-7521.9070331826224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D20">
            <v>1330413.9772361019</v>
          </cell>
          <cell r="E20">
            <v>504492.51108227862</v>
          </cell>
          <cell r="G20">
            <v>-1398836.5711109694</v>
          </cell>
          <cell r="H20">
            <v>-346683.94076674123</v>
          </cell>
          <cell r="I20">
            <v>-89385.976440670027</v>
          </cell>
          <cell r="J20">
            <v>-159.98607242339833</v>
          </cell>
          <cell r="K20">
            <v>-1278.1587743732591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</sheetData>
      <sheetData sheetId="36">
        <row r="23">
          <cell r="H23">
            <v>142578.73333333369</v>
          </cell>
          <cell r="J23">
            <v>14000970.475247549</v>
          </cell>
          <cell r="L23">
            <v>6424044.8932969086</v>
          </cell>
          <cell r="M23">
            <v>7576925.8441796647</v>
          </cell>
          <cell r="N23">
            <v>345279.625</v>
          </cell>
          <cell r="P23">
            <v>2267242958</v>
          </cell>
          <cell r="Q23">
            <v>2773082894</v>
          </cell>
          <cell r="S23">
            <v>2064493</v>
          </cell>
          <cell r="U23">
            <v>785087</v>
          </cell>
          <cell r="V23">
            <v>1336420</v>
          </cell>
          <cell r="AB23">
            <v>13.633333333333301</v>
          </cell>
          <cell r="AD23">
            <v>26720</v>
          </cell>
        </row>
        <row r="24">
          <cell r="H24">
            <v>11768.5666666667</v>
          </cell>
          <cell r="J24">
            <v>1842106.54207921</v>
          </cell>
          <cell r="L24">
            <v>821135.09439124481</v>
          </cell>
          <cell r="M24">
            <v>1020971.4628780936</v>
          </cell>
          <cell r="N24">
            <v>203285.70833333299</v>
          </cell>
          <cell r="P24">
            <v>271120608</v>
          </cell>
          <cell r="Q24">
            <v>333308027</v>
          </cell>
          <cell r="S24">
            <v>8000</v>
          </cell>
          <cell r="U24">
            <v>103237</v>
          </cell>
          <cell r="V24">
            <v>113677</v>
          </cell>
          <cell r="AB24">
            <v>0</v>
          </cell>
          <cell r="AD24">
            <v>0</v>
          </cell>
        </row>
        <row r="25">
          <cell r="H25">
            <v>3583.0333333333301</v>
          </cell>
          <cell r="J25">
            <v>299679.84158415801</v>
          </cell>
          <cell r="L25">
            <v>125353.22640218861</v>
          </cell>
          <cell r="M25">
            <v>174326.6159486706</v>
          </cell>
          <cell r="N25">
            <v>24132</v>
          </cell>
          <cell r="P25">
            <v>51390743</v>
          </cell>
          <cell r="Q25">
            <v>75179043</v>
          </cell>
          <cell r="S25">
            <v>0</v>
          </cell>
          <cell r="U25">
            <v>0</v>
          </cell>
          <cell r="V25">
            <v>0</v>
          </cell>
          <cell r="AB25">
            <v>0</v>
          </cell>
          <cell r="AD25">
            <v>0</v>
          </cell>
        </row>
        <row r="27">
          <cell r="H27">
            <v>3192.8</v>
          </cell>
          <cell r="J27">
            <v>364255.69801980199</v>
          </cell>
          <cell r="L27">
            <v>164941.854309166</v>
          </cell>
          <cell r="M27">
            <v>199313.86709440901</v>
          </cell>
          <cell r="N27">
            <v>11785</v>
          </cell>
          <cell r="P27">
            <v>52761540</v>
          </cell>
          <cell r="Q27">
            <v>70380069</v>
          </cell>
          <cell r="U27">
            <v>0</v>
          </cell>
          <cell r="V27">
            <v>0</v>
          </cell>
        </row>
        <row r="28">
          <cell r="H28">
            <v>72</v>
          </cell>
          <cell r="J28">
            <v>8018</v>
          </cell>
          <cell r="L28">
            <v>3777.72571819426</v>
          </cell>
          <cell r="M28">
            <v>4240.2758936755299</v>
          </cell>
          <cell r="N28">
            <v>4057</v>
          </cell>
          <cell r="P28">
            <v>1062056</v>
          </cell>
          <cell r="Q28">
            <v>1168772</v>
          </cell>
          <cell r="U28">
            <v>0</v>
          </cell>
          <cell r="V28">
            <v>0</v>
          </cell>
        </row>
        <row r="29">
          <cell r="H29">
            <v>158.96666666666701</v>
          </cell>
          <cell r="J29">
            <v>11471.5346534653</v>
          </cell>
          <cell r="L29">
            <v>4259.2564979480203</v>
          </cell>
          <cell r="M29">
            <v>7212.2777268561003</v>
          </cell>
          <cell r="N29">
            <v>0</v>
          </cell>
          <cell r="P29">
            <v>1343804</v>
          </cell>
          <cell r="Q29">
            <v>2437579</v>
          </cell>
          <cell r="U29">
            <v>0</v>
          </cell>
          <cell r="V29">
            <v>0</v>
          </cell>
        </row>
        <row r="31">
          <cell r="H31">
            <v>215.66666666666669</v>
          </cell>
          <cell r="I31">
            <v>21</v>
          </cell>
          <cell r="J31">
            <v>23596.9975247525</v>
          </cell>
          <cell r="L31">
            <v>11724.73461012312</v>
          </cell>
          <cell r="M31">
            <v>11872.26764436297</v>
          </cell>
          <cell r="N31">
            <v>0</v>
          </cell>
          <cell r="P31">
            <v>2848029</v>
          </cell>
          <cell r="Q31">
            <v>3169797</v>
          </cell>
          <cell r="U31">
            <v>0</v>
          </cell>
          <cell r="V31">
            <v>0</v>
          </cell>
        </row>
        <row r="32">
          <cell r="H32">
            <v>5.06666666666667</v>
          </cell>
          <cell r="I32">
            <v>0</v>
          </cell>
          <cell r="J32">
            <v>1916.26732673267</v>
          </cell>
          <cell r="L32">
            <v>1071.85294117647</v>
          </cell>
          <cell r="M32">
            <v>844.41338221814897</v>
          </cell>
          <cell r="N32">
            <v>0</v>
          </cell>
          <cell r="P32">
            <v>414366</v>
          </cell>
          <cell r="Q32">
            <v>313878</v>
          </cell>
          <cell r="U32">
            <v>0</v>
          </cell>
          <cell r="V32">
            <v>0</v>
          </cell>
        </row>
        <row r="35">
          <cell r="H35">
            <v>168</v>
          </cell>
          <cell r="J35">
            <v>13820</v>
          </cell>
          <cell r="L35">
            <v>4947.6121751026003</v>
          </cell>
          <cell r="M35">
            <v>6087.3877176901897</v>
          </cell>
          <cell r="N35">
            <v>0</v>
          </cell>
          <cell r="P35">
            <v>1357335</v>
          </cell>
          <cell r="Q35">
            <v>1913042</v>
          </cell>
          <cell r="U35">
            <v>0</v>
          </cell>
          <cell r="V35">
            <v>0</v>
          </cell>
        </row>
        <row r="36">
          <cell r="H36">
            <v>4</v>
          </cell>
          <cell r="J36">
            <v>158</v>
          </cell>
          <cell r="L36">
            <v>0</v>
          </cell>
          <cell r="M36">
            <v>158</v>
          </cell>
          <cell r="N36">
            <v>0</v>
          </cell>
          <cell r="P36">
            <v>0</v>
          </cell>
          <cell r="Q36">
            <v>7086</v>
          </cell>
          <cell r="U36">
            <v>0</v>
          </cell>
          <cell r="V36">
            <v>0</v>
          </cell>
        </row>
        <row r="37">
          <cell r="H37">
            <v>14</v>
          </cell>
          <cell r="J37">
            <v>279</v>
          </cell>
          <cell r="L37">
            <v>59.024623803009597</v>
          </cell>
          <cell r="M37">
            <v>10.975252062328099</v>
          </cell>
          <cell r="N37">
            <v>0</v>
          </cell>
          <cell r="P37">
            <v>20340</v>
          </cell>
          <cell r="Q37">
            <v>5184</v>
          </cell>
          <cell r="U37">
            <v>0</v>
          </cell>
          <cell r="V37">
            <v>0</v>
          </cell>
        </row>
      </sheetData>
      <sheetData sheetId="37">
        <row r="23">
          <cell r="P23">
            <v>-413226388.98139817</v>
          </cell>
          <cell r="Q23">
            <v>413226388.98139817</v>
          </cell>
          <cell r="U23">
            <v>-109636.63794804341</v>
          </cell>
          <cell r="V23">
            <v>109636.63794804341</v>
          </cell>
        </row>
        <row r="24">
          <cell r="L24">
            <v>-151765.95940421327</v>
          </cell>
          <cell r="M24">
            <v>151765.95940421327</v>
          </cell>
          <cell r="P24">
            <v>-47423979.062808774</v>
          </cell>
          <cell r="Q24">
            <v>47423979.062808774</v>
          </cell>
          <cell r="U24">
            <v>-17720</v>
          </cell>
          <cell r="V24">
            <v>17720</v>
          </cell>
        </row>
        <row r="25">
          <cell r="L25">
            <v>-22127.753966645636</v>
          </cell>
          <cell r="M25">
            <v>22127.753966645636</v>
          </cell>
          <cell r="P25">
            <v>-8731394.6130159982</v>
          </cell>
          <cell r="Q25">
            <v>8731394.6130159982</v>
          </cell>
          <cell r="U25">
            <v>0</v>
          </cell>
          <cell r="V25">
            <v>0</v>
          </cell>
        </row>
        <row r="27">
          <cell r="L27">
            <v>-14250.933652530801</v>
          </cell>
          <cell r="M27">
            <v>14250.933652530801</v>
          </cell>
          <cell r="P27">
            <v>-4248728</v>
          </cell>
          <cell r="Q27">
            <v>4248728</v>
          </cell>
          <cell r="U27">
            <v>0</v>
          </cell>
          <cell r="V27">
            <v>0</v>
          </cell>
        </row>
        <row r="28">
          <cell r="L28">
            <v>-654.90340371131731</v>
          </cell>
          <cell r="M28">
            <v>654.90340371131731</v>
          </cell>
          <cell r="P28">
            <v>-177299.79522308661</v>
          </cell>
          <cell r="Q28">
            <v>177299.79522308661</v>
          </cell>
          <cell r="U28">
            <v>0</v>
          </cell>
          <cell r="V28">
            <v>0</v>
          </cell>
        </row>
        <row r="29">
          <cell r="L29">
            <v>-794.50184919681158</v>
          </cell>
          <cell r="M29">
            <v>794.50184919681158</v>
          </cell>
          <cell r="P29">
            <v>-240218.62182613084</v>
          </cell>
          <cell r="Q29">
            <v>240218.62182613084</v>
          </cell>
          <cell r="U29">
            <v>0</v>
          </cell>
          <cell r="V29">
            <v>0</v>
          </cell>
        </row>
        <row r="31">
          <cell r="L31">
            <v>-1556.795478541565</v>
          </cell>
          <cell r="M31">
            <v>1556.795478541565</v>
          </cell>
          <cell r="P31">
            <v>-326142.46777789586</v>
          </cell>
          <cell r="Q31">
            <v>326142.46777789586</v>
          </cell>
          <cell r="U31">
            <v>0</v>
          </cell>
          <cell r="V31">
            <v>0</v>
          </cell>
        </row>
        <row r="32">
          <cell r="L32">
            <v>0</v>
          </cell>
          <cell r="M32">
            <v>0</v>
          </cell>
          <cell r="P32">
            <v>0</v>
          </cell>
          <cell r="Q32">
            <v>0</v>
          </cell>
          <cell r="U32">
            <v>0</v>
          </cell>
          <cell r="V32">
            <v>0</v>
          </cell>
        </row>
        <row r="35">
          <cell r="L35">
            <v>-845.30686005905432</v>
          </cell>
          <cell r="M35">
            <v>845.30686005905432</v>
          </cell>
          <cell r="P35">
            <v>-251067.59684283074</v>
          </cell>
          <cell r="Q35">
            <v>251067.59684283074</v>
          </cell>
          <cell r="U35">
            <v>0</v>
          </cell>
          <cell r="V35">
            <v>0</v>
          </cell>
        </row>
        <row r="36">
          <cell r="L36">
            <v>0</v>
          </cell>
          <cell r="M36">
            <v>0</v>
          </cell>
          <cell r="P36">
            <v>0</v>
          </cell>
          <cell r="Q36">
            <v>0</v>
          </cell>
          <cell r="U36">
            <v>0</v>
          </cell>
          <cell r="V36">
            <v>0</v>
          </cell>
        </row>
        <row r="37">
          <cell r="L37">
            <v>-0.99982404568939076</v>
          </cell>
          <cell r="M37">
            <v>0.99982404568939076</v>
          </cell>
          <cell r="P37">
            <v>-1081.1623616236161</v>
          </cell>
          <cell r="Q37">
            <v>1081.1623616236161</v>
          </cell>
          <cell r="U37">
            <v>0</v>
          </cell>
          <cell r="V37">
            <v>0</v>
          </cell>
        </row>
      </sheetData>
      <sheetData sheetId="38">
        <row r="16">
          <cell r="H16">
            <v>27150.133333333401</v>
          </cell>
          <cell r="J16">
            <v>874539.542944783</v>
          </cell>
          <cell r="K16">
            <v>1039150.685557588</v>
          </cell>
          <cell r="L16">
            <v>178611.63934426199</v>
          </cell>
          <cell r="N16">
            <v>56039635</v>
          </cell>
          <cell r="O16">
            <v>45349004</v>
          </cell>
          <cell r="P16">
            <v>79516420</v>
          </cell>
          <cell r="Q16">
            <v>64084099</v>
          </cell>
          <cell r="S16">
            <v>20238626</v>
          </cell>
          <cell r="U16">
            <v>939136</v>
          </cell>
          <cell r="V16">
            <v>5429608</v>
          </cell>
          <cell r="W16">
            <v>3916962</v>
          </cell>
          <cell r="X16">
            <v>9632695</v>
          </cell>
          <cell r="AE16">
            <v>-918722</v>
          </cell>
        </row>
        <row r="17">
          <cell r="H17">
            <v>3104.0666666666698</v>
          </cell>
          <cell r="J17">
            <v>171238.95092024549</v>
          </cell>
          <cell r="K17">
            <v>202939.45521023759</v>
          </cell>
          <cell r="L17">
            <v>9945</v>
          </cell>
          <cell r="N17">
            <v>12562895</v>
          </cell>
          <cell r="O17">
            <v>8970989</v>
          </cell>
          <cell r="P17">
            <v>14682307</v>
          </cell>
          <cell r="Q17">
            <v>8637286</v>
          </cell>
          <cell r="S17">
            <v>6757400</v>
          </cell>
          <cell r="U17">
            <v>843429</v>
          </cell>
          <cell r="V17">
            <v>2275903</v>
          </cell>
          <cell r="W17">
            <v>471294</v>
          </cell>
          <cell r="X17">
            <v>691503</v>
          </cell>
          <cell r="AE17">
            <v>-576168</v>
          </cell>
        </row>
        <row r="18">
          <cell r="H18">
            <v>336.86666666666702</v>
          </cell>
          <cell r="J18">
            <v>10419.506134969301</v>
          </cell>
          <cell r="K18">
            <v>12416.2285191956</v>
          </cell>
          <cell r="L18">
            <v>0</v>
          </cell>
          <cell r="N18">
            <v>2029544</v>
          </cell>
          <cell r="O18">
            <v>1892228</v>
          </cell>
          <cell r="P18">
            <v>2570685</v>
          </cell>
          <cell r="Q18">
            <v>2624981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0</v>
          </cell>
        </row>
        <row r="20">
          <cell r="H20">
            <v>1069.5</v>
          </cell>
          <cell r="J20">
            <v>42357.259202453999</v>
          </cell>
          <cell r="K20">
            <v>61796.045703839103</v>
          </cell>
          <cell r="L20">
            <v>403</v>
          </cell>
          <cell r="N20">
            <v>1242320</v>
          </cell>
          <cell r="O20">
            <v>1177789</v>
          </cell>
          <cell r="P20">
            <v>4212059</v>
          </cell>
          <cell r="Q20">
            <v>3897085</v>
          </cell>
        </row>
        <row r="21">
          <cell r="H21">
            <v>156</v>
          </cell>
          <cell r="J21">
            <v>15736.926380368101</v>
          </cell>
          <cell r="K21">
            <v>21751.0749542962</v>
          </cell>
          <cell r="L21">
            <v>5955</v>
          </cell>
          <cell r="N21">
            <v>1146195</v>
          </cell>
          <cell r="O21">
            <v>444113</v>
          </cell>
          <cell r="P21">
            <v>1791776</v>
          </cell>
          <cell r="Q21">
            <v>663593</v>
          </cell>
        </row>
        <row r="22">
          <cell r="H22">
            <v>20.233333333333299</v>
          </cell>
          <cell r="J22">
            <v>374.33282208588997</v>
          </cell>
          <cell r="K22">
            <v>275.03473491773298</v>
          </cell>
          <cell r="L22">
            <v>0</v>
          </cell>
          <cell r="N22">
            <v>0</v>
          </cell>
          <cell r="O22">
            <v>0</v>
          </cell>
          <cell r="P22">
            <v>2010</v>
          </cell>
          <cell r="Q22">
            <v>4016</v>
          </cell>
        </row>
        <row r="24">
          <cell r="H24">
            <v>14.6</v>
          </cell>
          <cell r="J24">
            <v>610.87423312883402</v>
          </cell>
          <cell r="K24">
            <v>476.79341864716599</v>
          </cell>
          <cell r="L24">
            <v>0</v>
          </cell>
          <cell r="N24">
            <v>76959</v>
          </cell>
          <cell r="O24">
            <v>70522</v>
          </cell>
          <cell r="P24">
            <v>73291</v>
          </cell>
          <cell r="Q24">
            <v>77525</v>
          </cell>
        </row>
      </sheetData>
      <sheetData sheetId="39">
        <row r="2">
          <cell r="A2" t="str">
            <v>COM</v>
          </cell>
          <cell r="C2">
            <v>1</v>
          </cell>
          <cell r="M2">
            <v>21854.609890109899</v>
          </cell>
        </row>
        <row r="3">
          <cell r="A3" t="str">
            <v>COM</v>
          </cell>
          <cell r="C3">
            <v>2</v>
          </cell>
          <cell r="M3">
            <v>6704.2098581030596</v>
          </cell>
        </row>
        <row r="4">
          <cell r="A4" t="str">
            <v>COM</v>
          </cell>
          <cell r="C4">
            <v>3</v>
          </cell>
          <cell r="M4">
            <v>967.46575342465803</v>
          </cell>
        </row>
        <row r="5">
          <cell r="A5" t="str">
            <v>COM</v>
          </cell>
          <cell r="C5">
            <v>4</v>
          </cell>
          <cell r="M5">
            <v>534.23385118560896</v>
          </cell>
        </row>
        <row r="6">
          <cell r="A6" t="str">
            <v>COM</v>
          </cell>
          <cell r="C6">
            <v>5</v>
          </cell>
          <cell r="M6">
            <v>11633.5837104072</v>
          </cell>
        </row>
        <row r="7">
          <cell r="A7" t="str">
            <v>COM</v>
          </cell>
          <cell r="C7">
            <v>6</v>
          </cell>
          <cell r="M7">
            <v>9374.8159278737803</v>
          </cell>
        </row>
        <row r="8">
          <cell r="A8" t="str">
            <v>COM</v>
          </cell>
          <cell r="C8">
            <v>7</v>
          </cell>
          <cell r="M8">
            <v>1431.1330935251799</v>
          </cell>
        </row>
        <row r="9">
          <cell r="A9" t="str">
            <v>COM</v>
          </cell>
          <cell r="C9">
            <v>8</v>
          </cell>
          <cell r="M9">
            <v>1655.7997664915399</v>
          </cell>
        </row>
        <row r="10">
          <cell r="A10" t="str">
            <v>COM</v>
          </cell>
          <cell r="C10">
            <v>10</v>
          </cell>
          <cell r="M10">
            <v>1981.86601446193</v>
          </cell>
        </row>
        <row r="11">
          <cell r="A11" t="str">
            <v>COM</v>
          </cell>
          <cell r="C11">
            <v>11</v>
          </cell>
          <cell r="M11">
            <v>3148.3509185115399</v>
          </cell>
        </row>
        <row r="12">
          <cell r="A12" t="str">
            <v>COM</v>
          </cell>
          <cell r="C12">
            <v>12</v>
          </cell>
          <cell r="M12">
            <v>999.25053003533606</v>
          </cell>
        </row>
        <row r="13">
          <cell r="A13" t="str">
            <v>COM</v>
          </cell>
          <cell r="C13">
            <v>13</v>
          </cell>
          <cell r="M13">
            <v>1681.83339746056</v>
          </cell>
        </row>
        <row r="14">
          <cell r="A14" t="str">
            <v>COM</v>
          </cell>
          <cell r="C14">
            <v>14</v>
          </cell>
          <cell r="M14">
            <v>2911.1181911613598</v>
          </cell>
        </row>
        <row r="15">
          <cell r="A15" t="str">
            <v>COM</v>
          </cell>
          <cell r="C15">
            <v>15</v>
          </cell>
          <cell r="M15">
            <v>3562.9678925861099</v>
          </cell>
        </row>
        <row r="16">
          <cell r="A16" t="str">
            <v>COM</v>
          </cell>
          <cell r="C16">
            <v>16</v>
          </cell>
          <cell r="M16">
            <v>732.46618460229695</v>
          </cell>
        </row>
        <row r="17">
          <cell r="A17" t="str">
            <v>COM</v>
          </cell>
          <cell r="C17">
            <v>17</v>
          </cell>
          <cell r="M17">
            <v>1140.0325011775799</v>
          </cell>
        </row>
        <row r="18">
          <cell r="A18" t="str">
            <v>COM</v>
          </cell>
          <cell r="C18">
            <v>18</v>
          </cell>
          <cell r="M18">
            <v>6225.63356890459</v>
          </cell>
        </row>
        <row r="19">
          <cell r="A19" t="str">
            <v>COM</v>
          </cell>
          <cell r="C19">
            <v>19</v>
          </cell>
          <cell r="M19">
            <v>7943.3012697191298</v>
          </cell>
        </row>
        <row r="20">
          <cell r="A20" t="str">
            <v>COM</v>
          </cell>
          <cell r="C20">
            <v>21</v>
          </cell>
          <cell r="M20">
            <v>264</v>
          </cell>
        </row>
        <row r="21">
          <cell r="A21" t="str">
            <v>COM</v>
          </cell>
          <cell r="C21">
            <v>22</v>
          </cell>
          <cell r="M21">
            <v>72</v>
          </cell>
        </row>
        <row r="22">
          <cell r="A22" t="str">
            <v>COM</v>
          </cell>
          <cell r="C22">
            <v>23</v>
          </cell>
          <cell r="M22">
            <v>84</v>
          </cell>
        </row>
        <row r="23">
          <cell r="A23" t="str">
            <v>COM</v>
          </cell>
          <cell r="C23">
            <v>24</v>
          </cell>
          <cell r="M23">
            <v>252</v>
          </cell>
        </row>
        <row r="24">
          <cell r="A24" t="str">
            <v>COM</v>
          </cell>
          <cell r="C24">
            <v>25</v>
          </cell>
          <cell r="M24">
            <v>563.06628532974401</v>
          </cell>
        </row>
        <row r="25">
          <cell r="A25" t="str">
            <v>COM</v>
          </cell>
          <cell r="C25">
            <v>26</v>
          </cell>
          <cell r="M25">
            <v>12</v>
          </cell>
        </row>
        <row r="26">
          <cell r="A26" t="str">
            <v>COM</v>
          </cell>
          <cell r="C26">
            <v>27</v>
          </cell>
          <cell r="M26">
            <v>33.733401221995898</v>
          </cell>
        </row>
        <row r="27">
          <cell r="A27" t="str">
            <v>IND</v>
          </cell>
          <cell r="C27">
            <v>1</v>
          </cell>
          <cell r="M27">
            <v>2868.8315018315002</v>
          </cell>
        </row>
        <row r="28">
          <cell r="A28" t="str">
            <v>IND</v>
          </cell>
          <cell r="C28">
            <v>2</v>
          </cell>
          <cell r="M28">
            <v>1525.76624346527</v>
          </cell>
        </row>
        <row r="29">
          <cell r="A29" t="str">
            <v>IND</v>
          </cell>
          <cell r="C29">
            <v>4</v>
          </cell>
          <cell r="M29">
            <v>48</v>
          </cell>
        </row>
        <row r="30">
          <cell r="A30" t="str">
            <v>IND</v>
          </cell>
          <cell r="C30">
            <v>5</v>
          </cell>
          <cell r="M30">
            <v>737.599870717518</v>
          </cell>
        </row>
        <row r="31">
          <cell r="A31" t="str">
            <v>IND</v>
          </cell>
          <cell r="C31">
            <v>6</v>
          </cell>
          <cell r="M31">
            <v>563.13373403456001</v>
          </cell>
        </row>
        <row r="32">
          <cell r="A32" t="str">
            <v>IND</v>
          </cell>
          <cell r="C32">
            <v>7</v>
          </cell>
          <cell r="M32">
            <v>156</v>
          </cell>
        </row>
        <row r="33">
          <cell r="A33" t="str">
            <v>IND</v>
          </cell>
          <cell r="C33">
            <v>8</v>
          </cell>
          <cell r="M33">
            <v>108</v>
          </cell>
        </row>
        <row r="34">
          <cell r="A34" t="str">
            <v>IND</v>
          </cell>
          <cell r="C34">
            <v>10</v>
          </cell>
          <cell r="M34">
            <v>256.199914929817</v>
          </cell>
        </row>
        <row r="35">
          <cell r="A35" t="str">
            <v>IND</v>
          </cell>
          <cell r="C35">
            <v>11</v>
          </cell>
          <cell r="M35">
            <v>276</v>
          </cell>
        </row>
        <row r="36">
          <cell r="A36" t="str">
            <v>IND</v>
          </cell>
          <cell r="C36">
            <v>12</v>
          </cell>
          <cell r="M36">
            <v>215.4</v>
          </cell>
        </row>
        <row r="37">
          <cell r="A37" t="str">
            <v>IND</v>
          </cell>
          <cell r="C37">
            <v>13</v>
          </cell>
          <cell r="M37">
            <v>96</v>
          </cell>
        </row>
        <row r="38">
          <cell r="A38" t="str">
            <v>IND</v>
          </cell>
          <cell r="C38">
            <v>14</v>
          </cell>
          <cell r="M38">
            <v>276.66649537512802</v>
          </cell>
        </row>
        <row r="39">
          <cell r="A39" t="str">
            <v>IND</v>
          </cell>
          <cell r="C39">
            <v>15</v>
          </cell>
          <cell r="M39">
            <v>84.033274956217198</v>
          </cell>
        </row>
        <row r="40">
          <cell r="A40" t="str">
            <v>IND</v>
          </cell>
          <cell r="C40">
            <v>16</v>
          </cell>
          <cell r="M40">
            <v>36</v>
          </cell>
        </row>
        <row r="41">
          <cell r="A41" t="str">
            <v>IND</v>
          </cell>
          <cell r="C41">
            <v>18</v>
          </cell>
          <cell r="M41">
            <v>1450.7102473498201</v>
          </cell>
        </row>
        <row r="42">
          <cell r="A42" t="str">
            <v>IND</v>
          </cell>
          <cell r="C42">
            <v>19</v>
          </cell>
          <cell r="M42">
            <v>959.43401308195496</v>
          </cell>
        </row>
        <row r="43">
          <cell r="A43" t="str">
            <v>IND</v>
          </cell>
          <cell r="C43">
            <v>22</v>
          </cell>
          <cell r="M43">
            <v>36</v>
          </cell>
        </row>
        <row r="44">
          <cell r="A44" t="str">
            <v>IND</v>
          </cell>
          <cell r="C44">
            <v>23</v>
          </cell>
          <cell r="M44">
            <v>12</v>
          </cell>
        </row>
        <row r="45">
          <cell r="A45" t="str">
            <v>IND</v>
          </cell>
          <cell r="C45">
            <v>28</v>
          </cell>
          <cell r="M45">
            <v>60</v>
          </cell>
        </row>
        <row r="46">
          <cell r="A46" t="str">
            <v>PSH</v>
          </cell>
          <cell r="C46">
            <v>1</v>
          </cell>
          <cell r="M46">
            <v>178.26678876678901</v>
          </cell>
        </row>
        <row r="47">
          <cell r="A47" t="str">
            <v>PSH</v>
          </cell>
          <cell r="C47">
            <v>2</v>
          </cell>
          <cell r="M47">
            <v>106.03286034353999</v>
          </cell>
        </row>
        <row r="48">
          <cell r="A48" t="str">
            <v>PSH</v>
          </cell>
          <cell r="C48">
            <v>3</v>
          </cell>
          <cell r="M48">
            <v>250.50068493150701</v>
          </cell>
        </row>
        <row r="49">
          <cell r="A49" t="str">
            <v>PSH</v>
          </cell>
          <cell r="C49">
            <v>4</v>
          </cell>
          <cell r="M49">
            <v>12</v>
          </cell>
        </row>
        <row r="50">
          <cell r="A50" t="str">
            <v>PSH</v>
          </cell>
          <cell r="C50">
            <v>5</v>
          </cell>
          <cell r="M50">
            <v>1650.56819650937</v>
          </cell>
        </row>
        <row r="51">
          <cell r="A51" t="str">
            <v>PSH</v>
          </cell>
          <cell r="C51">
            <v>6</v>
          </cell>
          <cell r="M51">
            <v>162.46656649136</v>
          </cell>
        </row>
        <row r="52">
          <cell r="A52" t="str">
            <v>PSH</v>
          </cell>
          <cell r="C52">
            <v>7</v>
          </cell>
          <cell r="M52">
            <v>569.49948612538503</v>
          </cell>
        </row>
        <row r="53">
          <cell r="A53" t="str">
            <v>PSH</v>
          </cell>
          <cell r="C53">
            <v>8</v>
          </cell>
          <cell r="M53">
            <v>72</v>
          </cell>
        </row>
        <row r="54">
          <cell r="A54" t="str">
            <v>PSH</v>
          </cell>
          <cell r="C54">
            <v>9</v>
          </cell>
          <cell r="M54">
            <v>24</v>
          </cell>
        </row>
        <row r="55">
          <cell r="A55" t="str">
            <v>PSH</v>
          </cell>
          <cell r="C55">
            <v>10</v>
          </cell>
          <cell r="M55">
            <v>587.43215652913602</v>
          </cell>
        </row>
        <row r="56">
          <cell r="A56" t="str">
            <v>PSH</v>
          </cell>
          <cell r="C56">
            <v>11</v>
          </cell>
          <cell r="M56">
            <v>31.333490343853001</v>
          </cell>
        </row>
        <row r="57">
          <cell r="A57" t="str">
            <v>PSH</v>
          </cell>
          <cell r="C57">
            <v>12</v>
          </cell>
          <cell r="M57">
            <v>424.43816254416998</v>
          </cell>
        </row>
        <row r="58">
          <cell r="A58" t="str">
            <v>PSH</v>
          </cell>
          <cell r="C58">
            <v>13</v>
          </cell>
          <cell r="M58">
            <v>92.433243555213593</v>
          </cell>
        </row>
        <row r="59">
          <cell r="A59" t="str">
            <v>PSH</v>
          </cell>
          <cell r="C59">
            <v>14</v>
          </cell>
          <cell r="M59">
            <v>12</v>
          </cell>
        </row>
        <row r="60">
          <cell r="A60" t="str">
            <v>PSH</v>
          </cell>
          <cell r="C60">
            <v>16</v>
          </cell>
          <cell r="M60">
            <v>58.900042535091501</v>
          </cell>
        </row>
        <row r="61">
          <cell r="A61" t="str">
            <v>PSH</v>
          </cell>
          <cell r="C61">
            <v>18</v>
          </cell>
          <cell r="M61">
            <v>336.83321554770299</v>
          </cell>
        </row>
        <row r="62">
          <cell r="A62" t="str">
            <v>PSH</v>
          </cell>
          <cell r="C62">
            <v>19</v>
          </cell>
          <cell r="M62">
            <v>66.366679492112397</v>
          </cell>
        </row>
        <row r="63">
          <cell r="A63" t="str">
            <v>PSH</v>
          </cell>
          <cell r="C63">
            <v>21</v>
          </cell>
          <cell r="M63">
            <v>30.366223038090901</v>
          </cell>
        </row>
        <row r="64">
          <cell r="A64" t="str">
            <v>PSH</v>
          </cell>
          <cell r="C64">
            <v>24</v>
          </cell>
          <cell r="M64">
            <v>74.766693922049598</v>
          </cell>
        </row>
        <row r="65">
          <cell r="A65" t="str">
            <v>PSH</v>
          </cell>
          <cell r="C65">
            <v>25</v>
          </cell>
          <cell r="M65">
            <v>10.3667563930013</v>
          </cell>
        </row>
        <row r="66">
          <cell r="A66" t="str">
            <v>RES</v>
          </cell>
          <cell r="C66">
            <v>6</v>
          </cell>
          <cell r="M66">
            <v>0</v>
          </cell>
        </row>
        <row r="67">
          <cell r="A67" t="str">
            <v>RES</v>
          </cell>
          <cell r="C67">
            <v>1</v>
          </cell>
          <cell r="M67">
            <v>12068.206959707</v>
          </cell>
        </row>
        <row r="68">
          <cell r="A68" t="str">
            <v>RES</v>
          </cell>
          <cell r="C68">
            <v>2</v>
          </cell>
          <cell r="M68">
            <v>762.60156833457802</v>
          </cell>
        </row>
        <row r="69">
          <cell r="A69" t="str">
            <v>RES</v>
          </cell>
          <cell r="C69">
            <v>3</v>
          </cell>
          <cell r="M69">
            <v>2326.39726027397</v>
          </cell>
        </row>
        <row r="70">
          <cell r="A70" t="str">
            <v>RES</v>
          </cell>
          <cell r="C70">
            <v>4</v>
          </cell>
          <cell r="M70">
            <v>838.19869174161897</v>
          </cell>
        </row>
        <row r="71">
          <cell r="A71" t="str">
            <v>RES</v>
          </cell>
          <cell r="C71">
            <v>5</v>
          </cell>
          <cell r="M71">
            <v>8663.8209437621099</v>
          </cell>
        </row>
        <row r="72">
          <cell r="A72" t="str">
            <v>RES</v>
          </cell>
          <cell r="C72">
            <v>6</v>
          </cell>
          <cell r="M72">
            <v>7765.4440270473397</v>
          </cell>
        </row>
        <row r="73">
          <cell r="A73" t="str">
            <v>RES</v>
          </cell>
          <cell r="C73">
            <v>7</v>
          </cell>
          <cell r="M73">
            <v>1029.5328879753299</v>
          </cell>
        </row>
        <row r="74">
          <cell r="A74" t="str">
            <v>RES</v>
          </cell>
          <cell r="C74">
            <v>8</v>
          </cell>
          <cell r="M74">
            <v>448.83537653239898</v>
          </cell>
        </row>
        <row r="75">
          <cell r="A75" t="str">
            <v>RES</v>
          </cell>
          <cell r="C75">
            <v>9</v>
          </cell>
          <cell r="M75">
            <v>72.233507356430906</v>
          </cell>
        </row>
        <row r="76">
          <cell r="A76" t="str">
            <v>RES</v>
          </cell>
          <cell r="C76">
            <v>10</v>
          </cell>
          <cell r="M76">
            <v>430.90131858783502</v>
          </cell>
        </row>
        <row r="77">
          <cell r="A77" t="str">
            <v>RES</v>
          </cell>
          <cell r="C77">
            <v>11</v>
          </cell>
          <cell r="M77">
            <v>447.55204898728198</v>
          </cell>
        </row>
        <row r="78">
          <cell r="A78" t="str">
            <v>RES</v>
          </cell>
          <cell r="C78">
            <v>12</v>
          </cell>
          <cell r="M78">
            <v>444</v>
          </cell>
        </row>
        <row r="79">
          <cell r="A79" t="str">
            <v>RES</v>
          </cell>
          <cell r="C79">
            <v>13</v>
          </cell>
          <cell r="M79">
            <v>272.66641015775298</v>
          </cell>
        </row>
        <row r="80">
          <cell r="A80" t="str">
            <v>RES</v>
          </cell>
          <cell r="C80">
            <v>14</v>
          </cell>
          <cell r="M80">
            <v>1019.1341212744099</v>
          </cell>
        </row>
        <row r="81">
          <cell r="A81" t="str">
            <v>RES</v>
          </cell>
          <cell r="C81">
            <v>15</v>
          </cell>
          <cell r="M81">
            <v>990.43432574430801</v>
          </cell>
        </row>
        <row r="82">
          <cell r="A82" t="str">
            <v>RES</v>
          </cell>
          <cell r="C82">
            <v>16</v>
          </cell>
          <cell r="M82">
            <v>115.83283709059999</v>
          </cell>
        </row>
        <row r="83">
          <cell r="A83" t="str">
            <v>RES</v>
          </cell>
          <cell r="C83">
            <v>17</v>
          </cell>
          <cell r="M83">
            <v>108</v>
          </cell>
        </row>
        <row r="84">
          <cell r="A84" t="str">
            <v>RES</v>
          </cell>
          <cell r="C84">
            <v>18</v>
          </cell>
          <cell r="M84">
            <v>427.00035335689</v>
          </cell>
        </row>
        <row r="85">
          <cell r="A85" t="str">
            <v>RES</v>
          </cell>
          <cell r="C85">
            <v>19</v>
          </cell>
          <cell r="M85">
            <v>593.96614082339397</v>
          </cell>
        </row>
        <row r="88">
          <cell r="N88">
            <v>7238624.0497356383</v>
          </cell>
        </row>
        <row r="89">
          <cell r="N89">
            <v>974055.11834088468</v>
          </cell>
        </row>
        <row r="90">
          <cell r="N90">
            <v>361780.09622831794</v>
          </cell>
        </row>
        <row r="91">
          <cell r="N91">
            <v>2246900.6861753906</v>
          </cell>
        </row>
      </sheetData>
      <sheetData sheetId="40">
        <row r="10">
          <cell r="G10">
            <v>1541.43314285714</v>
          </cell>
          <cell r="H10">
            <v>1960629.3991596601</v>
          </cell>
          <cell r="J10">
            <v>824194.08419023221</v>
          </cell>
          <cell r="K10">
            <v>1074665.9883824866</v>
          </cell>
          <cell r="L10">
            <v>909425.07079646003</v>
          </cell>
          <cell r="N10">
            <v>109538111</v>
          </cell>
          <cell r="O10">
            <v>256097868</v>
          </cell>
          <cell r="P10">
            <v>567477071</v>
          </cell>
        </row>
        <row r="11">
          <cell r="G11">
            <v>1250.0664285714299</v>
          </cell>
          <cell r="H11">
            <v>2239559.6701680701</v>
          </cell>
          <cell r="J11">
            <v>939735.74871465296</v>
          </cell>
          <cell r="K11">
            <v>1252824.8203753377</v>
          </cell>
          <cell r="L11">
            <v>954992.93805309699</v>
          </cell>
          <cell r="N11">
            <v>122983181</v>
          </cell>
          <cell r="O11">
            <v>287770283</v>
          </cell>
          <cell r="P11">
            <v>601511390</v>
          </cell>
        </row>
        <row r="13">
          <cell r="G13">
            <v>135.63328571428599</v>
          </cell>
          <cell r="H13">
            <v>137123.266806723</v>
          </cell>
          <cell r="J13">
            <v>57339.679305912599</v>
          </cell>
          <cell r="K13">
            <v>76076.985701519196</v>
          </cell>
          <cell r="L13">
            <v>78554.203539822993</v>
          </cell>
          <cell r="N13">
            <v>6720882</v>
          </cell>
          <cell r="O13">
            <v>16121807</v>
          </cell>
          <cell r="P13">
            <v>34565769</v>
          </cell>
        </row>
        <row r="16">
          <cell r="G16">
            <v>6</v>
          </cell>
          <cell r="H16">
            <v>4549.6659663865503</v>
          </cell>
          <cell r="J16">
            <v>2769.6433161953701</v>
          </cell>
          <cell r="K16">
            <v>1664.6899016979401</v>
          </cell>
          <cell r="L16">
            <v>4434.3274336283203</v>
          </cell>
          <cell r="N16">
            <v>289713</v>
          </cell>
          <cell r="O16">
            <v>383894</v>
          </cell>
          <cell r="P16">
            <v>934485</v>
          </cell>
        </row>
      </sheetData>
      <sheetData sheetId="41">
        <row r="8">
          <cell r="G8">
            <v>469.39992277992297</v>
          </cell>
          <cell r="H8">
            <v>1842774.7972973001</v>
          </cell>
          <cell r="J8">
            <v>719518.00716332404</v>
          </cell>
          <cell r="K8">
            <v>1021748.628299894</v>
          </cell>
          <cell r="M8">
            <v>98444435</v>
          </cell>
          <cell r="N8">
            <v>266530222</v>
          </cell>
          <cell r="O8">
            <v>596775501</v>
          </cell>
        </row>
        <row r="9">
          <cell r="G9">
            <v>1353.133204633205</v>
          </cell>
          <cell r="H9">
            <v>6361741.5315315304</v>
          </cell>
          <cell r="J9">
            <v>2573352.7063037273</v>
          </cell>
          <cell r="K9">
            <v>3583007.7930306201</v>
          </cell>
          <cell r="M9">
            <v>363130507</v>
          </cell>
          <cell r="N9">
            <v>970022045</v>
          </cell>
          <cell r="O9">
            <v>2300335374</v>
          </cell>
        </row>
      </sheetData>
      <sheetData sheetId="42">
        <row r="6">
          <cell r="G6">
            <v>24</v>
          </cell>
          <cell r="H6">
            <v>72449</v>
          </cell>
          <cell r="J6">
            <v>11052119</v>
          </cell>
          <cell r="K6">
            <v>11865572</v>
          </cell>
          <cell r="Q6">
            <v>4022753</v>
          </cell>
          <cell r="R6">
            <v>3931360</v>
          </cell>
          <cell r="S6">
            <v>23732</v>
          </cell>
        </row>
        <row r="7">
          <cell r="G7">
            <v>84</v>
          </cell>
          <cell r="H7">
            <v>161957</v>
          </cell>
          <cell r="J7">
            <v>12062480</v>
          </cell>
          <cell r="K7">
            <v>5560780</v>
          </cell>
          <cell r="Q7">
            <v>5416860</v>
          </cell>
          <cell r="R7">
            <v>2596740</v>
          </cell>
          <cell r="S7">
            <v>66685</v>
          </cell>
        </row>
      </sheetData>
      <sheetData sheetId="43">
        <row r="17">
          <cell r="J17">
            <v>9.5836800000000011</v>
          </cell>
        </row>
        <row r="18">
          <cell r="J18">
            <v>3100.0205263157914</v>
          </cell>
        </row>
        <row r="19">
          <cell r="L19">
            <v>14065.268571428629</v>
          </cell>
          <cell r="M19">
            <v>6655.8378571428157</v>
          </cell>
          <cell r="N19">
            <v>382160.32605729927</v>
          </cell>
          <cell r="O19">
            <v>4222.9317073170741</v>
          </cell>
          <cell r="Q19">
            <v>43690633</v>
          </cell>
          <cell r="T19">
            <v>84060709</v>
          </cell>
          <cell r="U19">
            <v>50813631</v>
          </cell>
        </row>
        <row r="20">
          <cell r="J20">
            <v>3</v>
          </cell>
        </row>
        <row r="21">
          <cell r="J21">
            <v>251.37552631578899</v>
          </cell>
        </row>
        <row r="22">
          <cell r="L22">
            <v>1131.199285714287</v>
          </cell>
          <cell r="M22">
            <v>572.07357142857097</v>
          </cell>
          <cell r="N22">
            <v>56614.135061391513</v>
          </cell>
          <cell r="O22">
            <v>2123.3268292682901</v>
          </cell>
          <cell r="Q22">
            <v>5361903</v>
          </cell>
          <cell r="R22">
            <v>4127579</v>
          </cell>
          <cell r="S22">
            <v>12608935</v>
          </cell>
        </row>
        <row r="23">
          <cell r="J23">
            <v>1</v>
          </cell>
        </row>
        <row r="24">
          <cell r="J24">
            <v>60.7226315789474</v>
          </cell>
        </row>
        <row r="25">
          <cell r="L25">
            <v>314.37</v>
          </cell>
          <cell r="M25">
            <v>135.45857142857102</v>
          </cell>
          <cell r="N25">
            <v>23200.406548431107</v>
          </cell>
          <cell r="O25">
            <v>8.4536585365853707</v>
          </cell>
          <cell r="Q25">
            <v>1408137</v>
          </cell>
          <cell r="R25">
            <v>117281</v>
          </cell>
          <cell r="S25">
            <v>438822</v>
          </cell>
          <cell r="T25">
            <v>3390242</v>
          </cell>
          <cell r="U25">
            <v>2965371</v>
          </cell>
        </row>
      </sheetData>
      <sheetData sheetId="44">
        <row r="2">
          <cell r="B2">
            <v>42</v>
          </cell>
          <cell r="L2">
            <v>28619.111016949199</v>
          </cell>
        </row>
        <row r="3">
          <cell r="B3">
            <v>43</v>
          </cell>
          <cell r="L3">
            <v>194114.982785603</v>
          </cell>
        </row>
        <row r="4">
          <cell r="B4">
            <v>44</v>
          </cell>
          <cell r="L4">
            <v>144</v>
          </cell>
        </row>
        <row r="5">
          <cell r="B5">
            <v>45</v>
          </cell>
          <cell r="L5">
            <v>19332.8754427391</v>
          </cell>
        </row>
        <row r="6">
          <cell r="B6">
            <v>46</v>
          </cell>
          <cell r="L6">
            <v>48</v>
          </cell>
        </row>
        <row r="7">
          <cell r="B7">
            <v>47</v>
          </cell>
          <cell r="L7">
            <v>22425.718543046401</v>
          </cell>
        </row>
        <row r="8">
          <cell r="B8">
            <v>48</v>
          </cell>
          <cell r="L8">
            <v>12</v>
          </cell>
        </row>
        <row r="9">
          <cell r="B9">
            <v>49</v>
          </cell>
          <cell r="L9">
            <v>7669.15680245965</v>
          </cell>
        </row>
        <row r="10">
          <cell r="B10">
            <v>51</v>
          </cell>
          <cell r="L10">
            <v>432</v>
          </cell>
        </row>
        <row r="11">
          <cell r="B11">
            <v>52</v>
          </cell>
          <cell r="L11">
            <v>2376</v>
          </cell>
        </row>
        <row r="12">
          <cell r="B12">
            <v>53</v>
          </cell>
          <cell r="L12">
            <v>1248</v>
          </cell>
        </row>
        <row r="13">
          <cell r="B13">
            <v>54</v>
          </cell>
          <cell r="L13">
            <v>49.735348226018402</v>
          </cell>
        </row>
        <row r="14">
          <cell r="B14">
            <v>55</v>
          </cell>
          <cell r="L14">
            <v>396</v>
          </cell>
        </row>
        <row r="15">
          <cell r="B15">
            <v>57</v>
          </cell>
          <cell r="L15">
            <v>48.0998509687034</v>
          </cell>
        </row>
        <row r="16">
          <cell r="B16">
            <v>58</v>
          </cell>
          <cell r="L16">
            <v>312</v>
          </cell>
        </row>
        <row r="17">
          <cell r="B17">
            <v>59</v>
          </cell>
          <cell r="L17">
            <v>27.862125564218299</v>
          </cell>
        </row>
        <row r="18">
          <cell r="B18">
            <v>63</v>
          </cell>
          <cell r="L18">
            <v>36</v>
          </cell>
        </row>
        <row r="19">
          <cell r="B19">
            <v>64</v>
          </cell>
          <cell r="L19">
            <v>12</v>
          </cell>
        </row>
        <row r="20">
          <cell r="B20">
            <v>65</v>
          </cell>
          <cell r="L20">
            <v>516</v>
          </cell>
        </row>
        <row r="21">
          <cell r="B21">
            <v>66</v>
          </cell>
          <cell r="L21">
            <v>276</v>
          </cell>
        </row>
        <row r="22">
          <cell r="B22">
            <v>67</v>
          </cell>
          <cell r="L22">
            <v>2900.0853217642798</v>
          </cell>
        </row>
        <row r="23">
          <cell r="B23">
            <v>68</v>
          </cell>
          <cell r="L23">
            <v>96</v>
          </cell>
        </row>
        <row r="24">
          <cell r="B24">
            <v>69</v>
          </cell>
          <cell r="L24">
            <v>245.900122799836</v>
          </cell>
        </row>
        <row r="25">
          <cell r="B25">
            <v>71</v>
          </cell>
          <cell r="L25">
            <v>144</v>
          </cell>
        </row>
        <row r="26">
          <cell r="B26">
            <v>73</v>
          </cell>
          <cell r="L26">
            <v>53.645129711209002</v>
          </cell>
        </row>
        <row r="27">
          <cell r="B27">
            <v>76</v>
          </cell>
          <cell r="L27">
            <v>15</v>
          </cell>
        </row>
        <row r="28">
          <cell r="B28">
            <v>81</v>
          </cell>
          <cell r="L28">
            <v>62.466666666666697</v>
          </cell>
        </row>
        <row r="29">
          <cell r="B29">
            <v>83</v>
          </cell>
          <cell r="L29">
            <v>2738.8798586572402</v>
          </cell>
        </row>
        <row r="30">
          <cell r="B30">
            <v>84</v>
          </cell>
          <cell r="L30">
            <v>1171.24449035813</v>
          </cell>
        </row>
        <row r="31">
          <cell r="B31">
            <v>85</v>
          </cell>
          <cell r="L31">
            <v>114.133333333333</v>
          </cell>
        </row>
        <row r="33">
          <cell r="M33">
            <v>13543958.85338369</v>
          </cell>
        </row>
      </sheetData>
      <sheetData sheetId="45">
        <row r="2">
          <cell r="C2">
            <v>24</v>
          </cell>
          <cell r="M2">
            <v>0</v>
          </cell>
        </row>
        <row r="3">
          <cell r="C3">
            <v>25</v>
          </cell>
          <cell r="M3">
            <v>1620.6709183673499</v>
          </cell>
        </row>
        <row r="4">
          <cell r="C4">
            <v>26</v>
          </cell>
          <cell r="M4">
            <v>88517.224043715803</v>
          </cell>
        </row>
        <row r="5">
          <cell r="C5">
            <v>27</v>
          </cell>
          <cell r="M5">
            <v>139165.98000000001</v>
          </cell>
        </row>
        <row r="6">
          <cell r="C6">
            <v>28</v>
          </cell>
          <cell r="M6">
            <v>116720.612021858</v>
          </cell>
        </row>
        <row r="7">
          <cell r="C7">
            <v>29</v>
          </cell>
          <cell r="M7">
            <v>29670.9739263804</v>
          </cell>
        </row>
        <row r="8">
          <cell r="C8">
            <v>30</v>
          </cell>
          <cell r="M8">
            <v>17455.575848303401</v>
          </cell>
        </row>
        <row r="9">
          <cell r="C9">
            <v>31</v>
          </cell>
          <cell r="M9">
            <v>3252</v>
          </cell>
        </row>
        <row r="10">
          <cell r="C10">
            <v>32</v>
          </cell>
          <cell r="M10">
            <v>22.647058823529399</v>
          </cell>
        </row>
        <row r="11">
          <cell r="C11">
            <v>33</v>
          </cell>
          <cell r="M11">
            <v>3173.1147540983602</v>
          </cell>
        </row>
        <row r="12">
          <cell r="C12">
            <v>34</v>
          </cell>
          <cell r="M12">
            <v>7556.2588235294097</v>
          </cell>
        </row>
        <row r="13">
          <cell r="C13">
            <v>35</v>
          </cell>
          <cell r="M13">
            <v>3981.88440860215</v>
          </cell>
        </row>
        <row r="14">
          <cell r="C14">
            <v>36</v>
          </cell>
          <cell r="M14">
            <v>16145.838565022401</v>
          </cell>
        </row>
        <row r="15">
          <cell r="C15">
            <v>37</v>
          </cell>
          <cell r="M15">
            <v>17533.513776337099</v>
          </cell>
        </row>
        <row r="16">
          <cell r="C16">
            <v>38</v>
          </cell>
          <cell r="M16">
            <v>10677.115660184199</v>
          </cell>
        </row>
        <row r="17">
          <cell r="C17">
            <v>40</v>
          </cell>
          <cell r="M17">
            <v>12</v>
          </cell>
        </row>
        <row r="18">
          <cell r="C18">
            <v>41</v>
          </cell>
          <cell r="M18">
            <v>96</v>
          </cell>
        </row>
        <row r="19">
          <cell r="C19">
            <v>45</v>
          </cell>
          <cell r="M19">
            <v>642.06274509803904</v>
          </cell>
        </row>
        <row r="20">
          <cell r="C20">
            <v>46</v>
          </cell>
          <cell r="M20">
            <v>552</v>
          </cell>
        </row>
        <row r="21">
          <cell r="C21">
            <v>47</v>
          </cell>
          <cell r="M21">
            <v>348</v>
          </cell>
        </row>
        <row r="22">
          <cell r="C22">
            <v>48</v>
          </cell>
          <cell r="M22">
            <v>24</v>
          </cell>
        </row>
        <row r="23">
          <cell r="C23">
            <v>49</v>
          </cell>
          <cell r="M23">
            <v>19754.403225806502</v>
          </cell>
        </row>
        <row r="24">
          <cell r="C24">
            <v>50</v>
          </cell>
          <cell r="M24">
            <v>11549.9259259259</v>
          </cell>
        </row>
        <row r="25">
          <cell r="C25">
            <v>52</v>
          </cell>
          <cell r="M25">
            <v>5118.5882352941198</v>
          </cell>
        </row>
        <row r="26">
          <cell r="C26">
            <v>54</v>
          </cell>
          <cell r="M26">
            <v>24551.8823529412</v>
          </cell>
        </row>
        <row r="27">
          <cell r="C27">
            <v>55</v>
          </cell>
          <cell r="M27">
            <v>9873.6153846153793</v>
          </cell>
        </row>
        <row r="28">
          <cell r="C28">
            <v>56</v>
          </cell>
          <cell r="M28">
            <v>1053.9562841530101</v>
          </cell>
        </row>
        <row r="29">
          <cell r="C29">
            <v>57</v>
          </cell>
          <cell r="M29">
            <v>1143.80530973451</v>
          </cell>
        </row>
        <row r="30">
          <cell r="C30">
            <v>59</v>
          </cell>
          <cell r="M30">
            <v>72</v>
          </cell>
        </row>
        <row r="31">
          <cell r="C31">
            <v>69</v>
          </cell>
          <cell r="M31">
            <v>552</v>
          </cell>
        </row>
        <row r="32">
          <cell r="C32">
            <v>70</v>
          </cell>
          <cell r="M32">
            <v>1042.3792207792201</v>
          </cell>
        </row>
        <row r="33">
          <cell r="C33">
            <v>72</v>
          </cell>
          <cell r="M33">
            <v>3358.6610169491501</v>
          </cell>
        </row>
        <row r="34">
          <cell r="C34">
            <v>73</v>
          </cell>
          <cell r="M34">
            <v>5000.8898305084704</v>
          </cell>
        </row>
        <row r="35">
          <cell r="C35">
            <v>80</v>
          </cell>
          <cell r="M35">
            <v>10170.966101694899</v>
          </cell>
        </row>
        <row r="36">
          <cell r="C36">
            <v>81</v>
          </cell>
          <cell r="M36">
            <v>7976.0833333333303</v>
          </cell>
        </row>
        <row r="37">
          <cell r="C37">
            <v>82</v>
          </cell>
          <cell r="M37">
            <v>12787</v>
          </cell>
        </row>
        <row r="38">
          <cell r="C38">
            <v>83</v>
          </cell>
          <cell r="M38">
            <v>14249.629032258101</v>
          </cell>
        </row>
        <row r="39">
          <cell r="C39">
            <v>84</v>
          </cell>
          <cell r="M39">
            <v>24261.3439490446</v>
          </cell>
        </row>
        <row r="40">
          <cell r="C40">
            <v>85</v>
          </cell>
          <cell r="M40">
            <v>5550.1534391534396</v>
          </cell>
        </row>
        <row r="41">
          <cell r="C41">
            <v>86</v>
          </cell>
          <cell r="M41">
            <v>5920.7653061224501</v>
          </cell>
        </row>
        <row r="42">
          <cell r="C42">
            <v>87</v>
          </cell>
          <cell r="M42">
            <v>6601.68837209302</v>
          </cell>
        </row>
        <row r="43">
          <cell r="C43">
            <v>88</v>
          </cell>
          <cell r="M43">
            <v>6509.78947368421</v>
          </cell>
        </row>
        <row r="44">
          <cell r="C44">
            <v>89</v>
          </cell>
          <cell r="M44">
            <v>2942.0443548387102</v>
          </cell>
        </row>
        <row r="45">
          <cell r="C45">
            <v>90</v>
          </cell>
          <cell r="M45">
            <v>257.10583941605802</v>
          </cell>
        </row>
        <row r="46">
          <cell r="C46">
            <v>91</v>
          </cell>
          <cell r="M46">
            <v>17157.789137380201</v>
          </cell>
        </row>
        <row r="47">
          <cell r="C47">
            <v>92</v>
          </cell>
          <cell r="M47">
            <v>14027.708588957101</v>
          </cell>
        </row>
        <row r="48">
          <cell r="C48">
            <v>93</v>
          </cell>
          <cell r="M48">
            <v>4166.0317919075196</v>
          </cell>
        </row>
        <row r="49">
          <cell r="C49">
            <v>95</v>
          </cell>
          <cell r="M49">
            <v>11919.555160142399</v>
          </cell>
        </row>
        <row r="50">
          <cell r="C50">
            <v>96</v>
          </cell>
          <cell r="M50">
            <v>312</v>
          </cell>
        </row>
        <row r="51">
          <cell r="C51">
            <v>98</v>
          </cell>
          <cell r="M51">
            <v>276</v>
          </cell>
        </row>
        <row r="52">
          <cell r="C52">
            <v>99</v>
          </cell>
          <cell r="M52">
            <v>612</v>
          </cell>
        </row>
        <row r="53">
          <cell r="C53">
            <v>100</v>
          </cell>
          <cell r="M53">
            <v>2102.93314763231</v>
          </cell>
        </row>
        <row r="54">
          <cell r="C54">
            <v>101</v>
          </cell>
          <cell r="M54">
            <v>49326.243589743601</v>
          </cell>
        </row>
        <row r="55">
          <cell r="C55">
            <v>102</v>
          </cell>
          <cell r="M55">
            <v>23430.989010989</v>
          </cell>
        </row>
        <row r="56">
          <cell r="C56">
            <v>103</v>
          </cell>
          <cell r="M56">
            <v>27206.1351351351</v>
          </cell>
        </row>
        <row r="57">
          <cell r="C57">
            <v>104</v>
          </cell>
          <cell r="M57">
            <v>1653.23778501629</v>
          </cell>
        </row>
        <row r="58">
          <cell r="C58">
            <v>105</v>
          </cell>
          <cell r="M58">
            <v>57640.9541984733</v>
          </cell>
        </row>
        <row r="59">
          <cell r="C59">
            <v>106</v>
          </cell>
          <cell r="M59">
            <v>5147.8636363636397</v>
          </cell>
        </row>
        <row r="60">
          <cell r="C60">
            <v>107</v>
          </cell>
          <cell r="M60">
            <v>5.4927536231884098</v>
          </cell>
        </row>
        <row r="61">
          <cell r="C61">
            <v>109</v>
          </cell>
          <cell r="M61">
            <v>34031.265306122499</v>
          </cell>
        </row>
        <row r="62">
          <cell r="C62">
            <v>110</v>
          </cell>
          <cell r="M62">
            <v>1307.40996168582</v>
          </cell>
        </row>
        <row r="63">
          <cell r="C63">
            <v>112</v>
          </cell>
          <cell r="M63">
            <v>12</v>
          </cell>
        </row>
        <row r="64">
          <cell r="C64">
            <v>113</v>
          </cell>
          <cell r="M64">
            <v>70.369230769230796</v>
          </cell>
        </row>
        <row r="65">
          <cell r="C65">
            <v>114</v>
          </cell>
          <cell r="M65">
            <v>264</v>
          </cell>
        </row>
        <row r="66">
          <cell r="C66">
            <v>116</v>
          </cell>
          <cell r="M66">
            <v>492</v>
          </cell>
        </row>
        <row r="67">
          <cell r="C67">
            <v>117</v>
          </cell>
          <cell r="M67">
            <v>1202.2644628099199</v>
          </cell>
        </row>
        <row r="68">
          <cell r="C68">
            <v>118</v>
          </cell>
          <cell r="M68">
            <v>456</v>
          </cell>
        </row>
        <row r="69">
          <cell r="C69">
            <v>119</v>
          </cell>
          <cell r="M69">
            <v>96</v>
          </cell>
        </row>
        <row r="70">
          <cell r="C70">
            <v>120</v>
          </cell>
          <cell r="M70">
            <v>3960</v>
          </cell>
        </row>
        <row r="71">
          <cell r="C71">
            <v>121</v>
          </cell>
          <cell r="M71">
            <v>12384</v>
          </cell>
        </row>
        <row r="72">
          <cell r="C72">
            <v>122</v>
          </cell>
          <cell r="M72">
            <v>588.45564516129002</v>
          </cell>
        </row>
        <row r="73">
          <cell r="C73">
            <v>126</v>
          </cell>
          <cell r="M73">
            <v>36</v>
          </cell>
        </row>
        <row r="74">
          <cell r="C74">
            <v>127</v>
          </cell>
          <cell r="M74">
            <v>51156.071428571398</v>
          </cell>
        </row>
        <row r="75">
          <cell r="C75">
            <v>128</v>
          </cell>
          <cell r="M75">
            <v>96</v>
          </cell>
        </row>
        <row r="76">
          <cell r="C76">
            <v>129</v>
          </cell>
          <cell r="M76">
            <v>2503.5429234338699</v>
          </cell>
        </row>
        <row r="77">
          <cell r="C77">
            <v>130</v>
          </cell>
          <cell r="M77">
            <v>2302</v>
          </cell>
        </row>
        <row r="78">
          <cell r="C78">
            <v>131</v>
          </cell>
          <cell r="M78">
            <v>192</v>
          </cell>
        </row>
        <row r="79">
          <cell r="C79">
            <v>132</v>
          </cell>
          <cell r="M79">
            <v>2529.0306748466301</v>
          </cell>
        </row>
        <row r="80">
          <cell r="C80">
            <v>134</v>
          </cell>
          <cell r="M80">
            <v>1181.4000000000001</v>
          </cell>
        </row>
        <row r="81">
          <cell r="C81">
            <v>135</v>
          </cell>
          <cell r="M81">
            <v>25747.543478260901</v>
          </cell>
        </row>
        <row r="82">
          <cell r="C82">
            <v>136</v>
          </cell>
          <cell r="M82">
            <v>855.64820846905502</v>
          </cell>
        </row>
        <row r="83">
          <cell r="C83">
            <v>137</v>
          </cell>
          <cell r="M83">
            <v>948</v>
          </cell>
        </row>
        <row r="84">
          <cell r="C84">
            <v>138</v>
          </cell>
          <cell r="M84">
            <v>1831.11333333333</v>
          </cell>
        </row>
        <row r="85">
          <cell r="C85">
            <v>139</v>
          </cell>
          <cell r="M85">
            <v>36</v>
          </cell>
        </row>
        <row r="86">
          <cell r="C86">
            <v>141</v>
          </cell>
          <cell r="M86">
            <v>4595.6036036036003</v>
          </cell>
        </row>
        <row r="87">
          <cell r="C87">
            <v>142</v>
          </cell>
          <cell r="M87">
            <v>565.6</v>
          </cell>
        </row>
        <row r="88">
          <cell r="C88">
            <v>143</v>
          </cell>
          <cell r="M88">
            <v>1516.84901531729</v>
          </cell>
        </row>
        <row r="89">
          <cell r="C89">
            <v>144</v>
          </cell>
          <cell r="M89">
            <v>48</v>
          </cell>
        </row>
        <row r="90">
          <cell r="C90">
            <v>145</v>
          </cell>
          <cell r="M90">
            <v>144</v>
          </cell>
        </row>
        <row r="91">
          <cell r="C91">
            <v>146</v>
          </cell>
          <cell r="M91">
            <v>348</v>
          </cell>
        </row>
        <row r="92">
          <cell r="C92">
            <v>147</v>
          </cell>
          <cell r="M92">
            <v>348</v>
          </cell>
        </row>
        <row r="93">
          <cell r="C93">
            <v>148</v>
          </cell>
          <cell r="M93">
            <v>12</v>
          </cell>
        </row>
        <row r="94">
          <cell r="C94">
            <v>149</v>
          </cell>
          <cell r="M94">
            <v>4560</v>
          </cell>
        </row>
        <row r="96">
          <cell r="N96">
            <v>41430739.109842025</v>
          </cell>
        </row>
        <row r="97">
          <cell r="N97">
            <v>16618873.277816664</v>
          </cell>
        </row>
      </sheetData>
      <sheetData sheetId="46">
        <row r="2">
          <cell r="B2">
            <v>5</v>
          </cell>
          <cell r="L2">
            <v>36</v>
          </cell>
        </row>
        <row r="3">
          <cell r="B3">
            <v>7</v>
          </cell>
          <cell r="L3">
            <v>12</v>
          </cell>
        </row>
        <row r="4">
          <cell r="B4">
            <v>11</v>
          </cell>
          <cell r="L4">
            <v>24</v>
          </cell>
        </row>
        <row r="5">
          <cell r="B5">
            <v>21</v>
          </cell>
          <cell r="L5">
            <v>4038.05982905983</v>
          </cell>
        </row>
        <row r="6">
          <cell r="B6">
            <v>23</v>
          </cell>
          <cell r="L6">
            <v>6914.6444805194797</v>
          </cell>
        </row>
        <row r="7">
          <cell r="B7">
            <v>25</v>
          </cell>
          <cell r="L7">
            <v>576</v>
          </cell>
        </row>
        <row r="8">
          <cell r="B8">
            <v>27</v>
          </cell>
          <cell r="L8">
            <v>1223.2984531392201</v>
          </cell>
        </row>
        <row r="9">
          <cell r="B9">
            <v>29</v>
          </cell>
          <cell r="L9">
            <v>1599.822721598</v>
          </cell>
        </row>
        <row r="10">
          <cell r="B10">
            <v>31</v>
          </cell>
          <cell r="L10">
            <v>33.533376123234902</v>
          </cell>
        </row>
        <row r="11">
          <cell r="B11">
            <v>33</v>
          </cell>
          <cell r="L11">
            <v>722.34392879847405</v>
          </cell>
        </row>
        <row r="12">
          <cell r="B12">
            <v>35</v>
          </cell>
          <cell r="L12">
            <v>672.36662679425797</v>
          </cell>
        </row>
        <row r="14">
          <cell r="M14">
            <v>946976.17346773273</v>
          </cell>
        </row>
      </sheetData>
      <sheetData sheetId="47">
        <row r="2">
          <cell r="B2">
            <v>1</v>
          </cell>
          <cell r="L2">
            <v>72</v>
          </cell>
        </row>
        <row r="3">
          <cell r="B3">
            <v>3</v>
          </cell>
          <cell r="L3">
            <v>36</v>
          </cell>
        </row>
        <row r="4">
          <cell r="B4">
            <v>11</v>
          </cell>
          <cell r="L4">
            <v>636</v>
          </cell>
        </row>
        <row r="5">
          <cell r="B5">
            <v>15</v>
          </cell>
          <cell r="L5">
            <v>84</v>
          </cell>
        </row>
        <row r="6">
          <cell r="B6">
            <v>22</v>
          </cell>
          <cell r="L6">
            <v>2228.4779411764698</v>
          </cell>
        </row>
        <row r="7">
          <cell r="B7">
            <v>25</v>
          </cell>
          <cell r="L7">
            <v>10538.737430167601</v>
          </cell>
        </row>
        <row r="8">
          <cell r="B8">
            <v>27</v>
          </cell>
          <cell r="L8">
            <v>921.29294478527595</v>
          </cell>
        </row>
        <row r="9">
          <cell r="B9">
            <v>31</v>
          </cell>
          <cell r="L9">
            <v>2737.1355578727798</v>
          </cell>
        </row>
        <row r="10">
          <cell r="B10">
            <v>33</v>
          </cell>
          <cell r="L10">
            <v>7177.3864285714299</v>
          </cell>
        </row>
        <row r="11">
          <cell r="B11">
            <v>37</v>
          </cell>
          <cell r="L11">
            <v>1332</v>
          </cell>
        </row>
        <row r="12">
          <cell r="B12">
            <v>39</v>
          </cell>
          <cell r="L12">
            <v>384</v>
          </cell>
        </row>
        <row r="13">
          <cell r="B13">
            <v>41</v>
          </cell>
          <cell r="L13">
            <v>192</v>
          </cell>
        </row>
        <row r="14">
          <cell r="B14">
            <v>47</v>
          </cell>
          <cell r="L14">
            <v>84</v>
          </cell>
        </row>
        <row r="15">
          <cell r="B15">
            <v>65</v>
          </cell>
          <cell r="L15">
            <v>6086.2600574712596</v>
          </cell>
        </row>
        <row r="16">
          <cell r="B16">
            <v>66</v>
          </cell>
          <cell r="L16">
            <v>422.75937122128198</v>
          </cell>
        </row>
        <row r="17">
          <cell r="B17">
            <v>67</v>
          </cell>
          <cell r="L17">
            <v>120.699916177703</v>
          </cell>
        </row>
        <row r="18">
          <cell r="B18">
            <v>68</v>
          </cell>
          <cell r="L18">
            <v>120</v>
          </cell>
        </row>
        <row r="19">
          <cell r="B19">
            <v>69</v>
          </cell>
          <cell r="L19">
            <v>924.09031556039201</v>
          </cell>
        </row>
        <row r="20">
          <cell r="B20">
            <v>70</v>
          </cell>
          <cell r="L20">
            <v>204</v>
          </cell>
        </row>
        <row r="21">
          <cell r="B21">
            <v>71</v>
          </cell>
          <cell r="L21">
            <v>5784</v>
          </cell>
        </row>
        <row r="22">
          <cell r="B22">
            <v>72</v>
          </cell>
          <cell r="L22">
            <v>553.65484483850503</v>
          </cell>
        </row>
        <row r="24">
          <cell r="M24">
            <v>3043780.2427610983</v>
          </cell>
        </row>
      </sheetData>
      <sheetData sheetId="48">
        <row r="2">
          <cell r="G2">
            <v>537.54239204909402</v>
          </cell>
          <cell r="H2">
            <v>0</v>
          </cell>
          <cell r="I2">
            <v>6440.3306451612898</v>
          </cell>
          <cell r="J2">
            <v>19597.669688767299</v>
          </cell>
          <cell r="K2">
            <v>14684579</v>
          </cell>
        </row>
        <row r="3">
          <cell r="G3">
            <v>6</v>
          </cell>
          <cell r="H3">
            <v>0</v>
          </cell>
          <cell r="I3">
            <v>72</v>
          </cell>
          <cell r="J3">
            <v>70</v>
          </cell>
          <cell r="K3">
            <v>12527</v>
          </cell>
        </row>
        <row r="4">
          <cell r="G4">
            <v>93.490352941176496</v>
          </cell>
          <cell r="H4">
            <v>0</v>
          </cell>
          <cell r="I4">
            <v>1119.53548387097</v>
          </cell>
          <cell r="J4">
            <v>1008.45176470588</v>
          </cell>
          <cell r="K4">
            <v>868661</v>
          </cell>
        </row>
      </sheetData>
      <sheetData sheetId="49">
        <row r="13">
          <cell r="G13">
            <v>13053.365454545499</v>
          </cell>
          <cell r="H13">
            <v>3317549</v>
          </cell>
        </row>
        <row r="14">
          <cell r="G14">
            <v>144.23454545454501</v>
          </cell>
          <cell r="H14">
            <v>47617</v>
          </cell>
        </row>
        <row r="15">
          <cell r="G15">
            <v>19230.156363636299</v>
          </cell>
          <cell r="H15">
            <v>4362251</v>
          </cell>
        </row>
      </sheetData>
      <sheetData sheetId="50">
        <row r="7">
          <cell r="H7">
            <v>12</v>
          </cell>
          <cell r="I7">
            <v>5197</v>
          </cell>
          <cell r="K7">
            <v>160397</v>
          </cell>
          <cell r="L7">
            <v>0</v>
          </cell>
        </row>
        <row r="8">
          <cell r="H8">
            <v>16.599921259842521</v>
          </cell>
          <cell r="I8">
            <v>17216.667441860471</v>
          </cell>
          <cell r="M8">
            <v>1095685</v>
          </cell>
          <cell r="N8">
            <v>0</v>
          </cell>
        </row>
        <row r="20">
          <cell r="E20">
            <v>16.599921259842521</v>
          </cell>
          <cell r="G20">
            <v>17216.667441860463</v>
          </cell>
          <cell r="J20">
            <v>1095685</v>
          </cell>
          <cell r="L20">
            <v>387854</v>
          </cell>
        </row>
      </sheetData>
      <sheetData sheetId="51">
        <row r="14">
          <cell r="E14">
            <v>12</v>
          </cell>
          <cell r="N14">
            <v>55256</v>
          </cell>
          <cell r="O14">
            <v>0</v>
          </cell>
          <cell r="P14">
            <v>30686.447437025206</v>
          </cell>
          <cell r="Q14">
            <v>24569.55256297479</v>
          </cell>
          <cell r="R14">
            <v>105141</v>
          </cell>
          <cell r="S14">
            <v>0</v>
          </cell>
          <cell r="T14">
            <v>58390.107318232724</v>
          </cell>
          <cell r="U14">
            <v>46750.892681767269</v>
          </cell>
        </row>
      </sheetData>
      <sheetData sheetId="52">
        <row r="24">
          <cell r="G24">
            <v>889735.82099988707</v>
          </cell>
          <cell r="I24">
            <v>333040.26589595014</v>
          </cell>
          <cell r="J24">
            <v>274032.45862068859</v>
          </cell>
          <cell r="K24">
            <v>9699.6041666666697</v>
          </cell>
          <cell r="N24">
            <v>274064266</v>
          </cell>
          <cell r="O24">
            <v>273820966</v>
          </cell>
          <cell r="Q24">
            <v>381516106</v>
          </cell>
          <cell r="R24">
            <v>313041501</v>
          </cell>
          <cell r="V24">
            <v>1948912</v>
          </cell>
          <cell r="AB24">
            <v>316963</v>
          </cell>
          <cell r="AC24">
            <v>72123</v>
          </cell>
          <cell r="AD24">
            <v>630634</v>
          </cell>
          <cell r="AE24">
            <v>243784</v>
          </cell>
          <cell r="AH24">
            <v>78.731999999999999</v>
          </cell>
          <cell r="AL24">
            <v>-146563</v>
          </cell>
        </row>
        <row r="25">
          <cell r="G25">
            <v>38154.106999999902</v>
          </cell>
          <cell r="I25">
            <v>16686.4554913295</v>
          </cell>
          <cell r="J25">
            <v>19556.813793103502</v>
          </cell>
          <cell r="K25">
            <v>2433.125</v>
          </cell>
          <cell r="N25">
            <v>10627510</v>
          </cell>
          <cell r="O25">
            <v>11455178</v>
          </cell>
          <cell r="Q25">
            <v>15864982</v>
          </cell>
          <cell r="R25">
            <v>15444799</v>
          </cell>
          <cell r="V25">
            <v>101506</v>
          </cell>
          <cell r="AB25">
            <v>13162</v>
          </cell>
          <cell r="AC25">
            <v>0</v>
          </cell>
          <cell r="AD25">
            <v>33706</v>
          </cell>
          <cell r="AE25">
            <v>0</v>
          </cell>
          <cell r="AH25">
            <v>13</v>
          </cell>
          <cell r="AL25">
            <v>-4490</v>
          </cell>
        </row>
        <row r="26">
          <cell r="G26">
            <v>166153.66500000798</v>
          </cell>
          <cell r="I26">
            <v>9763.3352601156057</v>
          </cell>
          <cell r="J26">
            <v>11753.877011494265</v>
          </cell>
          <cell r="K26">
            <v>0</v>
          </cell>
          <cell r="N26">
            <v>23116229</v>
          </cell>
          <cell r="O26">
            <v>15609843</v>
          </cell>
          <cell r="Q26">
            <v>37609889</v>
          </cell>
          <cell r="R26">
            <v>25505696</v>
          </cell>
          <cell r="V26">
            <v>43200</v>
          </cell>
          <cell r="AB26">
            <v>6976</v>
          </cell>
          <cell r="AC26">
            <v>0</v>
          </cell>
          <cell r="AD26">
            <v>7611</v>
          </cell>
          <cell r="AE26">
            <v>0</v>
          </cell>
          <cell r="AH26">
            <v>6.6669999999999998</v>
          </cell>
          <cell r="AL26">
            <v>-682</v>
          </cell>
        </row>
        <row r="28">
          <cell r="G28">
            <v>9847.2289999999903</v>
          </cell>
          <cell r="I28">
            <v>5645.4023121387299</v>
          </cell>
          <cell r="J28">
            <v>6346.09885057471</v>
          </cell>
          <cell r="K28">
            <v>0</v>
          </cell>
          <cell r="N28">
            <v>1602973</v>
          </cell>
          <cell r="O28">
            <v>1516855</v>
          </cell>
          <cell r="Q28">
            <v>3406467</v>
          </cell>
          <cell r="R28">
            <v>3198271</v>
          </cell>
          <cell r="AH28">
            <v>8.2669999999999995</v>
          </cell>
        </row>
        <row r="29">
          <cell r="G29">
            <v>204.16800000000001</v>
          </cell>
          <cell r="I29">
            <v>146.929479768786</v>
          </cell>
          <cell r="J29">
            <v>234.104597701149</v>
          </cell>
          <cell r="K29">
            <v>0</v>
          </cell>
          <cell r="N29">
            <v>23248</v>
          </cell>
          <cell r="O29">
            <v>14956</v>
          </cell>
          <cell r="Q29">
            <v>73641</v>
          </cell>
          <cell r="R29">
            <v>65137</v>
          </cell>
          <cell r="AH29">
            <v>0</v>
          </cell>
        </row>
        <row r="30">
          <cell r="G30">
            <v>5239.5230000000001</v>
          </cell>
          <cell r="I30">
            <v>254.33988439306401</v>
          </cell>
          <cell r="J30">
            <v>101.527586206897</v>
          </cell>
          <cell r="K30">
            <v>0</v>
          </cell>
          <cell r="N30">
            <v>128197</v>
          </cell>
          <cell r="O30">
            <v>141168</v>
          </cell>
          <cell r="Q30">
            <v>586865</v>
          </cell>
          <cell r="R30">
            <v>423454</v>
          </cell>
          <cell r="AH30">
            <v>0</v>
          </cell>
        </row>
        <row r="32">
          <cell r="G32">
            <v>497.238</v>
          </cell>
          <cell r="I32">
            <v>652.14913294797702</v>
          </cell>
          <cell r="J32">
            <v>653.68735632183905</v>
          </cell>
          <cell r="K32">
            <v>0</v>
          </cell>
          <cell r="N32">
            <v>225179</v>
          </cell>
          <cell r="O32">
            <v>268709</v>
          </cell>
          <cell r="Q32">
            <v>266547</v>
          </cell>
          <cell r="R32">
            <v>388772</v>
          </cell>
          <cell r="W32">
            <v>105</v>
          </cell>
          <cell r="AH32">
            <v>0</v>
          </cell>
        </row>
        <row r="34">
          <cell r="G34">
            <v>80.8</v>
          </cell>
          <cell r="I34">
            <v>33</v>
          </cell>
          <cell r="J34">
            <v>38</v>
          </cell>
          <cell r="K34">
            <v>0</v>
          </cell>
          <cell r="N34">
            <v>26182</v>
          </cell>
          <cell r="O34">
            <v>43553</v>
          </cell>
          <cell r="Q34">
            <v>34433</v>
          </cell>
          <cell r="R34">
            <v>40365</v>
          </cell>
          <cell r="W34">
            <v>34</v>
          </cell>
          <cell r="AH34">
            <v>0</v>
          </cell>
        </row>
      </sheetData>
      <sheetData sheetId="53">
        <row r="24">
          <cell r="I24">
            <v>-48104.672630766399</v>
          </cell>
          <cell r="J24">
            <v>48104.672630766399</v>
          </cell>
          <cell r="N24">
            <v>-52484830.8831852</v>
          </cell>
          <cell r="O24">
            <v>-38857664.927326173</v>
          </cell>
          <cell r="Q24">
            <v>52484830.8831852</v>
          </cell>
          <cell r="R24">
            <v>38857664.927326173</v>
          </cell>
          <cell r="AB24">
            <v>-47833.704879796074</v>
          </cell>
          <cell r="AC24">
            <v>-12743.928110890825</v>
          </cell>
          <cell r="AD24">
            <v>47833.704879796074</v>
          </cell>
          <cell r="AE24">
            <v>12743.928110890825</v>
          </cell>
        </row>
        <row r="25">
          <cell r="I25">
            <v>-2752.0531185919831</v>
          </cell>
          <cell r="J25">
            <v>2752.0531185919831</v>
          </cell>
          <cell r="N25">
            <v>-2033432.6027275017</v>
          </cell>
          <cell r="O25">
            <v>-1824030.1049965182</v>
          </cell>
          <cell r="Q25">
            <v>2033432.6027275017</v>
          </cell>
          <cell r="R25">
            <v>1824030.1049965182</v>
          </cell>
          <cell r="AB25">
            <v>-2899.3252032520322</v>
          </cell>
          <cell r="AC25">
            <v>0</v>
          </cell>
          <cell r="AD25">
            <v>2899.3252032520322</v>
          </cell>
          <cell r="AE25">
            <v>0</v>
          </cell>
        </row>
        <row r="26">
          <cell r="I26">
            <v>-1503.3389966504012</v>
          </cell>
          <cell r="J26">
            <v>1503.3389966504012</v>
          </cell>
          <cell r="N26">
            <v>-4634902.2132316614</v>
          </cell>
          <cell r="O26">
            <v>-2385470.2345375028</v>
          </cell>
          <cell r="Q26">
            <v>4634902.2132316614</v>
          </cell>
          <cell r="R26">
            <v>2385470.2345375028</v>
          </cell>
          <cell r="AB26">
            <v>-943.24857468643108</v>
          </cell>
          <cell r="AC26">
            <v>0</v>
          </cell>
          <cell r="AD26">
            <v>943.24857468643108</v>
          </cell>
          <cell r="AE26">
            <v>0</v>
          </cell>
        </row>
        <row r="28">
          <cell r="I28">
            <v>-748.78098970881308</v>
          </cell>
          <cell r="J28">
            <v>748.78098970881308</v>
          </cell>
          <cell r="N28">
            <v>-250617.3133499205</v>
          </cell>
          <cell r="O28">
            <v>-173351.29487157828</v>
          </cell>
          <cell r="Q28">
            <v>250617.3133499205</v>
          </cell>
          <cell r="R28">
            <v>173351.29487157828</v>
          </cell>
        </row>
        <row r="29">
          <cell r="I29">
            <v>-23.134473209803652</v>
          </cell>
          <cell r="J29">
            <v>23.134473209803652</v>
          </cell>
          <cell r="N29">
            <v>-4475.0964153275645</v>
          </cell>
          <cell r="O29">
            <v>-1918.3292645241038</v>
          </cell>
          <cell r="Q29">
            <v>4475.0964153275645</v>
          </cell>
          <cell r="R29">
            <v>1918.3292645241038</v>
          </cell>
        </row>
        <row r="30">
          <cell r="I30">
            <v>-32.217177532598193</v>
          </cell>
          <cell r="J30">
            <v>32.217177532598193</v>
          </cell>
          <cell r="N30">
            <v>-27231.722788663901</v>
          </cell>
          <cell r="O30">
            <v>-17872.163789052123</v>
          </cell>
          <cell r="Q30">
            <v>27231.722788663901</v>
          </cell>
          <cell r="R30">
            <v>17872.163789052123</v>
          </cell>
        </row>
        <row r="32">
          <cell r="I32">
            <v>-182.86101700112647</v>
          </cell>
          <cell r="J32">
            <v>182.86101700112647</v>
          </cell>
          <cell r="N32">
            <v>-22171.801951071382</v>
          </cell>
          <cell r="O32">
            <v>-86879.599094486402</v>
          </cell>
          <cell r="Q32">
            <v>22171.801951071382</v>
          </cell>
          <cell r="R32">
            <v>86879.599094486402</v>
          </cell>
        </row>
        <row r="34">
          <cell r="I34">
            <v>-7</v>
          </cell>
          <cell r="J34">
            <v>7</v>
          </cell>
          <cell r="N34">
            <v>-4714.9641395227445</v>
          </cell>
          <cell r="O34">
            <v>-8043.9400881057272</v>
          </cell>
          <cell r="Q34">
            <v>4714.9641395227445</v>
          </cell>
          <cell r="R34">
            <v>8043.9400881057272</v>
          </cell>
        </row>
      </sheetData>
      <sheetData sheetId="54">
        <row r="2">
          <cell r="I2">
            <v>24</v>
          </cell>
          <cell r="J2">
            <v>36600</v>
          </cell>
          <cell r="K2">
            <v>29129</v>
          </cell>
          <cell r="N2">
            <v>87126</v>
          </cell>
          <cell r="O2">
            <v>43646</v>
          </cell>
          <cell r="Q2">
            <v>1950</v>
          </cell>
          <cell r="R2">
            <v>0</v>
          </cell>
          <cell r="T2">
            <v>183</v>
          </cell>
          <cell r="U2">
            <v>604</v>
          </cell>
          <cell r="W2">
            <v>3500</v>
          </cell>
          <cell r="X2">
            <v>25538</v>
          </cell>
          <cell r="Y2">
            <v>29038</v>
          </cell>
          <cell r="AA2">
            <v>1183200</v>
          </cell>
          <cell r="AB2">
            <v>5407200</v>
          </cell>
          <cell r="AC2">
            <v>9055200</v>
          </cell>
        </row>
        <row r="3">
          <cell r="I3">
            <v>23</v>
          </cell>
          <cell r="J3">
            <v>66100</v>
          </cell>
          <cell r="K3">
            <v>180394</v>
          </cell>
          <cell r="N3">
            <v>334142</v>
          </cell>
          <cell r="O3">
            <v>99393</v>
          </cell>
          <cell r="Q3">
            <v>0</v>
          </cell>
          <cell r="R3">
            <v>0</v>
          </cell>
          <cell r="T3">
            <v>8738</v>
          </cell>
          <cell r="U3">
            <v>984</v>
          </cell>
          <cell r="W3">
            <v>83770</v>
          </cell>
          <cell r="X3">
            <v>93539</v>
          </cell>
          <cell r="AA3">
            <v>15095059</v>
          </cell>
          <cell r="AB3">
            <v>28070620</v>
          </cell>
          <cell r="AC3">
            <v>75888368</v>
          </cell>
        </row>
        <row r="4">
          <cell r="I4">
            <v>36</v>
          </cell>
          <cell r="J4">
            <v>189039</v>
          </cell>
          <cell r="K4">
            <v>91799</v>
          </cell>
          <cell r="N4">
            <v>406339</v>
          </cell>
          <cell r="O4">
            <v>144986</v>
          </cell>
          <cell r="Q4">
            <v>0</v>
          </cell>
          <cell r="R4">
            <v>109500</v>
          </cell>
          <cell r="T4">
            <v>0</v>
          </cell>
          <cell r="U4">
            <v>0</v>
          </cell>
          <cell r="W4">
            <v>32617</v>
          </cell>
          <cell r="X4">
            <v>57849</v>
          </cell>
          <cell r="AA4">
            <v>5576884</v>
          </cell>
          <cell r="AB4">
            <v>13917897</v>
          </cell>
          <cell r="AC4">
            <v>30912328</v>
          </cell>
        </row>
      </sheetData>
      <sheetData sheetId="55">
        <row r="2">
          <cell r="G2">
            <v>6</v>
          </cell>
          <cell r="H2">
            <v>38848</v>
          </cell>
          <cell r="J2">
            <v>0</v>
          </cell>
          <cell r="K2">
            <v>6294</v>
          </cell>
          <cell r="M2">
            <v>0</v>
          </cell>
          <cell r="N2">
            <v>2567296</v>
          </cell>
          <cell r="O2">
            <v>2637686</v>
          </cell>
          <cell r="U2">
            <v>2</v>
          </cell>
          <cell r="V2">
            <v>6</v>
          </cell>
          <cell r="W2">
            <v>6294</v>
          </cell>
          <cell r="AA2">
            <v>0</v>
          </cell>
          <cell r="AB2">
            <v>249715</v>
          </cell>
          <cell r="AC2">
            <v>24611000</v>
          </cell>
        </row>
      </sheetData>
      <sheetData sheetId="56">
        <row r="2">
          <cell r="G2">
            <v>30.133359073359099</v>
          </cell>
          <cell r="H2">
            <v>265385.46396396402</v>
          </cell>
          <cell r="J2">
            <v>139613</v>
          </cell>
          <cell r="K2">
            <v>123133.46673706399</v>
          </cell>
          <cell r="M2">
            <v>19968000</v>
          </cell>
          <cell r="N2">
            <v>35928000</v>
          </cell>
          <cell r="O2">
            <v>93900000</v>
          </cell>
        </row>
      </sheetData>
      <sheetData sheetId="57">
        <row r="15">
          <cell r="G15">
            <v>18707.749960776273</v>
          </cell>
          <cell r="L15">
            <v>6800550.9959730338</v>
          </cell>
          <cell r="X15">
            <v>649010.38571006362</v>
          </cell>
        </row>
        <row r="16">
          <cell r="G16">
            <v>23174.795295711054</v>
          </cell>
          <cell r="L16">
            <v>8424389.7614707742</v>
          </cell>
          <cell r="X16">
            <v>803981.39087577863</v>
          </cell>
        </row>
        <row r="17">
          <cell r="E17">
            <v>36</v>
          </cell>
          <cell r="F17">
            <v>245395.50772980196</v>
          </cell>
          <cell r="M17">
            <v>8868192.4140579049</v>
          </cell>
          <cell r="S17">
            <v>12.83952950842653</v>
          </cell>
          <cell r="T17">
            <v>38.518588525279576</v>
          </cell>
          <cell r="U17">
            <v>41882.545256487327</v>
          </cell>
          <cell r="AA17">
            <v>172556856.82849827</v>
          </cell>
        </row>
      </sheetData>
      <sheetData sheetId="58">
        <row r="17">
          <cell r="B17">
            <v>34972.774371958003</v>
          </cell>
        </row>
        <row r="18">
          <cell r="B18">
            <v>285328.59567492158</v>
          </cell>
        </row>
        <row r="20">
          <cell r="B20">
            <v>-78071.370046879572</v>
          </cell>
        </row>
        <row r="22">
          <cell r="B22">
            <v>1888529.8160857321</v>
          </cell>
        </row>
        <row r="23">
          <cell r="B23">
            <v>11139228.375148939</v>
          </cell>
        </row>
      </sheetData>
      <sheetData sheetId="59">
        <row r="11">
          <cell r="K11">
            <v>86130</v>
          </cell>
          <cell r="O11">
            <v>26249199</v>
          </cell>
          <cell r="S11">
            <v>30204801</v>
          </cell>
        </row>
        <row r="12">
          <cell r="K12">
            <v>65190</v>
          </cell>
          <cell r="O12">
            <v>16851231</v>
          </cell>
          <cell r="S12">
            <v>28612769</v>
          </cell>
        </row>
        <row r="13">
          <cell r="K13">
            <v>75300</v>
          </cell>
          <cell r="O13">
            <v>21618135</v>
          </cell>
          <cell r="S13">
            <v>28348865</v>
          </cell>
        </row>
        <row r="14">
          <cell r="K14">
            <v>60540</v>
          </cell>
          <cell r="O14">
            <v>17750169</v>
          </cell>
          <cell r="S14">
            <v>29310831</v>
          </cell>
        </row>
        <row r="15">
          <cell r="K15">
            <v>86050</v>
          </cell>
          <cell r="O15">
            <v>16453819</v>
          </cell>
          <cell r="S15">
            <v>23201181</v>
          </cell>
        </row>
        <row r="21">
          <cell r="G21">
            <v>981560</v>
          </cell>
          <cell r="K21">
            <v>981560</v>
          </cell>
          <cell r="O21">
            <v>263541167</v>
          </cell>
          <cell r="S21">
            <v>339428833</v>
          </cell>
        </row>
      </sheetData>
      <sheetData sheetId="60">
        <row r="11">
          <cell r="F11">
            <v>16440920</v>
          </cell>
          <cell r="J11">
            <v>53470320</v>
          </cell>
        </row>
        <row r="12">
          <cell r="F12">
            <v>13557249</v>
          </cell>
          <cell r="J12">
            <v>55872880</v>
          </cell>
        </row>
        <row r="13">
          <cell r="F13">
            <v>10720178</v>
          </cell>
          <cell r="J13">
            <v>58878600</v>
          </cell>
        </row>
        <row r="14">
          <cell r="F14">
            <v>11760467</v>
          </cell>
          <cell r="J14">
            <v>53149880</v>
          </cell>
        </row>
        <row r="15">
          <cell r="F15">
            <v>13182403</v>
          </cell>
          <cell r="J15">
            <v>53239520</v>
          </cell>
        </row>
        <row r="21">
          <cell r="F21">
            <v>260895734</v>
          </cell>
          <cell r="J21">
            <v>523497594</v>
          </cell>
        </row>
      </sheetData>
      <sheetData sheetId="61">
        <row r="21">
          <cell r="F21">
            <v>375537561</v>
          </cell>
          <cell r="H21">
            <v>21088466.710000001</v>
          </cell>
          <cell r="N21">
            <v>909325685</v>
          </cell>
          <cell r="P21">
            <v>44821227.529999994</v>
          </cell>
        </row>
      </sheetData>
      <sheetData sheetId="62">
        <row r="5">
          <cell r="N5">
            <v>376680000</v>
          </cell>
        </row>
        <row r="9">
          <cell r="N9">
            <v>22005408.239999995</v>
          </cell>
        </row>
        <row r="14">
          <cell r="N14">
            <v>40952184.777309686</v>
          </cell>
        </row>
      </sheetData>
      <sheetData sheetId="63">
        <row r="2">
          <cell r="K2">
            <v>206.830451093421</v>
          </cell>
          <cell r="L2">
            <v>5998.0830817092101</v>
          </cell>
        </row>
        <row r="3">
          <cell r="K3">
            <v>48</v>
          </cell>
          <cell r="L3">
            <v>1392</v>
          </cell>
        </row>
      </sheetData>
      <sheetData sheetId="64"/>
      <sheetData sheetId="65"/>
      <sheetData sheetId="66"/>
      <sheetData sheetId="67"/>
      <sheetData sheetId="68"/>
      <sheetData sheetId="69">
        <row r="2">
          <cell r="B2" t="str">
            <v>Base Period 12 Months Ending December 2019</v>
          </cell>
        </row>
        <row r="3">
          <cell r="B3" t="str">
            <v>Forecast Period 12 Months Ending December 2021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H2684"/>
  <sheetViews>
    <sheetView topLeftCell="A4" zoomScale="62" zoomScaleNormal="90" zoomScaleSheetLayoutView="70" workbookViewId="0">
      <pane xSplit="3" ySplit="7" topLeftCell="D11" activePane="bottomRight" state="frozen"/>
      <selection activeCell="A4" sqref="A4"/>
      <selection pane="topRight" activeCell="C4" sqref="C4"/>
      <selection pane="bottomLeft" activeCell="A11" sqref="A11"/>
      <selection pane="bottomRight" activeCell="S1381" sqref="S1381"/>
    </sheetView>
  </sheetViews>
  <sheetFormatPr defaultColWidth="10.28515625" defaultRowHeight="15.75"/>
  <cols>
    <col min="1" max="1" width="10.28515625" style="292"/>
    <col min="2" max="2" width="37.85546875" style="292" customWidth="1"/>
    <col min="3" max="3" width="2.140625" style="292" customWidth="1"/>
    <col min="4" max="5" width="16.140625" style="293" bestFit="1" customWidth="1"/>
    <col min="6" max="6" width="2.140625" style="292" customWidth="1"/>
    <col min="7" max="7" width="9.28515625" style="292" bestFit="1" customWidth="1"/>
    <col min="8" max="8" width="2.140625" style="292" customWidth="1"/>
    <col min="9" max="9" width="17.7109375" style="294" bestFit="1" customWidth="1"/>
    <col min="10" max="10" width="20.7109375" style="294" customWidth="1"/>
    <col min="11" max="11" width="2.140625" style="292" customWidth="1"/>
    <col min="12" max="12" width="12.140625" style="292" bestFit="1" customWidth="1"/>
    <col min="13" max="13" width="2.140625" style="292" customWidth="1"/>
    <col min="14" max="14" width="14" style="292" bestFit="1" customWidth="1"/>
    <col min="15" max="15" width="2.140625" style="292" customWidth="1"/>
    <col min="16" max="16" width="17.5703125" style="292" bestFit="1" customWidth="1"/>
    <col min="17" max="17" width="2.140625" style="292" customWidth="1"/>
    <col min="18" max="18" width="14" style="292" customWidth="1"/>
    <col min="19" max="19" width="2.140625" style="292" customWidth="1"/>
    <col min="20" max="22" width="18.42578125" style="294" customWidth="1"/>
    <col min="23" max="23" width="2.140625" style="294" customWidth="1"/>
    <col min="24" max="24" width="17" style="294" customWidth="1"/>
    <col min="25" max="25" width="2.140625" style="294" customWidth="1"/>
    <col min="26" max="26" width="19.5703125" style="294" customWidth="1"/>
    <col min="27" max="27" width="4.7109375" style="291" customWidth="1"/>
    <col min="28" max="28" width="24.140625" style="292" customWidth="1"/>
    <col min="29" max="29" width="17.140625" style="292" customWidth="1"/>
    <col min="30" max="30" width="16.140625" style="292" customWidth="1"/>
    <col min="31" max="31" width="13.5703125" style="292" customWidth="1"/>
    <col min="32" max="32" width="14.42578125" style="292" customWidth="1"/>
    <col min="33" max="33" width="13.5703125" style="292" customWidth="1"/>
    <col min="34" max="16384" width="10.28515625" style="292"/>
  </cols>
  <sheetData>
    <row r="1" spans="1:29" ht="18.75">
      <c r="B1" s="287" t="s">
        <v>928</v>
      </c>
      <c r="C1" s="288"/>
      <c r="D1" s="289"/>
      <c r="E1" s="289"/>
      <c r="F1" s="288"/>
      <c r="G1" s="288"/>
      <c r="H1" s="288"/>
      <c r="I1" s="290"/>
      <c r="J1" s="290"/>
      <c r="K1" s="288"/>
      <c r="L1" s="288"/>
      <c r="M1" s="288"/>
      <c r="N1" s="288"/>
      <c r="O1" s="288"/>
      <c r="P1" s="288"/>
      <c r="Q1" s="288"/>
      <c r="R1" s="288"/>
      <c r="S1" s="288"/>
      <c r="T1" s="290"/>
      <c r="U1" s="290"/>
      <c r="V1" s="290"/>
      <c r="W1" s="290"/>
      <c r="X1" s="290"/>
      <c r="Y1" s="290"/>
      <c r="Z1" s="290"/>
    </row>
    <row r="2" spans="1:29" ht="18.75">
      <c r="B2" s="287" t="s">
        <v>1037</v>
      </c>
      <c r="C2" s="288"/>
      <c r="D2" s="289"/>
      <c r="E2" s="289"/>
      <c r="F2" s="288"/>
      <c r="G2" s="288"/>
      <c r="H2" s="288"/>
      <c r="I2" s="290"/>
      <c r="J2" s="290"/>
      <c r="K2" s="288"/>
      <c r="L2" s="288"/>
      <c r="M2" s="288"/>
      <c r="N2" s="288"/>
      <c r="O2" s="288"/>
      <c r="P2" s="288"/>
      <c r="Q2" s="288"/>
      <c r="R2" s="288"/>
      <c r="S2" s="288"/>
      <c r="T2" s="290"/>
      <c r="U2" s="290"/>
      <c r="V2" s="290"/>
      <c r="W2" s="290"/>
      <c r="X2" s="290"/>
      <c r="Y2" s="290"/>
      <c r="Z2" s="290"/>
    </row>
    <row r="3" spans="1:29" ht="18.75">
      <c r="B3" s="287" t="str">
        <f>'[7]Test Period'!B2</f>
        <v>Base Period 12 Months Ending December 2019</v>
      </c>
      <c r="C3" s="288"/>
      <c r="D3" s="289"/>
      <c r="E3" s="289"/>
      <c r="F3" s="288"/>
      <c r="G3" s="288"/>
      <c r="H3" s="288"/>
      <c r="I3" s="290"/>
      <c r="J3" s="290"/>
      <c r="K3" s="288"/>
      <c r="L3" s="288"/>
      <c r="M3" s="288"/>
      <c r="N3" s="288"/>
      <c r="O3" s="288"/>
      <c r="P3" s="288"/>
      <c r="Q3" s="288"/>
      <c r="R3" s="288"/>
      <c r="S3" s="288"/>
      <c r="T3" s="290"/>
      <c r="U3" s="290"/>
      <c r="V3" s="290"/>
      <c r="W3" s="290"/>
      <c r="X3" s="290"/>
      <c r="Y3" s="290"/>
      <c r="Z3" s="290"/>
    </row>
    <row r="4" spans="1:29" ht="18.75">
      <c r="B4" s="287" t="str">
        <f>'[7]Test Period'!B3</f>
        <v>Forecast Period 12 Months Ending December 2021</v>
      </c>
      <c r="C4" s="288"/>
      <c r="D4" s="289"/>
      <c r="E4" s="289"/>
      <c r="F4" s="288"/>
      <c r="G4" s="288"/>
      <c r="H4" s="288"/>
      <c r="I4" s="290"/>
      <c r="J4" s="290"/>
      <c r="K4" s="288"/>
      <c r="L4" s="288"/>
      <c r="M4" s="288"/>
      <c r="N4" s="288"/>
      <c r="O4" s="288"/>
      <c r="P4" s="288"/>
      <c r="Q4" s="288"/>
      <c r="R4" s="288"/>
      <c r="S4" s="288"/>
      <c r="T4" s="290"/>
      <c r="U4" s="290"/>
      <c r="V4" s="290"/>
      <c r="W4" s="290"/>
      <c r="X4" s="290"/>
      <c r="Y4" s="290"/>
      <c r="Z4" s="290"/>
    </row>
    <row r="7" spans="1:29">
      <c r="A7" s="292">
        <v>1</v>
      </c>
      <c r="D7" s="295"/>
      <c r="E7" s="295"/>
      <c r="G7" s="296" t="s">
        <v>1038</v>
      </c>
      <c r="H7" s="296"/>
      <c r="I7" s="297"/>
      <c r="J7" s="297"/>
      <c r="L7" s="296"/>
      <c r="M7" s="296"/>
      <c r="N7" s="296"/>
      <c r="O7" s="296"/>
      <c r="P7" s="296"/>
      <c r="Q7" s="296"/>
      <c r="R7" s="296" t="s">
        <v>1039</v>
      </c>
      <c r="S7" s="296"/>
      <c r="T7" s="297"/>
      <c r="U7" s="297"/>
      <c r="V7" s="297"/>
      <c r="W7" s="297"/>
      <c r="X7" s="297"/>
      <c r="Y7" s="297"/>
      <c r="Z7" s="297"/>
    </row>
    <row r="8" spans="1:29">
      <c r="A8" s="292">
        <v>1</v>
      </c>
      <c r="D8" s="298" t="s">
        <v>929</v>
      </c>
      <c r="E8" s="298"/>
      <c r="G8" s="299"/>
      <c r="H8" s="299"/>
      <c r="I8" s="300" t="s">
        <v>933</v>
      </c>
      <c r="J8" s="300"/>
      <c r="L8" s="301" t="s">
        <v>1040</v>
      </c>
      <c r="M8" s="301"/>
      <c r="N8" s="301"/>
      <c r="O8" s="301"/>
      <c r="P8" s="301"/>
      <c r="Q8" s="301"/>
      <c r="R8" s="302"/>
      <c r="S8" s="303"/>
      <c r="T8" s="300" t="s">
        <v>934</v>
      </c>
      <c r="U8" s="300"/>
      <c r="V8" s="300"/>
      <c r="W8" s="300"/>
      <c r="X8" s="300"/>
      <c r="Y8" s="300"/>
      <c r="Z8" s="300"/>
      <c r="AB8" s="304" t="s">
        <v>935</v>
      </c>
      <c r="AC8" s="305">
        <v>12</v>
      </c>
    </row>
    <row r="9" spans="1:29">
      <c r="A9" s="292">
        <v>1</v>
      </c>
      <c r="D9" s="306" t="s">
        <v>930</v>
      </c>
      <c r="E9" s="306" t="s">
        <v>931</v>
      </c>
      <c r="G9" s="307" t="s">
        <v>1040</v>
      </c>
      <c r="H9" s="299"/>
      <c r="I9" s="308" t="s">
        <v>930</v>
      </c>
      <c r="J9" s="308" t="s">
        <v>931</v>
      </c>
      <c r="L9" s="309" t="s">
        <v>42</v>
      </c>
      <c r="M9" s="299"/>
      <c r="N9" s="307" t="s">
        <v>43</v>
      </c>
      <c r="O9" s="299"/>
      <c r="P9" s="307" t="s">
        <v>44</v>
      </c>
      <c r="Q9" s="299"/>
      <c r="R9" s="307" t="s">
        <v>45</v>
      </c>
      <c r="S9" s="299"/>
      <c r="T9" s="310" t="s">
        <v>42</v>
      </c>
      <c r="U9" s="311"/>
      <c r="V9" s="310" t="s">
        <v>43</v>
      </c>
      <c r="W9" s="311"/>
      <c r="X9" s="310" t="s">
        <v>44</v>
      </c>
      <c r="Y9" s="311"/>
      <c r="Z9" s="310" t="s">
        <v>45</v>
      </c>
      <c r="AB9" s="312"/>
      <c r="AC9" s="313"/>
    </row>
    <row r="10" spans="1:29">
      <c r="A10" s="292">
        <v>1</v>
      </c>
      <c r="B10" s="314" t="s">
        <v>932</v>
      </c>
      <c r="AB10" s="315" t="s">
        <v>936</v>
      </c>
      <c r="AC10" s="316"/>
    </row>
    <row r="11" spans="1:29">
      <c r="B11" s="317" t="s">
        <v>1041</v>
      </c>
      <c r="D11" s="293">
        <f>'[7]123'!F15</f>
        <v>9213599.1333350316</v>
      </c>
      <c r="E11" s="293">
        <f>[7]Bill!P7</f>
        <v>9344849.0845141169</v>
      </c>
      <c r="G11" s="318"/>
      <c r="H11" s="318"/>
      <c r="L11" s="318"/>
      <c r="M11" s="318"/>
      <c r="N11" s="318"/>
      <c r="O11" s="318"/>
      <c r="P11" s="318"/>
      <c r="Q11" s="318"/>
      <c r="R11" s="318"/>
      <c r="S11" s="318"/>
      <c r="T11" s="319"/>
      <c r="U11" s="319"/>
      <c r="V11" s="319"/>
      <c r="W11" s="319"/>
      <c r="X11" s="319"/>
      <c r="Y11" s="319"/>
      <c r="AB11" s="320" t="s">
        <v>1042</v>
      </c>
      <c r="AC11" s="321">
        <f>Z45+Z82+Z111+Z148+Z185+Z222</f>
        <v>781307232</v>
      </c>
    </row>
    <row r="12" spans="1:29">
      <c r="B12" s="317" t="s">
        <v>1043</v>
      </c>
      <c r="D12" s="293">
        <f>'[7]123'!G15</f>
        <v>9198276.8000017013</v>
      </c>
      <c r="E12" s="293">
        <f>ROUND(D12/$D$11*$E$11,0)</f>
        <v>9329308</v>
      </c>
      <c r="G12" s="318">
        <v>6</v>
      </c>
      <c r="H12" s="318"/>
      <c r="I12" s="294">
        <f t="shared" ref="I12:J26" si="0">ROUND($G12*D12,0)</f>
        <v>55189661</v>
      </c>
      <c r="J12" s="294">
        <f t="shared" si="0"/>
        <v>55975848</v>
      </c>
      <c r="L12" s="318"/>
      <c r="M12" s="318"/>
      <c r="N12" s="318"/>
      <c r="O12" s="318"/>
      <c r="P12" s="318"/>
      <c r="Q12" s="318"/>
      <c r="R12" s="318"/>
      <c r="S12" s="318"/>
      <c r="T12" s="319"/>
      <c r="U12" s="319"/>
      <c r="V12" s="319"/>
      <c r="W12" s="319"/>
      <c r="X12" s="319"/>
      <c r="Y12" s="319"/>
      <c r="AB12" s="322" t="s">
        <v>1044</v>
      </c>
      <c r="AC12" s="323">
        <f>SUM([7]RateSpread!M14:M19)*1000</f>
        <v>781307233.85759997</v>
      </c>
    </row>
    <row r="13" spans="1:29">
      <c r="B13" s="317" t="s">
        <v>1045</v>
      </c>
      <c r="D13" s="293">
        <f>D12-D14</f>
        <v>7040550.9333351729</v>
      </c>
      <c r="E13" s="293">
        <f>E12-E14</f>
        <v>7140845</v>
      </c>
      <c r="G13" s="318"/>
      <c r="H13" s="318"/>
      <c r="L13" s="324">
        <f>R13</f>
        <v>10</v>
      </c>
      <c r="M13" s="324"/>
      <c r="N13" s="324"/>
      <c r="O13" s="324"/>
      <c r="P13" s="324"/>
      <c r="Q13" s="318"/>
      <c r="R13" s="318">
        <v>10</v>
      </c>
      <c r="S13" s="318"/>
      <c r="T13" s="325">
        <f ca="1">MIN($T$45-$T$41,Z13)</f>
        <v>71408450</v>
      </c>
      <c r="U13" s="326"/>
      <c r="V13" s="325"/>
      <c r="W13" s="326"/>
      <c r="X13" s="325"/>
      <c r="Y13" s="319"/>
      <c r="Z13" s="294">
        <f>ROUND($E13*R13,0)</f>
        <v>71408450</v>
      </c>
      <c r="AB13" s="327" t="s">
        <v>789</v>
      </c>
      <c r="AC13" s="328">
        <f>AC12-AC11</f>
        <v>1.8575999736785889</v>
      </c>
    </row>
    <row r="14" spans="1:29">
      <c r="B14" s="317" t="s">
        <v>1046</v>
      </c>
      <c r="D14" s="293">
        <f>'[7]123'!AN15</f>
        <v>2157725.8666665284</v>
      </c>
      <c r="E14" s="293">
        <f>ROUND(D14/D12*E12,0)</f>
        <v>2188463</v>
      </c>
      <c r="G14" s="318"/>
      <c r="H14" s="318"/>
      <c r="L14" s="324">
        <f>R14</f>
        <v>6</v>
      </c>
      <c r="M14" s="324"/>
      <c r="N14" s="324"/>
      <c r="O14" s="324"/>
      <c r="P14" s="324"/>
      <c r="Q14" s="318"/>
      <c r="R14" s="318">
        <v>6</v>
      </c>
      <c r="S14" s="318"/>
      <c r="T14" s="325">
        <f ca="1">MIN($T$45-$T$41-$T$13,Z14)</f>
        <v>13130778</v>
      </c>
      <c r="U14" s="326"/>
      <c r="V14" s="325"/>
      <c r="W14" s="326"/>
      <c r="X14" s="325"/>
      <c r="Y14" s="319"/>
      <c r="Z14" s="294">
        <f>ROUND($E14*R14,0)</f>
        <v>13130778</v>
      </c>
      <c r="AB14" s="305"/>
      <c r="AC14" s="329"/>
    </row>
    <row r="15" spans="1:29">
      <c r="B15" s="317" t="s">
        <v>1047</v>
      </c>
      <c r="D15" s="293">
        <f>'[7]123'!H15</f>
        <v>15322.33333333333</v>
      </c>
      <c r="E15" s="293">
        <f>E11-E12</f>
        <v>15541.084514116868</v>
      </c>
      <c r="G15" s="318">
        <v>12</v>
      </c>
      <c r="H15" s="318"/>
      <c r="I15" s="294">
        <f t="shared" si="0"/>
        <v>183868</v>
      </c>
      <c r="J15" s="294">
        <f t="shared" si="0"/>
        <v>186493</v>
      </c>
      <c r="L15" s="324"/>
      <c r="M15" s="324"/>
      <c r="N15" s="324"/>
      <c r="O15" s="324"/>
      <c r="P15" s="324"/>
      <c r="Q15" s="318"/>
      <c r="R15" s="318"/>
      <c r="S15" s="318"/>
      <c r="T15" s="326"/>
      <c r="U15" s="326"/>
      <c r="V15" s="326"/>
      <c r="W15" s="326"/>
      <c r="X15" s="326"/>
      <c r="Y15" s="319"/>
      <c r="AB15" s="320" t="s">
        <v>939</v>
      </c>
      <c r="AC15" s="330">
        <f>AC11/(J45+J82+J111+J148+J185+J222)-1</f>
        <v>6.9369616979503723E-2</v>
      </c>
    </row>
    <row r="16" spans="1:29">
      <c r="B16" s="317" t="s">
        <v>1045</v>
      </c>
      <c r="D16" s="293">
        <f>D15-D17</f>
        <v>3278.3999999999996</v>
      </c>
      <c r="E16" s="293">
        <f>E15-E17</f>
        <v>3325.0845141168684</v>
      </c>
      <c r="G16" s="318"/>
      <c r="H16" s="318"/>
      <c r="L16" s="324">
        <f>R16</f>
        <v>20</v>
      </c>
      <c r="M16" s="324"/>
      <c r="N16" s="324"/>
      <c r="O16" s="324"/>
      <c r="P16" s="324"/>
      <c r="Q16" s="318"/>
      <c r="R16" s="318">
        <f>R13*2</f>
        <v>20</v>
      </c>
      <c r="S16" s="318"/>
      <c r="T16" s="325">
        <f ca="1">MIN($T$45-$T$41-$T$13-$T$14,Z16)</f>
        <v>66502</v>
      </c>
      <c r="U16" s="326"/>
      <c r="V16" s="325"/>
      <c r="W16" s="326"/>
      <c r="X16" s="325"/>
      <c r="Y16" s="319"/>
      <c r="Z16" s="294">
        <f t="shared" ref="Z16:Z19" si="1">ROUND($E16*R16,0)</f>
        <v>66502</v>
      </c>
      <c r="AB16" s="322" t="s">
        <v>1048</v>
      </c>
      <c r="AC16" s="331">
        <f>AC12/(J45+J82+J111+J148+J185+J222)-1</f>
        <v>6.9369619521987502E-2</v>
      </c>
    </row>
    <row r="17" spans="2:30">
      <c r="B17" s="317" t="s">
        <v>1046</v>
      </c>
      <c r="D17" s="293">
        <f>'[7]123'!AO15</f>
        <v>12043.933333333331</v>
      </c>
      <c r="E17" s="293">
        <f>ROUND(D17/D15*E15,0)</f>
        <v>12216</v>
      </c>
      <c r="G17" s="318"/>
      <c r="H17" s="318"/>
      <c r="L17" s="324">
        <f t="shared" ref="L17:L19" si="2">R17</f>
        <v>12</v>
      </c>
      <c r="M17" s="324"/>
      <c r="N17" s="324"/>
      <c r="O17" s="324"/>
      <c r="P17" s="324"/>
      <c r="Q17" s="318"/>
      <c r="R17" s="318">
        <f>R14*2</f>
        <v>12</v>
      </c>
      <c r="S17" s="318"/>
      <c r="T17" s="325">
        <f ca="1">MIN($T$45-$T$41-$T$13-$T$14-$T$16,Z17)</f>
        <v>146592</v>
      </c>
      <c r="U17" s="326"/>
      <c r="V17" s="325"/>
      <c r="W17" s="326"/>
      <c r="X17" s="325"/>
      <c r="Y17" s="319"/>
      <c r="Z17" s="294">
        <f t="shared" si="1"/>
        <v>146592</v>
      </c>
      <c r="AB17" s="322" t="s">
        <v>1049</v>
      </c>
      <c r="AC17" s="332">
        <f>(AC12-SUM(Z13:Z28,Z41:Z42,Z50:Z65,Z78:Z79,Z87:Z93,Z107:Z108,Z116:Z131,Z144:Z145,Z153:Z168,Z181:Z182,Z190:Z205,Z218:Z219))/SUM(J36:J40,J73:J77,J102:J106,J139:J143,J176:J180,J213:J217)-1</f>
        <v>-1.0243455264176693E-2</v>
      </c>
    </row>
    <row r="18" spans="2:30">
      <c r="B18" s="317" t="s">
        <v>1050</v>
      </c>
      <c r="D18" s="293">
        <f>'[7]123'!AE15</f>
        <v>0</v>
      </c>
      <c r="E18" s="293">
        <f t="shared" ref="E18:E23" si="3">ROUND(D18/$D$11*$E$11,0)</f>
        <v>0</v>
      </c>
      <c r="G18" s="318">
        <v>2</v>
      </c>
      <c r="H18" s="318"/>
      <c r="I18" s="294">
        <f t="shared" si="0"/>
        <v>0</v>
      </c>
      <c r="J18" s="294">
        <f t="shared" si="0"/>
        <v>0</v>
      </c>
      <c r="L18" s="324">
        <f t="shared" si="2"/>
        <v>2</v>
      </c>
      <c r="M18" s="324"/>
      <c r="N18" s="324"/>
      <c r="O18" s="324"/>
      <c r="P18" s="324"/>
      <c r="Q18" s="318"/>
      <c r="R18" s="318">
        <v>2</v>
      </c>
      <c r="S18" s="318"/>
      <c r="T18" s="325">
        <f ca="1">MIN($T$45-$T$41-$T$13-$T$14-$T$16-$T$17,Z18)</f>
        <v>0</v>
      </c>
      <c r="U18" s="326"/>
      <c r="V18" s="325"/>
      <c r="W18" s="326"/>
      <c r="X18" s="325"/>
      <c r="Y18" s="319"/>
      <c r="Z18" s="294">
        <f t="shared" si="1"/>
        <v>0</v>
      </c>
      <c r="AB18" s="333" t="s">
        <v>1051</v>
      </c>
      <c r="AC18" s="334">
        <v>1.1299999999999999</v>
      </c>
    </row>
    <row r="19" spans="2:30">
      <c r="B19" s="317" t="s">
        <v>1052</v>
      </c>
      <c r="D19" s="293">
        <f>'[7]123'!AM15</f>
        <v>249.56681818181821</v>
      </c>
      <c r="E19" s="293">
        <f t="shared" si="3"/>
        <v>253</v>
      </c>
      <c r="G19" s="318">
        <v>22</v>
      </c>
      <c r="H19" s="318"/>
      <c r="I19" s="294">
        <f t="shared" si="0"/>
        <v>5490</v>
      </c>
      <c r="J19" s="294">
        <f t="shared" si="0"/>
        <v>5566</v>
      </c>
      <c r="L19" s="324">
        <f t="shared" si="2"/>
        <v>22</v>
      </c>
      <c r="M19" s="324"/>
      <c r="N19" s="324"/>
      <c r="O19" s="324"/>
      <c r="P19" s="324"/>
      <c r="Q19" s="318"/>
      <c r="R19" s="318">
        <v>22</v>
      </c>
      <c r="S19" s="318"/>
      <c r="T19" s="325">
        <f ca="1">MIN($T$45-$T$41-$T$13-$T$14-$T$16-$T$17-$T$18,Z19)</f>
        <v>5566</v>
      </c>
      <c r="U19" s="326"/>
      <c r="V19" s="325"/>
      <c r="W19" s="326"/>
      <c r="X19" s="325"/>
      <c r="Y19" s="319"/>
      <c r="Z19" s="294">
        <f t="shared" si="1"/>
        <v>5566</v>
      </c>
      <c r="AB19" s="333" t="s">
        <v>1053</v>
      </c>
      <c r="AC19" s="334">
        <f>G37-G36</f>
        <v>2.6930999999999994</v>
      </c>
    </row>
    <row r="20" spans="2:30">
      <c r="B20" s="317" t="s">
        <v>1054</v>
      </c>
      <c r="D20" s="293">
        <f>'[7]123'!I15</f>
        <v>17041.058750000539</v>
      </c>
      <c r="E20" s="293">
        <f t="shared" si="3"/>
        <v>17284</v>
      </c>
      <c r="G20" s="318">
        <v>8</v>
      </c>
      <c r="H20" s="318"/>
      <c r="I20" s="294">
        <f>ROUND($G20*D20,0)</f>
        <v>136328</v>
      </c>
      <c r="J20" s="294">
        <f t="shared" si="0"/>
        <v>138272</v>
      </c>
      <c r="L20" s="324"/>
      <c r="M20" s="324"/>
      <c r="N20" s="324"/>
      <c r="O20" s="324"/>
      <c r="P20" s="324"/>
      <c r="Q20" s="318"/>
      <c r="R20" s="318"/>
      <c r="S20" s="318"/>
      <c r="T20" s="326"/>
      <c r="U20" s="326"/>
      <c r="V20" s="326"/>
      <c r="W20" s="326"/>
      <c r="X20" s="326"/>
      <c r="Y20" s="319"/>
      <c r="AB20" s="335" t="s">
        <v>1055</v>
      </c>
      <c r="AC20" s="336">
        <f>SUM(Z13:Z19,Z50:Z56,Z87:Z93,Z116:Z122,Z153:Z159,Z190:Z196)/SUM(J12:J26,J49:J63,J86:J100,J115:J129,J152:J166,J189:J203)-1</f>
        <v>0.48915429104306085</v>
      </c>
    </row>
    <row r="21" spans="2:30">
      <c r="B21" s="317" t="s">
        <v>1045</v>
      </c>
      <c r="D21" s="293">
        <f>D20-D22</f>
        <v>11907.49875000057</v>
      </c>
      <c r="E21" s="293">
        <f>E20-E22</f>
        <v>12077</v>
      </c>
      <c r="G21" s="318"/>
      <c r="H21" s="318"/>
      <c r="L21" s="324"/>
      <c r="M21" s="324"/>
      <c r="N21" s="324"/>
      <c r="O21" s="324"/>
      <c r="P21" s="324"/>
      <c r="Q21" s="318"/>
      <c r="R21" s="318"/>
      <c r="S21" s="318"/>
      <c r="T21" s="326"/>
      <c r="U21" s="326"/>
      <c r="V21" s="326"/>
      <c r="W21" s="326"/>
      <c r="X21" s="326"/>
      <c r="Y21" s="319"/>
      <c r="AB21" s="305" t="s">
        <v>939</v>
      </c>
      <c r="AC21" s="304">
        <f>Z45/J45-1</f>
        <v>6.8725807664308025E-2</v>
      </c>
    </row>
    <row r="22" spans="2:30">
      <c r="B22" s="317" t="s">
        <v>1046</v>
      </c>
      <c r="D22" s="293">
        <f>'[7]123'!AP15</f>
        <v>5133.5599999999695</v>
      </c>
      <c r="E22" s="293">
        <f>ROUND(D22/D20*E20,0)</f>
        <v>5207</v>
      </c>
      <c r="G22" s="318"/>
      <c r="H22" s="318"/>
      <c r="L22" s="324"/>
      <c r="M22" s="324"/>
      <c r="N22" s="324"/>
      <c r="O22" s="324"/>
      <c r="P22" s="324"/>
      <c r="Q22" s="318"/>
      <c r="R22" s="318"/>
      <c r="S22" s="318"/>
      <c r="T22" s="326"/>
      <c r="U22" s="326"/>
      <c r="V22" s="326"/>
      <c r="W22" s="326"/>
      <c r="X22" s="326"/>
      <c r="Y22" s="319"/>
      <c r="AB22" s="305" t="s">
        <v>1011</v>
      </c>
      <c r="AC22" s="337">
        <f>[7]RateSpread!V21*1000</f>
        <v>-18993072.743958987</v>
      </c>
      <c r="AD22" s="338">
        <f>ROUND(AC22/SUM(Z29:Z41,Z66:Z78,Z102:Z107,Z130:Z144,Z169:Z181,Z206:Z218),4)</f>
        <v>-2.76E-2</v>
      </c>
    </row>
    <row r="23" spans="2:30">
      <c r="B23" s="317" t="s">
        <v>1056</v>
      </c>
      <c r="D23" s="293">
        <f>'[7]123'!J15</f>
        <v>28.496875000000003</v>
      </c>
      <c r="E23" s="293">
        <f t="shared" si="3"/>
        <v>29</v>
      </c>
      <c r="G23" s="318">
        <v>16</v>
      </c>
      <c r="H23" s="339"/>
      <c r="I23" s="294">
        <f t="shared" si="0"/>
        <v>456</v>
      </c>
      <c r="J23" s="294">
        <f t="shared" si="0"/>
        <v>464</v>
      </c>
      <c r="L23" s="324"/>
      <c r="M23" s="340"/>
      <c r="N23" s="324"/>
      <c r="O23" s="340"/>
      <c r="P23" s="324"/>
      <c r="Q23" s="339"/>
      <c r="R23" s="318"/>
      <c r="S23" s="339"/>
      <c r="T23" s="325"/>
      <c r="U23" s="325"/>
      <c r="V23" s="325"/>
      <c r="W23" s="325"/>
      <c r="X23" s="325"/>
      <c r="AB23" s="305" t="s">
        <v>1057</v>
      </c>
      <c r="AC23" s="337">
        <f>[7]RateSpread!W21*1000</f>
        <v>-9496536.3833693229</v>
      </c>
      <c r="AD23" s="338">
        <f>ROUND(AC23/SUM(Z29:Z41,Z66:Z78,Z102:Z107,Z130:Z144,Z169:Z181,Z206:Z218),4)</f>
        <v>-1.38E-2</v>
      </c>
    </row>
    <row r="24" spans="2:30">
      <c r="B24" s="317" t="s">
        <v>1045</v>
      </c>
      <c r="D24" s="293">
        <f>D23-D25</f>
        <v>6.9375000000000036</v>
      </c>
      <c r="E24" s="293">
        <f>E23-E25</f>
        <v>7</v>
      </c>
      <c r="G24" s="318"/>
      <c r="H24" s="318"/>
      <c r="L24" s="324"/>
      <c r="M24" s="324"/>
      <c r="N24" s="324"/>
      <c r="O24" s="324"/>
      <c r="P24" s="324"/>
      <c r="Q24" s="318"/>
      <c r="R24" s="318"/>
      <c r="S24" s="318"/>
      <c r="T24" s="326"/>
      <c r="U24" s="326"/>
      <c r="V24" s="326"/>
      <c r="W24" s="326"/>
      <c r="X24" s="326"/>
      <c r="Y24" s="319"/>
    </row>
    <row r="25" spans="2:30">
      <c r="B25" s="317" t="s">
        <v>1046</v>
      </c>
      <c r="D25" s="293">
        <f>'[7]123'!AQ15</f>
        <v>21.559374999999999</v>
      </c>
      <c r="E25" s="293">
        <f>ROUND(D25/D23*E23,0)</f>
        <v>22</v>
      </c>
      <c r="G25" s="318"/>
      <c r="H25" s="318"/>
      <c r="L25" s="324"/>
      <c r="M25" s="324"/>
      <c r="N25" s="324"/>
      <c r="O25" s="324"/>
      <c r="P25" s="324"/>
      <c r="Q25" s="318"/>
      <c r="R25" s="318"/>
      <c r="S25" s="318"/>
      <c r="T25" s="326"/>
      <c r="U25" s="326"/>
      <c r="V25" s="326"/>
      <c r="W25" s="326"/>
      <c r="X25" s="326"/>
      <c r="Y25" s="319"/>
      <c r="AB25" s="305" t="s">
        <v>1058</v>
      </c>
      <c r="AC25" s="341">
        <f>ROUND(E45/(E11),0)</f>
        <v>675</v>
      </c>
    </row>
    <row r="26" spans="2:30">
      <c r="B26" s="317" t="s">
        <v>1059</v>
      </c>
      <c r="D26" s="293">
        <f>'[7]123'!AL15</f>
        <v>4.2413541666666674</v>
      </c>
      <c r="E26" s="293">
        <f>ROUND(D26/$D$11*$E$11,0)</f>
        <v>4</v>
      </c>
      <c r="G26" s="318">
        <v>96</v>
      </c>
      <c r="H26" s="339"/>
      <c r="I26" s="294">
        <f t="shared" si="0"/>
        <v>407</v>
      </c>
      <c r="J26" s="294">
        <f t="shared" si="0"/>
        <v>384</v>
      </c>
      <c r="L26" s="324"/>
      <c r="M26" s="340"/>
      <c r="N26" s="324"/>
      <c r="O26" s="340"/>
      <c r="P26" s="324"/>
      <c r="Q26" s="339"/>
      <c r="R26" s="318"/>
      <c r="S26" s="339"/>
      <c r="T26" s="325"/>
      <c r="U26" s="325"/>
      <c r="V26" s="325"/>
      <c r="W26" s="325"/>
      <c r="X26" s="325"/>
      <c r="AB26" s="305" t="s">
        <v>1060</v>
      </c>
      <c r="AC26" s="341">
        <f>ROUND(SUM(E29:E31,(E41+E44)*4/12)/((E11)*4/12),0)</f>
        <v>826</v>
      </c>
    </row>
    <row r="27" spans="2:30">
      <c r="B27" s="317" t="s">
        <v>1061</v>
      </c>
      <c r="D27" s="293">
        <f>'[7]123'!S8+'[7]123May'!J15</f>
        <v>0</v>
      </c>
      <c r="E27" s="293">
        <f>ROUND(D27/SUM($D$29:$D$31)*([7]Energy!$Q$7-[7]Energy!$Q$7/[7]Energy!$P$7*($E$41+$E$44)),0)</f>
        <v>0</v>
      </c>
      <c r="G27" s="342"/>
      <c r="H27" s="343"/>
      <c r="L27" s="344"/>
      <c r="M27" s="343"/>
      <c r="N27" s="344"/>
      <c r="O27" s="343"/>
      <c r="P27" s="344">
        <f>R27</f>
        <v>4.3559999999999999</v>
      </c>
      <c r="Q27" s="343" t="s">
        <v>1062</v>
      </c>
      <c r="R27" s="342">
        <v>4.3559999999999999</v>
      </c>
      <c r="S27" s="343" t="s">
        <v>1062</v>
      </c>
      <c r="T27" s="294">
        <f>ROUND($E27*L27/100,0)</f>
        <v>0</v>
      </c>
      <c r="U27" s="345"/>
      <c r="V27" s="294">
        <f>ROUND($E27*N27/100,0)</f>
        <v>0</v>
      </c>
      <c r="W27" s="345"/>
      <c r="X27" s="294">
        <f>ROUND($E27*P27/100,0)</f>
        <v>0</v>
      </c>
      <c r="Y27" s="346"/>
      <c r="Z27" s="294">
        <f>ROUND($E27*R27/100,0)</f>
        <v>0</v>
      </c>
      <c r="AB27" s="305" t="s">
        <v>1063</v>
      </c>
      <c r="AC27" s="341">
        <f>ROUND(SUM(E32:E33,(E41+E44)*8/12)/((E11)*8/12),0)</f>
        <v>599</v>
      </c>
    </row>
    <row r="28" spans="2:30">
      <c r="B28" s="317" t="s">
        <v>1064</v>
      </c>
      <c r="D28" s="293">
        <f>'[7]123'!T8+'[7]123May'!K15</f>
        <v>0</v>
      </c>
      <c r="E28" s="293">
        <f>ROUND(D28/SUM($D$29:$D$31)*([7]Energy!$Q$7-[7]Energy!$Q$7/[7]Energy!$P$7*($E$41+$E$44)),0)</f>
        <v>0</v>
      </c>
      <c r="G28" s="342"/>
      <c r="H28" s="343"/>
      <c r="L28" s="344"/>
      <c r="M28" s="343"/>
      <c r="N28" s="344"/>
      <c r="O28" s="343"/>
      <c r="P28" s="344">
        <f>R28</f>
        <v>-1.6334</v>
      </c>
      <c r="Q28" s="343" t="s">
        <v>1062</v>
      </c>
      <c r="R28" s="342">
        <v>-1.6334</v>
      </c>
      <c r="S28" s="343" t="s">
        <v>1062</v>
      </c>
      <c r="T28" s="294">
        <f>ROUND($E28*L28/100,0)</f>
        <v>0</v>
      </c>
      <c r="U28" s="345"/>
      <c r="V28" s="294">
        <f>ROUND($E28*N28/100,0)</f>
        <v>0</v>
      </c>
      <c r="W28" s="345"/>
      <c r="X28" s="294">
        <f>ROUND($E28*P28/100,0)</f>
        <v>0</v>
      </c>
      <c r="Y28" s="346"/>
      <c r="Z28" s="294">
        <f>ROUND($E28*R28/100,0)</f>
        <v>0</v>
      </c>
    </row>
    <row r="29" spans="2:30">
      <c r="B29" s="317" t="s">
        <v>1065</v>
      </c>
      <c r="D29" s="293">
        <f>'[7]123'!P15+'[7]123'!AG15+[7]TempRevMay!C303-[7]TempRevMay!M303-[7]TempRevMay!M309+'[7]123May'!G15+'[7]123May'!Q15</f>
        <v>1077210897.9091563</v>
      </c>
      <c r="E29" s="293">
        <f>E45-SUM(E30:E33,E41:E44)</f>
        <v>1080475944.5283775</v>
      </c>
      <c r="G29" s="347"/>
      <c r="H29" s="343"/>
      <c r="L29" s="348">
        <f ca="1">ROUND((T45-SUM(T13:T28,))/SUM($E$29:$E$33,$E$41)*100,4)</f>
        <v>2.7837000000000001</v>
      </c>
      <c r="M29" s="343" t="s">
        <v>1062</v>
      </c>
      <c r="N29" s="348">
        <f>ROUND((V45-SUM(V13:V28,V41))/SUM($E$29:$E$33)*100,4)</f>
        <v>5.4090999999999996</v>
      </c>
      <c r="O29" s="343" t="s">
        <v>1062</v>
      </c>
      <c r="P29" s="348">
        <f ca="1">R29-L29-N29</f>
        <v>1.3352230898834678</v>
      </c>
      <c r="Q29" s="343" t="s">
        <v>1062</v>
      </c>
      <c r="R29" s="347">
        <f>(AC12-SUM(Z13:Z19,Z27:Z28,Z41,Z50:Z56,Z64:Z65,Z78,Z111,Z116:Z122,Z130:Z131,Z144,Z153:Z159,Z167:Z168,Z181,Z190:Z196,Z204:Z205,Z218)-AC19/100*(E30+E31+E67+E68+E133+E134+E170+E171+E207+E208+1/AC18*(E33+E70+E136+E173+E210)))/(SUM(E29:E31,E66:E68,E132:E134,E169:E171,E206:E208)+1/AC18*SUM(E32:E33,E69:E70,E135:E136,E172:E173,E209:E210))*100</f>
        <v>9.528023089883467</v>
      </c>
      <c r="S29" s="343" t="s">
        <v>1062</v>
      </c>
      <c r="T29" s="294">
        <f t="shared" ref="T29:Z33" ca="1" si="4">ROUND($E29*L29/100,0)</f>
        <v>30077209</v>
      </c>
      <c r="U29" s="345"/>
      <c r="V29" s="294">
        <f>ROUND($E29*N29/100,0)</f>
        <v>58444024</v>
      </c>
      <c r="W29" s="345"/>
      <c r="X29" s="294">
        <f t="shared" ca="1" si="4"/>
        <v>14426764</v>
      </c>
      <c r="Y29" s="346"/>
      <c r="Z29" s="294">
        <f t="shared" si="4"/>
        <v>102947997</v>
      </c>
    </row>
    <row r="30" spans="2:30">
      <c r="B30" s="317" t="s">
        <v>1066</v>
      </c>
      <c r="D30" s="293">
        <f>'[7]123'!Q15+'[7]123'!AH15+[7]TempRevMay!C304-[7]TempRevMay!M304-[7]TempRevMay!M310+'[7]123May'!H15+'[7]123May'!R15</f>
        <v>957148336.15566492</v>
      </c>
      <c r="E30" s="293">
        <f>ROUND(D30/SUM($D$29:$D$31)*([7]Energy!$S$7-[7]Energy!$S$7/[7]Energy!$P$7*($E$41+$E$44)),0)</f>
        <v>960049471</v>
      </c>
      <c r="G30" s="347"/>
      <c r="H30" s="343"/>
      <c r="L30" s="348">
        <f ca="1">$L$29</f>
        <v>2.7837000000000001</v>
      </c>
      <c r="M30" s="343" t="s">
        <v>1062</v>
      </c>
      <c r="N30" s="348">
        <f>$N$29</f>
        <v>5.4090999999999996</v>
      </c>
      <c r="O30" s="343" t="s">
        <v>1062</v>
      </c>
      <c r="P30" s="348">
        <f t="shared" ref="P30:P33" ca="1" si="5">R30-L30-N30</f>
        <v>4.0283230898834672</v>
      </c>
      <c r="Q30" s="343" t="s">
        <v>1062</v>
      </c>
      <c r="R30" s="347">
        <f>R29+AC19</f>
        <v>12.221123089883466</v>
      </c>
      <c r="S30" s="343" t="s">
        <v>1062</v>
      </c>
      <c r="T30" s="294">
        <f t="shared" ca="1" si="4"/>
        <v>26724897</v>
      </c>
      <c r="U30" s="345"/>
      <c r="V30" s="294">
        <f>ROUND($E30*N30/100,0)</f>
        <v>51930036</v>
      </c>
      <c r="W30" s="345"/>
      <c r="X30" s="294">
        <f t="shared" ca="1" si="4"/>
        <v>38673895</v>
      </c>
      <c r="Y30" s="346"/>
      <c r="Z30" s="294">
        <f t="shared" si="4"/>
        <v>117328828</v>
      </c>
    </row>
    <row r="31" spans="2:30">
      <c r="B31" s="317" t="s">
        <v>1067</v>
      </c>
      <c r="D31" s="293">
        <f>'[7]123'!R15+'[7]123'!AI15+[7]TempRevMay!C305-[7]TempRevMay!M305-[7]TempRevMay!M311+'[7]123May'!I15+'[7]123May'!S15</f>
        <v>526195990.2398017</v>
      </c>
      <c r="E31" s="293">
        <f>ROUND(D31/SUM($D$29:$D$31)*([7]Energy!$S$7-[7]Energy!$S$7/[7]Energy!$P$7*($E$41+$E$44)),0)</f>
        <v>527790900</v>
      </c>
      <c r="G31" s="347"/>
      <c r="H31" s="343"/>
      <c r="L31" s="348">
        <f t="shared" ref="L31:L33" ca="1" si="6">$L$29</f>
        <v>2.7837000000000001</v>
      </c>
      <c r="M31" s="343" t="s">
        <v>1062</v>
      </c>
      <c r="N31" s="348">
        <f t="shared" ref="N31:N33" si="7">$N$29</f>
        <v>5.4090999999999996</v>
      </c>
      <c r="O31" s="343" t="s">
        <v>1062</v>
      </c>
      <c r="P31" s="348">
        <f t="shared" ca="1" si="5"/>
        <v>4.0283230898834672</v>
      </c>
      <c r="Q31" s="343" t="s">
        <v>1062</v>
      </c>
      <c r="R31" s="347">
        <f>R30</f>
        <v>12.221123089883466</v>
      </c>
      <c r="S31" s="343" t="s">
        <v>1062</v>
      </c>
      <c r="T31" s="294">
        <f t="shared" ca="1" si="4"/>
        <v>14692115</v>
      </c>
      <c r="U31" s="345"/>
      <c r="V31" s="294">
        <f t="shared" si="4"/>
        <v>28548738</v>
      </c>
      <c r="W31" s="345"/>
      <c r="X31" s="294">
        <f t="shared" ca="1" si="4"/>
        <v>21261123</v>
      </c>
      <c r="Y31" s="346"/>
      <c r="Z31" s="294">
        <f t="shared" si="4"/>
        <v>64501976</v>
      </c>
    </row>
    <row r="32" spans="2:30">
      <c r="B32" s="317" t="s">
        <v>1068</v>
      </c>
      <c r="C32" s="349"/>
      <c r="D32" s="293">
        <f>'[7]123'!M15+'[7]123'!AJ15+[7]TempRevMay!C306-[7]TempRevMay!M306-[7]TempRevMay!M312+'[7]123May'!D15+'[7]123May'!T15</f>
        <v>2155017817.4209166</v>
      </c>
      <c r="E32" s="293">
        <f>ROUND(D32/SUM($D$32:$D$33)*([7]Energy!$T$7-[7]Energy!$T$7/[7]Energy!$P$7*($E$41+$E$44)),0)</f>
        <v>2051977461</v>
      </c>
      <c r="F32" s="349"/>
      <c r="G32" s="350"/>
      <c r="H32" s="343"/>
      <c r="K32" s="349"/>
      <c r="L32" s="348">
        <f t="shared" ca="1" si="6"/>
        <v>2.7837000000000001</v>
      </c>
      <c r="M32" s="343" t="s">
        <v>1062</v>
      </c>
      <c r="N32" s="348">
        <f t="shared" si="7"/>
        <v>5.4090999999999996</v>
      </c>
      <c r="O32" s="343" t="s">
        <v>1062</v>
      </c>
      <c r="P32" s="348">
        <f t="shared" ca="1" si="5"/>
        <v>0.23907884060500084</v>
      </c>
      <c r="Q32" s="343" t="s">
        <v>1062</v>
      </c>
      <c r="R32" s="350">
        <f>ROUND(R29/$AC$18,$AC$8)</f>
        <v>8.431878840605</v>
      </c>
      <c r="S32" s="343" t="s">
        <v>1062</v>
      </c>
      <c r="T32" s="294">
        <f t="shared" ca="1" si="4"/>
        <v>57120897</v>
      </c>
      <c r="U32" s="345"/>
      <c r="V32" s="294">
        <f t="shared" si="4"/>
        <v>110993513</v>
      </c>
      <c r="W32" s="345"/>
      <c r="X32" s="294">
        <f t="shared" ca="1" si="4"/>
        <v>4905844</v>
      </c>
      <c r="Y32" s="346"/>
      <c r="Z32" s="294">
        <f t="shared" si="4"/>
        <v>173020253</v>
      </c>
    </row>
    <row r="33" spans="1:32">
      <c r="B33" s="317" t="s">
        <v>1069</v>
      </c>
      <c r="C33" s="349"/>
      <c r="D33" s="293">
        <f>'[7]123'!N15+'[7]123'!AK15+[7]TempRevMay!C307-[7]TempRevMay!M307-[7]TempRevMay!M313+'[7]123May'!E15+'[7]123May'!U15</f>
        <v>1755463780.2307222</v>
      </c>
      <c r="E33" s="293">
        <f>ROUND(D33/SUM($D$32:$D$33)*([7]Energy!$T$7-[7]Energy!$T$7/[7]Energy!$P$7*($E$41+$E$44)),0)</f>
        <v>1671527763</v>
      </c>
      <c r="F33" s="349"/>
      <c r="G33" s="350"/>
      <c r="H33" s="343"/>
      <c r="K33" s="349"/>
      <c r="L33" s="348">
        <f t="shared" ca="1" si="6"/>
        <v>2.7837000000000001</v>
      </c>
      <c r="M33" s="343" t="s">
        <v>1062</v>
      </c>
      <c r="N33" s="348">
        <f t="shared" si="7"/>
        <v>5.4090999999999996</v>
      </c>
      <c r="O33" s="343" t="s">
        <v>1062</v>
      </c>
      <c r="P33" s="348">
        <f t="shared" ca="1" si="5"/>
        <v>2.6223531768880006</v>
      </c>
      <c r="Q33" s="343" t="s">
        <v>1062</v>
      </c>
      <c r="R33" s="350">
        <f>ROUND(R30/$AC$18,$AC$8)</f>
        <v>10.815153176888</v>
      </c>
      <c r="S33" s="343" t="s">
        <v>1062</v>
      </c>
      <c r="T33" s="294">
        <f t="shared" ca="1" si="4"/>
        <v>46530318</v>
      </c>
      <c r="U33" s="345"/>
      <c r="V33" s="294">
        <f t="shared" si="4"/>
        <v>90414608</v>
      </c>
      <c r="W33" s="345"/>
      <c r="X33" s="294">
        <f t="shared" ca="1" si="4"/>
        <v>43833361</v>
      </c>
      <c r="Y33" s="346"/>
      <c r="Z33" s="294">
        <f t="shared" si="4"/>
        <v>180778288</v>
      </c>
    </row>
    <row r="34" spans="1:32">
      <c r="B34" s="317" t="s">
        <v>1070</v>
      </c>
      <c r="D34" s="293">
        <f>'[7]123'!S15</f>
        <v>0</v>
      </c>
      <c r="E34" s="293">
        <f>ROUND(D34/SUM($D$36:$D$38)*([7]Energy!$Q$7-[7]Energy!$Q$7/[7]Energy!$P$7*($E$41+$E$44)),0)</f>
        <v>0</v>
      </c>
      <c r="G34" s="342">
        <v>4.3559999999999999</v>
      </c>
      <c r="H34" s="343" t="s">
        <v>1062</v>
      </c>
      <c r="I34" s="294">
        <f t="shared" ref="I34:J41" si="8">ROUND($G34*D34/100,0)</f>
        <v>0</v>
      </c>
      <c r="J34" s="294">
        <f t="shared" si="8"/>
        <v>0</v>
      </c>
      <c r="L34" s="344"/>
      <c r="M34" s="343"/>
      <c r="N34" s="344"/>
      <c r="O34" s="343"/>
      <c r="P34" s="344"/>
      <c r="Q34" s="343"/>
      <c r="R34" s="342"/>
      <c r="S34" s="343"/>
      <c r="T34" s="346"/>
      <c r="U34" s="346"/>
      <c r="V34" s="346"/>
      <c r="W34" s="346"/>
      <c r="X34" s="346"/>
      <c r="Y34" s="346"/>
    </row>
    <row r="35" spans="1:32">
      <c r="B35" s="317" t="s">
        <v>1071</v>
      </c>
      <c r="D35" s="293">
        <f>'[7]123'!T15</f>
        <v>0</v>
      </c>
      <c r="E35" s="293">
        <f>ROUND(D35/SUM($D$36:$D$38)*([7]Energy!$Q$7-[7]Energy!$Q$7/[7]Energy!$P$7*($E$41+$E$44)),0)</f>
        <v>0</v>
      </c>
      <c r="G35" s="342">
        <v>-1.6334</v>
      </c>
      <c r="H35" s="343" t="s">
        <v>1062</v>
      </c>
      <c r="I35" s="294">
        <f t="shared" si="8"/>
        <v>0</v>
      </c>
      <c r="J35" s="294">
        <f t="shared" si="8"/>
        <v>0</v>
      </c>
      <c r="L35" s="344"/>
      <c r="M35" s="343"/>
      <c r="O35" s="343"/>
      <c r="P35" s="344"/>
      <c r="Q35" s="343"/>
      <c r="R35" s="342"/>
      <c r="S35" s="343"/>
      <c r="T35" s="346"/>
      <c r="U35" s="346"/>
      <c r="V35" s="346"/>
      <c r="W35" s="346"/>
      <c r="X35" s="346"/>
      <c r="Y35" s="346"/>
    </row>
    <row r="36" spans="1:32">
      <c r="B36" s="317" t="s">
        <v>1072</v>
      </c>
      <c r="D36" s="293">
        <f>'[7]123'!P15+'[7]123'!AG15+[7]TempRev!C303-[7]TempRev!M303-[7]TempRev!M309</f>
        <v>1356275357.1615026</v>
      </c>
      <c r="E36" s="293">
        <f>E45-SUM(E37:E44)</f>
        <v>1356162146.5283775</v>
      </c>
      <c r="G36" s="347">
        <v>8.8498000000000001</v>
      </c>
      <c r="H36" s="343" t="s">
        <v>1062</v>
      </c>
      <c r="I36" s="294">
        <f t="shared" si="8"/>
        <v>120027657</v>
      </c>
      <c r="J36" s="294">
        <f t="shared" si="8"/>
        <v>120017638</v>
      </c>
      <c r="L36" s="348"/>
      <c r="M36" s="343"/>
      <c r="N36" s="344"/>
      <c r="O36" s="343"/>
      <c r="P36" s="348"/>
      <c r="Q36" s="343"/>
      <c r="R36" s="347"/>
      <c r="S36" s="343"/>
      <c r="T36" s="346"/>
      <c r="U36" s="346"/>
      <c r="V36" s="346"/>
      <c r="W36" s="346"/>
      <c r="X36" s="346"/>
      <c r="Y36" s="346"/>
    </row>
    <row r="37" spans="1:32">
      <c r="B37" s="317" t="s">
        <v>1073</v>
      </c>
      <c r="D37" s="293">
        <f>'[7]123'!Q15+'[7]123'!AH15+[7]TempRev!C304-[7]TempRev!M304-[7]TempRev!M310</f>
        <v>1083544014.0003767</v>
      </c>
      <c r="E37" s="293">
        <f>ROUND(D37/SUM($D$36:$D$38)*([7]Energy!$Q$7-[7]Energy!$Q$7/[7]Energy!$P$7*($E$41+$E$44)),0)</f>
        <v>1083453568</v>
      </c>
      <c r="G37" s="347">
        <v>11.542899999999999</v>
      </c>
      <c r="H37" s="343" t="s">
        <v>1062</v>
      </c>
      <c r="I37" s="294">
        <f t="shared" si="8"/>
        <v>125072402</v>
      </c>
      <c r="J37" s="294">
        <f t="shared" si="8"/>
        <v>125061962</v>
      </c>
      <c r="L37" s="348"/>
      <c r="M37" s="343"/>
      <c r="N37" s="348"/>
      <c r="O37" s="343"/>
      <c r="P37" s="348"/>
      <c r="Q37" s="343"/>
      <c r="R37" s="347"/>
      <c r="S37" s="343"/>
      <c r="T37" s="346"/>
      <c r="U37" s="346"/>
      <c r="V37" s="346"/>
      <c r="W37" s="346"/>
      <c r="X37" s="346"/>
      <c r="Y37" s="346"/>
    </row>
    <row r="38" spans="1:32">
      <c r="B38" s="317" t="s">
        <v>1074</v>
      </c>
      <c r="D38" s="293">
        <f>'[7]123'!R15+'[7]123'!AI15+[7]TempRev!C305-[7]TempRev!M305-[7]TempRev!M311</f>
        <v>560540846.03246832</v>
      </c>
      <c r="E38" s="293">
        <f>ROUND(D38/SUM($D$36:$D$38)*([7]Energy!$Q$7-[7]Energy!$Q$7/[7]Energy!$P$7*($E$41+$E$44)),0)</f>
        <v>560494056</v>
      </c>
      <c r="G38" s="347">
        <v>14.450799999999999</v>
      </c>
      <c r="H38" s="343" t="s">
        <v>1062</v>
      </c>
      <c r="I38" s="294">
        <f t="shared" si="8"/>
        <v>81002637</v>
      </c>
      <c r="J38" s="294">
        <f t="shared" si="8"/>
        <v>80995875</v>
      </c>
      <c r="L38" s="348"/>
      <c r="M38" s="343"/>
      <c r="N38" s="348"/>
      <c r="O38" s="343"/>
      <c r="P38" s="348"/>
      <c r="Q38" s="343"/>
      <c r="R38" s="347"/>
      <c r="S38" s="343"/>
      <c r="T38" s="346"/>
      <c r="U38" s="346"/>
      <c r="V38" s="346"/>
      <c r="W38" s="346"/>
      <c r="X38" s="346"/>
      <c r="Y38" s="346"/>
    </row>
    <row r="39" spans="1:32">
      <c r="B39" s="317" t="s">
        <v>1075</v>
      </c>
      <c r="C39" s="349"/>
      <c r="D39" s="293">
        <f>'[7]123'!M15+'[7]123'!AJ15+[7]TempRev!C306-[7]TempRev!M306-[7]TempRev!M312</f>
        <v>1873066959.0251269</v>
      </c>
      <c r="E39" s="293">
        <f>ROUND(D39/SUM($D$39:$D$40)*([7]Energy!$R$7-[7]Energy!$R$7/[7]Energy!$P$7*($E$41+$E$44)),0)</f>
        <v>1776482587</v>
      </c>
      <c r="F39" s="349"/>
      <c r="G39" s="350">
        <v>8.8498000000000001</v>
      </c>
      <c r="H39" s="343" t="s">
        <v>1062</v>
      </c>
      <c r="I39" s="294">
        <f t="shared" si="8"/>
        <v>165762680</v>
      </c>
      <c r="J39" s="294">
        <f t="shared" si="8"/>
        <v>157215156</v>
      </c>
      <c r="K39" s="349"/>
      <c r="L39" s="351"/>
      <c r="M39" s="343"/>
      <c r="N39" s="351"/>
      <c r="O39" s="343"/>
      <c r="P39" s="351"/>
      <c r="Q39" s="343"/>
      <c r="R39" s="350"/>
      <c r="S39" s="343"/>
      <c r="T39" s="346"/>
      <c r="U39" s="346"/>
      <c r="V39" s="352"/>
      <c r="W39" s="346"/>
      <c r="X39" s="346"/>
      <c r="Y39" s="346"/>
    </row>
    <row r="40" spans="1:32">
      <c r="B40" s="317" t="s">
        <v>1076</v>
      </c>
      <c r="C40" s="349"/>
      <c r="D40" s="293">
        <f>'[7]123'!N15+'[7]123'!AK15+[7]TempRev!C307-[7]TempRev!M307-[7]TempRev!M313</f>
        <v>1597609645.7367871</v>
      </c>
      <c r="E40" s="293">
        <f>ROUND(D40/SUM($D$39:$D$40)*([7]Energy!$R$7-[7]Energy!$R$7/[7]Energy!$P$7*($E$41+$E$44)),0)</f>
        <v>1515229182</v>
      </c>
      <c r="F40" s="349"/>
      <c r="G40" s="350">
        <v>10.7072</v>
      </c>
      <c r="H40" s="343" t="s">
        <v>1062</v>
      </c>
      <c r="I40" s="294">
        <f t="shared" si="8"/>
        <v>171059260</v>
      </c>
      <c r="J40" s="294">
        <f t="shared" si="8"/>
        <v>162238619</v>
      </c>
      <c r="K40" s="349"/>
      <c r="L40" s="351"/>
      <c r="M40" s="343"/>
      <c r="N40" s="351"/>
      <c r="O40" s="343"/>
      <c r="P40" s="351"/>
      <c r="Q40" s="343"/>
      <c r="R40" s="350"/>
      <c r="S40" s="343"/>
      <c r="T40" s="346"/>
      <c r="U40" s="346"/>
      <c r="V40" s="346"/>
      <c r="W40" s="346"/>
      <c r="X40" s="346"/>
      <c r="Y40" s="346"/>
    </row>
    <row r="41" spans="1:32">
      <c r="B41" s="353" t="s">
        <v>1077</v>
      </c>
      <c r="C41" s="354"/>
      <c r="D41" s="355">
        <f>'[7]123'!X15</f>
        <v>16316464</v>
      </c>
      <c r="E41" s="293">
        <f>ROUND(D41/($D$45-$D$42)*$E$45,0)</f>
        <v>15864580</v>
      </c>
      <c r="F41" s="354"/>
      <c r="G41" s="351">
        <v>11.7033</v>
      </c>
      <c r="H41" s="356" t="s">
        <v>1062</v>
      </c>
      <c r="I41" s="325">
        <f t="shared" si="8"/>
        <v>1909565</v>
      </c>
      <c r="J41" s="325">
        <f t="shared" si="8"/>
        <v>1856679</v>
      </c>
      <c r="K41" s="354"/>
      <c r="L41" s="348">
        <f ca="1">L29</f>
        <v>2.7837000000000001</v>
      </c>
      <c r="M41" s="343" t="s">
        <v>1062</v>
      </c>
      <c r="N41" s="348">
        <v>7.7249999999999996</v>
      </c>
      <c r="O41" s="343" t="s">
        <v>1062</v>
      </c>
      <c r="P41" s="344">
        <f t="shared" ref="P41" ca="1" si="9">ROUND(R41-L41-N41,4)</f>
        <v>0</v>
      </c>
      <c r="Q41" s="356"/>
      <c r="R41" s="351">
        <f>ROUND(11.7033+AB42,4)</f>
        <v>10.508699999999999</v>
      </c>
      <c r="S41" s="356" t="s">
        <v>1062</v>
      </c>
      <c r="T41" s="294">
        <f t="shared" ref="T41:Z41" ca="1" si="10">ROUND($E41*L41/100,0)</f>
        <v>441622</v>
      </c>
      <c r="U41" s="345"/>
      <c r="V41" s="294">
        <f t="shared" si="10"/>
        <v>1225539</v>
      </c>
      <c r="W41" s="345"/>
      <c r="X41" s="294">
        <f t="shared" ca="1" si="10"/>
        <v>0</v>
      </c>
      <c r="Y41" s="345"/>
      <c r="Z41" s="294">
        <f t="shared" si="10"/>
        <v>1667161</v>
      </c>
      <c r="AB41" s="292">
        <v>3.9782999999999999</v>
      </c>
      <c r="AC41" s="292">
        <v>7.7249999999999996</v>
      </c>
      <c r="AD41" s="292">
        <v>0</v>
      </c>
      <c r="AE41" s="292">
        <v>11.7033</v>
      </c>
    </row>
    <row r="42" spans="1:32">
      <c r="B42" s="317" t="s">
        <v>1078</v>
      </c>
      <c r="D42" s="357">
        <f>'[7]Table 2'!J12</f>
        <v>36991495</v>
      </c>
      <c r="E42" s="357">
        <v>0</v>
      </c>
      <c r="I42" s="358">
        <f>'[7]Table 3'!F12</f>
        <v>4301600</v>
      </c>
      <c r="J42" s="358">
        <v>0</v>
      </c>
      <c r="Z42" s="358"/>
      <c r="AB42" s="292">
        <v>-1.1946000000000001</v>
      </c>
    </row>
    <row r="43" spans="1:32">
      <c r="B43" s="317" t="s">
        <v>1079</v>
      </c>
      <c r="G43" s="338">
        <v>-3.9100000000000003E-2</v>
      </c>
      <c r="H43" s="339"/>
      <c r="I43" s="294">
        <f>SUM(I36:I38,I39:I41)*$G43</f>
        <v>-25995017.259100001</v>
      </c>
      <c r="J43" s="294">
        <f>SUM(J36:J38,J39:J41)*$G43</f>
        <v>-25312789.823900003</v>
      </c>
      <c r="L43" s="338"/>
      <c r="M43" s="339"/>
      <c r="N43" s="338"/>
      <c r="O43" s="339"/>
      <c r="P43" s="359" t="s">
        <v>1080</v>
      </c>
      <c r="Q43" s="339"/>
      <c r="R43" s="338">
        <f>AD22</f>
        <v>-2.76E-2</v>
      </c>
      <c r="S43" s="339"/>
      <c r="Z43" s="294">
        <f>R43*SUM(Z29:Z33,Z41)</f>
        <v>-17670748.2828</v>
      </c>
      <c r="AB43" s="360" t="s">
        <v>1081</v>
      </c>
      <c r="AC43" s="360"/>
      <c r="AD43" s="360"/>
      <c r="AE43" s="360"/>
    </row>
    <row r="44" spans="1:32">
      <c r="B44" s="353" t="s">
        <v>1082</v>
      </c>
      <c r="D44" s="293">
        <f>'[7]123'!AX15</f>
        <v>-325220</v>
      </c>
      <c r="E44" s="293">
        <f>ROUND(D44/($D$45-$D$42)*$E$45,0)</f>
        <v>-316213</v>
      </c>
      <c r="G44" s="338"/>
      <c r="H44" s="339"/>
      <c r="L44" s="338"/>
      <c r="M44" s="339"/>
      <c r="N44" s="338"/>
      <c r="O44" s="339"/>
      <c r="P44" s="359" t="s">
        <v>1083</v>
      </c>
      <c r="Q44" s="339"/>
      <c r="R44" s="338">
        <f>AD23</f>
        <v>-1.38E-2</v>
      </c>
      <c r="S44" s="339"/>
      <c r="Z44" s="294">
        <f>R44*SUM(Z29:Z33,Z41)</f>
        <v>-8835374.1414000001</v>
      </c>
      <c r="AB44" s="361" t="s">
        <v>42</v>
      </c>
      <c r="AC44" s="361" t="s">
        <v>43</v>
      </c>
      <c r="AD44" s="361" t="s">
        <v>44</v>
      </c>
      <c r="AE44" s="361" t="s">
        <v>45</v>
      </c>
    </row>
    <row r="45" spans="1:32" ht="16.5" thickBot="1">
      <c r="A45" s="292">
        <v>1</v>
      </c>
      <c r="B45" s="317" t="s">
        <v>937</v>
      </c>
      <c r="D45" s="362">
        <f>SUM(D36:D44)</f>
        <v>6524019560.9562616</v>
      </c>
      <c r="E45" s="362">
        <f>[7]Energy!P7</f>
        <v>6307369906.5283775</v>
      </c>
      <c r="G45" s="363"/>
      <c r="I45" s="364">
        <f>SUM(I12:I43)</f>
        <v>698656993.74090004</v>
      </c>
      <c r="J45" s="364">
        <f>SUM(J12:J43)</f>
        <v>678380166.17610002</v>
      </c>
      <c r="L45" s="363"/>
      <c r="N45" s="363"/>
      <c r="P45" s="363"/>
      <c r="R45" s="363"/>
      <c r="T45" s="365">
        <f>$Z45*AB45/$AE45</f>
        <v>260343768.03886053</v>
      </c>
      <c r="U45" s="365"/>
      <c r="V45" s="365">
        <f>$Z45*AC45/$AE45</f>
        <v>341557855.24652201</v>
      </c>
      <c r="W45" s="365"/>
      <c r="X45" s="365">
        <f>Z45-T45-V45</f>
        <v>123100767.71461743</v>
      </c>
      <c r="Z45" s="364">
        <f>SUM(Z13:Z42)</f>
        <v>725002391</v>
      </c>
      <c r="AB45" s="366">
        <f>'[7]Unit Cost Target'!$D$87+'[7]Unit Cost Target'!$D$123+'[7]Unit Cost Target'!$D$129</f>
        <v>295898684.73866987</v>
      </c>
      <c r="AC45" s="366">
        <f>'[7]Unit Cost Target'!$D$45+'[7]Unit Cost Target'!$D$51+'[7]Unit Cost Target'!$D$75+'[7]Unit Cost Target'!$D$81</f>
        <v>388204107.5572089</v>
      </c>
      <c r="AD45" s="366">
        <f>'[7]Unit Cost Target'!$D$33+'[7]Unit Cost Target'!$D$39+'[7]Unit Cost Target'!$D$63+'[7]Unit Cost Target'!$D$69</f>
        <v>139912530.00393987</v>
      </c>
      <c r="AE45" s="366">
        <f>SUM(AB45:AD45)</f>
        <v>824015322.29981863</v>
      </c>
      <c r="AF45" s="366">
        <f>AE45-'[7]Unit Cost Target'!$D$21</f>
        <v>0</v>
      </c>
    </row>
    <row r="46" spans="1:32" ht="16.5" thickTop="1">
      <c r="A46" s="292">
        <v>1</v>
      </c>
      <c r="AB46" s="367">
        <f ca="1">T45-SUM(T13:T44)</f>
        <v>-1177.9611394703388</v>
      </c>
      <c r="AC46" s="367">
        <f>V45-SUM(V13:V44)</f>
        <v>1397.2465220093727</v>
      </c>
      <c r="AD46" s="367">
        <f ca="1">X45-SUM(X13:X44)</f>
        <v>-219.28538256883621</v>
      </c>
      <c r="AE46" s="367">
        <f ca="1">SUM(AB46:AD46)</f>
        <v>-2.9802322387695313E-8</v>
      </c>
      <c r="AF46" s="366"/>
    </row>
    <row r="47" spans="1:32">
      <c r="A47" s="292">
        <v>1</v>
      </c>
      <c r="B47" s="314" t="s">
        <v>938</v>
      </c>
      <c r="AB47" s="366"/>
      <c r="AC47" s="366"/>
      <c r="AD47" s="366"/>
      <c r="AE47" s="366"/>
    </row>
    <row r="48" spans="1:32">
      <c r="B48" s="317" t="s">
        <v>1041</v>
      </c>
      <c r="D48" s="293">
        <f>'[7]123'!F16</f>
        <v>4580.7333333333299</v>
      </c>
      <c r="E48" s="293">
        <f>ROUND([7]Bill!P8*D48/(D48+D85),0)</f>
        <v>4350</v>
      </c>
      <c r="G48" s="318"/>
      <c r="H48" s="318"/>
      <c r="L48" s="318"/>
      <c r="M48" s="318"/>
      <c r="N48" s="318"/>
      <c r="O48" s="318"/>
      <c r="P48" s="318"/>
      <c r="Q48" s="318"/>
      <c r="R48" s="318"/>
      <c r="S48" s="318"/>
      <c r="T48" s="319"/>
      <c r="U48" s="319"/>
      <c r="V48" s="319"/>
      <c r="W48" s="319"/>
      <c r="X48" s="319"/>
      <c r="Y48" s="319"/>
      <c r="AB48" s="366"/>
      <c r="AC48" s="366"/>
      <c r="AD48" s="366"/>
      <c r="AE48" s="366"/>
    </row>
    <row r="49" spans="2:29">
      <c r="B49" s="317" t="s">
        <v>1043</v>
      </c>
      <c r="D49" s="293">
        <f>'[7]123'!G16</f>
        <v>4568.7333333333299</v>
      </c>
      <c r="E49" s="293">
        <f>ROUND(D49/$D$48*$E$48,0)</f>
        <v>4339</v>
      </c>
      <c r="G49" s="318">
        <v>6</v>
      </c>
      <c r="H49" s="318"/>
      <c r="I49" s="294">
        <f t="shared" ref="I49:J63" si="11">ROUND($G49*D49,0)</f>
        <v>27412</v>
      </c>
      <c r="J49" s="294">
        <f t="shared" si="11"/>
        <v>26034</v>
      </c>
      <c r="L49" s="318"/>
      <c r="M49" s="318"/>
      <c r="N49" s="318"/>
      <c r="O49" s="318"/>
      <c r="P49" s="318"/>
      <c r="Q49" s="318"/>
      <c r="R49" s="318"/>
      <c r="S49" s="318"/>
      <c r="T49" s="319"/>
      <c r="U49" s="319"/>
      <c r="V49" s="319"/>
      <c r="W49" s="319"/>
      <c r="X49" s="319"/>
      <c r="Y49" s="319"/>
    </row>
    <row r="50" spans="2:29">
      <c r="B50" s="317" t="s">
        <v>1045</v>
      </c>
      <c r="D50" s="293">
        <f>D49-D51</f>
        <v>3549.7999999999956</v>
      </c>
      <c r="E50" s="293">
        <f>E49-E51</f>
        <v>3371</v>
      </c>
      <c r="G50" s="318"/>
      <c r="H50" s="318"/>
      <c r="L50" s="318">
        <f>L13</f>
        <v>10</v>
      </c>
      <c r="M50" s="318"/>
      <c r="N50" s="318">
        <f>N13</f>
        <v>0</v>
      </c>
      <c r="O50" s="318"/>
      <c r="P50" s="318">
        <f>P13</f>
        <v>0</v>
      </c>
      <c r="Q50" s="318"/>
      <c r="R50" s="318">
        <f>R13</f>
        <v>10</v>
      </c>
      <c r="S50" s="318"/>
      <c r="T50" s="294">
        <f>ROUND($E50*L50,0)</f>
        <v>33710</v>
      </c>
      <c r="U50" s="319"/>
      <c r="V50" s="294">
        <f>ROUND($E50*N50,0)</f>
        <v>0</v>
      </c>
      <c r="W50" s="319"/>
      <c r="X50" s="294">
        <f>ROUND($E50*P50,0)</f>
        <v>0</v>
      </c>
      <c r="Y50" s="319"/>
      <c r="Z50" s="294">
        <f>ROUND($E50*R50,0)</f>
        <v>33710</v>
      </c>
    </row>
    <row r="51" spans="2:29">
      <c r="B51" s="317" t="s">
        <v>1046</v>
      </c>
      <c r="D51" s="293">
        <f>'[7]123'!AN16</f>
        <v>1018.9333333333341</v>
      </c>
      <c r="E51" s="293">
        <f>ROUND(D51/D49*E49,0)</f>
        <v>968</v>
      </c>
      <c r="G51" s="318"/>
      <c r="H51" s="318"/>
      <c r="L51" s="318">
        <f>L14</f>
        <v>6</v>
      </c>
      <c r="M51" s="318"/>
      <c r="N51" s="318">
        <f>N14</f>
        <v>0</v>
      </c>
      <c r="O51" s="318"/>
      <c r="P51" s="318">
        <f>P14</f>
        <v>0</v>
      </c>
      <c r="Q51" s="318"/>
      <c r="R51" s="318">
        <f>R14</f>
        <v>6</v>
      </c>
      <c r="S51" s="318"/>
      <c r="T51" s="294">
        <f>ROUND($E51*L51,0)</f>
        <v>5808</v>
      </c>
      <c r="U51" s="319"/>
      <c r="V51" s="294">
        <f>ROUND($E51*N51,0)</f>
        <v>0</v>
      </c>
      <c r="W51" s="319"/>
      <c r="X51" s="294">
        <f>ROUND($E51*P51,0)</f>
        <v>0</v>
      </c>
      <c r="Y51" s="319"/>
      <c r="Z51" s="294">
        <f>ROUND($E51*R51,0)</f>
        <v>5808</v>
      </c>
    </row>
    <row r="52" spans="2:29">
      <c r="B52" s="317" t="s">
        <v>1047</v>
      </c>
      <c r="D52" s="293">
        <f>'[7]123'!H16</f>
        <v>12</v>
      </c>
      <c r="E52" s="293">
        <f>E48-E49</f>
        <v>11</v>
      </c>
      <c r="G52" s="318">
        <v>12</v>
      </c>
      <c r="H52" s="318"/>
      <c r="I52" s="294">
        <f t="shared" si="11"/>
        <v>144</v>
      </c>
      <c r="J52" s="294">
        <f t="shared" si="11"/>
        <v>132</v>
      </c>
      <c r="L52" s="318"/>
      <c r="M52" s="318"/>
      <c r="N52" s="318"/>
      <c r="O52" s="318"/>
      <c r="P52" s="318"/>
      <c r="Q52" s="318"/>
      <c r="R52" s="318"/>
      <c r="S52" s="318"/>
      <c r="U52" s="319"/>
      <c r="W52" s="319"/>
      <c r="Y52" s="319"/>
    </row>
    <row r="53" spans="2:29">
      <c r="B53" s="317" t="s">
        <v>1045</v>
      </c>
      <c r="D53" s="293">
        <f>D52-D54</f>
        <v>12</v>
      </c>
      <c r="E53" s="293">
        <f>E52-E54</f>
        <v>11</v>
      </c>
      <c r="G53" s="318"/>
      <c r="H53" s="318"/>
      <c r="L53" s="318">
        <f>L16</f>
        <v>20</v>
      </c>
      <c r="M53" s="318"/>
      <c r="N53" s="318">
        <f>N16</f>
        <v>0</v>
      </c>
      <c r="O53" s="318"/>
      <c r="P53" s="318">
        <f>P16</f>
        <v>0</v>
      </c>
      <c r="Q53" s="318"/>
      <c r="R53" s="318">
        <f>R16</f>
        <v>20</v>
      </c>
      <c r="S53" s="318"/>
      <c r="T53" s="294">
        <f t="shared" ref="T53:T56" si="12">ROUND($E53*L53,0)</f>
        <v>220</v>
      </c>
      <c r="U53" s="319"/>
      <c r="V53" s="294">
        <f t="shared" ref="V53:Z56" si="13">ROUND($E53*N53,0)</f>
        <v>0</v>
      </c>
      <c r="W53" s="319"/>
      <c r="X53" s="294">
        <f t="shared" si="13"/>
        <v>0</v>
      </c>
      <c r="Y53" s="319"/>
      <c r="Z53" s="294">
        <f t="shared" si="13"/>
        <v>220</v>
      </c>
    </row>
    <row r="54" spans="2:29">
      <c r="B54" s="317" t="s">
        <v>1046</v>
      </c>
      <c r="D54" s="293">
        <f>'[7]123'!AO16</f>
        <v>0</v>
      </c>
      <c r="E54" s="293">
        <f>ROUND(D54/D52*E52,0)</f>
        <v>0</v>
      </c>
      <c r="G54" s="318"/>
      <c r="H54" s="318"/>
      <c r="L54" s="318">
        <f>L17</f>
        <v>12</v>
      </c>
      <c r="M54" s="318"/>
      <c r="N54" s="318">
        <f>N17</f>
        <v>0</v>
      </c>
      <c r="O54" s="318"/>
      <c r="P54" s="318">
        <f>P17</f>
        <v>0</v>
      </c>
      <c r="Q54" s="318"/>
      <c r="R54" s="318">
        <f>R17</f>
        <v>12</v>
      </c>
      <c r="S54" s="318"/>
      <c r="T54" s="294">
        <f t="shared" si="12"/>
        <v>0</v>
      </c>
      <c r="U54" s="319"/>
      <c r="V54" s="294">
        <f t="shared" si="13"/>
        <v>0</v>
      </c>
      <c r="W54" s="319"/>
      <c r="X54" s="294">
        <f t="shared" si="13"/>
        <v>0</v>
      </c>
      <c r="Y54" s="319"/>
      <c r="Z54" s="294">
        <f t="shared" si="13"/>
        <v>0</v>
      </c>
    </row>
    <row r="55" spans="2:29">
      <c r="B55" s="317" t="s">
        <v>1050</v>
      </c>
      <c r="D55" s="293">
        <f>'[7]123'!AE16</f>
        <v>0</v>
      </c>
      <c r="E55" s="293">
        <f>ROUND(D55/$D$48*$E$48,0)</f>
        <v>0</v>
      </c>
      <c r="G55" s="318">
        <v>2</v>
      </c>
      <c r="H55" s="318"/>
      <c r="I55" s="294">
        <f t="shared" si="11"/>
        <v>0</v>
      </c>
      <c r="J55" s="294">
        <f t="shared" si="11"/>
        <v>0</v>
      </c>
      <c r="L55" s="318">
        <f t="shared" ref="L55:L56" si="14">L18</f>
        <v>2</v>
      </c>
      <c r="M55" s="318"/>
      <c r="N55" s="318">
        <f t="shared" ref="N55:N56" si="15">N18</f>
        <v>0</v>
      </c>
      <c r="O55" s="318"/>
      <c r="P55" s="318">
        <f t="shared" ref="P55:P56" si="16">P18</f>
        <v>0</v>
      </c>
      <c r="Q55" s="318"/>
      <c r="R55" s="318">
        <f t="shared" ref="R55:R56" si="17">R18</f>
        <v>2</v>
      </c>
      <c r="S55" s="318"/>
      <c r="T55" s="294">
        <f t="shared" si="12"/>
        <v>0</v>
      </c>
      <c r="U55" s="319"/>
      <c r="V55" s="294">
        <f t="shared" si="13"/>
        <v>0</v>
      </c>
      <c r="W55" s="319"/>
      <c r="X55" s="294">
        <f t="shared" si="13"/>
        <v>0</v>
      </c>
      <c r="Y55" s="319"/>
      <c r="Z55" s="294">
        <f t="shared" si="13"/>
        <v>0</v>
      </c>
    </row>
    <row r="56" spans="2:29">
      <c r="B56" s="317" t="s">
        <v>1052</v>
      </c>
      <c r="D56" s="293">
        <f>'[7]123'!AM16</f>
        <v>0</v>
      </c>
      <c r="E56" s="293">
        <f t="shared" ref="E56:E63" si="18">ROUND(D56/$D$48*$E$48,0)</f>
        <v>0</v>
      </c>
      <c r="G56" s="318">
        <v>22</v>
      </c>
      <c r="H56" s="318"/>
      <c r="I56" s="294">
        <f t="shared" si="11"/>
        <v>0</v>
      </c>
      <c r="J56" s="294">
        <f t="shared" si="11"/>
        <v>0</v>
      </c>
      <c r="L56" s="318">
        <f t="shared" si="14"/>
        <v>22</v>
      </c>
      <c r="M56" s="318"/>
      <c r="N56" s="318">
        <f t="shared" si="15"/>
        <v>0</v>
      </c>
      <c r="O56" s="318"/>
      <c r="P56" s="318">
        <f t="shared" si="16"/>
        <v>0</v>
      </c>
      <c r="Q56" s="318"/>
      <c r="R56" s="318">
        <f t="shared" si="17"/>
        <v>22</v>
      </c>
      <c r="S56" s="318"/>
      <c r="T56" s="294">
        <f t="shared" si="12"/>
        <v>0</v>
      </c>
      <c r="U56" s="319"/>
      <c r="V56" s="294">
        <f t="shared" si="13"/>
        <v>0</v>
      </c>
      <c r="W56" s="319"/>
      <c r="X56" s="294">
        <f t="shared" si="13"/>
        <v>0</v>
      </c>
      <c r="Y56" s="319"/>
      <c r="Z56" s="294">
        <f t="shared" si="13"/>
        <v>0</v>
      </c>
    </row>
    <row r="57" spans="2:29">
      <c r="B57" s="317" t="s">
        <v>1054</v>
      </c>
      <c r="D57" s="293">
        <f>'[7]123'!I16</f>
        <v>9.9312500000000004</v>
      </c>
      <c r="E57" s="293">
        <f t="shared" si="18"/>
        <v>9</v>
      </c>
      <c r="G57" s="318">
        <v>8</v>
      </c>
      <c r="H57" s="318"/>
      <c r="I57" s="294">
        <f t="shared" si="11"/>
        <v>79</v>
      </c>
      <c r="J57" s="294">
        <f t="shared" si="11"/>
        <v>72</v>
      </c>
      <c r="L57" s="318"/>
      <c r="M57" s="318"/>
      <c r="N57" s="318"/>
      <c r="O57" s="318"/>
      <c r="P57" s="318"/>
      <c r="Q57" s="318"/>
      <c r="R57" s="318"/>
      <c r="S57" s="318"/>
      <c r="U57" s="319"/>
      <c r="W57" s="319"/>
      <c r="Y57" s="319"/>
    </row>
    <row r="58" spans="2:29">
      <c r="B58" s="317" t="s">
        <v>1045</v>
      </c>
      <c r="D58" s="293">
        <f>D57-D59</f>
        <v>5.5075000000000003</v>
      </c>
      <c r="E58" s="293">
        <f>E57-E59</f>
        <v>5</v>
      </c>
      <c r="G58" s="318"/>
      <c r="H58" s="318"/>
      <c r="L58" s="318"/>
      <c r="M58" s="318"/>
      <c r="N58" s="318"/>
      <c r="O58" s="318"/>
      <c r="P58" s="318"/>
      <c r="Q58" s="318"/>
      <c r="R58" s="318"/>
      <c r="S58" s="318"/>
      <c r="U58" s="319"/>
      <c r="W58" s="319"/>
      <c r="Y58" s="319"/>
    </row>
    <row r="59" spans="2:29">
      <c r="B59" s="317" t="s">
        <v>1046</v>
      </c>
      <c r="D59" s="293">
        <f>'[7]123'!AP16</f>
        <v>4.4237500000000001</v>
      </c>
      <c r="E59" s="293">
        <f>ROUND(D59/D57*E57,0)</f>
        <v>4</v>
      </c>
      <c r="G59" s="318"/>
      <c r="H59" s="318"/>
      <c r="L59" s="318"/>
      <c r="M59" s="318"/>
      <c r="N59" s="318"/>
      <c r="O59" s="318"/>
      <c r="P59" s="318"/>
      <c r="Q59" s="318"/>
      <c r="R59" s="318"/>
      <c r="S59" s="318"/>
      <c r="U59" s="319"/>
      <c r="W59" s="319"/>
      <c r="Y59" s="319"/>
    </row>
    <row r="60" spans="2:29">
      <c r="B60" s="317" t="s">
        <v>1056</v>
      </c>
      <c r="D60" s="293">
        <f>'[7]123'!J16</f>
        <v>0</v>
      </c>
      <c r="E60" s="293">
        <f t="shared" si="18"/>
        <v>0</v>
      </c>
      <c r="G60" s="318">
        <v>16</v>
      </c>
      <c r="H60" s="318"/>
      <c r="I60" s="294">
        <f t="shared" si="11"/>
        <v>0</v>
      </c>
      <c r="J60" s="294">
        <f t="shared" si="11"/>
        <v>0</v>
      </c>
      <c r="L60" s="318"/>
      <c r="M60" s="318"/>
      <c r="N60" s="318"/>
      <c r="O60" s="318"/>
      <c r="P60" s="318"/>
      <c r="Q60" s="318"/>
      <c r="R60" s="318"/>
      <c r="S60" s="318"/>
      <c r="U60" s="319"/>
      <c r="W60" s="319"/>
      <c r="Y60" s="319"/>
    </row>
    <row r="61" spans="2:29">
      <c r="B61" s="317" t="s">
        <v>1045</v>
      </c>
      <c r="D61" s="293">
        <f>D60-D62</f>
        <v>0</v>
      </c>
      <c r="E61" s="293">
        <v>0</v>
      </c>
      <c r="G61" s="318"/>
      <c r="H61" s="318"/>
      <c r="L61" s="318"/>
      <c r="M61" s="318"/>
      <c r="N61" s="318"/>
      <c r="O61" s="318"/>
      <c r="P61" s="318"/>
      <c r="Q61" s="318"/>
      <c r="R61" s="318"/>
      <c r="S61" s="318"/>
      <c r="U61" s="319"/>
      <c r="W61" s="319"/>
      <c r="Y61" s="319"/>
    </row>
    <row r="62" spans="2:29">
      <c r="B62" s="317" t="s">
        <v>1046</v>
      </c>
      <c r="D62" s="293">
        <f>'[7]123'!AQ16</f>
        <v>0</v>
      </c>
      <c r="E62" s="293">
        <v>0</v>
      </c>
      <c r="G62" s="318"/>
      <c r="H62" s="318"/>
      <c r="L62" s="318"/>
      <c r="M62" s="318"/>
      <c r="N62" s="318"/>
      <c r="O62" s="318"/>
      <c r="P62" s="318"/>
      <c r="Q62" s="318"/>
      <c r="R62" s="318"/>
      <c r="S62" s="318"/>
      <c r="U62" s="319"/>
      <c r="W62" s="319"/>
      <c r="Y62" s="319"/>
    </row>
    <row r="63" spans="2:29">
      <c r="B63" s="317" t="s">
        <v>1059</v>
      </c>
      <c r="D63" s="293">
        <f>'[7]123'!AL16</f>
        <v>0</v>
      </c>
      <c r="E63" s="293">
        <f t="shared" si="18"/>
        <v>0</v>
      </c>
      <c r="G63" s="318">
        <v>96</v>
      </c>
      <c r="H63" s="318"/>
      <c r="I63" s="294">
        <f t="shared" si="11"/>
        <v>0</v>
      </c>
      <c r="J63" s="294">
        <f t="shared" si="11"/>
        <v>0</v>
      </c>
      <c r="L63" s="318"/>
      <c r="M63" s="318"/>
      <c r="N63" s="318"/>
      <c r="O63" s="318"/>
      <c r="P63" s="318"/>
      <c r="Q63" s="318"/>
      <c r="R63" s="318"/>
      <c r="S63" s="318"/>
      <c r="U63" s="319"/>
      <c r="W63" s="319"/>
      <c r="Y63" s="319"/>
      <c r="AB63" s="305"/>
      <c r="AC63" s="341"/>
    </row>
    <row r="64" spans="2:29">
      <c r="B64" s="317" t="s">
        <v>1061</v>
      </c>
      <c r="D64" s="293">
        <f>'[7]123'!S16+[7]TempRevMay!C315+'[7]123May'!J16</f>
        <v>263196.06186238333</v>
      </c>
      <c r="E64" s="293">
        <f>ROUND(D64/SUM($D$66:$D$68)*($E$82/($E$82+$E$111)*[7]Energy!$S$8*(1-1/[7]Energy!$P$8*($E$78+$E$81))),0)</f>
        <v>258230</v>
      </c>
      <c r="G64" s="342"/>
      <c r="H64" s="343"/>
      <c r="L64" s="342">
        <f>L27</f>
        <v>0</v>
      </c>
      <c r="M64" s="343" t="s">
        <v>1062</v>
      </c>
      <c r="N64" s="342">
        <f>N27</f>
        <v>0</v>
      </c>
      <c r="O64" s="343" t="s">
        <v>1062</v>
      </c>
      <c r="P64" s="342">
        <f>P27</f>
        <v>4.3559999999999999</v>
      </c>
      <c r="Q64" s="343" t="s">
        <v>1062</v>
      </c>
      <c r="R64" s="342">
        <f>R27</f>
        <v>4.3559999999999999</v>
      </c>
      <c r="S64" s="343" t="s">
        <v>1062</v>
      </c>
      <c r="T64" s="294">
        <f>ROUND($E64*L64/100,0)</f>
        <v>0</v>
      </c>
      <c r="U64" s="345"/>
      <c r="V64" s="294">
        <f>ROUND($E64*N64/100,0)</f>
        <v>0</v>
      </c>
      <c r="W64" s="345"/>
      <c r="X64" s="294">
        <f>ROUND($E64*P64/100,0)</f>
        <v>11248</v>
      </c>
      <c r="Y64" s="346"/>
      <c r="Z64" s="294">
        <f>ROUND($E64*R64/100,0)</f>
        <v>11248</v>
      </c>
      <c r="AB64" s="305"/>
      <c r="AC64" s="341"/>
    </row>
    <row r="65" spans="2:29">
      <c r="B65" s="317" t="s">
        <v>1064</v>
      </c>
      <c r="D65" s="293">
        <f>'[7]123'!T16+[7]TempRevMay!C316+'[7]123May'!K16</f>
        <v>841159.57580179488</v>
      </c>
      <c r="E65" s="293">
        <f>ROUND(D65/SUM($D$66:$D$68)*($E$82/($E$82+$E$111)*[7]Energy!$S$8*(1-1/[7]Energy!$P$8*($E$78+$E$81))),0)</f>
        <v>825288</v>
      </c>
      <c r="G65" s="342"/>
      <c r="H65" s="343"/>
      <c r="L65" s="342">
        <f t="shared" ref="L65:L70" si="19">L28</f>
        <v>0</v>
      </c>
      <c r="M65" s="343" t="s">
        <v>1062</v>
      </c>
      <c r="N65" s="342">
        <f t="shared" ref="N65:N70" si="20">N28</f>
        <v>0</v>
      </c>
      <c r="O65" s="343" t="s">
        <v>1062</v>
      </c>
      <c r="P65" s="342">
        <f t="shared" ref="P65:P70" si="21">P28</f>
        <v>-1.6334</v>
      </c>
      <c r="Q65" s="343" t="s">
        <v>1062</v>
      </c>
      <c r="R65" s="342">
        <f t="shared" ref="R65:R70" si="22">R28</f>
        <v>-1.6334</v>
      </c>
      <c r="S65" s="343" t="s">
        <v>1062</v>
      </c>
      <c r="T65" s="294">
        <f>ROUND($E65*L65/100,0)</f>
        <v>0</v>
      </c>
      <c r="U65" s="345"/>
      <c r="V65" s="294">
        <f>ROUND($E65*N65/100,0)</f>
        <v>0</v>
      </c>
      <c r="W65" s="345"/>
      <c r="X65" s="294">
        <f>ROUND($E65*P65/100,0)</f>
        <v>-13480</v>
      </c>
      <c r="Y65" s="346"/>
      <c r="Z65" s="294">
        <f>ROUND($E65*R65/100,0)</f>
        <v>-13480</v>
      </c>
      <c r="AB65" s="305"/>
      <c r="AC65" s="341"/>
    </row>
    <row r="66" spans="2:29">
      <c r="B66" s="317" t="s">
        <v>1065</v>
      </c>
      <c r="D66" s="293">
        <f>'[7]123'!P16+'[7]123'!AG16+[7]TempRevMay!C309+'[7]123May'!G16+'[7]123May'!Q16</f>
        <v>505496.57354245015</v>
      </c>
      <c r="E66" s="293">
        <f>E82-SUM(E67:E70,E78:E81)</f>
        <v>495959</v>
      </c>
      <c r="G66" s="350"/>
      <c r="H66" s="343"/>
      <c r="L66" s="342">
        <f t="shared" ca="1" si="19"/>
        <v>2.7837000000000001</v>
      </c>
      <c r="M66" s="343" t="s">
        <v>1062</v>
      </c>
      <c r="N66" s="342">
        <f t="shared" si="20"/>
        <v>5.4090999999999996</v>
      </c>
      <c r="O66" s="343" t="s">
        <v>1062</v>
      </c>
      <c r="P66" s="342">
        <f t="shared" ca="1" si="21"/>
        <v>1.3352230898834678</v>
      </c>
      <c r="Q66" s="343" t="s">
        <v>1062</v>
      </c>
      <c r="R66" s="342">
        <f t="shared" si="22"/>
        <v>9.528023089883467</v>
      </c>
      <c r="S66" s="343" t="s">
        <v>1062</v>
      </c>
      <c r="T66" s="294">
        <f t="shared" ref="T66:T70" ca="1" si="23">ROUND($E66*L66/100,0)</f>
        <v>13806</v>
      </c>
      <c r="U66" s="345"/>
      <c r="V66" s="294">
        <f t="shared" ref="V66:Z70" si="24">ROUND($E66*N66/100,0)</f>
        <v>26827</v>
      </c>
      <c r="W66" s="345"/>
      <c r="X66" s="294">
        <f t="shared" ca="1" si="24"/>
        <v>6622</v>
      </c>
      <c r="Y66" s="346"/>
      <c r="Z66" s="294">
        <f t="shared" si="24"/>
        <v>47255</v>
      </c>
    </row>
    <row r="67" spans="2:29">
      <c r="B67" s="317" t="s">
        <v>1066</v>
      </c>
      <c r="D67" s="293">
        <f>'[7]123'!Q16+'[7]123'!AH16+[7]TempRevMay!C310+'[7]123May'!H16+'[7]123May'!R16</f>
        <v>415305.77282962773</v>
      </c>
      <c r="E67" s="293">
        <f>ROUND(D67/SUM($D$66:$D$68)*($E$82/($E$82+$E$111)*[7]Energy!$S$8*(1-1/[7]Energy!$P$8*($E$78+$E$81))),0)</f>
        <v>407470</v>
      </c>
      <c r="G67" s="350"/>
      <c r="H67" s="343"/>
      <c r="L67" s="342">
        <f t="shared" ca="1" si="19"/>
        <v>2.7837000000000001</v>
      </c>
      <c r="M67" s="343" t="s">
        <v>1062</v>
      </c>
      <c r="N67" s="342">
        <f t="shared" si="20"/>
        <v>5.4090999999999996</v>
      </c>
      <c r="O67" s="343" t="s">
        <v>1062</v>
      </c>
      <c r="P67" s="342">
        <f t="shared" ca="1" si="21"/>
        <v>4.0283230898834672</v>
      </c>
      <c r="Q67" s="343" t="s">
        <v>1062</v>
      </c>
      <c r="R67" s="342">
        <f t="shared" si="22"/>
        <v>12.221123089883466</v>
      </c>
      <c r="S67" s="343" t="s">
        <v>1062</v>
      </c>
      <c r="T67" s="294">
        <f t="shared" ca="1" si="23"/>
        <v>11343</v>
      </c>
      <c r="U67" s="345"/>
      <c r="V67" s="294">
        <f t="shared" si="24"/>
        <v>22040</v>
      </c>
      <c r="W67" s="345"/>
      <c r="X67" s="294">
        <f t="shared" ca="1" si="24"/>
        <v>16414</v>
      </c>
      <c r="Y67" s="346"/>
      <c r="Z67" s="294">
        <f t="shared" si="24"/>
        <v>49797</v>
      </c>
    </row>
    <row r="68" spans="2:29">
      <c r="B68" s="317" t="s">
        <v>1067</v>
      </c>
      <c r="D68" s="293">
        <f>'[7]123'!R16+'[7]123'!AI16+[7]TempRevMay!C311+'[7]123May'!I16+'[7]123May'!S16</f>
        <v>190083.01295245861</v>
      </c>
      <c r="E68" s="293">
        <f>ROUND(D68/SUM($D$66:$D$68)*($E$82/($E$82+$E$111)*[7]Energy!$S$8*(1-1/[7]Energy!$P$8*($E$78+$E$81))),0)</f>
        <v>186496</v>
      </c>
      <c r="G68" s="350"/>
      <c r="H68" s="343"/>
      <c r="L68" s="342">
        <f t="shared" ca="1" si="19"/>
        <v>2.7837000000000001</v>
      </c>
      <c r="M68" s="343" t="s">
        <v>1062</v>
      </c>
      <c r="N68" s="342">
        <f t="shared" si="20"/>
        <v>5.4090999999999996</v>
      </c>
      <c r="O68" s="343" t="s">
        <v>1062</v>
      </c>
      <c r="P68" s="342">
        <f t="shared" ca="1" si="21"/>
        <v>4.0283230898834672</v>
      </c>
      <c r="Q68" s="343" t="s">
        <v>1062</v>
      </c>
      <c r="R68" s="342">
        <f t="shared" si="22"/>
        <v>12.221123089883466</v>
      </c>
      <c r="S68" s="343" t="s">
        <v>1062</v>
      </c>
      <c r="T68" s="294">
        <f t="shared" ca="1" si="23"/>
        <v>5191</v>
      </c>
      <c r="U68" s="345"/>
      <c r="V68" s="294">
        <f t="shared" si="24"/>
        <v>10088</v>
      </c>
      <c r="W68" s="345"/>
      <c r="X68" s="294">
        <f t="shared" ca="1" si="24"/>
        <v>7513</v>
      </c>
      <c r="Y68" s="346"/>
      <c r="Z68" s="294">
        <f t="shared" si="24"/>
        <v>22792</v>
      </c>
    </row>
    <row r="69" spans="2:29">
      <c r="B69" s="317" t="s">
        <v>1068</v>
      </c>
      <c r="C69" s="349"/>
      <c r="D69" s="293">
        <f>'[7]123'!M16+'[7]123'!AJ16+[7]TempRevMay!C312+'[7]123May'!D16+'[7]123May'!T16</f>
        <v>1072308.8189568296</v>
      </c>
      <c r="E69" s="293">
        <f>ROUND(D69/SUM($D$69:$D$70)*($E$82/($E$82+$E$111)*[7]Energy!$T$8*(1-1/[7]Energy!$P$8*($E$78+$E$81))),0)</f>
        <v>919695</v>
      </c>
      <c r="F69" s="349"/>
      <c r="G69" s="350"/>
      <c r="H69" s="343"/>
      <c r="K69" s="349"/>
      <c r="L69" s="342">
        <f t="shared" ca="1" si="19"/>
        <v>2.7837000000000001</v>
      </c>
      <c r="M69" s="343" t="s">
        <v>1062</v>
      </c>
      <c r="N69" s="342">
        <f t="shared" si="20"/>
        <v>5.4090999999999996</v>
      </c>
      <c r="O69" s="343" t="s">
        <v>1062</v>
      </c>
      <c r="P69" s="342">
        <f t="shared" ca="1" si="21"/>
        <v>0.23907884060500084</v>
      </c>
      <c r="Q69" s="343" t="s">
        <v>1062</v>
      </c>
      <c r="R69" s="342">
        <f t="shared" si="22"/>
        <v>8.431878840605</v>
      </c>
      <c r="S69" s="343" t="s">
        <v>1062</v>
      </c>
      <c r="T69" s="294">
        <f t="shared" ca="1" si="23"/>
        <v>25602</v>
      </c>
      <c r="U69" s="345"/>
      <c r="V69" s="294">
        <f t="shared" si="24"/>
        <v>49747</v>
      </c>
      <c r="W69" s="345"/>
      <c r="X69" s="294">
        <f t="shared" ca="1" si="24"/>
        <v>2199</v>
      </c>
      <c r="Y69" s="346"/>
      <c r="Z69" s="294">
        <f t="shared" si="24"/>
        <v>77548</v>
      </c>
    </row>
    <row r="70" spans="2:29">
      <c r="B70" s="317" t="s">
        <v>1069</v>
      </c>
      <c r="C70" s="349"/>
      <c r="D70" s="293">
        <f>'[7]123'!N16+'[7]123'!AK16+[7]TempRevMay!C313+'[7]123May'!E16+'[7]123May'!U16</f>
        <v>856284.82535598439</v>
      </c>
      <c r="E70" s="293">
        <f>ROUND(D70/SUM($D$69:$D$70)*($E$82/($E$82+$E$111)*[7]Energy!$T$8*(1-1/[7]Energy!$P$8*($E$78+$E$81))),0)</f>
        <v>734416</v>
      </c>
      <c r="F70" s="349"/>
      <c r="G70" s="350"/>
      <c r="H70" s="343"/>
      <c r="K70" s="349"/>
      <c r="L70" s="342">
        <f t="shared" ca="1" si="19"/>
        <v>2.7837000000000001</v>
      </c>
      <c r="M70" s="343" t="s">
        <v>1062</v>
      </c>
      <c r="N70" s="342">
        <f t="shared" si="20"/>
        <v>5.4090999999999996</v>
      </c>
      <c r="O70" s="343" t="s">
        <v>1062</v>
      </c>
      <c r="P70" s="342">
        <f t="shared" ca="1" si="21"/>
        <v>2.6223531768880006</v>
      </c>
      <c r="Q70" s="343" t="s">
        <v>1062</v>
      </c>
      <c r="R70" s="342">
        <f t="shared" si="22"/>
        <v>10.815153176888</v>
      </c>
      <c r="S70" s="343" t="s">
        <v>1062</v>
      </c>
      <c r="T70" s="294">
        <f t="shared" ca="1" si="23"/>
        <v>20444</v>
      </c>
      <c r="U70" s="345"/>
      <c r="V70" s="294">
        <f t="shared" si="24"/>
        <v>39725</v>
      </c>
      <c r="W70" s="345"/>
      <c r="X70" s="294">
        <f t="shared" ca="1" si="24"/>
        <v>19259</v>
      </c>
      <c r="Y70" s="346"/>
      <c r="Z70" s="294">
        <f t="shared" si="24"/>
        <v>79428</v>
      </c>
    </row>
    <row r="71" spans="2:29">
      <c r="B71" s="317" t="s">
        <v>1070</v>
      </c>
      <c r="D71" s="293">
        <f>'[7]123'!S16+[7]TempRev!C315</f>
        <v>319777</v>
      </c>
      <c r="E71" s="293">
        <f>ROUND(D71/SUM($D$73:$D$75)*($E$82/($E$82+$E$111)*[7]Energy!$Q$8*(1-1/[7]Energy!$P$8*($E$78+$E$81))),0)</f>
        <v>302460</v>
      </c>
      <c r="G71" s="342">
        <v>4.3559999999999999</v>
      </c>
      <c r="H71" s="343" t="s">
        <v>1062</v>
      </c>
      <c r="I71" s="294">
        <f t="shared" ref="I71:J78" si="25">ROUND($G71*D71/100,0)</f>
        <v>13929</v>
      </c>
      <c r="J71" s="294">
        <f t="shared" si="25"/>
        <v>13175</v>
      </c>
      <c r="L71" s="342"/>
      <c r="M71" s="343"/>
      <c r="N71" s="342"/>
      <c r="O71" s="343"/>
      <c r="P71" s="342"/>
      <c r="Q71" s="343"/>
      <c r="R71" s="342"/>
      <c r="S71" s="343"/>
      <c r="U71" s="346"/>
      <c r="W71" s="346"/>
      <c r="Y71" s="346"/>
    </row>
    <row r="72" spans="2:29">
      <c r="B72" s="317" t="s">
        <v>1071</v>
      </c>
      <c r="D72" s="293">
        <f>'[7]123'!T16+[7]TempRev!C316</f>
        <v>1008879.7824872736</v>
      </c>
      <c r="E72" s="293">
        <f>ROUND(D72/SUM($D$73:$D$75)*($E$82/($E$82+$E$111)*[7]Energy!$Q$8*(1-1/[7]Energy!$P$8*($E$78+$E$81))),0)</f>
        <v>954246</v>
      </c>
      <c r="G72" s="342">
        <v>-1.6334</v>
      </c>
      <c r="H72" s="343" t="s">
        <v>1062</v>
      </c>
      <c r="I72" s="294">
        <f t="shared" si="25"/>
        <v>-16479</v>
      </c>
      <c r="J72" s="294">
        <f t="shared" si="25"/>
        <v>-15587</v>
      </c>
      <c r="L72" s="342"/>
      <c r="M72" s="343"/>
      <c r="N72" s="342"/>
      <c r="O72" s="343"/>
      <c r="P72" s="342"/>
      <c r="Q72" s="343"/>
      <c r="R72" s="342"/>
      <c r="S72" s="343"/>
      <c r="U72" s="346"/>
      <c r="W72" s="346"/>
      <c r="Y72" s="346"/>
    </row>
    <row r="73" spans="2:29">
      <c r="B73" s="317" t="s">
        <v>1072</v>
      </c>
      <c r="D73" s="293">
        <f>'[7]123'!P16+'[7]123'!AG16+[7]TempRev!C309</f>
        <v>652800</v>
      </c>
      <c r="E73" s="293">
        <f>E82-SUM(E74:E81)</f>
        <v>617449</v>
      </c>
      <c r="G73" s="350">
        <v>8.8498000000000001</v>
      </c>
      <c r="H73" s="343" t="s">
        <v>1062</v>
      </c>
      <c r="I73" s="294">
        <f t="shared" si="25"/>
        <v>57771</v>
      </c>
      <c r="J73" s="294">
        <f t="shared" si="25"/>
        <v>54643</v>
      </c>
      <c r="L73" s="350"/>
      <c r="M73" s="343"/>
      <c r="N73" s="350"/>
      <c r="O73" s="343"/>
      <c r="P73" s="350"/>
      <c r="Q73" s="343"/>
      <c r="R73" s="350"/>
      <c r="S73" s="343"/>
      <c r="U73" s="346"/>
      <c r="W73" s="346"/>
      <c r="Y73" s="346"/>
    </row>
    <row r="74" spans="2:29">
      <c r="B74" s="317" t="s">
        <v>1073</v>
      </c>
      <c r="D74" s="293">
        <f>'[7]123'!Q16+'[7]123'!AH16+[7]TempRev!C310</f>
        <v>477029</v>
      </c>
      <c r="E74" s="293">
        <f>ROUND(D74/SUM($D$73:$D$75)*($E$82/($E$82+$E$111)*[7]Energy!$Q$8*(1-1/[7]Energy!$P$8*($E$78+$E$81))),0)</f>
        <v>451197</v>
      </c>
      <c r="G74" s="350">
        <v>11.542899999999999</v>
      </c>
      <c r="H74" s="343" t="s">
        <v>1062</v>
      </c>
      <c r="I74" s="294">
        <f t="shared" si="25"/>
        <v>55063</v>
      </c>
      <c r="J74" s="294">
        <f t="shared" si="25"/>
        <v>52081</v>
      </c>
      <c r="L74" s="350"/>
      <c r="M74" s="343"/>
      <c r="N74" s="350"/>
      <c r="O74" s="343"/>
      <c r="P74" s="350"/>
      <c r="Q74" s="343"/>
      <c r="R74" s="350"/>
      <c r="S74" s="343"/>
      <c r="U74" s="346"/>
      <c r="W74" s="346"/>
      <c r="Y74" s="346"/>
    </row>
    <row r="75" spans="2:29">
      <c r="B75" s="317" t="s">
        <v>1074</v>
      </c>
      <c r="D75" s="293">
        <f>'[7]123'!R16+'[7]123'!AI16+[7]TempRev!C311</f>
        <v>198835.78248727357</v>
      </c>
      <c r="E75" s="293">
        <f>ROUND(D75/SUM($D$73:$D$75)*($E$82/($E$82+$E$111)*[7]Energy!$Q$8*(1-1/[7]Energy!$P$8*($E$78+$E$81))),0)</f>
        <v>188068</v>
      </c>
      <c r="G75" s="350">
        <v>14.450799999999999</v>
      </c>
      <c r="H75" s="343" t="s">
        <v>1062</v>
      </c>
      <c r="I75" s="294">
        <f t="shared" si="25"/>
        <v>28733</v>
      </c>
      <c r="J75" s="294">
        <f t="shared" si="25"/>
        <v>27177</v>
      </c>
      <c r="L75" s="350"/>
      <c r="M75" s="343"/>
      <c r="N75" s="350"/>
      <c r="O75" s="343"/>
      <c r="P75" s="350"/>
      <c r="Q75" s="343"/>
      <c r="R75" s="350"/>
      <c r="S75" s="343"/>
      <c r="U75" s="346"/>
      <c r="W75" s="346"/>
      <c r="Y75" s="346"/>
    </row>
    <row r="76" spans="2:29">
      <c r="B76" s="317" t="s">
        <v>1075</v>
      </c>
      <c r="C76" s="349"/>
      <c r="D76" s="293">
        <f>'[7]123'!M16+'[7]123'!AJ16+[7]TempRev!C312</f>
        <v>931922</v>
      </c>
      <c r="E76" s="293">
        <f>ROUND(D76/SUM($D$76:$D$77)*($E$82/($E$82+$E$111)*[7]Energy!$R$8*(1-1/[7]Energy!$P$8*($E$78+$E$81))),0)</f>
        <v>810180</v>
      </c>
      <c r="F76" s="349"/>
      <c r="G76" s="350">
        <v>8.8498000000000001</v>
      </c>
      <c r="H76" s="343" t="s">
        <v>1062</v>
      </c>
      <c r="I76" s="294">
        <f t="shared" si="25"/>
        <v>82473</v>
      </c>
      <c r="J76" s="294">
        <f t="shared" si="25"/>
        <v>71699</v>
      </c>
      <c r="K76" s="349"/>
      <c r="L76" s="350"/>
      <c r="M76" s="343"/>
      <c r="N76" s="350"/>
      <c r="O76" s="343"/>
      <c r="P76" s="350"/>
      <c r="Q76" s="343"/>
      <c r="R76" s="350"/>
      <c r="S76" s="343"/>
      <c r="U76" s="346"/>
      <c r="W76" s="346"/>
      <c r="Y76" s="346"/>
    </row>
    <row r="77" spans="2:29">
      <c r="B77" s="317" t="s">
        <v>1076</v>
      </c>
      <c r="C77" s="349"/>
      <c r="D77" s="293">
        <f>'[7]123'!N16+'[7]123'!AK16+[7]TempRev!C313</f>
        <v>778892.22115007683</v>
      </c>
      <c r="E77" s="293">
        <f>ROUND(D77/SUM($D$76:$D$77)*($E$82/($E$82+$E$111)*[7]Energy!$R$8*(1-1/[7]Energy!$P$8*($E$78+$E$81))),0)</f>
        <v>677142</v>
      </c>
      <c r="F77" s="349"/>
      <c r="G77" s="350">
        <v>10.7072</v>
      </c>
      <c r="H77" s="343" t="s">
        <v>1062</v>
      </c>
      <c r="I77" s="294">
        <f t="shared" si="25"/>
        <v>83398</v>
      </c>
      <c r="J77" s="294">
        <f t="shared" si="25"/>
        <v>72503</v>
      </c>
      <c r="K77" s="349"/>
      <c r="L77" s="350"/>
      <c r="M77" s="343"/>
      <c r="N77" s="350"/>
      <c r="O77" s="343"/>
      <c r="P77" s="350"/>
      <c r="Q77" s="343"/>
      <c r="R77" s="350"/>
      <c r="S77" s="343"/>
      <c r="U77" s="346"/>
      <c r="W77" s="346"/>
      <c r="Y77" s="346"/>
    </row>
    <row r="78" spans="2:29">
      <c r="B78" s="353" t="s">
        <v>1077</v>
      </c>
      <c r="C78" s="354"/>
      <c r="D78" s="355">
        <f>'[7]123'!X16</f>
        <v>0</v>
      </c>
      <c r="E78" s="293">
        <f>ROUND(D78/($D$82-$D$79)*$E$82,0)</f>
        <v>0</v>
      </c>
      <c r="F78" s="354"/>
      <c r="G78" s="351">
        <v>11.7033</v>
      </c>
      <c r="H78" s="356" t="s">
        <v>1062</v>
      </c>
      <c r="I78" s="325">
        <f t="shared" si="25"/>
        <v>0</v>
      </c>
      <c r="J78" s="325">
        <f t="shared" si="25"/>
        <v>0</v>
      </c>
      <c r="K78" s="354"/>
      <c r="L78" s="351">
        <f ca="1">L41</f>
        <v>2.7837000000000001</v>
      </c>
      <c r="M78" s="356" t="s">
        <v>1062</v>
      </c>
      <c r="N78" s="351">
        <f>N41</f>
        <v>7.7249999999999996</v>
      </c>
      <c r="O78" s="356" t="s">
        <v>1062</v>
      </c>
      <c r="P78" s="351">
        <f ca="1">P41</f>
        <v>0</v>
      </c>
      <c r="Q78" s="356" t="s">
        <v>1062</v>
      </c>
      <c r="R78" s="351">
        <f>R41</f>
        <v>10.508699999999999</v>
      </c>
      <c r="S78" s="356" t="s">
        <v>1062</v>
      </c>
      <c r="T78" s="294">
        <f t="shared" ref="T78" ca="1" si="26">ROUND($E78*L78/100,0)</f>
        <v>0</v>
      </c>
      <c r="U78" s="345"/>
      <c r="V78" s="294">
        <f t="shared" ref="V78:Z78" si="27">ROUND($E78*N78/100,0)</f>
        <v>0</v>
      </c>
      <c r="W78" s="345"/>
      <c r="X78" s="294">
        <f t="shared" ca="1" si="27"/>
        <v>0</v>
      </c>
      <c r="Y78" s="345"/>
      <c r="Z78" s="294">
        <f t="shared" si="27"/>
        <v>0</v>
      </c>
      <c r="AB78" s="305" t="s">
        <v>1058</v>
      </c>
      <c r="AC78" s="341">
        <f>ROUND(E82/(E48),0)</f>
        <v>631</v>
      </c>
    </row>
    <row r="79" spans="2:29">
      <c r="B79" s="317" t="s">
        <v>1078</v>
      </c>
      <c r="D79" s="357">
        <f>'[7]Table 2'!J13</f>
        <v>17487</v>
      </c>
      <c r="E79" s="357">
        <v>0</v>
      </c>
      <c r="I79" s="358">
        <f>'[7]Table 3'!F13</f>
        <v>2003</v>
      </c>
      <c r="J79" s="358">
        <v>0</v>
      </c>
      <c r="Z79" s="358">
        <v>0</v>
      </c>
      <c r="AB79" s="305" t="s">
        <v>1060</v>
      </c>
      <c r="AC79" s="341">
        <f>ROUND(SUM(E66:E68,(E78+E81)*4/12)/((E48)*4/12),0)</f>
        <v>752</v>
      </c>
    </row>
    <row r="80" spans="2:29">
      <c r="B80" s="317" t="s">
        <v>1079</v>
      </c>
      <c r="G80" s="338">
        <v>-3.9100000000000003E-2</v>
      </c>
      <c r="H80" s="339"/>
      <c r="I80" s="294">
        <f>SUM(I73:I75,I76:I78)*$G80</f>
        <v>-12020.825800000001</v>
      </c>
      <c r="J80" s="294">
        <f>SUM(J73:J75,J76:J78)*$G80</f>
        <v>-10873.827300000001</v>
      </c>
      <c r="L80" s="338"/>
      <c r="M80" s="339"/>
      <c r="N80" s="338"/>
      <c r="O80" s="339"/>
      <c r="P80" s="359" t="str">
        <f>$P$43</f>
        <v>Tax Year 1</v>
      </c>
      <c r="Q80" s="339"/>
      <c r="R80" s="338">
        <f>$R$43</f>
        <v>-2.76E-2</v>
      </c>
      <c r="S80" s="339"/>
      <c r="Z80" s="294">
        <f>R80*SUM(Z66:Z70,Z78)</f>
        <v>-7640.232</v>
      </c>
      <c r="AB80" s="305" t="s">
        <v>1063</v>
      </c>
      <c r="AC80" s="341">
        <f>ROUND(SUM(E69:E70,(E78+E81)*8/12)/((E48)*8/12),0)</f>
        <v>570</v>
      </c>
    </row>
    <row r="81" spans="1:29">
      <c r="B81" s="353" t="s">
        <v>1082</v>
      </c>
      <c r="D81" s="293">
        <f>'[7]123'!AX16</f>
        <v>0</v>
      </c>
      <c r="E81" s="293">
        <f>ROUND(D81/($D$82-$D$79)*$E$82,0)</f>
        <v>0</v>
      </c>
      <c r="G81" s="338"/>
      <c r="H81" s="339"/>
      <c r="L81" s="338"/>
      <c r="M81" s="339"/>
      <c r="N81" s="338"/>
      <c r="O81" s="339"/>
      <c r="P81" s="359" t="str">
        <f>$P$44</f>
        <v>Tax Year 2</v>
      </c>
      <c r="Q81" s="339"/>
      <c r="R81" s="338">
        <f>$R$44</f>
        <v>-1.38E-2</v>
      </c>
      <c r="S81" s="339"/>
      <c r="Z81" s="294">
        <f>R81*SUM(Z66:Z70,Z78)</f>
        <v>-3820.116</v>
      </c>
    </row>
    <row r="82" spans="1:29" ht="16.5" thickBot="1">
      <c r="A82" s="292">
        <v>1</v>
      </c>
      <c r="B82" s="317" t="s">
        <v>937</v>
      </c>
      <c r="D82" s="362">
        <f>SUM(D73:D78,D79)</f>
        <v>3056966.0036373506</v>
      </c>
      <c r="E82" s="362">
        <f>ROUND([7]Energy!P8*D82/(D82+D111),0)</f>
        <v>2744036</v>
      </c>
      <c r="G82" s="368"/>
      <c r="I82" s="369">
        <f>SUM(I49:I80)</f>
        <v>322505.17420000001</v>
      </c>
      <c r="J82" s="369">
        <f>SUM(J49:J80)</f>
        <v>291055.1727</v>
      </c>
      <c r="L82" s="368"/>
      <c r="N82" s="368"/>
      <c r="P82" s="368"/>
      <c r="R82" s="368"/>
      <c r="T82" s="364">
        <f ca="1">SUM(T50:T79)</f>
        <v>116124</v>
      </c>
      <c r="V82" s="364">
        <f>SUM(V50:V79)</f>
        <v>148427</v>
      </c>
      <c r="X82" s="364">
        <f ca="1">SUM(X50:X79)</f>
        <v>49775</v>
      </c>
      <c r="Z82" s="364">
        <f>SUM(Z50:Z79)</f>
        <v>314326</v>
      </c>
      <c r="AB82" s="305" t="s">
        <v>939</v>
      </c>
      <c r="AC82" s="304">
        <f>Z82/J82-1</f>
        <v>7.995331979200393E-2</v>
      </c>
    </row>
    <row r="83" spans="1:29" ht="16.5" thickTop="1">
      <c r="A83" s="292">
        <v>1</v>
      </c>
    </row>
    <row r="84" spans="1:29" s="305" customFormat="1">
      <c r="A84" s="305">
        <v>1</v>
      </c>
      <c r="B84" s="370" t="s">
        <v>940</v>
      </c>
      <c r="D84" s="355"/>
      <c r="E84" s="355"/>
      <c r="I84" s="325"/>
      <c r="J84" s="325"/>
      <c r="T84" s="325"/>
      <c r="U84" s="325"/>
      <c r="V84" s="325"/>
      <c r="W84" s="325"/>
      <c r="X84" s="325"/>
      <c r="Y84" s="325"/>
      <c r="Z84" s="325"/>
      <c r="AA84" s="329"/>
    </row>
    <row r="85" spans="1:29" s="305" customFormat="1">
      <c r="B85" s="353" t="s">
        <v>1041</v>
      </c>
      <c r="D85" s="355">
        <f>'[7]123'!F17</f>
        <v>3278.9666666666699</v>
      </c>
      <c r="E85" s="355">
        <f>[7]Bill!P8-Blocking!E48</f>
        <v>3114</v>
      </c>
      <c r="G85" s="324"/>
      <c r="H85" s="324"/>
      <c r="I85" s="325"/>
      <c r="J85" s="325"/>
      <c r="L85" s="324"/>
      <c r="M85" s="324"/>
      <c r="N85" s="324"/>
      <c r="O85" s="324"/>
      <c r="P85" s="324"/>
      <c r="Q85" s="324"/>
      <c r="R85" s="324"/>
      <c r="S85" s="324"/>
      <c r="T85" s="326"/>
      <c r="U85" s="326"/>
      <c r="V85" s="326"/>
      <c r="W85" s="326"/>
      <c r="X85" s="326"/>
      <c r="Y85" s="326"/>
      <c r="Z85" s="325"/>
      <c r="AA85" s="329"/>
    </row>
    <row r="86" spans="1:29" s="305" customFormat="1">
      <c r="B86" s="353" t="s">
        <v>1043</v>
      </c>
      <c r="D86" s="355">
        <f>'[7]123'!G17</f>
        <v>3278.9666666666699</v>
      </c>
      <c r="E86" s="293">
        <f>ROUND(D86/$D$85*$E$85,0)</f>
        <v>3114</v>
      </c>
      <c r="G86" s="324">
        <v>6</v>
      </c>
      <c r="H86" s="324"/>
      <c r="I86" s="325">
        <f t="shared" ref="I86:J100" si="28">ROUND($G86*D86,0)</f>
        <v>19674</v>
      </c>
      <c r="J86" s="325">
        <f t="shared" si="28"/>
        <v>18684</v>
      </c>
      <c r="L86" s="324"/>
      <c r="M86" s="324"/>
      <c r="N86" s="324"/>
      <c r="O86" s="324"/>
      <c r="P86" s="324"/>
      <c r="Q86" s="324"/>
      <c r="R86" s="324"/>
      <c r="S86" s="324"/>
      <c r="T86" s="326"/>
      <c r="U86" s="326"/>
      <c r="V86" s="326"/>
      <c r="W86" s="326"/>
      <c r="X86" s="326"/>
      <c r="Y86" s="326"/>
      <c r="Z86" s="325"/>
      <c r="AA86" s="329"/>
    </row>
    <row r="87" spans="1:29">
      <c r="B87" s="317" t="s">
        <v>1045</v>
      </c>
      <c r="D87" s="293">
        <f>D86-D88</f>
        <v>3077.9000000000033</v>
      </c>
      <c r="E87" s="293">
        <f>E86-E88</f>
        <v>2923</v>
      </c>
      <c r="G87" s="318"/>
      <c r="H87" s="318"/>
      <c r="L87" s="318">
        <f>L13</f>
        <v>10</v>
      </c>
      <c r="M87" s="318"/>
      <c r="N87" s="318">
        <f>N13</f>
        <v>0</v>
      </c>
      <c r="O87" s="318"/>
      <c r="P87" s="318">
        <f>P13</f>
        <v>0</v>
      </c>
      <c r="Q87" s="318"/>
      <c r="R87" s="318">
        <f>R13</f>
        <v>10</v>
      </c>
      <c r="S87" s="318"/>
      <c r="T87" s="325">
        <f>ROUND($E87*L87,0)</f>
        <v>29230</v>
      </c>
      <c r="U87" s="319"/>
      <c r="V87" s="325">
        <f>ROUND($E87*N87,0)</f>
        <v>0</v>
      </c>
      <c r="W87" s="319"/>
      <c r="X87" s="325">
        <f>ROUND($E87*P87,0)</f>
        <v>0</v>
      </c>
      <c r="Y87" s="319"/>
      <c r="Z87" s="325">
        <f>ROUND($E87*R87,0)</f>
        <v>29230</v>
      </c>
    </row>
    <row r="88" spans="1:29">
      <c r="B88" s="317" t="s">
        <v>1046</v>
      </c>
      <c r="D88" s="293">
        <f>'[7]123'!AN17</f>
        <v>201.06666666666672</v>
      </c>
      <c r="E88" s="293">
        <f>ROUND(D88/D86*E86,0)</f>
        <v>191</v>
      </c>
      <c r="G88" s="318"/>
      <c r="H88" s="318"/>
      <c r="L88" s="318">
        <f>L14</f>
        <v>6</v>
      </c>
      <c r="M88" s="318"/>
      <c r="N88" s="318">
        <f>N14</f>
        <v>0</v>
      </c>
      <c r="O88" s="318"/>
      <c r="P88" s="318">
        <f>P14</f>
        <v>0</v>
      </c>
      <c r="Q88" s="318"/>
      <c r="R88" s="318">
        <f>R14</f>
        <v>6</v>
      </c>
      <c r="S88" s="318"/>
      <c r="T88" s="325">
        <f>ROUND($E88*L88,0)</f>
        <v>1146</v>
      </c>
      <c r="U88" s="319"/>
      <c r="V88" s="325">
        <f>ROUND($E88*N88,0)</f>
        <v>0</v>
      </c>
      <c r="W88" s="319"/>
      <c r="X88" s="325">
        <f>ROUND($E88*P88,0)</f>
        <v>0</v>
      </c>
      <c r="Y88" s="319"/>
      <c r="Z88" s="325">
        <f>ROUND($E88*R88,0)</f>
        <v>1146</v>
      </c>
    </row>
    <row r="89" spans="1:29" s="305" customFormat="1">
      <c r="B89" s="353" t="s">
        <v>1047</v>
      </c>
      <c r="D89" s="355">
        <f>'[7]123'!H17</f>
        <v>0</v>
      </c>
      <c r="E89" s="293">
        <f>E85-E86</f>
        <v>0</v>
      </c>
      <c r="G89" s="324">
        <v>12</v>
      </c>
      <c r="H89" s="324"/>
      <c r="I89" s="325">
        <f t="shared" si="28"/>
        <v>0</v>
      </c>
      <c r="J89" s="325">
        <f t="shared" si="28"/>
        <v>0</v>
      </c>
      <c r="L89" s="324"/>
      <c r="M89" s="324"/>
      <c r="N89" s="324"/>
      <c r="O89" s="324"/>
      <c r="P89" s="324"/>
      <c r="Q89" s="324"/>
      <c r="R89" s="324"/>
      <c r="S89" s="324"/>
      <c r="T89" s="325"/>
      <c r="U89" s="326"/>
      <c r="V89" s="325"/>
      <c r="W89" s="326"/>
      <c r="X89" s="325"/>
      <c r="Y89" s="326"/>
      <c r="Z89" s="325"/>
      <c r="AA89" s="329"/>
    </row>
    <row r="90" spans="1:29">
      <c r="B90" s="317" t="s">
        <v>1045</v>
      </c>
      <c r="D90" s="293">
        <f>D89-D91</f>
        <v>0</v>
      </c>
      <c r="G90" s="318"/>
      <c r="H90" s="318"/>
      <c r="L90" s="318">
        <f>L16</f>
        <v>20</v>
      </c>
      <c r="M90" s="318"/>
      <c r="N90" s="318">
        <f>N16</f>
        <v>0</v>
      </c>
      <c r="O90" s="318"/>
      <c r="P90" s="318">
        <f>P16</f>
        <v>0</v>
      </c>
      <c r="Q90" s="318"/>
      <c r="R90" s="318">
        <f>R16</f>
        <v>20</v>
      </c>
      <c r="S90" s="318"/>
      <c r="T90" s="325">
        <f t="shared" ref="T90:T93" si="29">ROUND($E90*L90,0)</f>
        <v>0</v>
      </c>
      <c r="U90" s="319"/>
      <c r="V90" s="325">
        <f t="shared" ref="V90:V93" si="30">ROUND($E90*N90,0)</f>
        <v>0</v>
      </c>
      <c r="W90" s="319"/>
      <c r="X90" s="325">
        <f t="shared" ref="X90:Z93" si="31">ROUND($E90*P90,0)</f>
        <v>0</v>
      </c>
      <c r="Y90" s="319"/>
      <c r="Z90" s="325">
        <f t="shared" si="31"/>
        <v>0</v>
      </c>
    </row>
    <row r="91" spans="1:29">
      <c r="B91" s="317" t="s">
        <v>1046</v>
      </c>
      <c r="D91" s="293">
        <f>'[7]123'!AO17</f>
        <v>0</v>
      </c>
      <c r="G91" s="318"/>
      <c r="H91" s="318"/>
      <c r="L91" s="318">
        <f>L17</f>
        <v>12</v>
      </c>
      <c r="M91" s="318"/>
      <c r="N91" s="318">
        <f>N17</f>
        <v>0</v>
      </c>
      <c r="O91" s="318"/>
      <c r="P91" s="318">
        <f>P17</f>
        <v>0</v>
      </c>
      <c r="Q91" s="318"/>
      <c r="R91" s="318">
        <f>R17</f>
        <v>12</v>
      </c>
      <c r="S91" s="318"/>
      <c r="T91" s="325">
        <f t="shared" si="29"/>
        <v>0</v>
      </c>
      <c r="U91" s="319"/>
      <c r="V91" s="325">
        <f t="shared" si="30"/>
        <v>0</v>
      </c>
      <c r="W91" s="319"/>
      <c r="X91" s="325">
        <f t="shared" si="31"/>
        <v>0</v>
      </c>
      <c r="Y91" s="319"/>
      <c r="Z91" s="325">
        <f t="shared" si="31"/>
        <v>0</v>
      </c>
    </row>
    <row r="92" spans="1:29">
      <c r="B92" s="317" t="s">
        <v>1050</v>
      </c>
      <c r="D92" s="293">
        <v>0</v>
      </c>
      <c r="E92" s="293">
        <f>ROUND(D92/$D$48*$E$48,0)</f>
        <v>0</v>
      </c>
      <c r="G92" s="318">
        <v>2</v>
      </c>
      <c r="H92" s="318"/>
      <c r="I92" s="294">
        <f t="shared" ref="I92:J92" si="32">ROUND($G92*D92,0)</f>
        <v>0</v>
      </c>
      <c r="J92" s="294">
        <f t="shared" si="32"/>
        <v>0</v>
      </c>
      <c r="L92" s="318">
        <f t="shared" ref="L92:L93" si="33">L18</f>
        <v>2</v>
      </c>
      <c r="M92" s="318"/>
      <c r="N92" s="318">
        <f t="shared" ref="N92:N93" si="34">N18</f>
        <v>0</v>
      </c>
      <c r="O92" s="318"/>
      <c r="P92" s="318">
        <f t="shared" ref="P92:P93" si="35">P18</f>
        <v>0</v>
      </c>
      <c r="Q92" s="318"/>
      <c r="R92" s="318">
        <f t="shared" ref="R92:R93" si="36">R18</f>
        <v>2</v>
      </c>
      <c r="S92" s="318"/>
      <c r="T92" s="325">
        <f t="shared" si="29"/>
        <v>0</v>
      </c>
      <c r="U92" s="319"/>
      <c r="V92" s="325">
        <f t="shared" si="30"/>
        <v>0</v>
      </c>
      <c r="W92" s="319"/>
      <c r="X92" s="325">
        <f t="shared" si="31"/>
        <v>0</v>
      </c>
      <c r="Y92" s="319"/>
      <c r="Z92" s="325">
        <f t="shared" si="31"/>
        <v>0</v>
      </c>
    </row>
    <row r="93" spans="1:29">
      <c r="B93" s="317" t="s">
        <v>1052</v>
      </c>
      <c r="D93" s="293">
        <f>'[7]123'!AM17</f>
        <v>0</v>
      </c>
      <c r="E93" s="293">
        <f t="shared" ref="E93:E100" si="37">ROUND(D93/$D$85*$E$85,0)</f>
        <v>0</v>
      </c>
      <c r="G93" s="318">
        <v>22</v>
      </c>
      <c r="H93" s="318"/>
      <c r="I93" s="294">
        <f t="shared" si="28"/>
        <v>0</v>
      </c>
      <c r="J93" s="294">
        <f t="shared" si="28"/>
        <v>0</v>
      </c>
      <c r="L93" s="318">
        <f t="shared" si="33"/>
        <v>22</v>
      </c>
      <c r="M93" s="318"/>
      <c r="N93" s="318">
        <f t="shared" si="34"/>
        <v>0</v>
      </c>
      <c r="O93" s="318"/>
      <c r="P93" s="318">
        <f t="shared" si="35"/>
        <v>0</v>
      </c>
      <c r="Q93" s="318"/>
      <c r="R93" s="318">
        <f t="shared" si="36"/>
        <v>22</v>
      </c>
      <c r="S93" s="318"/>
      <c r="T93" s="325">
        <f t="shared" si="29"/>
        <v>0</v>
      </c>
      <c r="U93" s="319"/>
      <c r="V93" s="325">
        <f t="shared" si="30"/>
        <v>0</v>
      </c>
      <c r="W93" s="319"/>
      <c r="X93" s="325">
        <f t="shared" si="31"/>
        <v>0</v>
      </c>
      <c r="Y93" s="319"/>
      <c r="Z93" s="325">
        <f t="shared" si="31"/>
        <v>0</v>
      </c>
    </row>
    <row r="94" spans="1:29" s="305" customFormat="1">
      <c r="B94" s="353" t="s">
        <v>1054</v>
      </c>
      <c r="D94" s="355">
        <f>'[7]123'!I17</f>
        <v>0.1</v>
      </c>
      <c r="E94" s="293">
        <f t="shared" si="37"/>
        <v>0</v>
      </c>
      <c r="G94" s="324">
        <v>8</v>
      </c>
      <c r="H94" s="324"/>
      <c r="I94" s="325">
        <f t="shared" si="28"/>
        <v>1</v>
      </c>
      <c r="J94" s="325">
        <f t="shared" si="28"/>
        <v>0</v>
      </c>
      <c r="L94" s="324"/>
      <c r="M94" s="324"/>
      <c r="N94" s="324"/>
      <c r="O94" s="324"/>
      <c r="P94" s="324"/>
      <c r="Q94" s="324"/>
      <c r="R94" s="324"/>
      <c r="S94" s="324"/>
      <c r="T94" s="325"/>
      <c r="U94" s="326"/>
      <c r="V94" s="325"/>
      <c r="W94" s="326"/>
      <c r="X94" s="325"/>
      <c r="Y94" s="326"/>
      <c r="Z94" s="325"/>
      <c r="AA94" s="329"/>
    </row>
    <row r="95" spans="1:29">
      <c r="B95" s="317" t="s">
        <v>1045</v>
      </c>
      <c r="D95" s="293">
        <f>D94-D96</f>
        <v>0.1</v>
      </c>
      <c r="E95" s="293">
        <f>E94-E96</f>
        <v>0</v>
      </c>
      <c r="G95" s="318"/>
      <c r="H95" s="318"/>
      <c r="L95" s="318"/>
      <c r="M95" s="318"/>
      <c r="N95" s="318"/>
      <c r="O95" s="318"/>
      <c r="P95" s="318"/>
      <c r="Q95" s="318"/>
      <c r="R95" s="318"/>
      <c r="S95" s="318"/>
      <c r="U95" s="319"/>
      <c r="W95" s="319"/>
      <c r="Y95" s="319"/>
    </row>
    <row r="96" spans="1:29">
      <c r="B96" s="317" t="s">
        <v>1046</v>
      </c>
      <c r="D96" s="293">
        <f>'[7]123'!AP17</f>
        <v>0</v>
      </c>
      <c r="E96" s="293">
        <f>ROUND(D96/D94*E94,0)</f>
        <v>0</v>
      </c>
      <c r="G96" s="318"/>
      <c r="H96" s="318"/>
      <c r="L96" s="318"/>
      <c r="M96" s="318"/>
      <c r="N96" s="318"/>
      <c r="O96" s="318"/>
      <c r="P96" s="318"/>
      <c r="Q96" s="318"/>
      <c r="R96" s="318"/>
      <c r="S96" s="318"/>
      <c r="U96" s="319"/>
      <c r="W96" s="319"/>
      <c r="Y96" s="319"/>
    </row>
    <row r="97" spans="1:29" s="305" customFormat="1">
      <c r="B97" s="353" t="s">
        <v>1056</v>
      </c>
      <c r="D97" s="355">
        <f>'[7]123'!J17</f>
        <v>0</v>
      </c>
      <c r="E97" s="293">
        <f t="shared" si="37"/>
        <v>0</v>
      </c>
      <c r="G97" s="324">
        <v>16</v>
      </c>
      <c r="H97" s="324"/>
      <c r="I97" s="325">
        <f t="shared" si="28"/>
        <v>0</v>
      </c>
      <c r="J97" s="325">
        <f t="shared" si="28"/>
        <v>0</v>
      </c>
      <c r="L97" s="324"/>
      <c r="M97" s="324"/>
      <c r="N97" s="324"/>
      <c r="O97" s="324"/>
      <c r="P97" s="324"/>
      <c r="Q97" s="324"/>
      <c r="R97" s="324"/>
      <c r="S97" s="324"/>
      <c r="T97" s="325"/>
      <c r="U97" s="326"/>
      <c r="V97" s="325"/>
      <c r="W97" s="326"/>
      <c r="X97" s="325"/>
      <c r="Y97" s="326"/>
      <c r="Z97" s="325"/>
      <c r="AA97" s="329"/>
    </row>
    <row r="98" spans="1:29">
      <c r="B98" s="317" t="s">
        <v>1045</v>
      </c>
      <c r="D98" s="293">
        <f>D97-D99</f>
        <v>0</v>
      </c>
      <c r="G98" s="318"/>
      <c r="H98" s="318"/>
      <c r="L98" s="318"/>
      <c r="M98" s="318"/>
      <c r="N98" s="318"/>
      <c r="O98" s="318"/>
      <c r="P98" s="324"/>
      <c r="Q98" s="318"/>
      <c r="R98" s="318"/>
      <c r="S98" s="318"/>
      <c r="U98" s="319"/>
      <c r="W98" s="319"/>
      <c r="Y98" s="319"/>
    </row>
    <row r="99" spans="1:29">
      <c r="B99" s="317" t="s">
        <v>1046</v>
      </c>
      <c r="D99" s="293">
        <f>'[7]123'!AQ17</f>
        <v>0</v>
      </c>
      <c r="G99" s="318"/>
      <c r="H99" s="318"/>
      <c r="L99" s="318"/>
      <c r="M99" s="318"/>
      <c r="N99" s="318"/>
      <c r="O99" s="318"/>
      <c r="P99" s="324"/>
      <c r="Q99" s="318"/>
      <c r="R99" s="318"/>
      <c r="S99" s="318"/>
      <c r="U99" s="319"/>
      <c r="W99" s="319"/>
      <c r="Y99" s="319"/>
    </row>
    <row r="100" spans="1:29" s="305" customFormat="1">
      <c r="B100" s="353" t="s">
        <v>1059</v>
      </c>
      <c r="D100" s="355">
        <f>'[7]123'!AL17</f>
        <v>0</v>
      </c>
      <c r="E100" s="293">
        <f t="shared" si="37"/>
        <v>0</v>
      </c>
      <c r="G100" s="324">
        <v>96</v>
      </c>
      <c r="H100" s="324"/>
      <c r="I100" s="325">
        <f t="shared" si="28"/>
        <v>0</v>
      </c>
      <c r="J100" s="325">
        <f t="shared" si="28"/>
        <v>0</v>
      </c>
      <c r="L100" s="324"/>
      <c r="M100" s="324"/>
      <c r="N100" s="324"/>
      <c r="O100" s="324"/>
      <c r="P100" s="324"/>
      <c r="Q100" s="324"/>
      <c r="R100" s="324"/>
      <c r="S100" s="324"/>
      <c r="T100" s="325"/>
      <c r="U100" s="326"/>
      <c r="V100" s="325"/>
      <c r="W100" s="326"/>
      <c r="X100" s="325"/>
      <c r="Y100" s="326"/>
      <c r="Z100" s="325"/>
      <c r="AA100" s="329"/>
    </row>
    <row r="101" spans="1:29" s="305" customFormat="1">
      <c r="B101" s="353" t="s">
        <v>1084</v>
      </c>
      <c r="D101" s="355"/>
      <c r="E101" s="355"/>
      <c r="G101" s="324"/>
      <c r="H101" s="324"/>
      <c r="I101" s="325"/>
      <c r="J101" s="325"/>
      <c r="L101" s="324"/>
      <c r="M101" s="324"/>
      <c r="N101" s="324"/>
      <c r="O101" s="324"/>
      <c r="P101" s="324"/>
      <c r="Q101" s="324"/>
      <c r="R101" s="324"/>
      <c r="S101" s="324"/>
      <c r="T101" s="325"/>
      <c r="U101" s="326"/>
      <c r="V101" s="325"/>
      <c r="W101" s="326"/>
      <c r="X101" s="325"/>
      <c r="Y101" s="326"/>
      <c r="Z101" s="325"/>
      <c r="AA101" s="329"/>
    </row>
    <row r="102" spans="1:29" s="305" customFormat="1">
      <c r="B102" s="353" t="s">
        <v>1085</v>
      </c>
      <c r="D102" s="355">
        <f>'[7]123'!Y17</f>
        <v>228976</v>
      </c>
      <c r="E102" s="293">
        <f>E111-SUM(E103:E110)</f>
        <v>206699.0452160826</v>
      </c>
      <c r="G102" s="344">
        <v>22.275500000000001</v>
      </c>
      <c r="H102" s="356" t="s">
        <v>1062</v>
      </c>
      <c r="I102" s="325">
        <f>ROUND($G102*D102/100,0)</f>
        <v>51006</v>
      </c>
      <c r="J102" s="325">
        <f>ROUND($G102*E102/100,0)</f>
        <v>46043</v>
      </c>
      <c r="L102" s="342">
        <f ca="1">$L$29</f>
        <v>2.7837000000000001</v>
      </c>
      <c r="M102" s="343" t="s">
        <v>1062</v>
      </c>
      <c r="N102" s="342">
        <f>$N$29</f>
        <v>5.4090999999999996</v>
      </c>
      <c r="O102" s="343" t="s">
        <v>1062</v>
      </c>
      <c r="P102" s="342">
        <f ca="1">R102-L102-N102</f>
        <v>13.854521912263003</v>
      </c>
      <c r="Q102" s="356" t="s">
        <v>1062</v>
      </c>
      <c r="R102" s="344">
        <f>ROUND(G102*(1+$AC$17),$AC$8)</f>
        <v>22.047321912263001</v>
      </c>
      <c r="S102" s="356" t="s">
        <v>1062</v>
      </c>
      <c r="T102" s="325">
        <f ca="1">ROUND($E102*L102/100,0)</f>
        <v>5754</v>
      </c>
      <c r="U102" s="345"/>
      <c r="V102" s="325">
        <f>ROUND($E102*N102/100,0)</f>
        <v>11181</v>
      </c>
      <c r="W102" s="345"/>
      <c r="X102" s="325">
        <f ca="1">ROUND($E102*P102/100,0)</f>
        <v>28637</v>
      </c>
      <c r="Y102" s="345"/>
      <c r="Z102" s="325">
        <f>ROUND($E102*R102/100,0)</f>
        <v>45572</v>
      </c>
      <c r="AA102" s="329"/>
    </row>
    <row r="103" spans="1:29" s="305" customFormat="1">
      <c r="B103" s="353" t="s">
        <v>1086</v>
      </c>
      <c r="D103" s="355">
        <f>'[7]123'!Z17</f>
        <v>1067463</v>
      </c>
      <c r="E103" s="293">
        <f>ROUND(D103/($D$111-$D$108)*$E$111,0)</f>
        <v>963611</v>
      </c>
      <c r="G103" s="344">
        <v>6.7881</v>
      </c>
      <c r="H103" s="356" t="s">
        <v>1062</v>
      </c>
      <c r="I103" s="325">
        <f>ROUND($G103*D103/100,0)</f>
        <v>72460</v>
      </c>
      <c r="J103" s="325">
        <f>ROUND($G103*E103/100,0)</f>
        <v>65411</v>
      </c>
      <c r="L103" s="342">
        <f ca="1">$L$29</f>
        <v>2.7837000000000001</v>
      </c>
      <c r="M103" s="343" t="s">
        <v>1062</v>
      </c>
      <c r="N103" s="342">
        <f ca="1">R103-L103-P103</f>
        <v>3.9348664013209995</v>
      </c>
      <c r="O103" s="343" t="s">
        <v>1062</v>
      </c>
      <c r="P103" s="342">
        <v>0</v>
      </c>
      <c r="Q103" s="356" t="s">
        <v>1062</v>
      </c>
      <c r="R103" s="344">
        <f>ROUND(G103*(1+$AC$17),$AC$8)</f>
        <v>6.7185664013209996</v>
      </c>
      <c r="S103" s="356" t="s">
        <v>1062</v>
      </c>
      <c r="T103" s="325">
        <f ca="1">ROUND($E103*L103/100,0)</f>
        <v>26824</v>
      </c>
      <c r="U103" s="345"/>
      <c r="V103" s="325">
        <f ca="1">ROUND($E103*N103/100,0)</f>
        <v>37917</v>
      </c>
      <c r="W103" s="345"/>
      <c r="X103" s="325">
        <f>ROUND($E103*P103/100,0)</f>
        <v>0</v>
      </c>
      <c r="Y103" s="345"/>
      <c r="Z103" s="325">
        <f>ROUND($E103*R103/100,0)</f>
        <v>64741</v>
      </c>
      <c r="AA103" s="329"/>
    </row>
    <row r="104" spans="1:29" s="305" customFormat="1">
      <c r="B104" s="353" t="s">
        <v>1087</v>
      </c>
      <c r="D104" s="355"/>
      <c r="E104" s="355"/>
      <c r="G104" s="324"/>
      <c r="H104" s="324"/>
      <c r="I104" s="325"/>
      <c r="J104" s="325"/>
      <c r="L104" s="324"/>
      <c r="M104" s="324"/>
      <c r="N104" s="324"/>
      <c r="O104" s="324"/>
      <c r="P104" s="324"/>
      <c r="Q104" s="324"/>
      <c r="R104" s="324"/>
      <c r="S104" s="324"/>
      <c r="T104" s="325"/>
      <c r="U104" s="326"/>
      <c r="V104" s="325"/>
      <c r="W104" s="326"/>
      <c r="X104" s="325"/>
      <c r="Y104" s="326"/>
      <c r="Z104" s="325"/>
      <c r="AA104" s="329"/>
    </row>
    <row r="105" spans="1:29" s="305" customFormat="1">
      <c r="B105" s="353" t="s">
        <v>1085</v>
      </c>
      <c r="D105" s="355">
        <f>'[7]123'!AA17</f>
        <v>384603</v>
      </c>
      <c r="E105" s="293">
        <f t="shared" ref="E105:E106" si="38">ROUND(D105/($D$111-$D$108)*$E$111,0)</f>
        <v>347186</v>
      </c>
      <c r="G105" s="344">
        <v>34.375300000000003</v>
      </c>
      <c r="H105" s="356" t="s">
        <v>1062</v>
      </c>
      <c r="I105" s="325">
        <f t="shared" ref="I105:J107" si="39">ROUND($G105*D105/100,0)</f>
        <v>132208</v>
      </c>
      <c r="J105" s="325">
        <f t="shared" si="39"/>
        <v>119346</v>
      </c>
      <c r="L105" s="342">
        <f t="shared" ref="L105:L106" ca="1" si="40">$L$29</f>
        <v>2.7837000000000001</v>
      </c>
      <c r="M105" s="343" t="s">
        <v>1062</v>
      </c>
      <c r="N105" s="342">
        <f>$N$29</f>
        <v>5.4090999999999996</v>
      </c>
      <c r="O105" s="343" t="s">
        <v>1062</v>
      </c>
      <c r="P105" s="342">
        <f t="shared" ref="P105" ca="1" si="41">R105-L105-N105</f>
        <v>25.830378152257005</v>
      </c>
      <c r="Q105" s="356" t="s">
        <v>1062</v>
      </c>
      <c r="R105" s="344">
        <f>ROUND(G105*(1+$AC$17),$AC$8)</f>
        <v>34.023178152257003</v>
      </c>
      <c r="S105" s="356" t="s">
        <v>1062</v>
      </c>
      <c r="T105" s="325">
        <f t="shared" ref="T105:T107" ca="1" si="42">ROUND($E105*L105/100,0)</f>
        <v>9665</v>
      </c>
      <c r="U105" s="345"/>
      <c r="V105" s="325">
        <f t="shared" ref="V105:V107" si="43">ROUND($E105*N105/100,0)</f>
        <v>18780</v>
      </c>
      <c r="W105" s="345"/>
      <c r="X105" s="325">
        <f t="shared" ref="X105:Z107" ca="1" si="44">ROUND($E105*P105/100,0)</f>
        <v>89679</v>
      </c>
      <c r="Y105" s="345"/>
      <c r="Z105" s="325">
        <f t="shared" si="44"/>
        <v>118124</v>
      </c>
      <c r="AA105" s="329"/>
    </row>
    <row r="106" spans="1:29" s="305" customFormat="1">
      <c r="B106" s="353" t="s">
        <v>1086</v>
      </c>
      <c r="D106" s="355">
        <f>'[7]123'!AB17</f>
        <v>2360279</v>
      </c>
      <c r="E106" s="293">
        <f t="shared" si="38"/>
        <v>2130652</v>
      </c>
      <c r="G106" s="344">
        <v>3.4003000000000001</v>
      </c>
      <c r="H106" s="356" t="s">
        <v>1062</v>
      </c>
      <c r="I106" s="325">
        <f t="shared" si="39"/>
        <v>80257</v>
      </c>
      <c r="J106" s="325">
        <f t="shared" si="39"/>
        <v>72449</v>
      </c>
      <c r="L106" s="342">
        <f t="shared" ca="1" si="40"/>
        <v>2.7837000000000001</v>
      </c>
      <c r="M106" s="343" t="s">
        <v>1062</v>
      </c>
      <c r="N106" s="342">
        <f ca="1">R106-L106-P106</f>
        <v>0.58176917906500014</v>
      </c>
      <c r="O106" s="343" t="s">
        <v>1062</v>
      </c>
      <c r="P106" s="342">
        <v>0</v>
      </c>
      <c r="Q106" s="356" t="s">
        <v>1062</v>
      </c>
      <c r="R106" s="344">
        <f>ROUND(G106*(1+$AC$17),$AC$8)</f>
        <v>3.3654691790650002</v>
      </c>
      <c r="S106" s="356" t="s">
        <v>1062</v>
      </c>
      <c r="T106" s="325">
        <f t="shared" ca="1" si="42"/>
        <v>59311</v>
      </c>
      <c r="U106" s="345"/>
      <c r="V106" s="325">
        <f t="shared" ca="1" si="43"/>
        <v>12395</v>
      </c>
      <c r="W106" s="345"/>
      <c r="X106" s="325">
        <f t="shared" si="44"/>
        <v>0</v>
      </c>
      <c r="Y106" s="345"/>
      <c r="Z106" s="325">
        <f t="shared" si="44"/>
        <v>71706</v>
      </c>
      <c r="AA106" s="329"/>
    </row>
    <row r="107" spans="1:29" s="305" customFormat="1">
      <c r="B107" s="353" t="s">
        <v>1088</v>
      </c>
      <c r="C107" s="354"/>
      <c r="D107" s="355">
        <f>'[7]123'!X17</f>
        <v>0</v>
      </c>
      <c r="E107" s="293">
        <f>ROUND(D107/($D$111-$D$108)*$E$111,0)</f>
        <v>0</v>
      </c>
      <c r="F107" s="354"/>
      <c r="G107" s="351">
        <v>11.7033</v>
      </c>
      <c r="H107" s="356" t="s">
        <v>1062</v>
      </c>
      <c r="I107" s="325">
        <f t="shared" si="39"/>
        <v>0</v>
      </c>
      <c r="J107" s="325">
        <f t="shared" si="39"/>
        <v>0</v>
      </c>
      <c r="K107" s="354"/>
      <c r="L107" s="342">
        <f ca="1">L41</f>
        <v>2.7837000000000001</v>
      </c>
      <c r="M107" s="343" t="s">
        <v>1062</v>
      </c>
      <c r="N107" s="342">
        <f>N41</f>
        <v>7.7249999999999996</v>
      </c>
      <c r="O107" s="343" t="s">
        <v>1062</v>
      </c>
      <c r="P107" s="342">
        <f ca="1">P41</f>
        <v>0</v>
      </c>
      <c r="Q107" s="356" t="s">
        <v>1062</v>
      </c>
      <c r="R107" s="351">
        <f>R41</f>
        <v>10.508699999999999</v>
      </c>
      <c r="S107" s="356" t="s">
        <v>1062</v>
      </c>
      <c r="T107" s="325">
        <f t="shared" ca="1" si="42"/>
        <v>0</v>
      </c>
      <c r="U107" s="345"/>
      <c r="V107" s="325">
        <f t="shared" si="43"/>
        <v>0</v>
      </c>
      <c r="W107" s="345"/>
      <c r="X107" s="325">
        <f t="shared" ca="1" si="44"/>
        <v>0</v>
      </c>
      <c r="Y107" s="345"/>
      <c r="Z107" s="325">
        <f t="shared" si="44"/>
        <v>0</v>
      </c>
      <c r="AA107" s="329"/>
      <c r="AB107" s="305" t="s">
        <v>1058</v>
      </c>
      <c r="AC107" s="341">
        <f>ROUND(E111/(E85),0)</f>
        <v>1172</v>
      </c>
    </row>
    <row r="108" spans="1:29" s="305" customFormat="1">
      <c r="B108" s="353" t="s">
        <v>1078</v>
      </c>
      <c r="D108" s="371">
        <f>'[7]Table 2'!J14</f>
        <v>22863</v>
      </c>
      <c r="E108" s="371">
        <v>0</v>
      </c>
      <c r="I108" s="372">
        <f>'[7]Table 3'!F14</f>
        <v>2105</v>
      </c>
      <c r="J108" s="358">
        <v>0</v>
      </c>
      <c r="T108" s="325"/>
      <c r="U108" s="325"/>
      <c r="V108" s="325"/>
      <c r="W108" s="325"/>
      <c r="X108" s="325"/>
      <c r="Y108" s="325"/>
      <c r="Z108" s="358"/>
      <c r="AA108" s="329"/>
      <c r="AB108" s="305" t="s">
        <v>1060</v>
      </c>
      <c r="AC108" s="341">
        <f>AC107</f>
        <v>1172</v>
      </c>
    </row>
    <row r="109" spans="1:29">
      <c r="B109" s="317" t="s">
        <v>1079</v>
      </c>
      <c r="G109" s="338">
        <v>-3.9100000000000003E-2</v>
      </c>
      <c r="H109" s="339"/>
      <c r="I109" s="294">
        <f>SUM(I102:I103,I105:I107)*$G109</f>
        <v>-13134.902100000001</v>
      </c>
      <c r="J109" s="294">
        <f>SUM(J102:J103,J105:J107)*$G109</f>
        <v>-11857.035900000001</v>
      </c>
      <c r="L109" s="338"/>
      <c r="M109" s="339"/>
      <c r="N109" s="338"/>
      <c r="O109" s="339"/>
      <c r="P109" s="359" t="str">
        <f>$P$43</f>
        <v>Tax Year 1</v>
      </c>
      <c r="Q109" s="339"/>
      <c r="R109" s="338">
        <f>$R$43</f>
        <v>-2.76E-2</v>
      </c>
      <c r="S109" s="339"/>
      <c r="Z109" s="294">
        <f>R109*SUM(Z102:Z107)</f>
        <v>-8283.9467999999997</v>
      </c>
      <c r="AB109" s="305" t="s">
        <v>1063</v>
      </c>
      <c r="AC109" s="341">
        <f>AC107</f>
        <v>1172</v>
      </c>
    </row>
    <row r="110" spans="1:29">
      <c r="B110" s="353" t="s">
        <v>1082</v>
      </c>
      <c r="D110" s="293">
        <f>'[7]123'!AX17</f>
        <v>0</v>
      </c>
      <c r="E110" s="293">
        <f>ROUND(D110/($D$111-$D$108)*$E$111,0)</f>
        <v>0</v>
      </c>
      <c r="G110" s="338"/>
      <c r="H110" s="339"/>
      <c r="L110" s="338"/>
      <c r="M110" s="339"/>
      <c r="N110" s="338"/>
      <c r="O110" s="339"/>
      <c r="P110" s="359" t="str">
        <f>$P$44</f>
        <v>Tax Year 2</v>
      </c>
      <c r="Q110" s="339"/>
      <c r="R110" s="338">
        <f>$R$44</f>
        <v>-1.38E-2</v>
      </c>
      <c r="S110" s="339"/>
      <c r="Z110" s="294">
        <f>R110*SUM(Z102:Z107)</f>
        <v>-4141.9733999999999</v>
      </c>
      <c r="AB110" s="305"/>
      <c r="AC110" s="305"/>
    </row>
    <row r="111" spans="1:29" s="305" customFormat="1" ht="16.5" thickBot="1">
      <c r="A111" s="305">
        <v>1</v>
      </c>
      <c r="B111" s="353" t="s">
        <v>937</v>
      </c>
      <c r="D111" s="373">
        <f>SUM(D102:D107,D108)</f>
        <v>4064184</v>
      </c>
      <c r="E111" s="373">
        <f>[7]Energy!P8-Blocking!E82</f>
        <v>3648148.0452160826</v>
      </c>
      <c r="G111" s="374"/>
      <c r="I111" s="375">
        <f>SUM(I86:I109)</f>
        <v>344576.09789999999</v>
      </c>
      <c r="J111" s="375">
        <f>SUM(J86:J109)</f>
        <v>310075.96409999998</v>
      </c>
      <c r="L111" s="374"/>
      <c r="N111" s="374"/>
      <c r="P111" s="368"/>
      <c r="Q111" s="292"/>
      <c r="R111" s="368"/>
      <c r="S111" s="292"/>
      <c r="T111" s="364">
        <f ca="1">SUM(T87:T108)</f>
        <v>131930</v>
      </c>
      <c r="U111" s="294"/>
      <c r="V111" s="364">
        <f ca="1">SUM(V87:V108)</f>
        <v>80273</v>
      </c>
      <c r="W111" s="294"/>
      <c r="X111" s="364">
        <f ca="1">SUM(X87:X108)</f>
        <v>118316</v>
      </c>
      <c r="Y111" s="294"/>
      <c r="Z111" s="364">
        <f>SUM(Z87:Z108)</f>
        <v>330519</v>
      </c>
      <c r="AA111" s="329"/>
      <c r="AB111" s="305" t="s">
        <v>939</v>
      </c>
      <c r="AC111" s="304">
        <f>Z111/J111-1</f>
        <v>6.5929121463303986E-2</v>
      </c>
    </row>
    <row r="112" spans="1:29" s="305" customFormat="1" ht="16.5" thickTop="1">
      <c r="A112" s="305">
        <v>1</v>
      </c>
      <c r="D112" s="355"/>
      <c r="E112" s="355"/>
      <c r="I112" s="325"/>
      <c r="J112" s="325"/>
      <c r="T112" s="325"/>
      <c r="U112" s="325"/>
      <c r="V112" s="325"/>
      <c r="W112" s="325"/>
      <c r="X112" s="325"/>
      <c r="Y112" s="325"/>
      <c r="Z112" s="325"/>
      <c r="AA112" s="329"/>
    </row>
    <row r="113" spans="1:26">
      <c r="A113" s="292">
        <v>1</v>
      </c>
      <c r="B113" s="314" t="s">
        <v>941</v>
      </c>
    </row>
    <row r="114" spans="1:26">
      <c r="B114" s="317" t="s">
        <v>1041</v>
      </c>
      <c r="D114" s="293">
        <f>'[7]123'!F18</f>
        <v>253674.66666666619</v>
      </c>
      <c r="E114" s="293">
        <f>[7]Bill!P9</f>
        <v>216323</v>
      </c>
      <c r="G114" s="318"/>
      <c r="H114" s="318"/>
      <c r="L114" s="318"/>
      <c r="M114" s="318"/>
      <c r="N114" s="318"/>
      <c r="O114" s="318"/>
      <c r="P114" s="318"/>
      <c r="Q114" s="318"/>
      <c r="R114" s="318"/>
      <c r="S114" s="318"/>
      <c r="T114" s="319"/>
      <c r="U114" s="319"/>
      <c r="V114" s="319"/>
      <c r="W114" s="319"/>
      <c r="X114" s="319"/>
      <c r="Y114" s="319"/>
    </row>
    <row r="115" spans="1:26">
      <c r="B115" s="317" t="s">
        <v>1043</v>
      </c>
      <c r="D115" s="293">
        <f>'[7]123'!G18</f>
        <v>253474.43333333288</v>
      </c>
      <c r="E115" s="293">
        <f>ROUND(D115/$D$114*$E$114,0)</f>
        <v>216152</v>
      </c>
      <c r="G115" s="318">
        <v>6</v>
      </c>
      <c r="H115" s="318"/>
      <c r="I115" s="294">
        <f t="shared" ref="I115:J129" si="45">ROUND($G115*D115,0)</f>
        <v>1520847</v>
      </c>
      <c r="J115" s="294">
        <f t="shared" si="45"/>
        <v>1296912</v>
      </c>
      <c r="L115" s="318"/>
      <c r="M115" s="318"/>
      <c r="N115" s="318"/>
      <c r="O115" s="318"/>
      <c r="P115" s="318"/>
      <c r="Q115" s="318"/>
      <c r="R115" s="318"/>
      <c r="S115" s="318"/>
      <c r="T115" s="319"/>
      <c r="U115" s="319"/>
      <c r="V115" s="319"/>
      <c r="W115" s="319"/>
      <c r="X115" s="319"/>
      <c r="Y115" s="319"/>
    </row>
    <row r="116" spans="1:26">
      <c r="B116" s="317" t="s">
        <v>1045</v>
      </c>
      <c r="D116" s="293">
        <f>D115-D117</f>
        <v>132873.89999999944</v>
      </c>
      <c r="E116" s="293">
        <f>E115-E117</f>
        <v>113309</v>
      </c>
      <c r="G116" s="318"/>
      <c r="H116" s="318"/>
      <c r="L116" s="318">
        <f>L13</f>
        <v>10</v>
      </c>
      <c r="M116" s="318"/>
      <c r="N116" s="318">
        <f>N13</f>
        <v>0</v>
      </c>
      <c r="O116" s="318"/>
      <c r="P116" s="318">
        <f>P13</f>
        <v>0</v>
      </c>
      <c r="Q116" s="318"/>
      <c r="R116" s="318">
        <f>R13</f>
        <v>10</v>
      </c>
      <c r="S116" s="318"/>
      <c r="T116" s="294">
        <f>ROUND($E116*L116,0)</f>
        <v>1133090</v>
      </c>
      <c r="U116" s="319"/>
      <c r="V116" s="294">
        <f>ROUND($E116*N116,0)</f>
        <v>0</v>
      </c>
      <c r="W116" s="319"/>
      <c r="X116" s="294">
        <f>ROUND($E116*P116,0)</f>
        <v>0</v>
      </c>
      <c r="Y116" s="319"/>
      <c r="Z116" s="294">
        <f>ROUND($E116*R116,0)</f>
        <v>1133090</v>
      </c>
    </row>
    <row r="117" spans="1:26">
      <c r="B117" s="317" t="s">
        <v>1046</v>
      </c>
      <c r="D117" s="293">
        <f>'[7]123'!AN18</f>
        <v>120600.53333333343</v>
      </c>
      <c r="E117" s="293">
        <f>ROUND(D117/D115*E115,0)</f>
        <v>102843</v>
      </c>
      <c r="G117" s="318"/>
      <c r="H117" s="318"/>
      <c r="L117" s="318">
        <f>L14</f>
        <v>6</v>
      </c>
      <c r="M117" s="318"/>
      <c r="N117" s="318">
        <f>N14</f>
        <v>0</v>
      </c>
      <c r="O117" s="318"/>
      <c r="P117" s="318">
        <f>P14</f>
        <v>0</v>
      </c>
      <c r="Q117" s="318"/>
      <c r="R117" s="318">
        <f>R14</f>
        <v>6</v>
      </c>
      <c r="S117" s="318"/>
      <c r="T117" s="294">
        <f>ROUND($E117*L117,0)</f>
        <v>617058</v>
      </c>
      <c r="U117" s="319"/>
      <c r="V117" s="294">
        <f>ROUND($E117*N117,0)</f>
        <v>0</v>
      </c>
      <c r="W117" s="319"/>
      <c r="X117" s="294">
        <f>ROUND($E117*P117,0)</f>
        <v>0</v>
      </c>
      <c r="Y117" s="319"/>
      <c r="Z117" s="294">
        <f>ROUND($E117*R117,0)</f>
        <v>617058</v>
      </c>
    </row>
    <row r="118" spans="1:26">
      <c r="B118" s="317" t="s">
        <v>1047</v>
      </c>
      <c r="D118" s="293">
        <f>'[7]123'!H18</f>
        <v>200.23333333333329</v>
      </c>
      <c r="E118" s="293">
        <f>E114-E115</f>
        <v>171</v>
      </c>
      <c r="G118" s="318">
        <v>12</v>
      </c>
      <c r="H118" s="318"/>
      <c r="I118" s="294">
        <f t="shared" si="45"/>
        <v>2403</v>
      </c>
      <c r="J118" s="294">
        <f t="shared" si="45"/>
        <v>2052</v>
      </c>
      <c r="L118" s="318"/>
      <c r="M118" s="318"/>
      <c r="N118" s="318"/>
      <c r="O118" s="318"/>
      <c r="P118" s="318"/>
      <c r="Q118" s="318"/>
      <c r="R118" s="318"/>
      <c r="S118" s="318"/>
      <c r="U118" s="319"/>
      <c r="W118" s="319"/>
      <c r="Y118" s="319"/>
    </row>
    <row r="119" spans="1:26">
      <c r="B119" s="317" t="s">
        <v>1045</v>
      </c>
      <c r="D119" s="293">
        <f>D118-D120</f>
        <v>31.833333333333286</v>
      </c>
      <c r="E119" s="293">
        <f>E118-E120</f>
        <v>27</v>
      </c>
      <c r="G119" s="318"/>
      <c r="H119" s="318"/>
      <c r="L119" s="318">
        <f>L16</f>
        <v>20</v>
      </c>
      <c r="M119" s="318"/>
      <c r="N119" s="318">
        <f>N16</f>
        <v>0</v>
      </c>
      <c r="O119" s="318"/>
      <c r="P119" s="318">
        <f>P16</f>
        <v>0</v>
      </c>
      <c r="Q119" s="318"/>
      <c r="R119" s="318">
        <f>R16</f>
        <v>20</v>
      </c>
      <c r="S119" s="318"/>
      <c r="T119" s="294">
        <f t="shared" ref="T119:T122" si="46">ROUND($E119*L119,0)</f>
        <v>540</v>
      </c>
      <c r="U119" s="319"/>
      <c r="V119" s="294">
        <f t="shared" ref="V119:V122" si="47">ROUND($E119*N119,0)</f>
        <v>0</v>
      </c>
      <c r="W119" s="319"/>
      <c r="X119" s="294">
        <f t="shared" ref="X119:Z122" si="48">ROUND($E119*P119,0)</f>
        <v>0</v>
      </c>
      <c r="Y119" s="319"/>
      <c r="Z119" s="294">
        <f t="shared" si="48"/>
        <v>540</v>
      </c>
    </row>
    <row r="120" spans="1:26">
      <c r="B120" s="317" t="s">
        <v>1046</v>
      </c>
      <c r="D120" s="293">
        <f>'[7]123'!AO18</f>
        <v>168.4</v>
      </c>
      <c r="E120" s="293">
        <f>ROUND(D120/D118*E118,0)</f>
        <v>144</v>
      </c>
      <c r="G120" s="318"/>
      <c r="H120" s="318"/>
      <c r="L120" s="318">
        <f>L17</f>
        <v>12</v>
      </c>
      <c r="M120" s="318"/>
      <c r="N120" s="318">
        <f>N17</f>
        <v>0</v>
      </c>
      <c r="O120" s="318"/>
      <c r="P120" s="318">
        <f>P17</f>
        <v>0</v>
      </c>
      <c r="Q120" s="318"/>
      <c r="R120" s="318">
        <f>R17</f>
        <v>12</v>
      </c>
      <c r="S120" s="318"/>
      <c r="T120" s="294">
        <f t="shared" si="46"/>
        <v>1728</v>
      </c>
      <c r="U120" s="319"/>
      <c r="V120" s="294">
        <f t="shared" si="47"/>
        <v>0</v>
      </c>
      <c r="W120" s="319"/>
      <c r="X120" s="294">
        <f t="shared" si="48"/>
        <v>0</v>
      </c>
      <c r="Y120" s="319"/>
      <c r="Z120" s="294">
        <f t="shared" si="48"/>
        <v>1728</v>
      </c>
    </row>
    <row r="121" spans="1:26">
      <c r="B121" s="317" t="s">
        <v>1050</v>
      </c>
      <c r="D121" s="293">
        <f>'[7]123'!AE18</f>
        <v>0</v>
      </c>
      <c r="E121" s="293">
        <f t="shared" ref="E121:E129" si="49">ROUND(D121/$D$114*$E$114,0)</f>
        <v>0</v>
      </c>
      <c r="G121" s="318">
        <v>2</v>
      </c>
      <c r="H121" s="318"/>
      <c r="I121" s="294">
        <f t="shared" si="45"/>
        <v>0</v>
      </c>
      <c r="J121" s="294">
        <f t="shared" si="45"/>
        <v>0</v>
      </c>
      <c r="L121" s="318">
        <f t="shared" ref="L121:L122" si="50">L18</f>
        <v>2</v>
      </c>
      <c r="M121" s="318"/>
      <c r="N121" s="318">
        <f t="shared" ref="N121:N122" si="51">N18</f>
        <v>0</v>
      </c>
      <c r="O121" s="318"/>
      <c r="P121" s="318">
        <f t="shared" ref="P121:P122" si="52">P18</f>
        <v>0</v>
      </c>
      <c r="Q121" s="318"/>
      <c r="R121" s="318">
        <f t="shared" ref="R121:R122" si="53">R18</f>
        <v>2</v>
      </c>
      <c r="S121" s="318"/>
      <c r="T121" s="294">
        <f t="shared" si="46"/>
        <v>0</v>
      </c>
      <c r="U121" s="319"/>
      <c r="V121" s="294">
        <f t="shared" si="47"/>
        <v>0</v>
      </c>
      <c r="W121" s="319"/>
      <c r="X121" s="294">
        <f t="shared" si="48"/>
        <v>0</v>
      </c>
      <c r="Y121" s="319"/>
      <c r="Z121" s="294">
        <f t="shared" si="48"/>
        <v>0</v>
      </c>
    </row>
    <row r="122" spans="1:26">
      <c r="B122" s="317" t="s">
        <v>1052</v>
      </c>
      <c r="D122" s="293">
        <f>'[7]123'!AM18</f>
        <v>0</v>
      </c>
      <c r="E122" s="293">
        <f t="shared" si="49"/>
        <v>0</v>
      </c>
      <c r="G122" s="318">
        <v>22</v>
      </c>
      <c r="H122" s="318"/>
      <c r="I122" s="294">
        <f t="shared" si="45"/>
        <v>0</v>
      </c>
      <c r="J122" s="294">
        <f t="shared" si="45"/>
        <v>0</v>
      </c>
      <c r="L122" s="318">
        <f t="shared" si="50"/>
        <v>22</v>
      </c>
      <c r="M122" s="318"/>
      <c r="N122" s="318">
        <f t="shared" si="51"/>
        <v>0</v>
      </c>
      <c r="O122" s="318"/>
      <c r="P122" s="318">
        <f t="shared" si="52"/>
        <v>0</v>
      </c>
      <c r="Q122" s="318"/>
      <c r="R122" s="318">
        <f t="shared" si="53"/>
        <v>22</v>
      </c>
      <c r="S122" s="318"/>
      <c r="T122" s="294">
        <f t="shared" si="46"/>
        <v>0</v>
      </c>
      <c r="U122" s="319"/>
      <c r="V122" s="294">
        <f t="shared" si="47"/>
        <v>0</v>
      </c>
      <c r="W122" s="319"/>
      <c r="X122" s="294">
        <f t="shared" si="48"/>
        <v>0</v>
      </c>
      <c r="Y122" s="319"/>
      <c r="Z122" s="294">
        <f t="shared" si="48"/>
        <v>0</v>
      </c>
    </row>
    <row r="123" spans="1:26">
      <c r="B123" s="317" t="s">
        <v>1054</v>
      </c>
      <c r="D123" s="293">
        <f>'[7]123'!I18</f>
        <v>52.0625</v>
      </c>
      <c r="E123" s="293">
        <f t="shared" si="49"/>
        <v>44</v>
      </c>
      <c r="G123" s="318">
        <v>8</v>
      </c>
      <c r="H123" s="318"/>
      <c r="I123" s="294">
        <f t="shared" si="45"/>
        <v>417</v>
      </c>
      <c r="J123" s="294">
        <f t="shared" si="45"/>
        <v>352</v>
      </c>
      <c r="L123" s="318"/>
      <c r="M123" s="318"/>
      <c r="N123" s="318"/>
      <c r="O123" s="318"/>
      <c r="P123" s="318"/>
      <c r="Q123" s="318"/>
      <c r="R123" s="318"/>
      <c r="S123" s="318"/>
      <c r="U123" s="319"/>
      <c r="W123" s="319"/>
      <c r="Y123" s="319"/>
    </row>
    <row r="124" spans="1:26">
      <c r="B124" s="317" t="s">
        <v>1045</v>
      </c>
      <c r="D124" s="293">
        <f>D123-D125</f>
        <v>31.193750000000001</v>
      </c>
      <c r="E124" s="293">
        <f>E123-E125</f>
        <v>26</v>
      </c>
      <c r="G124" s="318"/>
      <c r="H124" s="318"/>
      <c r="L124" s="318"/>
      <c r="M124" s="318"/>
      <c r="N124" s="318"/>
      <c r="O124" s="318"/>
      <c r="P124" s="318"/>
      <c r="Q124" s="318"/>
      <c r="R124" s="318"/>
      <c r="S124" s="318"/>
      <c r="U124" s="319"/>
      <c r="W124" s="319"/>
      <c r="Y124" s="319"/>
    </row>
    <row r="125" spans="1:26">
      <c r="B125" s="317" t="s">
        <v>1046</v>
      </c>
      <c r="D125" s="293">
        <f>'[7]123'!AP18</f>
        <v>20.868749999999999</v>
      </c>
      <c r="E125" s="293">
        <f>ROUND(D125/D123*E123,0)</f>
        <v>18</v>
      </c>
      <c r="G125" s="318"/>
      <c r="H125" s="318"/>
      <c r="L125" s="318"/>
      <c r="M125" s="318"/>
      <c r="N125" s="318"/>
      <c r="O125" s="318"/>
      <c r="P125" s="318"/>
      <c r="Q125" s="318"/>
      <c r="R125" s="318"/>
      <c r="S125" s="318"/>
      <c r="U125" s="319"/>
      <c r="W125" s="319"/>
      <c r="Y125" s="319"/>
    </row>
    <row r="126" spans="1:26">
      <c r="B126" s="317" t="s">
        <v>1056</v>
      </c>
      <c r="D126" s="293">
        <f>'[7]123'!J18</f>
        <v>0</v>
      </c>
      <c r="E126" s="293">
        <f t="shared" si="49"/>
        <v>0</v>
      </c>
      <c r="G126" s="318">
        <v>16</v>
      </c>
      <c r="H126" s="318"/>
      <c r="I126" s="294">
        <f t="shared" si="45"/>
        <v>0</v>
      </c>
      <c r="J126" s="294">
        <f t="shared" si="45"/>
        <v>0</v>
      </c>
      <c r="L126" s="318"/>
      <c r="M126" s="318"/>
      <c r="N126" s="318"/>
      <c r="O126" s="318"/>
      <c r="P126" s="318"/>
      <c r="Q126" s="318"/>
      <c r="R126" s="318"/>
      <c r="S126" s="318"/>
      <c r="U126" s="319"/>
      <c r="W126" s="319"/>
      <c r="Y126" s="319"/>
    </row>
    <row r="127" spans="1:26">
      <c r="B127" s="317" t="s">
        <v>1045</v>
      </c>
      <c r="D127" s="293">
        <f>D126-D128</f>
        <v>0</v>
      </c>
      <c r="G127" s="318"/>
      <c r="H127" s="318"/>
      <c r="L127" s="318"/>
      <c r="M127" s="318"/>
      <c r="N127" s="318"/>
      <c r="O127" s="318"/>
      <c r="P127" s="318"/>
      <c r="Q127" s="318"/>
      <c r="R127" s="318"/>
      <c r="S127" s="318"/>
      <c r="U127" s="319"/>
      <c r="W127" s="319"/>
      <c r="Y127" s="319"/>
    </row>
    <row r="128" spans="1:26">
      <c r="B128" s="317" t="s">
        <v>1046</v>
      </c>
      <c r="D128" s="293">
        <f>'[7]123'!AQ18</f>
        <v>0</v>
      </c>
      <c r="G128" s="318"/>
      <c r="H128" s="318"/>
      <c r="L128" s="318"/>
      <c r="M128" s="318"/>
      <c r="N128" s="318"/>
      <c r="O128" s="318"/>
      <c r="P128" s="318"/>
      <c r="Q128" s="318"/>
      <c r="R128" s="318"/>
      <c r="S128" s="318"/>
      <c r="U128" s="319"/>
      <c r="W128" s="319"/>
      <c r="Y128" s="319"/>
    </row>
    <row r="129" spans="2:29">
      <c r="B129" s="317" t="s">
        <v>1059</v>
      </c>
      <c r="D129" s="293">
        <f>'[7]123'!AL18</f>
        <v>0</v>
      </c>
      <c r="E129" s="293">
        <f t="shared" si="49"/>
        <v>0</v>
      </c>
      <c r="G129" s="318">
        <v>96</v>
      </c>
      <c r="H129" s="318"/>
      <c r="I129" s="294">
        <f t="shared" si="45"/>
        <v>0</v>
      </c>
      <c r="J129" s="294">
        <f t="shared" si="45"/>
        <v>0</v>
      </c>
      <c r="L129" s="318"/>
      <c r="M129" s="318"/>
      <c r="N129" s="318"/>
      <c r="O129" s="318"/>
      <c r="P129" s="318"/>
      <c r="Q129" s="318"/>
      <c r="R129" s="318"/>
      <c r="S129" s="318"/>
      <c r="U129" s="319"/>
      <c r="W129" s="319"/>
      <c r="Y129" s="319"/>
      <c r="AB129" s="305"/>
      <c r="AC129" s="341"/>
    </row>
    <row r="130" spans="2:29">
      <c r="B130" s="317" t="s">
        <v>1061</v>
      </c>
      <c r="D130" s="293">
        <f>'[7]123'!S18+'[7]123May'!J18</f>
        <v>5837.0523614864096</v>
      </c>
      <c r="E130" s="293">
        <f>ROUND(D130/SUM($D$132:$D$134)*([7]Energy!$S$9-[7]Energy!$S$9/[7]Energy!$P$9*($E$144+$E$147)),0)</f>
        <v>5354</v>
      </c>
      <c r="G130" s="342">
        <v>4.3559999999999999</v>
      </c>
      <c r="H130" s="343" t="s">
        <v>1062</v>
      </c>
      <c r="L130" s="342">
        <f>L27</f>
        <v>0</v>
      </c>
      <c r="M130" s="343" t="s">
        <v>1062</v>
      </c>
      <c r="N130" s="342">
        <f>N27</f>
        <v>0</v>
      </c>
      <c r="O130" s="343" t="s">
        <v>1062</v>
      </c>
      <c r="P130" s="342">
        <f>P27</f>
        <v>4.3559999999999999</v>
      </c>
      <c r="Q130" s="343" t="s">
        <v>1062</v>
      </c>
      <c r="R130" s="342">
        <f t="shared" ref="R130:R136" si="54">R27</f>
        <v>4.3559999999999999</v>
      </c>
      <c r="S130" s="343" t="s">
        <v>1062</v>
      </c>
      <c r="T130" s="294">
        <f>ROUND($E130*L130/100,0)</f>
        <v>0</v>
      </c>
      <c r="U130" s="345"/>
      <c r="V130" s="294">
        <f>ROUND($E130*N130/100,0)</f>
        <v>0</v>
      </c>
      <c r="W130" s="345"/>
      <c r="X130" s="294">
        <f>ROUND($E130*P130/100,0)</f>
        <v>233</v>
      </c>
      <c r="Y130" s="346"/>
      <c r="Z130" s="294">
        <f>ROUND($E130*R130/100,0)</f>
        <v>233</v>
      </c>
      <c r="AB130" s="305"/>
      <c r="AC130" s="341"/>
    </row>
    <row r="131" spans="2:29">
      <c r="B131" s="317" t="s">
        <v>1064</v>
      </c>
      <c r="D131" s="293">
        <f>'[7]123'!T18+'[7]123May'!K18</f>
        <v>17041.938258663642</v>
      </c>
      <c r="E131" s="293">
        <f>ROUND(D131/SUM($D$132:$D$134)*([7]Energy!$S$9-[7]Energy!$S$9/[7]Energy!$P$9*($E$144+$E$147)),0)</f>
        <v>15633</v>
      </c>
      <c r="G131" s="342">
        <v>-1.6334</v>
      </c>
      <c r="H131" s="343" t="s">
        <v>1062</v>
      </c>
      <c r="L131" s="342">
        <f t="shared" ref="L131:L136" si="55">L28</f>
        <v>0</v>
      </c>
      <c r="M131" s="343" t="s">
        <v>1062</v>
      </c>
      <c r="N131" s="342">
        <f t="shared" ref="N131:N136" si="56">N28</f>
        <v>0</v>
      </c>
      <c r="O131" s="343" t="s">
        <v>1062</v>
      </c>
      <c r="P131" s="342">
        <f t="shared" ref="P131:P136" si="57">P28</f>
        <v>-1.6334</v>
      </c>
      <c r="Q131" s="343" t="s">
        <v>1062</v>
      </c>
      <c r="R131" s="342">
        <f t="shared" si="54"/>
        <v>-1.6334</v>
      </c>
      <c r="S131" s="343" t="s">
        <v>1062</v>
      </c>
      <c r="T131" s="294">
        <f>ROUND($E131*L131/100,0)</f>
        <v>0</v>
      </c>
      <c r="U131" s="345"/>
      <c r="V131" s="294">
        <f>ROUND($E131*N131/100,0)</f>
        <v>0</v>
      </c>
      <c r="W131" s="345"/>
      <c r="X131" s="294">
        <f>ROUND($E131*P131/100,0)</f>
        <v>-255</v>
      </c>
      <c r="Y131" s="346"/>
      <c r="Z131" s="294">
        <f>ROUND($E131*R131/100,0)</f>
        <v>-255</v>
      </c>
      <c r="AB131" s="305"/>
      <c r="AC131" s="341"/>
    </row>
    <row r="132" spans="2:29">
      <c r="B132" s="317" t="s">
        <v>1065</v>
      </c>
      <c r="D132" s="293">
        <f>'[7]123'!P18+'[7]123'!AG18+[7]TempRevMay!C318+'[7]123May'!G18+'[7]123May'!Q18</f>
        <v>28763017.41983372</v>
      </c>
      <c r="E132" s="293">
        <f>E148-SUM(E133:E136,E144:E147)</f>
        <v>26384767.707057878</v>
      </c>
      <c r="G132" s="350">
        <v>8.8498000000000001</v>
      </c>
      <c r="H132" s="343" t="s">
        <v>1062</v>
      </c>
      <c r="L132" s="342">
        <f t="shared" ca="1" si="55"/>
        <v>2.7837000000000001</v>
      </c>
      <c r="M132" s="343" t="s">
        <v>1062</v>
      </c>
      <c r="N132" s="342">
        <f t="shared" si="56"/>
        <v>5.4090999999999996</v>
      </c>
      <c r="O132" s="343" t="s">
        <v>1062</v>
      </c>
      <c r="P132" s="342">
        <f t="shared" ca="1" si="57"/>
        <v>1.3352230898834678</v>
      </c>
      <c r="Q132" s="343" t="s">
        <v>1062</v>
      </c>
      <c r="R132" s="342">
        <f t="shared" si="54"/>
        <v>9.528023089883467</v>
      </c>
      <c r="S132" s="343" t="s">
        <v>1062</v>
      </c>
      <c r="T132" s="294">
        <f t="shared" ref="T132:T136" ca="1" si="58">ROUND($E132*L132/100,0)</f>
        <v>734473</v>
      </c>
      <c r="U132" s="345"/>
      <c r="V132" s="294">
        <f t="shared" ref="V132:V136" si="59">ROUND($E132*N132/100,0)</f>
        <v>1427178</v>
      </c>
      <c r="W132" s="345"/>
      <c r="X132" s="294">
        <f t="shared" ref="X132:Z136" ca="1" si="60">ROUND($E132*P132/100,0)</f>
        <v>352296</v>
      </c>
      <c r="Y132" s="346"/>
      <c r="Z132" s="294">
        <f t="shared" si="60"/>
        <v>2513947</v>
      </c>
    </row>
    <row r="133" spans="2:29">
      <c r="B133" s="317" t="s">
        <v>1066</v>
      </c>
      <c r="D133" s="293">
        <f>'[7]123'!Q18+'[7]123'!AH18+[7]TempRevMay!C319+'[7]123May'!H18+'[7]123May'!R18</f>
        <v>19367224.039969891</v>
      </c>
      <c r="E133" s="293">
        <f>ROUND(D133/SUM($D$132:$D$134)*[7]Energy!$S$9*(1-1/[7]Energy!$P$9*($E$144+$E$147)),0)</f>
        <v>17765859</v>
      </c>
      <c r="G133" s="350">
        <v>11.542899999999999</v>
      </c>
      <c r="H133" s="343" t="s">
        <v>1062</v>
      </c>
      <c r="L133" s="342">
        <f t="shared" ca="1" si="55"/>
        <v>2.7837000000000001</v>
      </c>
      <c r="M133" s="343" t="s">
        <v>1062</v>
      </c>
      <c r="N133" s="342">
        <f t="shared" si="56"/>
        <v>5.4090999999999996</v>
      </c>
      <c r="O133" s="343" t="s">
        <v>1062</v>
      </c>
      <c r="P133" s="342">
        <f t="shared" ca="1" si="57"/>
        <v>4.0283230898834672</v>
      </c>
      <c r="Q133" s="343" t="s">
        <v>1062</v>
      </c>
      <c r="R133" s="342">
        <f t="shared" si="54"/>
        <v>12.221123089883466</v>
      </c>
      <c r="S133" s="343" t="s">
        <v>1062</v>
      </c>
      <c r="T133" s="294">
        <f t="shared" ca="1" si="58"/>
        <v>494548</v>
      </c>
      <c r="U133" s="345"/>
      <c r="V133" s="294">
        <f t="shared" si="59"/>
        <v>960973</v>
      </c>
      <c r="W133" s="345"/>
      <c r="X133" s="294">
        <f t="shared" ca="1" si="60"/>
        <v>715666</v>
      </c>
      <c r="Y133" s="346"/>
      <c r="Z133" s="294">
        <f t="shared" si="60"/>
        <v>2171187</v>
      </c>
    </row>
    <row r="134" spans="2:29">
      <c r="B134" s="317" t="s">
        <v>1067</v>
      </c>
      <c r="D134" s="293">
        <f>'[7]123'!R18+'[7]123'!AI18+[7]TempRevMay!C320+'[7]123May'!I18+'[7]123May'!S18</f>
        <v>6179565.4760957351</v>
      </c>
      <c r="E134" s="293">
        <f>ROUND(D134/SUM($D$132:$D$134)*[7]Energy!$S$9*(1-1/[7]Energy!$P$9*($E$144+$E$147)),0)</f>
        <v>5668613</v>
      </c>
      <c r="G134" s="350">
        <v>14.450799999999999</v>
      </c>
      <c r="H134" s="343" t="s">
        <v>1062</v>
      </c>
      <c r="L134" s="342">
        <f t="shared" ca="1" si="55"/>
        <v>2.7837000000000001</v>
      </c>
      <c r="M134" s="343" t="s">
        <v>1062</v>
      </c>
      <c r="N134" s="342">
        <f t="shared" si="56"/>
        <v>5.4090999999999996</v>
      </c>
      <c r="O134" s="343" t="s">
        <v>1062</v>
      </c>
      <c r="P134" s="342">
        <f t="shared" ca="1" si="57"/>
        <v>4.0283230898834672</v>
      </c>
      <c r="Q134" s="343" t="s">
        <v>1062</v>
      </c>
      <c r="R134" s="342">
        <f t="shared" si="54"/>
        <v>12.221123089883466</v>
      </c>
      <c r="S134" s="343" t="s">
        <v>1062</v>
      </c>
      <c r="T134" s="294">
        <f t="shared" ca="1" si="58"/>
        <v>157797</v>
      </c>
      <c r="U134" s="345"/>
      <c r="V134" s="294">
        <f t="shared" si="59"/>
        <v>306621</v>
      </c>
      <c r="W134" s="345"/>
      <c r="X134" s="294">
        <f t="shared" ca="1" si="60"/>
        <v>228350</v>
      </c>
      <c r="Y134" s="346"/>
      <c r="Z134" s="294">
        <f t="shared" si="60"/>
        <v>692768</v>
      </c>
    </row>
    <row r="135" spans="2:29">
      <c r="B135" s="317" t="s">
        <v>1068</v>
      </c>
      <c r="C135" s="349"/>
      <c r="D135" s="293">
        <f>'[7]123'!M18+'[7]123'!AJ18+[7]TempRevMay!C321+'[7]123May'!D18+'[7]123May'!T18</f>
        <v>59180887.474665888</v>
      </c>
      <c r="E135" s="293">
        <f>ROUND(D135/SUM($D$135:$D$136)*[7]Energy!$T$9*(1-1/[7]Energy!$P$9*($E$144+$E$147)),0)</f>
        <v>51185664</v>
      </c>
      <c r="F135" s="349"/>
      <c r="G135" s="350">
        <v>8.8498000000000001</v>
      </c>
      <c r="H135" s="343" t="s">
        <v>1062</v>
      </c>
      <c r="K135" s="349"/>
      <c r="L135" s="342">
        <f t="shared" ca="1" si="55"/>
        <v>2.7837000000000001</v>
      </c>
      <c r="M135" s="343" t="s">
        <v>1062</v>
      </c>
      <c r="N135" s="342">
        <f t="shared" si="56"/>
        <v>5.4090999999999996</v>
      </c>
      <c r="O135" s="343" t="s">
        <v>1062</v>
      </c>
      <c r="P135" s="342">
        <f t="shared" ca="1" si="57"/>
        <v>0.23907884060500084</v>
      </c>
      <c r="Q135" s="343" t="s">
        <v>1062</v>
      </c>
      <c r="R135" s="342">
        <f t="shared" si="54"/>
        <v>8.431878840605</v>
      </c>
      <c r="S135" s="343" t="s">
        <v>1062</v>
      </c>
      <c r="T135" s="294">
        <f t="shared" ca="1" si="58"/>
        <v>1424855</v>
      </c>
      <c r="U135" s="345"/>
      <c r="V135" s="294">
        <f t="shared" si="59"/>
        <v>2768684</v>
      </c>
      <c r="W135" s="345"/>
      <c r="X135" s="294">
        <f t="shared" ca="1" si="60"/>
        <v>122374</v>
      </c>
      <c r="Y135" s="346"/>
      <c r="Z135" s="294">
        <f t="shared" si="60"/>
        <v>4315913</v>
      </c>
    </row>
    <row r="136" spans="2:29">
      <c r="B136" s="317" t="s">
        <v>1069</v>
      </c>
      <c r="C136" s="349"/>
      <c r="D136" s="293">
        <f>'[7]123'!N18+'[7]123'!AK18+[7]TempRevMay!C322+'[7]123May'!E18+'[7]123May'!U18</f>
        <v>38135258.461581476</v>
      </c>
      <c r="E136" s="293">
        <f>ROUND(D136/SUM($D$135:$D$136)*[7]Energy!$T$9*(1-1/[7]Energy!$P$9*($E$144+$E$147)),0)</f>
        <v>32983258</v>
      </c>
      <c r="F136" s="349"/>
      <c r="G136" s="350">
        <v>10.7072</v>
      </c>
      <c r="H136" s="343" t="s">
        <v>1062</v>
      </c>
      <c r="K136" s="349"/>
      <c r="L136" s="342">
        <f t="shared" ca="1" si="55"/>
        <v>2.7837000000000001</v>
      </c>
      <c r="M136" s="343" t="s">
        <v>1062</v>
      </c>
      <c r="N136" s="342">
        <f t="shared" si="56"/>
        <v>5.4090999999999996</v>
      </c>
      <c r="O136" s="343" t="s">
        <v>1062</v>
      </c>
      <c r="P136" s="342">
        <f t="shared" ca="1" si="57"/>
        <v>2.6223531768880006</v>
      </c>
      <c r="Q136" s="343" t="s">
        <v>1062</v>
      </c>
      <c r="R136" s="342">
        <f t="shared" si="54"/>
        <v>10.815153176888</v>
      </c>
      <c r="S136" s="343" t="s">
        <v>1062</v>
      </c>
      <c r="T136" s="294">
        <f t="shared" ca="1" si="58"/>
        <v>918155</v>
      </c>
      <c r="U136" s="345"/>
      <c r="V136" s="294">
        <f t="shared" si="59"/>
        <v>1784097</v>
      </c>
      <c r="W136" s="345"/>
      <c r="X136" s="294">
        <f t="shared" ca="1" si="60"/>
        <v>864938</v>
      </c>
      <c r="Y136" s="346"/>
      <c r="Z136" s="294">
        <f t="shared" si="60"/>
        <v>3567190</v>
      </c>
    </row>
    <row r="137" spans="2:29">
      <c r="B137" s="317" t="s">
        <v>1070</v>
      </c>
      <c r="D137" s="293">
        <f>'[7]123'!S18</f>
        <v>7500</v>
      </c>
      <c r="E137" s="293">
        <f>ROUND(D137/SUM($D$139:$D$141)*([7]Energy!$Q$9-[7]Energy!$Q$9/[7]Energy!$P$9*($E$144+$E$147)),0)</f>
        <v>6768</v>
      </c>
      <c r="G137" s="342">
        <v>4.3559999999999999</v>
      </c>
      <c r="H137" s="343" t="s">
        <v>1062</v>
      </c>
      <c r="I137" s="294">
        <f t="shared" ref="I137:J144" si="61">ROUND($G137*D137/100,0)</f>
        <v>327</v>
      </c>
      <c r="J137" s="294">
        <f t="shared" si="61"/>
        <v>295</v>
      </c>
      <c r="L137" s="342"/>
      <c r="M137" s="343"/>
      <c r="N137" s="342"/>
      <c r="O137" s="343"/>
      <c r="P137" s="342"/>
      <c r="Q137" s="343"/>
      <c r="R137" s="342"/>
      <c r="S137" s="343"/>
      <c r="U137" s="346"/>
      <c r="W137" s="346"/>
      <c r="Y137" s="346"/>
    </row>
    <row r="138" spans="2:29">
      <c r="B138" s="317" t="s">
        <v>1071</v>
      </c>
      <c r="D138" s="293">
        <f>'[7]123'!T18</f>
        <v>23518</v>
      </c>
      <c r="E138" s="293">
        <f>ROUND(D138/SUM($D$139:$D$141)*([7]Energy!$Q$9-[7]Energy!$Q$9/[7]Energy!$P$9*($E$144+$E$147)),0)</f>
        <v>21221</v>
      </c>
      <c r="G138" s="342">
        <v>-1.6334</v>
      </c>
      <c r="H138" s="343" t="s">
        <v>1062</v>
      </c>
      <c r="I138" s="294">
        <f t="shared" si="61"/>
        <v>-384</v>
      </c>
      <c r="J138" s="294">
        <f t="shared" si="61"/>
        <v>-347</v>
      </c>
      <c r="L138" s="342"/>
      <c r="M138" s="343"/>
      <c r="N138" s="342"/>
      <c r="O138" s="343"/>
      <c r="P138" s="342"/>
      <c r="Q138" s="343"/>
      <c r="R138" s="342"/>
      <c r="S138" s="343"/>
      <c r="U138" s="346"/>
      <c r="W138" s="346"/>
      <c r="Y138" s="346"/>
    </row>
    <row r="139" spans="2:29">
      <c r="B139" s="317" t="s">
        <v>1072</v>
      </c>
      <c r="D139" s="293">
        <f>'[7]123'!P18+'[7]123'!AG18+[7]TempRev!C318</f>
        <v>36997193</v>
      </c>
      <c r="E139" s="293">
        <f>E148-SUM(E140:E147)</f>
        <v>33384446.707057878</v>
      </c>
      <c r="G139" s="350">
        <v>8.8498000000000001</v>
      </c>
      <c r="H139" s="343" t="s">
        <v>1062</v>
      </c>
      <c r="I139" s="294">
        <f t="shared" si="61"/>
        <v>3274178</v>
      </c>
      <c r="J139" s="294">
        <f t="shared" si="61"/>
        <v>2954457</v>
      </c>
      <c r="L139" s="350"/>
      <c r="M139" s="343"/>
      <c r="N139" s="350"/>
      <c r="O139" s="343"/>
      <c r="P139" s="350"/>
      <c r="Q139" s="343"/>
      <c r="R139" s="350"/>
      <c r="S139" s="343"/>
      <c r="U139" s="346"/>
      <c r="W139" s="346"/>
      <c r="Y139" s="346"/>
    </row>
    <row r="140" spans="2:29">
      <c r="B140" s="317" t="s">
        <v>1073</v>
      </c>
      <c r="D140" s="293">
        <f>'[7]123'!Q18+'[7]123'!AH18+[7]TempRev!C319</f>
        <v>22403580</v>
      </c>
      <c r="E140" s="293">
        <f>ROUND(D140/SUM($D$139:$D$141)*([7]Energy!$Q$9-[7]Energy!$Q$9/[7]Energy!$P$9*($E$144+$E$147)),0)</f>
        <v>20215888</v>
      </c>
      <c r="G140" s="350">
        <v>11.542899999999999</v>
      </c>
      <c r="H140" s="343" t="s">
        <v>1062</v>
      </c>
      <c r="I140" s="294">
        <f t="shared" si="61"/>
        <v>2586023</v>
      </c>
      <c r="J140" s="294">
        <f t="shared" si="61"/>
        <v>2333500</v>
      </c>
      <c r="L140" s="350"/>
      <c r="M140" s="343"/>
      <c r="N140" s="350"/>
      <c r="O140" s="343"/>
      <c r="P140" s="350"/>
      <c r="Q140" s="343"/>
      <c r="R140" s="350"/>
      <c r="S140" s="343"/>
      <c r="U140" s="346"/>
      <c r="W140" s="346"/>
      <c r="Y140" s="346"/>
    </row>
    <row r="141" spans="2:29">
      <c r="B141" s="317" t="s">
        <v>1074</v>
      </c>
      <c r="D141" s="293">
        <f>'[7]123'!R18+'[7]123'!AI18+[7]TempRev!C320</f>
        <v>6569711.578529302</v>
      </c>
      <c r="E141" s="293">
        <f>ROUND(D141/SUM($D$139:$D$141)*([7]Energy!$Q$9-[7]Energy!$Q$9/[7]Energy!$P$9*($E$144+$E$147)),0)</f>
        <v>5928185</v>
      </c>
      <c r="G141" s="350">
        <v>14.450799999999999</v>
      </c>
      <c r="H141" s="343" t="s">
        <v>1062</v>
      </c>
      <c r="I141" s="294">
        <f t="shared" si="61"/>
        <v>949376</v>
      </c>
      <c r="J141" s="294">
        <f t="shared" si="61"/>
        <v>856670</v>
      </c>
      <c r="L141" s="350"/>
      <c r="M141" s="343"/>
      <c r="N141" s="350"/>
      <c r="O141" s="343"/>
      <c r="P141" s="350"/>
      <c r="Q141" s="343"/>
      <c r="R141" s="350"/>
      <c r="S141" s="343"/>
      <c r="U141" s="346"/>
      <c r="W141" s="346"/>
      <c r="Y141" s="346"/>
    </row>
    <row r="142" spans="2:29">
      <c r="B142" s="317" t="s">
        <v>1075</v>
      </c>
      <c r="C142" s="349"/>
      <c r="D142" s="293">
        <f>'[7]123'!M18+'[7]123'!AJ18+[7]TempRev!C321</f>
        <v>50947453</v>
      </c>
      <c r="E142" s="293">
        <f>ROUND(D142/SUM($D$142:$D$143)*([7]Energy!$R$9-[7]Energy!$R$9/[7]Energy!$P$9*($E$144+$E$147)),0)</f>
        <v>44288230</v>
      </c>
      <c r="F142" s="349"/>
      <c r="G142" s="350">
        <v>8.8498000000000001</v>
      </c>
      <c r="H142" s="343" t="s">
        <v>1062</v>
      </c>
      <c r="I142" s="294">
        <f t="shared" si="61"/>
        <v>4508748</v>
      </c>
      <c r="J142" s="294">
        <f t="shared" si="61"/>
        <v>3919420</v>
      </c>
      <c r="K142" s="349"/>
      <c r="L142" s="350"/>
      <c r="M142" s="343"/>
      <c r="N142" s="350"/>
      <c r="O142" s="343"/>
      <c r="P142" s="350"/>
      <c r="Q142" s="343"/>
      <c r="R142" s="350"/>
      <c r="S142" s="343"/>
      <c r="U142" s="346"/>
      <c r="W142" s="346"/>
      <c r="Y142" s="346"/>
    </row>
    <row r="143" spans="2:29">
      <c r="B143" s="317" t="s">
        <v>1076</v>
      </c>
      <c r="C143" s="349"/>
      <c r="D143" s="293">
        <f>'[7]123'!N18+'[7]123'!AK18+[7]TempRev!C322</f>
        <v>34708015.29361742</v>
      </c>
      <c r="E143" s="293">
        <f>ROUND(D143/SUM($D$142:$D$143)*([7]Energy!$R$9-[7]Energy!$R$9/[7]Energy!$P$9*($E$144+$E$147)),0)</f>
        <v>30171412</v>
      </c>
      <c r="F143" s="349"/>
      <c r="G143" s="350">
        <v>10.7072</v>
      </c>
      <c r="H143" s="343" t="s">
        <v>1062</v>
      </c>
      <c r="I143" s="294">
        <f t="shared" si="61"/>
        <v>3716257</v>
      </c>
      <c r="J143" s="294">
        <f t="shared" si="61"/>
        <v>3230513</v>
      </c>
      <c r="K143" s="349"/>
      <c r="L143" s="350"/>
      <c r="M143" s="343"/>
      <c r="N143" s="350"/>
      <c r="O143" s="343"/>
      <c r="P143" s="350"/>
      <c r="Q143" s="343"/>
      <c r="R143" s="350"/>
      <c r="S143" s="343"/>
      <c r="U143" s="346"/>
      <c r="W143" s="346"/>
      <c r="Y143" s="346"/>
    </row>
    <row r="144" spans="2:29">
      <c r="B144" s="353" t="s">
        <v>1077</v>
      </c>
      <c r="C144" s="354"/>
      <c r="D144" s="355">
        <f>'[7]123'!X18</f>
        <v>123079</v>
      </c>
      <c r="E144" s="293">
        <f>ROUND(D144/($D$148-$D$145)*$E$148,0)</f>
        <v>108762</v>
      </c>
      <c r="F144" s="354"/>
      <c r="G144" s="351">
        <v>11.7033</v>
      </c>
      <c r="H144" s="356" t="s">
        <v>1062</v>
      </c>
      <c r="I144" s="325">
        <f t="shared" si="61"/>
        <v>14404</v>
      </c>
      <c r="J144" s="325">
        <f t="shared" si="61"/>
        <v>12729</v>
      </c>
      <c r="K144" s="354"/>
      <c r="L144" s="351">
        <f t="shared" ref="L144:P144" ca="1" si="62">L41</f>
        <v>2.7837000000000001</v>
      </c>
      <c r="M144" s="356" t="s">
        <v>1062</v>
      </c>
      <c r="N144" s="351">
        <f t="shared" si="62"/>
        <v>7.7249999999999996</v>
      </c>
      <c r="O144" s="356" t="s">
        <v>1062</v>
      </c>
      <c r="P144" s="351">
        <f t="shared" ca="1" si="62"/>
        <v>0</v>
      </c>
      <c r="Q144" s="356" t="s">
        <v>1062</v>
      </c>
      <c r="R144" s="351">
        <f>R41</f>
        <v>10.508699999999999</v>
      </c>
      <c r="S144" s="356" t="s">
        <v>1062</v>
      </c>
      <c r="T144" s="294">
        <f t="shared" ref="T144" ca="1" si="63">ROUND($E144*L144/100,0)</f>
        <v>3028</v>
      </c>
      <c r="U144" s="345"/>
      <c r="V144" s="294">
        <f t="shared" ref="V144" si="64">ROUND($E144*N144/100,0)</f>
        <v>8402</v>
      </c>
      <c r="W144" s="345"/>
      <c r="X144" s="294">
        <f t="shared" ref="X144:Z144" ca="1" si="65">ROUND($E144*P144/100,0)</f>
        <v>0</v>
      </c>
      <c r="Y144" s="345"/>
      <c r="Z144" s="294">
        <f t="shared" si="65"/>
        <v>11429</v>
      </c>
      <c r="AB144" s="305" t="s">
        <v>1058</v>
      </c>
      <c r="AC144" s="341">
        <f>ROUND(E148/(E114),0)</f>
        <v>620</v>
      </c>
    </row>
    <row r="145" spans="1:29">
      <c r="B145" s="317" t="s">
        <v>1078</v>
      </c>
      <c r="D145" s="357">
        <f>'[7]Table 2'!J15</f>
        <v>862476</v>
      </c>
      <c r="E145" s="357">
        <v>0</v>
      </c>
      <c r="I145" s="358">
        <f>'[7]Table 3'!F15</f>
        <v>98698</v>
      </c>
      <c r="J145" s="358">
        <v>0</v>
      </c>
      <c r="Z145" s="358">
        <v>0</v>
      </c>
      <c r="AB145" s="305" t="s">
        <v>1060</v>
      </c>
      <c r="AC145" s="341">
        <f>ROUND(SUM(E132:E134,(E144+E147)*4/12)/((E114)*4/12),0)</f>
        <v>691</v>
      </c>
    </row>
    <row r="146" spans="1:29">
      <c r="B146" s="317" t="s">
        <v>1079</v>
      </c>
      <c r="G146" s="338">
        <v>-3.9100000000000003E-2</v>
      </c>
      <c r="H146" s="339"/>
      <c r="I146" s="294">
        <f>SUM(I139:I141,I142:I144)*$G146</f>
        <v>-588415.3526000001</v>
      </c>
      <c r="J146" s="294">
        <f>SUM(J139:J141,J142:J144)*$G146</f>
        <v>-520314.99990000005</v>
      </c>
      <c r="L146" s="338"/>
      <c r="M146" s="339"/>
      <c r="N146" s="338"/>
      <c r="O146" s="339"/>
      <c r="P146" s="338" t="str">
        <f>$P$43</f>
        <v>Tax Year 1</v>
      </c>
      <c r="Q146" s="339"/>
      <c r="R146" s="338">
        <f>$R$43</f>
        <v>-2.76E-2</v>
      </c>
      <c r="S146" s="339"/>
      <c r="Z146" s="294">
        <f>R146*SUM(Z132:Z136,Z144)</f>
        <v>-366319.17839999998</v>
      </c>
      <c r="AB146" s="305" t="s">
        <v>1063</v>
      </c>
      <c r="AC146" s="341">
        <f>ROUND(SUM(E135:E136,(E144+E147)*8/12)/((E114)*8/12),0)</f>
        <v>584</v>
      </c>
    </row>
    <row r="147" spans="1:29">
      <c r="B147" s="353" t="s">
        <v>1082</v>
      </c>
      <c r="D147" s="293">
        <f>'[7]123'!AX18</f>
        <v>-4359</v>
      </c>
      <c r="E147" s="293">
        <f>ROUND(D147/($D$148-$D$145)*$E$148,0)</f>
        <v>-3852</v>
      </c>
      <c r="G147" s="338"/>
      <c r="H147" s="339"/>
      <c r="L147" s="338"/>
      <c r="M147" s="339"/>
      <c r="N147" s="338"/>
      <c r="O147" s="339"/>
      <c r="P147" s="338" t="str">
        <f>$P$44</f>
        <v>Tax Year 2</v>
      </c>
      <c r="Q147" s="339"/>
      <c r="R147" s="338">
        <f>$R$44</f>
        <v>-1.38E-2</v>
      </c>
      <c r="S147" s="339"/>
      <c r="Z147" s="294">
        <f>R147*SUM(Z132:Z136,Z144)</f>
        <v>-183159.58919999999</v>
      </c>
    </row>
    <row r="148" spans="1:29" ht="16.5" thickBot="1">
      <c r="A148" s="292">
        <v>1</v>
      </c>
      <c r="B148" s="317" t="s">
        <v>937</v>
      </c>
      <c r="D148" s="362">
        <f>SUM(D139:D147)</f>
        <v>152607148.87214673</v>
      </c>
      <c r="E148" s="362">
        <f>[7]Energy!P9</f>
        <v>134093071.70705788</v>
      </c>
      <c r="G148" s="363"/>
      <c r="I148" s="364">
        <f>SUM(I115:I146)</f>
        <v>16082878.647399999</v>
      </c>
      <c r="J148" s="364">
        <f>SUM(J115:J146)</f>
        <v>14086238.0001</v>
      </c>
      <c r="L148" s="363"/>
      <c r="N148" s="363"/>
      <c r="P148" s="368"/>
      <c r="R148" s="368"/>
      <c r="T148" s="364">
        <f ca="1">SUM(T116:T145)</f>
        <v>5485272</v>
      </c>
      <c r="V148" s="364">
        <f>SUM(V116:V145)</f>
        <v>7255955</v>
      </c>
      <c r="X148" s="364">
        <f ca="1">SUM(X116:X145)</f>
        <v>2283602</v>
      </c>
      <c r="Z148" s="364">
        <f>SUM(Z116:Z145)</f>
        <v>15024828</v>
      </c>
      <c r="AB148" s="305" t="s">
        <v>939</v>
      </c>
      <c r="AC148" s="304">
        <f>Z148/J148-1</f>
        <v>6.6631701089626461E-2</v>
      </c>
    </row>
    <row r="149" spans="1:29" ht="16.5" thickTop="1">
      <c r="A149" s="292">
        <v>1</v>
      </c>
    </row>
    <row r="150" spans="1:29">
      <c r="A150" s="292">
        <v>1</v>
      </c>
      <c r="B150" s="314" t="s">
        <v>942</v>
      </c>
    </row>
    <row r="151" spans="1:29">
      <c r="B151" s="317" t="s">
        <v>1041</v>
      </c>
      <c r="D151" s="293">
        <f>'[7]123'!F19</f>
        <v>358674.66666666663</v>
      </c>
      <c r="E151" s="293">
        <f>[7]Bill!P17+[7]Bill!P19</f>
        <v>418416</v>
      </c>
      <c r="G151" s="318"/>
      <c r="H151" s="318"/>
      <c r="L151" s="318"/>
      <c r="M151" s="318"/>
      <c r="N151" s="318"/>
      <c r="O151" s="318"/>
      <c r="P151" s="318"/>
      <c r="Q151" s="318"/>
      <c r="R151" s="318"/>
      <c r="S151" s="318"/>
      <c r="T151" s="319"/>
      <c r="U151" s="319"/>
      <c r="V151" s="319"/>
      <c r="W151" s="319"/>
      <c r="X151" s="319"/>
      <c r="Y151" s="319"/>
    </row>
    <row r="152" spans="1:29">
      <c r="B152" s="317" t="s">
        <v>1043</v>
      </c>
      <c r="D152" s="293">
        <f>'[7]123'!G19</f>
        <v>358350.66666666663</v>
      </c>
      <c r="E152" s="293">
        <f>ROUND(D152/$D$151*$E$151,0)</f>
        <v>418038</v>
      </c>
      <c r="G152" s="318">
        <v>6</v>
      </c>
      <c r="H152" s="318"/>
      <c r="I152" s="294">
        <f t="shared" ref="I152:J166" si="66">ROUND($G152*D152,0)</f>
        <v>2150104</v>
      </c>
      <c r="J152" s="294">
        <f t="shared" si="66"/>
        <v>2508228</v>
      </c>
      <c r="L152" s="318"/>
      <c r="M152" s="318"/>
      <c r="N152" s="318"/>
      <c r="O152" s="318"/>
      <c r="P152" s="318"/>
      <c r="Q152" s="318"/>
      <c r="R152" s="318"/>
      <c r="S152" s="318"/>
      <c r="T152" s="319"/>
      <c r="U152" s="319"/>
      <c r="V152" s="319"/>
      <c r="W152" s="319"/>
      <c r="X152" s="319"/>
      <c r="Y152" s="319"/>
    </row>
    <row r="153" spans="1:29">
      <c r="B153" s="317" t="s">
        <v>1045</v>
      </c>
      <c r="D153" s="293">
        <f>D152-D154</f>
        <v>347723.76666666666</v>
      </c>
      <c r="E153" s="293">
        <f>E152-E154</f>
        <v>405641</v>
      </c>
      <c r="G153" s="318"/>
      <c r="H153" s="318"/>
      <c r="L153" s="318">
        <f>L13</f>
        <v>10</v>
      </c>
      <c r="M153" s="318"/>
      <c r="N153" s="318">
        <f>N13</f>
        <v>0</v>
      </c>
      <c r="O153" s="318"/>
      <c r="P153" s="318">
        <f>P13</f>
        <v>0</v>
      </c>
      <c r="Q153" s="318"/>
      <c r="R153" s="318">
        <f>R13</f>
        <v>10</v>
      </c>
      <c r="S153" s="318"/>
      <c r="T153" s="294">
        <f>ROUND($E153*L153,0)</f>
        <v>4056410</v>
      </c>
      <c r="U153" s="319"/>
      <c r="V153" s="294">
        <f>ROUND($E153*N153,0)</f>
        <v>0</v>
      </c>
      <c r="W153" s="319"/>
      <c r="X153" s="294">
        <f>ROUND($E153*P153,0)</f>
        <v>0</v>
      </c>
      <c r="Y153" s="319"/>
      <c r="Z153" s="294">
        <f>ROUND($E153*R153,0)</f>
        <v>4056410</v>
      </c>
    </row>
    <row r="154" spans="1:29">
      <c r="B154" s="317" t="s">
        <v>1046</v>
      </c>
      <c r="D154" s="293">
        <f>'[7]123'!AN19</f>
        <v>10626.899999999987</v>
      </c>
      <c r="E154" s="293">
        <f>ROUND(D154/D152*E152,0)</f>
        <v>12397</v>
      </c>
      <c r="G154" s="318"/>
      <c r="H154" s="318"/>
      <c r="L154" s="318">
        <f>L14</f>
        <v>6</v>
      </c>
      <c r="M154" s="318"/>
      <c r="N154" s="318">
        <f>N14</f>
        <v>0</v>
      </c>
      <c r="O154" s="318"/>
      <c r="P154" s="318">
        <f>P14</f>
        <v>0</v>
      </c>
      <c r="Q154" s="318"/>
      <c r="R154" s="318">
        <f>R14</f>
        <v>6</v>
      </c>
      <c r="S154" s="318"/>
      <c r="T154" s="294">
        <f>ROUND($E154*L154,0)</f>
        <v>74382</v>
      </c>
      <c r="U154" s="319"/>
      <c r="V154" s="294">
        <f>ROUND($E154*N154,0)</f>
        <v>0</v>
      </c>
      <c r="W154" s="319"/>
      <c r="X154" s="294">
        <f>ROUND($E154*P154,0)</f>
        <v>0</v>
      </c>
      <c r="Y154" s="319"/>
      <c r="Z154" s="294">
        <f>ROUND($E154*R154,0)</f>
        <v>74382</v>
      </c>
    </row>
    <row r="155" spans="1:29">
      <c r="B155" s="317" t="s">
        <v>1047</v>
      </c>
      <c r="D155" s="293">
        <f>'[7]123'!H19</f>
        <v>324</v>
      </c>
      <c r="E155" s="293">
        <f>E151-E152</f>
        <v>378</v>
      </c>
      <c r="G155" s="318">
        <v>12</v>
      </c>
      <c r="H155" s="318"/>
      <c r="I155" s="294">
        <f t="shared" si="66"/>
        <v>3888</v>
      </c>
      <c r="J155" s="294">
        <f t="shared" si="66"/>
        <v>4536</v>
      </c>
      <c r="L155" s="318"/>
      <c r="M155" s="318"/>
      <c r="N155" s="318"/>
      <c r="O155" s="318"/>
      <c r="P155" s="318"/>
      <c r="Q155" s="318"/>
      <c r="R155" s="318"/>
      <c r="S155" s="318"/>
      <c r="U155" s="319"/>
      <c r="W155" s="319"/>
      <c r="Y155" s="319"/>
    </row>
    <row r="156" spans="1:29">
      <c r="B156" s="317" t="s">
        <v>1045</v>
      </c>
      <c r="D156" s="293">
        <f>D155-D157</f>
        <v>96</v>
      </c>
      <c r="E156" s="293">
        <f>E155-E157</f>
        <v>112</v>
      </c>
      <c r="G156" s="318"/>
      <c r="H156" s="318"/>
      <c r="L156" s="318">
        <f>L16</f>
        <v>20</v>
      </c>
      <c r="M156" s="318"/>
      <c r="N156" s="318">
        <f>N16</f>
        <v>0</v>
      </c>
      <c r="O156" s="318"/>
      <c r="P156" s="318">
        <f>P16</f>
        <v>0</v>
      </c>
      <c r="Q156" s="318"/>
      <c r="R156" s="318">
        <f>R16</f>
        <v>20</v>
      </c>
      <c r="S156" s="318"/>
      <c r="T156" s="294">
        <f t="shared" ref="T156:T159" si="67">ROUND($E156*L156,0)</f>
        <v>2240</v>
      </c>
      <c r="U156" s="319"/>
      <c r="V156" s="294">
        <f t="shared" ref="V156:Z159" si="68">ROUND($E156*N156,0)</f>
        <v>0</v>
      </c>
      <c r="W156" s="319"/>
      <c r="X156" s="294">
        <f t="shared" si="68"/>
        <v>0</v>
      </c>
      <c r="Y156" s="319"/>
      <c r="Z156" s="294">
        <f t="shared" si="68"/>
        <v>2240</v>
      </c>
    </row>
    <row r="157" spans="1:29">
      <c r="B157" s="317" t="s">
        <v>1046</v>
      </c>
      <c r="D157" s="293">
        <f>'[7]123'!AO19</f>
        <v>228</v>
      </c>
      <c r="E157" s="293">
        <f>ROUND(D157/D155*E155,0)</f>
        <v>266</v>
      </c>
      <c r="G157" s="318"/>
      <c r="H157" s="318"/>
      <c r="L157" s="318">
        <f>L17</f>
        <v>12</v>
      </c>
      <c r="M157" s="318"/>
      <c r="N157" s="318">
        <f>N17</f>
        <v>0</v>
      </c>
      <c r="O157" s="318"/>
      <c r="P157" s="318">
        <f>P17</f>
        <v>0</v>
      </c>
      <c r="Q157" s="318"/>
      <c r="R157" s="318">
        <f>R17</f>
        <v>12</v>
      </c>
      <c r="S157" s="318"/>
      <c r="T157" s="294">
        <f t="shared" si="67"/>
        <v>3192</v>
      </c>
      <c r="U157" s="319"/>
      <c r="V157" s="294">
        <f t="shared" si="68"/>
        <v>0</v>
      </c>
      <c r="W157" s="319"/>
      <c r="X157" s="294">
        <f t="shared" si="68"/>
        <v>0</v>
      </c>
      <c r="Y157" s="319"/>
      <c r="Z157" s="294">
        <f t="shared" si="68"/>
        <v>3192</v>
      </c>
    </row>
    <row r="158" spans="1:29">
      <c r="B158" s="317" t="s">
        <v>1050</v>
      </c>
      <c r="D158" s="293">
        <f>'[7]123'!AE19</f>
        <v>0</v>
      </c>
      <c r="E158" s="293">
        <f t="shared" ref="E158:E166" si="69">ROUND(D158/$D$151*$E$151,0)</f>
        <v>0</v>
      </c>
      <c r="G158" s="318">
        <v>2</v>
      </c>
      <c r="H158" s="318"/>
      <c r="I158" s="294">
        <f t="shared" si="66"/>
        <v>0</v>
      </c>
      <c r="J158" s="294">
        <f t="shared" si="66"/>
        <v>0</v>
      </c>
      <c r="L158" s="318">
        <f t="shared" ref="L158:L159" si="70">L18</f>
        <v>2</v>
      </c>
      <c r="M158" s="318"/>
      <c r="N158" s="318">
        <f t="shared" ref="N158:N159" si="71">N18</f>
        <v>0</v>
      </c>
      <c r="O158" s="318"/>
      <c r="P158" s="318">
        <f t="shared" ref="P158:P159" si="72">P18</f>
        <v>0</v>
      </c>
      <c r="Q158" s="318"/>
      <c r="R158" s="318">
        <f t="shared" ref="R158:R159" si="73">R18</f>
        <v>2</v>
      </c>
      <c r="S158" s="318"/>
      <c r="T158" s="294">
        <f t="shared" si="67"/>
        <v>0</v>
      </c>
      <c r="U158" s="319"/>
      <c r="V158" s="294">
        <f t="shared" si="68"/>
        <v>0</v>
      </c>
      <c r="W158" s="319"/>
      <c r="X158" s="294">
        <f t="shared" si="68"/>
        <v>0</v>
      </c>
      <c r="Y158" s="319"/>
      <c r="Z158" s="294">
        <f t="shared" si="68"/>
        <v>0</v>
      </c>
    </row>
    <row r="159" spans="1:29">
      <c r="B159" s="317" t="s">
        <v>1052</v>
      </c>
      <c r="D159" s="293">
        <f>'[7]123'!AM19</f>
        <v>12</v>
      </c>
      <c r="E159" s="293">
        <f t="shared" si="69"/>
        <v>14</v>
      </c>
      <c r="G159" s="318">
        <v>22</v>
      </c>
      <c r="H159" s="318"/>
      <c r="I159" s="294">
        <f t="shared" si="66"/>
        <v>264</v>
      </c>
      <c r="J159" s="294">
        <f t="shared" si="66"/>
        <v>308</v>
      </c>
      <c r="L159" s="318">
        <f t="shared" si="70"/>
        <v>22</v>
      </c>
      <c r="M159" s="318"/>
      <c r="N159" s="318">
        <f t="shared" si="71"/>
        <v>0</v>
      </c>
      <c r="O159" s="318"/>
      <c r="P159" s="318">
        <f t="shared" si="72"/>
        <v>0</v>
      </c>
      <c r="Q159" s="318"/>
      <c r="R159" s="318">
        <f t="shared" si="73"/>
        <v>22</v>
      </c>
      <c r="S159" s="318"/>
      <c r="T159" s="294">
        <f t="shared" si="67"/>
        <v>308</v>
      </c>
      <c r="U159" s="319"/>
      <c r="V159" s="294">
        <f t="shared" si="68"/>
        <v>0</v>
      </c>
      <c r="W159" s="319"/>
      <c r="X159" s="294">
        <f t="shared" si="68"/>
        <v>0</v>
      </c>
      <c r="Y159" s="319"/>
      <c r="Z159" s="294">
        <f t="shared" si="68"/>
        <v>308</v>
      </c>
    </row>
    <row r="160" spans="1:29">
      <c r="B160" s="317" t="s">
        <v>1054</v>
      </c>
      <c r="D160" s="293">
        <f>'[7]123'!I19</f>
        <v>41793.397499999999</v>
      </c>
      <c r="E160" s="293">
        <f t="shared" si="69"/>
        <v>48755</v>
      </c>
      <c r="G160" s="318">
        <v>8</v>
      </c>
      <c r="H160" s="318"/>
      <c r="I160" s="294">
        <f t="shared" si="66"/>
        <v>334347</v>
      </c>
      <c r="J160" s="294">
        <f t="shared" si="66"/>
        <v>390040</v>
      </c>
      <c r="L160" s="318"/>
      <c r="M160" s="318"/>
      <c r="N160" s="318"/>
      <c r="O160" s="318"/>
      <c r="P160" s="318"/>
      <c r="Q160" s="318"/>
      <c r="R160" s="318"/>
      <c r="S160" s="318"/>
      <c r="U160" s="319"/>
      <c r="W160" s="319"/>
      <c r="Y160" s="319"/>
    </row>
    <row r="161" spans="2:29">
      <c r="B161" s="317" t="s">
        <v>1045</v>
      </c>
      <c r="D161" s="293">
        <f>D160-D162</f>
        <v>41131.633750000001</v>
      </c>
      <c r="E161" s="293">
        <f>E160-E162</f>
        <v>47983</v>
      </c>
      <c r="G161" s="318"/>
      <c r="H161" s="318"/>
      <c r="L161" s="318"/>
      <c r="M161" s="318"/>
      <c r="N161" s="318"/>
      <c r="O161" s="318"/>
      <c r="P161" s="318"/>
      <c r="Q161" s="318"/>
      <c r="R161" s="318"/>
      <c r="S161" s="318"/>
      <c r="U161" s="319"/>
      <c r="W161" s="319"/>
      <c r="Y161" s="319"/>
    </row>
    <row r="162" spans="2:29">
      <c r="B162" s="317" t="s">
        <v>1046</v>
      </c>
      <c r="D162" s="293">
        <f>'[7]123'!AP19</f>
        <v>661.76374999999996</v>
      </c>
      <c r="E162" s="293">
        <f>ROUND(D162/D160*E160,0)</f>
        <v>772</v>
      </c>
      <c r="G162" s="318"/>
      <c r="H162" s="318"/>
      <c r="L162" s="318"/>
      <c r="M162" s="318"/>
      <c r="N162" s="318"/>
      <c r="O162" s="318"/>
      <c r="P162" s="318"/>
      <c r="Q162" s="318"/>
      <c r="R162" s="318"/>
      <c r="S162" s="318"/>
      <c r="U162" s="319"/>
      <c r="W162" s="319"/>
      <c r="Y162" s="319"/>
    </row>
    <row r="163" spans="2:29">
      <c r="B163" s="317" t="s">
        <v>1056</v>
      </c>
      <c r="D163" s="293">
        <f>'[7]123'!J19</f>
        <v>9.7675000000000001</v>
      </c>
      <c r="E163" s="293">
        <f t="shared" si="69"/>
        <v>11</v>
      </c>
      <c r="G163" s="318">
        <v>16</v>
      </c>
      <c r="H163" s="318"/>
      <c r="I163" s="294">
        <f t="shared" si="66"/>
        <v>156</v>
      </c>
      <c r="J163" s="294">
        <f t="shared" si="66"/>
        <v>176</v>
      </c>
      <c r="L163" s="318"/>
      <c r="M163" s="318"/>
      <c r="N163" s="318"/>
      <c r="O163" s="318"/>
      <c r="P163" s="318"/>
      <c r="Q163" s="318"/>
      <c r="R163" s="318"/>
      <c r="S163" s="318"/>
      <c r="U163" s="319"/>
      <c r="W163" s="319"/>
      <c r="Y163" s="319"/>
    </row>
    <row r="164" spans="2:29">
      <c r="B164" s="317" t="s">
        <v>1045</v>
      </c>
      <c r="D164" s="293">
        <f>D163-D165</f>
        <v>7.2675000000000001</v>
      </c>
      <c r="E164" s="293">
        <f>E163-E165</f>
        <v>8</v>
      </c>
      <c r="G164" s="318"/>
      <c r="H164" s="318"/>
      <c r="L164" s="318"/>
      <c r="M164" s="318"/>
      <c r="N164" s="318"/>
      <c r="O164" s="318"/>
      <c r="P164" s="318"/>
      <c r="Q164" s="318"/>
      <c r="R164" s="318"/>
      <c r="S164" s="318"/>
      <c r="U164" s="319"/>
      <c r="W164" s="319"/>
      <c r="Y164" s="319"/>
    </row>
    <row r="165" spans="2:29">
      <c r="B165" s="317" t="s">
        <v>1046</v>
      </c>
      <c r="D165" s="293">
        <f>'[7]123'!AQ19</f>
        <v>2.5</v>
      </c>
      <c r="E165" s="293">
        <f>ROUND(D165/D163*E163,0)</f>
        <v>3</v>
      </c>
      <c r="G165" s="318"/>
      <c r="H165" s="318"/>
      <c r="L165" s="318"/>
      <c r="M165" s="318"/>
      <c r="N165" s="318"/>
      <c r="O165" s="318"/>
      <c r="P165" s="318"/>
      <c r="Q165" s="318"/>
      <c r="R165" s="318"/>
      <c r="S165" s="318"/>
      <c r="U165" s="319"/>
      <c r="W165" s="319"/>
      <c r="Y165" s="319"/>
    </row>
    <row r="166" spans="2:29">
      <c r="B166" s="317" t="s">
        <v>1059</v>
      </c>
      <c r="D166" s="293">
        <f>'[7]123'!AL19</f>
        <v>0</v>
      </c>
      <c r="E166" s="293">
        <f t="shared" si="69"/>
        <v>0</v>
      </c>
      <c r="G166" s="318">
        <v>96</v>
      </c>
      <c r="H166" s="318"/>
      <c r="I166" s="294">
        <f t="shared" si="66"/>
        <v>0</v>
      </c>
      <c r="J166" s="294">
        <f t="shared" si="66"/>
        <v>0</v>
      </c>
      <c r="L166" s="318"/>
      <c r="M166" s="318"/>
      <c r="N166" s="318"/>
      <c r="O166" s="318"/>
      <c r="P166" s="318"/>
      <c r="Q166" s="318"/>
      <c r="R166" s="318"/>
      <c r="S166" s="318"/>
      <c r="U166" s="319"/>
      <c r="W166" s="319"/>
      <c r="Y166" s="319"/>
      <c r="AB166" s="305"/>
      <c r="AC166" s="341"/>
    </row>
    <row r="167" spans="2:29">
      <c r="B167" s="317" t="s">
        <v>1061</v>
      </c>
      <c r="D167" s="293">
        <f>'[7]123'!S19+'[7]123May'!J19</f>
        <v>5306.0149714409508</v>
      </c>
      <c r="E167" s="293">
        <f>ROUND(D167/SUM($D$169:$D$171)*(([7]Energy!$S$17+[7]Energy!$S$19)*(1-1/([7]Energy!$P$17+[7]Energy!$P$19)*($E$181+$E$184))),0)</f>
        <v>7090</v>
      </c>
      <c r="G167" s="342"/>
      <c r="H167" s="343"/>
      <c r="L167" s="342">
        <f>L27</f>
        <v>0</v>
      </c>
      <c r="M167" s="343" t="s">
        <v>1062</v>
      </c>
      <c r="N167" s="342">
        <f>N27</f>
        <v>0</v>
      </c>
      <c r="O167" s="343" t="s">
        <v>1062</v>
      </c>
      <c r="P167" s="342">
        <f>P27</f>
        <v>4.3559999999999999</v>
      </c>
      <c r="Q167" s="343" t="s">
        <v>1062</v>
      </c>
      <c r="R167" s="342">
        <f t="shared" ref="R167:R173" si="74">R27</f>
        <v>4.3559999999999999</v>
      </c>
      <c r="S167" s="343" t="s">
        <v>1062</v>
      </c>
      <c r="T167" s="294">
        <f>ROUND($E167*L167/100,0)</f>
        <v>0</v>
      </c>
      <c r="U167" s="345"/>
      <c r="V167" s="294">
        <f>ROUND($E167*N167/100,0)</f>
        <v>0</v>
      </c>
      <c r="W167" s="345"/>
      <c r="X167" s="294">
        <f>ROUND($E167*P167/100,0)</f>
        <v>309</v>
      </c>
      <c r="Y167" s="346"/>
      <c r="Z167" s="294">
        <f>ROUND($E167*R167/100,0)</f>
        <v>309</v>
      </c>
      <c r="AB167" s="305"/>
      <c r="AC167" s="341"/>
    </row>
    <row r="168" spans="2:29">
      <c r="B168" s="317" t="s">
        <v>1064</v>
      </c>
      <c r="D168" s="293">
        <f>'[7]123'!T19+'[7]123May'!K19</f>
        <v>33281.092966817378</v>
      </c>
      <c r="E168" s="293">
        <f>ROUND(D168/SUM($D$169:$D$171)*(([7]Energy!$S$17+[7]Energy!$S$19)*(1-1/([7]Energy!$P$17+[7]Energy!$P$19)*($E$181+$E$184))),0)</f>
        <v>44469</v>
      </c>
      <c r="G168" s="342"/>
      <c r="H168" s="343"/>
      <c r="L168" s="342">
        <f t="shared" ref="L168:L173" si="75">L28</f>
        <v>0</v>
      </c>
      <c r="M168" s="343" t="s">
        <v>1062</v>
      </c>
      <c r="N168" s="342">
        <f t="shared" ref="N168:N173" si="76">N28</f>
        <v>0</v>
      </c>
      <c r="O168" s="343" t="s">
        <v>1062</v>
      </c>
      <c r="P168" s="342">
        <f t="shared" ref="P168:P173" si="77">P28</f>
        <v>-1.6334</v>
      </c>
      <c r="Q168" s="343" t="s">
        <v>1062</v>
      </c>
      <c r="R168" s="342">
        <f t="shared" si="74"/>
        <v>-1.6334</v>
      </c>
      <c r="S168" s="343" t="s">
        <v>1062</v>
      </c>
      <c r="T168" s="294">
        <f>ROUND($E168*L168/100,0)</f>
        <v>0</v>
      </c>
      <c r="U168" s="345"/>
      <c r="V168" s="294">
        <f>ROUND($E168*N168/100,0)</f>
        <v>0</v>
      </c>
      <c r="W168" s="345"/>
      <c r="X168" s="294">
        <f>ROUND($E168*P168/100,0)</f>
        <v>-726</v>
      </c>
      <c r="Y168" s="346"/>
      <c r="Z168" s="294">
        <f>ROUND($E168*R168/100,0)</f>
        <v>-726</v>
      </c>
      <c r="AB168" s="305"/>
      <c r="AC168" s="341"/>
    </row>
    <row r="169" spans="2:29">
      <c r="B169" s="317" t="s">
        <v>1065</v>
      </c>
      <c r="D169" s="293">
        <f>'[7]123'!P19+[7]TempRevMay!M303+'[7]123May'!G19+'[7]123May'!Q19</f>
        <v>16439716.09066999</v>
      </c>
      <c r="E169" s="293">
        <f>E185-SUM(E170:E173,E181:E184)</f>
        <v>21966173.894598663</v>
      </c>
      <c r="G169" s="350"/>
      <c r="H169" s="343"/>
      <c r="L169" s="350">
        <f t="shared" ca="1" si="75"/>
        <v>2.7837000000000001</v>
      </c>
      <c r="M169" s="343" t="s">
        <v>1062</v>
      </c>
      <c r="N169" s="350">
        <f t="shared" si="76"/>
        <v>5.4090999999999996</v>
      </c>
      <c r="O169" s="343" t="s">
        <v>1062</v>
      </c>
      <c r="P169" s="350">
        <f t="shared" ca="1" si="77"/>
        <v>1.3352230898834678</v>
      </c>
      <c r="Q169" s="343" t="s">
        <v>1062</v>
      </c>
      <c r="R169" s="350">
        <f t="shared" si="74"/>
        <v>9.528023089883467</v>
      </c>
      <c r="S169" s="343" t="s">
        <v>1062</v>
      </c>
      <c r="T169" s="294">
        <f t="shared" ref="T169:T173" ca="1" si="78">ROUND($E169*L169/100,0)</f>
        <v>611472</v>
      </c>
      <c r="U169" s="345"/>
      <c r="V169" s="294">
        <f t="shared" ref="V169:Z173" si="79">ROUND($E169*N169/100,0)</f>
        <v>1188172</v>
      </c>
      <c r="W169" s="345"/>
      <c r="X169" s="294">
        <f t="shared" ca="1" si="79"/>
        <v>293297</v>
      </c>
      <c r="Y169" s="346"/>
      <c r="Z169" s="294">
        <f t="shared" si="79"/>
        <v>2092942</v>
      </c>
    </row>
    <row r="170" spans="2:29">
      <c r="B170" s="317" t="s">
        <v>1066</v>
      </c>
      <c r="D170" s="293">
        <f>'[7]123'!Q19+[7]TempRevMay!M304+'[7]123May'!H19+'[7]123May'!R19</f>
        <v>10812418.378645124</v>
      </c>
      <c r="E170" s="293">
        <f>ROUND(D170/SUM($D$169:$D$171)*(([7]Energy!$S$17+[7]Energy!$S$19)*(1-1/([7]Energy!$P$17+[7]Energy!$P$19)*($E$181+$E$184))),0)</f>
        <v>14447176</v>
      </c>
      <c r="G170" s="350"/>
      <c r="H170" s="343"/>
      <c r="L170" s="350">
        <f t="shared" ca="1" si="75"/>
        <v>2.7837000000000001</v>
      </c>
      <c r="M170" s="343" t="s">
        <v>1062</v>
      </c>
      <c r="N170" s="350">
        <f t="shared" si="76"/>
        <v>5.4090999999999996</v>
      </c>
      <c r="O170" s="343" t="s">
        <v>1062</v>
      </c>
      <c r="P170" s="350">
        <f t="shared" ca="1" si="77"/>
        <v>4.0283230898834672</v>
      </c>
      <c r="Q170" s="343" t="s">
        <v>1062</v>
      </c>
      <c r="R170" s="350">
        <f t="shared" si="74"/>
        <v>12.221123089883466</v>
      </c>
      <c r="S170" s="343" t="s">
        <v>1062</v>
      </c>
      <c r="T170" s="294">
        <f t="shared" ca="1" si="78"/>
        <v>402166</v>
      </c>
      <c r="U170" s="345"/>
      <c r="V170" s="294">
        <f t="shared" si="79"/>
        <v>781462</v>
      </c>
      <c r="W170" s="345"/>
      <c r="X170" s="294">
        <f t="shared" ca="1" si="79"/>
        <v>581979</v>
      </c>
      <c r="Y170" s="346"/>
      <c r="Z170" s="294">
        <f t="shared" si="79"/>
        <v>1765607</v>
      </c>
    </row>
    <row r="171" spans="2:29">
      <c r="B171" s="317" t="s">
        <v>1067</v>
      </c>
      <c r="D171" s="293">
        <f>'[7]123'!R19+[7]TempRevMay!M305+'[7]123May'!I19+'[7]123May'!S19</f>
        <v>5925108.1796947811</v>
      </c>
      <c r="E171" s="293">
        <f>ROUND(D171/SUM($D$169:$D$171)*(([7]Energy!$S$17+[7]Energy!$S$19)*(1-1/([7]Energy!$P$17+[7]Energy!$P$19)*($E$181+$E$184))),0)</f>
        <v>7916923</v>
      </c>
      <c r="G171" s="350"/>
      <c r="H171" s="343"/>
      <c r="L171" s="350">
        <f t="shared" ca="1" si="75"/>
        <v>2.7837000000000001</v>
      </c>
      <c r="M171" s="343" t="s">
        <v>1062</v>
      </c>
      <c r="N171" s="350">
        <f t="shared" si="76"/>
        <v>5.4090999999999996</v>
      </c>
      <c r="O171" s="343" t="s">
        <v>1062</v>
      </c>
      <c r="P171" s="350">
        <f t="shared" ca="1" si="77"/>
        <v>4.0283230898834672</v>
      </c>
      <c r="Q171" s="343" t="s">
        <v>1062</v>
      </c>
      <c r="R171" s="350">
        <f t="shared" si="74"/>
        <v>12.221123089883466</v>
      </c>
      <c r="S171" s="343" t="s">
        <v>1062</v>
      </c>
      <c r="T171" s="294">
        <f t="shared" ca="1" si="78"/>
        <v>220383</v>
      </c>
      <c r="U171" s="345"/>
      <c r="V171" s="294">
        <f t="shared" si="79"/>
        <v>428234</v>
      </c>
      <c r="W171" s="345"/>
      <c r="X171" s="294">
        <f t="shared" ca="1" si="79"/>
        <v>318919</v>
      </c>
      <c r="Y171" s="346"/>
      <c r="Z171" s="294">
        <f t="shared" si="79"/>
        <v>967537</v>
      </c>
    </row>
    <row r="172" spans="2:29">
      <c r="B172" s="317" t="s">
        <v>1068</v>
      </c>
      <c r="C172" s="349"/>
      <c r="D172" s="293">
        <f>'[7]123'!M19+[7]TempRevMay!M306+'[7]123May'!D19+'[7]123May'!T19</f>
        <v>42954251.743285455</v>
      </c>
      <c r="E172" s="293">
        <f>ROUND(D172/SUM($D$172:$D$173)*(([7]Energy!$T$17+[7]Energy!$T$19)*(1-1/([7]Energy!$P$17+[7]Energy!$P$19)*($E$181+$E$184))),0)</f>
        <v>50047131</v>
      </c>
      <c r="F172" s="349"/>
      <c r="G172" s="350"/>
      <c r="H172" s="343"/>
      <c r="K172" s="349"/>
      <c r="L172" s="350">
        <f t="shared" ca="1" si="75"/>
        <v>2.7837000000000001</v>
      </c>
      <c r="M172" s="343" t="s">
        <v>1062</v>
      </c>
      <c r="N172" s="350">
        <f t="shared" si="76"/>
        <v>5.4090999999999996</v>
      </c>
      <c r="O172" s="343" t="s">
        <v>1062</v>
      </c>
      <c r="P172" s="350">
        <f t="shared" ca="1" si="77"/>
        <v>0.23907884060500084</v>
      </c>
      <c r="Q172" s="343" t="s">
        <v>1062</v>
      </c>
      <c r="R172" s="350">
        <f t="shared" si="74"/>
        <v>8.431878840605</v>
      </c>
      <c r="S172" s="343" t="s">
        <v>1062</v>
      </c>
      <c r="T172" s="294">
        <f t="shared" ca="1" si="78"/>
        <v>1393162</v>
      </c>
      <c r="U172" s="345"/>
      <c r="V172" s="294">
        <f t="shared" si="79"/>
        <v>2707099</v>
      </c>
      <c r="W172" s="345"/>
      <c r="X172" s="294">
        <f t="shared" ca="1" si="79"/>
        <v>119652</v>
      </c>
      <c r="Y172" s="346"/>
      <c r="Z172" s="294">
        <f t="shared" si="79"/>
        <v>4219913</v>
      </c>
    </row>
    <row r="173" spans="2:29">
      <c r="B173" s="317" t="s">
        <v>1069</v>
      </c>
      <c r="C173" s="349"/>
      <c r="D173" s="293">
        <f>'[7]123'!N19+[7]TempRevMay!M307+'[7]123May'!E19+'[7]123May'!U19</f>
        <v>41160207.628910221</v>
      </c>
      <c r="E173" s="293">
        <f>ROUND(D173/SUM($D$172:$D$173)*(([7]Energy!$T$17+[7]Energy!$T$19)*(1-1/([7]Energy!$P$17+[7]Energy!$P$19)*($E$181+$E$184))),0)</f>
        <v>47956842</v>
      </c>
      <c r="F173" s="349"/>
      <c r="G173" s="350"/>
      <c r="H173" s="343"/>
      <c r="K173" s="349"/>
      <c r="L173" s="350">
        <f t="shared" ca="1" si="75"/>
        <v>2.7837000000000001</v>
      </c>
      <c r="M173" s="343" t="s">
        <v>1062</v>
      </c>
      <c r="N173" s="350">
        <f t="shared" si="76"/>
        <v>5.4090999999999996</v>
      </c>
      <c r="O173" s="343" t="s">
        <v>1062</v>
      </c>
      <c r="P173" s="350">
        <f t="shared" ca="1" si="77"/>
        <v>2.6223531768880006</v>
      </c>
      <c r="Q173" s="343" t="s">
        <v>1062</v>
      </c>
      <c r="R173" s="350">
        <f t="shared" si="74"/>
        <v>10.815153176888</v>
      </c>
      <c r="S173" s="343" t="s">
        <v>1062</v>
      </c>
      <c r="T173" s="294">
        <f t="shared" ca="1" si="78"/>
        <v>1334975</v>
      </c>
      <c r="U173" s="345"/>
      <c r="V173" s="294">
        <f t="shared" si="79"/>
        <v>2594034</v>
      </c>
      <c r="W173" s="345"/>
      <c r="X173" s="294">
        <f t="shared" ca="1" si="79"/>
        <v>1257598</v>
      </c>
      <c r="Y173" s="346"/>
      <c r="Z173" s="294">
        <f t="shared" si="79"/>
        <v>5186606</v>
      </c>
    </row>
    <row r="174" spans="2:29">
      <c r="B174" s="317" t="s">
        <v>1070</v>
      </c>
      <c r="D174" s="293">
        <f>'[7]123'!S19</f>
        <v>5872</v>
      </c>
      <c r="E174" s="293">
        <f>ROUND(D174/SUM($D$176:$D$178)*(([7]Energy!$Q$17+[7]Energy!$Q$19)*(1-1/([7]Energy!$P$17+[7]Energy!$P$19)*($E$181+$E$184))),0)</f>
        <v>7604</v>
      </c>
      <c r="G174" s="342">
        <v>4.3559999999999999</v>
      </c>
      <c r="H174" s="343" t="s">
        <v>1062</v>
      </c>
      <c r="I174" s="294">
        <f t="shared" ref="I174:J181" si="80">ROUND($G174*D174/100,0)</f>
        <v>256</v>
      </c>
      <c r="J174" s="294">
        <f t="shared" si="80"/>
        <v>331</v>
      </c>
      <c r="L174" s="342"/>
      <c r="M174" s="343"/>
      <c r="N174" s="342"/>
      <c r="O174" s="343"/>
      <c r="P174" s="342"/>
      <c r="Q174" s="343"/>
      <c r="R174" s="342"/>
      <c r="S174" s="343"/>
      <c r="U174" s="346"/>
      <c r="W174" s="346"/>
      <c r="Y174" s="346"/>
    </row>
    <row r="175" spans="2:29">
      <c r="B175" s="317" t="s">
        <v>1071</v>
      </c>
      <c r="D175" s="293">
        <f>'[7]123'!T19</f>
        <v>40803</v>
      </c>
      <c r="E175" s="293">
        <f>ROUND(D175/SUM($D$176:$D$178)*(([7]Energy!$Q$17+[7]Energy!$Q$19)*(1-1/([7]Energy!$P$17+[7]Energy!$P$19)*($E$181+$E$184))),0)</f>
        <v>52839</v>
      </c>
      <c r="G175" s="342">
        <v>-1.6334</v>
      </c>
      <c r="H175" s="343" t="s">
        <v>1062</v>
      </c>
      <c r="I175" s="294">
        <f t="shared" si="80"/>
        <v>-666</v>
      </c>
      <c r="J175" s="294">
        <f t="shared" si="80"/>
        <v>-863</v>
      </c>
      <c r="L175" s="342"/>
      <c r="M175" s="343"/>
      <c r="N175" s="342"/>
      <c r="O175" s="343"/>
      <c r="P175" s="342"/>
      <c r="Q175" s="343"/>
      <c r="R175" s="342"/>
      <c r="S175" s="343"/>
      <c r="U175" s="346"/>
      <c r="W175" s="346"/>
      <c r="Y175" s="346"/>
    </row>
    <row r="176" spans="2:29">
      <c r="B176" s="317" t="s">
        <v>1072</v>
      </c>
      <c r="D176" s="293">
        <f>'[7]123'!P19+[7]TempRev!M303</f>
        <v>18539579.763590723</v>
      </c>
      <c r="E176" s="293">
        <f>E185-SUM(E177:E184)</f>
        <v>24008563.894598663</v>
      </c>
      <c r="G176" s="350">
        <v>8.8498000000000001</v>
      </c>
      <c r="H176" s="343" t="s">
        <v>1062</v>
      </c>
      <c r="I176" s="294">
        <f t="shared" si="80"/>
        <v>1640716</v>
      </c>
      <c r="J176" s="294">
        <f t="shared" si="80"/>
        <v>2124710</v>
      </c>
      <c r="L176" s="350"/>
      <c r="M176" s="343"/>
      <c r="N176" s="350"/>
      <c r="O176" s="343"/>
      <c r="P176" s="350"/>
      <c r="Q176" s="343"/>
      <c r="R176" s="350"/>
      <c r="S176" s="343"/>
      <c r="U176" s="346"/>
      <c r="W176" s="346"/>
      <c r="Y176" s="346"/>
    </row>
    <row r="177" spans="1:29">
      <c r="B177" s="317" t="s">
        <v>1073</v>
      </c>
      <c r="D177" s="293">
        <f>'[7]123'!Q19+[7]TempRev!M304</f>
        <v>11711853.344823245</v>
      </c>
      <c r="E177" s="293">
        <f>ROUND(D177/SUM($D$176:$D$178)*(([7]Energy!$Q$17+[7]Energy!$Q$19)*(1-1/([7]Energy!$P$17+[7]Energy!$P$19)*($E$181+$E$184))),0)</f>
        <v>15166728</v>
      </c>
      <c r="G177" s="350">
        <v>11.542899999999999</v>
      </c>
      <c r="H177" s="343" t="s">
        <v>1062</v>
      </c>
      <c r="I177" s="294">
        <f t="shared" si="80"/>
        <v>1351888</v>
      </c>
      <c r="J177" s="294">
        <f t="shared" si="80"/>
        <v>1750680</v>
      </c>
      <c r="L177" s="350"/>
      <c r="M177" s="343"/>
      <c r="N177" s="350"/>
      <c r="O177" s="343"/>
      <c r="P177" s="350"/>
      <c r="Q177" s="343"/>
      <c r="R177" s="350"/>
      <c r="S177" s="343"/>
      <c r="U177" s="346"/>
      <c r="W177" s="346"/>
      <c r="Y177" s="346"/>
    </row>
    <row r="178" spans="1:29">
      <c r="B178" s="317" t="s">
        <v>1074</v>
      </c>
      <c r="D178" s="293">
        <f>'[7]123'!R19+[7]TempRev!M305</f>
        <v>6443331.5536244791</v>
      </c>
      <c r="E178" s="293">
        <f>ROUND(D178/SUM($D$176:$D$178)*(([7]Energy!$Q$17+[7]Energy!$Q$19)*(1-1/([7]Energy!$P$17+[7]Energy!$P$19)*($E$181+$E$184))),0)</f>
        <v>8344047</v>
      </c>
      <c r="G178" s="350">
        <v>14.450799999999999</v>
      </c>
      <c r="H178" s="343" t="s">
        <v>1062</v>
      </c>
      <c r="I178" s="294">
        <f t="shared" si="80"/>
        <v>931113</v>
      </c>
      <c r="J178" s="294">
        <f t="shared" si="80"/>
        <v>1205782</v>
      </c>
      <c r="L178" s="350"/>
      <c r="M178" s="343"/>
      <c r="N178" s="350"/>
      <c r="O178" s="343"/>
      <c r="P178" s="350"/>
      <c r="Q178" s="343"/>
      <c r="R178" s="350"/>
      <c r="S178" s="343"/>
      <c r="U178" s="346"/>
      <c r="W178" s="346"/>
      <c r="Y178" s="346"/>
    </row>
    <row r="179" spans="1:29">
      <c r="B179" s="317" t="s">
        <v>1075</v>
      </c>
      <c r="C179" s="349"/>
      <c r="D179" s="293">
        <f>'[7]123'!M19+[7]TempRev!M306</f>
        <v>40722859.346801311</v>
      </c>
      <c r="E179" s="293">
        <f>ROUND(D179/SUM($D$179:$D$180)*(([7]Energy!$R$17+[7]Energy!$R$19)*(1-1/([7]Energy!$P$17+[7]Energy!$P$19)*($E$181+$E$184))),0)</f>
        <v>47906710</v>
      </c>
      <c r="F179" s="349"/>
      <c r="G179" s="350">
        <v>8.8498000000000001</v>
      </c>
      <c r="H179" s="343" t="s">
        <v>1062</v>
      </c>
      <c r="I179" s="294">
        <f t="shared" si="80"/>
        <v>3603892</v>
      </c>
      <c r="J179" s="294">
        <f t="shared" si="80"/>
        <v>4239648</v>
      </c>
      <c r="K179" s="349"/>
      <c r="L179" s="350"/>
      <c r="M179" s="343"/>
      <c r="N179" s="350"/>
      <c r="O179" s="343"/>
      <c r="P179" s="350"/>
      <c r="Q179" s="343"/>
      <c r="R179" s="350"/>
      <c r="S179" s="343"/>
      <c r="U179" s="346"/>
      <c r="W179" s="346"/>
      <c r="Y179" s="346"/>
    </row>
    <row r="180" spans="1:29">
      <c r="B180" s="317" t="s">
        <v>1076</v>
      </c>
      <c r="C180" s="349"/>
      <c r="D180" s="293">
        <f>'[7]123'!N19+[7]TempRev!M307</f>
        <v>39874078.012365803</v>
      </c>
      <c r="E180" s="293">
        <f>ROUND(D180/SUM($D$179:$D$180)*(([7]Energy!$R$17+[7]Energy!$R$19)*(1-1/([7]Energy!$P$17+[7]Energy!$P$19)*($E$181+$E$184))),0)</f>
        <v>46908197</v>
      </c>
      <c r="F180" s="349"/>
      <c r="G180" s="350">
        <v>10.7072</v>
      </c>
      <c r="H180" s="343" t="s">
        <v>1062</v>
      </c>
      <c r="I180" s="294">
        <f t="shared" si="80"/>
        <v>4269397</v>
      </c>
      <c r="J180" s="294">
        <f t="shared" si="80"/>
        <v>5022554</v>
      </c>
      <c r="K180" s="349"/>
      <c r="L180" s="350"/>
      <c r="M180" s="343"/>
      <c r="N180" s="350"/>
      <c r="O180" s="343"/>
      <c r="P180" s="350"/>
      <c r="Q180" s="343"/>
      <c r="R180" s="350"/>
      <c r="S180" s="343"/>
      <c r="U180" s="346"/>
      <c r="W180" s="346"/>
      <c r="Y180" s="346"/>
    </row>
    <row r="181" spans="1:29">
      <c r="B181" s="353" t="s">
        <v>1077</v>
      </c>
      <c r="C181" s="354"/>
      <c r="D181" s="355">
        <f>'[7]123'!X19</f>
        <v>0</v>
      </c>
      <c r="E181" s="293">
        <f>ROUND(D181/($D$185-$D$182)*$E$185,0)</f>
        <v>0</v>
      </c>
      <c r="F181" s="354"/>
      <c r="G181" s="351">
        <v>11.7033</v>
      </c>
      <c r="H181" s="356" t="s">
        <v>1062</v>
      </c>
      <c r="I181" s="325">
        <f t="shared" si="80"/>
        <v>0</v>
      </c>
      <c r="J181" s="325">
        <f t="shared" si="80"/>
        <v>0</v>
      </c>
      <c r="K181" s="354"/>
      <c r="L181" s="351">
        <f ca="1">L41</f>
        <v>2.7837000000000001</v>
      </c>
      <c r="M181" s="356" t="s">
        <v>1062</v>
      </c>
      <c r="N181" s="351">
        <f>N41</f>
        <v>7.7249999999999996</v>
      </c>
      <c r="O181" s="356" t="s">
        <v>1062</v>
      </c>
      <c r="P181" s="351">
        <f ca="1">P41</f>
        <v>0</v>
      </c>
      <c r="Q181" s="356" t="s">
        <v>1062</v>
      </c>
      <c r="R181" s="351">
        <f>R41</f>
        <v>10.508699999999999</v>
      </c>
      <c r="S181" s="356" t="s">
        <v>1062</v>
      </c>
      <c r="T181" s="294">
        <f t="shared" ref="T181" ca="1" si="81">ROUND($E181*L181/100,0)</f>
        <v>0</v>
      </c>
      <c r="U181" s="345"/>
      <c r="V181" s="294">
        <f t="shared" ref="V181:Z181" si="82">ROUND($E181*N181/100,0)</f>
        <v>0</v>
      </c>
      <c r="W181" s="345"/>
      <c r="X181" s="294">
        <f t="shared" ca="1" si="82"/>
        <v>0</v>
      </c>
      <c r="Y181" s="345"/>
      <c r="Z181" s="294">
        <f t="shared" si="82"/>
        <v>0</v>
      </c>
      <c r="AB181" s="305" t="s">
        <v>1058</v>
      </c>
      <c r="AC181" s="341">
        <f>ROUND(E185/(E151),0)</f>
        <v>340</v>
      </c>
    </row>
    <row r="182" spans="1:29">
      <c r="B182" s="317" t="s">
        <v>1078</v>
      </c>
      <c r="D182" s="357">
        <f>'[7]Table 2'!J16</f>
        <v>668834</v>
      </c>
      <c r="E182" s="357">
        <v>0</v>
      </c>
      <c r="I182" s="358">
        <f>'[7]Table 3'!F16</f>
        <v>85540</v>
      </c>
      <c r="J182" s="358">
        <v>0</v>
      </c>
      <c r="Z182" s="358">
        <v>0</v>
      </c>
      <c r="AB182" s="305" t="s">
        <v>1060</v>
      </c>
      <c r="AC182" s="341">
        <f>ROUND(SUM(E169:E171,(E181+E184)*4/12)/((E151)*4/12),0)</f>
        <v>318</v>
      </c>
    </row>
    <row r="183" spans="1:29">
      <c r="B183" s="317" t="s">
        <v>1079</v>
      </c>
      <c r="G183" s="338">
        <v>-3.9100000000000003E-2</v>
      </c>
      <c r="H183" s="339"/>
      <c r="I183" s="294">
        <f>SUM(I176:I178,I179:I181)*$G183</f>
        <v>-461262.93460000004</v>
      </c>
      <c r="J183" s="294">
        <f>SUM(J176:J178,J179:J181)*$G183</f>
        <v>-560825.92340000009</v>
      </c>
      <c r="L183" s="338"/>
      <c r="M183" s="339"/>
      <c r="N183" s="338"/>
      <c r="O183" s="339"/>
      <c r="P183" s="338" t="str">
        <f>$P$43</f>
        <v>Tax Year 1</v>
      </c>
      <c r="Q183" s="339"/>
      <c r="R183" s="338">
        <f>$R$43</f>
        <v>-2.76E-2</v>
      </c>
      <c r="S183" s="339"/>
      <c r="Z183" s="294">
        <f>R183*SUM(Z169:Z173,Z181)</f>
        <v>-392819.89799999999</v>
      </c>
      <c r="AB183" s="305" t="s">
        <v>1063</v>
      </c>
      <c r="AC183" s="341">
        <f>ROUND(SUM(E172:E173,(E181+E184)*8/12)/((E151)*8/12),0)</f>
        <v>351</v>
      </c>
    </row>
    <row r="184" spans="1:29">
      <c r="B184" s="353" t="s">
        <v>1082</v>
      </c>
      <c r="D184" s="293">
        <f>'[7]123'!AX19</f>
        <v>0</v>
      </c>
      <c r="E184" s="293">
        <f>ROUND(D184/($D$185-$D$182)*$E$185,0)</f>
        <v>0</v>
      </c>
      <c r="G184" s="338"/>
      <c r="H184" s="339"/>
      <c r="L184" s="338"/>
      <c r="M184" s="339"/>
      <c r="N184" s="338"/>
      <c r="O184" s="339"/>
      <c r="P184" s="338" t="str">
        <f>$P$44</f>
        <v>Tax Year 2</v>
      </c>
      <c r="Q184" s="339"/>
      <c r="R184" s="338">
        <f>$R$44</f>
        <v>-1.38E-2</v>
      </c>
      <c r="S184" s="339"/>
      <c r="Z184" s="294">
        <f>R184*SUM(Z169:Z173,Z181)</f>
        <v>-196409.94899999999</v>
      </c>
    </row>
    <row r="185" spans="1:29" ht="16.5" thickBot="1">
      <c r="A185" s="292">
        <v>1</v>
      </c>
      <c r="B185" s="317" t="s">
        <v>937</v>
      </c>
      <c r="D185" s="362">
        <f>SUM(D176:D181,D182)</f>
        <v>117960536.02120556</v>
      </c>
      <c r="E185" s="362">
        <f>[7]Energy!P17+[7]Energy!P19</f>
        <v>142334245.89459866</v>
      </c>
      <c r="G185" s="368"/>
      <c r="I185" s="369">
        <f>SUM(I152:I183)</f>
        <v>13909632.065400001</v>
      </c>
      <c r="J185" s="369">
        <f>SUM(J152:J183)</f>
        <v>16685304.0766</v>
      </c>
      <c r="L185" s="368"/>
      <c r="N185" s="368"/>
      <c r="P185" s="368"/>
      <c r="R185" s="368"/>
      <c r="T185" s="364">
        <f ca="1">SUM(T153:T182)</f>
        <v>8098690</v>
      </c>
      <c r="V185" s="364">
        <f>SUM(V153:V182)</f>
        <v>7699001</v>
      </c>
      <c r="X185" s="364">
        <f ca="1">SUM(X153:X182)</f>
        <v>2571028</v>
      </c>
      <c r="Z185" s="364">
        <f>SUM(Z153:Z182)</f>
        <v>18368720</v>
      </c>
      <c r="AB185" s="305" t="s">
        <v>939</v>
      </c>
      <c r="AC185" s="304">
        <f>Z185/J185-1</f>
        <v>0.10089213332113478</v>
      </c>
    </row>
    <row r="186" spans="1:29" ht="16.5" thickTop="1">
      <c r="A186" s="292">
        <v>1</v>
      </c>
    </row>
    <row r="187" spans="1:29">
      <c r="A187" s="292">
        <v>1</v>
      </c>
      <c r="B187" s="314" t="s">
        <v>943</v>
      </c>
    </row>
    <row r="188" spans="1:29">
      <c r="B188" s="317" t="s">
        <v>1041</v>
      </c>
      <c r="D188" s="293">
        <f>'[7]123'!F20</f>
        <v>56694.066666666578</v>
      </c>
      <c r="E188" s="293">
        <f>[7]Bill!P23+[7]Bill!P24+[7]Bill!P25</f>
        <v>307354</v>
      </c>
      <c r="G188" s="318"/>
      <c r="H188" s="318"/>
      <c r="L188" s="318"/>
      <c r="M188" s="318"/>
      <c r="N188" s="318"/>
      <c r="O188" s="318"/>
      <c r="P188" s="318"/>
      <c r="Q188" s="318"/>
      <c r="R188" s="318"/>
      <c r="S188" s="318"/>
      <c r="T188" s="319"/>
      <c r="U188" s="319"/>
      <c r="V188" s="319"/>
      <c r="W188" s="319"/>
      <c r="X188" s="319"/>
      <c r="Y188" s="319"/>
    </row>
    <row r="189" spans="1:29">
      <c r="B189" s="317" t="s">
        <v>1043</v>
      </c>
      <c r="D189" s="293">
        <f>'[7]123'!G20</f>
        <v>56694.066666666578</v>
      </c>
      <c r="E189" s="293">
        <f>ROUND(D189/$D$188*$E$188,0)</f>
        <v>307354</v>
      </c>
      <c r="G189" s="318">
        <v>6</v>
      </c>
      <c r="H189" s="318"/>
      <c r="I189" s="294">
        <f t="shared" ref="I189:J203" si="83">ROUND($G189*D189,0)</f>
        <v>340164</v>
      </c>
      <c r="J189" s="294">
        <f t="shared" si="83"/>
        <v>1844124</v>
      </c>
      <c r="L189" s="318"/>
      <c r="M189" s="318"/>
      <c r="N189" s="318"/>
      <c r="O189" s="318"/>
      <c r="P189" s="318"/>
      <c r="Q189" s="318"/>
      <c r="R189" s="318"/>
      <c r="S189" s="318"/>
      <c r="T189" s="319"/>
      <c r="U189" s="319"/>
      <c r="V189" s="319"/>
      <c r="W189" s="319"/>
      <c r="X189" s="319"/>
      <c r="Y189" s="319"/>
    </row>
    <row r="190" spans="1:29">
      <c r="B190" s="317" t="s">
        <v>1045</v>
      </c>
      <c r="D190" s="293">
        <f>D189-D191</f>
        <v>56003.233333333243</v>
      </c>
      <c r="E190" s="293">
        <f>E189-E191</f>
        <v>303609</v>
      </c>
      <c r="G190" s="318"/>
      <c r="H190" s="318"/>
      <c r="L190" s="318">
        <f>L13</f>
        <v>10</v>
      </c>
      <c r="M190" s="318"/>
      <c r="N190" s="318">
        <f>N13</f>
        <v>0</v>
      </c>
      <c r="O190" s="318"/>
      <c r="P190" s="318">
        <f>P13</f>
        <v>0</v>
      </c>
      <c r="Q190" s="318"/>
      <c r="R190" s="318">
        <f>R13</f>
        <v>10</v>
      </c>
      <c r="S190" s="318"/>
      <c r="T190" s="294">
        <f>ROUND($E190*L190,0)</f>
        <v>3036090</v>
      </c>
      <c r="U190" s="319"/>
      <c r="V190" s="294">
        <f>ROUND($E190*N190,0)</f>
        <v>0</v>
      </c>
      <c r="W190" s="319"/>
      <c r="X190" s="294">
        <f>ROUND($E190*P190,0)</f>
        <v>0</v>
      </c>
      <c r="Y190" s="319"/>
      <c r="Z190" s="294">
        <f>ROUND($E190*R190,0)</f>
        <v>3036090</v>
      </c>
    </row>
    <row r="191" spans="1:29">
      <c r="B191" s="317" t="s">
        <v>1046</v>
      </c>
      <c r="D191" s="293">
        <f>'[7]123'!AN20</f>
        <v>690.83333333333326</v>
      </c>
      <c r="E191" s="293">
        <f>ROUND(D191/D189*E189,0)</f>
        <v>3745</v>
      </c>
      <c r="G191" s="318"/>
      <c r="H191" s="318"/>
      <c r="L191" s="318">
        <f>L14</f>
        <v>6</v>
      </c>
      <c r="M191" s="318"/>
      <c r="N191" s="318">
        <f>N14</f>
        <v>0</v>
      </c>
      <c r="O191" s="318"/>
      <c r="P191" s="318">
        <f>P14</f>
        <v>0</v>
      </c>
      <c r="Q191" s="318"/>
      <c r="R191" s="318">
        <f>R14</f>
        <v>6</v>
      </c>
      <c r="S191" s="318"/>
      <c r="T191" s="294">
        <f>ROUND($E191*L191,0)</f>
        <v>22470</v>
      </c>
      <c r="U191" s="319"/>
      <c r="V191" s="294">
        <f>ROUND($E191*N191,0)</f>
        <v>0</v>
      </c>
      <c r="W191" s="319"/>
      <c r="X191" s="294">
        <f>ROUND($E191*P191,0)</f>
        <v>0</v>
      </c>
      <c r="Y191" s="319"/>
      <c r="Z191" s="294">
        <f>ROUND($E191*R191,0)</f>
        <v>22470</v>
      </c>
    </row>
    <row r="192" spans="1:29">
      <c r="B192" s="317" t="s">
        <v>1047</v>
      </c>
      <c r="D192" s="293">
        <f>'[7]123'!H20</f>
        <v>0</v>
      </c>
      <c r="E192" s="293">
        <f>E188-E189</f>
        <v>0</v>
      </c>
      <c r="G192" s="318">
        <v>12</v>
      </c>
      <c r="H192" s="318"/>
      <c r="I192" s="294">
        <f t="shared" si="83"/>
        <v>0</v>
      </c>
      <c r="J192" s="294">
        <f t="shared" si="83"/>
        <v>0</v>
      </c>
      <c r="L192" s="318"/>
      <c r="M192" s="318"/>
      <c r="N192" s="318"/>
      <c r="O192" s="318"/>
      <c r="P192" s="318"/>
      <c r="Q192" s="318"/>
      <c r="R192" s="318"/>
      <c r="S192" s="318"/>
      <c r="U192" s="319"/>
      <c r="W192" s="319"/>
      <c r="Y192" s="319"/>
    </row>
    <row r="193" spans="2:29">
      <c r="B193" s="317" t="s">
        <v>1045</v>
      </c>
      <c r="D193" s="293">
        <f>D192-D194</f>
        <v>0</v>
      </c>
      <c r="G193" s="318"/>
      <c r="H193" s="318"/>
      <c r="L193" s="318">
        <f>L16</f>
        <v>20</v>
      </c>
      <c r="M193" s="318"/>
      <c r="N193" s="318">
        <f>N16</f>
        <v>0</v>
      </c>
      <c r="O193" s="318"/>
      <c r="P193" s="318">
        <f>P16</f>
        <v>0</v>
      </c>
      <c r="Q193" s="318"/>
      <c r="R193" s="318">
        <f>R16</f>
        <v>20</v>
      </c>
      <c r="S193" s="318"/>
      <c r="T193" s="294">
        <f t="shared" ref="T193:T196" si="84">ROUND($E193*L193,0)</f>
        <v>0</v>
      </c>
      <c r="U193" s="319"/>
      <c r="V193" s="294">
        <f t="shared" ref="V193:Z196" si="85">ROUND($E193*N193,0)</f>
        <v>0</v>
      </c>
      <c r="W193" s="319"/>
      <c r="X193" s="294">
        <f t="shared" si="85"/>
        <v>0</v>
      </c>
      <c r="Y193" s="319"/>
      <c r="Z193" s="294">
        <f t="shared" si="85"/>
        <v>0</v>
      </c>
    </row>
    <row r="194" spans="2:29">
      <c r="B194" s="317" t="s">
        <v>1046</v>
      </c>
      <c r="D194" s="293">
        <f>'[7]123'!AO20</f>
        <v>0</v>
      </c>
      <c r="G194" s="318"/>
      <c r="H194" s="318"/>
      <c r="L194" s="318">
        <f>L17</f>
        <v>12</v>
      </c>
      <c r="M194" s="318"/>
      <c r="N194" s="318">
        <f>N17</f>
        <v>0</v>
      </c>
      <c r="O194" s="318"/>
      <c r="P194" s="318">
        <f>P17</f>
        <v>0</v>
      </c>
      <c r="Q194" s="318"/>
      <c r="R194" s="318">
        <f>R17</f>
        <v>12</v>
      </c>
      <c r="S194" s="318"/>
      <c r="T194" s="294">
        <f t="shared" si="84"/>
        <v>0</v>
      </c>
      <c r="U194" s="319"/>
      <c r="V194" s="294">
        <f t="shared" si="85"/>
        <v>0</v>
      </c>
      <c r="W194" s="319"/>
      <c r="X194" s="294">
        <f t="shared" si="85"/>
        <v>0</v>
      </c>
      <c r="Y194" s="319"/>
      <c r="Z194" s="294">
        <f t="shared" si="85"/>
        <v>0</v>
      </c>
    </row>
    <row r="195" spans="2:29">
      <c r="B195" s="317" t="s">
        <v>1050</v>
      </c>
      <c r="D195" s="293">
        <f>'[7]123'!AE20</f>
        <v>303.69499999999999</v>
      </c>
      <c r="E195" s="293">
        <f t="shared" ref="E195:E203" si="86">ROUND(D195/$D$188*$E$188,0)</f>
        <v>1646</v>
      </c>
      <c r="G195" s="318">
        <v>2</v>
      </c>
      <c r="H195" s="318"/>
      <c r="I195" s="294">
        <f t="shared" si="83"/>
        <v>607</v>
      </c>
      <c r="J195" s="294">
        <f t="shared" si="83"/>
        <v>3292</v>
      </c>
      <c r="L195" s="318">
        <f t="shared" ref="L195:L196" si="87">L18</f>
        <v>2</v>
      </c>
      <c r="M195" s="318"/>
      <c r="N195" s="318">
        <f t="shared" ref="N195:N196" si="88">N18</f>
        <v>0</v>
      </c>
      <c r="O195" s="318"/>
      <c r="P195" s="318">
        <f t="shared" ref="P195:P196" si="89">P18</f>
        <v>0</v>
      </c>
      <c r="Q195" s="318"/>
      <c r="R195" s="318">
        <f t="shared" ref="R195:R196" si="90">R18</f>
        <v>2</v>
      </c>
      <c r="S195" s="318"/>
      <c r="T195" s="294">
        <f t="shared" si="84"/>
        <v>3292</v>
      </c>
      <c r="U195" s="319"/>
      <c r="V195" s="294">
        <f t="shared" si="85"/>
        <v>0</v>
      </c>
      <c r="W195" s="319"/>
      <c r="X195" s="294">
        <f t="shared" si="85"/>
        <v>0</v>
      </c>
      <c r="Y195" s="319"/>
      <c r="Z195" s="294">
        <f t="shared" si="85"/>
        <v>3292</v>
      </c>
    </row>
    <row r="196" spans="2:29">
      <c r="B196" s="317" t="s">
        <v>1052</v>
      </c>
      <c r="D196" s="293">
        <f>'[7]123'!AM20</f>
        <v>0</v>
      </c>
      <c r="E196" s="293">
        <f t="shared" si="86"/>
        <v>0</v>
      </c>
      <c r="G196" s="318">
        <v>22</v>
      </c>
      <c r="H196" s="318"/>
      <c r="I196" s="294">
        <f t="shared" si="83"/>
        <v>0</v>
      </c>
      <c r="J196" s="294">
        <f t="shared" si="83"/>
        <v>0</v>
      </c>
      <c r="L196" s="318">
        <f t="shared" si="87"/>
        <v>22</v>
      </c>
      <c r="M196" s="318"/>
      <c r="N196" s="318">
        <f t="shared" si="88"/>
        <v>0</v>
      </c>
      <c r="O196" s="318"/>
      <c r="P196" s="318">
        <f t="shared" si="89"/>
        <v>0</v>
      </c>
      <c r="Q196" s="318"/>
      <c r="R196" s="318">
        <f t="shared" si="90"/>
        <v>22</v>
      </c>
      <c r="S196" s="318"/>
      <c r="T196" s="294">
        <f t="shared" si="84"/>
        <v>0</v>
      </c>
      <c r="U196" s="319"/>
      <c r="V196" s="294">
        <f t="shared" si="85"/>
        <v>0</v>
      </c>
      <c r="W196" s="319"/>
      <c r="X196" s="294">
        <f t="shared" si="85"/>
        <v>0</v>
      </c>
      <c r="Y196" s="319"/>
      <c r="Z196" s="294">
        <f t="shared" si="85"/>
        <v>0</v>
      </c>
    </row>
    <row r="197" spans="2:29">
      <c r="B197" s="317" t="s">
        <v>1054</v>
      </c>
      <c r="D197" s="293">
        <f>'[7]123'!I20</f>
        <v>13201.804999999977</v>
      </c>
      <c r="E197" s="293">
        <f t="shared" si="86"/>
        <v>71571</v>
      </c>
      <c r="G197" s="318">
        <v>8</v>
      </c>
      <c r="H197" s="318"/>
      <c r="I197" s="294">
        <f t="shared" si="83"/>
        <v>105614</v>
      </c>
      <c r="J197" s="294">
        <f t="shared" si="83"/>
        <v>572568</v>
      </c>
      <c r="L197" s="318"/>
      <c r="M197" s="318"/>
      <c r="N197" s="318"/>
      <c r="O197" s="318"/>
      <c r="P197" s="318"/>
      <c r="Q197" s="318"/>
      <c r="R197" s="318"/>
      <c r="S197" s="318"/>
      <c r="U197" s="319"/>
      <c r="W197" s="319"/>
      <c r="Y197" s="319"/>
    </row>
    <row r="198" spans="2:29">
      <c r="B198" s="317" t="s">
        <v>1045</v>
      </c>
      <c r="D198" s="293">
        <f>D197-D199</f>
        <v>13106.414999999977</v>
      </c>
      <c r="E198" s="293">
        <f>E197-E199</f>
        <v>71054</v>
      </c>
      <c r="G198" s="318"/>
      <c r="H198" s="318"/>
      <c r="L198" s="318"/>
      <c r="M198" s="318"/>
      <c r="N198" s="318"/>
      <c r="O198" s="318"/>
      <c r="P198" s="318"/>
      <c r="Q198" s="318"/>
      <c r="R198" s="318"/>
      <c r="S198" s="318"/>
      <c r="U198" s="319"/>
      <c r="W198" s="319"/>
      <c r="Y198" s="319"/>
    </row>
    <row r="199" spans="2:29">
      <c r="B199" s="317" t="s">
        <v>1046</v>
      </c>
      <c r="D199" s="293">
        <f>'[7]123'!AP20</f>
        <v>95.39</v>
      </c>
      <c r="E199" s="293">
        <f>ROUND(D199/D197*E197,0)</f>
        <v>517</v>
      </c>
      <c r="G199" s="318"/>
      <c r="H199" s="318"/>
      <c r="L199" s="318"/>
      <c r="M199" s="318"/>
      <c r="N199" s="318"/>
      <c r="O199" s="318"/>
      <c r="P199" s="318"/>
      <c r="Q199" s="318"/>
      <c r="R199" s="318"/>
      <c r="S199" s="318"/>
      <c r="U199" s="319"/>
      <c r="W199" s="319"/>
      <c r="Y199" s="319"/>
    </row>
    <row r="200" spans="2:29">
      <c r="B200" s="317" t="s">
        <v>1056</v>
      </c>
      <c r="D200" s="293">
        <f>'[7]123'!J20</f>
        <v>0</v>
      </c>
      <c r="E200" s="293">
        <f t="shared" si="86"/>
        <v>0</v>
      </c>
      <c r="G200" s="318">
        <v>16</v>
      </c>
      <c r="H200" s="318"/>
      <c r="I200" s="294">
        <f t="shared" si="83"/>
        <v>0</v>
      </c>
      <c r="J200" s="294">
        <f t="shared" si="83"/>
        <v>0</v>
      </c>
      <c r="L200" s="318"/>
      <c r="M200" s="318"/>
      <c r="N200" s="318"/>
      <c r="O200" s="318"/>
      <c r="P200" s="318"/>
      <c r="Q200" s="318"/>
      <c r="R200" s="318"/>
      <c r="S200" s="318"/>
      <c r="U200" s="319"/>
      <c r="W200" s="319"/>
      <c r="Y200" s="319"/>
    </row>
    <row r="201" spans="2:29">
      <c r="B201" s="317" t="s">
        <v>1045</v>
      </c>
      <c r="D201" s="293">
        <f>D200-D202</f>
        <v>0</v>
      </c>
      <c r="G201" s="318"/>
      <c r="H201" s="318"/>
      <c r="L201" s="318"/>
      <c r="M201" s="318"/>
      <c r="N201" s="318"/>
      <c r="O201" s="318"/>
      <c r="P201" s="318"/>
      <c r="Q201" s="318"/>
      <c r="R201" s="318"/>
      <c r="S201" s="318"/>
      <c r="U201" s="319"/>
      <c r="W201" s="319"/>
      <c r="Y201" s="319"/>
    </row>
    <row r="202" spans="2:29">
      <c r="B202" s="317" t="s">
        <v>1046</v>
      </c>
      <c r="D202" s="293">
        <f>'[7]123'!AQ20</f>
        <v>0</v>
      </c>
      <c r="G202" s="318"/>
      <c r="H202" s="318"/>
      <c r="L202" s="318"/>
      <c r="M202" s="318"/>
      <c r="N202" s="318"/>
      <c r="O202" s="318"/>
      <c r="P202" s="318"/>
      <c r="Q202" s="318"/>
      <c r="R202" s="318"/>
      <c r="S202" s="318"/>
      <c r="U202" s="319"/>
      <c r="W202" s="319"/>
      <c r="Y202" s="319"/>
    </row>
    <row r="203" spans="2:29">
      <c r="B203" s="317" t="s">
        <v>1059</v>
      </c>
      <c r="D203" s="293">
        <f>'[7]123'!AL20</f>
        <v>0</v>
      </c>
      <c r="E203" s="293">
        <f t="shared" si="86"/>
        <v>0</v>
      </c>
      <c r="G203" s="318">
        <v>96</v>
      </c>
      <c r="H203" s="318"/>
      <c r="I203" s="294">
        <f t="shared" si="83"/>
        <v>0</v>
      </c>
      <c r="J203" s="294">
        <f t="shared" si="83"/>
        <v>0</v>
      </c>
      <c r="L203" s="318"/>
      <c r="M203" s="318"/>
      <c r="N203" s="318"/>
      <c r="O203" s="318"/>
      <c r="P203" s="318"/>
      <c r="Q203" s="318"/>
      <c r="R203" s="318"/>
      <c r="S203" s="318"/>
      <c r="U203" s="319"/>
      <c r="W203" s="319"/>
      <c r="Y203" s="319"/>
      <c r="AB203" s="305"/>
      <c r="AC203" s="341"/>
    </row>
    <row r="204" spans="2:29">
      <c r="B204" s="317" t="s">
        <v>1061</v>
      </c>
      <c r="D204" s="293">
        <f>'[7]123'!S20+'[7]123May'!J20</f>
        <v>1101.0139275766016</v>
      </c>
      <c r="E204" s="293">
        <f>ROUND(D204/SUM($D$206:$D$208)*(([7]Energy!$S$23+[7]Energy!$S$24+[7]Energy!$S$25)*(1-1/([7]Energy!$P$23+[7]Energy!$P$24+[7]Energy!$P$25)*($E$218+$E$221))),0)</f>
        <v>5690</v>
      </c>
      <c r="G204" s="342"/>
      <c r="H204" s="343"/>
      <c r="L204" s="342">
        <f>L27</f>
        <v>0</v>
      </c>
      <c r="M204" s="343" t="s">
        <v>1062</v>
      </c>
      <c r="N204" s="342">
        <f>N27</f>
        <v>0</v>
      </c>
      <c r="O204" s="343" t="s">
        <v>1062</v>
      </c>
      <c r="P204" s="342">
        <f>P27</f>
        <v>4.3559999999999999</v>
      </c>
      <c r="Q204" s="343" t="s">
        <v>1062</v>
      </c>
      <c r="R204" s="342">
        <f t="shared" ref="R204:R210" si="91">R27</f>
        <v>4.3559999999999999</v>
      </c>
      <c r="S204" s="343" t="s">
        <v>1062</v>
      </c>
      <c r="T204" s="294">
        <f>ROUND($E204*L204/100,0)</f>
        <v>0</v>
      </c>
      <c r="U204" s="345"/>
      <c r="V204" s="294">
        <f>ROUND($E204*N204/100,0)</f>
        <v>0</v>
      </c>
      <c r="W204" s="345"/>
      <c r="X204" s="294">
        <f>ROUND($E204*P204/100,0)</f>
        <v>248</v>
      </c>
      <c r="Y204" s="346"/>
      <c r="Z204" s="294">
        <f>ROUND($E204*R204/100,0)</f>
        <v>248</v>
      </c>
      <c r="AB204" s="305"/>
      <c r="AC204" s="341"/>
    </row>
    <row r="205" spans="2:29">
      <c r="B205" s="317" t="s">
        <v>1064</v>
      </c>
      <c r="D205" s="293">
        <f>'[7]123'!T20+'[7]123May'!K20</f>
        <v>6841.8412256267411</v>
      </c>
      <c r="E205" s="293">
        <f>ROUND(D205/SUM($D$206:$D$208)*(([7]Energy!$S$23+[7]Energy!$S$24+[7]Energy!$S$25)*(1-1/([7]Energy!$P$23+[7]Energy!$P$24+[7]Energy!$P$25)*($E$218+$E$221))),0)</f>
        <v>35358</v>
      </c>
      <c r="G205" s="342"/>
      <c r="H205" s="343"/>
      <c r="L205" s="342">
        <f t="shared" ref="L205:L210" si="92">L28</f>
        <v>0</v>
      </c>
      <c r="M205" s="343" t="s">
        <v>1062</v>
      </c>
      <c r="N205" s="342">
        <f t="shared" ref="N205:N210" si="93">N28</f>
        <v>0</v>
      </c>
      <c r="O205" s="343" t="s">
        <v>1062</v>
      </c>
      <c r="P205" s="342">
        <f t="shared" ref="P205:P210" si="94">P28</f>
        <v>-1.6334</v>
      </c>
      <c r="Q205" s="343" t="s">
        <v>1062</v>
      </c>
      <c r="R205" s="342">
        <f t="shared" si="91"/>
        <v>-1.6334</v>
      </c>
      <c r="S205" s="343" t="s">
        <v>1062</v>
      </c>
      <c r="T205" s="294">
        <f>ROUND($E205*L205/100,0)</f>
        <v>0</v>
      </c>
      <c r="U205" s="345"/>
      <c r="V205" s="294">
        <f>ROUND($E205*N205/100,0)</f>
        <v>0</v>
      </c>
      <c r="W205" s="345"/>
      <c r="X205" s="294">
        <f>ROUND($E205*P205/100,0)</f>
        <v>-578</v>
      </c>
      <c r="Y205" s="346"/>
      <c r="Z205" s="294">
        <f>ROUND($E205*R205/100,0)</f>
        <v>-578</v>
      </c>
      <c r="AB205" s="305"/>
      <c r="AC205" s="341"/>
    </row>
    <row r="206" spans="2:29">
      <c r="B206" s="317" t="s">
        <v>1065</v>
      </c>
      <c r="D206" s="293">
        <f>'[7]123'!P20+[7]TempRevMay!M309+'[7]123May'!G20+'[7]123May'!Q20</f>
        <v>7489143.5454950463</v>
      </c>
      <c r="E206" s="293">
        <f>E222-SUM(E207:E210,E218:E221)</f>
        <v>38703048.189910412</v>
      </c>
      <c r="G206" s="350"/>
      <c r="H206" s="343"/>
      <c r="L206" s="350">
        <f t="shared" ca="1" si="92"/>
        <v>2.7837000000000001</v>
      </c>
      <c r="M206" s="343" t="s">
        <v>1062</v>
      </c>
      <c r="N206" s="350">
        <f t="shared" si="93"/>
        <v>5.4090999999999996</v>
      </c>
      <c r="O206" s="343" t="s">
        <v>1062</v>
      </c>
      <c r="P206" s="350">
        <f t="shared" ca="1" si="94"/>
        <v>1.3352230898834678</v>
      </c>
      <c r="Q206" s="343" t="s">
        <v>1062</v>
      </c>
      <c r="R206" s="350">
        <f t="shared" si="91"/>
        <v>9.528023089883467</v>
      </c>
      <c r="S206" s="343" t="s">
        <v>1062</v>
      </c>
      <c r="T206" s="294">
        <f t="shared" ref="T206:T210" ca="1" si="95">ROUND($E206*L206/100,0)</f>
        <v>1077377</v>
      </c>
      <c r="U206" s="345"/>
      <c r="V206" s="294">
        <f t="shared" ref="V206:Z210" si="96">ROUND($E206*N206/100,0)</f>
        <v>2093487</v>
      </c>
      <c r="W206" s="345"/>
      <c r="X206" s="294">
        <f t="shared" ca="1" si="96"/>
        <v>516772</v>
      </c>
      <c r="Y206" s="346"/>
      <c r="Z206" s="294">
        <f t="shared" si="96"/>
        <v>3687635</v>
      </c>
    </row>
    <row r="207" spans="2:29">
      <c r="B207" s="317" t="s">
        <v>1066</v>
      </c>
      <c r="D207" s="293">
        <f>'[7]123'!Q20+[7]TempRevMay!M310+'[7]123May'!H20+'[7]123May'!R20</f>
        <v>5194029.4005090147</v>
      </c>
      <c r="E207" s="293">
        <f>ROUND(D207/SUM($D$206:$D$208)*(([7]Energy!$S$23+[7]Energy!$S$24+[7]Energy!$S$25)*(1-1/([7]Energy!$P$23+[7]Energy!$P$24+[7]Energy!$P$25)*($E$218+$E$221))),0)</f>
        <v>26842157</v>
      </c>
      <c r="G207" s="350"/>
      <c r="H207" s="343"/>
      <c r="L207" s="350">
        <f t="shared" ca="1" si="92"/>
        <v>2.7837000000000001</v>
      </c>
      <c r="M207" s="343" t="s">
        <v>1062</v>
      </c>
      <c r="N207" s="350">
        <f t="shared" si="93"/>
        <v>5.4090999999999996</v>
      </c>
      <c r="O207" s="343" t="s">
        <v>1062</v>
      </c>
      <c r="P207" s="350">
        <f t="shared" ca="1" si="94"/>
        <v>4.0283230898834672</v>
      </c>
      <c r="Q207" s="343" t="s">
        <v>1062</v>
      </c>
      <c r="R207" s="350">
        <f t="shared" si="91"/>
        <v>12.221123089883466</v>
      </c>
      <c r="S207" s="343" t="s">
        <v>1062</v>
      </c>
      <c r="T207" s="294">
        <f t="shared" ca="1" si="95"/>
        <v>747205</v>
      </c>
      <c r="U207" s="345"/>
      <c r="V207" s="294">
        <f t="shared" si="96"/>
        <v>1451919</v>
      </c>
      <c r="W207" s="345"/>
      <c r="X207" s="294">
        <f t="shared" ca="1" si="96"/>
        <v>1081289</v>
      </c>
      <c r="Y207" s="346"/>
      <c r="Z207" s="294">
        <f t="shared" si="96"/>
        <v>3280413</v>
      </c>
    </row>
    <row r="208" spans="2:29">
      <c r="B208" s="317" t="s">
        <v>1067</v>
      </c>
      <c r="D208" s="293">
        <f>'[7]123'!R20+[7]TempRevMay!M311+'[7]123May'!I20+'[7]123May'!S20</f>
        <v>1470728.1321477473</v>
      </c>
      <c r="E208" s="293">
        <f>ROUND(D208/SUM($D$206:$D$208)*(([7]Energy!$S$23+[7]Energy!$S$24+[7]Energy!$S$25)*(1-1/([7]Energy!$P$23+[7]Energy!$P$24+[7]Energy!$P$25)*($E$218+$E$221))),0)</f>
        <v>7600557</v>
      </c>
      <c r="G208" s="350"/>
      <c r="H208" s="343"/>
      <c r="L208" s="350">
        <f t="shared" ca="1" si="92"/>
        <v>2.7837000000000001</v>
      </c>
      <c r="M208" s="343" t="s">
        <v>1062</v>
      </c>
      <c r="N208" s="350">
        <f t="shared" si="93"/>
        <v>5.4090999999999996</v>
      </c>
      <c r="O208" s="343" t="s">
        <v>1062</v>
      </c>
      <c r="P208" s="350">
        <f t="shared" ca="1" si="94"/>
        <v>4.0283230898834672</v>
      </c>
      <c r="Q208" s="343" t="s">
        <v>1062</v>
      </c>
      <c r="R208" s="350">
        <f t="shared" si="91"/>
        <v>12.221123089883466</v>
      </c>
      <c r="S208" s="343" t="s">
        <v>1062</v>
      </c>
      <c r="T208" s="294">
        <f t="shared" ca="1" si="95"/>
        <v>211577</v>
      </c>
      <c r="U208" s="345"/>
      <c r="V208" s="294">
        <f t="shared" si="96"/>
        <v>411122</v>
      </c>
      <c r="W208" s="345"/>
      <c r="X208" s="294">
        <f t="shared" ca="1" si="96"/>
        <v>306175</v>
      </c>
      <c r="Y208" s="346"/>
      <c r="Z208" s="294">
        <f t="shared" si="96"/>
        <v>928873</v>
      </c>
    </row>
    <row r="209" spans="1:29">
      <c r="B209" s="317" t="s">
        <v>1068</v>
      </c>
      <c r="C209" s="349"/>
      <c r="D209" s="293">
        <f>'[7]123'!M20+[7]TempRevMay!M312+'[7]123May'!D20+'[7]123May'!T20</f>
        <v>12939891.563608348</v>
      </c>
      <c r="E209" s="293">
        <f>ROUND(D209/SUM($D$209:$D$210)*(([7]Energy!$T$23+[7]Energy!$T$24+[7]Energy!$T$25)*(1-1/([7]Energy!$P$23+[7]Energy!$P$24+[7]Energy!$P$25)*($E$218+$E$221))),0)</f>
        <v>68555364</v>
      </c>
      <c r="F209" s="349"/>
      <c r="G209" s="350"/>
      <c r="H209" s="343"/>
      <c r="K209" s="349"/>
      <c r="L209" s="350">
        <f t="shared" ca="1" si="92"/>
        <v>2.7837000000000001</v>
      </c>
      <c r="M209" s="343" t="s">
        <v>1062</v>
      </c>
      <c r="N209" s="350">
        <f t="shared" si="93"/>
        <v>5.4090999999999996</v>
      </c>
      <c r="O209" s="343" t="s">
        <v>1062</v>
      </c>
      <c r="P209" s="350">
        <f t="shared" ca="1" si="94"/>
        <v>0.23907884060500084</v>
      </c>
      <c r="Q209" s="343" t="s">
        <v>1062</v>
      </c>
      <c r="R209" s="350">
        <f t="shared" si="91"/>
        <v>8.431878840605</v>
      </c>
      <c r="S209" s="343" t="s">
        <v>1062</v>
      </c>
      <c r="T209" s="294">
        <f t="shared" ca="1" si="95"/>
        <v>1908376</v>
      </c>
      <c r="U209" s="345"/>
      <c r="V209" s="294">
        <f t="shared" si="96"/>
        <v>3708228</v>
      </c>
      <c r="W209" s="345"/>
      <c r="X209" s="294">
        <f t="shared" ca="1" si="96"/>
        <v>163901</v>
      </c>
      <c r="Y209" s="346"/>
      <c r="Z209" s="294">
        <f t="shared" si="96"/>
        <v>5780505</v>
      </c>
    </row>
    <row r="210" spans="1:29">
      <c r="B210" s="317" t="s">
        <v>1069</v>
      </c>
      <c r="C210" s="349"/>
      <c r="D210" s="293">
        <f>'[7]123'!N20+[7]TempRevMay!M313+'[7]123May'!E20+'[7]123May'!U20</f>
        <v>9646843.8093998432</v>
      </c>
      <c r="E210" s="293">
        <f>ROUND(D210/SUM($D$209:$D$210)*(([7]Energy!$T$23+[7]Energy!$T$24+[7]Energy!$T$25)*(1-1/([7]Energy!$P$23+[7]Energy!$P$24+[7]Energy!$P$25)*($E$218+$E$221))),0)</f>
        <v>51108843</v>
      </c>
      <c r="F210" s="349"/>
      <c r="G210" s="350"/>
      <c r="H210" s="343"/>
      <c r="K210" s="349"/>
      <c r="L210" s="350">
        <f t="shared" ca="1" si="92"/>
        <v>2.7837000000000001</v>
      </c>
      <c r="M210" s="343" t="s">
        <v>1062</v>
      </c>
      <c r="N210" s="350">
        <f t="shared" si="93"/>
        <v>5.4090999999999996</v>
      </c>
      <c r="O210" s="343" t="s">
        <v>1062</v>
      </c>
      <c r="P210" s="350">
        <f t="shared" ca="1" si="94"/>
        <v>2.6223531768880006</v>
      </c>
      <c r="Q210" s="343" t="s">
        <v>1062</v>
      </c>
      <c r="R210" s="350">
        <f t="shared" si="91"/>
        <v>10.815153176888</v>
      </c>
      <c r="S210" s="343" t="s">
        <v>1062</v>
      </c>
      <c r="T210" s="294">
        <f t="shared" ca="1" si="95"/>
        <v>1422717</v>
      </c>
      <c r="U210" s="345"/>
      <c r="V210" s="294">
        <f t="shared" si="96"/>
        <v>2764528</v>
      </c>
      <c r="W210" s="345"/>
      <c r="X210" s="294">
        <f t="shared" ca="1" si="96"/>
        <v>1340254</v>
      </c>
      <c r="Y210" s="346"/>
      <c r="Z210" s="294">
        <f t="shared" si="96"/>
        <v>5527500</v>
      </c>
    </row>
    <row r="211" spans="1:29">
      <c r="B211" s="317" t="s">
        <v>1070</v>
      </c>
      <c r="D211" s="293">
        <f>'[7]123'!S20</f>
        <v>1261</v>
      </c>
      <c r="E211" s="293">
        <f>ROUND(D211/SUM($D$213:$D$215)*(([7]Energy!$Q$23+[7]Energy!$Q$24+[7]Energy!$Q$25)*(1-1/([7]Energy!$P$23+[7]Energy!$P$24+[7]Energy!$P$25)*($E$218+$E$221))),0)</f>
        <v>6621</v>
      </c>
      <c r="G211" s="342">
        <v>4.3559999999999999</v>
      </c>
      <c r="H211" s="343" t="s">
        <v>1062</v>
      </c>
      <c r="I211" s="294">
        <f t="shared" ref="I211:J218" si="97">ROUND($G211*D211/100,0)</f>
        <v>55</v>
      </c>
      <c r="J211" s="294">
        <f t="shared" si="97"/>
        <v>288</v>
      </c>
      <c r="L211" s="342"/>
      <c r="M211" s="343"/>
      <c r="N211" s="342"/>
      <c r="O211" s="343"/>
      <c r="P211" s="342"/>
      <c r="Q211" s="343"/>
      <c r="R211" s="342"/>
      <c r="S211" s="343"/>
      <c r="U211" s="346"/>
      <c r="W211" s="346"/>
      <c r="Y211" s="346"/>
    </row>
    <row r="212" spans="1:29">
      <c r="B212" s="317" t="s">
        <v>1071</v>
      </c>
      <c r="D212" s="293">
        <f>'[7]123'!T20</f>
        <v>8120</v>
      </c>
      <c r="E212" s="293">
        <f>ROUND(D212/SUM($D$213:$D$215)*(([7]Energy!$Q$23+[7]Energy!$Q$24+[7]Energy!$Q$25)*(1-1/([7]Energy!$P$23+[7]Energy!$P$24+[7]Energy!$P$25)*($E$218+$E$221))),0)</f>
        <v>42635</v>
      </c>
      <c r="G212" s="342">
        <v>-1.6334</v>
      </c>
      <c r="H212" s="343" t="s">
        <v>1062</v>
      </c>
      <c r="I212" s="294">
        <f t="shared" si="97"/>
        <v>-133</v>
      </c>
      <c r="J212" s="294">
        <f t="shared" si="97"/>
        <v>-696</v>
      </c>
      <c r="L212" s="342"/>
      <c r="M212" s="343"/>
      <c r="N212" s="342"/>
      <c r="O212" s="343"/>
      <c r="P212" s="342"/>
      <c r="Q212" s="343"/>
      <c r="R212" s="342"/>
      <c r="S212" s="343"/>
      <c r="U212" s="346"/>
      <c r="W212" s="346"/>
      <c r="Y212" s="346"/>
    </row>
    <row r="213" spans="1:29">
      <c r="B213" s="317" t="s">
        <v>1072</v>
      </c>
      <c r="D213" s="293">
        <f>'[7]123'!P20+[7]TempRev!M309</f>
        <v>8940821.074906487</v>
      </c>
      <c r="E213" s="293">
        <f>E222-SUM(E214:E221)</f>
        <v>46944979.189910412</v>
      </c>
      <c r="G213" s="350">
        <v>8.8498000000000001</v>
      </c>
      <c r="H213" s="343" t="s">
        <v>1062</v>
      </c>
      <c r="I213" s="294">
        <f t="shared" si="97"/>
        <v>791245</v>
      </c>
      <c r="J213" s="294">
        <f t="shared" si="97"/>
        <v>4154537</v>
      </c>
      <c r="L213" s="350"/>
      <c r="M213" s="343"/>
      <c r="N213" s="350"/>
      <c r="O213" s="343"/>
      <c r="P213" s="350"/>
      <c r="Q213" s="343"/>
      <c r="R213" s="350"/>
      <c r="S213" s="343"/>
      <c r="U213" s="346"/>
      <c r="W213" s="346"/>
      <c r="Y213" s="346"/>
    </row>
    <row r="214" spans="1:29">
      <c r="B214" s="317" t="s">
        <v>1073</v>
      </c>
      <c r="D214" s="293">
        <f>'[7]123'!Q20+[7]TempRev!M310</f>
        <v>5582947.6547998888</v>
      </c>
      <c r="E214" s="293">
        <f>ROUND(D214/SUM($D$213:$D$215)*(([7]Energy!$Q$23+[7]Energy!$Q$24+[7]Energy!$Q$25)*(1-1/([7]Energy!$P$23+[7]Energy!$P$24+[7]Energy!$P$25)*($E$218+$E$221))),0)</f>
        <v>29314016</v>
      </c>
      <c r="G214" s="350">
        <v>11.542899999999999</v>
      </c>
      <c r="H214" s="343" t="s">
        <v>1062</v>
      </c>
      <c r="I214" s="294">
        <f t="shared" si="97"/>
        <v>644434</v>
      </c>
      <c r="J214" s="294">
        <f t="shared" si="97"/>
        <v>3383688</v>
      </c>
      <c r="L214" s="350"/>
      <c r="M214" s="343"/>
      <c r="N214" s="350"/>
      <c r="O214" s="343"/>
      <c r="P214" s="350"/>
      <c r="Q214" s="343"/>
      <c r="R214" s="350"/>
      <c r="S214" s="343"/>
      <c r="U214" s="346"/>
      <c r="W214" s="346"/>
      <c r="Y214" s="346"/>
    </row>
    <row r="215" spans="1:29">
      <c r="B215" s="317" t="s">
        <v>1074</v>
      </c>
      <c r="D215" s="293">
        <f>'[7]123'!R20+[7]TempRev!M311</f>
        <v>1581971.162817372</v>
      </c>
      <c r="E215" s="293">
        <f>ROUND(D215/SUM($D$213:$D$215)*(([7]Energy!$Q$23+[7]Energy!$Q$24+[7]Energy!$Q$25)*(1-1/([7]Energy!$P$23+[7]Energy!$P$24+[7]Energy!$P$25)*($E$218+$E$221))),0)</f>
        <v>8306352</v>
      </c>
      <c r="G215" s="350">
        <v>14.450799999999999</v>
      </c>
      <c r="H215" s="343" t="s">
        <v>1062</v>
      </c>
      <c r="I215" s="294">
        <f t="shared" si="97"/>
        <v>228607</v>
      </c>
      <c r="J215" s="294">
        <f t="shared" si="97"/>
        <v>1200334</v>
      </c>
      <c r="L215" s="350"/>
      <c r="M215" s="343"/>
      <c r="N215" s="350"/>
      <c r="O215" s="343"/>
      <c r="P215" s="350"/>
      <c r="Q215" s="343"/>
      <c r="R215" s="350"/>
      <c r="S215" s="343"/>
      <c r="U215" s="346"/>
      <c r="W215" s="346"/>
      <c r="Y215" s="346"/>
    </row>
    <row r="216" spans="1:29">
      <c r="B216" s="317" t="s">
        <v>1075</v>
      </c>
      <c r="C216" s="349"/>
      <c r="D216" s="293">
        <f>'[7]123'!M20+[7]TempRev!M312</f>
        <v>11556636.628071776</v>
      </c>
      <c r="E216" s="293">
        <f>ROUND(D216/SUM($D$216:$D$217)*(([7]Energy!$R$23+[7]Energy!$R$24+[7]Energy!$R$25)*(1-1/([7]Energy!$P$23+[7]Energy!$P$24+[7]Energy!$P$25)*($E$218+$E$221))),0)</f>
        <v>60622730</v>
      </c>
      <c r="F216" s="349"/>
      <c r="G216" s="350">
        <v>8.8498000000000001</v>
      </c>
      <c r="H216" s="343" t="s">
        <v>1062</v>
      </c>
      <c r="I216" s="294">
        <f t="shared" si="97"/>
        <v>1022739</v>
      </c>
      <c r="J216" s="294">
        <f t="shared" si="97"/>
        <v>5364990</v>
      </c>
      <c r="K216" s="349"/>
      <c r="L216" s="350"/>
      <c r="M216" s="343"/>
      <c r="N216" s="350"/>
      <c r="O216" s="343"/>
      <c r="P216" s="350"/>
      <c r="Q216" s="343"/>
      <c r="R216" s="350"/>
      <c r="S216" s="343"/>
      <c r="U216" s="346"/>
      <c r="W216" s="346"/>
      <c r="Y216" s="346"/>
    </row>
    <row r="217" spans="1:29">
      <c r="B217" s="317" t="s">
        <v>1076</v>
      </c>
      <c r="C217" s="349"/>
      <c r="D217" s="293">
        <f>'[7]123'!N20+[7]TempRev!M313</f>
        <v>9078259.9305644762</v>
      </c>
      <c r="E217" s="293">
        <f>ROUND(D217/SUM($D$216:$D$217)*(([7]Energy!$R$23+[7]Energy!$R$24+[7]Energy!$R$25)*(1-1/([7]Energy!$P$23+[7]Energy!$P$24+[7]Energy!$P$25)*($E$218+$E$221))),0)</f>
        <v>47621892</v>
      </c>
      <c r="F217" s="349"/>
      <c r="G217" s="350">
        <v>10.7072</v>
      </c>
      <c r="H217" s="343" t="s">
        <v>1062</v>
      </c>
      <c r="I217" s="294">
        <f t="shared" si="97"/>
        <v>972027</v>
      </c>
      <c r="J217" s="294">
        <f t="shared" si="97"/>
        <v>5098971</v>
      </c>
      <c r="K217" s="349"/>
      <c r="L217" s="350"/>
      <c r="M217" s="343"/>
      <c r="N217" s="350"/>
      <c r="O217" s="343"/>
      <c r="P217" s="350"/>
      <c r="Q217" s="343"/>
      <c r="R217" s="350"/>
      <c r="S217" s="343"/>
      <c r="U217" s="346"/>
      <c r="W217" s="346"/>
      <c r="Y217" s="346"/>
    </row>
    <row r="218" spans="1:29">
      <c r="B218" s="353" t="s">
        <v>1077</v>
      </c>
      <c r="C218" s="354"/>
      <c r="D218" s="355">
        <f>'[7]123'!X20</f>
        <v>0</v>
      </c>
      <c r="E218" s="293">
        <f>ROUND(D218/($D$222-$D$219)*$E$222,0)</f>
        <v>0</v>
      </c>
      <c r="F218" s="354"/>
      <c r="G218" s="351">
        <v>11.7033</v>
      </c>
      <c r="H218" s="356" t="s">
        <v>1062</v>
      </c>
      <c r="I218" s="325">
        <f t="shared" si="97"/>
        <v>0</v>
      </c>
      <c r="J218" s="325">
        <f t="shared" si="97"/>
        <v>0</v>
      </c>
      <c r="K218" s="354"/>
      <c r="L218" s="350">
        <f t="shared" ref="L218" ca="1" si="98">L41</f>
        <v>2.7837000000000001</v>
      </c>
      <c r="M218" s="343" t="s">
        <v>1062</v>
      </c>
      <c r="N218" s="350">
        <f t="shared" ref="N218" si="99">N41</f>
        <v>7.7249999999999996</v>
      </c>
      <c r="O218" s="343" t="s">
        <v>1062</v>
      </c>
      <c r="P218" s="350">
        <f t="shared" ref="P218" ca="1" si="100">P41</f>
        <v>0</v>
      </c>
      <c r="Q218" s="343" t="s">
        <v>1062</v>
      </c>
      <c r="R218" s="350">
        <f t="shared" ref="R218" si="101">R41</f>
        <v>10.508699999999999</v>
      </c>
      <c r="S218" s="343" t="s">
        <v>1062</v>
      </c>
      <c r="T218" s="294">
        <f t="shared" ref="T218" ca="1" si="102">ROUND($E218*L218/100,0)</f>
        <v>0</v>
      </c>
      <c r="U218" s="345"/>
      <c r="V218" s="294">
        <f t="shared" ref="V218:Z218" si="103">ROUND($E218*N218/100,0)</f>
        <v>0</v>
      </c>
      <c r="W218" s="345"/>
      <c r="X218" s="294">
        <f t="shared" ca="1" si="103"/>
        <v>0</v>
      </c>
      <c r="Y218" s="345"/>
      <c r="Z218" s="294">
        <f t="shared" si="103"/>
        <v>0</v>
      </c>
      <c r="AB218" s="305" t="s">
        <v>1058</v>
      </c>
      <c r="AC218" s="341">
        <f>ROUND(E222/(E188),0)</f>
        <v>627</v>
      </c>
    </row>
    <row r="219" spans="1:29">
      <c r="B219" s="317" t="s">
        <v>1078</v>
      </c>
      <c r="D219" s="357">
        <f>'[7]Table 2'!J17</f>
        <v>209507</v>
      </c>
      <c r="E219" s="357">
        <v>0</v>
      </c>
      <c r="I219" s="358">
        <f>'[7]Table 3'!F17</f>
        <v>24549</v>
      </c>
      <c r="J219" s="358">
        <v>0</v>
      </c>
      <c r="Z219" s="358">
        <v>0</v>
      </c>
      <c r="AB219" s="305" t="s">
        <v>1060</v>
      </c>
      <c r="AC219" s="341">
        <f>ROUND(SUM(E206:E208,(E218+E221)*4/12)/((E188)*4/12),0)</f>
        <v>714</v>
      </c>
    </row>
    <row r="220" spans="1:29">
      <c r="B220" s="317" t="s">
        <v>1079</v>
      </c>
      <c r="G220" s="338">
        <v>-3.9100000000000003E-2</v>
      </c>
      <c r="H220" s="339"/>
      <c r="I220" s="294">
        <f>SUM(I213:I215,I216:I218)*$G220</f>
        <v>-143068.9332</v>
      </c>
      <c r="J220" s="294">
        <f>SUM(J213:J215,J216:J218)*$G220</f>
        <v>-750818.53200000001</v>
      </c>
      <c r="L220" s="338"/>
      <c r="M220" s="339"/>
      <c r="N220" s="338"/>
      <c r="O220" s="339"/>
      <c r="P220" s="338" t="str">
        <f>$P$43</f>
        <v>Tax Year 1</v>
      </c>
      <c r="Q220" s="339"/>
      <c r="R220" s="338">
        <f>$R$43</f>
        <v>-2.76E-2</v>
      </c>
      <c r="S220" s="339"/>
      <c r="Z220" s="294">
        <f>R220*SUM(Z206:Z210,Z218)</f>
        <v>-530055.95759999997</v>
      </c>
      <c r="AB220" s="305" t="s">
        <v>1063</v>
      </c>
      <c r="AC220" s="341">
        <f>ROUND(SUM(E209:E210,(E218+E221)*8/12)/((E188)*8/12),0)</f>
        <v>584</v>
      </c>
    </row>
    <row r="221" spans="1:29">
      <c r="B221" s="353" t="s">
        <v>1082</v>
      </c>
      <c r="D221" s="293">
        <f>'[7]123'!AX20</f>
        <v>0</v>
      </c>
      <c r="E221" s="293">
        <f>ROUND(D221/($D$222-$D$219)*$E$222,0)</f>
        <v>0</v>
      </c>
      <c r="G221" s="338"/>
      <c r="H221" s="339"/>
      <c r="L221" s="338"/>
      <c r="M221" s="339"/>
      <c r="N221" s="338"/>
      <c r="O221" s="339"/>
      <c r="P221" s="338" t="str">
        <f>$P$44</f>
        <v>Tax Year 2</v>
      </c>
      <c r="Q221" s="339"/>
      <c r="R221" s="338">
        <f>$R$44</f>
        <v>-1.38E-2</v>
      </c>
      <c r="S221" s="339"/>
      <c r="Z221" s="294">
        <f>R221*SUM(Z206:Z210,Z218)</f>
        <v>-265027.97879999998</v>
      </c>
    </row>
    <row r="222" spans="1:29" ht="16.5" thickBot="1">
      <c r="A222" s="292">
        <v>1</v>
      </c>
      <c r="B222" s="317" t="s">
        <v>937</v>
      </c>
      <c r="D222" s="362">
        <f>SUM(D213:D218,D219)</f>
        <v>36950143.451159999</v>
      </c>
      <c r="E222" s="362">
        <f>[7]Energy!P23+[7]Energy!P24+[7]Energy!P25</f>
        <v>192809969.18991041</v>
      </c>
      <c r="G222" s="368"/>
      <c r="I222" s="369">
        <f>SUM(I189:I220)</f>
        <v>3986839.0668000001</v>
      </c>
      <c r="J222" s="369">
        <f>SUM(J189:J220)</f>
        <v>20871277.467999998</v>
      </c>
      <c r="L222" s="368"/>
      <c r="N222" s="368"/>
      <c r="P222" s="368"/>
      <c r="R222" s="368"/>
      <c r="T222" s="364">
        <f ca="1">SUM(T190:T219)</f>
        <v>8429104</v>
      </c>
      <c r="V222" s="364">
        <f>SUM(V190:V219)</f>
        <v>10429284</v>
      </c>
      <c r="X222" s="364">
        <f ca="1">SUM(X190:X219)</f>
        <v>3408061</v>
      </c>
      <c r="Z222" s="364">
        <f>SUM(Z190:Z219)</f>
        <v>22266448</v>
      </c>
      <c r="AB222" s="305" t="s">
        <v>939</v>
      </c>
      <c r="AC222" s="304">
        <f>Z222/J222-1</f>
        <v>6.6846436886246474E-2</v>
      </c>
    </row>
    <row r="223" spans="1:29" ht="16.5" thickTop="1">
      <c r="A223" s="292">
        <v>1</v>
      </c>
    </row>
    <row r="224" spans="1:29">
      <c r="A224" s="292">
        <v>1</v>
      </c>
      <c r="B224" s="314" t="s">
        <v>944</v>
      </c>
    </row>
    <row r="225" spans="1:29">
      <c r="B225" s="317" t="s">
        <v>1089</v>
      </c>
      <c r="D225" s="293">
        <f t="shared" ref="D225:E235" si="104">D261+D297+D333</f>
        <v>16269.966666649996</v>
      </c>
      <c r="E225" s="293">
        <f t="shared" si="104"/>
        <v>16184.594130320329</v>
      </c>
      <c r="G225" s="318"/>
      <c r="H225" s="318"/>
      <c r="L225" s="318">
        <f>L969</f>
        <v>55</v>
      </c>
      <c r="M225" s="318"/>
      <c r="N225" s="318">
        <f>N969</f>
        <v>0</v>
      </c>
      <c r="O225" s="318"/>
      <c r="P225" s="318">
        <f>P969</f>
        <v>0</v>
      </c>
      <c r="Q225" s="318"/>
      <c r="R225" s="318">
        <f>R969</f>
        <v>55</v>
      </c>
      <c r="S225" s="318"/>
      <c r="T225" s="294">
        <f>ROUND($E225*L225,0)</f>
        <v>890153</v>
      </c>
      <c r="U225" s="319"/>
      <c r="V225" s="294">
        <f>ROUND($E225*N225,0)</f>
        <v>0</v>
      </c>
      <c r="W225" s="319"/>
      <c r="X225" s="294">
        <f>ROUND($E225*P225,0)</f>
        <v>0</v>
      </c>
      <c r="Y225" s="319"/>
      <c r="Z225" s="294">
        <f>ROUND($E225*R225,0)</f>
        <v>890153</v>
      </c>
      <c r="AB225" s="305"/>
      <c r="AC225" s="325"/>
    </row>
    <row r="226" spans="1:29">
      <c r="B226" s="317" t="s">
        <v>1090</v>
      </c>
      <c r="D226" s="293">
        <f t="shared" si="104"/>
        <v>23610055.27722773</v>
      </c>
      <c r="E226" s="293">
        <f t="shared" si="104"/>
        <v>22837905.528605085</v>
      </c>
      <c r="F226" s="339"/>
      <c r="G226" s="376"/>
      <c r="H226" s="343"/>
      <c r="K226" s="339"/>
      <c r="L226" s="376">
        <f>L961</f>
        <v>1.7867999999999999</v>
      </c>
      <c r="M226" s="343" t="s">
        <v>1062</v>
      </c>
      <c r="N226" s="376">
        <f>N961</f>
        <v>19.766631654000651</v>
      </c>
      <c r="O226" s="343" t="s">
        <v>1062</v>
      </c>
      <c r="P226" s="376">
        <f>P961</f>
        <v>1.3127</v>
      </c>
      <c r="Q226" s="343" t="s">
        <v>1062</v>
      </c>
      <c r="R226" s="376">
        <f>R961</f>
        <v>22.86613165400065</v>
      </c>
      <c r="S226" s="343" t="s">
        <v>1062</v>
      </c>
      <c r="T226" s="294">
        <f>ROUND($E226*L226/100,0)</f>
        <v>408068</v>
      </c>
      <c r="U226" s="346"/>
      <c r="V226" s="294">
        <f>ROUND($E226*N226/100,0)</f>
        <v>4514285</v>
      </c>
      <c r="W226" s="346"/>
      <c r="X226" s="294">
        <f>ROUND($E226*P226/100,0)</f>
        <v>299793</v>
      </c>
      <c r="Y226" s="346"/>
      <c r="Z226" s="294">
        <f>ROUND($E226*R226/100,0)</f>
        <v>5222146</v>
      </c>
    </row>
    <row r="227" spans="1:29">
      <c r="B227" s="317" t="s">
        <v>1091</v>
      </c>
      <c r="D227" s="293">
        <f t="shared" si="104"/>
        <v>54335608.722772263</v>
      </c>
      <c r="E227" s="293">
        <f t="shared" si="104"/>
        <v>52553411.422486275</v>
      </c>
      <c r="F227" s="339"/>
      <c r="G227" s="376"/>
      <c r="H227" s="343"/>
      <c r="K227" s="339"/>
      <c r="L227" s="376">
        <f t="shared" ref="L227:L233" si="105">L962</f>
        <v>1.7867999999999999</v>
      </c>
      <c r="M227" s="343" t="s">
        <v>1062</v>
      </c>
      <c r="N227" s="376">
        <f t="shared" ref="N227:N233" si="106">N962</f>
        <v>1.4732003384230001</v>
      </c>
      <c r="O227" s="343" t="s">
        <v>1062</v>
      </c>
      <c r="P227" s="376">
        <f t="shared" ref="P227:P233" si="107">P962</f>
        <v>1.3127</v>
      </c>
      <c r="Q227" s="343" t="s">
        <v>1062</v>
      </c>
      <c r="R227" s="376">
        <f t="shared" ref="R227:R233" si="108">R962</f>
        <v>4.5727003384230001</v>
      </c>
      <c r="S227" s="343" t="s">
        <v>1062</v>
      </c>
      <c r="T227" s="294">
        <f t="shared" ref="T227:T233" si="109">ROUND($E227*L227/100,0)</f>
        <v>939024</v>
      </c>
      <c r="U227" s="346"/>
      <c r="V227" s="294">
        <f t="shared" ref="V227:V233" si="110">ROUND($E227*N227/100,0)</f>
        <v>774217</v>
      </c>
      <c r="W227" s="346"/>
      <c r="X227" s="294">
        <f t="shared" ref="X227:Z233" si="111">ROUND($E227*P227/100,0)</f>
        <v>689869</v>
      </c>
      <c r="Y227" s="346"/>
      <c r="Z227" s="294">
        <f t="shared" si="111"/>
        <v>2403110</v>
      </c>
    </row>
    <row r="228" spans="1:29">
      <c r="B228" s="317" t="s">
        <v>1092</v>
      </c>
      <c r="D228" s="293">
        <f t="shared" si="104"/>
        <v>41025677.646039605</v>
      </c>
      <c r="E228" s="293">
        <f t="shared" si="104"/>
        <v>39702141.256844603</v>
      </c>
      <c r="F228" s="339"/>
      <c r="G228" s="376"/>
      <c r="H228" s="343"/>
      <c r="K228" s="339"/>
      <c r="L228" s="376">
        <f t="shared" si="105"/>
        <v>1.7867999999999999</v>
      </c>
      <c r="M228" s="343" t="s">
        <v>1062</v>
      </c>
      <c r="N228" s="376">
        <f t="shared" si="106"/>
        <v>17.286999999999999</v>
      </c>
      <c r="O228" s="343" t="s">
        <v>1062</v>
      </c>
      <c r="P228" s="376">
        <f t="shared" si="107"/>
        <v>1.1617</v>
      </c>
      <c r="Q228" s="343" t="s">
        <v>1062</v>
      </c>
      <c r="R228" s="376">
        <f t="shared" si="108"/>
        <v>20.235499999999998</v>
      </c>
      <c r="S228" s="343" t="s">
        <v>1062</v>
      </c>
      <c r="T228" s="294">
        <f t="shared" si="109"/>
        <v>709398</v>
      </c>
      <c r="U228" s="346"/>
      <c r="V228" s="294">
        <f t="shared" si="110"/>
        <v>6863309</v>
      </c>
      <c r="W228" s="346"/>
      <c r="X228" s="294">
        <f t="shared" si="111"/>
        <v>461220</v>
      </c>
      <c r="Y228" s="346"/>
      <c r="Z228" s="294">
        <f t="shared" si="111"/>
        <v>8033927</v>
      </c>
    </row>
    <row r="229" spans="1:29">
      <c r="B229" s="317" t="s">
        <v>1093</v>
      </c>
      <c r="D229" s="293">
        <f t="shared" si="104"/>
        <v>96492343.853960425</v>
      </c>
      <c r="E229" s="293">
        <f t="shared" si="104"/>
        <v>93250801.351241559</v>
      </c>
      <c r="F229" s="339"/>
      <c r="G229" s="376"/>
      <c r="H229" s="343"/>
      <c r="K229" s="339"/>
      <c r="L229" s="376">
        <f t="shared" si="105"/>
        <v>1.7867999999999999</v>
      </c>
      <c r="M229" s="343" t="s">
        <v>1062</v>
      </c>
      <c r="N229" s="376">
        <f t="shared" si="106"/>
        <v>1.0980999999999999</v>
      </c>
      <c r="O229" s="343" t="s">
        <v>1062</v>
      </c>
      <c r="P229" s="376">
        <f t="shared" si="107"/>
        <v>1.1617</v>
      </c>
      <c r="Q229" s="343" t="s">
        <v>1062</v>
      </c>
      <c r="R229" s="376">
        <f t="shared" si="108"/>
        <v>4.0465999999999998</v>
      </c>
      <c r="S229" s="343" t="s">
        <v>1062</v>
      </c>
      <c r="T229" s="294">
        <f t="shared" si="109"/>
        <v>1666205</v>
      </c>
      <c r="U229" s="346"/>
      <c r="V229" s="294">
        <f t="shared" si="110"/>
        <v>1023987</v>
      </c>
      <c r="W229" s="346"/>
      <c r="X229" s="294">
        <f t="shared" si="111"/>
        <v>1083295</v>
      </c>
      <c r="Y229" s="346"/>
      <c r="Z229" s="294">
        <f t="shared" si="111"/>
        <v>3773487</v>
      </c>
    </row>
    <row r="230" spans="1:29">
      <c r="B230" s="317" t="s">
        <v>1094</v>
      </c>
      <c r="D230" s="293">
        <f t="shared" si="104"/>
        <v>43287163.770088859</v>
      </c>
      <c r="E230" s="293">
        <f t="shared" si="104"/>
        <v>41868605.849641204</v>
      </c>
      <c r="F230" s="339"/>
      <c r="G230" s="376"/>
      <c r="H230" s="343"/>
      <c r="K230" s="339"/>
      <c r="L230" s="376">
        <f t="shared" si="105"/>
        <v>0</v>
      </c>
      <c r="M230" s="343" t="s">
        <v>1062</v>
      </c>
      <c r="N230" s="376">
        <f t="shared" si="106"/>
        <v>0</v>
      </c>
      <c r="O230" s="343" t="s">
        <v>1062</v>
      </c>
      <c r="P230" s="376">
        <f t="shared" si="107"/>
        <v>6</v>
      </c>
      <c r="Q230" s="343" t="s">
        <v>1062</v>
      </c>
      <c r="R230" s="376">
        <f t="shared" si="108"/>
        <v>6</v>
      </c>
      <c r="S230" s="343" t="s">
        <v>1062</v>
      </c>
      <c r="T230" s="294">
        <f t="shared" si="109"/>
        <v>0</v>
      </c>
      <c r="U230" s="346"/>
      <c r="V230" s="294">
        <f t="shared" si="110"/>
        <v>0</v>
      </c>
      <c r="W230" s="346"/>
      <c r="X230" s="294">
        <f t="shared" si="111"/>
        <v>2512116</v>
      </c>
      <c r="Y230" s="346"/>
      <c r="Z230" s="294">
        <f t="shared" si="111"/>
        <v>2512116</v>
      </c>
    </row>
    <row r="231" spans="1:29">
      <c r="B231" s="317" t="s">
        <v>1095</v>
      </c>
      <c r="D231" s="293">
        <f t="shared" si="104"/>
        <v>34658500.229911141</v>
      </c>
      <c r="E231" s="293">
        <f t="shared" si="104"/>
        <v>33522711.101450153</v>
      </c>
      <c r="F231" s="339"/>
      <c r="G231" s="376"/>
      <c r="H231" s="343"/>
      <c r="K231" s="339"/>
      <c r="L231" s="376">
        <f t="shared" si="105"/>
        <v>0</v>
      </c>
      <c r="M231" s="343" t="s">
        <v>1062</v>
      </c>
      <c r="N231" s="376">
        <f t="shared" si="106"/>
        <v>0</v>
      </c>
      <c r="O231" s="343" t="s">
        <v>1062</v>
      </c>
      <c r="P231" s="376">
        <f t="shared" si="107"/>
        <v>-2.3358000000000008</v>
      </c>
      <c r="Q231" s="343" t="s">
        <v>1062</v>
      </c>
      <c r="R231" s="376">
        <f t="shared" si="108"/>
        <v>-2.3358000000000008</v>
      </c>
      <c r="S231" s="343" t="s">
        <v>1062</v>
      </c>
      <c r="T231" s="294">
        <f t="shared" si="109"/>
        <v>0</v>
      </c>
      <c r="U231" s="346"/>
      <c r="V231" s="294">
        <f t="shared" si="110"/>
        <v>0</v>
      </c>
      <c r="W231" s="346"/>
      <c r="X231" s="294">
        <f t="shared" si="111"/>
        <v>-783023</v>
      </c>
      <c r="Y231" s="346"/>
      <c r="Z231" s="294">
        <f t="shared" si="111"/>
        <v>-783023</v>
      </c>
    </row>
    <row r="232" spans="1:29">
      <c r="B232" s="317" t="s">
        <v>1096</v>
      </c>
      <c r="D232" s="293">
        <f t="shared" si="104"/>
        <v>76370702.519246042</v>
      </c>
      <c r="E232" s="293">
        <f t="shared" si="104"/>
        <v>73835483.656813219</v>
      </c>
      <c r="F232" s="339"/>
      <c r="G232" s="376"/>
      <c r="H232" s="343"/>
      <c r="K232" s="339"/>
      <c r="L232" s="376">
        <f t="shared" si="105"/>
        <v>0</v>
      </c>
      <c r="M232" s="343" t="s">
        <v>1062</v>
      </c>
      <c r="N232" s="376">
        <f t="shared" si="106"/>
        <v>0</v>
      </c>
      <c r="O232" s="343" t="s">
        <v>1062</v>
      </c>
      <c r="P232" s="376">
        <f t="shared" si="107"/>
        <v>5.3097000000000003</v>
      </c>
      <c r="Q232" s="343" t="s">
        <v>1062</v>
      </c>
      <c r="R232" s="376">
        <f t="shared" si="108"/>
        <v>5.3097000000000003</v>
      </c>
      <c r="S232" s="343" t="s">
        <v>1062</v>
      </c>
      <c r="T232" s="294">
        <f t="shared" si="109"/>
        <v>0</v>
      </c>
      <c r="U232" s="346"/>
      <c r="V232" s="294">
        <f t="shared" si="110"/>
        <v>0</v>
      </c>
      <c r="W232" s="346"/>
      <c r="X232" s="294">
        <f t="shared" si="111"/>
        <v>3920443</v>
      </c>
      <c r="Y232" s="346"/>
      <c r="Z232" s="294">
        <f t="shared" si="111"/>
        <v>3920443</v>
      </c>
    </row>
    <row r="233" spans="1:29">
      <c r="B233" s="317" t="s">
        <v>1097</v>
      </c>
      <c r="D233" s="293">
        <f t="shared" si="104"/>
        <v>61147318.980753943</v>
      </c>
      <c r="E233" s="293">
        <f t="shared" si="104"/>
        <v>59117458.951272905</v>
      </c>
      <c r="F233" s="339"/>
      <c r="G233" s="376"/>
      <c r="H233" s="343"/>
      <c r="K233" s="339"/>
      <c r="L233" s="376">
        <f t="shared" si="105"/>
        <v>0</v>
      </c>
      <c r="M233" s="343" t="s">
        <v>1062</v>
      </c>
      <c r="N233" s="376">
        <f t="shared" si="106"/>
        <v>0</v>
      </c>
      <c r="O233" s="343" t="s">
        <v>1062</v>
      </c>
      <c r="P233" s="376">
        <f t="shared" si="107"/>
        <v>-2.0670999999999999</v>
      </c>
      <c r="Q233" s="343" t="s">
        <v>1062</v>
      </c>
      <c r="R233" s="376">
        <f t="shared" si="108"/>
        <v>-2.0670999999999999</v>
      </c>
      <c r="S233" s="343" t="s">
        <v>1062</v>
      </c>
      <c r="T233" s="294">
        <f t="shared" si="109"/>
        <v>0</v>
      </c>
      <c r="U233" s="346"/>
      <c r="V233" s="294">
        <f t="shared" si="110"/>
        <v>0</v>
      </c>
      <c r="W233" s="346"/>
      <c r="X233" s="294">
        <f t="shared" si="111"/>
        <v>-1222017</v>
      </c>
      <c r="Y233" s="346"/>
      <c r="Z233" s="294">
        <f t="shared" si="111"/>
        <v>-1222017</v>
      </c>
    </row>
    <row r="234" spans="1:29">
      <c r="B234" s="317" t="s">
        <v>1098</v>
      </c>
      <c r="D234" s="293">
        <f t="shared" si="104"/>
        <v>57416.182291666664</v>
      </c>
      <c r="E234" s="293">
        <f t="shared" si="104"/>
        <v>56872.363899238364</v>
      </c>
      <c r="G234" s="318"/>
      <c r="H234" s="318"/>
      <c r="L234" s="318">
        <f>L972</f>
        <v>-0.61</v>
      </c>
      <c r="M234" s="318"/>
      <c r="N234" s="318">
        <f>N972</f>
        <v>0</v>
      </c>
      <c r="O234" s="318"/>
      <c r="P234" s="318">
        <f>P972</f>
        <v>0</v>
      </c>
      <c r="Q234" s="318"/>
      <c r="R234" s="318">
        <f>R972</f>
        <v>-0.61</v>
      </c>
      <c r="S234" s="318"/>
      <c r="T234" s="294">
        <f>ROUND($E234*L234,0)</f>
        <v>-34692</v>
      </c>
      <c r="U234" s="319"/>
      <c r="V234" s="294">
        <f>ROUND($E234*N234,0)</f>
        <v>0</v>
      </c>
      <c r="W234" s="319"/>
      <c r="X234" s="294">
        <f>ROUND($E234*P234,0)</f>
        <v>0</v>
      </c>
      <c r="Y234" s="319"/>
      <c r="Z234" s="294">
        <f>ROUND($E234*R234,0)</f>
        <v>-34692</v>
      </c>
    </row>
    <row r="235" spans="1:29">
      <c r="B235" s="353" t="s">
        <v>1077</v>
      </c>
      <c r="D235" s="293">
        <f t="shared" si="104"/>
        <v>799646.5</v>
      </c>
      <c r="E235" s="293">
        <f t="shared" si="104"/>
        <v>758838.16754595097</v>
      </c>
      <c r="G235" s="377"/>
      <c r="H235" s="343"/>
      <c r="L235" s="377">
        <f>L977</f>
        <v>0</v>
      </c>
      <c r="M235" s="343" t="s">
        <v>1062</v>
      </c>
      <c r="N235" s="377">
        <f>N977</f>
        <v>7.125</v>
      </c>
      <c r="O235" s="343" t="s">
        <v>1062</v>
      </c>
      <c r="P235" s="377">
        <f>P977</f>
        <v>0</v>
      </c>
      <c r="Q235" s="343" t="s">
        <v>1062</v>
      </c>
      <c r="R235" s="377">
        <f>R977</f>
        <v>7.125</v>
      </c>
      <c r="S235" s="343" t="s">
        <v>1062</v>
      </c>
      <c r="T235" s="294">
        <f>ROUND($E235*L235/100,0)</f>
        <v>0</v>
      </c>
      <c r="U235" s="346"/>
      <c r="V235" s="294">
        <f>ROUND($E235*N235/100,0)</f>
        <v>54067</v>
      </c>
      <c r="W235" s="346"/>
      <c r="X235" s="294">
        <f>ROUND($E235*P235/100,0)</f>
        <v>0</v>
      </c>
      <c r="Y235" s="346"/>
      <c r="Z235" s="294">
        <f>ROUND($E235*R235/100,0)</f>
        <v>54067</v>
      </c>
      <c r="AB235" s="305"/>
      <c r="AC235" s="325"/>
    </row>
    <row r="236" spans="1:29">
      <c r="B236" s="317" t="s">
        <v>1079</v>
      </c>
      <c r="G236" s="338"/>
      <c r="H236" s="339"/>
      <c r="L236" s="338"/>
      <c r="M236" s="339"/>
      <c r="N236" s="338"/>
      <c r="O236" s="339"/>
      <c r="P236" s="359" t="str">
        <f>$P$43</f>
        <v>Tax Year 1</v>
      </c>
      <c r="Q236" s="339"/>
      <c r="R236" s="338">
        <f>$R$979</f>
        <v>-2.7099999999999999E-2</v>
      </c>
      <c r="S236" s="339"/>
      <c r="Z236" s="294">
        <f>R236*SUM(Z226:Z229,Z235)</f>
        <v>-528090.57270000002</v>
      </c>
    </row>
    <row r="237" spans="1:29">
      <c r="B237" s="317"/>
      <c r="G237" s="338"/>
      <c r="H237" s="339"/>
      <c r="L237" s="338"/>
      <c r="M237" s="339"/>
      <c r="N237" s="338"/>
      <c r="O237" s="339"/>
      <c r="P237" s="359" t="str">
        <f>$P$44</f>
        <v>Tax Year 2</v>
      </c>
      <c r="Q237" s="339"/>
      <c r="R237" s="338">
        <f>$R$980</f>
        <v>-1.3599999999999999E-2</v>
      </c>
      <c r="S237" s="339"/>
      <c r="Z237" s="294">
        <f>R237*SUM(Z226:Z229,Z235)</f>
        <v>-265019.62319999997</v>
      </c>
    </row>
    <row r="238" spans="1:29">
      <c r="A238" s="292">
        <v>1</v>
      </c>
      <c r="B238" s="317" t="s">
        <v>945</v>
      </c>
      <c r="D238" s="293">
        <f>SUM(D230:D233,D235)</f>
        <v>216263332</v>
      </c>
      <c r="E238" s="293">
        <f>SUM(E230:E233,E235)</f>
        <v>209103097.7267234</v>
      </c>
      <c r="G238" s="318"/>
      <c r="H238" s="318"/>
      <c r="L238" s="318"/>
      <c r="M238" s="318"/>
      <c r="N238" s="318"/>
      <c r="O238" s="318"/>
      <c r="P238" s="318"/>
      <c r="Q238" s="318"/>
      <c r="R238" s="318"/>
      <c r="S238" s="318"/>
      <c r="T238" s="294">
        <f>SUM(T225:T235)</f>
        <v>4578156</v>
      </c>
      <c r="U238" s="319"/>
      <c r="V238" s="294">
        <f>SUM(V225:V235)</f>
        <v>13229865</v>
      </c>
      <c r="W238" s="319"/>
      <c r="X238" s="294">
        <f>SUM(X225:X235)</f>
        <v>6961696</v>
      </c>
      <c r="Y238" s="319"/>
      <c r="Z238" s="294">
        <f>SUM(Z225:Z235)</f>
        <v>24769717</v>
      </c>
      <c r="AB238" s="305" t="s">
        <v>939</v>
      </c>
      <c r="AC238" s="329">
        <f>Z238/Z258-1</f>
        <v>-0.17795139563012952</v>
      </c>
    </row>
    <row r="239" spans="1:29">
      <c r="B239" s="317"/>
      <c r="G239" s="318"/>
      <c r="H239" s="318"/>
      <c r="L239" s="318"/>
      <c r="M239" s="318"/>
      <c r="N239" s="318"/>
      <c r="O239" s="318"/>
      <c r="P239" s="318"/>
      <c r="Q239" s="318"/>
      <c r="R239" s="318"/>
      <c r="S239" s="318"/>
      <c r="T239" s="319"/>
      <c r="U239" s="319"/>
      <c r="V239" s="319"/>
      <c r="W239" s="319"/>
      <c r="X239" s="319"/>
      <c r="Y239" s="319"/>
      <c r="AB239" s="305"/>
      <c r="AC239" s="325"/>
    </row>
    <row r="240" spans="1:29">
      <c r="B240" s="317" t="s">
        <v>1089</v>
      </c>
      <c r="D240" s="293">
        <f t="shared" ref="D240:E254" si="112">D276+D312+D348</f>
        <v>16269.966666649996</v>
      </c>
      <c r="E240" s="293">
        <f t="shared" si="112"/>
        <v>16184.594130320329</v>
      </c>
      <c r="G240" s="318">
        <f>G672</f>
        <v>54</v>
      </c>
      <c r="H240" s="318"/>
      <c r="I240" s="294">
        <f t="shared" ref="I240:J242" si="113">ROUND($G240*D240,0)</f>
        <v>878578</v>
      </c>
      <c r="J240" s="294">
        <f t="shared" si="113"/>
        <v>873968</v>
      </c>
      <c r="L240" s="318">
        <f>L672</f>
        <v>55</v>
      </c>
      <c r="M240" s="318"/>
      <c r="N240" s="318">
        <f>N672</f>
        <v>0</v>
      </c>
      <c r="O240" s="318"/>
      <c r="P240" s="318">
        <f>P672</f>
        <v>0</v>
      </c>
      <c r="Q240" s="318"/>
      <c r="R240" s="318">
        <f>R672</f>
        <v>55</v>
      </c>
      <c r="S240" s="318"/>
      <c r="T240" s="294">
        <f>ROUND($E240*L240,0)</f>
        <v>890153</v>
      </c>
      <c r="U240" s="319"/>
      <c r="V240" s="294">
        <f>ROUND($E240*N240,0)</f>
        <v>0</v>
      </c>
      <c r="W240" s="319"/>
      <c r="X240" s="294">
        <f>ROUND($E240*P240,0)</f>
        <v>0</v>
      </c>
      <c r="Y240" s="319"/>
      <c r="Z240" s="294">
        <f>ROUND($E240*R240,0)</f>
        <v>890153</v>
      </c>
      <c r="AB240" s="305"/>
      <c r="AC240" s="325"/>
    </row>
    <row r="241" spans="2:29">
      <c r="B241" s="317" t="s">
        <v>1099</v>
      </c>
      <c r="D241" s="293">
        <f t="shared" si="112"/>
        <v>0</v>
      </c>
      <c r="E241" s="293">
        <f t="shared" si="112"/>
        <v>0</v>
      </c>
      <c r="G241" s="318">
        <f t="shared" ref="G241:G243" si="114">G673</f>
        <v>648</v>
      </c>
      <c r="H241" s="318"/>
      <c r="I241" s="294">
        <f t="shared" si="113"/>
        <v>0</v>
      </c>
      <c r="J241" s="294">
        <f t="shared" si="113"/>
        <v>0</v>
      </c>
      <c r="L241" s="318">
        <f t="shared" ref="L241:L247" si="115">L673</f>
        <v>660</v>
      </c>
      <c r="M241" s="318"/>
      <c r="N241" s="318">
        <f t="shared" ref="N241:N247" si="116">N673</f>
        <v>0</v>
      </c>
      <c r="O241" s="318"/>
      <c r="P241" s="318">
        <f t="shared" ref="P241:P247" si="117">P673</f>
        <v>0</v>
      </c>
      <c r="Q241" s="318"/>
      <c r="R241" s="318">
        <f t="shared" ref="R241:R247" si="118">R673</f>
        <v>660</v>
      </c>
      <c r="S241" s="318"/>
      <c r="T241" s="294">
        <f t="shared" ref="T241:T245" si="119">ROUND($E241*L241,0)</f>
        <v>0</v>
      </c>
      <c r="U241" s="319"/>
      <c r="V241" s="294">
        <f t="shared" ref="V241:Z245" si="120">ROUND($E241*N241,0)</f>
        <v>0</v>
      </c>
      <c r="W241" s="319"/>
      <c r="X241" s="294">
        <f t="shared" si="120"/>
        <v>0</v>
      </c>
      <c r="Y241" s="319"/>
      <c r="Z241" s="294">
        <f t="shared" si="120"/>
        <v>0</v>
      </c>
      <c r="AB241" s="305"/>
      <c r="AC241" s="325"/>
    </row>
    <row r="242" spans="2:29">
      <c r="B242" s="317" t="s">
        <v>1100</v>
      </c>
      <c r="D242" s="293">
        <f t="shared" si="112"/>
        <v>0</v>
      </c>
      <c r="E242" s="293">
        <f t="shared" si="112"/>
        <v>0</v>
      </c>
      <c r="G242" s="339">
        <f t="shared" si="114"/>
        <v>54</v>
      </c>
      <c r="H242" s="339"/>
      <c r="I242" s="294">
        <f t="shared" si="113"/>
        <v>0</v>
      </c>
      <c r="J242" s="294">
        <f t="shared" si="113"/>
        <v>0</v>
      </c>
      <c r="L242" s="339">
        <f t="shared" si="115"/>
        <v>55</v>
      </c>
      <c r="M242" s="339"/>
      <c r="N242" s="339">
        <f t="shared" si="116"/>
        <v>0</v>
      </c>
      <c r="O242" s="339"/>
      <c r="P242" s="339">
        <f t="shared" si="117"/>
        <v>0</v>
      </c>
      <c r="Q242" s="339"/>
      <c r="R242" s="339">
        <f t="shared" si="118"/>
        <v>55</v>
      </c>
      <c r="S242" s="339"/>
      <c r="T242" s="294">
        <f t="shared" si="119"/>
        <v>0</v>
      </c>
      <c r="V242" s="294">
        <f t="shared" si="120"/>
        <v>0</v>
      </c>
      <c r="X242" s="294">
        <f t="shared" si="120"/>
        <v>0</v>
      </c>
      <c r="Z242" s="294">
        <f t="shared" si="120"/>
        <v>0</v>
      </c>
      <c r="AB242" s="378"/>
      <c r="AC242" s="325"/>
    </row>
    <row r="243" spans="2:29">
      <c r="B243" s="317" t="s">
        <v>1101</v>
      </c>
      <c r="D243" s="293">
        <f t="shared" si="112"/>
        <v>1324225.0309405944</v>
      </c>
      <c r="E243" s="293">
        <f t="shared" si="112"/>
        <v>1281154</v>
      </c>
      <c r="G243" s="318">
        <f t="shared" si="114"/>
        <v>4.04</v>
      </c>
      <c r="H243" s="318"/>
      <c r="I243" s="294">
        <f>ROUND($G243*D243,0)</f>
        <v>5349869</v>
      </c>
      <c r="J243" s="294">
        <f>ROUND($G243*E243,0)</f>
        <v>5175862</v>
      </c>
      <c r="L243" s="318">
        <f t="shared" si="115"/>
        <v>4.1100000000000003</v>
      </c>
      <c r="M243" s="318"/>
      <c r="N243" s="318">
        <f t="shared" si="116"/>
        <v>0</v>
      </c>
      <c r="O243" s="318"/>
      <c r="P243" s="318">
        <f t="shared" si="117"/>
        <v>0</v>
      </c>
      <c r="Q243" s="318"/>
      <c r="R243" s="318">
        <f t="shared" si="118"/>
        <v>4.1100000000000003</v>
      </c>
      <c r="S243" s="318"/>
      <c r="T243" s="294">
        <f t="shared" si="119"/>
        <v>5265543</v>
      </c>
      <c r="U243" s="319"/>
      <c r="V243" s="294">
        <f t="shared" si="120"/>
        <v>0</v>
      </c>
      <c r="W243" s="319"/>
      <c r="X243" s="294">
        <f t="shared" si="120"/>
        <v>0</v>
      </c>
      <c r="Y243" s="319"/>
      <c r="Z243" s="294">
        <f t="shared" si="120"/>
        <v>5265543</v>
      </c>
      <c r="AB243" s="305"/>
      <c r="AC243" s="304"/>
    </row>
    <row r="244" spans="2:29">
      <c r="B244" s="317" t="s">
        <v>1102</v>
      </c>
      <c r="D244" s="293">
        <f t="shared" si="112"/>
        <v>483511.58044554468</v>
      </c>
      <c r="E244" s="293">
        <f t="shared" si="112"/>
        <v>467710</v>
      </c>
      <c r="G244" s="339"/>
      <c r="H244" s="339"/>
      <c r="L244" s="339">
        <f t="shared" si="115"/>
        <v>0.73</v>
      </c>
      <c r="M244" s="339"/>
      <c r="N244" s="339">
        <f t="shared" si="116"/>
        <v>12.959999999999999</v>
      </c>
      <c r="O244" s="339"/>
      <c r="P244" s="339">
        <f t="shared" si="117"/>
        <v>0</v>
      </c>
      <c r="Q244" s="339"/>
      <c r="R244" s="339">
        <f t="shared" si="118"/>
        <v>13.69</v>
      </c>
      <c r="S244" s="339"/>
      <c r="T244" s="294">
        <f t="shared" si="119"/>
        <v>341428</v>
      </c>
      <c r="V244" s="294">
        <f t="shared" si="120"/>
        <v>6061522</v>
      </c>
      <c r="X244" s="294">
        <f t="shared" si="120"/>
        <v>0</v>
      </c>
      <c r="Z244" s="294">
        <f t="shared" si="120"/>
        <v>6402950</v>
      </c>
      <c r="AB244" s="305"/>
      <c r="AC244" s="304"/>
    </row>
    <row r="245" spans="2:29">
      <c r="B245" s="317" t="s">
        <v>1103</v>
      </c>
      <c r="D245" s="293">
        <f t="shared" si="112"/>
        <v>840713.45049504982</v>
      </c>
      <c r="E245" s="293">
        <f t="shared" si="112"/>
        <v>813444</v>
      </c>
      <c r="G245" s="339"/>
      <c r="H245" s="339"/>
      <c r="L245" s="339">
        <f t="shared" si="115"/>
        <v>0.64</v>
      </c>
      <c r="M245" s="339"/>
      <c r="N245" s="339">
        <f t="shared" si="116"/>
        <v>11.479999999999999</v>
      </c>
      <c r="O245" s="339"/>
      <c r="P245" s="339">
        <f t="shared" si="117"/>
        <v>0</v>
      </c>
      <c r="Q245" s="339"/>
      <c r="R245" s="339">
        <f t="shared" si="118"/>
        <v>12.12</v>
      </c>
      <c r="S245" s="339"/>
      <c r="T245" s="294">
        <f t="shared" si="119"/>
        <v>520604</v>
      </c>
      <c r="V245" s="294">
        <f t="shared" si="120"/>
        <v>9338337</v>
      </c>
      <c r="X245" s="294">
        <f t="shared" si="120"/>
        <v>0</v>
      </c>
      <c r="Z245" s="294">
        <f t="shared" si="120"/>
        <v>9858941</v>
      </c>
      <c r="AB245" s="305"/>
      <c r="AC245" s="379"/>
    </row>
    <row r="246" spans="2:29">
      <c r="B246" s="317" t="s">
        <v>1104</v>
      </c>
      <c r="D246" s="293">
        <f t="shared" si="112"/>
        <v>77945664</v>
      </c>
      <c r="E246" s="293">
        <f t="shared" si="112"/>
        <v>75391316.726723433</v>
      </c>
      <c r="G246" s="377"/>
      <c r="H246" s="343"/>
      <c r="L246" s="377">
        <f t="shared" si="115"/>
        <v>0</v>
      </c>
      <c r="M246" s="343" t="s">
        <v>1062</v>
      </c>
      <c r="N246" s="377">
        <f t="shared" si="116"/>
        <v>1.7162999999999999</v>
      </c>
      <c r="O246" s="343" t="s">
        <v>1062</v>
      </c>
      <c r="P246" s="377">
        <f t="shared" si="117"/>
        <v>2.279911334706</v>
      </c>
      <c r="Q246" s="343" t="s">
        <v>1062</v>
      </c>
      <c r="R246" s="377">
        <f t="shared" si="118"/>
        <v>3.996211334706</v>
      </c>
      <c r="S246" s="343" t="s">
        <v>1062</v>
      </c>
      <c r="T246" s="294">
        <f>ROUND($E246*L246/100,0)</f>
        <v>0</v>
      </c>
      <c r="U246" s="346"/>
      <c r="V246" s="294">
        <f>ROUND($E246*N246/100,0)</f>
        <v>1293941</v>
      </c>
      <c r="W246" s="346"/>
      <c r="X246" s="294">
        <f>ROUND($E246*P246/100,0)</f>
        <v>1718855</v>
      </c>
      <c r="Y246" s="346"/>
      <c r="Z246" s="294">
        <f>ROUND($E246*R246/100,0)</f>
        <v>3012796</v>
      </c>
      <c r="AB246" s="305"/>
      <c r="AC246" s="304"/>
    </row>
    <row r="247" spans="2:29">
      <c r="B247" s="317" t="s">
        <v>1105</v>
      </c>
      <c r="D247" s="293">
        <f t="shared" si="112"/>
        <v>137518021.5</v>
      </c>
      <c r="E247" s="293">
        <f t="shared" si="112"/>
        <v>132952943</v>
      </c>
      <c r="G247" s="377"/>
      <c r="H247" s="343"/>
      <c r="L247" s="377">
        <f t="shared" si="115"/>
        <v>0</v>
      </c>
      <c r="M247" s="343" t="s">
        <v>1062</v>
      </c>
      <c r="N247" s="377">
        <f t="shared" si="116"/>
        <v>1.5188999999999999</v>
      </c>
      <c r="O247" s="343" t="s">
        <v>1062</v>
      </c>
      <c r="P247" s="377">
        <f t="shared" si="117"/>
        <v>2.0175702077039999</v>
      </c>
      <c r="Q247" s="343" t="s">
        <v>1062</v>
      </c>
      <c r="R247" s="377">
        <f t="shared" si="118"/>
        <v>3.5364702077039998</v>
      </c>
      <c r="S247" s="343" t="s">
        <v>1062</v>
      </c>
      <c r="T247" s="294">
        <f>ROUND($E247*L247/100,0)</f>
        <v>0</v>
      </c>
      <c r="U247" s="346"/>
      <c r="V247" s="294">
        <f>ROUND($E247*N247/100,0)</f>
        <v>2019422</v>
      </c>
      <c r="W247" s="346"/>
      <c r="X247" s="294">
        <f>ROUND($E247*P247/100,0)</f>
        <v>2682419</v>
      </c>
      <c r="Y247" s="346"/>
      <c r="Z247" s="294">
        <f>ROUND($E247*R247/100,0)</f>
        <v>4701841</v>
      </c>
      <c r="AB247" s="305"/>
      <c r="AC247" s="304"/>
    </row>
    <row r="248" spans="2:29">
      <c r="B248" s="317" t="s">
        <v>1106</v>
      </c>
      <c r="D248" s="293">
        <f t="shared" si="112"/>
        <v>584798.45553699986</v>
      </c>
      <c r="E248" s="293">
        <f t="shared" si="112"/>
        <v>563910</v>
      </c>
      <c r="G248" s="318">
        <f t="shared" ref="G248:G253" si="121">G680</f>
        <v>14.62</v>
      </c>
      <c r="H248" s="318"/>
      <c r="I248" s="294">
        <f t="shared" ref="I248:J250" si="122">ROUND($G248*D248,0)</f>
        <v>8549753</v>
      </c>
      <c r="J248" s="294">
        <f t="shared" si="122"/>
        <v>8244364</v>
      </c>
      <c r="L248" s="318"/>
      <c r="M248" s="318"/>
      <c r="N248" s="318"/>
      <c r="O248" s="318"/>
      <c r="P248" s="318"/>
      <c r="Q248" s="318"/>
      <c r="R248" s="318"/>
      <c r="S248" s="318"/>
      <c r="U248" s="319"/>
      <c r="W248" s="319"/>
      <c r="Y248" s="319"/>
      <c r="AB248" s="305"/>
      <c r="AC248" s="380"/>
    </row>
    <row r="249" spans="2:29">
      <c r="B249" s="317" t="s">
        <v>1107</v>
      </c>
      <c r="D249" s="293">
        <f t="shared" si="112"/>
        <v>739426.57540359464</v>
      </c>
      <c r="E249" s="293">
        <f t="shared" si="112"/>
        <v>717244</v>
      </c>
      <c r="G249" s="318">
        <f t="shared" si="121"/>
        <v>10.91</v>
      </c>
      <c r="H249" s="318"/>
      <c r="I249" s="294">
        <f t="shared" si="122"/>
        <v>8067144</v>
      </c>
      <c r="J249" s="294">
        <f t="shared" si="122"/>
        <v>7825132</v>
      </c>
      <c r="L249" s="318"/>
      <c r="M249" s="318"/>
      <c r="N249" s="318"/>
      <c r="O249" s="318"/>
      <c r="P249" s="318"/>
      <c r="Q249" s="318"/>
      <c r="R249" s="318"/>
      <c r="S249" s="318"/>
      <c r="U249" s="319"/>
      <c r="W249" s="319"/>
      <c r="Y249" s="319"/>
      <c r="AB249" s="304"/>
      <c r="AC249" s="305"/>
    </row>
    <row r="250" spans="2:29">
      <c r="B250" s="317" t="s">
        <v>1098</v>
      </c>
      <c r="D250" s="293">
        <f t="shared" si="112"/>
        <v>57416.182291666664</v>
      </c>
      <c r="E250" s="293">
        <f t="shared" si="112"/>
        <v>56872.363899238364</v>
      </c>
      <c r="G250" s="318">
        <f t="shared" si="121"/>
        <v>-0.96</v>
      </c>
      <c r="H250" s="318"/>
      <c r="I250" s="294">
        <f t="shared" si="122"/>
        <v>-55120</v>
      </c>
      <c r="J250" s="294">
        <f t="shared" si="122"/>
        <v>-54597</v>
      </c>
      <c r="L250" s="318">
        <f>L682</f>
        <v>-0.96</v>
      </c>
      <c r="M250" s="318"/>
      <c r="N250" s="318">
        <f>N682</f>
        <v>0</v>
      </c>
      <c r="O250" s="318"/>
      <c r="P250" s="318">
        <f>P682</f>
        <v>0</v>
      </c>
      <c r="Q250" s="318"/>
      <c r="R250" s="318">
        <f>R682</f>
        <v>-0.96</v>
      </c>
      <c r="S250" s="318"/>
      <c r="T250" s="294">
        <f t="shared" ref="T250" si="123">ROUND($E250*L250,0)</f>
        <v>-54597</v>
      </c>
      <c r="U250" s="319"/>
      <c r="V250" s="294">
        <f t="shared" ref="V250:Z250" si="124">ROUND($E250*N250,0)</f>
        <v>0</v>
      </c>
      <c r="W250" s="319"/>
      <c r="X250" s="294">
        <f t="shared" si="124"/>
        <v>0</v>
      </c>
      <c r="Y250" s="319"/>
      <c r="Z250" s="294">
        <f t="shared" si="124"/>
        <v>-54597</v>
      </c>
    </row>
    <row r="251" spans="2:29">
      <c r="B251" s="317" t="s">
        <v>1108</v>
      </c>
      <c r="D251" s="293">
        <f t="shared" si="112"/>
        <v>93573337.543722346</v>
      </c>
      <c r="E251" s="293">
        <f t="shared" si="112"/>
        <v>90236925</v>
      </c>
      <c r="G251" s="377">
        <f t="shared" si="121"/>
        <v>3.8127</v>
      </c>
      <c r="H251" s="343" t="s">
        <v>1062</v>
      </c>
      <c r="I251" s="294">
        <f t="shared" ref="I251:J253" si="125">ROUND($G251*D251/100,0)</f>
        <v>3567671</v>
      </c>
      <c r="J251" s="294">
        <f t="shared" si="125"/>
        <v>3440463</v>
      </c>
      <c r="L251" s="377"/>
      <c r="M251" s="343"/>
      <c r="N251" s="377"/>
      <c r="O251" s="343"/>
      <c r="P251" s="377"/>
      <c r="Q251" s="343"/>
      <c r="R251" s="377"/>
      <c r="S251" s="343"/>
      <c r="U251" s="346"/>
      <c r="W251" s="346"/>
      <c r="Y251" s="346"/>
    </row>
    <row r="252" spans="2:29">
      <c r="B252" s="317" t="s">
        <v>1109</v>
      </c>
      <c r="D252" s="293">
        <f t="shared" si="112"/>
        <v>121890347.95627764</v>
      </c>
      <c r="E252" s="293">
        <f t="shared" si="112"/>
        <v>118107334.72672343</v>
      </c>
      <c r="G252" s="377">
        <f t="shared" si="121"/>
        <v>3.5143</v>
      </c>
      <c r="H252" s="343" t="s">
        <v>1062</v>
      </c>
      <c r="I252" s="294">
        <f t="shared" si="125"/>
        <v>4283592</v>
      </c>
      <c r="J252" s="294">
        <f t="shared" si="125"/>
        <v>4150646</v>
      </c>
      <c r="L252" s="377"/>
      <c r="M252" s="343"/>
      <c r="N252" s="377"/>
      <c r="O252" s="343"/>
      <c r="P252" s="377"/>
      <c r="Q252" s="343"/>
      <c r="R252" s="377"/>
      <c r="S252" s="343"/>
      <c r="U252" s="346"/>
      <c r="W252" s="346"/>
      <c r="Y252" s="346"/>
    </row>
    <row r="253" spans="2:29">
      <c r="B253" s="353" t="s">
        <v>1077</v>
      </c>
      <c r="D253" s="293">
        <f t="shared" si="112"/>
        <v>799646.5</v>
      </c>
      <c r="E253" s="293">
        <f t="shared" si="112"/>
        <v>758838</v>
      </c>
      <c r="G253" s="377">
        <f t="shared" si="121"/>
        <v>7.125</v>
      </c>
      <c r="H253" s="343" t="s">
        <v>1062</v>
      </c>
      <c r="I253" s="294">
        <f t="shared" si="125"/>
        <v>56975</v>
      </c>
      <c r="J253" s="294">
        <f t="shared" si="125"/>
        <v>54067</v>
      </c>
      <c r="L253" s="377">
        <f>L685</f>
        <v>0</v>
      </c>
      <c r="M253" s="343" t="s">
        <v>1062</v>
      </c>
      <c r="N253" s="377">
        <f>N685</f>
        <v>7.125</v>
      </c>
      <c r="O253" s="343" t="s">
        <v>1062</v>
      </c>
      <c r="P253" s="377">
        <f>P685</f>
        <v>0</v>
      </c>
      <c r="Q253" s="343" t="s">
        <v>1062</v>
      </c>
      <c r="R253" s="377">
        <f>R685</f>
        <v>7.125</v>
      </c>
      <c r="S253" s="343" t="s">
        <v>1062</v>
      </c>
      <c r="T253" s="294">
        <f>ROUND($E253*L253/100,0)</f>
        <v>0</v>
      </c>
      <c r="U253" s="346"/>
      <c r="V253" s="294">
        <f>ROUND($E253*N253/100,0)</f>
        <v>54067</v>
      </c>
      <c r="W253" s="346"/>
      <c r="X253" s="294">
        <f>ROUND($E253*P253/100,0)</f>
        <v>0</v>
      </c>
      <c r="Y253" s="346"/>
      <c r="Z253" s="294">
        <f>ROUND($E253*R253/100,0)</f>
        <v>54067</v>
      </c>
    </row>
    <row r="254" spans="2:29">
      <c r="B254" s="317" t="s">
        <v>1078</v>
      </c>
      <c r="D254" s="357">
        <f t="shared" si="112"/>
        <v>0</v>
      </c>
      <c r="E254" s="357">
        <f>E290+E326+E362</f>
        <v>0</v>
      </c>
      <c r="I254" s="358">
        <f>I290+I326+I362</f>
        <v>0</v>
      </c>
      <c r="J254" s="358">
        <f>J290+J326+J362</f>
        <v>0</v>
      </c>
      <c r="T254" s="358"/>
      <c r="V254" s="358"/>
      <c r="X254" s="358"/>
      <c r="Z254" s="358"/>
    </row>
    <row r="255" spans="2:29">
      <c r="B255" s="317" t="s">
        <v>1079</v>
      </c>
      <c r="G255" s="338">
        <f>G687</f>
        <v>-3.61E-2</v>
      </c>
      <c r="H255" s="339"/>
      <c r="I255" s="294">
        <f>SUM(I248:I249,I251:I253)*$G255</f>
        <v>-885357.37349999999</v>
      </c>
      <c r="J255" s="294">
        <f>SUM(J248:J249,J251:J253)*$G255</f>
        <v>-856099.65919999999</v>
      </c>
      <c r="L255" s="338"/>
      <c r="M255" s="339"/>
      <c r="N255" s="338"/>
      <c r="O255" s="339"/>
      <c r="P255" s="359" t="str">
        <f>$P$43</f>
        <v>Tax Year 1</v>
      </c>
      <c r="Q255" s="339"/>
      <c r="R255" s="338">
        <f>$R$687</f>
        <v>-2.4199999999999999E-2</v>
      </c>
      <c r="S255" s="339"/>
      <c r="Z255" s="294">
        <f>R255*SUM(Z244:Z247,Z253)</f>
        <v>-581540.39899999998</v>
      </c>
    </row>
    <row r="256" spans="2:29">
      <c r="B256" s="317"/>
      <c r="G256" s="338"/>
      <c r="H256" s="339"/>
      <c r="L256" s="338"/>
      <c r="M256" s="339"/>
      <c r="N256" s="338"/>
      <c r="O256" s="339"/>
      <c r="P256" s="359" t="str">
        <f>$P$44</f>
        <v>Tax Year 2</v>
      </c>
      <c r="Q256" s="339"/>
      <c r="R256" s="338">
        <f>$R$688</f>
        <v>-1.21E-2</v>
      </c>
      <c r="S256" s="339"/>
      <c r="Z256" s="294">
        <f>R256*SUM(Z244:Z247,Z253)</f>
        <v>-290770.19949999999</v>
      </c>
    </row>
    <row r="257" spans="1:29" ht="16.5" thickBot="1">
      <c r="B257" s="353" t="s">
        <v>1082</v>
      </c>
      <c r="D257" s="293">
        <f t="shared" ref="D257:E257" si="126">D293+D329+D365</f>
        <v>0</v>
      </c>
      <c r="E257" s="293">
        <f t="shared" si="126"/>
        <v>0</v>
      </c>
      <c r="G257" s="338"/>
      <c r="H257" s="339"/>
      <c r="L257" s="338"/>
      <c r="M257" s="339"/>
      <c r="N257" s="338"/>
      <c r="O257" s="339"/>
      <c r="P257" s="368"/>
      <c r="R257" s="368"/>
      <c r="T257" s="369"/>
      <c r="V257" s="369"/>
      <c r="X257" s="369"/>
      <c r="Z257" s="369"/>
    </row>
    <row r="258" spans="1:29" ht="17.25" thickTop="1" thickBot="1">
      <c r="A258" s="292">
        <v>1</v>
      </c>
      <c r="B258" s="317" t="s">
        <v>937</v>
      </c>
      <c r="D258" s="381">
        <f>SUM(D251:D257)</f>
        <v>216263332</v>
      </c>
      <c r="E258" s="381">
        <f>SUM(E251:E257)</f>
        <v>209103097.72672343</v>
      </c>
      <c r="G258" s="368"/>
      <c r="I258" s="369">
        <f>SUM(I240:I255)</f>
        <v>29813104.626499999</v>
      </c>
      <c r="J258" s="369">
        <f>SUM(J240:J255)</f>
        <v>28853805.340799998</v>
      </c>
      <c r="L258" s="368"/>
      <c r="N258" s="368"/>
      <c r="P258" s="368"/>
      <c r="R258" s="368"/>
      <c r="T258" s="369">
        <f>SUM(T240:T254)</f>
        <v>6963131</v>
      </c>
      <c r="V258" s="369">
        <f>SUM(V240:V254)</f>
        <v>18767289</v>
      </c>
      <c r="X258" s="369">
        <f>SUM(X240:X254)</f>
        <v>4401274</v>
      </c>
      <c r="Z258" s="369">
        <f>SUM(Z240:Z254)</f>
        <v>30131694</v>
      </c>
      <c r="AB258" s="305" t="s">
        <v>939</v>
      </c>
      <c r="AC258" s="304">
        <f>Z258/J258-1</f>
        <v>4.4288392609103555E-2</v>
      </c>
    </row>
    <row r="259" spans="1:29" ht="16.5" thickTop="1">
      <c r="A259" s="292">
        <v>1</v>
      </c>
    </row>
    <row r="260" spans="1:29">
      <c r="A260" s="292">
        <v>1</v>
      </c>
      <c r="B260" s="314" t="s">
        <v>946</v>
      </c>
    </row>
    <row r="261" spans="1:29">
      <c r="B261" s="317" t="s">
        <v>1089</v>
      </c>
      <c r="D261" s="293">
        <f>'[7]BD-Redesign'!F22</f>
        <v>118.29999999999998</v>
      </c>
      <c r="E261" s="293">
        <f>E276</f>
        <v>124.80319282544595</v>
      </c>
      <c r="G261" s="318"/>
      <c r="H261" s="318"/>
      <c r="L261" s="318">
        <f t="shared" ref="L261:L271" si="127">L225</f>
        <v>55</v>
      </c>
      <c r="M261" s="318"/>
      <c r="N261" s="318">
        <f>N225</f>
        <v>0</v>
      </c>
      <c r="O261" s="318"/>
      <c r="P261" s="318">
        <f>P225</f>
        <v>0</v>
      </c>
      <c r="Q261" s="318"/>
      <c r="R261" s="318">
        <f t="shared" ref="R261:R271" si="128">R225</f>
        <v>55</v>
      </c>
      <c r="S261" s="318"/>
      <c r="T261" s="294">
        <f>ROUND($E261*L261,0)</f>
        <v>6864</v>
      </c>
      <c r="U261" s="319"/>
      <c r="V261" s="294">
        <f>ROUND($E261*N261,0)</f>
        <v>0</v>
      </c>
      <c r="W261" s="319"/>
      <c r="X261" s="294">
        <f>ROUND($E261*P261,0)</f>
        <v>0</v>
      </c>
      <c r="Y261" s="319"/>
      <c r="Z261" s="294">
        <f>ROUND($E261*R261,0)</f>
        <v>6864</v>
      </c>
      <c r="AB261" s="305"/>
      <c r="AC261" s="325"/>
    </row>
    <row r="262" spans="1:29">
      <c r="B262" s="317" t="s">
        <v>1090</v>
      </c>
      <c r="D262" s="293">
        <f>'[7]BD-Redesign'!F23</f>
        <v>70433.487623762368</v>
      </c>
      <c r="E262" s="293">
        <f t="shared" ref="E262:E271" si="129">D262/$D$274*$E$274</f>
        <v>84591.692737472054</v>
      </c>
      <c r="F262" s="339"/>
      <c r="G262" s="376"/>
      <c r="H262" s="343"/>
      <c r="K262" s="339"/>
      <c r="L262" s="376">
        <f t="shared" si="127"/>
        <v>1.7867999999999999</v>
      </c>
      <c r="M262" s="343" t="s">
        <v>1062</v>
      </c>
      <c r="N262" s="376">
        <f t="shared" ref="N262:N271" si="130">N226</f>
        <v>19.766631654000651</v>
      </c>
      <c r="O262" s="343" t="s">
        <v>1062</v>
      </c>
      <c r="P262" s="376">
        <f t="shared" ref="P262:P271" si="131">P226</f>
        <v>1.3127</v>
      </c>
      <c r="Q262" s="343" t="s">
        <v>1062</v>
      </c>
      <c r="R262" s="376">
        <f t="shared" si="128"/>
        <v>22.86613165400065</v>
      </c>
      <c r="S262" s="343" t="s">
        <v>1062</v>
      </c>
      <c r="T262" s="294">
        <f>ROUND($E262*L262/100,0)</f>
        <v>1511</v>
      </c>
      <c r="U262" s="346"/>
      <c r="V262" s="294">
        <f>ROUND($E262*N262/100,0)</f>
        <v>16721</v>
      </c>
      <c r="W262" s="346"/>
      <c r="X262" s="294">
        <f>ROUND($E262*P262/100,0)</f>
        <v>1110</v>
      </c>
      <c r="Y262" s="346"/>
      <c r="Z262" s="294">
        <f>ROUND($E262*R262/100,0)</f>
        <v>19343</v>
      </c>
    </row>
    <row r="263" spans="1:29">
      <c r="B263" s="317" t="s">
        <v>1091</v>
      </c>
      <c r="D263" s="293">
        <f>'[7]BD-Redesign'!F24</f>
        <v>165608.5123762376</v>
      </c>
      <c r="E263" s="293">
        <f t="shared" si="129"/>
        <v>198898.34887168405</v>
      </c>
      <c r="F263" s="339"/>
      <c r="G263" s="376"/>
      <c r="H263" s="343"/>
      <c r="K263" s="339"/>
      <c r="L263" s="376">
        <f t="shared" si="127"/>
        <v>1.7867999999999999</v>
      </c>
      <c r="M263" s="343" t="s">
        <v>1062</v>
      </c>
      <c r="N263" s="376">
        <f t="shared" si="130"/>
        <v>1.4732003384230001</v>
      </c>
      <c r="O263" s="343" t="s">
        <v>1062</v>
      </c>
      <c r="P263" s="376">
        <f t="shared" si="131"/>
        <v>1.3127</v>
      </c>
      <c r="Q263" s="343" t="s">
        <v>1062</v>
      </c>
      <c r="R263" s="376">
        <f t="shared" si="128"/>
        <v>4.5727003384230001</v>
      </c>
      <c r="S263" s="343" t="s">
        <v>1062</v>
      </c>
      <c r="T263" s="294">
        <f t="shared" ref="T263:T269" si="132">ROUND($E263*L263/100,0)</f>
        <v>3554</v>
      </c>
      <c r="U263" s="346"/>
      <c r="V263" s="294">
        <f t="shared" ref="V263:V269" si="133">ROUND($E263*N263/100,0)</f>
        <v>2930</v>
      </c>
      <c r="W263" s="346"/>
      <c r="X263" s="294">
        <f t="shared" ref="X263:X269" si="134">ROUND($E263*P263/100,0)</f>
        <v>2611</v>
      </c>
      <c r="Y263" s="346"/>
      <c r="Z263" s="294">
        <f t="shared" ref="Z263:Z269" si="135">ROUND($E263*R263/100,0)</f>
        <v>9095</v>
      </c>
    </row>
    <row r="264" spans="1:29">
      <c r="B264" s="317" t="s">
        <v>1092</v>
      </c>
      <c r="D264" s="293">
        <f>'[7]BD-Redesign'!F25</f>
        <v>120935.20792079209</v>
      </c>
      <c r="E264" s="293">
        <f t="shared" si="129"/>
        <v>145245.02895873319</v>
      </c>
      <c r="F264" s="339"/>
      <c r="G264" s="376"/>
      <c r="H264" s="343"/>
      <c r="K264" s="339"/>
      <c r="L264" s="376">
        <f t="shared" si="127"/>
        <v>1.7867999999999999</v>
      </c>
      <c r="M264" s="343" t="s">
        <v>1062</v>
      </c>
      <c r="N264" s="376">
        <f t="shared" si="130"/>
        <v>17.286999999999999</v>
      </c>
      <c r="O264" s="343" t="s">
        <v>1062</v>
      </c>
      <c r="P264" s="376">
        <f t="shared" si="131"/>
        <v>1.1617</v>
      </c>
      <c r="Q264" s="343" t="s">
        <v>1062</v>
      </c>
      <c r="R264" s="376">
        <f t="shared" si="128"/>
        <v>20.235499999999998</v>
      </c>
      <c r="S264" s="343" t="s">
        <v>1062</v>
      </c>
      <c r="T264" s="294">
        <f t="shared" si="132"/>
        <v>2595</v>
      </c>
      <c r="U264" s="346"/>
      <c r="V264" s="294">
        <f t="shared" si="133"/>
        <v>25109</v>
      </c>
      <c r="W264" s="346"/>
      <c r="X264" s="294">
        <f t="shared" si="134"/>
        <v>1687</v>
      </c>
      <c r="Y264" s="346"/>
      <c r="Z264" s="294">
        <f t="shared" si="135"/>
        <v>29391</v>
      </c>
    </row>
    <row r="265" spans="1:29">
      <c r="B265" s="317" t="s">
        <v>1093</v>
      </c>
      <c r="D265" s="293">
        <f>'[7]BD-Redesign'!F26</f>
        <v>224349.79207920792</v>
      </c>
      <c r="E265" s="293">
        <f t="shared" si="129"/>
        <v>269447.52159166668</v>
      </c>
      <c r="F265" s="339"/>
      <c r="G265" s="376"/>
      <c r="H265" s="343"/>
      <c r="K265" s="339"/>
      <c r="L265" s="376">
        <f t="shared" si="127"/>
        <v>1.7867999999999999</v>
      </c>
      <c r="M265" s="343" t="s">
        <v>1062</v>
      </c>
      <c r="N265" s="376">
        <f t="shared" si="130"/>
        <v>1.0980999999999999</v>
      </c>
      <c r="O265" s="343" t="s">
        <v>1062</v>
      </c>
      <c r="P265" s="376">
        <f t="shared" si="131"/>
        <v>1.1617</v>
      </c>
      <c r="Q265" s="343" t="s">
        <v>1062</v>
      </c>
      <c r="R265" s="376">
        <f t="shared" si="128"/>
        <v>4.0465999999999998</v>
      </c>
      <c r="S265" s="343" t="s">
        <v>1062</v>
      </c>
      <c r="T265" s="294">
        <f t="shared" si="132"/>
        <v>4814</v>
      </c>
      <c r="U265" s="346"/>
      <c r="V265" s="294">
        <f t="shared" si="133"/>
        <v>2959</v>
      </c>
      <c r="W265" s="346"/>
      <c r="X265" s="294">
        <f t="shared" si="134"/>
        <v>3130</v>
      </c>
      <c r="Y265" s="346"/>
      <c r="Z265" s="294">
        <f t="shared" si="135"/>
        <v>10903</v>
      </c>
    </row>
    <row r="266" spans="1:29">
      <c r="B266" s="317" t="s">
        <v>1094</v>
      </c>
      <c r="D266" s="293">
        <f>'[7]BD-Redesign'!F27</f>
        <v>131086.04361391169</v>
      </c>
      <c r="E266" s="293">
        <f t="shared" si="129"/>
        <v>157436.33742506622</v>
      </c>
      <c r="F266" s="339"/>
      <c r="G266" s="376"/>
      <c r="H266" s="343"/>
      <c r="K266" s="339"/>
      <c r="L266" s="376">
        <f t="shared" si="127"/>
        <v>0</v>
      </c>
      <c r="M266" s="343" t="s">
        <v>1062</v>
      </c>
      <c r="N266" s="376">
        <f t="shared" si="130"/>
        <v>0</v>
      </c>
      <c r="O266" s="343" t="s">
        <v>1062</v>
      </c>
      <c r="P266" s="376">
        <f t="shared" si="131"/>
        <v>6</v>
      </c>
      <c r="Q266" s="343" t="s">
        <v>1062</v>
      </c>
      <c r="R266" s="376">
        <f t="shared" si="128"/>
        <v>6</v>
      </c>
      <c r="S266" s="343" t="s">
        <v>1062</v>
      </c>
      <c r="T266" s="294">
        <f t="shared" si="132"/>
        <v>0</v>
      </c>
      <c r="U266" s="346"/>
      <c r="V266" s="294">
        <f t="shared" si="133"/>
        <v>0</v>
      </c>
      <c r="W266" s="346"/>
      <c r="X266" s="294">
        <f t="shared" si="134"/>
        <v>9446</v>
      </c>
      <c r="Y266" s="346"/>
      <c r="Z266" s="294">
        <f t="shared" si="135"/>
        <v>9446</v>
      </c>
    </row>
    <row r="267" spans="1:29">
      <c r="B267" s="317" t="s">
        <v>1095</v>
      </c>
      <c r="D267" s="293">
        <f>'[7]BD-Redesign'!F28</f>
        <v>104955.95638608832</v>
      </c>
      <c r="E267" s="293">
        <f t="shared" si="129"/>
        <v>126053.70418408993</v>
      </c>
      <c r="F267" s="339"/>
      <c r="G267" s="376"/>
      <c r="H267" s="343"/>
      <c r="K267" s="339"/>
      <c r="L267" s="376">
        <f t="shared" si="127"/>
        <v>0</v>
      </c>
      <c r="M267" s="343" t="s">
        <v>1062</v>
      </c>
      <c r="N267" s="376">
        <f t="shared" si="130"/>
        <v>0</v>
      </c>
      <c r="O267" s="343" t="s">
        <v>1062</v>
      </c>
      <c r="P267" s="376">
        <f t="shared" si="131"/>
        <v>-2.3358000000000008</v>
      </c>
      <c r="Q267" s="343" t="s">
        <v>1062</v>
      </c>
      <c r="R267" s="376">
        <f t="shared" si="128"/>
        <v>-2.3358000000000008</v>
      </c>
      <c r="S267" s="343" t="s">
        <v>1062</v>
      </c>
      <c r="T267" s="294">
        <f t="shared" si="132"/>
        <v>0</v>
      </c>
      <c r="U267" s="346"/>
      <c r="V267" s="294">
        <f t="shared" si="133"/>
        <v>0</v>
      </c>
      <c r="W267" s="346"/>
      <c r="X267" s="294">
        <f t="shared" si="134"/>
        <v>-2944</v>
      </c>
      <c r="Y267" s="346"/>
      <c r="Z267" s="294">
        <f t="shared" si="135"/>
        <v>-2944</v>
      </c>
    </row>
    <row r="268" spans="1:29">
      <c r="B268" s="317" t="s">
        <v>1096</v>
      </c>
      <c r="D268" s="293">
        <f>'[7]BD-Redesign'!F29</f>
        <v>191754.1986986617</v>
      </c>
      <c r="E268" s="293">
        <f t="shared" si="129"/>
        <v>230299.71686315996</v>
      </c>
      <c r="F268" s="339"/>
      <c r="G268" s="376"/>
      <c r="H268" s="343"/>
      <c r="K268" s="339"/>
      <c r="L268" s="376">
        <f t="shared" si="127"/>
        <v>0</v>
      </c>
      <c r="M268" s="343" t="s">
        <v>1062</v>
      </c>
      <c r="N268" s="376">
        <f t="shared" si="130"/>
        <v>0</v>
      </c>
      <c r="O268" s="343" t="s">
        <v>1062</v>
      </c>
      <c r="P268" s="376">
        <f t="shared" si="131"/>
        <v>5.3097000000000003</v>
      </c>
      <c r="Q268" s="343" t="s">
        <v>1062</v>
      </c>
      <c r="R268" s="376">
        <f t="shared" si="128"/>
        <v>5.3097000000000003</v>
      </c>
      <c r="S268" s="343" t="s">
        <v>1062</v>
      </c>
      <c r="T268" s="294">
        <f t="shared" si="132"/>
        <v>0</v>
      </c>
      <c r="U268" s="346"/>
      <c r="V268" s="294">
        <f t="shared" si="133"/>
        <v>0</v>
      </c>
      <c r="W268" s="346"/>
      <c r="X268" s="294">
        <f t="shared" si="134"/>
        <v>12228</v>
      </c>
      <c r="Y268" s="346"/>
      <c r="Z268" s="294">
        <f t="shared" si="135"/>
        <v>12228</v>
      </c>
    </row>
    <row r="269" spans="1:29">
      <c r="B269" s="317" t="s">
        <v>1097</v>
      </c>
      <c r="D269" s="293">
        <f>'[7]BD-Redesign'!F30</f>
        <v>153530.8013013383</v>
      </c>
      <c r="E269" s="293">
        <f t="shared" si="129"/>
        <v>184392.83368723991</v>
      </c>
      <c r="F269" s="339"/>
      <c r="G269" s="376"/>
      <c r="H269" s="343"/>
      <c r="K269" s="339"/>
      <c r="L269" s="376">
        <f t="shared" si="127"/>
        <v>0</v>
      </c>
      <c r="M269" s="343" t="s">
        <v>1062</v>
      </c>
      <c r="N269" s="376">
        <f t="shared" si="130"/>
        <v>0</v>
      </c>
      <c r="O269" s="343" t="s">
        <v>1062</v>
      </c>
      <c r="P269" s="376">
        <f t="shared" si="131"/>
        <v>-2.0670999999999999</v>
      </c>
      <c r="Q269" s="343" t="s">
        <v>1062</v>
      </c>
      <c r="R269" s="376">
        <f t="shared" si="128"/>
        <v>-2.0670999999999999</v>
      </c>
      <c r="S269" s="343" t="s">
        <v>1062</v>
      </c>
      <c r="T269" s="294">
        <f t="shared" si="132"/>
        <v>0</v>
      </c>
      <c r="U269" s="346"/>
      <c r="V269" s="294">
        <f t="shared" si="133"/>
        <v>0</v>
      </c>
      <c r="W269" s="346"/>
      <c r="X269" s="294">
        <f t="shared" si="134"/>
        <v>-3812</v>
      </c>
      <c r="Y269" s="346"/>
      <c r="Z269" s="294">
        <f t="shared" si="135"/>
        <v>-3812</v>
      </c>
    </row>
    <row r="270" spans="1:29">
      <c r="B270" s="317" t="s">
        <v>1098</v>
      </c>
      <c r="D270" s="293">
        <f>'[7]BD-Redesign'!F31</f>
        <v>0</v>
      </c>
      <c r="E270" s="293">
        <f t="shared" si="129"/>
        <v>0</v>
      </c>
      <c r="G270" s="318"/>
      <c r="H270" s="318"/>
      <c r="L270" s="318">
        <f t="shared" si="127"/>
        <v>-0.61</v>
      </c>
      <c r="M270" s="318"/>
      <c r="N270" s="318">
        <f t="shared" si="130"/>
        <v>0</v>
      </c>
      <c r="O270" s="318"/>
      <c r="P270" s="318">
        <f t="shared" si="131"/>
        <v>0</v>
      </c>
      <c r="Q270" s="318"/>
      <c r="R270" s="318">
        <f t="shared" si="128"/>
        <v>-0.61</v>
      </c>
      <c r="S270" s="318"/>
      <c r="T270" s="294">
        <f>ROUND($E270*L270,0)</f>
        <v>0</v>
      </c>
      <c r="U270" s="319"/>
      <c r="V270" s="294">
        <f>ROUND($E270*N270,0)</f>
        <v>0</v>
      </c>
      <c r="W270" s="319"/>
      <c r="X270" s="294">
        <f>ROUND($E270*P270,0)</f>
        <v>0</v>
      </c>
      <c r="Y270" s="319"/>
      <c r="Z270" s="294">
        <f>ROUND($E270*R270,0)</f>
        <v>0</v>
      </c>
    </row>
    <row r="271" spans="1:29">
      <c r="B271" s="353" t="s">
        <v>1077</v>
      </c>
      <c r="D271" s="293">
        <f>'[7]BD-Redesign'!F32</f>
        <v>0</v>
      </c>
      <c r="E271" s="293">
        <f t="shared" si="129"/>
        <v>0</v>
      </c>
      <c r="G271" s="377"/>
      <c r="H271" s="343"/>
      <c r="L271" s="377">
        <f t="shared" si="127"/>
        <v>0</v>
      </c>
      <c r="M271" s="343" t="s">
        <v>1062</v>
      </c>
      <c r="N271" s="377">
        <f t="shared" si="130"/>
        <v>7.125</v>
      </c>
      <c r="O271" s="343" t="s">
        <v>1062</v>
      </c>
      <c r="P271" s="377">
        <f t="shared" si="131"/>
        <v>0</v>
      </c>
      <c r="Q271" s="343" t="s">
        <v>1062</v>
      </c>
      <c r="R271" s="377">
        <f t="shared" si="128"/>
        <v>7.125</v>
      </c>
      <c r="S271" s="343" t="s">
        <v>1062</v>
      </c>
      <c r="T271" s="294">
        <f>ROUND($E271*L271/100,0)</f>
        <v>0</v>
      </c>
      <c r="U271" s="346"/>
      <c r="V271" s="294">
        <f>ROUND($E271*N271/100,0)</f>
        <v>0</v>
      </c>
      <c r="W271" s="346"/>
      <c r="X271" s="294">
        <f>ROUND($E271*P271/100,0)</f>
        <v>0</v>
      </c>
      <c r="Y271" s="346"/>
      <c r="Z271" s="294">
        <f>ROUND($E271*R271/100,0)</f>
        <v>0</v>
      </c>
      <c r="AB271" s="305"/>
      <c r="AC271" s="325"/>
    </row>
    <row r="272" spans="1:29">
      <c r="B272" s="317" t="s">
        <v>1079</v>
      </c>
      <c r="G272" s="338"/>
      <c r="H272" s="339"/>
      <c r="L272" s="338"/>
      <c r="M272" s="339"/>
      <c r="N272" s="338"/>
      <c r="O272" s="339"/>
      <c r="P272" s="359" t="str">
        <f>$P$43</f>
        <v>Tax Year 1</v>
      </c>
      <c r="Q272" s="339"/>
      <c r="R272" s="338">
        <f>$R$979</f>
        <v>-2.7099999999999999E-2</v>
      </c>
      <c r="S272" s="339"/>
      <c r="Z272" s="294">
        <f>R272*SUM(Z262:Z265,Z271)</f>
        <v>-1862.6371999999999</v>
      </c>
    </row>
    <row r="273" spans="1:29">
      <c r="B273" s="317"/>
      <c r="G273" s="338"/>
      <c r="H273" s="339"/>
      <c r="L273" s="338"/>
      <c r="M273" s="339"/>
      <c r="N273" s="338"/>
      <c r="O273" s="339"/>
      <c r="P273" s="359" t="str">
        <f>$P$44</f>
        <v>Tax Year 2</v>
      </c>
      <c r="Q273" s="339"/>
      <c r="R273" s="338">
        <f>$R$980</f>
        <v>-1.3599999999999999E-2</v>
      </c>
      <c r="S273" s="339"/>
      <c r="Z273" s="294">
        <f>R273*SUM(Z262:Z265,Z271)</f>
        <v>-934.75519999999995</v>
      </c>
    </row>
    <row r="274" spans="1:29">
      <c r="A274" s="292">
        <v>1</v>
      </c>
      <c r="B274" s="317" t="s">
        <v>945</v>
      </c>
      <c r="D274" s="293">
        <f>SUM(D266:D269,D271)</f>
        <v>581327</v>
      </c>
      <c r="E274" s="293">
        <f>E294</f>
        <v>698182.59215955599</v>
      </c>
      <c r="G274" s="318"/>
      <c r="H274" s="318"/>
      <c r="L274" s="318"/>
      <c r="M274" s="318"/>
      <c r="N274" s="318"/>
      <c r="O274" s="318"/>
      <c r="P274" s="318"/>
      <c r="Q274" s="318"/>
      <c r="R274" s="318"/>
      <c r="S274" s="318"/>
      <c r="T274" s="294">
        <f>SUM(T261:T271)</f>
        <v>19338</v>
      </c>
      <c r="U274" s="319"/>
      <c r="V274" s="294">
        <f>SUM(V261:V271)</f>
        <v>47719</v>
      </c>
      <c r="W274" s="319"/>
      <c r="X274" s="294">
        <f>SUM(X261:X271)</f>
        <v>23456</v>
      </c>
      <c r="Y274" s="319"/>
      <c r="Z274" s="294">
        <f>SUM(Z261:Z271)</f>
        <v>90514</v>
      </c>
      <c r="AB274" s="305" t="s">
        <v>939</v>
      </c>
      <c r="AC274" s="329">
        <f>Z274/Z294-1</f>
        <v>-0.19874297348736336</v>
      </c>
    </row>
    <row r="275" spans="1:29">
      <c r="B275" s="317"/>
      <c r="G275" s="318"/>
      <c r="H275" s="318"/>
      <c r="L275" s="318"/>
      <c r="M275" s="318"/>
      <c r="N275" s="318"/>
      <c r="O275" s="318"/>
      <c r="P275" s="318"/>
      <c r="Q275" s="318"/>
      <c r="R275" s="318"/>
      <c r="S275" s="318"/>
      <c r="T275" s="319"/>
      <c r="U275" s="319"/>
      <c r="V275" s="319"/>
      <c r="W275" s="319"/>
      <c r="X275" s="319"/>
      <c r="Y275" s="319"/>
      <c r="AB275" s="305"/>
      <c r="AC275" s="325"/>
    </row>
    <row r="276" spans="1:29">
      <c r="B276" s="317" t="s">
        <v>1089</v>
      </c>
      <c r="D276" s="293">
        <f>D261</f>
        <v>118.29999999999998</v>
      </c>
      <c r="E276" s="293">
        <f>D276*E693/D693</f>
        <v>124.80319282544595</v>
      </c>
      <c r="G276" s="339">
        <v>54</v>
      </c>
      <c r="H276" s="339"/>
      <c r="I276" s="294">
        <f t="shared" ref="I276:J278" si="136">ROUND($G276*D276,0)</f>
        <v>6388</v>
      </c>
      <c r="J276" s="294">
        <f t="shared" si="136"/>
        <v>6739</v>
      </c>
      <c r="L276" s="339">
        <f t="shared" ref="L276:L283" si="137">L240</f>
        <v>55</v>
      </c>
      <c r="M276" s="339"/>
      <c r="N276" s="339">
        <f t="shared" ref="N276:N283" si="138">N240</f>
        <v>0</v>
      </c>
      <c r="O276" s="339"/>
      <c r="P276" s="339">
        <f t="shared" ref="P276:P283" si="139">P240</f>
        <v>0</v>
      </c>
      <c r="Q276" s="339"/>
      <c r="R276" s="339">
        <f t="shared" ref="R276:R283" si="140">R240</f>
        <v>55</v>
      </c>
      <c r="S276" s="339"/>
      <c r="T276" s="294">
        <f>ROUND($E276*L276,0)</f>
        <v>6864</v>
      </c>
      <c r="U276" s="319"/>
      <c r="V276" s="294">
        <f>ROUND($E276*N276,0)</f>
        <v>0</v>
      </c>
      <c r="W276" s="319"/>
      <c r="X276" s="294">
        <f>ROUND($E276*P276,0)</f>
        <v>0</v>
      </c>
      <c r="Y276" s="319"/>
      <c r="Z276" s="294">
        <f>ROUND($E276*R276,0)</f>
        <v>6864</v>
      </c>
    </row>
    <row r="277" spans="1:29">
      <c r="B277" s="317" t="s">
        <v>1099</v>
      </c>
      <c r="D277" s="293">
        <v>0</v>
      </c>
      <c r="E277" s="293">
        <v>0</v>
      </c>
      <c r="G277" s="339">
        <v>648</v>
      </c>
      <c r="H277" s="339"/>
      <c r="I277" s="294">
        <f t="shared" si="136"/>
        <v>0</v>
      </c>
      <c r="J277" s="294">
        <f t="shared" si="136"/>
        <v>0</v>
      </c>
      <c r="L277" s="339">
        <f t="shared" si="137"/>
        <v>660</v>
      </c>
      <c r="M277" s="339"/>
      <c r="N277" s="339">
        <f t="shared" si="138"/>
        <v>0</v>
      </c>
      <c r="O277" s="339"/>
      <c r="P277" s="339">
        <f t="shared" si="139"/>
        <v>0</v>
      </c>
      <c r="Q277" s="339"/>
      <c r="R277" s="339">
        <f t="shared" si="140"/>
        <v>660</v>
      </c>
      <c r="S277" s="339"/>
      <c r="T277" s="294">
        <f t="shared" ref="T277:T281" si="141">ROUND($E277*L277,0)</f>
        <v>0</v>
      </c>
      <c r="U277" s="319"/>
      <c r="V277" s="294">
        <f t="shared" ref="V277:V281" si="142">ROUND($E277*N277,0)</f>
        <v>0</v>
      </c>
      <c r="W277" s="319"/>
      <c r="X277" s="294">
        <f t="shared" ref="X277:X281" si="143">ROUND($E277*P277,0)</f>
        <v>0</v>
      </c>
      <c r="Y277" s="319"/>
      <c r="Z277" s="294">
        <f t="shared" ref="Z277:Z281" si="144">ROUND($E277*R277,0)</f>
        <v>0</v>
      </c>
    </row>
    <row r="278" spans="1:29">
      <c r="B278" s="317" t="s">
        <v>1100</v>
      </c>
      <c r="D278" s="293">
        <v>0</v>
      </c>
      <c r="E278" s="293">
        <v>0</v>
      </c>
      <c r="G278" s="339">
        <v>54</v>
      </c>
      <c r="H278" s="339"/>
      <c r="I278" s="294">
        <f t="shared" si="136"/>
        <v>0</v>
      </c>
      <c r="J278" s="294">
        <f t="shared" si="136"/>
        <v>0</v>
      </c>
      <c r="L278" s="339">
        <f t="shared" si="137"/>
        <v>55</v>
      </c>
      <c r="M278" s="339"/>
      <c r="N278" s="339">
        <f t="shared" si="138"/>
        <v>0</v>
      </c>
      <c r="O278" s="339"/>
      <c r="P278" s="339">
        <f t="shared" si="139"/>
        <v>0</v>
      </c>
      <c r="Q278" s="339"/>
      <c r="R278" s="339">
        <f t="shared" si="140"/>
        <v>55</v>
      </c>
      <c r="S278" s="339"/>
      <c r="T278" s="294">
        <f t="shared" si="141"/>
        <v>0</v>
      </c>
      <c r="V278" s="294">
        <f t="shared" si="142"/>
        <v>0</v>
      </c>
      <c r="X278" s="294">
        <f t="shared" si="143"/>
        <v>0</v>
      </c>
      <c r="Z278" s="294">
        <f t="shared" si="144"/>
        <v>0</v>
      </c>
    </row>
    <row r="279" spans="1:29">
      <c r="B279" s="317" t="s">
        <v>1101</v>
      </c>
      <c r="D279" s="293">
        <f>'[7]BD-Redesign'!F55</f>
        <v>3964.2846534653472</v>
      </c>
      <c r="E279" s="293">
        <f>ROUND(D279/D294*E294,0)</f>
        <v>4761</v>
      </c>
      <c r="G279" s="339">
        <v>4.04</v>
      </c>
      <c r="H279" s="339"/>
      <c r="I279" s="294">
        <f>ROUND($G279*D279,0)</f>
        <v>16016</v>
      </c>
      <c r="J279" s="294">
        <f>ROUND($G279*E279,0)</f>
        <v>19234</v>
      </c>
      <c r="L279" s="339">
        <f t="shared" si="137"/>
        <v>4.1100000000000003</v>
      </c>
      <c r="M279" s="339"/>
      <c r="N279" s="339">
        <f t="shared" si="138"/>
        <v>0</v>
      </c>
      <c r="O279" s="339"/>
      <c r="P279" s="339">
        <f t="shared" si="139"/>
        <v>0</v>
      </c>
      <c r="Q279" s="339"/>
      <c r="R279" s="339">
        <f t="shared" si="140"/>
        <v>4.1100000000000003</v>
      </c>
      <c r="S279" s="339"/>
      <c r="T279" s="294">
        <f t="shared" si="141"/>
        <v>19568</v>
      </c>
      <c r="U279" s="319"/>
      <c r="V279" s="294">
        <f t="shared" si="142"/>
        <v>0</v>
      </c>
      <c r="W279" s="319"/>
      <c r="X279" s="294">
        <f t="shared" si="143"/>
        <v>0</v>
      </c>
      <c r="Y279" s="319"/>
      <c r="Z279" s="294">
        <f t="shared" si="144"/>
        <v>19568</v>
      </c>
    </row>
    <row r="280" spans="1:29">
      <c r="B280" s="317" t="s">
        <v>1102</v>
      </c>
      <c r="D280" s="293">
        <f>'[7]BD-Redesign'!F56</f>
        <v>1503.5334158415844</v>
      </c>
      <c r="E280" s="293">
        <f>ROUND(D280/D282*E282,0)</f>
        <v>1806</v>
      </c>
      <c r="G280" s="339"/>
      <c r="H280" s="339"/>
      <c r="L280" s="339">
        <f t="shared" si="137"/>
        <v>0.73</v>
      </c>
      <c r="M280" s="339"/>
      <c r="N280" s="339">
        <f t="shared" si="138"/>
        <v>12.959999999999999</v>
      </c>
      <c r="O280" s="339"/>
      <c r="P280" s="339">
        <f t="shared" si="139"/>
        <v>0</v>
      </c>
      <c r="Q280" s="339"/>
      <c r="R280" s="339">
        <f t="shared" si="140"/>
        <v>13.69</v>
      </c>
      <c r="S280" s="339"/>
      <c r="T280" s="294">
        <f t="shared" si="141"/>
        <v>1318</v>
      </c>
      <c r="V280" s="294">
        <f t="shared" si="142"/>
        <v>23406</v>
      </c>
      <c r="X280" s="294">
        <f t="shared" si="143"/>
        <v>0</v>
      </c>
      <c r="Z280" s="294">
        <f t="shared" si="144"/>
        <v>24724</v>
      </c>
    </row>
    <row r="281" spans="1:29">
      <c r="B281" s="317" t="s">
        <v>1103</v>
      </c>
      <c r="D281" s="293">
        <f>'[7]BD-Redesign'!F57</f>
        <v>2460.7512376237623</v>
      </c>
      <c r="E281" s="293">
        <f>ROUND(D281/D283*E283,0)</f>
        <v>2955</v>
      </c>
      <c r="G281" s="339"/>
      <c r="H281" s="339"/>
      <c r="L281" s="339">
        <f t="shared" si="137"/>
        <v>0.64</v>
      </c>
      <c r="M281" s="339"/>
      <c r="N281" s="339">
        <f t="shared" si="138"/>
        <v>11.479999999999999</v>
      </c>
      <c r="O281" s="339"/>
      <c r="P281" s="339">
        <f t="shared" si="139"/>
        <v>0</v>
      </c>
      <c r="Q281" s="339"/>
      <c r="R281" s="339">
        <f t="shared" si="140"/>
        <v>12.12</v>
      </c>
      <c r="S281" s="339"/>
      <c r="T281" s="294">
        <f t="shared" si="141"/>
        <v>1891</v>
      </c>
      <c r="V281" s="294">
        <f t="shared" si="142"/>
        <v>33923</v>
      </c>
      <c r="X281" s="294">
        <f t="shared" si="143"/>
        <v>0</v>
      </c>
      <c r="Z281" s="294">
        <f t="shared" si="144"/>
        <v>35815</v>
      </c>
    </row>
    <row r="282" spans="1:29">
      <c r="B282" s="317" t="s">
        <v>1104</v>
      </c>
      <c r="D282" s="293">
        <f>'[7]BD-Redesign'!F59</f>
        <v>236042</v>
      </c>
      <c r="E282" s="293">
        <f>E294-SUM(E283,E289:E293)</f>
        <v>283489.59215955599</v>
      </c>
      <c r="G282" s="377"/>
      <c r="H282" s="343"/>
      <c r="L282" s="377">
        <f t="shared" si="137"/>
        <v>0</v>
      </c>
      <c r="M282" s="343" t="s">
        <v>1062</v>
      </c>
      <c r="N282" s="377">
        <f t="shared" si="138"/>
        <v>1.7162999999999999</v>
      </c>
      <c r="O282" s="343" t="s">
        <v>1062</v>
      </c>
      <c r="P282" s="377">
        <f t="shared" si="139"/>
        <v>2.279911334706</v>
      </c>
      <c r="Q282" s="343" t="s">
        <v>1062</v>
      </c>
      <c r="R282" s="377">
        <f t="shared" si="140"/>
        <v>3.996211334706</v>
      </c>
      <c r="S282" s="343" t="s">
        <v>1062</v>
      </c>
      <c r="T282" s="294">
        <f>ROUND($E282*L282/100,0)</f>
        <v>0</v>
      </c>
      <c r="U282" s="346"/>
      <c r="V282" s="294">
        <f>ROUND($E282*N282/100,0)</f>
        <v>4866</v>
      </c>
      <c r="W282" s="346"/>
      <c r="X282" s="294">
        <f>ROUND($E282*P282/100,0)</f>
        <v>6463</v>
      </c>
      <c r="Y282" s="346"/>
      <c r="Z282" s="294">
        <f>ROUND($E282*R282/100,0)</f>
        <v>11329</v>
      </c>
    </row>
    <row r="283" spans="1:29">
      <c r="B283" s="317" t="s">
        <v>1105</v>
      </c>
      <c r="D283" s="293">
        <f>'[7]BD-Redesign'!F60</f>
        <v>345285</v>
      </c>
      <c r="E283" s="293">
        <f>ROUND(D283/D294*E294,0)</f>
        <v>414693</v>
      </c>
      <c r="G283" s="377"/>
      <c r="H283" s="343"/>
      <c r="L283" s="377">
        <f t="shared" si="137"/>
        <v>0</v>
      </c>
      <c r="M283" s="343" t="s">
        <v>1062</v>
      </c>
      <c r="N283" s="377">
        <f t="shared" si="138"/>
        <v>1.5188999999999999</v>
      </c>
      <c r="O283" s="343" t="s">
        <v>1062</v>
      </c>
      <c r="P283" s="377">
        <f t="shared" si="139"/>
        <v>2.0175702077039999</v>
      </c>
      <c r="Q283" s="343" t="s">
        <v>1062</v>
      </c>
      <c r="R283" s="377">
        <f t="shared" si="140"/>
        <v>3.5364702077039998</v>
      </c>
      <c r="S283" s="343" t="s">
        <v>1062</v>
      </c>
      <c r="T283" s="294">
        <f>ROUND($E283*L283/100,0)</f>
        <v>0</v>
      </c>
      <c r="U283" s="346"/>
      <c r="V283" s="294">
        <f>ROUND($E283*N283/100,0)</f>
        <v>6299</v>
      </c>
      <c r="W283" s="346"/>
      <c r="X283" s="294">
        <f>ROUND($E283*P283/100,0)</f>
        <v>8367</v>
      </c>
      <c r="Y283" s="346"/>
      <c r="Z283" s="294">
        <f>ROUND($E283*R283/100,0)</f>
        <v>14665</v>
      </c>
    </row>
    <row r="284" spans="1:29">
      <c r="B284" s="317" t="s">
        <v>1106</v>
      </c>
      <c r="D284" s="293">
        <f>(D280+D281)*D701/(D701+D702)</f>
        <v>1658.2225477373308</v>
      </c>
      <c r="E284" s="293">
        <f>ROUND(D284/D294*E294,0)</f>
        <v>1992</v>
      </c>
      <c r="G284" s="339">
        <v>14.62</v>
      </c>
      <c r="H284" s="339"/>
      <c r="I284" s="294">
        <f t="shared" ref="I284:J286" si="145">ROUND($G284*D284,0)</f>
        <v>24243</v>
      </c>
      <c r="J284" s="294">
        <f t="shared" si="145"/>
        <v>29123</v>
      </c>
      <c r="L284" s="339"/>
      <c r="M284" s="339"/>
      <c r="N284" s="339"/>
      <c r="O284" s="339"/>
      <c r="P284" s="339"/>
      <c r="Q284" s="339"/>
      <c r="R284" s="339"/>
      <c r="S284" s="339"/>
      <c r="U284" s="319"/>
      <c r="W284" s="319"/>
      <c r="Y284" s="319"/>
    </row>
    <row r="285" spans="1:29">
      <c r="B285" s="317" t="s">
        <v>1107</v>
      </c>
      <c r="D285" s="293">
        <f>D280+D281-D284</f>
        <v>2306.0621057280159</v>
      </c>
      <c r="E285" s="293">
        <f>ROUND(D285/D294*E294,0)</f>
        <v>2770</v>
      </c>
      <c r="G285" s="339">
        <v>10.91</v>
      </c>
      <c r="H285" s="339"/>
      <c r="I285" s="294">
        <f t="shared" si="145"/>
        <v>25159</v>
      </c>
      <c r="J285" s="294">
        <f t="shared" si="145"/>
        <v>30221</v>
      </c>
      <c r="L285" s="339"/>
      <c r="M285" s="339"/>
      <c r="N285" s="339"/>
      <c r="O285" s="339"/>
      <c r="P285" s="339"/>
      <c r="Q285" s="339"/>
      <c r="R285" s="339"/>
      <c r="S285" s="339"/>
      <c r="U285" s="319"/>
      <c r="W285" s="319"/>
      <c r="Y285" s="319"/>
    </row>
    <row r="286" spans="1:29">
      <c r="B286" s="317" t="s">
        <v>1098</v>
      </c>
      <c r="D286" s="293">
        <f>'[7]BD-Redesign'!F58</f>
        <v>0</v>
      </c>
      <c r="E286" s="293">
        <f>ROUND(D286/D294*E294,0)</f>
        <v>0</v>
      </c>
      <c r="G286" s="339">
        <v>-0.96</v>
      </c>
      <c r="H286" s="339"/>
      <c r="I286" s="294">
        <f t="shared" si="145"/>
        <v>0</v>
      </c>
      <c r="J286" s="294">
        <f t="shared" si="145"/>
        <v>0</v>
      </c>
      <c r="L286" s="339">
        <f>L250</f>
        <v>-0.96</v>
      </c>
      <c r="M286" s="339"/>
      <c r="N286" s="339">
        <f>N250</f>
        <v>0</v>
      </c>
      <c r="O286" s="339"/>
      <c r="P286" s="339">
        <f>P250</f>
        <v>0</v>
      </c>
      <c r="Q286" s="339"/>
      <c r="R286" s="339">
        <f>R250</f>
        <v>-0.96</v>
      </c>
      <c r="S286" s="339"/>
      <c r="T286" s="294">
        <f t="shared" ref="T286" si="146">ROUND($E286*L286,0)</f>
        <v>0</v>
      </c>
      <c r="U286" s="319"/>
      <c r="V286" s="294">
        <f t="shared" ref="V286" si="147">ROUND($E286*N286,0)</f>
        <v>0</v>
      </c>
      <c r="W286" s="319"/>
      <c r="X286" s="294">
        <f t="shared" ref="X286" si="148">ROUND($E286*P286,0)</f>
        <v>0</v>
      </c>
      <c r="Y286" s="319"/>
      <c r="Z286" s="294">
        <f t="shared" ref="Z286" si="149">ROUND($E286*R286,0)</f>
        <v>0</v>
      </c>
    </row>
    <row r="287" spans="1:29">
      <c r="B287" s="317" t="s">
        <v>1108</v>
      </c>
      <c r="D287" s="293">
        <f>(D282+D283)*D704/(D704+D705)</f>
        <v>234805.04955330916</v>
      </c>
      <c r="E287" s="293">
        <f>ROUND(D287/D294*E294,0)</f>
        <v>282004</v>
      </c>
      <c r="G287" s="377">
        <v>3.8127</v>
      </c>
      <c r="H287" s="343" t="s">
        <v>1062</v>
      </c>
      <c r="I287" s="294">
        <f t="shared" ref="I287:J289" si="150">ROUND($G287*D287/100,0)</f>
        <v>8952</v>
      </c>
      <c r="J287" s="294">
        <f t="shared" si="150"/>
        <v>10752</v>
      </c>
      <c r="L287" s="377"/>
      <c r="M287" s="343"/>
      <c r="N287" s="377"/>
      <c r="O287" s="343"/>
      <c r="P287" s="377"/>
      <c r="Q287" s="343"/>
      <c r="R287" s="377"/>
      <c r="S287" s="343"/>
      <c r="U287" s="346"/>
      <c r="W287" s="346"/>
      <c r="Y287" s="346"/>
    </row>
    <row r="288" spans="1:29">
      <c r="B288" s="317" t="s">
        <v>1109</v>
      </c>
      <c r="D288" s="293">
        <f>D282+D283-D287</f>
        <v>346521.95044669084</v>
      </c>
      <c r="E288" s="293">
        <f>E294-E287-E289-E290-E293</f>
        <v>416178.59215955599</v>
      </c>
      <c r="G288" s="377">
        <v>3.5143</v>
      </c>
      <c r="H288" s="343" t="s">
        <v>1062</v>
      </c>
      <c r="I288" s="294">
        <f t="shared" si="150"/>
        <v>12178</v>
      </c>
      <c r="J288" s="294">
        <f t="shared" si="150"/>
        <v>14626</v>
      </c>
      <c r="L288" s="377"/>
      <c r="M288" s="343"/>
      <c r="N288" s="377"/>
      <c r="O288" s="343"/>
      <c r="P288" s="377"/>
      <c r="Q288" s="343"/>
      <c r="R288" s="377"/>
      <c r="S288" s="343"/>
      <c r="U288" s="346"/>
      <c r="W288" s="346"/>
      <c r="Y288" s="346"/>
    </row>
    <row r="289" spans="1:29">
      <c r="B289" s="353" t="s">
        <v>1077</v>
      </c>
      <c r="D289" s="293">
        <f>'[7]BD-Redesign'!F61</f>
        <v>0</v>
      </c>
      <c r="E289" s="293">
        <f>ROUND(D289/(D294-D290)*E294,0)</f>
        <v>0</v>
      </c>
      <c r="G289" s="377">
        <v>7.125</v>
      </c>
      <c r="H289" s="343" t="s">
        <v>1062</v>
      </c>
      <c r="I289" s="294">
        <f t="shared" si="150"/>
        <v>0</v>
      </c>
      <c r="J289" s="294">
        <f t="shared" si="150"/>
        <v>0</v>
      </c>
      <c r="L289" s="377">
        <f>L253</f>
        <v>0</v>
      </c>
      <c r="M289" s="343" t="s">
        <v>1062</v>
      </c>
      <c r="N289" s="377">
        <f>N253</f>
        <v>7.125</v>
      </c>
      <c r="O289" s="343" t="s">
        <v>1062</v>
      </c>
      <c r="P289" s="377">
        <f>P253</f>
        <v>0</v>
      </c>
      <c r="Q289" s="343" t="s">
        <v>1062</v>
      </c>
      <c r="R289" s="377">
        <f>R253</f>
        <v>7.125</v>
      </c>
      <c r="S289" s="343" t="s">
        <v>1062</v>
      </c>
      <c r="T289" s="294">
        <f>ROUND($E289*L289/100,0)</f>
        <v>0</v>
      </c>
      <c r="U289" s="346"/>
      <c r="V289" s="294">
        <f>ROUND($E289*N289/100,0)</f>
        <v>0</v>
      </c>
      <c r="W289" s="346"/>
      <c r="X289" s="294">
        <f>ROUND($E289*P289/100,0)</f>
        <v>0</v>
      </c>
      <c r="Y289" s="346"/>
      <c r="Z289" s="294">
        <f>ROUND($E289*R289/100,0)</f>
        <v>0</v>
      </c>
    </row>
    <row r="290" spans="1:29">
      <c r="B290" s="317" t="s">
        <v>1078</v>
      </c>
      <c r="D290" s="357">
        <v>0</v>
      </c>
      <c r="E290" s="357">
        <v>0</v>
      </c>
      <c r="I290" s="358">
        <v>0</v>
      </c>
      <c r="J290" s="358">
        <v>0</v>
      </c>
      <c r="T290" s="358"/>
      <c r="V290" s="358"/>
      <c r="X290" s="358"/>
      <c r="Z290" s="358"/>
    </row>
    <row r="291" spans="1:29">
      <c r="B291" s="317" t="s">
        <v>1079</v>
      </c>
      <c r="G291" s="338">
        <v>-3.61E-2</v>
      </c>
      <c r="H291" s="339"/>
      <c r="I291" s="294">
        <f>SUM(I284:I285,I287:I289)*$G291</f>
        <v>-2546.2051999999999</v>
      </c>
      <c r="J291" s="294">
        <f>SUM(J284:J285,J287:J289)*$G291</f>
        <v>-3058.4641999999999</v>
      </c>
      <c r="L291" s="338">
        <f>L255</f>
        <v>0</v>
      </c>
      <c r="M291" s="339"/>
      <c r="N291" s="338">
        <f>N255</f>
        <v>0</v>
      </c>
      <c r="O291" s="339"/>
      <c r="P291" s="359" t="str">
        <f>$P$43</f>
        <v>Tax Year 1</v>
      </c>
      <c r="Q291" s="339"/>
      <c r="R291" s="338">
        <f>$R$687</f>
        <v>-2.4199999999999999E-2</v>
      </c>
      <c r="S291" s="339"/>
      <c r="Z291" s="294">
        <f>R291*SUM(Z280:Z283,Z289)</f>
        <v>-2094.0985999999998</v>
      </c>
    </row>
    <row r="292" spans="1:29">
      <c r="B292" s="317"/>
      <c r="G292" s="338"/>
      <c r="H292" s="339"/>
      <c r="L292" s="338"/>
      <c r="M292" s="339"/>
      <c r="N292" s="338"/>
      <c r="O292" s="339"/>
      <c r="P292" s="359" t="str">
        <f>$P$44</f>
        <v>Tax Year 2</v>
      </c>
      <c r="Q292" s="339"/>
      <c r="R292" s="338">
        <f>$R$688</f>
        <v>-1.21E-2</v>
      </c>
      <c r="S292" s="339"/>
      <c r="Z292" s="294">
        <f>R292*SUM(Z280:Z283,Z289)</f>
        <v>-1047.0492999999999</v>
      </c>
    </row>
    <row r="293" spans="1:29" ht="16.5" thickBot="1">
      <c r="B293" s="353" t="s">
        <v>1082</v>
      </c>
      <c r="D293" s="293">
        <v>0</v>
      </c>
      <c r="E293" s="293">
        <f>ROUND(D293/(D294-D290)*E294,0)</f>
        <v>0</v>
      </c>
      <c r="G293" s="338"/>
      <c r="H293" s="339"/>
      <c r="L293" s="338"/>
      <c r="M293" s="339"/>
      <c r="N293" s="338"/>
      <c r="O293" s="339"/>
      <c r="P293" s="368"/>
      <c r="R293" s="368"/>
      <c r="T293" s="369"/>
      <c r="V293" s="369"/>
      <c r="X293" s="369"/>
      <c r="Z293" s="369"/>
    </row>
    <row r="294" spans="1:29" ht="17.25" thickTop="1" thickBot="1">
      <c r="A294" s="292">
        <v>1</v>
      </c>
      <c r="B294" s="317" t="s">
        <v>937</v>
      </c>
      <c r="D294" s="381">
        <f>SUM(D287:D289,D290,D293)</f>
        <v>581327</v>
      </c>
      <c r="E294" s="381">
        <f>D294*E711/D711</f>
        <v>698182.59215955599</v>
      </c>
      <c r="G294" s="368"/>
      <c r="I294" s="369">
        <f>SUM(I276:I291)</f>
        <v>90389.794800000003</v>
      </c>
      <c r="J294" s="369">
        <f>SUM(J276:J291)</f>
        <v>107636.5358</v>
      </c>
      <c r="L294" s="368"/>
      <c r="N294" s="368"/>
      <c r="P294" s="368"/>
      <c r="R294" s="368"/>
      <c r="T294" s="369">
        <f>SUM(T276:T290)</f>
        <v>29641</v>
      </c>
      <c r="V294" s="369">
        <f>SUM(V276:V290)</f>
        <v>68494</v>
      </c>
      <c r="X294" s="369">
        <f>SUM(X276:X290)</f>
        <v>14830</v>
      </c>
      <c r="Z294" s="369">
        <f>SUM(Z276:Z290)</f>
        <v>112965</v>
      </c>
      <c r="AB294" s="305" t="s">
        <v>939</v>
      </c>
      <c r="AC294" s="304">
        <f>Z294/J294-1</f>
        <v>4.9504233487231986E-2</v>
      </c>
    </row>
    <row r="295" spans="1:29" ht="16.5" thickTop="1">
      <c r="A295" s="292">
        <v>1</v>
      </c>
    </row>
    <row r="296" spans="1:29">
      <c r="A296" s="292">
        <v>1</v>
      </c>
      <c r="B296" s="314" t="s">
        <v>947</v>
      </c>
    </row>
    <row r="297" spans="1:29">
      <c r="B297" s="317" t="s">
        <v>1089</v>
      </c>
      <c r="D297" s="293">
        <f>'[7]BD-Redesign'!D22</f>
        <v>14061.016666649997</v>
      </c>
      <c r="E297" s="293">
        <f>E312</f>
        <v>13951.476908881947</v>
      </c>
      <c r="G297" s="318"/>
      <c r="H297" s="318"/>
      <c r="L297" s="318">
        <f>L225</f>
        <v>55</v>
      </c>
      <c r="M297" s="318"/>
      <c r="N297" s="318">
        <f>N225</f>
        <v>0</v>
      </c>
      <c r="O297" s="318"/>
      <c r="P297" s="318">
        <f>P225</f>
        <v>0</v>
      </c>
      <c r="Q297" s="318"/>
      <c r="R297" s="318">
        <f t="shared" ref="R297:R307" si="151">R225</f>
        <v>55</v>
      </c>
      <c r="S297" s="318"/>
      <c r="T297" s="294">
        <f>ROUND($E297*L297,0)</f>
        <v>767331</v>
      </c>
      <c r="U297" s="319"/>
      <c r="V297" s="294">
        <f>ROUND($E297*N297,0)</f>
        <v>0</v>
      </c>
      <c r="W297" s="319"/>
      <c r="X297" s="294">
        <f>ROUND($E297*P297,0)</f>
        <v>0</v>
      </c>
      <c r="Y297" s="319"/>
      <c r="Z297" s="294">
        <f>ROUND($E297*R297,0)</f>
        <v>767331</v>
      </c>
      <c r="AB297" s="305"/>
      <c r="AC297" s="325"/>
    </row>
    <row r="298" spans="1:29">
      <c r="B298" s="317" t="s">
        <v>1090</v>
      </c>
      <c r="D298" s="293">
        <f>'[7]BD-Redesign'!D23</f>
        <v>19353983.668316837</v>
      </c>
      <c r="E298" s="293">
        <f t="shared" ref="E298:E307" si="152">D298/$D$310*$E$310</f>
        <v>18365329.916608788</v>
      </c>
      <c r="F298" s="339"/>
      <c r="G298" s="376"/>
      <c r="H298" s="343"/>
      <c r="K298" s="339"/>
      <c r="L298" s="376">
        <f t="shared" ref="L298:L307" si="153">L226</f>
        <v>1.7867999999999999</v>
      </c>
      <c r="M298" s="343" t="s">
        <v>1062</v>
      </c>
      <c r="N298" s="376">
        <f t="shared" ref="N298:N307" si="154">N226</f>
        <v>19.766631654000651</v>
      </c>
      <c r="O298" s="343" t="s">
        <v>1062</v>
      </c>
      <c r="P298" s="376">
        <f t="shared" ref="P298:P307" si="155">P226</f>
        <v>1.3127</v>
      </c>
      <c r="Q298" s="343" t="s">
        <v>1062</v>
      </c>
      <c r="R298" s="376">
        <f t="shared" si="151"/>
        <v>22.86613165400065</v>
      </c>
      <c r="S298" s="343" t="s">
        <v>1062</v>
      </c>
      <c r="T298" s="294">
        <f>ROUND($E298*L298/100,0)</f>
        <v>328152</v>
      </c>
      <c r="U298" s="346"/>
      <c r="V298" s="294">
        <f>ROUND($E298*N298/100,0)</f>
        <v>3630207</v>
      </c>
      <c r="W298" s="346"/>
      <c r="X298" s="294">
        <f>ROUND($E298*P298/100,0)</f>
        <v>241082</v>
      </c>
      <c r="Y298" s="346"/>
      <c r="Z298" s="294">
        <f>ROUND($E298*R298/100,0)</f>
        <v>4199441</v>
      </c>
    </row>
    <row r="299" spans="1:29">
      <c r="B299" s="317" t="s">
        <v>1091</v>
      </c>
      <c r="D299" s="293">
        <f>'[7]BD-Redesign'!D24</f>
        <v>44598391.331683159</v>
      </c>
      <c r="E299" s="293">
        <f t="shared" si="152"/>
        <v>42320185.063358508</v>
      </c>
      <c r="F299" s="339"/>
      <c r="G299" s="376"/>
      <c r="H299" s="343"/>
      <c r="K299" s="339"/>
      <c r="L299" s="376">
        <f t="shared" si="153"/>
        <v>1.7867999999999999</v>
      </c>
      <c r="M299" s="343" t="s">
        <v>1062</v>
      </c>
      <c r="N299" s="376">
        <f t="shared" si="154"/>
        <v>1.4732003384230001</v>
      </c>
      <c r="O299" s="343" t="s">
        <v>1062</v>
      </c>
      <c r="P299" s="376">
        <f t="shared" si="155"/>
        <v>1.3127</v>
      </c>
      <c r="Q299" s="343" t="s">
        <v>1062</v>
      </c>
      <c r="R299" s="376">
        <f t="shared" si="151"/>
        <v>4.5727003384230001</v>
      </c>
      <c r="S299" s="343" t="s">
        <v>1062</v>
      </c>
      <c r="T299" s="294">
        <f t="shared" ref="T299:T305" si="156">ROUND($E299*L299/100,0)</f>
        <v>756177</v>
      </c>
      <c r="U299" s="346"/>
      <c r="V299" s="294">
        <f t="shared" ref="V299:V305" si="157">ROUND($E299*N299/100,0)</f>
        <v>623461</v>
      </c>
      <c r="W299" s="346"/>
      <c r="X299" s="294">
        <f t="shared" ref="X299:X305" si="158">ROUND($E299*P299/100,0)</f>
        <v>555537</v>
      </c>
      <c r="Y299" s="346"/>
      <c r="Z299" s="294">
        <f t="shared" ref="Z299:Z305" si="159">ROUND($E299*R299/100,0)</f>
        <v>1935175</v>
      </c>
    </row>
    <row r="300" spans="1:29">
      <c r="B300" s="317" t="s">
        <v>1092</v>
      </c>
      <c r="D300" s="293">
        <f>'[7]BD-Redesign'!D25</f>
        <v>33445107.804455444</v>
      </c>
      <c r="E300" s="293">
        <f t="shared" si="152"/>
        <v>31736641.378430471</v>
      </c>
      <c r="F300" s="339"/>
      <c r="G300" s="376"/>
      <c r="H300" s="343"/>
      <c r="K300" s="339"/>
      <c r="L300" s="376">
        <f t="shared" si="153"/>
        <v>1.7867999999999999</v>
      </c>
      <c r="M300" s="343" t="s">
        <v>1062</v>
      </c>
      <c r="N300" s="376">
        <f t="shared" si="154"/>
        <v>17.286999999999999</v>
      </c>
      <c r="O300" s="343" t="s">
        <v>1062</v>
      </c>
      <c r="P300" s="376">
        <f t="shared" si="155"/>
        <v>1.1617</v>
      </c>
      <c r="Q300" s="343" t="s">
        <v>1062</v>
      </c>
      <c r="R300" s="376">
        <f t="shared" si="151"/>
        <v>20.235499999999998</v>
      </c>
      <c r="S300" s="343" t="s">
        <v>1062</v>
      </c>
      <c r="T300" s="294">
        <f t="shared" si="156"/>
        <v>567070</v>
      </c>
      <c r="U300" s="346"/>
      <c r="V300" s="294">
        <f t="shared" si="157"/>
        <v>5486313</v>
      </c>
      <c r="W300" s="346"/>
      <c r="X300" s="294">
        <f t="shared" si="158"/>
        <v>368685</v>
      </c>
      <c r="Y300" s="346"/>
      <c r="Z300" s="294">
        <f t="shared" si="159"/>
        <v>6422068</v>
      </c>
    </row>
    <row r="301" spans="1:29">
      <c r="B301" s="317" t="s">
        <v>1093</v>
      </c>
      <c r="D301" s="293">
        <f>'[7]BD-Redesign'!D26</f>
        <v>79863876.695544586</v>
      </c>
      <c r="E301" s="293">
        <f t="shared" si="152"/>
        <v>75784214.19948411</v>
      </c>
      <c r="F301" s="339"/>
      <c r="G301" s="376"/>
      <c r="H301" s="343"/>
      <c r="K301" s="339"/>
      <c r="L301" s="376">
        <f t="shared" si="153"/>
        <v>1.7867999999999999</v>
      </c>
      <c r="M301" s="343" t="s">
        <v>1062</v>
      </c>
      <c r="N301" s="376">
        <f t="shared" si="154"/>
        <v>1.0980999999999999</v>
      </c>
      <c r="O301" s="343" t="s">
        <v>1062</v>
      </c>
      <c r="P301" s="376">
        <f t="shared" si="155"/>
        <v>1.1617</v>
      </c>
      <c r="Q301" s="343" t="s">
        <v>1062</v>
      </c>
      <c r="R301" s="376">
        <f t="shared" si="151"/>
        <v>4.0465999999999998</v>
      </c>
      <c r="S301" s="343" t="s">
        <v>1062</v>
      </c>
      <c r="T301" s="294">
        <f t="shared" si="156"/>
        <v>1354112</v>
      </c>
      <c r="U301" s="346"/>
      <c r="V301" s="294">
        <f t="shared" si="157"/>
        <v>832186</v>
      </c>
      <c r="W301" s="346"/>
      <c r="X301" s="294">
        <f t="shared" si="158"/>
        <v>880385</v>
      </c>
      <c r="Y301" s="346"/>
      <c r="Z301" s="294">
        <f t="shared" si="159"/>
        <v>3066684</v>
      </c>
    </row>
    <row r="302" spans="1:29">
      <c r="B302" s="317" t="s">
        <v>1094</v>
      </c>
      <c r="D302" s="293">
        <f>'[7]BD-Redesign'!D27</f>
        <v>35515983.674359836</v>
      </c>
      <c r="E302" s="293">
        <f t="shared" si="152"/>
        <v>33701731.316446617</v>
      </c>
      <c r="F302" s="339"/>
      <c r="G302" s="376"/>
      <c r="H302" s="343"/>
      <c r="K302" s="339"/>
      <c r="L302" s="376">
        <f t="shared" si="153"/>
        <v>0</v>
      </c>
      <c r="M302" s="343" t="s">
        <v>1062</v>
      </c>
      <c r="N302" s="376">
        <f t="shared" si="154"/>
        <v>0</v>
      </c>
      <c r="O302" s="343" t="s">
        <v>1062</v>
      </c>
      <c r="P302" s="376">
        <f t="shared" si="155"/>
        <v>6</v>
      </c>
      <c r="Q302" s="343" t="s">
        <v>1062</v>
      </c>
      <c r="R302" s="376">
        <f t="shared" si="151"/>
        <v>6</v>
      </c>
      <c r="S302" s="343" t="s">
        <v>1062</v>
      </c>
      <c r="T302" s="294">
        <f t="shared" si="156"/>
        <v>0</v>
      </c>
      <c r="U302" s="346"/>
      <c r="V302" s="294">
        <f t="shared" si="157"/>
        <v>0</v>
      </c>
      <c r="W302" s="346"/>
      <c r="X302" s="294">
        <f t="shared" si="158"/>
        <v>2022104</v>
      </c>
      <c r="Y302" s="346"/>
      <c r="Z302" s="294">
        <f t="shared" si="159"/>
        <v>2022104</v>
      </c>
    </row>
    <row r="303" spans="1:29">
      <c r="B303" s="317" t="s">
        <v>1095</v>
      </c>
      <c r="D303" s="293">
        <f>'[7]BD-Redesign'!D28</f>
        <v>28436391.325640164</v>
      </c>
      <c r="E303" s="293">
        <f t="shared" si="152"/>
        <v>26983783.663520679</v>
      </c>
      <c r="F303" s="339"/>
      <c r="G303" s="376"/>
      <c r="H303" s="343"/>
      <c r="K303" s="339"/>
      <c r="L303" s="376">
        <f t="shared" si="153"/>
        <v>0</v>
      </c>
      <c r="M303" s="343" t="s">
        <v>1062</v>
      </c>
      <c r="N303" s="376">
        <f t="shared" si="154"/>
        <v>0</v>
      </c>
      <c r="O303" s="343" t="s">
        <v>1062</v>
      </c>
      <c r="P303" s="376">
        <f t="shared" si="155"/>
        <v>-2.3358000000000008</v>
      </c>
      <c r="Q303" s="343" t="s">
        <v>1062</v>
      </c>
      <c r="R303" s="376">
        <f t="shared" si="151"/>
        <v>-2.3358000000000008</v>
      </c>
      <c r="S303" s="343" t="s">
        <v>1062</v>
      </c>
      <c r="T303" s="294">
        <f t="shared" si="156"/>
        <v>0</v>
      </c>
      <c r="U303" s="346"/>
      <c r="V303" s="294">
        <f t="shared" si="157"/>
        <v>0</v>
      </c>
      <c r="W303" s="346"/>
      <c r="X303" s="294">
        <f t="shared" si="158"/>
        <v>-630287</v>
      </c>
      <c r="Y303" s="346"/>
      <c r="Z303" s="294">
        <f t="shared" si="159"/>
        <v>-630287</v>
      </c>
    </row>
    <row r="304" spans="1:29">
      <c r="B304" s="317" t="s">
        <v>1096</v>
      </c>
      <c r="D304" s="293">
        <f>'[7]BD-Redesign'!D29</f>
        <v>62926201.625198364</v>
      </c>
      <c r="E304" s="293">
        <f t="shared" si="152"/>
        <v>59711761.312358119</v>
      </c>
      <c r="F304" s="339"/>
      <c r="G304" s="376"/>
      <c r="H304" s="343"/>
      <c r="K304" s="339"/>
      <c r="L304" s="376">
        <f t="shared" si="153"/>
        <v>0</v>
      </c>
      <c r="M304" s="343" t="s">
        <v>1062</v>
      </c>
      <c r="N304" s="376">
        <f t="shared" si="154"/>
        <v>0</v>
      </c>
      <c r="O304" s="343" t="s">
        <v>1062</v>
      </c>
      <c r="P304" s="376">
        <f t="shared" si="155"/>
        <v>5.3097000000000003</v>
      </c>
      <c r="Q304" s="343" t="s">
        <v>1062</v>
      </c>
      <c r="R304" s="376">
        <f t="shared" si="151"/>
        <v>5.3097000000000003</v>
      </c>
      <c r="S304" s="343" t="s">
        <v>1062</v>
      </c>
      <c r="T304" s="294">
        <f t="shared" si="156"/>
        <v>0</v>
      </c>
      <c r="U304" s="346"/>
      <c r="V304" s="294">
        <f t="shared" si="157"/>
        <v>0</v>
      </c>
      <c r="W304" s="346"/>
      <c r="X304" s="294">
        <f t="shared" si="158"/>
        <v>3170515</v>
      </c>
      <c r="Y304" s="346"/>
      <c r="Z304" s="294">
        <f t="shared" si="159"/>
        <v>3170515</v>
      </c>
    </row>
    <row r="305" spans="1:29">
      <c r="B305" s="317" t="s">
        <v>1097</v>
      </c>
      <c r="D305" s="293">
        <f>'[7]BD-Redesign'!D30</f>
        <v>50382782.874801628</v>
      </c>
      <c r="E305" s="293">
        <f t="shared" si="152"/>
        <v>47809094.265556425</v>
      </c>
      <c r="F305" s="339"/>
      <c r="G305" s="376"/>
      <c r="H305" s="343"/>
      <c r="K305" s="339"/>
      <c r="L305" s="376">
        <f t="shared" si="153"/>
        <v>0</v>
      </c>
      <c r="M305" s="343" t="s">
        <v>1062</v>
      </c>
      <c r="N305" s="376">
        <f t="shared" si="154"/>
        <v>0</v>
      </c>
      <c r="O305" s="343" t="s">
        <v>1062</v>
      </c>
      <c r="P305" s="376">
        <f t="shared" si="155"/>
        <v>-2.0670999999999999</v>
      </c>
      <c r="Q305" s="343" t="s">
        <v>1062</v>
      </c>
      <c r="R305" s="376">
        <f t="shared" si="151"/>
        <v>-2.0670999999999999</v>
      </c>
      <c r="S305" s="343" t="s">
        <v>1062</v>
      </c>
      <c r="T305" s="294">
        <f t="shared" si="156"/>
        <v>0</v>
      </c>
      <c r="U305" s="346"/>
      <c r="V305" s="294">
        <f t="shared" si="157"/>
        <v>0</v>
      </c>
      <c r="W305" s="346"/>
      <c r="X305" s="294">
        <f t="shared" si="158"/>
        <v>-988262</v>
      </c>
      <c r="Y305" s="346"/>
      <c r="Z305" s="294">
        <f t="shared" si="159"/>
        <v>-988262</v>
      </c>
    </row>
    <row r="306" spans="1:29">
      <c r="B306" s="317" t="s">
        <v>1098</v>
      </c>
      <c r="D306" s="293">
        <f>'[7]BD-Redesign'!D31</f>
        <v>33386.598958333328</v>
      </c>
      <c r="E306" s="293">
        <f t="shared" si="152"/>
        <v>31681.121322172912</v>
      </c>
      <c r="G306" s="318"/>
      <c r="H306" s="318"/>
      <c r="L306" s="318">
        <f t="shared" si="153"/>
        <v>-0.61</v>
      </c>
      <c r="M306" s="318"/>
      <c r="N306" s="318">
        <f t="shared" si="154"/>
        <v>0</v>
      </c>
      <c r="O306" s="318"/>
      <c r="P306" s="318">
        <f t="shared" si="155"/>
        <v>0</v>
      </c>
      <c r="Q306" s="318"/>
      <c r="R306" s="318">
        <f t="shared" si="151"/>
        <v>-0.61</v>
      </c>
      <c r="S306" s="318"/>
      <c r="T306" s="294">
        <f>ROUND($E306*L306,0)</f>
        <v>-19325</v>
      </c>
      <c r="U306" s="319"/>
      <c r="V306" s="294">
        <f>ROUND($E306*N306,0)</f>
        <v>0</v>
      </c>
      <c r="W306" s="319"/>
      <c r="X306" s="294">
        <f>ROUND($E306*P306,0)</f>
        <v>0</v>
      </c>
      <c r="Y306" s="319"/>
      <c r="Z306" s="294">
        <f>ROUND($E306*R306,0)</f>
        <v>-19325</v>
      </c>
    </row>
    <row r="307" spans="1:29">
      <c r="B307" s="353" t="s">
        <v>1077</v>
      </c>
      <c r="D307" s="293">
        <f>'[7]BD-Redesign'!D32</f>
        <v>799246.5</v>
      </c>
      <c r="E307" s="293">
        <f t="shared" si="152"/>
        <v>758418.83039428061</v>
      </c>
      <c r="G307" s="377"/>
      <c r="H307" s="343"/>
      <c r="L307" s="377">
        <f t="shared" si="153"/>
        <v>0</v>
      </c>
      <c r="M307" s="343" t="s">
        <v>1062</v>
      </c>
      <c r="N307" s="377">
        <f t="shared" si="154"/>
        <v>7.125</v>
      </c>
      <c r="O307" s="343" t="s">
        <v>1062</v>
      </c>
      <c r="P307" s="377">
        <f t="shared" si="155"/>
        <v>0</v>
      </c>
      <c r="Q307" s="343" t="s">
        <v>1062</v>
      </c>
      <c r="R307" s="377">
        <f t="shared" si="151"/>
        <v>7.125</v>
      </c>
      <c r="S307" s="343" t="s">
        <v>1062</v>
      </c>
      <c r="T307" s="294">
        <f>ROUND($E307*L307/100,0)</f>
        <v>0</v>
      </c>
      <c r="U307" s="346"/>
      <c r="V307" s="294">
        <f>ROUND($E307*N307/100,0)</f>
        <v>54037</v>
      </c>
      <c r="W307" s="346"/>
      <c r="X307" s="294">
        <f>ROUND($E307*P307/100,0)</f>
        <v>0</v>
      </c>
      <c r="Y307" s="346"/>
      <c r="Z307" s="294">
        <f>ROUND($E307*R307/100,0)</f>
        <v>54037</v>
      </c>
      <c r="AB307" s="305"/>
      <c r="AC307" s="325"/>
    </row>
    <row r="308" spans="1:29">
      <c r="B308" s="317" t="s">
        <v>1079</v>
      </c>
      <c r="G308" s="338"/>
      <c r="H308" s="339"/>
      <c r="L308" s="338"/>
      <c r="M308" s="339"/>
      <c r="N308" s="338"/>
      <c r="O308" s="339"/>
      <c r="P308" s="359" t="str">
        <f>$P$43</f>
        <v>Tax Year 1</v>
      </c>
      <c r="Q308" s="339"/>
      <c r="R308" s="338">
        <f>$R$979</f>
        <v>-2.7099999999999999E-2</v>
      </c>
      <c r="S308" s="339"/>
      <c r="Z308" s="294">
        <f>R308*SUM(Z298:Z301,Z307)</f>
        <v>-424857.67550000001</v>
      </c>
    </row>
    <row r="309" spans="1:29">
      <c r="B309" s="317"/>
      <c r="G309" s="338"/>
      <c r="H309" s="339"/>
      <c r="L309" s="338"/>
      <c r="M309" s="339"/>
      <c r="N309" s="338"/>
      <c r="O309" s="339"/>
      <c r="P309" s="359" t="str">
        <f>$P$44</f>
        <v>Tax Year 2</v>
      </c>
      <c r="Q309" s="339"/>
      <c r="R309" s="338">
        <f>$R$980</f>
        <v>-1.3599999999999999E-2</v>
      </c>
      <c r="S309" s="339"/>
      <c r="Z309" s="294">
        <f>R309*SUM(Z298:Z301,Z307)</f>
        <v>-213212.70799999998</v>
      </c>
    </row>
    <row r="310" spans="1:29">
      <c r="A310" s="292">
        <v>1</v>
      </c>
      <c r="B310" s="317" t="s">
        <v>945</v>
      </c>
      <c r="D310" s="293">
        <f>SUM(D302:D305,D307)</f>
        <v>178060606</v>
      </c>
      <c r="E310" s="293">
        <f>E330</f>
        <v>168964789.38827613</v>
      </c>
      <c r="G310" s="318"/>
      <c r="H310" s="318"/>
      <c r="L310" s="318"/>
      <c r="M310" s="318"/>
      <c r="N310" s="318"/>
      <c r="O310" s="318"/>
      <c r="P310" s="318"/>
      <c r="Q310" s="318"/>
      <c r="R310" s="318"/>
      <c r="S310" s="318"/>
      <c r="T310" s="294">
        <f>SUM(T297:T307)</f>
        <v>3753517</v>
      </c>
      <c r="U310" s="319"/>
      <c r="V310" s="294">
        <f>SUM(V297:V307)</f>
        <v>10626204</v>
      </c>
      <c r="W310" s="319"/>
      <c r="X310" s="294">
        <f>SUM(X297:X307)</f>
        <v>5619759</v>
      </c>
      <c r="Y310" s="319"/>
      <c r="Z310" s="294">
        <f>SUM(Z297:Z307)</f>
        <v>19999481</v>
      </c>
      <c r="AB310" s="305" t="s">
        <v>939</v>
      </c>
      <c r="AC310" s="329">
        <f>Z310/Z330-1</f>
        <v>-0.17665861280666662</v>
      </c>
    </row>
    <row r="311" spans="1:29">
      <c r="B311" s="317"/>
      <c r="G311" s="318"/>
      <c r="H311" s="318"/>
      <c r="L311" s="318"/>
      <c r="M311" s="318"/>
      <c r="N311" s="318"/>
      <c r="O311" s="318"/>
      <c r="P311" s="318"/>
      <c r="Q311" s="318"/>
      <c r="R311" s="318"/>
      <c r="S311" s="318"/>
      <c r="T311" s="319"/>
      <c r="U311" s="319"/>
      <c r="V311" s="319"/>
      <c r="W311" s="319"/>
      <c r="X311" s="319"/>
      <c r="Y311" s="319"/>
      <c r="AB311" s="305"/>
      <c r="AC311" s="325"/>
    </row>
    <row r="312" spans="1:29">
      <c r="B312" s="317" t="s">
        <v>1089</v>
      </c>
      <c r="D312" s="293">
        <f>D297</f>
        <v>14061.016666649997</v>
      </c>
      <c r="E312" s="293">
        <f>D312*E714/D714</f>
        <v>13951.476908881947</v>
      </c>
      <c r="G312" s="339">
        <f>G240</f>
        <v>54</v>
      </c>
      <c r="H312" s="339"/>
      <c r="I312" s="294">
        <f t="shared" ref="I312:J314" si="160">ROUND($G312*D312,0)</f>
        <v>759295</v>
      </c>
      <c r="J312" s="294">
        <f t="shared" si="160"/>
        <v>753380</v>
      </c>
      <c r="L312" s="339">
        <f t="shared" ref="L312:L319" si="161">L240</f>
        <v>55</v>
      </c>
      <c r="M312" s="339"/>
      <c r="N312" s="339">
        <f t="shared" ref="N312:N319" si="162">N240</f>
        <v>0</v>
      </c>
      <c r="O312" s="339"/>
      <c r="P312" s="339">
        <f t="shared" ref="P312:P319" si="163">P240</f>
        <v>0</v>
      </c>
      <c r="Q312" s="339"/>
      <c r="R312" s="339">
        <f t="shared" ref="R312:R319" si="164">R240</f>
        <v>55</v>
      </c>
      <c r="S312" s="339"/>
      <c r="T312" s="294">
        <f>ROUND($E312*L312,0)</f>
        <v>767331</v>
      </c>
      <c r="U312" s="319"/>
      <c r="V312" s="294">
        <f>ROUND($E312*N312,0)</f>
        <v>0</v>
      </c>
      <c r="W312" s="319"/>
      <c r="X312" s="294">
        <f>ROUND($E312*P312,0)</f>
        <v>0</v>
      </c>
      <c r="Y312" s="319"/>
      <c r="Z312" s="294">
        <f>ROUND($E312*R312,0)</f>
        <v>767331</v>
      </c>
    </row>
    <row r="313" spans="1:29">
      <c r="B313" s="317" t="s">
        <v>1099</v>
      </c>
      <c r="D313" s="293">
        <v>0</v>
      </c>
      <c r="E313" s="293">
        <v>0</v>
      </c>
      <c r="G313" s="339">
        <f>G241</f>
        <v>648</v>
      </c>
      <c r="H313" s="339"/>
      <c r="I313" s="294">
        <f t="shared" si="160"/>
        <v>0</v>
      </c>
      <c r="J313" s="294">
        <f t="shared" si="160"/>
        <v>0</v>
      </c>
      <c r="L313" s="339">
        <f t="shared" si="161"/>
        <v>660</v>
      </c>
      <c r="M313" s="339"/>
      <c r="N313" s="339">
        <f t="shared" si="162"/>
        <v>0</v>
      </c>
      <c r="O313" s="339"/>
      <c r="P313" s="339">
        <f t="shared" si="163"/>
        <v>0</v>
      </c>
      <c r="Q313" s="339"/>
      <c r="R313" s="339">
        <f t="shared" si="164"/>
        <v>660</v>
      </c>
      <c r="S313" s="339"/>
      <c r="T313" s="294">
        <f t="shared" ref="T313:T317" si="165">ROUND($E313*L313,0)</f>
        <v>0</v>
      </c>
      <c r="U313" s="319"/>
      <c r="V313" s="294">
        <f t="shared" ref="V313:V317" si="166">ROUND($E313*N313,0)</f>
        <v>0</v>
      </c>
      <c r="W313" s="319"/>
      <c r="X313" s="294">
        <f t="shared" ref="X313:X317" si="167">ROUND($E313*P313,0)</f>
        <v>0</v>
      </c>
      <c r="Y313" s="319"/>
      <c r="Z313" s="294">
        <f t="shared" ref="Z313:Z317" si="168">ROUND($E313*R313,0)</f>
        <v>0</v>
      </c>
    </row>
    <row r="314" spans="1:29">
      <c r="B314" s="317" t="s">
        <v>1100</v>
      </c>
      <c r="D314" s="293">
        <v>0</v>
      </c>
      <c r="E314" s="293">
        <v>0</v>
      </c>
      <c r="G314" s="339">
        <f>G242</f>
        <v>54</v>
      </c>
      <c r="H314" s="339"/>
      <c r="I314" s="294">
        <f t="shared" si="160"/>
        <v>0</v>
      </c>
      <c r="J314" s="294">
        <f t="shared" si="160"/>
        <v>0</v>
      </c>
      <c r="L314" s="339">
        <f t="shared" si="161"/>
        <v>55</v>
      </c>
      <c r="M314" s="339"/>
      <c r="N314" s="339">
        <f t="shared" si="162"/>
        <v>0</v>
      </c>
      <c r="O314" s="339"/>
      <c r="P314" s="339">
        <f t="shared" si="163"/>
        <v>0</v>
      </c>
      <c r="Q314" s="339"/>
      <c r="R314" s="339">
        <f t="shared" si="164"/>
        <v>55</v>
      </c>
      <c r="S314" s="339"/>
      <c r="T314" s="294">
        <f t="shared" si="165"/>
        <v>0</v>
      </c>
      <c r="V314" s="294">
        <f t="shared" si="166"/>
        <v>0</v>
      </c>
      <c r="X314" s="294">
        <f t="shared" si="167"/>
        <v>0</v>
      </c>
      <c r="Z314" s="294">
        <f t="shared" si="168"/>
        <v>0</v>
      </c>
    </row>
    <row r="315" spans="1:29">
      <c r="B315" s="317" t="s">
        <v>1101</v>
      </c>
      <c r="D315" s="293">
        <f>'[7]BD-Redesign'!D55</f>
        <v>1083158.4146039609</v>
      </c>
      <c r="E315" s="293">
        <f>ROUND(D315/D330*E330,0)</f>
        <v>1027828</v>
      </c>
      <c r="G315" s="339">
        <f>G243</f>
        <v>4.04</v>
      </c>
      <c r="H315" s="339"/>
      <c r="I315" s="294">
        <f>ROUND($G315*D315,0)</f>
        <v>4375960</v>
      </c>
      <c r="J315" s="294">
        <f>ROUND($G315*E315,0)</f>
        <v>4152425</v>
      </c>
      <c r="L315" s="339">
        <f t="shared" si="161"/>
        <v>4.1100000000000003</v>
      </c>
      <c r="M315" s="339"/>
      <c r="N315" s="339">
        <f t="shared" si="162"/>
        <v>0</v>
      </c>
      <c r="O315" s="339"/>
      <c r="P315" s="339">
        <f t="shared" si="163"/>
        <v>0</v>
      </c>
      <c r="Q315" s="339"/>
      <c r="R315" s="339">
        <f t="shared" si="164"/>
        <v>4.1100000000000003</v>
      </c>
      <c r="S315" s="339"/>
      <c r="T315" s="294">
        <f t="shared" si="165"/>
        <v>4224373</v>
      </c>
      <c r="U315" s="319"/>
      <c r="V315" s="294">
        <f t="shared" si="166"/>
        <v>0</v>
      </c>
      <c r="W315" s="319"/>
      <c r="X315" s="294">
        <f t="shared" si="167"/>
        <v>0</v>
      </c>
      <c r="Y315" s="319"/>
      <c r="Z315" s="294">
        <f t="shared" si="168"/>
        <v>4224373</v>
      </c>
    </row>
    <row r="316" spans="1:29">
      <c r="B316" s="317" t="s">
        <v>1102</v>
      </c>
      <c r="D316" s="293">
        <f>'[7]BD-Redesign'!D56</f>
        <v>396337.73143564368</v>
      </c>
      <c r="E316" s="293">
        <f>ROUND(D316/D318*E318,0)</f>
        <v>376092</v>
      </c>
      <c r="G316" s="339"/>
      <c r="H316" s="339"/>
      <c r="L316" s="339">
        <f t="shared" si="161"/>
        <v>0.73</v>
      </c>
      <c r="M316" s="339"/>
      <c r="N316" s="339">
        <f t="shared" si="162"/>
        <v>12.959999999999999</v>
      </c>
      <c r="O316" s="339"/>
      <c r="P316" s="339">
        <f t="shared" si="163"/>
        <v>0</v>
      </c>
      <c r="Q316" s="339"/>
      <c r="R316" s="339">
        <f t="shared" si="164"/>
        <v>13.69</v>
      </c>
      <c r="S316" s="339"/>
      <c r="T316" s="294">
        <f t="shared" si="165"/>
        <v>274547</v>
      </c>
      <c r="V316" s="294">
        <f t="shared" si="166"/>
        <v>4874152</v>
      </c>
      <c r="X316" s="294">
        <f t="shared" si="167"/>
        <v>0</v>
      </c>
      <c r="Z316" s="294">
        <f t="shared" si="168"/>
        <v>5148699</v>
      </c>
    </row>
    <row r="317" spans="1:29">
      <c r="B317" s="317" t="s">
        <v>1103</v>
      </c>
      <c r="D317" s="293">
        <f>'[7]BD-Redesign'!D57</f>
        <v>686820.68316831719</v>
      </c>
      <c r="E317" s="293">
        <f>ROUND(D317/D319*E319,0)</f>
        <v>651736</v>
      </c>
      <c r="G317" s="339"/>
      <c r="H317" s="339"/>
      <c r="L317" s="339">
        <f t="shared" si="161"/>
        <v>0.64</v>
      </c>
      <c r="M317" s="339"/>
      <c r="N317" s="339">
        <f t="shared" si="162"/>
        <v>11.479999999999999</v>
      </c>
      <c r="O317" s="339"/>
      <c r="P317" s="339">
        <f t="shared" si="163"/>
        <v>0</v>
      </c>
      <c r="Q317" s="339"/>
      <c r="R317" s="339">
        <f t="shared" si="164"/>
        <v>12.12</v>
      </c>
      <c r="S317" s="339"/>
      <c r="T317" s="294">
        <f t="shared" si="165"/>
        <v>417111</v>
      </c>
      <c r="V317" s="294">
        <f t="shared" si="166"/>
        <v>7481929</v>
      </c>
      <c r="X317" s="294">
        <f t="shared" si="167"/>
        <v>0</v>
      </c>
      <c r="Z317" s="294">
        <f t="shared" si="168"/>
        <v>7899040</v>
      </c>
    </row>
    <row r="318" spans="1:29">
      <c r="B318" s="317" t="s">
        <v>1104</v>
      </c>
      <c r="D318" s="293">
        <f>'[7]BD-Redesign'!D59</f>
        <v>63952375</v>
      </c>
      <c r="E318" s="293">
        <f>E330-SUM(E319,E325:E329)</f>
        <v>60685514.38827613</v>
      </c>
      <c r="G318" s="377"/>
      <c r="H318" s="343"/>
      <c r="L318" s="377">
        <f t="shared" si="161"/>
        <v>0</v>
      </c>
      <c r="M318" s="343" t="s">
        <v>1062</v>
      </c>
      <c r="N318" s="377">
        <f t="shared" si="162"/>
        <v>1.7162999999999999</v>
      </c>
      <c r="O318" s="343" t="s">
        <v>1062</v>
      </c>
      <c r="P318" s="377">
        <f t="shared" si="163"/>
        <v>2.279911334706</v>
      </c>
      <c r="Q318" s="343" t="s">
        <v>1062</v>
      </c>
      <c r="R318" s="377">
        <f t="shared" si="164"/>
        <v>3.996211334706</v>
      </c>
      <c r="S318" s="343" t="s">
        <v>1062</v>
      </c>
      <c r="T318" s="294">
        <f>ROUND($E318*L318/100,0)</f>
        <v>0</v>
      </c>
      <c r="U318" s="346"/>
      <c r="V318" s="294">
        <f>ROUND($E318*N318/100,0)</f>
        <v>1041545</v>
      </c>
      <c r="W318" s="346"/>
      <c r="X318" s="294">
        <f>ROUND($E318*P318/100,0)</f>
        <v>1383576</v>
      </c>
      <c r="Y318" s="346"/>
      <c r="Z318" s="294">
        <f>ROUND($E318*R318/100,0)</f>
        <v>2425121</v>
      </c>
    </row>
    <row r="319" spans="1:29">
      <c r="B319" s="317" t="s">
        <v>1105</v>
      </c>
      <c r="D319" s="293">
        <f>'[7]BD-Redesign'!D60</f>
        <v>113308984.5</v>
      </c>
      <c r="E319" s="293">
        <f>ROUND(D319/D330*E330,0)</f>
        <v>107520856</v>
      </c>
      <c r="G319" s="377"/>
      <c r="H319" s="343"/>
      <c r="L319" s="377">
        <f t="shared" si="161"/>
        <v>0</v>
      </c>
      <c r="M319" s="343" t="s">
        <v>1062</v>
      </c>
      <c r="N319" s="377">
        <f t="shared" si="162"/>
        <v>1.5188999999999999</v>
      </c>
      <c r="O319" s="343" t="s">
        <v>1062</v>
      </c>
      <c r="P319" s="377">
        <f t="shared" si="163"/>
        <v>2.0175702077039999</v>
      </c>
      <c r="Q319" s="343" t="s">
        <v>1062</v>
      </c>
      <c r="R319" s="377">
        <f t="shared" si="164"/>
        <v>3.5364702077039998</v>
      </c>
      <c r="S319" s="343" t="s">
        <v>1062</v>
      </c>
      <c r="T319" s="294">
        <f>ROUND($E319*L319/100,0)</f>
        <v>0</v>
      </c>
      <c r="U319" s="346"/>
      <c r="V319" s="294">
        <f>ROUND($E319*N319/100,0)</f>
        <v>1633134</v>
      </c>
      <c r="W319" s="346"/>
      <c r="X319" s="294">
        <f>ROUND($E319*P319/100,0)</f>
        <v>2169309</v>
      </c>
      <c r="Y319" s="346"/>
      <c r="Z319" s="294">
        <f>ROUND($E319*R319/100,0)</f>
        <v>3802443</v>
      </c>
    </row>
    <row r="320" spans="1:29">
      <c r="B320" s="317" t="s">
        <v>1106</v>
      </c>
      <c r="D320" s="293">
        <f>(D316+D317)*D722/(D722+D723)</f>
        <v>496983.98864179431</v>
      </c>
      <c r="E320" s="293">
        <f>ROUND(D320/D330*E330,0)</f>
        <v>471597</v>
      </c>
      <c r="G320" s="339">
        <f t="shared" ref="G320:G325" si="169">G248</f>
        <v>14.62</v>
      </c>
      <c r="H320" s="339"/>
      <c r="I320" s="294">
        <f t="shared" ref="I320:J322" si="170">ROUND($G320*D320,0)</f>
        <v>7265906</v>
      </c>
      <c r="J320" s="294">
        <f t="shared" si="170"/>
        <v>6894748</v>
      </c>
      <c r="L320" s="339"/>
      <c r="M320" s="339"/>
      <c r="N320" s="339"/>
      <c r="O320" s="339"/>
      <c r="P320" s="339"/>
      <c r="Q320" s="339"/>
      <c r="R320" s="339"/>
      <c r="S320" s="339"/>
      <c r="U320" s="319"/>
      <c r="W320" s="319"/>
      <c r="Y320" s="319"/>
    </row>
    <row r="321" spans="1:29">
      <c r="B321" s="317" t="s">
        <v>1107</v>
      </c>
      <c r="D321" s="293">
        <f>D316+D317-D320</f>
        <v>586174.42596216663</v>
      </c>
      <c r="E321" s="293">
        <f>ROUND(D321/D330*E330,0)</f>
        <v>556231</v>
      </c>
      <c r="G321" s="339">
        <f t="shared" si="169"/>
        <v>10.91</v>
      </c>
      <c r="H321" s="339"/>
      <c r="I321" s="294">
        <f t="shared" si="170"/>
        <v>6395163</v>
      </c>
      <c r="J321" s="294">
        <f t="shared" si="170"/>
        <v>6068480</v>
      </c>
      <c r="L321" s="339"/>
      <c r="M321" s="339"/>
      <c r="N321" s="339"/>
      <c r="O321" s="339"/>
      <c r="P321" s="339"/>
      <c r="Q321" s="339"/>
      <c r="R321" s="339"/>
      <c r="S321" s="339"/>
      <c r="U321" s="319"/>
      <c r="W321" s="319"/>
      <c r="Y321" s="319"/>
    </row>
    <row r="322" spans="1:29">
      <c r="B322" s="317" t="s">
        <v>1098</v>
      </c>
      <c r="D322" s="293">
        <f>D306</f>
        <v>33386.598958333328</v>
      </c>
      <c r="E322" s="293">
        <f>E306</f>
        <v>31681.121322172912</v>
      </c>
      <c r="G322" s="339">
        <f t="shared" si="169"/>
        <v>-0.96</v>
      </c>
      <c r="H322" s="339"/>
      <c r="I322" s="294">
        <f t="shared" si="170"/>
        <v>-32051</v>
      </c>
      <c r="J322" s="294">
        <f t="shared" si="170"/>
        <v>-30414</v>
      </c>
      <c r="L322" s="339">
        <f>L250</f>
        <v>-0.96</v>
      </c>
      <c r="M322" s="339"/>
      <c r="N322" s="339">
        <f>N250</f>
        <v>0</v>
      </c>
      <c r="O322" s="339"/>
      <c r="P322" s="339">
        <f>P250</f>
        <v>0</v>
      </c>
      <c r="Q322" s="339"/>
      <c r="R322" s="339">
        <f>R250</f>
        <v>-0.96</v>
      </c>
      <c r="S322" s="339"/>
      <c r="T322" s="294">
        <f t="shared" ref="T322" si="171">ROUND($E322*L322,0)</f>
        <v>-30414</v>
      </c>
      <c r="U322" s="319"/>
      <c r="V322" s="294">
        <f t="shared" ref="V322" si="172">ROUND($E322*N322,0)</f>
        <v>0</v>
      </c>
      <c r="W322" s="319"/>
      <c r="X322" s="294">
        <f t="shared" ref="X322" si="173">ROUND($E322*P322,0)</f>
        <v>0</v>
      </c>
      <c r="Y322" s="319"/>
      <c r="Z322" s="294">
        <f t="shared" ref="Z322" si="174">ROUND($E322*R322,0)</f>
        <v>-30414</v>
      </c>
    </row>
    <row r="323" spans="1:29">
      <c r="B323" s="317" t="s">
        <v>1108</v>
      </c>
      <c r="D323" s="293">
        <f>(D318+D319)*D725/(D725+D726)</f>
        <v>79414824.790631607</v>
      </c>
      <c r="E323" s="293">
        <f>ROUND(D323/D330*E330,0)</f>
        <v>75358101</v>
      </c>
      <c r="G323" s="377">
        <f t="shared" si="169"/>
        <v>3.8127</v>
      </c>
      <c r="H323" s="343" t="s">
        <v>1062</v>
      </c>
      <c r="I323" s="294">
        <f t="shared" ref="I323:J325" si="175">ROUND($G323*D323/100,0)</f>
        <v>3027849</v>
      </c>
      <c r="J323" s="294">
        <f t="shared" si="175"/>
        <v>2873178</v>
      </c>
      <c r="L323" s="377"/>
      <c r="M323" s="343"/>
      <c r="N323" s="377"/>
      <c r="O323" s="343"/>
      <c r="P323" s="377"/>
      <c r="Q323" s="343"/>
      <c r="R323" s="377"/>
      <c r="S323" s="343"/>
      <c r="U323" s="346"/>
      <c r="W323" s="346"/>
      <c r="Y323" s="346"/>
    </row>
    <row r="324" spans="1:29">
      <c r="B324" s="317" t="s">
        <v>1109</v>
      </c>
      <c r="D324" s="293">
        <f>D318+D319-D323</f>
        <v>97846534.709368393</v>
      </c>
      <c r="E324" s="293">
        <f>E330-E323-E325-E326-E329</f>
        <v>92848269.38827613</v>
      </c>
      <c r="G324" s="377">
        <f t="shared" si="169"/>
        <v>3.5143</v>
      </c>
      <c r="H324" s="343" t="s">
        <v>1062</v>
      </c>
      <c r="I324" s="294">
        <f t="shared" si="175"/>
        <v>3438621</v>
      </c>
      <c r="J324" s="294">
        <f t="shared" si="175"/>
        <v>3262967</v>
      </c>
      <c r="L324" s="377"/>
      <c r="M324" s="343"/>
      <c r="N324" s="377"/>
      <c r="O324" s="343"/>
      <c r="P324" s="377"/>
      <c r="Q324" s="343"/>
      <c r="R324" s="377"/>
      <c r="S324" s="343"/>
      <c r="U324" s="346"/>
      <c r="W324" s="346"/>
      <c r="Y324" s="346"/>
    </row>
    <row r="325" spans="1:29">
      <c r="B325" s="353" t="s">
        <v>1077</v>
      </c>
      <c r="D325" s="293">
        <f>D307</f>
        <v>799246.5</v>
      </c>
      <c r="E325" s="293">
        <f>ROUND(D325/(D330-D326)*E330,0)</f>
        <v>758419</v>
      </c>
      <c r="G325" s="377">
        <f t="shared" si="169"/>
        <v>7.125</v>
      </c>
      <c r="H325" s="343" t="s">
        <v>1062</v>
      </c>
      <c r="I325" s="294">
        <f t="shared" si="175"/>
        <v>56946</v>
      </c>
      <c r="J325" s="294">
        <f t="shared" si="175"/>
        <v>54037</v>
      </c>
      <c r="L325" s="377">
        <f>L253</f>
        <v>0</v>
      </c>
      <c r="M325" s="343" t="s">
        <v>1062</v>
      </c>
      <c r="N325" s="377">
        <f>N253</f>
        <v>7.125</v>
      </c>
      <c r="O325" s="343" t="s">
        <v>1062</v>
      </c>
      <c r="P325" s="377">
        <f>P253</f>
        <v>0</v>
      </c>
      <c r="Q325" s="343" t="s">
        <v>1062</v>
      </c>
      <c r="R325" s="377">
        <f>R253</f>
        <v>7.125</v>
      </c>
      <c r="S325" s="343" t="s">
        <v>1062</v>
      </c>
      <c r="T325" s="294">
        <f>ROUND($E325*L325/100,0)</f>
        <v>0</v>
      </c>
      <c r="U325" s="346"/>
      <c r="V325" s="294">
        <f>ROUND($E325*N325/100,0)</f>
        <v>54037</v>
      </c>
      <c r="W325" s="346"/>
      <c r="X325" s="294">
        <f>ROUND($E325*P325/100,0)</f>
        <v>0</v>
      </c>
      <c r="Y325" s="346"/>
      <c r="Z325" s="294">
        <f>ROUND($E325*R325/100,0)</f>
        <v>54037</v>
      </c>
    </row>
    <row r="326" spans="1:29">
      <c r="B326" s="317" t="s">
        <v>1078</v>
      </c>
      <c r="D326" s="357">
        <v>0</v>
      </c>
      <c r="E326" s="357">
        <v>0</v>
      </c>
      <c r="I326" s="358">
        <v>0</v>
      </c>
      <c r="J326" s="358">
        <v>0</v>
      </c>
      <c r="T326" s="358"/>
      <c r="V326" s="358"/>
      <c r="X326" s="358"/>
      <c r="Z326" s="358"/>
    </row>
    <row r="327" spans="1:29">
      <c r="B327" s="317" t="s">
        <v>1079</v>
      </c>
      <c r="G327" s="338">
        <f>G255</f>
        <v>-3.61E-2</v>
      </c>
      <c r="H327" s="339"/>
      <c r="I327" s="294">
        <f>SUM(I320:I321,I323:I325)*$G327</f>
        <v>-728659.90850000002</v>
      </c>
      <c r="J327" s="294">
        <f>SUM(J320:J321,J323:J325)*$G327</f>
        <v>-691438.10100000002</v>
      </c>
      <c r="L327" s="338"/>
      <c r="M327" s="339"/>
      <c r="N327" s="338"/>
      <c r="O327" s="339"/>
      <c r="P327" s="359" t="str">
        <f>$P$43</f>
        <v>Tax Year 1</v>
      </c>
      <c r="Q327" s="339"/>
      <c r="R327" s="338">
        <f>$R$687</f>
        <v>-2.4199999999999999E-2</v>
      </c>
      <c r="S327" s="339"/>
      <c r="Z327" s="294">
        <f>R327*SUM(Z316:Z319,Z325)</f>
        <v>-467770.02799999999</v>
      </c>
    </row>
    <row r="328" spans="1:29">
      <c r="B328" s="317"/>
      <c r="G328" s="338"/>
      <c r="H328" s="339"/>
      <c r="L328" s="338"/>
      <c r="M328" s="339"/>
      <c r="N328" s="338"/>
      <c r="O328" s="339"/>
      <c r="P328" s="359" t="str">
        <f>$P$44</f>
        <v>Tax Year 2</v>
      </c>
      <c r="Q328" s="339"/>
      <c r="R328" s="338">
        <f>$R$688</f>
        <v>-1.21E-2</v>
      </c>
      <c r="S328" s="339"/>
      <c r="Z328" s="294">
        <f>R328*SUM(Z316:Z319,Z325)</f>
        <v>-233885.014</v>
      </c>
    </row>
    <row r="329" spans="1:29" ht="16.5" thickBot="1">
      <c r="B329" s="353" t="s">
        <v>1082</v>
      </c>
      <c r="D329" s="293">
        <v>0</v>
      </c>
      <c r="E329" s="293">
        <f>ROUND(D329/(D330-D326)*E330,0)</f>
        <v>0</v>
      </c>
      <c r="G329" s="338"/>
      <c r="H329" s="339"/>
      <c r="L329" s="338"/>
      <c r="M329" s="339"/>
      <c r="N329" s="338"/>
      <c r="O329" s="339"/>
      <c r="P329" s="368"/>
      <c r="R329" s="368"/>
      <c r="T329" s="369"/>
      <c r="V329" s="369"/>
      <c r="X329" s="369"/>
      <c r="Z329" s="369"/>
    </row>
    <row r="330" spans="1:29" ht="17.25" thickTop="1" thickBot="1">
      <c r="A330" s="292">
        <v>1</v>
      </c>
      <c r="B330" s="317" t="s">
        <v>937</v>
      </c>
      <c r="D330" s="381">
        <f>SUM(D323:D325,D326,D329)</f>
        <v>178060606</v>
      </c>
      <c r="E330" s="381">
        <f>D330*E732/D732</f>
        <v>168964789.38827613</v>
      </c>
      <c r="G330" s="368"/>
      <c r="I330" s="369">
        <f>SUM(I312:I327)</f>
        <v>24559029.091499999</v>
      </c>
      <c r="J330" s="369">
        <f>SUM(J312:J327)</f>
        <v>23337362.899</v>
      </c>
      <c r="L330" s="368"/>
      <c r="N330" s="368"/>
      <c r="P330" s="368"/>
      <c r="R330" s="368"/>
      <c r="T330" s="369">
        <f>SUM(T312:T326)</f>
        <v>5652948</v>
      </c>
      <c r="V330" s="369">
        <f>SUM(V312:V326)</f>
        <v>15084797</v>
      </c>
      <c r="X330" s="369">
        <f>SUM(X312:X326)</f>
        <v>3552885</v>
      </c>
      <c r="Z330" s="369">
        <f>SUM(Z312:Z326)</f>
        <v>24290630</v>
      </c>
      <c r="AB330" s="305" t="s">
        <v>939</v>
      </c>
      <c r="AC330" s="304">
        <f>Z330/J330-1</f>
        <v>4.0847250185274575E-2</v>
      </c>
    </row>
    <row r="331" spans="1:29" ht="16.5" thickTop="1">
      <c r="A331" s="292">
        <v>1</v>
      </c>
    </row>
    <row r="332" spans="1:29">
      <c r="A332" s="292">
        <v>1</v>
      </c>
      <c r="B332" s="314" t="s">
        <v>948</v>
      </c>
    </row>
    <row r="333" spans="1:29">
      <c r="B333" s="317" t="s">
        <v>1089</v>
      </c>
      <c r="D333" s="293">
        <f>'[7]BD-Redesign'!E22</f>
        <v>2090.65</v>
      </c>
      <c r="E333" s="293">
        <f>E348</f>
        <v>2108.3140286129374</v>
      </c>
      <c r="G333" s="318"/>
      <c r="H333" s="318"/>
      <c r="L333" s="318">
        <f>L225</f>
        <v>55</v>
      </c>
      <c r="M333" s="318"/>
      <c r="N333" s="318">
        <f>N225</f>
        <v>0</v>
      </c>
      <c r="O333" s="318"/>
      <c r="P333" s="318">
        <f>P225</f>
        <v>0</v>
      </c>
      <c r="Q333" s="318"/>
      <c r="R333" s="318">
        <f t="shared" ref="R333:R343" si="176">R225</f>
        <v>55</v>
      </c>
      <c r="S333" s="318"/>
      <c r="T333" s="294">
        <f>ROUND($E333*L333,0)</f>
        <v>115957</v>
      </c>
      <c r="U333" s="319"/>
      <c r="V333" s="294">
        <f>ROUND($E333*N333,0)</f>
        <v>0</v>
      </c>
      <c r="W333" s="319"/>
      <c r="X333" s="294">
        <f>ROUND($E333*P333,0)</f>
        <v>0</v>
      </c>
      <c r="Y333" s="319"/>
      <c r="Z333" s="294">
        <f>ROUND($E333*R333,0)</f>
        <v>115957</v>
      </c>
      <c r="AB333" s="305"/>
      <c r="AC333" s="325"/>
    </row>
    <row r="334" spans="1:29">
      <c r="B334" s="317" t="s">
        <v>1090</v>
      </c>
      <c r="D334" s="293">
        <f>'[7]BD-Redesign'!E23</f>
        <v>4185638.1212871289</v>
      </c>
      <c r="E334" s="293">
        <f t="shared" ref="E334:E343" si="177">D334/$D$346*$E$346</f>
        <v>4387983.9192588255</v>
      </c>
      <c r="F334" s="339"/>
      <c r="G334" s="376"/>
      <c r="H334" s="343"/>
      <c r="K334" s="339"/>
      <c r="L334" s="376">
        <f t="shared" ref="L334:L343" si="178">L226</f>
        <v>1.7867999999999999</v>
      </c>
      <c r="M334" s="343" t="s">
        <v>1062</v>
      </c>
      <c r="N334" s="376">
        <f t="shared" ref="N334:N343" si="179">N226</f>
        <v>19.766631654000651</v>
      </c>
      <c r="O334" s="343" t="s">
        <v>1062</v>
      </c>
      <c r="P334" s="376">
        <f t="shared" ref="P334:P343" si="180">P226</f>
        <v>1.3127</v>
      </c>
      <c r="Q334" s="343" t="s">
        <v>1062</v>
      </c>
      <c r="R334" s="376">
        <f t="shared" si="176"/>
        <v>22.86613165400065</v>
      </c>
      <c r="S334" s="343" t="s">
        <v>1062</v>
      </c>
      <c r="T334" s="294">
        <f>ROUND($E334*L334/100,0)</f>
        <v>78404</v>
      </c>
      <c r="U334" s="346"/>
      <c r="V334" s="294">
        <f>ROUND($E334*N334/100,0)</f>
        <v>867357</v>
      </c>
      <c r="W334" s="346"/>
      <c r="X334" s="294">
        <f>ROUND($E334*P334/100,0)</f>
        <v>57601</v>
      </c>
      <c r="Y334" s="346"/>
      <c r="Z334" s="294">
        <f>ROUND($E334*R334/100,0)</f>
        <v>1003362</v>
      </c>
    </row>
    <row r="335" spans="1:29">
      <c r="B335" s="317" t="s">
        <v>1091</v>
      </c>
      <c r="D335" s="293">
        <f>'[7]BD-Redesign'!E24</f>
        <v>9571608.8787128702</v>
      </c>
      <c r="E335" s="293">
        <f t="shared" si="177"/>
        <v>10034328.01025608</v>
      </c>
      <c r="F335" s="339"/>
      <c r="G335" s="376"/>
      <c r="H335" s="343"/>
      <c r="K335" s="339"/>
      <c r="L335" s="376">
        <f t="shared" si="178"/>
        <v>1.7867999999999999</v>
      </c>
      <c r="M335" s="343" t="s">
        <v>1062</v>
      </c>
      <c r="N335" s="376">
        <f t="shared" si="179"/>
        <v>1.4732003384230001</v>
      </c>
      <c r="O335" s="343" t="s">
        <v>1062</v>
      </c>
      <c r="P335" s="376">
        <f t="shared" si="180"/>
        <v>1.3127</v>
      </c>
      <c r="Q335" s="343" t="s">
        <v>1062</v>
      </c>
      <c r="R335" s="376">
        <f t="shared" si="176"/>
        <v>4.5727003384230001</v>
      </c>
      <c r="S335" s="343" t="s">
        <v>1062</v>
      </c>
      <c r="T335" s="294">
        <f t="shared" ref="T335:T341" si="181">ROUND($E335*L335/100,0)</f>
        <v>179293</v>
      </c>
      <c r="U335" s="346"/>
      <c r="V335" s="294">
        <f t="shared" ref="V335:V341" si="182">ROUND($E335*N335/100,0)</f>
        <v>147826</v>
      </c>
      <c r="W335" s="346"/>
      <c r="X335" s="294">
        <f t="shared" ref="X335:X341" si="183">ROUND($E335*P335/100,0)</f>
        <v>131721</v>
      </c>
      <c r="Y335" s="346"/>
      <c r="Z335" s="294">
        <f t="shared" ref="Z335:Z341" si="184">ROUND($E335*R335/100,0)</f>
        <v>458840</v>
      </c>
    </row>
    <row r="336" spans="1:29">
      <c r="B336" s="317" t="s">
        <v>1092</v>
      </c>
      <c r="D336" s="293">
        <f>'[7]BD-Redesign'!E25</f>
        <v>7459634.6336633675</v>
      </c>
      <c r="E336" s="293">
        <f t="shared" si="177"/>
        <v>7820254.8494553976</v>
      </c>
      <c r="F336" s="339"/>
      <c r="G336" s="376"/>
      <c r="H336" s="343"/>
      <c r="K336" s="339"/>
      <c r="L336" s="376">
        <f t="shared" si="178"/>
        <v>1.7867999999999999</v>
      </c>
      <c r="M336" s="343" t="s">
        <v>1062</v>
      </c>
      <c r="N336" s="376">
        <f t="shared" si="179"/>
        <v>17.286999999999999</v>
      </c>
      <c r="O336" s="343" t="s">
        <v>1062</v>
      </c>
      <c r="P336" s="376">
        <f t="shared" si="180"/>
        <v>1.1617</v>
      </c>
      <c r="Q336" s="343" t="s">
        <v>1062</v>
      </c>
      <c r="R336" s="376">
        <f t="shared" si="176"/>
        <v>20.235499999999998</v>
      </c>
      <c r="S336" s="343" t="s">
        <v>1062</v>
      </c>
      <c r="T336" s="294">
        <f t="shared" si="181"/>
        <v>139732</v>
      </c>
      <c r="U336" s="346"/>
      <c r="V336" s="294">
        <f t="shared" si="182"/>
        <v>1351887</v>
      </c>
      <c r="W336" s="346"/>
      <c r="X336" s="294">
        <f t="shared" si="183"/>
        <v>90848</v>
      </c>
      <c r="Y336" s="346"/>
      <c r="Z336" s="294">
        <f t="shared" si="184"/>
        <v>1582468</v>
      </c>
    </row>
    <row r="337" spans="1:29">
      <c r="B337" s="317" t="s">
        <v>1093</v>
      </c>
      <c r="D337" s="293">
        <f>'[7]BD-Redesign'!E26</f>
        <v>16404117.366336634</v>
      </c>
      <c r="E337" s="293">
        <f t="shared" si="177"/>
        <v>17197139.630165793</v>
      </c>
      <c r="F337" s="339"/>
      <c r="G337" s="376"/>
      <c r="H337" s="343"/>
      <c r="K337" s="339"/>
      <c r="L337" s="376">
        <f t="shared" si="178"/>
        <v>1.7867999999999999</v>
      </c>
      <c r="M337" s="343" t="s">
        <v>1062</v>
      </c>
      <c r="N337" s="376">
        <f t="shared" si="179"/>
        <v>1.0980999999999999</v>
      </c>
      <c r="O337" s="343" t="s">
        <v>1062</v>
      </c>
      <c r="P337" s="376">
        <f t="shared" si="180"/>
        <v>1.1617</v>
      </c>
      <c r="Q337" s="343" t="s">
        <v>1062</v>
      </c>
      <c r="R337" s="376">
        <f t="shared" si="176"/>
        <v>4.0465999999999998</v>
      </c>
      <c r="S337" s="343" t="s">
        <v>1062</v>
      </c>
      <c r="T337" s="294">
        <f t="shared" si="181"/>
        <v>307278</v>
      </c>
      <c r="U337" s="346"/>
      <c r="V337" s="294">
        <f t="shared" si="182"/>
        <v>188842</v>
      </c>
      <c r="W337" s="346"/>
      <c r="X337" s="294">
        <f t="shared" si="183"/>
        <v>199779</v>
      </c>
      <c r="Y337" s="346"/>
      <c r="Z337" s="294">
        <f t="shared" si="184"/>
        <v>695899</v>
      </c>
    </row>
    <row r="338" spans="1:29">
      <c r="B338" s="317" t="s">
        <v>1094</v>
      </c>
      <c r="D338" s="293">
        <f>'[7]BD-Redesign'!E27</f>
        <v>7640094.0521151097</v>
      </c>
      <c r="E338" s="293">
        <f t="shared" si="177"/>
        <v>8009438.1957695177</v>
      </c>
      <c r="F338" s="339"/>
      <c r="G338" s="376"/>
      <c r="H338" s="343"/>
      <c r="K338" s="339"/>
      <c r="L338" s="376">
        <f t="shared" si="178"/>
        <v>0</v>
      </c>
      <c r="M338" s="343" t="s">
        <v>1062</v>
      </c>
      <c r="N338" s="376">
        <f t="shared" si="179"/>
        <v>0</v>
      </c>
      <c r="O338" s="343" t="s">
        <v>1062</v>
      </c>
      <c r="P338" s="376">
        <f t="shared" si="180"/>
        <v>6</v>
      </c>
      <c r="Q338" s="343" t="s">
        <v>1062</v>
      </c>
      <c r="R338" s="376">
        <f t="shared" si="176"/>
        <v>6</v>
      </c>
      <c r="S338" s="343" t="s">
        <v>1062</v>
      </c>
      <c r="T338" s="294">
        <f t="shared" si="181"/>
        <v>0</v>
      </c>
      <c r="U338" s="346"/>
      <c r="V338" s="294">
        <f t="shared" si="182"/>
        <v>0</v>
      </c>
      <c r="W338" s="346"/>
      <c r="X338" s="294">
        <f t="shared" si="183"/>
        <v>480566</v>
      </c>
      <c r="Y338" s="346"/>
      <c r="Z338" s="294">
        <f t="shared" si="184"/>
        <v>480566</v>
      </c>
    </row>
    <row r="339" spans="1:29">
      <c r="B339" s="317" t="s">
        <v>1095</v>
      </c>
      <c r="D339" s="293">
        <f>'[7]BD-Redesign'!E28</f>
        <v>6117152.9478848893</v>
      </c>
      <c r="E339" s="293">
        <f t="shared" si="177"/>
        <v>6412873.733745385</v>
      </c>
      <c r="F339" s="339"/>
      <c r="G339" s="376"/>
      <c r="H339" s="343"/>
      <c r="K339" s="339"/>
      <c r="L339" s="376">
        <f t="shared" si="178"/>
        <v>0</v>
      </c>
      <c r="M339" s="343" t="s">
        <v>1062</v>
      </c>
      <c r="N339" s="376">
        <f t="shared" si="179"/>
        <v>0</v>
      </c>
      <c r="O339" s="343" t="s">
        <v>1062</v>
      </c>
      <c r="P339" s="376">
        <f t="shared" si="180"/>
        <v>-2.3358000000000008</v>
      </c>
      <c r="Q339" s="343" t="s">
        <v>1062</v>
      </c>
      <c r="R339" s="376">
        <f t="shared" si="176"/>
        <v>-2.3358000000000008</v>
      </c>
      <c r="S339" s="343" t="s">
        <v>1062</v>
      </c>
      <c r="T339" s="294">
        <f t="shared" si="181"/>
        <v>0</v>
      </c>
      <c r="U339" s="346"/>
      <c r="V339" s="294">
        <f t="shared" si="182"/>
        <v>0</v>
      </c>
      <c r="W339" s="346"/>
      <c r="X339" s="294">
        <f t="shared" si="183"/>
        <v>-149792</v>
      </c>
      <c r="Y339" s="346"/>
      <c r="Z339" s="294">
        <f t="shared" si="184"/>
        <v>-149792</v>
      </c>
    </row>
    <row r="340" spans="1:29">
      <c r="B340" s="317" t="s">
        <v>1096</v>
      </c>
      <c r="D340" s="293">
        <f>'[7]BD-Redesign'!E29</f>
        <v>13252746.69534901</v>
      </c>
      <c r="E340" s="293">
        <f t="shared" si="177"/>
        <v>13893422.627591934</v>
      </c>
      <c r="F340" s="339"/>
      <c r="G340" s="376"/>
      <c r="H340" s="343"/>
      <c r="K340" s="339"/>
      <c r="L340" s="376">
        <f t="shared" si="178"/>
        <v>0</v>
      </c>
      <c r="M340" s="343" t="s">
        <v>1062</v>
      </c>
      <c r="N340" s="376">
        <f t="shared" si="179"/>
        <v>0</v>
      </c>
      <c r="O340" s="343" t="s">
        <v>1062</v>
      </c>
      <c r="P340" s="376">
        <f t="shared" si="180"/>
        <v>5.3097000000000003</v>
      </c>
      <c r="Q340" s="343" t="s">
        <v>1062</v>
      </c>
      <c r="R340" s="376">
        <f t="shared" si="176"/>
        <v>5.3097000000000003</v>
      </c>
      <c r="S340" s="343" t="s">
        <v>1062</v>
      </c>
      <c r="T340" s="294">
        <f t="shared" si="181"/>
        <v>0</v>
      </c>
      <c r="U340" s="346"/>
      <c r="V340" s="294">
        <f t="shared" si="182"/>
        <v>0</v>
      </c>
      <c r="W340" s="346"/>
      <c r="X340" s="294">
        <f t="shared" si="183"/>
        <v>737699</v>
      </c>
      <c r="Y340" s="346"/>
      <c r="Z340" s="294">
        <f t="shared" si="184"/>
        <v>737699</v>
      </c>
    </row>
    <row r="341" spans="1:29">
      <c r="B341" s="317" t="s">
        <v>1097</v>
      </c>
      <c r="D341" s="293">
        <f>'[7]BD-Redesign'!E30</f>
        <v>10611005.304650979</v>
      </c>
      <c r="E341" s="293">
        <f t="shared" si="177"/>
        <v>11123971.852029243</v>
      </c>
      <c r="F341" s="339"/>
      <c r="G341" s="376"/>
      <c r="H341" s="343"/>
      <c r="K341" s="339"/>
      <c r="L341" s="376">
        <f t="shared" si="178"/>
        <v>0</v>
      </c>
      <c r="M341" s="343" t="s">
        <v>1062</v>
      </c>
      <c r="N341" s="376">
        <f t="shared" si="179"/>
        <v>0</v>
      </c>
      <c r="O341" s="343" t="s">
        <v>1062</v>
      </c>
      <c r="P341" s="376">
        <f t="shared" si="180"/>
        <v>-2.0670999999999999</v>
      </c>
      <c r="Q341" s="343" t="s">
        <v>1062</v>
      </c>
      <c r="R341" s="376">
        <f t="shared" si="176"/>
        <v>-2.0670999999999999</v>
      </c>
      <c r="S341" s="343" t="s">
        <v>1062</v>
      </c>
      <c r="T341" s="294">
        <f t="shared" si="181"/>
        <v>0</v>
      </c>
      <c r="U341" s="346"/>
      <c r="V341" s="294">
        <f t="shared" si="182"/>
        <v>0</v>
      </c>
      <c r="W341" s="346"/>
      <c r="X341" s="294">
        <f t="shared" si="183"/>
        <v>-229944</v>
      </c>
      <c r="Y341" s="346"/>
      <c r="Z341" s="294">
        <f t="shared" si="184"/>
        <v>-229944</v>
      </c>
    </row>
    <row r="342" spans="1:29">
      <c r="B342" s="317" t="s">
        <v>1098</v>
      </c>
      <c r="D342" s="293">
        <f>'[7]BD-Redesign'!E31</f>
        <v>24029.583333333336</v>
      </c>
      <c r="E342" s="293">
        <f t="shared" si="177"/>
        <v>25191.242577065448</v>
      </c>
      <c r="G342" s="318"/>
      <c r="H342" s="318"/>
      <c r="L342" s="318">
        <f t="shared" si="178"/>
        <v>-0.61</v>
      </c>
      <c r="M342" s="318"/>
      <c r="N342" s="318">
        <f t="shared" si="179"/>
        <v>0</v>
      </c>
      <c r="O342" s="318"/>
      <c r="P342" s="318">
        <f t="shared" si="180"/>
        <v>0</v>
      </c>
      <c r="Q342" s="318"/>
      <c r="R342" s="318">
        <f t="shared" si="176"/>
        <v>-0.61</v>
      </c>
      <c r="S342" s="318"/>
      <c r="T342" s="294">
        <f>ROUND($E342*L342,0)</f>
        <v>-15367</v>
      </c>
      <c r="U342" s="319"/>
      <c r="V342" s="294">
        <f>ROUND($E342*N342,0)</f>
        <v>0</v>
      </c>
      <c r="W342" s="319"/>
      <c r="X342" s="294">
        <f>ROUND($E342*P342,0)</f>
        <v>0</v>
      </c>
      <c r="Y342" s="319"/>
      <c r="Z342" s="294">
        <f>ROUND($E342*R342,0)</f>
        <v>-15367</v>
      </c>
    </row>
    <row r="343" spans="1:29">
      <c r="B343" s="353" t="s">
        <v>1077</v>
      </c>
      <c r="D343" s="293">
        <f>'[7]BD-Redesign'!E32</f>
        <v>400</v>
      </c>
      <c r="E343" s="293">
        <f t="shared" si="177"/>
        <v>419.33715167038594</v>
      </c>
      <c r="G343" s="377"/>
      <c r="H343" s="343"/>
      <c r="L343" s="377">
        <f t="shared" si="178"/>
        <v>0</v>
      </c>
      <c r="M343" s="343" t="s">
        <v>1062</v>
      </c>
      <c r="N343" s="377">
        <f t="shared" si="179"/>
        <v>7.125</v>
      </c>
      <c r="O343" s="343" t="s">
        <v>1062</v>
      </c>
      <c r="P343" s="377">
        <f t="shared" si="180"/>
        <v>0</v>
      </c>
      <c r="Q343" s="343" t="s">
        <v>1062</v>
      </c>
      <c r="R343" s="377">
        <f t="shared" si="176"/>
        <v>7.125</v>
      </c>
      <c r="S343" s="343" t="s">
        <v>1062</v>
      </c>
      <c r="T343" s="294">
        <f>ROUND($E343*L343/100,0)</f>
        <v>0</v>
      </c>
      <c r="U343" s="346"/>
      <c r="V343" s="294">
        <f>ROUND($E343*N343/100,0)</f>
        <v>30</v>
      </c>
      <c r="W343" s="346"/>
      <c r="X343" s="294">
        <f>ROUND($E343*P343/100,0)</f>
        <v>0</v>
      </c>
      <c r="Y343" s="346"/>
      <c r="Z343" s="294">
        <f>ROUND($E343*R343/100,0)</f>
        <v>30</v>
      </c>
      <c r="AB343" s="305"/>
      <c r="AC343" s="325"/>
    </row>
    <row r="344" spans="1:29">
      <c r="B344" s="317" t="s">
        <v>1079</v>
      </c>
      <c r="G344" s="338"/>
      <c r="H344" s="339"/>
      <c r="L344" s="338"/>
      <c r="M344" s="339"/>
      <c r="N344" s="338"/>
      <c r="O344" s="339"/>
      <c r="P344" s="359" t="str">
        <f>$P$43</f>
        <v>Tax Year 1</v>
      </c>
      <c r="Q344" s="339"/>
      <c r="R344" s="338">
        <f>$R$979</f>
        <v>-2.7099999999999999E-2</v>
      </c>
      <c r="S344" s="339"/>
      <c r="Z344" s="294">
        <f>R344*SUM(Z334:Z337,Z343)</f>
        <v>-101370.2329</v>
      </c>
    </row>
    <row r="345" spans="1:29">
      <c r="B345" s="317"/>
      <c r="G345" s="338"/>
      <c r="H345" s="339"/>
      <c r="L345" s="338"/>
      <c r="M345" s="339"/>
      <c r="N345" s="338"/>
      <c r="O345" s="339"/>
      <c r="P345" s="359" t="str">
        <f>$P$44</f>
        <v>Tax Year 2</v>
      </c>
      <c r="Q345" s="339"/>
      <c r="R345" s="338">
        <f>$R$980</f>
        <v>-1.3599999999999999E-2</v>
      </c>
      <c r="S345" s="339"/>
      <c r="Z345" s="294">
        <f>R345*SUM(Z334:Z337,Z343)</f>
        <v>-50872.146399999998</v>
      </c>
    </row>
    <row r="346" spans="1:29">
      <c r="A346" s="292">
        <v>1</v>
      </c>
      <c r="B346" s="317" t="s">
        <v>945</v>
      </c>
      <c r="D346" s="293">
        <f>SUM(D338:D341,D343)</f>
        <v>37621398.999999985</v>
      </c>
      <c r="E346" s="293">
        <f>E366</f>
        <v>39440125.746287748</v>
      </c>
      <c r="G346" s="318"/>
      <c r="H346" s="318"/>
      <c r="L346" s="318"/>
      <c r="M346" s="318"/>
      <c r="N346" s="318"/>
      <c r="O346" s="318"/>
      <c r="P346" s="318"/>
      <c r="Q346" s="318"/>
      <c r="R346" s="318"/>
      <c r="S346" s="318"/>
      <c r="T346" s="294">
        <f>SUM(T333:T343)</f>
        <v>805297</v>
      </c>
      <c r="U346" s="319"/>
      <c r="V346" s="294">
        <f>SUM(V333:V343)</f>
        <v>2555942</v>
      </c>
      <c r="W346" s="319"/>
      <c r="X346" s="294">
        <f>SUM(X333:X343)</f>
        <v>1318478</v>
      </c>
      <c r="Y346" s="319"/>
      <c r="Z346" s="294">
        <f>SUM(Z333:Z343)</f>
        <v>4679718</v>
      </c>
      <c r="AB346" s="305" t="s">
        <v>939</v>
      </c>
      <c r="AC346" s="329">
        <f>Z346/Z366-1</f>
        <v>-0.1830238180365692</v>
      </c>
    </row>
    <row r="347" spans="1:29">
      <c r="B347" s="317"/>
      <c r="G347" s="318"/>
      <c r="H347" s="318"/>
      <c r="L347" s="318"/>
      <c r="M347" s="318"/>
      <c r="N347" s="318"/>
      <c r="O347" s="318"/>
      <c r="P347" s="318"/>
      <c r="Q347" s="318"/>
      <c r="R347" s="318"/>
      <c r="S347" s="318"/>
      <c r="T347" s="319"/>
      <c r="U347" s="319"/>
      <c r="V347" s="319"/>
      <c r="W347" s="319"/>
      <c r="X347" s="319"/>
      <c r="Y347" s="319"/>
      <c r="AB347" s="305"/>
      <c r="AC347" s="325"/>
    </row>
    <row r="348" spans="1:29">
      <c r="B348" s="317" t="s">
        <v>1089</v>
      </c>
      <c r="D348" s="293">
        <f>D333</f>
        <v>2090.65</v>
      </c>
      <c r="E348" s="293">
        <f>D348*E735/D735</f>
        <v>2108.3140286129374</v>
      </c>
      <c r="G348" s="339">
        <f>G240</f>
        <v>54</v>
      </c>
      <c r="H348" s="339"/>
      <c r="I348" s="294">
        <f t="shared" ref="I348:J350" si="185">ROUND($G348*D348,0)</f>
        <v>112895</v>
      </c>
      <c r="J348" s="294">
        <f t="shared" si="185"/>
        <v>113849</v>
      </c>
      <c r="L348" s="339">
        <f t="shared" ref="L348:L355" si="186">L240</f>
        <v>55</v>
      </c>
      <c r="M348" s="339"/>
      <c r="N348" s="339">
        <f t="shared" ref="N348:N355" si="187">N240</f>
        <v>0</v>
      </c>
      <c r="O348" s="339"/>
      <c r="P348" s="339">
        <f t="shared" ref="P348:P355" si="188">P240</f>
        <v>0</v>
      </c>
      <c r="Q348" s="339"/>
      <c r="R348" s="339">
        <f t="shared" ref="R348:R355" si="189">R240</f>
        <v>55</v>
      </c>
      <c r="S348" s="339"/>
      <c r="T348" s="294">
        <f>ROUND($E348*L348,0)</f>
        <v>115957</v>
      </c>
      <c r="U348" s="319"/>
      <c r="V348" s="294">
        <f>ROUND($E348*N348,0)</f>
        <v>0</v>
      </c>
      <c r="W348" s="319"/>
      <c r="X348" s="294">
        <f>ROUND($E348*P348,0)</f>
        <v>0</v>
      </c>
      <c r="Y348" s="319"/>
      <c r="Z348" s="294">
        <f>ROUND($E348*R348,0)</f>
        <v>115957</v>
      </c>
    </row>
    <row r="349" spans="1:29">
      <c r="B349" s="317" t="s">
        <v>1099</v>
      </c>
      <c r="D349" s="293">
        <v>0</v>
      </c>
      <c r="E349" s="293">
        <v>0</v>
      </c>
      <c r="G349" s="339">
        <f>G241</f>
        <v>648</v>
      </c>
      <c r="H349" s="339"/>
      <c r="I349" s="294">
        <f t="shared" si="185"/>
        <v>0</v>
      </c>
      <c r="J349" s="294">
        <f t="shared" si="185"/>
        <v>0</v>
      </c>
      <c r="L349" s="339">
        <f t="shared" si="186"/>
        <v>660</v>
      </c>
      <c r="M349" s="339"/>
      <c r="N349" s="339">
        <f t="shared" si="187"/>
        <v>0</v>
      </c>
      <c r="O349" s="339"/>
      <c r="P349" s="339">
        <f t="shared" si="188"/>
        <v>0</v>
      </c>
      <c r="Q349" s="339"/>
      <c r="R349" s="339">
        <f t="shared" si="189"/>
        <v>660</v>
      </c>
      <c r="S349" s="339"/>
      <c r="T349" s="294">
        <f t="shared" ref="T349:T353" si="190">ROUND($E349*L349,0)</f>
        <v>0</v>
      </c>
      <c r="U349" s="319"/>
      <c r="V349" s="294">
        <f t="shared" ref="V349:V353" si="191">ROUND($E349*N349,0)</f>
        <v>0</v>
      </c>
      <c r="W349" s="319"/>
      <c r="X349" s="294">
        <f t="shared" ref="X349:X353" si="192">ROUND($E349*P349,0)</f>
        <v>0</v>
      </c>
      <c r="Y349" s="319"/>
      <c r="Z349" s="294">
        <f t="shared" ref="Z349:Z353" si="193">ROUND($E349*R349,0)</f>
        <v>0</v>
      </c>
    </row>
    <row r="350" spans="1:29">
      <c r="B350" s="317" t="s">
        <v>1100</v>
      </c>
      <c r="D350" s="293">
        <v>0</v>
      </c>
      <c r="E350" s="293">
        <v>0</v>
      </c>
      <c r="G350" s="339">
        <f>G242</f>
        <v>54</v>
      </c>
      <c r="H350" s="339"/>
      <c r="I350" s="294">
        <f t="shared" si="185"/>
        <v>0</v>
      </c>
      <c r="J350" s="294">
        <f t="shared" si="185"/>
        <v>0</v>
      </c>
      <c r="L350" s="339">
        <f t="shared" si="186"/>
        <v>55</v>
      </c>
      <c r="M350" s="339"/>
      <c r="N350" s="339">
        <f t="shared" si="187"/>
        <v>0</v>
      </c>
      <c r="O350" s="339"/>
      <c r="P350" s="339">
        <f t="shared" si="188"/>
        <v>0</v>
      </c>
      <c r="Q350" s="339"/>
      <c r="R350" s="339">
        <f t="shared" si="189"/>
        <v>55</v>
      </c>
      <c r="S350" s="339"/>
      <c r="T350" s="294">
        <f t="shared" si="190"/>
        <v>0</v>
      </c>
      <c r="V350" s="294">
        <f t="shared" si="191"/>
        <v>0</v>
      </c>
      <c r="X350" s="294">
        <f t="shared" si="192"/>
        <v>0</v>
      </c>
      <c r="Z350" s="294">
        <f t="shared" si="193"/>
        <v>0</v>
      </c>
    </row>
    <row r="351" spans="1:29">
      <c r="B351" s="317" t="s">
        <v>1101</v>
      </c>
      <c r="D351" s="293">
        <f>'[7]BD-Redesign'!E55</f>
        <v>237102.33168316825</v>
      </c>
      <c r="E351" s="293">
        <f>ROUND(D351/D366*E366,0)</f>
        <v>248565</v>
      </c>
      <c r="G351" s="339">
        <f>G243</f>
        <v>4.04</v>
      </c>
      <c r="H351" s="339"/>
      <c r="I351" s="294">
        <f>ROUND($G351*D351,0)</f>
        <v>957893</v>
      </c>
      <c r="J351" s="294">
        <f>ROUND($G351*E351,0)</f>
        <v>1004203</v>
      </c>
      <c r="L351" s="339">
        <f t="shared" si="186"/>
        <v>4.1100000000000003</v>
      </c>
      <c r="M351" s="339"/>
      <c r="N351" s="339">
        <f t="shared" si="187"/>
        <v>0</v>
      </c>
      <c r="O351" s="339"/>
      <c r="P351" s="339">
        <f t="shared" si="188"/>
        <v>0</v>
      </c>
      <c r="Q351" s="339"/>
      <c r="R351" s="339">
        <f t="shared" si="189"/>
        <v>4.1100000000000003</v>
      </c>
      <c r="S351" s="339"/>
      <c r="T351" s="294">
        <f t="shared" si="190"/>
        <v>1021602</v>
      </c>
      <c r="U351" s="319"/>
      <c r="V351" s="294">
        <f t="shared" si="191"/>
        <v>0</v>
      </c>
      <c r="W351" s="319"/>
      <c r="X351" s="294">
        <f t="shared" si="192"/>
        <v>0</v>
      </c>
      <c r="Y351" s="319"/>
      <c r="Z351" s="294">
        <f t="shared" si="193"/>
        <v>1021602</v>
      </c>
    </row>
    <row r="352" spans="1:29">
      <c r="B352" s="317" t="s">
        <v>1102</v>
      </c>
      <c r="D352" s="293">
        <f>'[7]BD-Redesign'!E56</f>
        <v>85670.315594059415</v>
      </c>
      <c r="E352" s="293">
        <f>ROUND(D352/D354*E354,0)</f>
        <v>89812</v>
      </c>
      <c r="G352" s="339"/>
      <c r="H352" s="339"/>
      <c r="L352" s="339">
        <f t="shared" si="186"/>
        <v>0.73</v>
      </c>
      <c r="M352" s="339"/>
      <c r="N352" s="339">
        <f t="shared" si="187"/>
        <v>12.959999999999999</v>
      </c>
      <c r="O352" s="339"/>
      <c r="P352" s="339">
        <f t="shared" si="188"/>
        <v>0</v>
      </c>
      <c r="Q352" s="339"/>
      <c r="R352" s="339">
        <f t="shared" si="189"/>
        <v>13.69</v>
      </c>
      <c r="S352" s="339"/>
      <c r="T352" s="294">
        <f t="shared" si="190"/>
        <v>65563</v>
      </c>
      <c r="V352" s="294">
        <f t="shared" si="191"/>
        <v>1163964</v>
      </c>
      <c r="X352" s="294">
        <f t="shared" si="192"/>
        <v>0</v>
      </c>
      <c r="Z352" s="294">
        <f t="shared" si="193"/>
        <v>1229526</v>
      </c>
    </row>
    <row r="353" spans="1:29">
      <c r="B353" s="317" t="s">
        <v>1103</v>
      </c>
      <c r="D353" s="293">
        <f>'[7]BD-Redesign'!E57</f>
        <v>151432.01608910886</v>
      </c>
      <c r="E353" s="293">
        <f>ROUND(D353/D355*E355,0)</f>
        <v>158753</v>
      </c>
      <c r="G353" s="339"/>
      <c r="H353" s="339"/>
      <c r="L353" s="339">
        <f t="shared" si="186"/>
        <v>0.64</v>
      </c>
      <c r="M353" s="339"/>
      <c r="N353" s="339">
        <f t="shared" si="187"/>
        <v>11.479999999999999</v>
      </c>
      <c r="O353" s="339"/>
      <c r="P353" s="339">
        <f t="shared" si="188"/>
        <v>0</v>
      </c>
      <c r="Q353" s="339"/>
      <c r="R353" s="339">
        <f t="shared" si="189"/>
        <v>12.12</v>
      </c>
      <c r="S353" s="339"/>
      <c r="T353" s="294">
        <f t="shared" si="190"/>
        <v>101602</v>
      </c>
      <c r="V353" s="294">
        <f t="shared" si="191"/>
        <v>1822484</v>
      </c>
      <c r="X353" s="294">
        <f t="shared" si="192"/>
        <v>0</v>
      </c>
      <c r="Z353" s="294">
        <f t="shared" si="193"/>
        <v>1924086</v>
      </c>
    </row>
    <row r="354" spans="1:29">
      <c r="B354" s="317" t="s">
        <v>1104</v>
      </c>
      <c r="D354" s="293">
        <f>'[7]BD-Redesign'!E59</f>
        <v>13757247</v>
      </c>
      <c r="E354" s="293">
        <f>E366-SUM(E355,E361:E365)</f>
        <v>14422312.746287748</v>
      </c>
      <c r="G354" s="377"/>
      <c r="H354" s="343"/>
      <c r="L354" s="377">
        <f t="shared" si="186"/>
        <v>0</v>
      </c>
      <c r="M354" s="343" t="s">
        <v>1062</v>
      </c>
      <c r="N354" s="377">
        <f t="shared" si="187"/>
        <v>1.7162999999999999</v>
      </c>
      <c r="O354" s="343" t="s">
        <v>1062</v>
      </c>
      <c r="P354" s="377">
        <f t="shared" si="188"/>
        <v>2.279911334706</v>
      </c>
      <c r="Q354" s="343" t="s">
        <v>1062</v>
      </c>
      <c r="R354" s="377">
        <f t="shared" si="189"/>
        <v>3.996211334706</v>
      </c>
      <c r="S354" s="343" t="s">
        <v>1062</v>
      </c>
      <c r="T354" s="294">
        <f>ROUND($E354*L354/100,0)</f>
        <v>0</v>
      </c>
      <c r="U354" s="346"/>
      <c r="V354" s="294">
        <f>ROUND($E354*N354/100,0)</f>
        <v>247530</v>
      </c>
      <c r="W354" s="346"/>
      <c r="X354" s="294">
        <f>ROUND($E354*P354/100,0)</f>
        <v>328816</v>
      </c>
      <c r="Y354" s="346"/>
      <c r="Z354" s="294">
        <f>ROUND($E354*R354/100,0)</f>
        <v>576346</v>
      </c>
    </row>
    <row r="355" spans="1:29">
      <c r="B355" s="317" t="s">
        <v>1105</v>
      </c>
      <c r="D355" s="293">
        <f>'[7]BD-Redesign'!E60</f>
        <v>23863752</v>
      </c>
      <c r="E355" s="293">
        <f>ROUND(D355/D366*E366,0)</f>
        <v>25017394</v>
      </c>
      <c r="G355" s="377"/>
      <c r="H355" s="343"/>
      <c r="L355" s="377">
        <f t="shared" si="186"/>
        <v>0</v>
      </c>
      <c r="M355" s="343" t="s">
        <v>1062</v>
      </c>
      <c r="N355" s="377">
        <f t="shared" si="187"/>
        <v>1.5188999999999999</v>
      </c>
      <c r="O355" s="343" t="s">
        <v>1062</v>
      </c>
      <c r="P355" s="377">
        <f t="shared" si="188"/>
        <v>2.0175702077039999</v>
      </c>
      <c r="Q355" s="343" t="s">
        <v>1062</v>
      </c>
      <c r="R355" s="377">
        <f t="shared" si="189"/>
        <v>3.5364702077039998</v>
      </c>
      <c r="S355" s="343" t="s">
        <v>1062</v>
      </c>
      <c r="T355" s="294">
        <f>ROUND($E355*L355/100,0)</f>
        <v>0</v>
      </c>
      <c r="U355" s="346"/>
      <c r="V355" s="294">
        <f>ROUND($E355*N355/100,0)</f>
        <v>379989</v>
      </c>
      <c r="W355" s="346"/>
      <c r="X355" s="294">
        <f>ROUND($E355*P355/100,0)</f>
        <v>504743</v>
      </c>
      <c r="Y355" s="346"/>
      <c r="Z355" s="294">
        <f>ROUND($E355*R355/100,0)</f>
        <v>884733</v>
      </c>
    </row>
    <row r="356" spans="1:29">
      <c r="B356" s="317" t="s">
        <v>1106</v>
      </c>
      <c r="D356" s="293">
        <f>(D352+D353)*D739/(D739+D740)</f>
        <v>86156.244347468222</v>
      </c>
      <c r="E356" s="293">
        <f>ROUND(D356/D366*E366,0)</f>
        <v>90321</v>
      </c>
      <c r="G356" s="339">
        <f t="shared" ref="G356:G361" si="194">G248</f>
        <v>14.62</v>
      </c>
      <c r="H356" s="339"/>
      <c r="I356" s="294">
        <f t="shared" ref="I356:J358" si="195">ROUND($G356*D356,0)</f>
        <v>1259604</v>
      </c>
      <c r="J356" s="294">
        <f t="shared" si="195"/>
        <v>1320493</v>
      </c>
      <c r="L356" s="339"/>
      <c r="M356" s="339"/>
      <c r="N356" s="339"/>
      <c r="O356" s="339"/>
      <c r="P356" s="339"/>
      <c r="Q356" s="339"/>
      <c r="R356" s="339"/>
      <c r="S356" s="339"/>
      <c r="U356" s="319"/>
      <c r="W356" s="319"/>
      <c r="Y356" s="319"/>
    </row>
    <row r="357" spans="1:29">
      <c r="B357" s="317" t="s">
        <v>1107</v>
      </c>
      <c r="D357" s="293">
        <f>D352+D353-D356</f>
        <v>150946.08733570005</v>
      </c>
      <c r="E357" s="293">
        <f>ROUND(D357/D366*E366,0)</f>
        <v>158243</v>
      </c>
      <c r="G357" s="339">
        <f t="shared" si="194"/>
        <v>10.91</v>
      </c>
      <c r="H357" s="339"/>
      <c r="I357" s="294">
        <f t="shared" si="195"/>
        <v>1646822</v>
      </c>
      <c r="J357" s="294">
        <f t="shared" si="195"/>
        <v>1726431</v>
      </c>
      <c r="L357" s="339"/>
      <c r="M357" s="339"/>
      <c r="N357" s="339"/>
      <c r="O357" s="339"/>
      <c r="P357" s="339"/>
      <c r="Q357" s="339"/>
      <c r="R357" s="339"/>
      <c r="S357" s="339"/>
      <c r="U357" s="319"/>
      <c r="W357" s="319"/>
      <c r="Y357" s="319"/>
    </row>
    <row r="358" spans="1:29">
      <c r="B358" s="317" t="s">
        <v>1098</v>
      </c>
      <c r="D358" s="293">
        <f>D342</f>
        <v>24029.583333333336</v>
      </c>
      <c r="E358" s="293">
        <f>E342</f>
        <v>25191.242577065448</v>
      </c>
      <c r="G358" s="339">
        <f t="shared" si="194"/>
        <v>-0.96</v>
      </c>
      <c r="H358" s="339"/>
      <c r="I358" s="294">
        <f t="shared" si="195"/>
        <v>-23068</v>
      </c>
      <c r="J358" s="294">
        <f t="shared" si="195"/>
        <v>-24184</v>
      </c>
      <c r="L358" s="339">
        <f>L250</f>
        <v>-0.96</v>
      </c>
      <c r="M358" s="339"/>
      <c r="N358" s="339">
        <f>N250</f>
        <v>0</v>
      </c>
      <c r="O358" s="339"/>
      <c r="P358" s="339">
        <f>P250</f>
        <v>0</v>
      </c>
      <c r="Q358" s="339"/>
      <c r="R358" s="339">
        <f>R250</f>
        <v>-0.96</v>
      </c>
      <c r="S358" s="339"/>
      <c r="T358" s="294">
        <f t="shared" ref="T358" si="196">ROUND($E358*L358,0)</f>
        <v>-24184</v>
      </c>
      <c r="U358" s="319"/>
      <c r="V358" s="294">
        <f t="shared" ref="V358" si="197">ROUND($E358*N358,0)</f>
        <v>0</v>
      </c>
      <c r="W358" s="319"/>
      <c r="X358" s="294">
        <f t="shared" ref="X358" si="198">ROUND($E358*P358,0)</f>
        <v>0</v>
      </c>
      <c r="Y358" s="319"/>
      <c r="Z358" s="294">
        <f t="shared" ref="Z358" si="199">ROUND($E358*R358,0)</f>
        <v>-24184</v>
      </c>
    </row>
    <row r="359" spans="1:29">
      <c r="B359" s="317" t="s">
        <v>1108</v>
      </c>
      <c r="D359" s="293">
        <f>(D354+D355)*D741/(D741+D742)</f>
        <v>13923707.70353744</v>
      </c>
      <c r="E359" s="293">
        <f>ROUND(D359/D366*E366,0)</f>
        <v>14596820</v>
      </c>
      <c r="G359" s="377">
        <f t="shared" si="194"/>
        <v>3.8127</v>
      </c>
      <c r="H359" s="343" t="s">
        <v>1062</v>
      </c>
      <c r="I359" s="294">
        <f t="shared" ref="I359:J361" si="200">ROUND($G359*D359/100,0)</f>
        <v>530869</v>
      </c>
      <c r="J359" s="294">
        <f t="shared" si="200"/>
        <v>556533</v>
      </c>
      <c r="L359" s="377"/>
      <c r="M359" s="343"/>
      <c r="N359" s="377"/>
      <c r="O359" s="343"/>
      <c r="P359" s="377"/>
      <c r="Q359" s="343"/>
      <c r="R359" s="377"/>
      <c r="S359" s="343"/>
      <c r="U359" s="346"/>
      <c r="W359" s="346"/>
      <c r="Y359" s="346"/>
    </row>
    <row r="360" spans="1:29">
      <c r="B360" s="317" t="s">
        <v>1109</v>
      </c>
      <c r="D360" s="293">
        <f>D354+D355-D359</f>
        <v>23697291.296462558</v>
      </c>
      <c r="E360" s="293">
        <f>E366-E359-E361-E362-E365</f>
        <v>24842886.746287748</v>
      </c>
      <c r="G360" s="377">
        <f t="shared" si="194"/>
        <v>3.5143</v>
      </c>
      <c r="H360" s="343" t="s">
        <v>1062</v>
      </c>
      <c r="I360" s="294">
        <f t="shared" si="200"/>
        <v>832794</v>
      </c>
      <c r="J360" s="294">
        <f t="shared" si="200"/>
        <v>873054</v>
      </c>
      <c r="L360" s="377"/>
      <c r="M360" s="343"/>
      <c r="N360" s="377"/>
      <c r="O360" s="343"/>
      <c r="P360" s="377"/>
      <c r="Q360" s="343"/>
      <c r="R360" s="377"/>
      <c r="S360" s="343"/>
      <c r="U360" s="346"/>
      <c r="W360" s="346"/>
      <c r="Y360" s="346"/>
    </row>
    <row r="361" spans="1:29">
      <c r="B361" s="353" t="s">
        <v>1077</v>
      </c>
      <c r="D361" s="293">
        <f>D343</f>
        <v>400</v>
      </c>
      <c r="E361" s="293">
        <f>ROUND(D361/(D366-D362)*E366,0)</f>
        <v>419</v>
      </c>
      <c r="G361" s="377">
        <f t="shared" si="194"/>
        <v>7.125</v>
      </c>
      <c r="H361" s="343" t="s">
        <v>1062</v>
      </c>
      <c r="I361" s="294">
        <f t="shared" si="200"/>
        <v>29</v>
      </c>
      <c r="J361" s="294">
        <f t="shared" si="200"/>
        <v>30</v>
      </c>
      <c r="L361" s="377">
        <f>L253</f>
        <v>0</v>
      </c>
      <c r="M361" s="343" t="s">
        <v>1062</v>
      </c>
      <c r="N361" s="377">
        <f>N253</f>
        <v>7.125</v>
      </c>
      <c r="O361" s="343" t="s">
        <v>1062</v>
      </c>
      <c r="P361" s="377">
        <f>P253</f>
        <v>0</v>
      </c>
      <c r="Q361" s="343" t="s">
        <v>1062</v>
      </c>
      <c r="R361" s="377">
        <f>R253</f>
        <v>7.125</v>
      </c>
      <c r="S361" s="343" t="s">
        <v>1062</v>
      </c>
      <c r="T361" s="294">
        <f>ROUND($E361*L361/100,0)</f>
        <v>0</v>
      </c>
      <c r="U361" s="346"/>
      <c r="V361" s="294">
        <f>ROUND($E361*N361/100,0)</f>
        <v>30</v>
      </c>
      <c r="W361" s="346"/>
      <c r="X361" s="294">
        <f>ROUND($E361*P361/100,0)</f>
        <v>0</v>
      </c>
      <c r="Y361" s="346"/>
      <c r="Z361" s="294">
        <f>ROUND($E361*R361/100,0)</f>
        <v>30</v>
      </c>
    </row>
    <row r="362" spans="1:29">
      <c r="B362" s="317" t="s">
        <v>1078</v>
      </c>
      <c r="D362" s="357">
        <v>0</v>
      </c>
      <c r="E362" s="357">
        <v>0</v>
      </c>
      <c r="I362" s="358">
        <v>0</v>
      </c>
      <c r="J362" s="358">
        <v>0</v>
      </c>
      <c r="T362" s="358"/>
      <c r="V362" s="358"/>
      <c r="X362" s="358"/>
      <c r="Z362" s="358"/>
    </row>
    <row r="363" spans="1:29">
      <c r="B363" s="317" t="s">
        <v>1079</v>
      </c>
      <c r="G363" s="338">
        <f t="shared" ref="G363" si="201">G255</f>
        <v>-3.61E-2</v>
      </c>
      <c r="H363" s="339"/>
      <c r="I363" s="294">
        <f>SUM(I356:I357,I359:I361)*$G363</f>
        <v>-154151.2598</v>
      </c>
      <c r="J363" s="294">
        <f>SUM(J356:J357,J359:J361)*$G363</f>
        <v>-161603.13010000001</v>
      </c>
      <c r="L363" s="338"/>
      <c r="M363" s="339"/>
      <c r="N363" s="338"/>
      <c r="O363" s="339"/>
      <c r="P363" s="359" t="str">
        <f>$P$43</f>
        <v>Tax Year 1</v>
      </c>
      <c r="Q363" s="339"/>
      <c r="R363" s="338">
        <f>$R$687</f>
        <v>-2.4199999999999999E-2</v>
      </c>
      <c r="S363" s="339"/>
      <c r="Z363" s="294">
        <f>R363*SUM(Z352:Z355,Z361)</f>
        <v>-111676.2482</v>
      </c>
    </row>
    <row r="364" spans="1:29">
      <c r="B364" s="317"/>
      <c r="G364" s="338"/>
      <c r="H364" s="339"/>
      <c r="L364" s="338"/>
      <c r="M364" s="339"/>
      <c r="N364" s="338"/>
      <c r="O364" s="339"/>
      <c r="P364" s="359" t="str">
        <f>$P$44</f>
        <v>Tax Year 2</v>
      </c>
      <c r="Q364" s="339"/>
      <c r="R364" s="338">
        <f>$R$688</f>
        <v>-1.21E-2</v>
      </c>
      <c r="S364" s="339"/>
      <c r="Z364" s="294">
        <f>R364*SUM(Z352:Z355,Z361)</f>
        <v>-55838.124100000001</v>
      </c>
    </row>
    <row r="365" spans="1:29" ht="16.5" thickBot="1">
      <c r="B365" s="353" t="s">
        <v>1082</v>
      </c>
      <c r="D365" s="293">
        <v>0</v>
      </c>
      <c r="E365" s="293">
        <f>ROUND(D365/(D366-D362)*E366,0)</f>
        <v>0</v>
      </c>
      <c r="G365" s="338"/>
      <c r="H365" s="339"/>
      <c r="L365" s="338"/>
      <c r="M365" s="339"/>
      <c r="N365" s="338"/>
      <c r="O365" s="339"/>
      <c r="P365" s="368"/>
      <c r="R365" s="368"/>
      <c r="T365" s="369"/>
      <c r="V365" s="369"/>
      <c r="X365" s="369"/>
      <c r="Z365" s="369"/>
    </row>
    <row r="366" spans="1:29" ht="17.25" thickTop="1" thickBot="1">
      <c r="A366" s="292">
        <v>1</v>
      </c>
      <c r="B366" s="317" t="s">
        <v>937</v>
      </c>
      <c r="D366" s="381">
        <f>SUM(D359:D361,D362,D365)</f>
        <v>37621399</v>
      </c>
      <c r="E366" s="381">
        <f>D366*E753/D753</f>
        <v>39440125.746287748</v>
      </c>
      <c r="G366" s="368"/>
      <c r="I366" s="369">
        <f>SUM(I348:I363)</f>
        <v>5163686.7401999999</v>
      </c>
      <c r="J366" s="369">
        <f>SUM(J348:J363)</f>
        <v>5408805.8699000003</v>
      </c>
      <c r="L366" s="368"/>
      <c r="N366" s="368"/>
      <c r="P366" s="368"/>
      <c r="R366" s="368"/>
      <c r="T366" s="369">
        <f>SUM(T348:T362)</f>
        <v>1280540</v>
      </c>
      <c r="V366" s="369">
        <f>SUM(V348:V362)</f>
        <v>3613997</v>
      </c>
      <c r="X366" s="369">
        <f>SUM(X348:X362)</f>
        <v>833559</v>
      </c>
      <c r="Z366" s="369">
        <f>SUM(Z348:Z362)</f>
        <v>5728096</v>
      </c>
      <c r="AB366" s="305" t="s">
        <v>939</v>
      </c>
      <c r="AC366" s="304">
        <f>Z366/J366-1</f>
        <v>5.9031538158329733E-2</v>
      </c>
    </row>
    <row r="367" spans="1:29" ht="16.5" thickTop="1">
      <c r="A367" s="292">
        <v>1</v>
      </c>
    </row>
    <row r="368" spans="1:29">
      <c r="A368" s="292">
        <v>1</v>
      </c>
      <c r="B368" s="314" t="s">
        <v>949</v>
      </c>
    </row>
    <row r="369" spans="1:29">
      <c r="B369" s="317" t="s">
        <v>1089</v>
      </c>
      <c r="D369" s="293">
        <f>D403+D437+D471</f>
        <v>461.81666666666666</v>
      </c>
      <c r="E369" s="293">
        <f>E403+E437+E471</f>
        <v>601.96638791828354</v>
      </c>
      <c r="G369" s="318"/>
      <c r="H369" s="318"/>
      <c r="L369" s="318">
        <f>L225</f>
        <v>55</v>
      </c>
      <c r="M369" s="318"/>
      <c r="N369" s="318">
        <f>N225</f>
        <v>0</v>
      </c>
      <c r="O369" s="318"/>
      <c r="P369" s="318">
        <f>P225</f>
        <v>0</v>
      </c>
      <c r="Q369" s="318"/>
      <c r="R369" s="318">
        <f t="shared" ref="R369:R379" si="202">R225</f>
        <v>55</v>
      </c>
      <c r="S369" s="318"/>
      <c r="T369" s="294">
        <f>ROUND($E369*L369,0)</f>
        <v>33108</v>
      </c>
      <c r="U369" s="319"/>
      <c r="V369" s="294">
        <f>ROUND($E369*N369,0)</f>
        <v>0</v>
      </c>
      <c r="W369" s="319"/>
      <c r="X369" s="294">
        <f>ROUND($E369*P369,0)</f>
        <v>0</v>
      </c>
      <c r="Y369" s="319"/>
      <c r="Z369" s="294">
        <f>ROUND($E369*R369,0)</f>
        <v>33108</v>
      </c>
      <c r="AB369" s="305"/>
      <c r="AC369" s="325"/>
    </row>
    <row r="370" spans="1:29">
      <c r="B370" s="317" t="s">
        <v>1090</v>
      </c>
      <c r="D370" s="293">
        <f t="shared" ref="D370:E379" si="203">D404+D438+D472</f>
        <v>494309</v>
      </c>
      <c r="E370" s="293">
        <f t="shared" si="203"/>
        <v>617625.15581650264</v>
      </c>
      <c r="F370" s="339"/>
      <c r="G370" s="376"/>
      <c r="H370" s="343"/>
      <c r="K370" s="339"/>
      <c r="L370" s="376">
        <f t="shared" ref="L370:L379" si="204">L226</f>
        <v>1.7867999999999999</v>
      </c>
      <c r="M370" s="343" t="s">
        <v>1062</v>
      </c>
      <c r="N370" s="376">
        <f t="shared" ref="N370:N379" si="205">N226</f>
        <v>19.766631654000651</v>
      </c>
      <c r="O370" s="343" t="s">
        <v>1062</v>
      </c>
      <c r="P370" s="376">
        <f t="shared" ref="P370:P379" si="206">P226</f>
        <v>1.3127</v>
      </c>
      <c r="Q370" s="343" t="s">
        <v>1062</v>
      </c>
      <c r="R370" s="376">
        <f t="shared" si="202"/>
        <v>22.86613165400065</v>
      </c>
      <c r="S370" s="343" t="s">
        <v>1062</v>
      </c>
      <c r="T370" s="294">
        <f>ROUND($E370*L370/100,0)</f>
        <v>11036</v>
      </c>
      <c r="U370" s="346"/>
      <c r="V370" s="294">
        <f>ROUND($E370*N370/100,0)</f>
        <v>122084</v>
      </c>
      <c r="W370" s="346"/>
      <c r="X370" s="294">
        <f>ROUND($E370*P370/100,0)</f>
        <v>8108</v>
      </c>
      <c r="Y370" s="346"/>
      <c r="Z370" s="294">
        <f>ROUND($E370*R370/100,0)</f>
        <v>141227</v>
      </c>
    </row>
    <row r="371" spans="1:29">
      <c r="B371" s="317" t="s">
        <v>1091</v>
      </c>
      <c r="D371" s="293">
        <f t="shared" si="203"/>
        <v>1183199</v>
      </c>
      <c r="E371" s="293">
        <f t="shared" si="203"/>
        <v>1470157.0589540326</v>
      </c>
      <c r="F371" s="339"/>
      <c r="G371" s="376"/>
      <c r="H371" s="343"/>
      <c r="K371" s="339"/>
      <c r="L371" s="376">
        <f t="shared" si="204"/>
        <v>1.7867999999999999</v>
      </c>
      <c r="M371" s="343" t="s">
        <v>1062</v>
      </c>
      <c r="N371" s="376">
        <f t="shared" si="205"/>
        <v>1.4732003384230001</v>
      </c>
      <c r="O371" s="343" t="s">
        <v>1062</v>
      </c>
      <c r="P371" s="376">
        <f t="shared" si="206"/>
        <v>1.3127</v>
      </c>
      <c r="Q371" s="343" t="s">
        <v>1062</v>
      </c>
      <c r="R371" s="376">
        <f t="shared" si="202"/>
        <v>4.5727003384230001</v>
      </c>
      <c r="S371" s="343" t="s">
        <v>1062</v>
      </c>
      <c r="T371" s="294">
        <f t="shared" ref="T371:T377" si="207">ROUND($E371*L371/100,0)</f>
        <v>26269</v>
      </c>
      <c r="U371" s="346"/>
      <c r="V371" s="294">
        <f t="shared" ref="V371:V377" si="208">ROUND($E371*N371/100,0)</f>
        <v>21658</v>
      </c>
      <c r="W371" s="346"/>
      <c r="X371" s="294">
        <f t="shared" ref="X371:X377" si="209">ROUND($E371*P371/100,0)</f>
        <v>19299</v>
      </c>
      <c r="Y371" s="346"/>
      <c r="Z371" s="294">
        <f t="shared" ref="Z371:Z377" si="210">ROUND($E371*R371/100,0)</f>
        <v>67226</v>
      </c>
    </row>
    <row r="372" spans="1:29">
      <c r="B372" s="317" t="s">
        <v>1092</v>
      </c>
      <c r="D372" s="293">
        <f t="shared" si="203"/>
        <v>856682.5</v>
      </c>
      <c r="E372" s="293">
        <f t="shared" si="203"/>
        <v>1069622.9798240834</v>
      </c>
      <c r="F372" s="339"/>
      <c r="G372" s="376"/>
      <c r="H372" s="343"/>
      <c r="K372" s="339"/>
      <c r="L372" s="376">
        <f t="shared" si="204"/>
        <v>1.7867999999999999</v>
      </c>
      <c r="M372" s="343" t="s">
        <v>1062</v>
      </c>
      <c r="N372" s="376">
        <f t="shared" si="205"/>
        <v>17.286999999999999</v>
      </c>
      <c r="O372" s="343" t="s">
        <v>1062</v>
      </c>
      <c r="P372" s="376">
        <f t="shared" si="206"/>
        <v>1.1617</v>
      </c>
      <c r="Q372" s="343" t="s">
        <v>1062</v>
      </c>
      <c r="R372" s="376">
        <f t="shared" si="202"/>
        <v>20.235499999999998</v>
      </c>
      <c r="S372" s="343" t="s">
        <v>1062</v>
      </c>
      <c r="T372" s="294">
        <f t="shared" si="207"/>
        <v>19112</v>
      </c>
      <c r="U372" s="346"/>
      <c r="V372" s="294">
        <f t="shared" si="208"/>
        <v>184906</v>
      </c>
      <c r="W372" s="346"/>
      <c r="X372" s="294">
        <f t="shared" si="209"/>
        <v>12426</v>
      </c>
      <c r="Y372" s="346"/>
      <c r="Z372" s="294">
        <f t="shared" si="210"/>
        <v>216444</v>
      </c>
    </row>
    <row r="373" spans="1:29">
      <c r="B373" s="317" t="s">
        <v>1093</v>
      </c>
      <c r="D373" s="293">
        <f t="shared" si="203"/>
        <v>2262394.5</v>
      </c>
      <c r="E373" s="293">
        <f t="shared" si="203"/>
        <v>2803065.8686222499</v>
      </c>
      <c r="F373" s="339"/>
      <c r="G373" s="376"/>
      <c r="H373" s="343"/>
      <c r="K373" s="339"/>
      <c r="L373" s="376">
        <f t="shared" si="204"/>
        <v>1.7867999999999999</v>
      </c>
      <c r="M373" s="343" t="s">
        <v>1062</v>
      </c>
      <c r="N373" s="376">
        <f t="shared" si="205"/>
        <v>1.0980999999999999</v>
      </c>
      <c r="O373" s="343" t="s">
        <v>1062</v>
      </c>
      <c r="P373" s="376">
        <f t="shared" si="206"/>
        <v>1.1617</v>
      </c>
      <c r="Q373" s="343" t="s">
        <v>1062</v>
      </c>
      <c r="R373" s="376">
        <f t="shared" si="202"/>
        <v>4.0465999999999998</v>
      </c>
      <c r="S373" s="343" t="s">
        <v>1062</v>
      </c>
      <c r="T373" s="294">
        <f t="shared" si="207"/>
        <v>50085</v>
      </c>
      <c r="U373" s="346"/>
      <c r="V373" s="294">
        <f t="shared" si="208"/>
        <v>30780</v>
      </c>
      <c r="W373" s="346"/>
      <c r="X373" s="294">
        <f t="shared" si="209"/>
        <v>32563</v>
      </c>
      <c r="Y373" s="346"/>
      <c r="Z373" s="294">
        <f t="shared" si="210"/>
        <v>113429</v>
      </c>
    </row>
    <row r="374" spans="1:29">
      <c r="B374" s="317" t="s">
        <v>1094</v>
      </c>
      <c r="D374" s="293">
        <f t="shared" si="203"/>
        <v>931604.91289976228</v>
      </c>
      <c r="E374" s="293">
        <f t="shared" si="203"/>
        <v>1159450.9047616925</v>
      </c>
      <c r="F374" s="339"/>
      <c r="G374" s="376"/>
      <c r="H374" s="343"/>
      <c r="K374" s="339"/>
      <c r="L374" s="376">
        <f t="shared" si="204"/>
        <v>0</v>
      </c>
      <c r="M374" s="343" t="s">
        <v>1062</v>
      </c>
      <c r="N374" s="376">
        <f t="shared" si="205"/>
        <v>0</v>
      </c>
      <c r="O374" s="343" t="s">
        <v>1062</v>
      </c>
      <c r="P374" s="376">
        <f t="shared" si="206"/>
        <v>6</v>
      </c>
      <c r="Q374" s="343" t="s">
        <v>1062</v>
      </c>
      <c r="R374" s="376">
        <f t="shared" si="202"/>
        <v>6</v>
      </c>
      <c r="S374" s="343" t="s">
        <v>1062</v>
      </c>
      <c r="T374" s="294">
        <f t="shared" si="207"/>
        <v>0</v>
      </c>
      <c r="U374" s="346"/>
      <c r="V374" s="294">
        <f t="shared" si="208"/>
        <v>0</v>
      </c>
      <c r="W374" s="346"/>
      <c r="X374" s="294">
        <f t="shared" si="209"/>
        <v>69567</v>
      </c>
      <c r="Y374" s="346"/>
      <c r="Z374" s="294">
        <f t="shared" si="210"/>
        <v>69567</v>
      </c>
    </row>
    <row r="375" spans="1:29">
      <c r="B375" s="317" t="s">
        <v>1095</v>
      </c>
      <c r="D375" s="293">
        <f t="shared" si="203"/>
        <v>745903.08710023749</v>
      </c>
      <c r="E375" s="293">
        <f t="shared" si="203"/>
        <v>928331.31000884238</v>
      </c>
      <c r="F375" s="339"/>
      <c r="G375" s="376"/>
      <c r="H375" s="343"/>
      <c r="K375" s="339"/>
      <c r="L375" s="376">
        <f t="shared" si="204"/>
        <v>0</v>
      </c>
      <c r="M375" s="343" t="s">
        <v>1062</v>
      </c>
      <c r="N375" s="376">
        <f t="shared" si="205"/>
        <v>0</v>
      </c>
      <c r="O375" s="343" t="s">
        <v>1062</v>
      </c>
      <c r="P375" s="376">
        <f t="shared" si="206"/>
        <v>-2.3358000000000008</v>
      </c>
      <c r="Q375" s="343" t="s">
        <v>1062</v>
      </c>
      <c r="R375" s="376">
        <f t="shared" si="202"/>
        <v>-2.3358000000000008</v>
      </c>
      <c r="S375" s="343" t="s">
        <v>1062</v>
      </c>
      <c r="T375" s="294">
        <f t="shared" si="207"/>
        <v>0</v>
      </c>
      <c r="U375" s="346"/>
      <c r="V375" s="294">
        <f t="shared" si="208"/>
        <v>0</v>
      </c>
      <c r="W375" s="346"/>
      <c r="X375" s="294">
        <f t="shared" si="209"/>
        <v>-21684</v>
      </c>
      <c r="Y375" s="346"/>
      <c r="Z375" s="294">
        <f t="shared" si="210"/>
        <v>-21684</v>
      </c>
    </row>
    <row r="376" spans="1:29">
      <c r="B376" s="317" t="s">
        <v>1096</v>
      </c>
      <c r="D376" s="293">
        <f t="shared" si="203"/>
        <v>1732180.983287503</v>
      </c>
      <c r="E376" s="293">
        <f t="shared" si="203"/>
        <v>2150699.7029788997</v>
      </c>
      <c r="F376" s="339"/>
      <c r="G376" s="376"/>
      <c r="H376" s="343"/>
      <c r="K376" s="339"/>
      <c r="L376" s="376">
        <f t="shared" si="204"/>
        <v>0</v>
      </c>
      <c r="M376" s="343" t="s">
        <v>1062</v>
      </c>
      <c r="N376" s="376">
        <f t="shared" si="205"/>
        <v>0</v>
      </c>
      <c r="O376" s="343" t="s">
        <v>1062</v>
      </c>
      <c r="P376" s="376">
        <f t="shared" si="206"/>
        <v>5.3097000000000003</v>
      </c>
      <c r="Q376" s="343" t="s">
        <v>1062</v>
      </c>
      <c r="R376" s="376">
        <f t="shared" si="202"/>
        <v>5.3097000000000003</v>
      </c>
      <c r="S376" s="343" t="s">
        <v>1062</v>
      </c>
      <c r="T376" s="294">
        <f t="shared" si="207"/>
        <v>0</v>
      </c>
      <c r="U376" s="346"/>
      <c r="V376" s="294">
        <f t="shared" si="208"/>
        <v>0</v>
      </c>
      <c r="W376" s="346"/>
      <c r="X376" s="294">
        <f t="shared" si="209"/>
        <v>114196</v>
      </c>
      <c r="Y376" s="346"/>
      <c r="Z376" s="294">
        <f t="shared" si="210"/>
        <v>114196</v>
      </c>
    </row>
    <row r="377" spans="1:29">
      <c r="B377" s="317" t="s">
        <v>1097</v>
      </c>
      <c r="D377" s="293">
        <f t="shared" si="203"/>
        <v>1386896.0167124968</v>
      </c>
      <c r="E377" s="293">
        <f t="shared" si="203"/>
        <v>1721989.1454674334</v>
      </c>
      <c r="F377" s="339"/>
      <c r="G377" s="376"/>
      <c r="H377" s="343"/>
      <c r="K377" s="339"/>
      <c r="L377" s="376">
        <f t="shared" si="204"/>
        <v>0</v>
      </c>
      <c r="M377" s="343" t="s">
        <v>1062</v>
      </c>
      <c r="N377" s="376">
        <f t="shared" si="205"/>
        <v>0</v>
      </c>
      <c r="O377" s="343" t="s">
        <v>1062</v>
      </c>
      <c r="P377" s="376">
        <f t="shared" si="206"/>
        <v>-2.0670999999999999</v>
      </c>
      <c r="Q377" s="343" t="s">
        <v>1062</v>
      </c>
      <c r="R377" s="376">
        <f t="shared" si="202"/>
        <v>-2.0670999999999999</v>
      </c>
      <c r="S377" s="343" t="s">
        <v>1062</v>
      </c>
      <c r="T377" s="294">
        <f t="shared" si="207"/>
        <v>0</v>
      </c>
      <c r="U377" s="346"/>
      <c r="V377" s="294">
        <f t="shared" si="208"/>
        <v>0</v>
      </c>
      <c r="W377" s="346"/>
      <c r="X377" s="294">
        <f t="shared" si="209"/>
        <v>-35595</v>
      </c>
      <c r="Y377" s="346"/>
      <c r="Z377" s="294">
        <f t="shared" si="210"/>
        <v>-35595</v>
      </c>
    </row>
    <row r="378" spans="1:29">
      <c r="B378" s="317" t="s">
        <v>1098</v>
      </c>
      <c r="D378" s="293">
        <f t="shared" si="203"/>
        <v>0</v>
      </c>
      <c r="E378" s="293">
        <f t="shared" si="203"/>
        <v>0</v>
      </c>
      <c r="G378" s="318"/>
      <c r="H378" s="318"/>
      <c r="L378" s="318">
        <f t="shared" si="204"/>
        <v>-0.61</v>
      </c>
      <c r="M378" s="318"/>
      <c r="N378" s="318">
        <f t="shared" si="205"/>
        <v>0</v>
      </c>
      <c r="O378" s="318"/>
      <c r="P378" s="318">
        <f t="shared" si="206"/>
        <v>0</v>
      </c>
      <c r="Q378" s="318"/>
      <c r="R378" s="318">
        <f t="shared" si="202"/>
        <v>-0.61</v>
      </c>
      <c r="S378" s="318"/>
      <c r="T378" s="294">
        <f>ROUND($E378*L378,0)</f>
        <v>0</v>
      </c>
      <c r="U378" s="319"/>
      <c r="V378" s="294">
        <f>ROUND($E378*N378,0)</f>
        <v>0</v>
      </c>
      <c r="W378" s="319"/>
      <c r="X378" s="294">
        <f>ROUND($E378*P378,0)</f>
        <v>0</v>
      </c>
      <c r="Y378" s="319"/>
      <c r="Z378" s="294">
        <f>ROUND($E378*R378,0)</f>
        <v>0</v>
      </c>
    </row>
    <row r="379" spans="1:29">
      <c r="B379" s="353" t="s">
        <v>1077</v>
      </c>
      <c r="D379" s="293">
        <f t="shared" si="203"/>
        <v>0</v>
      </c>
      <c r="E379" s="293">
        <f t="shared" si="203"/>
        <v>0</v>
      </c>
      <c r="G379" s="377"/>
      <c r="H379" s="343"/>
      <c r="L379" s="377">
        <f t="shared" si="204"/>
        <v>0</v>
      </c>
      <c r="M379" s="343" t="s">
        <v>1062</v>
      </c>
      <c r="N379" s="377">
        <f t="shared" si="205"/>
        <v>7.125</v>
      </c>
      <c r="O379" s="343" t="s">
        <v>1062</v>
      </c>
      <c r="P379" s="377">
        <f t="shared" si="206"/>
        <v>0</v>
      </c>
      <c r="Q379" s="343" t="s">
        <v>1062</v>
      </c>
      <c r="R379" s="377">
        <f t="shared" si="202"/>
        <v>7.125</v>
      </c>
      <c r="S379" s="343" t="s">
        <v>1062</v>
      </c>
      <c r="T379" s="294">
        <f>ROUND($E379*L379/100,0)</f>
        <v>0</v>
      </c>
      <c r="U379" s="346"/>
      <c r="V379" s="294">
        <f>ROUND($E379*N379/100,0)</f>
        <v>0</v>
      </c>
      <c r="W379" s="346"/>
      <c r="X379" s="294">
        <f>ROUND($E379*P379/100,0)</f>
        <v>0</v>
      </c>
      <c r="Y379" s="346"/>
      <c r="Z379" s="294">
        <f>ROUND($E379*R379/100,0)</f>
        <v>0</v>
      </c>
      <c r="AB379" s="305"/>
      <c r="AC379" s="325"/>
    </row>
    <row r="380" spans="1:29">
      <c r="B380" s="317" t="s">
        <v>1079</v>
      </c>
      <c r="G380" s="338"/>
      <c r="H380" s="339"/>
      <c r="L380" s="338"/>
      <c r="M380" s="339"/>
      <c r="N380" s="338"/>
      <c r="O380" s="339"/>
      <c r="P380" s="359" t="str">
        <f>$P$43</f>
        <v>Tax Year 1</v>
      </c>
      <c r="Q380" s="339"/>
      <c r="R380" s="338">
        <f>$R$979</f>
        <v>-2.7099999999999999E-2</v>
      </c>
      <c r="S380" s="339"/>
      <c r="Z380" s="294">
        <f>R380*SUM(Z370:Z373,Z379)</f>
        <v>-14588.634599999999</v>
      </c>
    </row>
    <row r="381" spans="1:29">
      <c r="B381" s="317"/>
      <c r="G381" s="338"/>
      <c r="H381" s="339"/>
      <c r="L381" s="338"/>
      <c r="M381" s="339"/>
      <c r="N381" s="338"/>
      <c r="O381" s="339"/>
      <c r="P381" s="359" t="str">
        <f>$P$44</f>
        <v>Tax Year 2</v>
      </c>
      <c r="Q381" s="339"/>
      <c r="R381" s="338">
        <f>$R$980</f>
        <v>-1.3599999999999999E-2</v>
      </c>
      <c r="S381" s="339"/>
      <c r="Z381" s="294">
        <f>R381*SUM(Z370:Z373,Z379)</f>
        <v>-7321.2335999999996</v>
      </c>
    </row>
    <row r="382" spans="1:29">
      <c r="A382" s="292">
        <v>1</v>
      </c>
      <c r="B382" s="317" t="s">
        <v>945</v>
      </c>
      <c r="D382" s="293">
        <f>SUM(D374:D377,D379)</f>
        <v>4796585</v>
      </c>
      <c r="E382" s="293">
        <f>SUM(E374:E377,E379)</f>
        <v>5960471.0632168679</v>
      </c>
      <c r="G382" s="318"/>
      <c r="H382" s="318"/>
      <c r="L382" s="318"/>
      <c r="M382" s="318"/>
      <c r="N382" s="318"/>
      <c r="O382" s="318"/>
      <c r="P382" s="318"/>
      <c r="Q382" s="318"/>
      <c r="R382" s="318"/>
      <c r="S382" s="318"/>
      <c r="T382" s="294">
        <f>SUM(T369:T379)</f>
        <v>139610</v>
      </c>
      <c r="U382" s="319"/>
      <c r="V382" s="294">
        <f>SUM(V369:V379)</f>
        <v>359428</v>
      </c>
      <c r="W382" s="319"/>
      <c r="X382" s="294">
        <f>SUM(X369:X379)</f>
        <v>198880</v>
      </c>
      <c r="Y382" s="319"/>
      <c r="Z382" s="294">
        <f>SUM(Z369:Z379)</f>
        <v>697918</v>
      </c>
      <c r="AB382" s="305" t="s">
        <v>939</v>
      </c>
      <c r="AC382" s="329">
        <f>Z382/Z400-1</f>
        <v>-0.29458769972184484</v>
      </c>
    </row>
    <row r="383" spans="1:29">
      <c r="B383" s="317"/>
      <c r="G383" s="318"/>
      <c r="H383" s="318"/>
      <c r="L383" s="318"/>
      <c r="M383" s="318"/>
      <c r="N383" s="318"/>
      <c r="O383" s="318"/>
      <c r="P383" s="318"/>
      <c r="Q383" s="318"/>
      <c r="R383" s="318"/>
      <c r="S383" s="318"/>
      <c r="T383" s="319"/>
      <c r="U383" s="319"/>
      <c r="V383" s="319"/>
      <c r="W383" s="319"/>
      <c r="X383" s="319"/>
      <c r="Y383" s="319"/>
      <c r="AB383" s="305"/>
      <c r="AC383" s="325"/>
    </row>
    <row r="384" spans="1:29">
      <c r="B384" s="317" t="s">
        <v>1089</v>
      </c>
      <c r="D384" s="293">
        <f t="shared" ref="D384:E397" si="211">D418+D452+D486</f>
        <v>461.81666666666666</v>
      </c>
      <c r="E384" s="293">
        <f t="shared" si="211"/>
        <v>601.96638791828354</v>
      </c>
      <c r="G384" s="318">
        <f>G240</f>
        <v>54</v>
      </c>
      <c r="H384" s="318"/>
      <c r="I384" s="294">
        <f t="shared" ref="I384:J386" si="212">ROUND($G384*D384,0)</f>
        <v>24938</v>
      </c>
      <c r="J384" s="294">
        <f t="shared" si="212"/>
        <v>32506</v>
      </c>
      <c r="L384" s="318">
        <f t="shared" ref="L384:L391" si="213">L240</f>
        <v>55</v>
      </c>
      <c r="M384" s="318"/>
      <c r="N384" s="318">
        <f t="shared" ref="N384:N391" si="214">N240</f>
        <v>0</v>
      </c>
      <c r="O384" s="318"/>
      <c r="P384" s="318">
        <f t="shared" ref="P384:P391" si="215">P240</f>
        <v>0</v>
      </c>
      <c r="Q384" s="318"/>
      <c r="R384" s="318">
        <f t="shared" ref="R384:R391" si="216">R240</f>
        <v>55</v>
      </c>
      <c r="S384" s="318"/>
      <c r="T384" s="294">
        <f>ROUND($E384*L384,0)</f>
        <v>33108</v>
      </c>
      <c r="U384" s="319"/>
      <c r="V384" s="294">
        <f>ROUND($E384*N384,0)</f>
        <v>0</v>
      </c>
      <c r="W384" s="319"/>
      <c r="X384" s="294">
        <f>ROUND($E384*P384,0)</f>
        <v>0</v>
      </c>
      <c r="Y384" s="319"/>
      <c r="Z384" s="294">
        <f>ROUND($E384*R384,0)</f>
        <v>33108</v>
      </c>
    </row>
    <row r="385" spans="1:29">
      <c r="B385" s="317" t="s">
        <v>1099</v>
      </c>
      <c r="D385" s="293">
        <f t="shared" si="211"/>
        <v>0</v>
      </c>
      <c r="E385" s="293">
        <f t="shared" si="211"/>
        <v>0</v>
      </c>
      <c r="G385" s="318">
        <f>G241</f>
        <v>648</v>
      </c>
      <c r="H385" s="318"/>
      <c r="I385" s="294">
        <f t="shared" si="212"/>
        <v>0</v>
      </c>
      <c r="J385" s="294">
        <f t="shared" si="212"/>
        <v>0</v>
      </c>
      <c r="L385" s="318">
        <f t="shared" si="213"/>
        <v>660</v>
      </c>
      <c r="M385" s="318"/>
      <c r="N385" s="318">
        <f t="shared" si="214"/>
        <v>0</v>
      </c>
      <c r="O385" s="318"/>
      <c r="P385" s="318">
        <f t="shared" si="215"/>
        <v>0</v>
      </c>
      <c r="Q385" s="318"/>
      <c r="R385" s="318">
        <f t="shared" si="216"/>
        <v>660</v>
      </c>
      <c r="S385" s="318"/>
      <c r="T385" s="294">
        <f t="shared" ref="T385:T389" si="217">ROUND($E385*L385,0)</f>
        <v>0</v>
      </c>
      <c r="U385" s="319"/>
      <c r="V385" s="294">
        <f t="shared" ref="V385:V389" si="218">ROUND($E385*N385,0)</f>
        <v>0</v>
      </c>
      <c r="W385" s="319"/>
      <c r="X385" s="294">
        <f t="shared" ref="X385:X389" si="219">ROUND($E385*P385,0)</f>
        <v>0</v>
      </c>
      <c r="Y385" s="319"/>
      <c r="Z385" s="294">
        <f t="shared" ref="Z385:Z389" si="220">ROUND($E385*R385,0)</f>
        <v>0</v>
      </c>
    </row>
    <row r="386" spans="1:29">
      <c r="B386" s="317" t="s">
        <v>1100</v>
      </c>
      <c r="D386" s="293">
        <f t="shared" si="211"/>
        <v>0</v>
      </c>
      <c r="E386" s="293">
        <f t="shared" si="211"/>
        <v>0</v>
      </c>
      <c r="G386" s="339">
        <f>G242</f>
        <v>54</v>
      </c>
      <c r="H386" s="339"/>
      <c r="I386" s="294">
        <f t="shared" si="212"/>
        <v>0</v>
      </c>
      <c r="J386" s="294">
        <f t="shared" si="212"/>
        <v>0</v>
      </c>
      <c r="L386" s="339">
        <f t="shared" si="213"/>
        <v>55</v>
      </c>
      <c r="M386" s="339"/>
      <c r="N386" s="339">
        <f t="shared" si="214"/>
        <v>0</v>
      </c>
      <c r="O386" s="339"/>
      <c r="P386" s="339">
        <f t="shared" si="215"/>
        <v>0</v>
      </c>
      <c r="Q386" s="339"/>
      <c r="R386" s="339">
        <f t="shared" si="216"/>
        <v>55</v>
      </c>
      <c r="S386" s="339"/>
      <c r="T386" s="294">
        <f t="shared" si="217"/>
        <v>0</v>
      </c>
      <c r="V386" s="294">
        <f t="shared" si="218"/>
        <v>0</v>
      </c>
      <c r="X386" s="294">
        <f t="shared" si="219"/>
        <v>0</v>
      </c>
      <c r="Z386" s="294">
        <f t="shared" si="220"/>
        <v>0</v>
      </c>
    </row>
    <row r="387" spans="1:29">
      <c r="B387" s="317" t="s">
        <v>1101</v>
      </c>
      <c r="D387" s="293">
        <f t="shared" si="211"/>
        <v>32595.66707920792</v>
      </c>
      <c r="E387" s="293">
        <f t="shared" si="211"/>
        <v>42952</v>
      </c>
      <c r="G387" s="318">
        <f>G243</f>
        <v>4.04</v>
      </c>
      <c r="H387" s="318"/>
      <c r="I387" s="294">
        <f>ROUND($G387*D387,0)</f>
        <v>131686</v>
      </c>
      <c r="J387" s="294">
        <f>ROUND($G387*E387,0)</f>
        <v>173526</v>
      </c>
      <c r="L387" s="318">
        <f t="shared" si="213"/>
        <v>4.1100000000000003</v>
      </c>
      <c r="M387" s="318"/>
      <c r="N387" s="318">
        <f t="shared" si="214"/>
        <v>0</v>
      </c>
      <c r="O387" s="318"/>
      <c r="P387" s="318">
        <f t="shared" si="215"/>
        <v>0</v>
      </c>
      <c r="Q387" s="318"/>
      <c r="R387" s="318">
        <f t="shared" si="216"/>
        <v>4.1100000000000003</v>
      </c>
      <c r="S387" s="318"/>
      <c r="T387" s="294">
        <f t="shared" si="217"/>
        <v>176533</v>
      </c>
      <c r="U387" s="319"/>
      <c r="V387" s="294">
        <f t="shared" si="218"/>
        <v>0</v>
      </c>
      <c r="W387" s="319"/>
      <c r="X387" s="294">
        <f t="shared" si="219"/>
        <v>0</v>
      </c>
      <c r="Y387" s="319"/>
      <c r="Z387" s="294">
        <f t="shared" si="220"/>
        <v>176533</v>
      </c>
    </row>
    <row r="388" spans="1:29">
      <c r="B388" s="317" t="s">
        <v>1102</v>
      </c>
      <c r="D388" s="293">
        <f t="shared" si="211"/>
        <v>12234</v>
      </c>
      <c r="E388" s="293">
        <f t="shared" si="211"/>
        <v>16126</v>
      </c>
      <c r="G388" s="339"/>
      <c r="H388" s="339"/>
      <c r="L388" s="339">
        <f t="shared" si="213"/>
        <v>0.73</v>
      </c>
      <c r="M388" s="339"/>
      <c r="N388" s="339">
        <f t="shared" si="214"/>
        <v>12.959999999999999</v>
      </c>
      <c r="O388" s="339"/>
      <c r="P388" s="339">
        <f t="shared" si="215"/>
        <v>0</v>
      </c>
      <c r="Q388" s="339"/>
      <c r="R388" s="339">
        <f t="shared" si="216"/>
        <v>13.69</v>
      </c>
      <c r="S388" s="339"/>
      <c r="T388" s="294">
        <f t="shared" si="217"/>
        <v>11772</v>
      </c>
      <c r="V388" s="294">
        <f t="shared" si="218"/>
        <v>208993</v>
      </c>
      <c r="X388" s="294">
        <f t="shared" si="219"/>
        <v>0</v>
      </c>
      <c r="Z388" s="294">
        <f t="shared" si="220"/>
        <v>220765</v>
      </c>
    </row>
    <row r="389" spans="1:29">
      <c r="B389" s="317" t="s">
        <v>1103</v>
      </c>
      <c r="D389" s="293">
        <f t="shared" si="211"/>
        <v>20361.66707920792</v>
      </c>
      <c r="E389" s="293">
        <f t="shared" si="211"/>
        <v>26826</v>
      </c>
      <c r="G389" s="339"/>
      <c r="H389" s="339"/>
      <c r="L389" s="339">
        <f t="shared" si="213"/>
        <v>0.64</v>
      </c>
      <c r="M389" s="339"/>
      <c r="N389" s="339">
        <f t="shared" si="214"/>
        <v>11.479999999999999</v>
      </c>
      <c r="O389" s="339"/>
      <c r="P389" s="339">
        <f t="shared" si="215"/>
        <v>0</v>
      </c>
      <c r="Q389" s="339"/>
      <c r="R389" s="339">
        <f t="shared" si="216"/>
        <v>12.12</v>
      </c>
      <c r="S389" s="339"/>
      <c r="T389" s="294">
        <f t="shared" si="217"/>
        <v>17169</v>
      </c>
      <c r="V389" s="294">
        <f t="shared" si="218"/>
        <v>307962</v>
      </c>
      <c r="X389" s="294">
        <f t="shared" si="219"/>
        <v>0</v>
      </c>
      <c r="Z389" s="294">
        <f t="shared" si="220"/>
        <v>325131</v>
      </c>
    </row>
    <row r="390" spans="1:29">
      <c r="B390" s="317" t="s">
        <v>1104</v>
      </c>
      <c r="D390" s="293">
        <f t="shared" si="211"/>
        <v>1677508</v>
      </c>
      <c r="E390" s="293">
        <f t="shared" si="211"/>
        <v>2218023.3846987919</v>
      </c>
      <c r="G390" s="377"/>
      <c r="H390" s="343"/>
      <c r="L390" s="377">
        <f t="shared" si="213"/>
        <v>0</v>
      </c>
      <c r="M390" s="343" t="s">
        <v>1062</v>
      </c>
      <c r="N390" s="377">
        <f t="shared" si="214"/>
        <v>1.7162999999999999</v>
      </c>
      <c r="O390" s="343" t="s">
        <v>1062</v>
      </c>
      <c r="P390" s="377">
        <f t="shared" si="215"/>
        <v>2.279911334706</v>
      </c>
      <c r="Q390" s="343" t="s">
        <v>1062</v>
      </c>
      <c r="R390" s="377">
        <f t="shared" si="216"/>
        <v>3.996211334706</v>
      </c>
      <c r="S390" s="343" t="s">
        <v>1062</v>
      </c>
      <c r="T390" s="294">
        <f>ROUND($E390*L390/100,0)</f>
        <v>0</v>
      </c>
      <c r="U390" s="346"/>
      <c r="V390" s="294">
        <f>ROUND($E390*N390/100,0)</f>
        <v>38068</v>
      </c>
      <c r="W390" s="346"/>
      <c r="X390" s="294">
        <f>ROUND($E390*P390/100,0)</f>
        <v>50569</v>
      </c>
      <c r="Y390" s="346"/>
      <c r="Z390" s="294">
        <f>ROUND($E390*R390/100,0)</f>
        <v>88637</v>
      </c>
    </row>
    <row r="391" spans="1:29">
      <c r="B391" s="317" t="s">
        <v>1105</v>
      </c>
      <c r="D391" s="293">
        <f t="shared" si="211"/>
        <v>3119077</v>
      </c>
      <c r="E391" s="293">
        <f t="shared" si="211"/>
        <v>4105852</v>
      </c>
      <c r="G391" s="377"/>
      <c r="H391" s="343"/>
      <c r="L391" s="377">
        <f t="shared" si="213"/>
        <v>0</v>
      </c>
      <c r="M391" s="343" t="s">
        <v>1062</v>
      </c>
      <c r="N391" s="377">
        <f t="shared" si="214"/>
        <v>1.5188999999999999</v>
      </c>
      <c r="O391" s="343" t="s">
        <v>1062</v>
      </c>
      <c r="P391" s="377">
        <f t="shared" si="215"/>
        <v>2.0175702077039999</v>
      </c>
      <c r="Q391" s="343" t="s">
        <v>1062</v>
      </c>
      <c r="R391" s="377">
        <f t="shared" si="216"/>
        <v>3.5364702077039998</v>
      </c>
      <c r="S391" s="343" t="s">
        <v>1062</v>
      </c>
      <c r="T391" s="294">
        <f>ROUND($E391*L391/100,0)</f>
        <v>0</v>
      </c>
      <c r="U391" s="346"/>
      <c r="V391" s="294">
        <f>ROUND($E391*N391/100,0)</f>
        <v>62364</v>
      </c>
      <c r="W391" s="346"/>
      <c r="X391" s="294">
        <f>ROUND($E391*P391/100,0)</f>
        <v>82838</v>
      </c>
      <c r="Y391" s="346"/>
      <c r="Z391" s="294">
        <f>ROUND($E391*R391/100,0)</f>
        <v>145202</v>
      </c>
    </row>
    <row r="392" spans="1:29">
      <c r="B392" s="317" t="s">
        <v>1106</v>
      </c>
      <c r="D392" s="293">
        <f t="shared" si="211"/>
        <v>12671.059772427265</v>
      </c>
      <c r="E392" s="293">
        <f t="shared" si="211"/>
        <v>16699</v>
      </c>
      <c r="G392" s="318">
        <f>G248</f>
        <v>14.62</v>
      </c>
      <c r="H392" s="318"/>
      <c r="I392" s="294">
        <f t="shared" ref="I392:J394" si="221">ROUND($G392*D392,0)</f>
        <v>185251</v>
      </c>
      <c r="J392" s="294">
        <f t="shared" si="221"/>
        <v>244139</v>
      </c>
      <c r="L392" s="318"/>
      <c r="M392" s="318"/>
      <c r="N392" s="318"/>
      <c r="O392" s="318"/>
      <c r="P392" s="318"/>
      <c r="Q392" s="318"/>
      <c r="R392" s="318"/>
      <c r="S392" s="318"/>
      <c r="U392" s="319"/>
      <c r="W392" s="319"/>
      <c r="Y392" s="319"/>
    </row>
    <row r="393" spans="1:29">
      <c r="B393" s="317" t="s">
        <v>1107</v>
      </c>
      <c r="D393" s="293">
        <f t="shared" si="211"/>
        <v>19924.607306780654</v>
      </c>
      <c r="E393" s="293">
        <f t="shared" si="211"/>
        <v>26252</v>
      </c>
      <c r="G393" s="318">
        <f>G249</f>
        <v>10.91</v>
      </c>
      <c r="H393" s="318"/>
      <c r="I393" s="294">
        <f t="shared" si="221"/>
        <v>217377</v>
      </c>
      <c r="J393" s="294">
        <f t="shared" si="221"/>
        <v>286409</v>
      </c>
      <c r="L393" s="318"/>
      <c r="M393" s="318"/>
      <c r="N393" s="318"/>
      <c r="O393" s="318"/>
      <c r="P393" s="318"/>
      <c r="Q393" s="318"/>
      <c r="R393" s="318"/>
      <c r="S393" s="318"/>
      <c r="U393" s="319"/>
      <c r="W393" s="319"/>
      <c r="Y393" s="319"/>
    </row>
    <row r="394" spans="1:29">
      <c r="B394" s="317" t="s">
        <v>1098</v>
      </c>
      <c r="D394" s="293">
        <f t="shared" si="211"/>
        <v>0</v>
      </c>
      <c r="E394" s="293">
        <f t="shared" si="211"/>
        <v>0</v>
      </c>
      <c r="G394" s="318">
        <f>G250</f>
        <v>-0.96</v>
      </c>
      <c r="H394" s="318"/>
      <c r="I394" s="294">
        <f t="shared" si="221"/>
        <v>0</v>
      </c>
      <c r="J394" s="294">
        <f t="shared" si="221"/>
        <v>0</v>
      </c>
      <c r="L394" s="318">
        <f>L250</f>
        <v>-0.96</v>
      </c>
      <c r="M394" s="318"/>
      <c r="N394" s="318">
        <f>N250</f>
        <v>0</v>
      </c>
      <c r="O394" s="318"/>
      <c r="P394" s="318">
        <f>P250</f>
        <v>0</v>
      </c>
      <c r="Q394" s="318"/>
      <c r="R394" s="318">
        <f>R250</f>
        <v>-0.96</v>
      </c>
      <c r="S394" s="318"/>
      <c r="T394" s="294">
        <f t="shared" ref="T394" si="222">ROUND($E394*L394,0)</f>
        <v>0</v>
      </c>
      <c r="U394" s="319"/>
      <c r="V394" s="294">
        <f t="shared" ref="V394" si="223">ROUND($E394*N394,0)</f>
        <v>0</v>
      </c>
      <c r="W394" s="319"/>
      <c r="X394" s="294">
        <f t="shared" ref="X394" si="224">ROUND($E394*P394,0)</f>
        <v>0</v>
      </c>
      <c r="Y394" s="319"/>
      <c r="Z394" s="294">
        <f t="shared" ref="Z394" si="225">ROUND($E394*R394,0)</f>
        <v>0</v>
      </c>
    </row>
    <row r="395" spans="1:29">
      <c r="B395" s="317" t="s">
        <v>1108</v>
      </c>
      <c r="D395" s="293">
        <f t="shared" si="211"/>
        <v>1998470.3955894609</v>
      </c>
      <c r="E395" s="293">
        <f t="shared" si="211"/>
        <v>2644149</v>
      </c>
      <c r="G395" s="377">
        <f>G251</f>
        <v>3.8127</v>
      </c>
      <c r="H395" s="343" t="s">
        <v>1062</v>
      </c>
      <c r="I395" s="294">
        <f>ROUND($G395*D395/100,0)</f>
        <v>76196</v>
      </c>
      <c r="J395" s="294">
        <f>ROUND($G395*E395/100,0)</f>
        <v>100813</v>
      </c>
      <c r="L395" s="377"/>
      <c r="M395" s="343"/>
      <c r="N395" s="377"/>
      <c r="O395" s="343"/>
      <c r="P395" s="377"/>
      <c r="Q395" s="343"/>
      <c r="R395" s="377"/>
      <c r="S395" s="343"/>
      <c r="T395" s="346"/>
      <c r="U395" s="346"/>
      <c r="V395" s="346"/>
      <c r="W395" s="346"/>
      <c r="X395" s="346"/>
      <c r="Y395" s="346"/>
    </row>
    <row r="396" spans="1:29">
      <c r="B396" s="317" t="s">
        <v>1109</v>
      </c>
      <c r="D396" s="293">
        <f t="shared" si="211"/>
        <v>2798114.6044105394</v>
      </c>
      <c r="E396" s="293">
        <f t="shared" si="211"/>
        <v>3679726.3846987919</v>
      </c>
      <c r="G396" s="377">
        <f>G252</f>
        <v>3.5143</v>
      </c>
      <c r="H396" s="343" t="s">
        <v>1062</v>
      </c>
      <c r="I396" s="294">
        <f>ROUND($G396*D396/100,0)</f>
        <v>98334</v>
      </c>
      <c r="J396" s="294">
        <f>ROUND($G396*E396/100,0)</f>
        <v>129317</v>
      </c>
      <c r="L396" s="377"/>
      <c r="M396" s="343"/>
      <c r="N396" s="377"/>
      <c r="O396" s="343"/>
      <c r="P396" s="377"/>
      <c r="Q396" s="343"/>
      <c r="R396" s="377"/>
      <c r="S396" s="343"/>
      <c r="T396" s="346"/>
      <c r="U396" s="346"/>
      <c r="V396" s="346"/>
      <c r="W396" s="346"/>
      <c r="X396" s="346"/>
      <c r="Y396" s="346"/>
    </row>
    <row r="397" spans="1:29">
      <c r="B397" s="317" t="s">
        <v>1078</v>
      </c>
      <c r="D397" s="357">
        <f t="shared" si="211"/>
        <v>0</v>
      </c>
      <c r="E397" s="357">
        <f t="shared" si="211"/>
        <v>0</v>
      </c>
      <c r="I397" s="358">
        <f>I431+I465+I499</f>
        <v>0</v>
      </c>
      <c r="J397" s="358">
        <f>J431+J465+J499</f>
        <v>0</v>
      </c>
      <c r="Z397" s="358"/>
    </row>
    <row r="398" spans="1:29">
      <c r="B398" s="317" t="s">
        <v>1079</v>
      </c>
      <c r="G398" s="338">
        <f>G255</f>
        <v>-3.61E-2</v>
      </c>
      <c r="H398" s="339"/>
      <c r="I398" s="294">
        <f>SUM(I392:I393,I395:I396)*$G398</f>
        <v>-20835.4038</v>
      </c>
      <c r="J398" s="294">
        <f>SUM(J392:J393,J395:J396)*$G398</f>
        <v>-27460.4758</v>
      </c>
      <c r="L398" s="338"/>
      <c r="M398" s="339"/>
      <c r="N398" s="338"/>
      <c r="O398" s="339"/>
      <c r="P398" s="359" t="str">
        <f>$P$43</f>
        <v>Tax Year 1</v>
      </c>
      <c r="Q398" s="339"/>
      <c r="R398" s="338">
        <f>$R$687</f>
        <v>-2.4199999999999999E-2</v>
      </c>
      <c r="S398" s="339"/>
      <c r="Z398" s="294">
        <f>R398*SUM(Z388:Z391)</f>
        <v>-18869.587</v>
      </c>
    </row>
    <row r="399" spans="1:29">
      <c r="B399" s="317"/>
      <c r="G399" s="338"/>
      <c r="H399" s="339"/>
      <c r="L399" s="338"/>
      <c r="M399" s="339"/>
      <c r="N399" s="338"/>
      <c r="O399" s="339"/>
      <c r="P399" s="359" t="str">
        <f>$P$44</f>
        <v>Tax Year 2</v>
      </c>
      <c r="Q399" s="339"/>
      <c r="R399" s="338">
        <f>$R$688</f>
        <v>-1.21E-2</v>
      </c>
      <c r="S399" s="339"/>
      <c r="Z399" s="294">
        <f>R399*SUM(Z388:Z391)</f>
        <v>-9434.7934999999998</v>
      </c>
    </row>
    <row r="400" spans="1:29" ht="16.5" thickBot="1">
      <c r="A400" s="292">
        <v>1</v>
      </c>
      <c r="B400" s="317" t="s">
        <v>937</v>
      </c>
      <c r="D400" s="381">
        <f>SUM(D395:D397)</f>
        <v>4796585</v>
      </c>
      <c r="E400" s="381">
        <f>SUM(E395:E397)</f>
        <v>6323875.3846987914</v>
      </c>
      <c r="G400" s="368"/>
      <c r="I400" s="369">
        <f>SUM(I384:I398)</f>
        <v>712946.59620000003</v>
      </c>
      <c r="J400" s="369">
        <f>SUM(J384:J398)</f>
        <v>939249.52419999999</v>
      </c>
      <c r="L400" s="368"/>
      <c r="N400" s="368"/>
      <c r="P400" s="368"/>
      <c r="R400" s="368"/>
      <c r="T400" s="369">
        <f>SUM(T384:T397)</f>
        <v>238582</v>
      </c>
      <c r="V400" s="369">
        <f>SUM(V384:V397)</f>
        <v>617387</v>
      </c>
      <c r="X400" s="369">
        <f>SUM(X384:X397)</f>
        <v>133407</v>
      </c>
      <c r="Z400" s="369">
        <f>SUM(Z384:Z397)</f>
        <v>989376</v>
      </c>
      <c r="AB400" s="305" t="s">
        <v>939</v>
      </c>
      <c r="AC400" s="304">
        <f>Z400/J400-1</f>
        <v>5.3368646465586478E-2</v>
      </c>
    </row>
    <row r="401" spans="1:29" ht="16.5" thickTop="1">
      <c r="A401" s="292">
        <v>1</v>
      </c>
    </row>
    <row r="402" spans="1:29">
      <c r="B402" s="314" t="s">
        <v>950</v>
      </c>
    </row>
    <row r="403" spans="1:29">
      <c r="B403" s="317" t="s">
        <v>1089</v>
      </c>
      <c r="D403" s="293">
        <f>'[7]BD-Redesign'!J22</f>
        <v>37.433333333333337</v>
      </c>
      <c r="E403" s="293">
        <f>E418</f>
        <v>48.191644746146238</v>
      </c>
      <c r="G403" s="318"/>
      <c r="H403" s="318"/>
      <c r="L403" s="318">
        <f t="shared" ref="L403:L413" si="226">L369</f>
        <v>55</v>
      </c>
      <c r="M403" s="318"/>
      <c r="N403" s="318">
        <f t="shared" ref="N403:N413" si="227">N369</f>
        <v>0</v>
      </c>
      <c r="O403" s="318"/>
      <c r="P403" s="318">
        <f t="shared" ref="P403:R413" si="228">P369</f>
        <v>0</v>
      </c>
      <c r="Q403" s="318"/>
      <c r="R403" s="318">
        <f t="shared" si="228"/>
        <v>55</v>
      </c>
      <c r="S403" s="318"/>
      <c r="T403" s="294">
        <f>ROUND($E403*L403,0)</f>
        <v>2651</v>
      </c>
      <c r="U403" s="319"/>
      <c r="V403" s="294">
        <f>ROUND($E403*N403,0)</f>
        <v>0</v>
      </c>
      <c r="W403" s="319"/>
      <c r="X403" s="294">
        <f>ROUND($E403*P403,0)</f>
        <v>0</v>
      </c>
      <c r="Y403" s="319"/>
      <c r="Z403" s="294">
        <f>ROUND($E403*R403,0)</f>
        <v>2651</v>
      </c>
      <c r="AB403" s="305"/>
      <c r="AC403" s="325"/>
    </row>
    <row r="404" spans="1:29">
      <c r="B404" s="317" t="s">
        <v>1090</v>
      </c>
      <c r="D404" s="293">
        <f>'[7]BD-Redesign'!J23</f>
        <v>9275</v>
      </c>
      <c r="E404" s="293">
        <f t="shared" ref="E404:E413" si="229">D404/$D$416*$E$416</f>
        <v>11186.801542080006</v>
      </c>
      <c r="F404" s="339"/>
      <c r="G404" s="376"/>
      <c r="H404" s="343"/>
      <c r="K404" s="339"/>
      <c r="L404" s="376">
        <f t="shared" si="226"/>
        <v>1.7867999999999999</v>
      </c>
      <c r="M404" s="343" t="s">
        <v>1062</v>
      </c>
      <c r="N404" s="376">
        <f t="shared" si="227"/>
        <v>19.766631654000651</v>
      </c>
      <c r="O404" s="343" t="s">
        <v>1062</v>
      </c>
      <c r="P404" s="376">
        <f t="shared" si="228"/>
        <v>1.3127</v>
      </c>
      <c r="Q404" s="343" t="s">
        <v>1062</v>
      </c>
      <c r="R404" s="376">
        <f t="shared" si="228"/>
        <v>22.86613165400065</v>
      </c>
      <c r="S404" s="343" t="s">
        <v>1062</v>
      </c>
      <c r="T404" s="294">
        <f>ROUND($E404*L404/100,0)</f>
        <v>200</v>
      </c>
      <c r="U404" s="346"/>
      <c r="V404" s="294">
        <f>ROUND($E404*N404/100,0)</f>
        <v>2211</v>
      </c>
      <c r="W404" s="346"/>
      <c r="X404" s="294">
        <f>ROUND($E404*P404/100,0)</f>
        <v>147</v>
      </c>
      <c r="Y404" s="346"/>
      <c r="Z404" s="294">
        <f>ROUND($E404*R404/100,0)</f>
        <v>2558</v>
      </c>
    </row>
    <row r="405" spans="1:29">
      <c r="B405" s="317" t="s">
        <v>1091</v>
      </c>
      <c r="D405" s="293">
        <f>'[7]BD-Redesign'!J24</f>
        <v>25125</v>
      </c>
      <c r="E405" s="293">
        <f t="shared" si="229"/>
        <v>30303.869406443147</v>
      </c>
      <c r="F405" s="339"/>
      <c r="G405" s="376"/>
      <c r="H405" s="343"/>
      <c r="K405" s="339"/>
      <c r="L405" s="376">
        <f t="shared" si="226"/>
        <v>1.7867999999999999</v>
      </c>
      <c r="M405" s="343" t="s">
        <v>1062</v>
      </c>
      <c r="N405" s="376">
        <f t="shared" si="227"/>
        <v>1.4732003384230001</v>
      </c>
      <c r="O405" s="343" t="s">
        <v>1062</v>
      </c>
      <c r="P405" s="376">
        <f t="shared" si="228"/>
        <v>1.3127</v>
      </c>
      <c r="Q405" s="343" t="s">
        <v>1062</v>
      </c>
      <c r="R405" s="376">
        <f t="shared" si="228"/>
        <v>4.5727003384230001</v>
      </c>
      <c r="S405" s="343" t="s">
        <v>1062</v>
      </c>
      <c r="T405" s="294">
        <f t="shared" ref="T405:T411" si="230">ROUND($E405*L405/100,0)</f>
        <v>541</v>
      </c>
      <c r="U405" s="346"/>
      <c r="V405" s="294">
        <f t="shared" ref="V405:V411" si="231">ROUND($E405*N405/100,0)</f>
        <v>446</v>
      </c>
      <c r="W405" s="346"/>
      <c r="X405" s="294">
        <f t="shared" ref="X405:X411" si="232">ROUND($E405*P405/100,0)</f>
        <v>398</v>
      </c>
      <c r="Y405" s="346"/>
      <c r="Z405" s="294">
        <f t="shared" ref="Z405:Z411" si="233">ROUND($E405*R405/100,0)</f>
        <v>1386</v>
      </c>
    </row>
    <row r="406" spans="1:29">
      <c r="B406" s="317" t="s">
        <v>1092</v>
      </c>
      <c r="D406" s="293">
        <f>'[7]BD-Redesign'!J25</f>
        <v>35390</v>
      </c>
      <c r="E406" s="293">
        <f t="shared" si="229"/>
        <v>42684.733862448673</v>
      </c>
      <c r="F406" s="339"/>
      <c r="G406" s="376"/>
      <c r="H406" s="343"/>
      <c r="K406" s="339"/>
      <c r="L406" s="376">
        <f t="shared" si="226"/>
        <v>1.7867999999999999</v>
      </c>
      <c r="M406" s="343" t="s">
        <v>1062</v>
      </c>
      <c r="N406" s="376">
        <f t="shared" si="227"/>
        <v>17.286999999999999</v>
      </c>
      <c r="O406" s="343" t="s">
        <v>1062</v>
      </c>
      <c r="P406" s="376">
        <f t="shared" si="228"/>
        <v>1.1617</v>
      </c>
      <c r="Q406" s="343" t="s">
        <v>1062</v>
      </c>
      <c r="R406" s="376">
        <f t="shared" si="228"/>
        <v>20.235499999999998</v>
      </c>
      <c r="S406" s="343" t="s">
        <v>1062</v>
      </c>
      <c r="T406" s="294">
        <f t="shared" si="230"/>
        <v>763</v>
      </c>
      <c r="U406" s="346"/>
      <c r="V406" s="294">
        <f t="shared" si="231"/>
        <v>7379</v>
      </c>
      <c r="W406" s="346"/>
      <c r="X406" s="294">
        <f t="shared" si="232"/>
        <v>496</v>
      </c>
      <c r="Y406" s="346"/>
      <c r="Z406" s="294">
        <f t="shared" si="233"/>
        <v>8637</v>
      </c>
    </row>
    <row r="407" spans="1:29">
      <c r="B407" s="317" t="s">
        <v>1093</v>
      </c>
      <c r="D407" s="293">
        <f>'[7]BD-Redesign'!J26</f>
        <v>145099.5</v>
      </c>
      <c r="E407" s="293">
        <f t="shared" si="229"/>
        <v>175008.01189811731</v>
      </c>
      <c r="F407" s="339"/>
      <c r="G407" s="376"/>
      <c r="H407" s="343"/>
      <c r="K407" s="339"/>
      <c r="L407" s="376">
        <f t="shared" si="226"/>
        <v>1.7867999999999999</v>
      </c>
      <c r="M407" s="343" t="s">
        <v>1062</v>
      </c>
      <c r="N407" s="376">
        <f t="shared" si="227"/>
        <v>1.0980999999999999</v>
      </c>
      <c r="O407" s="343" t="s">
        <v>1062</v>
      </c>
      <c r="P407" s="376">
        <f t="shared" si="228"/>
        <v>1.1617</v>
      </c>
      <c r="Q407" s="343" t="s">
        <v>1062</v>
      </c>
      <c r="R407" s="376">
        <f t="shared" si="228"/>
        <v>4.0465999999999998</v>
      </c>
      <c r="S407" s="343" t="s">
        <v>1062</v>
      </c>
      <c r="T407" s="294">
        <f t="shared" si="230"/>
        <v>3127</v>
      </c>
      <c r="U407" s="346"/>
      <c r="V407" s="294">
        <f t="shared" si="231"/>
        <v>1922</v>
      </c>
      <c r="W407" s="346"/>
      <c r="X407" s="294">
        <f t="shared" si="232"/>
        <v>2033</v>
      </c>
      <c r="Y407" s="346"/>
      <c r="Z407" s="294">
        <f t="shared" si="233"/>
        <v>7082</v>
      </c>
    </row>
    <row r="408" spans="1:29">
      <c r="B408" s="317" t="s">
        <v>1094</v>
      </c>
      <c r="D408" s="293">
        <f>'[7]BD-Redesign'!J27</f>
        <v>19104.057330130072</v>
      </c>
      <c r="E408" s="293">
        <f t="shared" si="229"/>
        <v>23041.865013550829</v>
      </c>
      <c r="F408" s="339"/>
      <c r="G408" s="376"/>
      <c r="H408" s="343"/>
      <c r="K408" s="339"/>
      <c r="L408" s="376">
        <f t="shared" si="226"/>
        <v>0</v>
      </c>
      <c r="M408" s="343" t="s">
        <v>1062</v>
      </c>
      <c r="N408" s="376">
        <f t="shared" si="227"/>
        <v>0</v>
      </c>
      <c r="O408" s="343" t="s">
        <v>1062</v>
      </c>
      <c r="P408" s="376">
        <f t="shared" si="228"/>
        <v>6</v>
      </c>
      <c r="Q408" s="343" t="s">
        <v>1062</v>
      </c>
      <c r="R408" s="376">
        <f t="shared" si="228"/>
        <v>6</v>
      </c>
      <c r="S408" s="343" t="s">
        <v>1062</v>
      </c>
      <c r="T408" s="294">
        <f t="shared" si="230"/>
        <v>0</v>
      </c>
      <c r="U408" s="346"/>
      <c r="V408" s="294">
        <f t="shared" si="231"/>
        <v>0</v>
      </c>
      <c r="W408" s="346"/>
      <c r="X408" s="294">
        <f t="shared" si="232"/>
        <v>1383</v>
      </c>
      <c r="Y408" s="346"/>
      <c r="Z408" s="294">
        <f t="shared" si="233"/>
        <v>1383</v>
      </c>
    </row>
    <row r="409" spans="1:29">
      <c r="B409" s="317" t="s">
        <v>1095</v>
      </c>
      <c r="D409" s="293">
        <f>'[7]BD-Redesign'!J28</f>
        <v>15295.942669869928</v>
      </c>
      <c r="E409" s="293">
        <f t="shared" si="229"/>
        <v>18448.805934972323</v>
      </c>
      <c r="F409" s="339"/>
      <c r="G409" s="376"/>
      <c r="H409" s="343"/>
      <c r="K409" s="339"/>
      <c r="L409" s="376">
        <f t="shared" si="226"/>
        <v>0</v>
      </c>
      <c r="M409" s="343" t="s">
        <v>1062</v>
      </c>
      <c r="N409" s="376">
        <f t="shared" si="227"/>
        <v>0</v>
      </c>
      <c r="O409" s="343" t="s">
        <v>1062</v>
      </c>
      <c r="P409" s="376">
        <f t="shared" si="228"/>
        <v>-2.3358000000000008</v>
      </c>
      <c r="Q409" s="343" t="s">
        <v>1062</v>
      </c>
      <c r="R409" s="376">
        <f t="shared" si="228"/>
        <v>-2.3358000000000008</v>
      </c>
      <c r="S409" s="343" t="s">
        <v>1062</v>
      </c>
      <c r="T409" s="294">
        <f t="shared" si="230"/>
        <v>0</v>
      </c>
      <c r="U409" s="346"/>
      <c r="V409" s="294">
        <f t="shared" si="231"/>
        <v>0</v>
      </c>
      <c r="W409" s="346"/>
      <c r="X409" s="294">
        <f t="shared" si="232"/>
        <v>-431</v>
      </c>
      <c r="Y409" s="346"/>
      <c r="Z409" s="294">
        <f t="shared" si="233"/>
        <v>-431</v>
      </c>
    </row>
    <row r="410" spans="1:29">
      <c r="B410" s="317" t="s">
        <v>1096</v>
      </c>
      <c r="D410" s="293">
        <f>'[7]BD-Redesign'!J29</f>
        <v>100234.93475251488</v>
      </c>
      <c r="E410" s="293">
        <f t="shared" si="229"/>
        <v>120895.77602800241</v>
      </c>
      <c r="F410" s="339"/>
      <c r="G410" s="376"/>
      <c r="H410" s="343"/>
      <c r="K410" s="339"/>
      <c r="L410" s="376">
        <f t="shared" si="226"/>
        <v>0</v>
      </c>
      <c r="M410" s="343" t="s">
        <v>1062</v>
      </c>
      <c r="N410" s="376">
        <f t="shared" si="227"/>
        <v>0</v>
      </c>
      <c r="O410" s="343" t="s">
        <v>1062</v>
      </c>
      <c r="P410" s="376">
        <f t="shared" si="228"/>
        <v>5.3097000000000003</v>
      </c>
      <c r="Q410" s="343" t="s">
        <v>1062</v>
      </c>
      <c r="R410" s="376">
        <f t="shared" si="228"/>
        <v>5.3097000000000003</v>
      </c>
      <c r="S410" s="343" t="s">
        <v>1062</v>
      </c>
      <c r="T410" s="294">
        <f t="shared" si="230"/>
        <v>0</v>
      </c>
      <c r="U410" s="346"/>
      <c r="V410" s="294">
        <f t="shared" si="231"/>
        <v>0</v>
      </c>
      <c r="W410" s="346"/>
      <c r="X410" s="294">
        <f t="shared" si="232"/>
        <v>6419</v>
      </c>
      <c r="Y410" s="346"/>
      <c r="Z410" s="294">
        <f t="shared" si="233"/>
        <v>6419</v>
      </c>
    </row>
    <row r="411" spans="1:29">
      <c r="B411" s="317" t="s">
        <v>1097</v>
      </c>
      <c r="D411" s="293">
        <f>'[7]BD-Redesign'!J30</f>
        <v>80254.565247485123</v>
      </c>
      <c r="E411" s="293">
        <f t="shared" si="229"/>
        <v>96796.969732563564</v>
      </c>
      <c r="F411" s="339"/>
      <c r="G411" s="376"/>
      <c r="H411" s="343"/>
      <c r="K411" s="339"/>
      <c r="L411" s="376">
        <f t="shared" si="226"/>
        <v>0</v>
      </c>
      <c r="M411" s="343" t="s">
        <v>1062</v>
      </c>
      <c r="N411" s="376">
        <f t="shared" si="227"/>
        <v>0</v>
      </c>
      <c r="O411" s="343" t="s">
        <v>1062</v>
      </c>
      <c r="P411" s="376">
        <f t="shared" si="228"/>
        <v>-2.0670999999999999</v>
      </c>
      <c r="Q411" s="343" t="s">
        <v>1062</v>
      </c>
      <c r="R411" s="376">
        <f t="shared" si="228"/>
        <v>-2.0670999999999999</v>
      </c>
      <c r="S411" s="343" t="s">
        <v>1062</v>
      </c>
      <c r="T411" s="294">
        <f t="shared" si="230"/>
        <v>0</v>
      </c>
      <c r="U411" s="346"/>
      <c r="V411" s="294">
        <f t="shared" si="231"/>
        <v>0</v>
      </c>
      <c r="W411" s="346"/>
      <c r="X411" s="294">
        <f t="shared" si="232"/>
        <v>-2001</v>
      </c>
      <c r="Y411" s="346"/>
      <c r="Z411" s="294">
        <f t="shared" si="233"/>
        <v>-2001</v>
      </c>
    </row>
    <row r="412" spans="1:29">
      <c r="B412" s="317" t="s">
        <v>1098</v>
      </c>
      <c r="D412" s="293">
        <f>'[7]BD-Redesign'!J31</f>
        <v>0</v>
      </c>
      <c r="E412" s="293">
        <f t="shared" si="229"/>
        <v>0</v>
      </c>
      <c r="G412" s="318"/>
      <c r="H412" s="318"/>
      <c r="L412" s="318">
        <f t="shared" si="226"/>
        <v>-0.61</v>
      </c>
      <c r="M412" s="318"/>
      <c r="N412" s="318">
        <f t="shared" si="227"/>
        <v>0</v>
      </c>
      <c r="O412" s="318"/>
      <c r="P412" s="318">
        <f t="shared" si="228"/>
        <v>0</v>
      </c>
      <c r="Q412" s="318"/>
      <c r="R412" s="318">
        <f t="shared" si="228"/>
        <v>-0.61</v>
      </c>
      <c r="S412" s="318"/>
      <c r="T412" s="294">
        <f>ROUND($E412*L412,0)</f>
        <v>0</v>
      </c>
      <c r="U412" s="319"/>
      <c r="V412" s="294">
        <f>ROUND($E412*N412,0)</f>
        <v>0</v>
      </c>
      <c r="W412" s="319"/>
      <c r="X412" s="294">
        <f>ROUND($E412*P412,0)</f>
        <v>0</v>
      </c>
      <c r="Y412" s="319"/>
      <c r="Z412" s="294">
        <f>ROUND($E412*R412,0)</f>
        <v>0</v>
      </c>
    </row>
    <row r="413" spans="1:29">
      <c r="B413" s="353" t="s">
        <v>1077</v>
      </c>
      <c r="D413" s="293">
        <f>'[7]BD-Redesign'!J32</f>
        <v>0</v>
      </c>
      <c r="E413" s="293">
        <f t="shared" si="229"/>
        <v>0</v>
      </c>
      <c r="G413" s="377"/>
      <c r="H413" s="343"/>
      <c r="L413" s="377">
        <f t="shared" si="226"/>
        <v>0</v>
      </c>
      <c r="M413" s="343" t="s">
        <v>1062</v>
      </c>
      <c r="N413" s="377">
        <f t="shared" si="227"/>
        <v>7.125</v>
      </c>
      <c r="O413" s="343" t="s">
        <v>1062</v>
      </c>
      <c r="P413" s="377">
        <f t="shared" si="228"/>
        <v>0</v>
      </c>
      <c r="Q413" s="343" t="s">
        <v>1062</v>
      </c>
      <c r="R413" s="377">
        <f t="shared" si="228"/>
        <v>7.125</v>
      </c>
      <c r="S413" s="343" t="s">
        <v>1062</v>
      </c>
      <c r="T413" s="294">
        <f>ROUND($E413*L413/100,0)</f>
        <v>0</v>
      </c>
      <c r="U413" s="346"/>
      <c r="V413" s="294">
        <f>ROUND($E413*N413/100,0)</f>
        <v>0</v>
      </c>
      <c r="W413" s="346"/>
      <c r="X413" s="294">
        <f>ROUND($E413*P413/100,0)</f>
        <v>0</v>
      </c>
      <c r="Y413" s="346"/>
      <c r="Z413" s="294">
        <f>ROUND($E413*R413/100,0)</f>
        <v>0</v>
      </c>
      <c r="AB413" s="305"/>
      <c r="AC413" s="325"/>
    </row>
    <row r="414" spans="1:29">
      <c r="B414" s="317" t="s">
        <v>1079</v>
      </c>
      <c r="G414" s="338"/>
      <c r="H414" s="339"/>
      <c r="L414" s="338"/>
      <c r="M414" s="339"/>
      <c r="N414" s="338"/>
      <c r="O414" s="339"/>
      <c r="P414" s="359" t="str">
        <f>$P$43</f>
        <v>Tax Year 1</v>
      </c>
      <c r="Q414" s="339"/>
      <c r="R414" s="338">
        <f>$R$979</f>
        <v>-2.7099999999999999E-2</v>
      </c>
      <c r="S414" s="339"/>
      <c r="Z414" s="294">
        <f>R414*SUM(Z404:Z407,Z413)</f>
        <v>-532.8673</v>
      </c>
    </row>
    <row r="415" spans="1:29">
      <c r="B415" s="317"/>
      <c r="G415" s="338"/>
      <c r="H415" s="339"/>
      <c r="L415" s="338"/>
      <c r="M415" s="339"/>
      <c r="N415" s="338"/>
      <c r="O415" s="339"/>
      <c r="P415" s="359" t="str">
        <f>$P$44</f>
        <v>Tax Year 2</v>
      </c>
      <c r="Q415" s="339"/>
      <c r="R415" s="338">
        <f>$R$980</f>
        <v>-1.3599999999999999E-2</v>
      </c>
      <c r="S415" s="339"/>
      <c r="Z415" s="294">
        <f>R415*SUM(Z404:Z407,Z413)</f>
        <v>-267.41679999999997</v>
      </c>
    </row>
    <row r="416" spans="1:29">
      <c r="B416" s="317" t="s">
        <v>945</v>
      </c>
      <c r="D416" s="293">
        <f>SUM(D408:D411,D413)</f>
        <v>214889.5</v>
      </c>
      <c r="E416" s="293">
        <f>E434</f>
        <v>259183.41670908913</v>
      </c>
      <c r="G416" s="318"/>
      <c r="H416" s="318"/>
      <c r="L416" s="318"/>
      <c r="M416" s="318"/>
      <c r="N416" s="318"/>
      <c r="O416" s="318"/>
      <c r="P416" s="318"/>
      <c r="Q416" s="318"/>
      <c r="R416" s="318"/>
      <c r="S416" s="318"/>
      <c r="T416" s="294">
        <f>SUM(T403:T413)</f>
        <v>7282</v>
      </c>
      <c r="U416" s="319"/>
      <c r="V416" s="294">
        <f>SUM(V403:V413)</f>
        <v>11958</v>
      </c>
      <c r="W416" s="319"/>
      <c r="X416" s="294">
        <f>SUM(X403:X413)</f>
        <v>8444</v>
      </c>
      <c r="Y416" s="319"/>
      <c r="Z416" s="294">
        <f>SUM(Z403:Z413)</f>
        <v>27684</v>
      </c>
      <c r="AB416" s="305" t="s">
        <v>939</v>
      </c>
      <c r="AC416" s="329">
        <f>Z416/Z434-1</f>
        <v>-0.28520526723470174</v>
      </c>
    </row>
    <row r="417" spans="2:29">
      <c r="B417" s="317"/>
      <c r="G417" s="318"/>
      <c r="H417" s="318"/>
      <c r="L417" s="318"/>
      <c r="M417" s="318"/>
      <c r="N417" s="318"/>
      <c r="O417" s="318"/>
      <c r="P417" s="318"/>
      <c r="Q417" s="318"/>
      <c r="R417" s="318"/>
      <c r="S417" s="318"/>
      <c r="T417" s="319"/>
      <c r="U417" s="319"/>
      <c r="V417" s="319"/>
      <c r="W417" s="319"/>
      <c r="X417" s="319"/>
      <c r="Y417" s="319"/>
      <c r="AB417" s="305"/>
      <c r="AC417" s="325"/>
    </row>
    <row r="418" spans="2:29">
      <c r="B418" s="317" t="s">
        <v>1089</v>
      </c>
      <c r="D418" s="293">
        <f>D403</f>
        <v>37.433333333333337</v>
      </c>
      <c r="E418" s="293">
        <f>D418*E804/D804</f>
        <v>48.191644746146238</v>
      </c>
      <c r="G418" s="339">
        <f>G384</f>
        <v>54</v>
      </c>
      <c r="H418" s="339"/>
      <c r="I418" s="294">
        <f t="shared" ref="I418:J420" si="234">ROUND($G418*D418,0)</f>
        <v>2021</v>
      </c>
      <c r="J418" s="294">
        <f t="shared" si="234"/>
        <v>2602</v>
      </c>
      <c r="L418" s="339">
        <f t="shared" ref="L418:L425" si="235">L384</f>
        <v>55</v>
      </c>
      <c r="M418" s="339"/>
      <c r="N418" s="339">
        <f t="shared" ref="N418:N425" si="236">N384</f>
        <v>0</v>
      </c>
      <c r="O418" s="339"/>
      <c r="P418" s="339">
        <f t="shared" ref="P418:P425" si="237">P384</f>
        <v>0</v>
      </c>
      <c r="Q418" s="339"/>
      <c r="R418" s="339">
        <f t="shared" ref="R418:R425" si="238">R384</f>
        <v>55</v>
      </c>
      <c r="S418" s="339"/>
      <c r="T418" s="294">
        <f>ROUND($E418*L418,0)</f>
        <v>2651</v>
      </c>
      <c r="U418" s="319"/>
      <c r="V418" s="294">
        <f>ROUND($E418*N418,0)</f>
        <v>0</v>
      </c>
      <c r="W418" s="319"/>
      <c r="X418" s="294">
        <f>ROUND($E418*P418,0)</f>
        <v>0</v>
      </c>
      <c r="Y418" s="319"/>
      <c r="Z418" s="294">
        <f>ROUND($E418*R418,0)</f>
        <v>2651</v>
      </c>
    </row>
    <row r="419" spans="2:29">
      <c r="B419" s="317" t="s">
        <v>1099</v>
      </c>
      <c r="D419" s="293">
        <v>0</v>
      </c>
      <c r="E419" s="293">
        <v>0</v>
      </c>
      <c r="G419" s="339">
        <f>G385</f>
        <v>648</v>
      </c>
      <c r="H419" s="339"/>
      <c r="I419" s="294">
        <f t="shared" si="234"/>
        <v>0</v>
      </c>
      <c r="J419" s="294">
        <f t="shared" si="234"/>
        <v>0</v>
      </c>
      <c r="L419" s="339">
        <f t="shared" si="235"/>
        <v>660</v>
      </c>
      <c r="M419" s="339"/>
      <c r="N419" s="339">
        <f t="shared" si="236"/>
        <v>0</v>
      </c>
      <c r="O419" s="339"/>
      <c r="P419" s="339">
        <f t="shared" si="237"/>
        <v>0</v>
      </c>
      <c r="Q419" s="339"/>
      <c r="R419" s="339">
        <f t="shared" si="238"/>
        <v>660</v>
      </c>
      <c r="S419" s="339"/>
      <c r="T419" s="294">
        <f t="shared" ref="T419:T423" si="239">ROUND($E419*L419,0)</f>
        <v>0</v>
      </c>
      <c r="U419" s="319"/>
      <c r="V419" s="294">
        <f t="shared" ref="V419:V423" si="240">ROUND($E419*N419,0)</f>
        <v>0</v>
      </c>
      <c r="W419" s="319"/>
      <c r="X419" s="294">
        <f t="shared" ref="X419:X423" si="241">ROUND($E419*P419,0)</f>
        <v>0</v>
      </c>
      <c r="Y419" s="319"/>
      <c r="Z419" s="294">
        <f t="shared" ref="Z419:Z423" si="242">ROUND($E419*R419,0)</f>
        <v>0</v>
      </c>
    </row>
    <row r="420" spans="2:29">
      <c r="B420" s="317" t="s">
        <v>1100</v>
      </c>
      <c r="D420" s="293">
        <v>0</v>
      </c>
      <c r="E420" s="293">
        <v>0</v>
      </c>
      <c r="G420" s="339">
        <f>G386</f>
        <v>54</v>
      </c>
      <c r="H420" s="339"/>
      <c r="I420" s="294">
        <f t="shared" si="234"/>
        <v>0</v>
      </c>
      <c r="J420" s="294">
        <f t="shared" si="234"/>
        <v>0</v>
      </c>
      <c r="L420" s="339">
        <f t="shared" si="235"/>
        <v>55</v>
      </c>
      <c r="M420" s="339"/>
      <c r="N420" s="339">
        <f t="shared" si="236"/>
        <v>0</v>
      </c>
      <c r="O420" s="339"/>
      <c r="P420" s="339">
        <f t="shared" si="237"/>
        <v>0</v>
      </c>
      <c r="Q420" s="339"/>
      <c r="R420" s="339">
        <f t="shared" si="238"/>
        <v>55</v>
      </c>
      <c r="S420" s="339"/>
      <c r="T420" s="294">
        <f t="shared" si="239"/>
        <v>0</v>
      </c>
      <c r="V420" s="294">
        <f t="shared" si="240"/>
        <v>0</v>
      </c>
      <c r="X420" s="294">
        <f t="shared" si="241"/>
        <v>0</v>
      </c>
      <c r="Z420" s="294">
        <f t="shared" si="242"/>
        <v>0</v>
      </c>
    </row>
    <row r="421" spans="2:29">
      <c r="B421" s="317" t="s">
        <v>1101</v>
      </c>
      <c r="D421" s="293">
        <f>'[7]BD-Redesign'!J55</f>
        <v>1329.6670792079208</v>
      </c>
      <c r="E421" s="293">
        <f>ROUND(D421/D434*E434,0)</f>
        <v>1604</v>
      </c>
      <c r="G421" s="339">
        <f>G387</f>
        <v>4.04</v>
      </c>
      <c r="H421" s="339"/>
      <c r="I421" s="294">
        <f>ROUND($G421*D421,0)</f>
        <v>5372</v>
      </c>
      <c r="J421" s="294">
        <f>ROUND($G421*E421,0)</f>
        <v>6480</v>
      </c>
      <c r="L421" s="339">
        <f t="shared" si="235"/>
        <v>4.1100000000000003</v>
      </c>
      <c r="M421" s="339"/>
      <c r="N421" s="339">
        <f t="shared" si="236"/>
        <v>0</v>
      </c>
      <c r="O421" s="339"/>
      <c r="P421" s="339">
        <f t="shared" si="237"/>
        <v>0</v>
      </c>
      <c r="Q421" s="339"/>
      <c r="R421" s="339">
        <f t="shared" si="238"/>
        <v>4.1100000000000003</v>
      </c>
      <c r="S421" s="339"/>
      <c r="T421" s="294">
        <f t="shared" si="239"/>
        <v>6592</v>
      </c>
      <c r="U421" s="319"/>
      <c r="V421" s="294">
        <f t="shared" si="240"/>
        <v>0</v>
      </c>
      <c r="W421" s="319"/>
      <c r="X421" s="294">
        <f t="shared" si="241"/>
        <v>0</v>
      </c>
      <c r="Y421" s="319"/>
      <c r="Z421" s="294">
        <f t="shared" si="242"/>
        <v>6592</v>
      </c>
    </row>
    <row r="422" spans="2:29">
      <c r="B422" s="317" t="s">
        <v>1102</v>
      </c>
      <c r="D422" s="293">
        <f>'[7]BD-Redesign'!J56</f>
        <v>371</v>
      </c>
      <c r="E422" s="293">
        <f>ROUND(D422/D424*E424,0)</f>
        <v>447</v>
      </c>
      <c r="G422" s="339"/>
      <c r="H422" s="339"/>
      <c r="L422" s="339">
        <f t="shared" si="235"/>
        <v>0.73</v>
      </c>
      <c r="M422" s="339"/>
      <c r="N422" s="339">
        <f t="shared" si="236"/>
        <v>12.959999999999999</v>
      </c>
      <c r="O422" s="339"/>
      <c r="P422" s="339">
        <f t="shared" si="237"/>
        <v>0</v>
      </c>
      <c r="Q422" s="339"/>
      <c r="R422" s="339">
        <f t="shared" si="238"/>
        <v>13.69</v>
      </c>
      <c r="S422" s="339"/>
      <c r="T422" s="294">
        <f t="shared" si="239"/>
        <v>326</v>
      </c>
      <c r="V422" s="294">
        <f t="shared" si="240"/>
        <v>5793</v>
      </c>
      <c r="X422" s="294">
        <f t="shared" si="241"/>
        <v>0</v>
      </c>
      <c r="Z422" s="294">
        <f t="shared" si="242"/>
        <v>6119</v>
      </c>
    </row>
    <row r="423" spans="2:29">
      <c r="B423" s="317" t="s">
        <v>1103</v>
      </c>
      <c r="D423" s="293">
        <f>'[7]BD-Redesign'!J57</f>
        <v>958.66707920792078</v>
      </c>
      <c r="E423" s="293">
        <f>ROUND(D423/D425*E425,0)</f>
        <v>1156</v>
      </c>
      <c r="G423" s="339"/>
      <c r="H423" s="339"/>
      <c r="L423" s="339">
        <f t="shared" si="235"/>
        <v>0.64</v>
      </c>
      <c r="M423" s="339"/>
      <c r="N423" s="339">
        <f t="shared" si="236"/>
        <v>11.479999999999999</v>
      </c>
      <c r="O423" s="339"/>
      <c r="P423" s="339">
        <f t="shared" si="237"/>
        <v>0</v>
      </c>
      <c r="Q423" s="339"/>
      <c r="R423" s="339">
        <f t="shared" si="238"/>
        <v>12.12</v>
      </c>
      <c r="S423" s="339"/>
      <c r="T423" s="294">
        <f t="shared" si="239"/>
        <v>740</v>
      </c>
      <c r="V423" s="294">
        <f t="shared" si="240"/>
        <v>13271</v>
      </c>
      <c r="X423" s="294">
        <f t="shared" si="241"/>
        <v>0</v>
      </c>
      <c r="Z423" s="294">
        <f t="shared" si="242"/>
        <v>14011</v>
      </c>
    </row>
    <row r="424" spans="2:29">
      <c r="B424" s="317" t="s">
        <v>1104</v>
      </c>
      <c r="D424" s="293">
        <f>'[7]BD-Redesign'!J59</f>
        <v>34400</v>
      </c>
      <c r="E424" s="293">
        <f>E434-E425</f>
        <v>41490.416709089128</v>
      </c>
      <c r="G424" s="377"/>
      <c r="H424" s="343"/>
      <c r="L424" s="377">
        <f t="shared" si="235"/>
        <v>0</v>
      </c>
      <c r="M424" s="343" t="s">
        <v>1062</v>
      </c>
      <c r="N424" s="377">
        <f t="shared" si="236"/>
        <v>1.7162999999999999</v>
      </c>
      <c r="O424" s="343" t="s">
        <v>1062</v>
      </c>
      <c r="P424" s="377">
        <f t="shared" si="237"/>
        <v>2.279911334706</v>
      </c>
      <c r="Q424" s="343" t="s">
        <v>1062</v>
      </c>
      <c r="R424" s="377">
        <f t="shared" si="238"/>
        <v>3.996211334706</v>
      </c>
      <c r="S424" s="343" t="s">
        <v>1062</v>
      </c>
      <c r="T424" s="294">
        <f>ROUND($E424*L424/100,0)</f>
        <v>0</v>
      </c>
      <c r="U424" s="346"/>
      <c r="V424" s="294">
        <f>ROUND($E424*N424/100,0)</f>
        <v>712</v>
      </c>
      <c r="W424" s="346"/>
      <c r="X424" s="294">
        <f>ROUND($E424*P424/100,0)</f>
        <v>946</v>
      </c>
      <c r="Y424" s="346"/>
      <c r="Z424" s="294">
        <f>ROUND($E424*R424/100,0)</f>
        <v>1658</v>
      </c>
    </row>
    <row r="425" spans="2:29">
      <c r="B425" s="317" t="s">
        <v>1105</v>
      </c>
      <c r="D425" s="293">
        <f>'[7]BD-Redesign'!J60</f>
        <v>180489.5</v>
      </c>
      <c r="E425" s="293">
        <f>ROUND(D425/D434*E434,0)</f>
        <v>217693</v>
      </c>
      <c r="G425" s="377"/>
      <c r="H425" s="343"/>
      <c r="L425" s="377">
        <f t="shared" si="235"/>
        <v>0</v>
      </c>
      <c r="M425" s="343" t="s">
        <v>1062</v>
      </c>
      <c r="N425" s="377">
        <f t="shared" si="236"/>
        <v>1.5188999999999999</v>
      </c>
      <c r="O425" s="343" t="s">
        <v>1062</v>
      </c>
      <c r="P425" s="377">
        <f t="shared" si="237"/>
        <v>2.0175702077039999</v>
      </c>
      <c r="Q425" s="343" t="s">
        <v>1062</v>
      </c>
      <c r="R425" s="377">
        <f t="shared" si="238"/>
        <v>3.5364702077039998</v>
      </c>
      <c r="S425" s="343" t="s">
        <v>1062</v>
      </c>
      <c r="T425" s="294">
        <f>ROUND($E425*L425/100,0)</f>
        <v>0</v>
      </c>
      <c r="U425" s="346"/>
      <c r="V425" s="294">
        <f>ROUND($E425*N425/100,0)</f>
        <v>3307</v>
      </c>
      <c r="W425" s="346"/>
      <c r="X425" s="294">
        <f>ROUND($E425*P425/100,0)</f>
        <v>4392</v>
      </c>
      <c r="Y425" s="346"/>
      <c r="Z425" s="294">
        <f>ROUND($E425*R425/100,0)</f>
        <v>7699</v>
      </c>
    </row>
    <row r="426" spans="2:29">
      <c r="B426" s="317" t="s">
        <v>1106</v>
      </c>
      <c r="D426" s="293">
        <f>(D422+D423)*D783/(D783+D784)</f>
        <v>493.69099513980711</v>
      </c>
      <c r="E426" s="293">
        <f>ROUND(D426/D434*E434,0)</f>
        <v>595</v>
      </c>
      <c r="G426" s="339">
        <f>G392</f>
        <v>14.62</v>
      </c>
      <c r="H426" s="339"/>
      <c r="I426" s="294">
        <f t="shared" ref="I426:J428" si="243">ROUND($G426*D426,0)</f>
        <v>7218</v>
      </c>
      <c r="J426" s="294">
        <f t="shared" si="243"/>
        <v>8699</v>
      </c>
      <c r="L426" s="339"/>
      <c r="M426" s="339"/>
      <c r="N426" s="339"/>
      <c r="O426" s="339"/>
      <c r="P426" s="339"/>
      <c r="Q426" s="339"/>
      <c r="R426" s="339"/>
      <c r="S426" s="339"/>
      <c r="U426" s="319"/>
      <c r="W426" s="319"/>
      <c r="Y426" s="319"/>
    </row>
    <row r="427" spans="2:29">
      <c r="B427" s="317" t="s">
        <v>1107</v>
      </c>
      <c r="D427" s="293">
        <f>D422+D423-D426</f>
        <v>835.97608406811366</v>
      </c>
      <c r="E427" s="293">
        <f>ROUND(D427/D434*E434,0)</f>
        <v>1008</v>
      </c>
      <c r="G427" s="339">
        <f>G393</f>
        <v>10.91</v>
      </c>
      <c r="H427" s="339"/>
      <c r="I427" s="294">
        <f t="shared" si="243"/>
        <v>9120</v>
      </c>
      <c r="J427" s="294">
        <f t="shared" si="243"/>
        <v>10997</v>
      </c>
      <c r="L427" s="339"/>
      <c r="M427" s="339"/>
      <c r="N427" s="339"/>
      <c r="O427" s="339"/>
      <c r="P427" s="339"/>
      <c r="Q427" s="339"/>
      <c r="R427" s="339"/>
      <c r="S427" s="339"/>
      <c r="U427" s="319"/>
      <c r="W427" s="319"/>
      <c r="Y427" s="319"/>
    </row>
    <row r="428" spans="2:29">
      <c r="B428" s="317" t="s">
        <v>1098</v>
      </c>
      <c r="D428" s="293">
        <f>D412</f>
        <v>0</v>
      </c>
      <c r="E428" s="293">
        <f>E412</f>
        <v>0</v>
      </c>
      <c r="G428" s="339">
        <f>G394</f>
        <v>-0.96</v>
      </c>
      <c r="H428" s="339"/>
      <c r="I428" s="294">
        <f t="shared" si="243"/>
        <v>0</v>
      </c>
      <c r="J428" s="294">
        <f t="shared" si="243"/>
        <v>0</v>
      </c>
      <c r="L428" s="339">
        <f>L394</f>
        <v>-0.96</v>
      </c>
      <c r="M428" s="339"/>
      <c r="N428" s="339">
        <f>N394</f>
        <v>0</v>
      </c>
      <c r="O428" s="339"/>
      <c r="P428" s="339">
        <f>P394</f>
        <v>0</v>
      </c>
      <c r="Q428" s="339"/>
      <c r="R428" s="339">
        <f>R394</f>
        <v>-0.96</v>
      </c>
      <c r="S428" s="339"/>
      <c r="T428" s="294">
        <f t="shared" ref="T428" si="244">ROUND($E428*L428,0)</f>
        <v>0</v>
      </c>
      <c r="U428" s="319"/>
      <c r="V428" s="294">
        <f t="shared" ref="V428" si="245">ROUND($E428*N428,0)</f>
        <v>0</v>
      </c>
      <c r="W428" s="319"/>
      <c r="X428" s="294">
        <f t="shared" ref="X428" si="246">ROUND($E428*P428,0)</f>
        <v>0</v>
      </c>
      <c r="Y428" s="319"/>
      <c r="Z428" s="294">
        <f t="shared" ref="Z428" si="247">ROUND($E428*R428,0)</f>
        <v>0</v>
      </c>
    </row>
    <row r="429" spans="2:29">
      <c r="B429" s="317" t="s">
        <v>1108</v>
      </c>
      <c r="D429" s="293">
        <f>(D424+D425)*D725/(D725+D726)</f>
        <v>96272.600187557677</v>
      </c>
      <c r="E429" s="293">
        <f>ROUND(D429/D434*E434,0)</f>
        <v>116117</v>
      </c>
      <c r="G429" s="377">
        <f>G395</f>
        <v>3.8127</v>
      </c>
      <c r="H429" s="343" t="s">
        <v>1062</v>
      </c>
      <c r="I429" s="294">
        <f>ROUND($G429*D429/100,0)</f>
        <v>3671</v>
      </c>
      <c r="J429" s="294">
        <f>ROUND($G429*E429/100,0)</f>
        <v>4427</v>
      </c>
      <c r="L429" s="377"/>
      <c r="M429" s="343"/>
      <c r="N429" s="377"/>
      <c r="O429" s="343"/>
      <c r="P429" s="377"/>
      <c r="Q429" s="343"/>
      <c r="R429" s="377"/>
      <c r="S429" s="343"/>
      <c r="T429" s="346"/>
      <c r="U429" s="346"/>
      <c r="V429" s="346"/>
      <c r="W429" s="346"/>
      <c r="X429" s="346"/>
      <c r="Y429" s="346"/>
    </row>
    <row r="430" spans="2:29">
      <c r="B430" s="317" t="s">
        <v>1109</v>
      </c>
      <c r="D430" s="293">
        <f>D424+D425-D429</f>
        <v>118616.89981244232</v>
      </c>
      <c r="E430" s="293">
        <f>E434-E429</f>
        <v>143066.41670908913</v>
      </c>
      <c r="G430" s="377">
        <f>G396</f>
        <v>3.5143</v>
      </c>
      <c r="H430" s="343" t="s">
        <v>1062</v>
      </c>
      <c r="I430" s="294">
        <f>ROUND($G430*D430/100,0)</f>
        <v>4169</v>
      </c>
      <c r="J430" s="294">
        <f>ROUND($G430*E430/100,0)</f>
        <v>5028</v>
      </c>
      <c r="L430" s="377"/>
      <c r="M430" s="343"/>
      <c r="N430" s="377"/>
      <c r="O430" s="343"/>
      <c r="P430" s="377"/>
      <c r="Q430" s="343"/>
      <c r="R430" s="377"/>
      <c r="S430" s="343"/>
      <c r="T430" s="346"/>
      <c r="U430" s="346"/>
      <c r="V430" s="346"/>
      <c r="W430" s="346"/>
      <c r="X430" s="346"/>
      <c r="Y430" s="346"/>
    </row>
    <row r="431" spans="2:29">
      <c r="B431" s="317" t="s">
        <v>1078</v>
      </c>
      <c r="D431" s="357">
        <v>0</v>
      </c>
      <c r="E431" s="357">
        <v>0</v>
      </c>
      <c r="I431" s="358">
        <v>0</v>
      </c>
      <c r="J431" s="358">
        <v>0</v>
      </c>
      <c r="Z431" s="358"/>
    </row>
    <row r="432" spans="2:29">
      <c r="B432" s="317" t="s">
        <v>1079</v>
      </c>
      <c r="G432" s="338">
        <f>G398</f>
        <v>-3.61E-2</v>
      </c>
      <c r="H432" s="339"/>
      <c r="I432" s="294">
        <f>SUM(I426:I427,I429:I430)*$G432</f>
        <v>-872.82579999999996</v>
      </c>
      <c r="J432" s="294">
        <f>SUM(J426:J427,J429:J430)*$G432</f>
        <v>-1052.3511000000001</v>
      </c>
      <c r="L432" s="338"/>
      <c r="M432" s="339"/>
      <c r="N432" s="338"/>
      <c r="O432" s="339"/>
      <c r="P432" s="359" t="str">
        <f>$P$43</f>
        <v>Tax Year 1</v>
      </c>
      <c r="Q432" s="339"/>
      <c r="R432" s="338">
        <f>$R$687</f>
        <v>-2.4199999999999999E-2</v>
      </c>
      <c r="S432" s="339"/>
      <c r="Z432" s="294">
        <f>R432*SUM(Z422:Z425)</f>
        <v>-713.58539999999994</v>
      </c>
    </row>
    <row r="433" spans="2:29">
      <c r="B433" s="317"/>
      <c r="G433" s="338"/>
      <c r="H433" s="339"/>
      <c r="L433" s="338"/>
      <c r="M433" s="339"/>
      <c r="N433" s="338"/>
      <c r="O433" s="339"/>
      <c r="P433" s="359" t="str">
        <f>$P$44</f>
        <v>Tax Year 2</v>
      </c>
      <c r="Q433" s="339"/>
      <c r="R433" s="338">
        <f>$R$688</f>
        <v>-1.21E-2</v>
      </c>
      <c r="S433" s="339"/>
      <c r="Z433" s="294">
        <f>R433*SUM(Z422:Z425)</f>
        <v>-356.79269999999997</v>
      </c>
    </row>
    <row r="434" spans="2:29" ht="16.5" thickBot="1">
      <c r="B434" s="317" t="s">
        <v>937</v>
      </c>
      <c r="D434" s="381">
        <f>SUM(D429:D431)</f>
        <v>214889.5</v>
      </c>
      <c r="E434" s="381">
        <f>D434*E791/D791</f>
        <v>259183.41670908913</v>
      </c>
      <c r="G434" s="368"/>
      <c r="I434" s="369">
        <f>SUM(I418:I432)</f>
        <v>30698.174200000001</v>
      </c>
      <c r="J434" s="369">
        <f>SUM(J418:J432)</f>
        <v>37180.6489</v>
      </c>
      <c r="L434" s="368"/>
      <c r="N434" s="368"/>
      <c r="P434" s="368"/>
      <c r="R434" s="368"/>
      <c r="T434" s="369">
        <f>SUM(T418:T431)</f>
        <v>10309</v>
      </c>
      <c r="V434" s="369">
        <f>SUM(V418:V431)</f>
        <v>23083</v>
      </c>
      <c r="X434" s="369">
        <f>SUM(X418:X431)</f>
        <v>5338</v>
      </c>
      <c r="Z434" s="369">
        <f>SUM(Z418:Z431)</f>
        <v>38730</v>
      </c>
      <c r="AB434" s="305" t="s">
        <v>939</v>
      </c>
      <c r="AC434" s="304">
        <f>Z434/J434-1</f>
        <v>4.1670899939564965E-2</v>
      </c>
    </row>
    <row r="435" spans="2:29" ht="16.5" thickTop="1"/>
    <row r="436" spans="2:29">
      <c r="B436" s="314" t="s">
        <v>951</v>
      </c>
    </row>
    <row r="437" spans="2:29">
      <c r="B437" s="317" t="s">
        <v>1089</v>
      </c>
      <c r="D437" s="293">
        <f>'[7]BD-Redesign'!H22</f>
        <v>412.38333333333333</v>
      </c>
      <c r="E437" s="293">
        <f>E452</f>
        <v>520.77474317213728</v>
      </c>
      <c r="G437" s="318"/>
      <c r="H437" s="318"/>
      <c r="L437" s="318">
        <f t="shared" ref="L437:L447" si="248">L369</f>
        <v>55</v>
      </c>
      <c r="M437" s="318"/>
      <c r="N437" s="318">
        <f t="shared" ref="N437:N447" si="249">N369</f>
        <v>0</v>
      </c>
      <c r="O437" s="318"/>
      <c r="P437" s="318">
        <f t="shared" ref="P437:P447" si="250">P369</f>
        <v>0</v>
      </c>
      <c r="Q437" s="318"/>
      <c r="R437" s="318">
        <f t="shared" ref="R437:R447" si="251">R369</f>
        <v>55</v>
      </c>
      <c r="S437" s="318"/>
      <c r="T437" s="294">
        <f>ROUND($E437*L437,0)</f>
        <v>28643</v>
      </c>
      <c r="U437" s="319"/>
      <c r="V437" s="294">
        <f>ROUND($E437*N437,0)</f>
        <v>0</v>
      </c>
      <c r="W437" s="319"/>
      <c r="X437" s="294">
        <f>ROUND($E437*P437,0)</f>
        <v>0</v>
      </c>
      <c r="Y437" s="319"/>
      <c r="Z437" s="294">
        <f>ROUND($E437*R437,0)</f>
        <v>28643</v>
      </c>
      <c r="AB437" s="305"/>
      <c r="AC437" s="325"/>
    </row>
    <row r="438" spans="2:29">
      <c r="B438" s="317" t="s">
        <v>1090</v>
      </c>
      <c r="D438" s="293">
        <f>'[7]BD-Redesign'!H23</f>
        <v>471759</v>
      </c>
      <c r="E438" s="293">
        <f>D438/$D$416*$E$416</f>
        <v>568999.92546524224</v>
      </c>
      <c r="F438" s="339"/>
      <c r="G438" s="376"/>
      <c r="H438" s="343"/>
      <c r="K438" s="339"/>
      <c r="L438" s="376">
        <f t="shared" si="248"/>
        <v>1.7867999999999999</v>
      </c>
      <c r="M438" s="343" t="s">
        <v>1062</v>
      </c>
      <c r="N438" s="376">
        <f t="shared" si="249"/>
        <v>19.766631654000651</v>
      </c>
      <c r="O438" s="343" t="s">
        <v>1062</v>
      </c>
      <c r="P438" s="376">
        <f t="shared" si="250"/>
        <v>1.3127</v>
      </c>
      <c r="Q438" s="343" t="s">
        <v>1062</v>
      </c>
      <c r="R438" s="376">
        <f t="shared" si="251"/>
        <v>22.86613165400065</v>
      </c>
      <c r="S438" s="343" t="s">
        <v>1062</v>
      </c>
      <c r="T438" s="294">
        <f>ROUND($E438*L438/100,0)</f>
        <v>10167</v>
      </c>
      <c r="U438" s="346"/>
      <c r="V438" s="294">
        <f>ROUND($E438*N438/100,0)</f>
        <v>112472</v>
      </c>
      <c r="W438" s="346"/>
      <c r="X438" s="294">
        <f>ROUND($E438*P438/100,0)</f>
        <v>7469</v>
      </c>
      <c r="Y438" s="346"/>
      <c r="Z438" s="294">
        <f>ROUND($E438*R438/100,0)</f>
        <v>130108</v>
      </c>
    </row>
    <row r="439" spans="2:29">
      <c r="B439" s="317" t="s">
        <v>1091</v>
      </c>
      <c r="D439" s="293">
        <f>'[7]BD-Redesign'!H24</f>
        <v>1131389</v>
      </c>
      <c r="E439" s="293">
        <f t="shared" ref="E439:E447" si="252">D439/$D$416*$E$416</f>
        <v>1364595.6021447284</v>
      </c>
      <c r="F439" s="339"/>
      <c r="G439" s="376"/>
      <c r="H439" s="343"/>
      <c r="K439" s="339"/>
      <c r="L439" s="376">
        <f t="shared" si="248"/>
        <v>1.7867999999999999</v>
      </c>
      <c r="M439" s="343" t="s">
        <v>1062</v>
      </c>
      <c r="N439" s="376">
        <f t="shared" si="249"/>
        <v>1.4732003384230001</v>
      </c>
      <c r="O439" s="343" t="s">
        <v>1062</v>
      </c>
      <c r="P439" s="376">
        <f t="shared" si="250"/>
        <v>1.3127</v>
      </c>
      <c r="Q439" s="343" t="s">
        <v>1062</v>
      </c>
      <c r="R439" s="376">
        <f t="shared" si="251"/>
        <v>4.5727003384230001</v>
      </c>
      <c r="S439" s="343" t="s">
        <v>1062</v>
      </c>
      <c r="T439" s="294">
        <f t="shared" ref="T439:T445" si="253">ROUND($E439*L439/100,0)</f>
        <v>24383</v>
      </c>
      <c r="U439" s="346"/>
      <c r="V439" s="294">
        <f t="shared" ref="V439:V445" si="254">ROUND($E439*N439/100,0)</f>
        <v>20103</v>
      </c>
      <c r="W439" s="346"/>
      <c r="X439" s="294">
        <f t="shared" ref="X439:X445" si="255">ROUND($E439*P439/100,0)</f>
        <v>17913</v>
      </c>
      <c r="Y439" s="346"/>
      <c r="Z439" s="294">
        <f t="shared" ref="Z439:Z445" si="256">ROUND($E439*R439/100,0)</f>
        <v>62399</v>
      </c>
    </row>
    <row r="440" spans="2:29">
      <c r="B440" s="317" t="s">
        <v>1092</v>
      </c>
      <c r="D440" s="293">
        <f>'[7]BD-Redesign'!H25</f>
        <v>798767.5</v>
      </c>
      <c r="E440" s="293">
        <f t="shared" si="252"/>
        <v>963412.77636262984</v>
      </c>
      <c r="F440" s="339"/>
      <c r="G440" s="376"/>
      <c r="H440" s="343"/>
      <c r="K440" s="339"/>
      <c r="L440" s="376">
        <f t="shared" si="248"/>
        <v>1.7867999999999999</v>
      </c>
      <c r="M440" s="343" t="s">
        <v>1062</v>
      </c>
      <c r="N440" s="376">
        <f t="shared" si="249"/>
        <v>17.286999999999999</v>
      </c>
      <c r="O440" s="343" t="s">
        <v>1062</v>
      </c>
      <c r="P440" s="376">
        <f t="shared" si="250"/>
        <v>1.1617</v>
      </c>
      <c r="Q440" s="343" t="s">
        <v>1062</v>
      </c>
      <c r="R440" s="376">
        <f t="shared" si="251"/>
        <v>20.235499999999998</v>
      </c>
      <c r="S440" s="343" t="s">
        <v>1062</v>
      </c>
      <c r="T440" s="294">
        <f t="shared" si="253"/>
        <v>17214</v>
      </c>
      <c r="U440" s="346"/>
      <c r="V440" s="294">
        <f t="shared" si="254"/>
        <v>166545</v>
      </c>
      <c r="W440" s="346"/>
      <c r="X440" s="294">
        <f t="shared" si="255"/>
        <v>11192</v>
      </c>
      <c r="Y440" s="346"/>
      <c r="Z440" s="294">
        <f t="shared" si="256"/>
        <v>194951</v>
      </c>
    </row>
    <row r="441" spans="2:29">
      <c r="B441" s="317" t="s">
        <v>1093</v>
      </c>
      <c r="D441" s="293">
        <f>'[7]BD-Redesign'!H26</f>
        <v>2071239.9999999998</v>
      </c>
      <c r="E441" s="293">
        <f t="shared" si="252"/>
        <v>2498172.5957970666</v>
      </c>
      <c r="F441" s="339"/>
      <c r="G441" s="376"/>
      <c r="H441" s="343"/>
      <c r="K441" s="339"/>
      <c r="L441" s="376">
        <f t="shared" si="248"/>
        <v>1.7867999999999999</v>
      </c>
      <c r="M441" s="343" t="s">
        <v>1062</v>
      </c>
      <c r="N441" s="376">
        <f t="shared" si="249"/>
        <v>1.0980999999999999</v>
      </c>
      <c r="O441" s="343" t="s">
        <v>1062</v>
      </c>
      <c r="P441" s="376">
        <f t="shared" si="250"/>
        <v>1.1617</v>
      </c>
      <c r="Q441" s="343" t="s">
        <v>1062</v>
      </c>
      <c r="R441" s="376">
        <f t="shared" si="251"/>
        <v>4.0465999999999998</v>
      </c>
      <c r="S441" s="343" t="s">
        <v>1062</v>
      </c>
      <c r="T441" s="294">
        <f t="shared" si="253"/>
        <v>44637</v>
      </c>
      <c r="U441" s="346"/>
      <c r="V441" s="294">
        <f t="shared" si="254"/>
        <v>27432</v>
      </c>
      <c r="W441" s="346"/>
      <c r="X441" s="294">
        <f t="shared" si="255"/>
        <v>29021</v>
      </c>
      <c r="Y441" s="346"/>
      <c r="Z441" s="294">
        <f t="shared" si="256"/>
        <v>101091</v>
      </c>
    </row>
    <row r="442" spans="2:29">
      <c r="B442" s="317" t="s">
        <v>1094</v>
      </c>
      <c r="D442" s="293">
        <f>'[7]BD-Redesign'!H27</f>
        <v>890309.04943846958</v>
      </c>
      <c r="E442" s="293">
        <f t="shared" si="252"/>
        <v>1073823.2503704643</v>
      </c>
      <c r="F442" s="339"/>
      <c r="G442" s="376"/>
      <c r="H442" s="343"/>
      <c r="K442" s="339"/>
      <c r="L442" s="376">
        <f t="shared" si="248"/>
        <v>0</v>
      </c>
      <c r="M442" s="343" t="s">
        <v>1062</v>
      </c>
      <c r="N442" s="376">
        <f t="shared" si="249"/>
        <v>0</v>
      </c>
      <c r="O442" s="343" t="s">
        <v>1062</v>
      </c>
      <c r="P442" s="376">
        <f t="shared" si="250"/>
        <v>6</v>
      </c>
      <c r="Q442" s="343" t="s">
        <v>1062</v>
      </c>
      <c r="R442" s="376">
        <f t="shared" si="251"/>
        <v>6</v>
      </c>
      <c r="S442" s="343" t="s">
        <v>1062</v>
      </c>
      <c r="T442" s="294">
        <f t="shared" si="253"/>
        <v>0</v>
      </c>
      <c r="U442" s="346"/>
      <c r="V442" s="294">
        <f t="shared" si="254"/>
        <v>0</v>
      </c>
      <c r="W442" s="346"/>
      <c r="X442" s="294">
        <f t="shared" si="255"/>
        <v>64429</v>
      </c>
      <c r="Y442" s="346"/>
      <c r="Z442" s="294">
        <f t="shared" si="256"/>
        <v>64429</v>
      </c>
    </row>
    <row r="443" spans="2:29">
      <c r="B443" s="317" t="s">
        <v>1095</v>
      </c>
      <c r="D443" s="293">
        <f>'[7]BD-Redesign'!H28</f>
        <v>712838.95056153019</v>
      </c>
      <c r="E443" s="293">
        <f t="shared" si="252"/>
        <v>859772.27723950613</v>
      </c>
      <c r="F443" s="339"/>
      <c r="G443" s="376"/>
      <c r="H443" s="343"/>
      <c r="K443" s="339"/>
      <c r="L443" s="376">
        <f t="shared" si="248"/>
        <v>0</v>
      </c>
      <c r="M443" s="343" t="s">
        <v>1062</v>
      </c>
      <c r="N443" s="376">
        <f t="shared" si="249"/>
        <v>0</v>
      </c>
      <c r="O443" s="343" t="s">
        <v>1062</v>
      </c>
      <c r="P443" s="376">
        <f t="shared" si="250"/>
        <v>-2.3358000000000008</v>
      </c>
      <c r="Q443" s="343" t="s">
        <v>1062</v>
      </c>
      <c r="R443" s="376">
        <f t="shared" si="251"/>
        <v>-2.3358000000000008</v>
      </c>
      <c r="S443" s="343" t="s">
        <v>1062</v>
      </c>
      <c r="T443" s="294">
        <f t="shared" si="253"/>
        <v>0</v>
      </c>
      <c r="U443" s="346"/>
      <c r="V443" s="294">
        <f t="shared" si="254"/>
        <v>0</v>
      </c>
      <c r="W443" s="346"/>
      <c r="X443" s="294">
        <f t="shared" si="255"/>
        <v>-20083</v>
      </c>
      <c r="Y443" s="346"/>
      <c r="Z443" s="294">
        <f t="shared" si="256"/>
        <v>-20083</v>
      </c>
    </row>
    <row r="444" spans="2:29">
      <c r="B444" s="317" t="s">
        <v>1096</v>
      </c>
      <c r="D444" s="293">
        <f>'[7]BD-Redesign'!H29</f>
        <v>1593860.1109855603</v>
      </c>
      <c r="E444" s="293">
        <f t="shared" si="252"/>
        <v>1922393.1803162347</v>
      </c>
      <c r="F444" s="339"/>
      <c r="G444" s="376"/>
      <c r="H444" s="343"/>
      <c r="K444" s="339"/>
      <c r="L444" s="376">
        <f t="shared" si="248"/>
        <v>0</v>
      </c>
      <c r="M444" s="343" t="s">
        <v>1062</v>
      </c>
      <c r="N444" s="376">
        <f t="shared" si="249"/>
        <v>0</v>
      </c>
      <c r="O444" s="343" t="s">
        <v>1062</v>
      </c>
      <c r="P444" s="376">
        <f t="shared" si="250"/>
        <v>5.3097000000000003</v>
      </c>
      <c r="Q444" s="343" t="s">
        <v>1062</v>
      </c>
      <c r="R444" s="376">
        <f t="shared" si="251"/>
        <v>5.3097000000000003</v>
      </c>
      <c r="S444" s="343" t="s">
        <v>1062</v>
      </c>
      <c r="T444" s="294">
        <f t="shared" si="253"/>
        <v>0</v>
      </c>
      <c r="U444" s="346"/>
      <c r="V444" s="294">
        <f t="shared" si="254"/>
        <v>0</v>
      </c>
      <c r="W444" s="346"/>
      <c r="X444" s="294">
        <f t="shared" si="255"/>
        <v>102073</v>
      </c>
      <c r="Y444" s="346"/>
      <c r="Z444" s="294">
        <f t="shared" si="256"/>
        <v>102073</v>
      </c>
    </row>
    <row r="445" spans="2:29">
      <c r="B445" s="317" t="s">
        <v>1097</v>
      </c>
      <c r="D445" s="293">
        <f>'[7]BD-Redesign'!H30</f>
        <v>1276147.3890144394</v>
      </c>
      <c r="E445" s="293">
        <f t="shared" si="252"/>
        <v>1539192.1918434615</v>
      </c>
      <c r="F445" s="339"/>
      <c r="G445" s="376"/>
      <c r="H445" s="343"/>
      <c r="K445" s="339"/>
      <c r="L445" s="376">
        <f t="shared" si="248"/>
        <v>0</v>
      </c>
      <c r="M445" s="343" t="s">
        <v>1062</v>
      </c>
      <c r="N445" s="376">
        <f t="shared" si="249"/>
        <v>0</v>
      </c>
      <c r="O445" s="343" t="s">
        <v>1062</v>
      </c>
      <c r="P445" s="376">
        <f t="shared" si="250"/>
        <v>-2.0670999999999999</v>
      </c>
      <c r="Q445" s="343" t="s">
        <v>1062</v>
      </c>
      <c r="R445" s="376">
        <f t="shared" si="251"/>
        <v>-2.0670999999999999</v>
      </c>
      <c r="S445" s="343" t="s">
        <v>1062</v>
      </c>
      <c r="T445" s="294">
        <f t="shared" si="253"/>
        <v>0</v>
      </c>
      <c r="U445" s="346"/>
      <c r="V445" s="294">
        <f t="shared" si="254"/>
        <v>0</v>
      </c>
      <c r="W445" s="346"/>
      <c r="X445" s="294">
        <f t="shared" si="255"/>
        <v>-31817</v>
      </c>
      <c r="Y445" s="346"/>
      <c r="Z445" s="294">
        <f t="shared" si="256"/>
        <v>-31817</v>
      </c>
    </row>
    <row r="446" spans="2:29">
      <c r="B446" s="317" t="s">
        <v>1098</v>
      </c>
      <c r="D446" s="293">
        <f>'[7]BD-Redesign'!H31</f>
        <v>0</v>
      </c>
      <c r="E446" s="293">
        <f t="shared" si="252"/>
        <v>0</v>
      </c>
      <c r="G446" s="318"/>
      <c r="H446" s="318"/>
      <c r="L446" s="318">
        <f t="shared" si="248"/>
        <v>-0.61</v>
      </c>
      <c r="M446" s="318"/>
      <c r="N446" s="318">
        <f t="shared" si="249"/>
        <v>0</v>
      </c>
      <c r="O446" s="318"/>
      <c r="P446" s="318">
        <f t="shared" si="250"/>
        <v>0</v>
      </c>
      <c r="Q446" s="318"/>
      <c r="R446" s="318">
        <f t="shared" si="251"/>
        <v>-0.61</v>
      </c>
      <c r="S446" s="318"/>
      <c r="T446" s="294">
        <f>ROUND($E446*L446,0)</f>
        <v>0</v>
      </c>
      <c r="U446" s="319"/>
      <c r="V446" s="294">
        <f>ROUND($E446*N446,0)</f>
        <v>0</v>
      </c>
      <c r="W446" s="319"/>
      <c r="X446" s="294">
        <f>ROUND($E446*P446,0)</f>
        <v>0</v>
      </c>
      <c r="Y446" s="319"/>
      <c r="Z446" s="294">
        <f>ROUND($E446*R446,0)</f>
        <v>0</v>
      </c>
    </row>
    <row r="447" spans="2:29">
      <c r="B447" s="353" t="s">
        <v>1077</v>
      </c>
      <c r="D447" s="293">
        <f>'[7]BD-Redesign'!H32</f>
        <v>0</v>
      </c>
      <c r="E447" s="293">
        <f t="shared" si="252"/>
        <v>0</v>
      </c>
      <c r="G447" s="377"/>
      <c r="H447" s="343"/>
      <c r="L447" s="377">
        <f t="shared" si="248"/>
        <v>0</v>
      </c>
      <c r="M447" s="343" t="s">
        <v>1062</v>
      </c>
      <c r="N447" s="377">
        <f t="shared" si="249"/>
        <v>7.125</v>
      </c>
      <c r="O447" s="343" t="s">
        <v>1062</v>
      </c>
      <c r="P447" s="377">
        <f t="shared" si="250"/>
        <v>0</v>
      </c>
      <c r="Q447" s="343" t="s">
        <v>1062</v>
      </c>
      <c r="R447" s="377">
        <f t="shared" si="251"/>
        <v>7.125</v>
      </c>
      <c r="S447" s="343" t="s">
        <v>1062</v>
      </c>
      <c r="T447" s="294">
        <f>ROUND($E447*L447/100,0)</f>
        <v>0</v>
      </c>
      <c r="U447" s="346"/>
      <c r="V447" s="294">
        <f>ROUND($E447*N447/100,0)</f>
        <v>0</v>
      </c>
      <c r="W447" s="346"/>
      <c r="X447" s="294">
        <f>ROUND($E447*P447/100,0)</f>
        <v>0</v>
      </c>
      <c r="Y447" s="346"/>
      <c r="Z447" s="294">
        <f>ROUND($E447*R447/100,0)</f>
        <v>0</v>
      </c>
      <c r="AB447" s="305"/>
      <c r="AC447" s="325"/>
    </row>
    <row r="448" spans="2:29">
      <c r="B448" s="317" t="s">
        <v>1079</v>
      </c>
      <c r="G448" s="338"/>
      <c r="H448" s="339"/>
      <c r="L448" s="338"/>
      <c r="M448" s="339"/>
      <c r="N448" s="338"/>
      <c r="O448" s="339"/>
      <c r="P448" s="359" t="str">
        <f>$P$43</f>
        <v>Tax Year 1</v>
      </c>
      <c r="Q448" s="339"/>
      <c r="R448" s="338">
        <f>$R$979</f>
        <v>-2.7099999999999999E-2</v>
      </c>
      <c r="S448" s="339"/>
      <c r="Z448" s="294">
        <f>R448*SUM(Z438:Z441,Z447)</f>
        <v>-13239.677899999999</v>
      </c>
    </row>
    <row r="449" spans="2:29">
      <c r="B449" s="317"/>
      <c r="G449" s="338"/>
      <c r="H449" s="339"/>
      <c r="L449" s="338"/>
      <c r="M449" s="339"/>
      <c r="N449" s="338"/>
      <c r="O449" s="339"/>
      <c r="P449" s="359" t="str">
        <f>$P$44</f>
        <v>Tax Year 2</v>
      </c>
      <c r="Q449" s="339"/>
      <c r="R449" s="338">
        <f>$R$980</f>
        <v>-1.3599999999999999E-2</v>
      </c>
      <c r="S449" s="339"/>
      <c r="Z449" s="294">
        <f>R449*SUM(Z438:Z441,Z447)</f>
        <v>-6644.2663999999995</v>
      </c>
    </row>
    <row r="450" spans="2:29">
      <c r="B450" s="317" t="s">
        <v>945</v>
      </c>
      <c r="D450" s="293">
        <f>SUM(D442:D445,D447)</f>
        <v>4473155.5</v>
      </c>
      <c r="E450" s="293">
        <f>E468</f>
        <v>5758585.2212515902</v>
      </c>
      <c r="G450" s="318"/>
      <c r="H450" s="318"/>
      <c r="L450" s="318"/>
      <c r="M450" s="318"/>
      <c r="N450" s="318"/>
      <c r="O450" s="318"/>
      <c r="P450" s="318"/>
      <c r="Q450" s="318"/>
      <c r="R450" s="318"/>
      <c r="S450" s="318"/>
      <c r="T450" s="294">
        <f>SUM(T437:T447)</f>
        <v>125044</v>
      </c>
      <c r="U450" s="319"/>
      <c r="V450" s="294">
        <f>SUM(V437:V447)</f>
        <v>326552</v>
      </c>
      <c r="W450" s="319"/>
      <c r="X450" s="294">
        <f>SUM(X437:X447)</f>
        <v>180197</v>
      </c>
      <c r="Y450" s="319"/>
      <c r="Z450" s="294">
        <f>SUM(Z437:Z447)</f>
        <v>631794</v>
      </c>
      <c r="AB450" s="305" t="s">
        <v>939</v>
      </c>
      <c r="AC450" s="329">
        <f>Z450/Z468-1</f>
        <v>-0.30075083118251489</v>
      </c>
    </row>
    <row r="451" spans="2:29">
      <c r="B451" s="317"/>
      <c r="G451" s="318"/>
      <c r="H451" s="318"/>
      <c r="L451" s="318"/>
      <c r="M451" s="318"/>
      <c r="N451" s="318"/>
      <c r="O451" s="318"/>
      <c r="P451" s="318"/>
      <c r="Q451" s="318"/>
      <c r="R451" s="318"/>
      <c r="S451" s="318"/>
      <c r="T451" s="319"/>
      <c r="U451" s="319"/>
      <c r="V451" s="319"/>
      <c r="W451" s="319"/>
      <c r="X451" s="319"/>
      <c r="Y451" s="319"/>
      <c r="AB451" s="305"/>
      <c r="AC451" s="325"/>
    </row>
    <row r="452" spans="2:29">
      <c r="B452" s="317" t="s">
        <v>1089</v>
      </c>
      <c r="D452" s="293">
        <f>D437</f>
        <v>412.38333333333333</v>
      </c>
      <c r="E452" s="293">
        <f>D452*E794/D794</f>
        <v>520.77474317213728</v>
      </c>
      <c r="G452" s="339">
        <f>G384</f>
        <v>54</v>
      </c>
      <c r="H452" s="339"/>
      <c r="I452" s="294">
        <f t="shared" ref="I452:J454" si="257">ROUND($G452*D452,0)</f>
        <v>22269</v>
      </c>
      <c r="J452" s="294">
        <f t="shared" si="257"/>
        <v>28122</v>
      </c>
      <c r="L452" s="339">
        <f t="shared" ref="L452:L459" si="258">L384</f>
        <v>55</v>
      </c>
      <c r="M452" s="339"/>
      <c r="N452" s="339">
        <f t="shared" ref="N452:N459" si="259">N384</f>
        <v>0</v>
      </c>
      <c r="O452" s="339"/>
      <c r="P452" s="339">
        <f t="shared" ref="P452:P459" si="260">P384</f>
        <v>0</v>
      </c>
      <c r="Q452" s="339"/>
      <c r="R452" s="339">
        <f t="shared" ref="R452:R459" si="261">R384</f>
        <v>55</v>
      </c>
      <c r="S452" s="339"/>
      <c r="T452" s="294">
        <f>ROUND($E452*L452,0)</f>
        <v>28643</v>
      </c>
      <c r="U452" s="319"/>
      <c r="V452" s="294">
        <f>ROUND($E452*N452,0)</f>
        <v>0</v>
      </c>
      <c r="W452" s="319"/>
      <c r="X452" s="294">
        <f>ROUND($E452*P452,0)</f>
        <v>0</v>
      </c>
      <c r="Y452" s="319"/>
      <c r="Z452" s="294">
        <f>ROUND($E452*R452,0)</f>
        <v>28643</v>
      </c>
    </row>
    <row r="453" spans="2:29">
      <c r="B453" s="317" t="s">
        <v>1099</v>
      </c>
      <c r="D453" s="293">
        <v>0</v>
      </c>
      <c r="E453" s="293">
        <v>0</v>
      </c>
      <c r="G453" s="339">
        <f>G385</f>
        <v>648</v>
      </c>
      <c r="H453" s="339"/>
      <c r="I453" s="294">
        <f t="shared" si="257"/>
        <v>0</v>
      </c>
      <c r="J453" s="294">
        <f t="shared" si="257"/>
        <v>0</v>
      </c>
      <c r="L453" s="339">
        <f t="shared" si="258"/>
        <v>660</v>
      </c>
      <c r="M453" s="339"/>
      <c r="N453" s="339">
        <f t="shared" si="259"/>
        <v>0</v>
      </c>
      <c r="O453" s="339"/>
      <c r="P453" s="339">
        <f t="shared" si="260"/>
        <v>0</v>
      </c>
      <c r="Q453" s="339"/>
      <c r="R453" s="339">
        <f t="shared" si="261"/>
        <v>660</v>
      </c>
      <c r="S453" s="339"/>
      <c r="T453" s="294">
        <f t="shared" ref="T453:T457" si="262">ROUND($E453*L453,0)</f>
        <v>0</v>
      </c>
      <c r="U453" s="319"/>
      <c r="V453" s="294">
        <f t="shared" ref="V453:V457" si="263">ROUND($E453*N453,0)</f>
        <v>0</v>
      </c>
      <c r="W453" s="319"/>
      <c r="X453" s="294">
        <f t="shared" ref="X453:X457" si="264">ROUND($E453*P453,0)</f>
        <v>0</v>
      </c>
      <c r="Y453" s="319"/>
      <c r="Z453" s="294">
        <f t="shared" ref="Z453:Z457" si="265">ROUND($E453*R453,0)</f>
        <v>0</v>
      </c>
    </row>
    <row r="454" spans="2:29">
      <c r="B454" s="317" t="s">
        <v>1100</v>
      </c>
      <c r="D454" s="293">
        <v>0</v>
      </c>
      <c r="E454" s="293">
        <v>0</v>
      </c>
      <c r="G454" s="339">
        <f>G386</f>
        <v>54</v>
      </c>
      <c r="H454" s="339"/>
      <c r="I454" s="294">
        <f t="shared" si="257"/>
        <v>0</v>
      </c>
      <c r="J454" s="294">
        <f t="shared" si="257"/>
        <v>0</v>
      </c>
      <c r="L454" s="339">
        <f t="shared" si="258"/>
        <v>55</v>
      </c>
      <c r="M454" s="339"/>
      <c r="N454" s="339">
        <f t="shared" si="259"/>
        <v>0</v>
      </c>
      <c r="O454" s="339"/>
      <c r="P454" s="339">
        <f t="shared" si="260"/>
        <v>0</v>
      </c>
      <c r="Q454" s="339"/>
      <c r="R454" s="339">
        <f t="shared" si="261"/>
        <v>55</v>
      </c>
      <c r="S454" s="339"/>
      <c r="T454" s="294">
        <f t="shared" si="262"/>
        <v>0</v>
      </c>
      <c r="V454" s="294">
        <f t="shared" si="263"/>
        <v>0</v>
      </c>
      <c r="X454" s="294">
        <f t="shared" si="264"/>
        <v>0</v>
      </c>
      <c r="Z454" s="294">
        <f t="shared" si="265"/>
        <v>0</v>
      </c>
    </row>
    <row r="455" spans="2:29">
      <c r="B455" s="317" t="s">
        <v>1101</v>
      </c>
      <c r="D455" s="293">
        <f>'[7]BD-Redesign'!H55</f>
        <v>30550</v>
      </c>
      <c r="E455" s="293">
        <f>ROUND(D455/D468*E468,0)</f>
        <v>39329</v>
      </c>
      <c r="G455" s="339">
        <f>G387</f>
        <v>4.04</v>
      </c>
      <c r="H455" s="339"/>
      <c r="I455" s="294">
        <f>ROUND($G455*D455,0)</f>
        <v>123422</v>
      </c>
      <c r="J455" s="294">
        <f>ROUND($G455*E455,0)</f>
        <v>158889</v>
      </c>
      <c r="L455" s="339">
        <f t="shared" si="258"/>
        <v>4.1100000000000003</v>
      </c>
      <c r="M455" s="339"/>
      <c r="N455" s="339">
        <f t="shared" si="259"/>
        <v>0</v>
      </c>
      <c r="O455" s="339"/>
      <c r="P455" s="339">
        <f t="shared" si="260"/>
        <v>0</v>
      </c>
      <c r="Q455" s="339"/>
      <c r="R455" s="339">
        <f t="shared" si="261"/>
        <v>4.1100000000000003</v>
      </c>
      <c r="S455" s="339"/>
      <c r="T455" s="294">
        <f t="shared" si="262"/>
        <v>161642</v>
      </c>
      <c r="U455" s="319"/>
      <c r="V455" s="294">
        <f t="shared" si="263"/>
        <v>0</v>
      </c>
      <c r="W455" s="319"/>
      <c r="X455" s="294">
        <f t="shared" si="264"/>
        <v>0</v>
      </c>
      <c r="Y455" s="319"/>
      <c r="Z455" s="294">
        <f t="shared" si="265"/>
        <v>161642</v>
      </c>
    </row>
    <row r="456" spans="2:29">
      <c r="B456" s="317" t="s">
        <v>1102</v>
      </c>
      <c r="D456" s="293">
        <f>'[7]BD-Redesign'!H56</f>
        <v>11597.5</v>
      </c>
      <c r="E456" s="293">
        <f>ROUND(D456/D458*E458,0)</f>
        <v>14930</v>
      </c>
      <c r="G456" s="339"/>
      <c r="H456" s="339"/>
      <c r="L456" s="339">
        <f t="shared" si="258"/>
        <v>0.73</v>
      </c>
      <c r="M456" s="339"/>
      <c r="N456" s="339">
        <f t="shared" si="259"/>
        <v>12.959999999999999</v>
      </c>
      <c r="O456" s="339"/>
      <c r="P456" s="339">
        <f t="shared" si="260"/>
        <v>0</v>
      </c>
      <c r="Q456" s="339"/>
      <c r="R456" s="339">
        <f t="shared" si="261"/>
        <v>13.69</v>
      </c>
      <c r="S456" s="339"/>
      <c r="T456" s="294">
        <f t="shared" si="262"/>
        <v>10899</v>
      </c>
      <c r="V456" s="294">
        <f t="shared" si="263"/>
        <v>193493</v>
      </c>
      <c r="X456" s="294">
        <f t="shared" si="264"/>
        <v>0</v>
      </c>
      <c r="Z456" s="294">
        <f t="shared" si="265"/>
        <v>204392</v>
      </c>
    </row>
    <row r="457" spans="2:29">
      <c r="B457" s="317" t="s">
        <v>1103</v>
      </c>
      <c r="D457" s="293">
        <f>'[7]BD-Redesign'!H57</f>
        <v>18952.5</v>
      </c>
      <c r="E457" s="293">
        <f>ROUND(D457/D459*E459,0)</f>
        <v>24399</v>
      </c>
      <c r="G457" s="339"/>
      <c r="H457" s="339"/>
      <c r="L457" s="339">
        <f t="shared" si="258"/>
        <v>0.64</v>
      </c>
      <c r="M457" s="339"/>
      <c r="N457" s="339">
        <f t="shared" si="259"/>
        <v>11.479999999999999</v>
      </c>
      <c r="O457" s="339"/>
      <c r="P457" s="339">
        <f t="shared" si="260"/>
        <v>0</v>
      </c>
      <c r="Q457" s="339"/>
      <c r="R457" s="339">
        <f t="shared" si="261"/>
        <v>12.12</v>
      </c>
      <c r="S457" s="339"/>
      <c r="T457" s="294">
        <f t="shared" si="262"/>
        <v>15615</v>
      </c>
      <c r="V457" s="294">
        <f t="shared" si="263"/>
        <v>280101</v>
      </c>
      <c r="X457" s="294">
        <f t="shared" si="264"/>
        <v>0</v>
      </c>
      <c r="Z457" s="294">
        <f t="shared" si="265"/>
        <v>295716</v>
      </c>
    </row>
    <row r="458" spans="2:29">
      <c r="B458" s="317" t="s">
        <v>1104</v>
      </c>
      <c r="D458" s="293">
        <f>'[7]BD-Redesign'!H59</f>
        <v>1603148</v>
      </c>
      <c r="E458" s="293">
        <f>E468-E459</f>
        <v>2063837.2212515902</v>
      </c>
      <c r="G458" s="377"/>
      <c r="H458" s="343"/>
      <c r="L458" s="377">
        <f t="shared" si="258"/>
        <v>0</v>
      </c>
      <c r="M458" s="343" t="s">
        <v>1062</v>
      </c>
      <c r="N458" s="377">
        <f t="shared" si="259"/>
        <v>1.7162999999999999</v>
      </c>
      <c r="O458" s="343" t="s">
        <v>1062</v>
      </c>
      <c r="P458" s="377">
        <f t="shared" si="260"/>
        <v>2.279911334706</v>
      </c>
      <c r="Q458" s="343" t="s">
        <v>1062</v>
      </c>
      <c r="R458" s="377">
        <f t="shared" si="261"/>
        <v>3.996211334706</v>
      </c>
      <c r="S458" s="343" t="s">
        <v>1062</v>
      </c>
      <c r="T458" s="294">
        <f>ROUND($E458*L458/100,0)</f>
        <v>0</v>
      </c>
      <c r="U458" s="346"/>
      <c r="V458" s="294">
        <f>ROUND($E458*N458/100,0)</f>
        <v>35422</v>
      </c>
      <c r="W458" s="346"/>
      <c r="X458" s="294">
        <f>ROUND($E458*P458/100,0)</f>
        <v>47054</v>
      </c>
      <c r="Y458" s="346"/>
      <c r="Z458" s="294">
        <f>ROUND($E458*R458/100,0)</f>
        <v>82475</v>
      </c>
    </row>
    <row r="459" spans="2:29">
      <c r="B459" s="317" t="s">
        <v>1105</v>
      </c>
      <c r="D459" s="293">
        <f>'[7]BD-Redesign'!H60</f>
        <v>2870007.5</v>
      </c>
      <c r="E459" s="293">
        <f>ROUND(D459/D468*E468,0)</f>
        <v>3694748</v>
      </c>
      <c r="G459" s="377"/>
      <c r="H459" s="343"/>
      <c r="L459" s="377">
        <f t="shared" si="258"/>
        <v>0</v>
      </c>
      <c r="M459" s="343" t="s">
        <v>1062</v>
      </c>
      <c r="N459" s="377">
        <f t="shared" si="259"/>
        <v>1.5188999999999999</v>
      </c>
      <c r="O459" s="343" t="s">
        <v>1062</v>
      </c>
      <c r="P459" s="377">
        <f t="shared" si="260"/>
        <v>2.0175702077039999</v>
      </c>
      <c r="Q459" s="343" t="s">
        <v>1062</v>
      </c>
      <c r="R459" s="377">
        <f t="shared" si="261"/>
        <v>3.5364702077039998</v>
      </c>
      <c r="S459" s="343" t="s">
        <v>1062</v>
      </c>
      <c r="T459" s="294">
        <f>ROUND($E459*L459/100,0)</f>
        <v>0</v>
      </c>
      <c r="U459" s="346"/>
      <c r="V459" s="294">
        <f>ROUND($E459*N459/100,0)</f>
        <v>56120</v>
      </c>
      <c r="W459" s="346"/>
      <c r="X459" s="294">
        <f>ROUND($E459*P459/100,0)</f>
        <v>74544</v>
      </c>
      <c r="Y459" s="346"/>
      <c r="Z459" s="294">
        <f>ROUND($E459*R459/100,0)</f>
        <v>130664</v>
      </c>
    </row>
    <row r="460" spans="2:29">
      <c r="B460" s="317" t="s">
        <v>1106</v>
      </c>
      <c r="D460" s="293">
        <f>(D456+D457)*D817/(D817+D818)</f>
        <v>11898.50368279063</v>
      </c>
      <c r="E460" s="293">
        <f>ROUND(D460/D468*E468,0)</f>
        <v>15318</v>
      </c>
      <c r="G460" s="339">
        <f>G392</f>
        <v>14.62</v>
      </c>
      <c r="H460" s="339"/>
      <c r="I460" s="294">
        <f t="shared" ref="I460:J462" si="266">ROUND($G460*D460,0)</f>
        <v>173956</v>
      </c>
      <c r="J460" s="294">
        <f t="shared" si="266"/>
        <v>223949</v>
      </c>
      <c r="L460" s="339"/>
      <c r="M460" s="339"/>
      <c r="N460" s="339"/>
      <c r="O460" s="339"/>
      <c r="P460" s="339"/>
      <c r="Q460" s="339"/>
      <c r="R460" s="339"/>
      <c r="S460" s="339"/>
      <c r="U460" s="319"/>
      <c r="W460" s="319"/>
      <c r="Y460" s="319"/>
    </row>
    <row r="461" spans="2:29">
      <c r="B461" s="317" t="s">
        <v>1107</v>
      </c>
      <c r="D461" s="293">
        <f>D456+D457-D460</f>
        <v>18651.49631720937</v>
      </c>
      <c r="E461" s="293">
        <f>ROUND(D461/D468*E468,0)</f>
        <v>24011</v>
      </c>
      <c r="G461" s="339">
        <f>G393</f>
        <v>10.91</v>
      </c>
      <c r="H461" s="339"/>
      <c r="I461" s="294">
        <f t="shared" si="266"/>
        <v>203488</v>
      </c>
      <c r="J461" s="294">
        <f t="shared" si="266"/>
        <v>261960</v>
      </c>
      <c r="L461" s="339"/>
      <c r="M461" s="339"/>
      <c r="N461" s="339"/>
      <c r="O461" s="339"/>
      <c r="P461" s="339"/>
      <c r="Q461" s="339"/>
      <c r="R461" s="339"/>
      <c r="S461" s="339"/>
      <c r="U461" s="319"/>
      <c r="W461" s="319"/>
      <c r="Y461" s="319"/>
    </row>
    <row r="462" spans="2:29">
      <c r="B462" s="317" t="s">
        <v>1098</v>
      </c>
      <c r="D462" s="293">
        <f>D446</f>
        <v>0</v>
      </c>
      <c r="E462" s="293">
        <f>E446</f>
        <v>0</v>
      </c>
      <c r="G462" s="339">
        <f>G394</f>
        <v>-0.96</v>
      </c>
      <c r="H462" s="339"/>
      <c r="I462" s="294">
        <f t="shared" si="266"/>
        <v>0</v>
      </c>
      <c r="J462" s="294">
        <f t="shared" si="266"/>
        <v>0</v>
      </c>
      <c r="L462" s="339">
        <f>L394</f>
        <v>-0.96</v>
      </c>
      <c r="M462" s="339"/>
      <c r="N462" s="339">
        <f>N394</f>
        <v>0</v>
      </c>
      <c r="O462" s="339"/>
      <c r="P462" s="339">
        <f>P394</f>
        <v>0</v>
      </c>
      <c r="Q462" s="339"/>
      <c r="R462" s="339">
        <f>R394</f>
        <v>-0.96</v>
      </c>
      <c r="S462" s="339"/>
      <c r="T462" s="294">
        <f t="shared" ref="T462" si="267">ROUND($E462*L462,0)</f>
        <v>0</v>
      </c>
      <c r="U462" s="319"/>
      <c r="V462" s="294">
        <f t="shared" ref="V462" si="268">ROUND($E462*N462,0)</f>
        <v>0</v>
      </c>
      <c r="W462" s="319"/>
      <c r="X462" s="294">
        <f t="shared" ref="X462" si="269">ROUND($E462*P462,0)</f>
        <v>0</v>
      </c>
      <c r="Y462" s="319"/>
      <c r="Z462" s="294">
        <f t="shared" ref="Z462" si="270">ROUND($E462*R462,0)</f>
        <v>0</v>
      </c>
    </row>
    <row r="463" spans="2:29">
      <c r="B463" s="317" t="s">
        <v>1108</v>
      </c>
      <c r="D463" s="293">
        <f>(D458+D459)*D798/(D798+D799)</f>
        <v>1850523.9064960799</v>
      </c>
      <c r="E463" s="293">
        <f>ROUND(D463/D468*E468,0)</f>
        <v>2382300</v>
      </c>
      <c r="G463" s="377">
        <f>G395</f>
        <v>3.8127</v>
      </c>
      <c r="H463" s="343" t="s">
        <v>1062</v>
      </c>
      <c r="I463" s="294">
        <f>ROUND($G463*D463/100,0)</f>
        <v>70555</v>
      </c>
      <c r="J463" s="294">
        <f>ROUND($G463*E463/100,0)</f>
        <v>90830</v>
      </c>
      <c r="L463" s="377"/>
      <c r="M463" s="343"/>
      <c r="N463" s="377"/>
      <c r="O463" s="343"/>
      <c r="P463" s="377"/>
      <c r="Q463" s="343"/>
      <c r="R463" s="377"/>
      <c r="S463" s="343"/>
      <c r="T463" s="346"/>
      <c r="U463" s="346"/>
      <c r="V463" s="346"/>
      <c r="W463" s="346"/>
      <c r="X463" s="346"/>
      <c r="Y463" s="346"/>
    </row>
    <row r="464" spans="2:29">
      <c r="B464" s="317" t="s">
        <v>1109</v>
      </c>
      <c r="D464" s="293">
        <f>D458+D459-D463</f>
        <v>2622631.5935039204</v>
      </c>
      <c r="E464" s="293">
        <f>E468-E463</f>
        <v>3376285.2212515902</v>
      </c>
      <c r="G464" s="377">
        <f>G396</f>
        <v>3.5143</v>
      </c>
      <c r="H464" s="343" t="s">
        <v>1062</v>
      </c>
      <c r="I464" s="294">
        <f>ROUND($G464*D464/100,0)</f>
        <v>92167</v>
      </c>
      <c r="J464" s="294">
        <f>ROUND($G464*E464/100,0)</f>
        <v>118653</v>
      </c>
      <c r="L464" s="377"/>
      <c r="M464" s="343"/>
      <c r="N464" s="377"/>
      <c r="O464" s="343"/>
      <c r="P464" s="377"/>
      <c r="Q464" s="343"/>
      <c r="R464" s="377"/>
      <c r="S464" s="343"/>
      <c r="T464" s="346"/>
      <c r="U464" s="346"/>
      <c r="V464" s="346"/>
      <c r="W464" s="346"/>
      <c r="X464" s="346"/>
      <c r="Y464" s="346"/>
    </row>
    <row r="465" spans="2:29">
      <c r="B465" s="317" t="s">
        <v>1078</v>
      </c>
      <c r="D465" s="357">
        <v>0</v>
      </c>
      <c r="E465" s="357">
        <v>0</v>
      </c>
      <c r="I465" s="358">
        <v>0</v>
      </c>
      <c r="J465" s="358">
        <v>0</v>
      </c>
      <c r="Z465" s="358"/>
    </row>
    <row r="466" spans="2:29">
      <c r="B466" s="317" t="s">
        <v>1079</v>
      </c>
      <c r="G466" s="338">
        <f>G398</f>
        <v>-3.61E-2</v>
      </c>
      <c r="H466" s="339"/>
      <c r="I466" s="294">
        <f>SUM(I460:I461,I463:I464)*$G466</f>
        <v>-19499.992600000001</v>
      </c>
      <c r="J466" s="294">
        <f>SUM(J460:J461,J463:J464)*$G466</f>
        <v>-25103.6512</v>
      </c>
      <c r="L466" s="338"/>
      <c r="M466" s="339"/>
      <c r="N466" s="338"/>
      <c r="O466" s="339"/>
      <c r="P466" s="359" t="str">
        <f>$P$43</f>
        <v>Tax Year 1</v>
      </c>
      <c r="Q466" s="339"/>
      <c r="R466" s="338">
        <f>$R$687</f>
        <v>-2.4199999999999999E-2</v>
      </c>
      <c r="S466" s="339"/>
      <c r="Z466" s="294">
        <f>R466*SUM(Z456:Z459)</f>
        <v>-17260.577399999998</v>
      </c>
    </row>
    <row r="467" spans="2:29">
      <c r="B467" s="317"/>
      <c r="G467" s="338"/>
      <c r="H467" s="339"/>
      <c r="L467" s="338"/>
      <c r="M467" s="339"/>
      <c r="N467" s="338"/>
      <c r="O467" s="339"/>
      <c r="P467" s="359" t="str">
        <f>$P$44</f>
        <v>Tax Year 2</v>
      </c>
      <c r="Q467" s="339"/>
      <c r="R467" s="338">
        <f>$R$688</f>
        <v>-1.21E-2</v>
      </c>
      <c r="S467" s="339"/>
      <c r="Z467" s="294">
        <f>R467*SUM(Z456:Z459)</f>
        <v>-8630.2886999999992</v>
      </c>
    </row>
    <row r="468" spans="2:29" ht="16.5" thickBot="1">
      <c r="B468" s="317" t="s">
        <v>937</v>
      </c>
      <c r="D468" s="381">
        <f>SUM(D463:D465)</f>
        <v>4473155.5</v>
      </c>
      <c r="E468" s="381">
        <f>D468*E810/D810</f>
        <v>5758585.2212515902</v>
      </c>
      <c r="G468" s="368"/>
      <c r="I468" s="369">
        <f>SUM(I452:I466)</f>
        <v>666357.0074</v>
      </c>
      <c r="J468" s="369">
        <f>SUM(J452:J466)</f>
        <v>857299.34880000004</v>
      </c>
      <c r="L468" s="368"/>
      <c r="N468" s="368"/>
      <c r="P468" s="368"/>
      <c r="R468" s="368"/>
      <c r="T468" s="369">
        <f>SUM(T452:T465)</f>
        <v>216799</v>
      </c>
      <c r="V468" s="369">
        <f>SUM(V452:V465)</f>
        <v>565136</v>
      </c>
      <c r="X468" s="369">
        <f>SUM(X452:X465)</f>
        <v>121598</v>
      </c>
      <c r="Z468" s="369">
        <f>SUM(Z452:Z465)</f>
        <v>903532</v>
      </c>
      <c r="AB468" s="305" t="s">
        <v>939</v>
      </c>
      <c r="AC468" s="304">
        <f>Z468/J468-1</f>
        <v>5.3928247192434942E-2</v>
      </c>
    </row>
    <row r="469" spans="2:29" ht="16.5" thickTop="1"/>
    <row r="470" spans="2:29">
      <c r="B470" s="314" t="s">
        <v>952</v>
      </c>
    </row>
    <row r="471" spans="2:29">
      <c r="B471" s="317" t="s">
        <v>1089</v>
      </c>
      <c r="D471" s="293">
        <f>'[7]BD-Redesign'!I22</f>
        <v>12</v>
      </c>
      <c r="E471" s="293">
        <f>E486</f>
        <v>33</v>
      </c>
      <c r="G471" s="318"/>
      <c r="H471" s="318"/>
      <c r="L471" s="318">
        <f t="shared" ref="L471:L481" si="271">L369</f>
        <v>55</v>
      </c>
      <c r="M471" s="318"/>
      <c r="N471" s="318">
        <f t="shared" ref="N471:N481" si="272">N369</f>
        <v>0</v>
      </c>
      <c r="O471" s="318"/>
      <c r="P471" s="318">
        <f t="shared" ref="P471:P481" si="273">P369</f>
        <v>0</v>
      </c>
      <c r="Q471" s="318"/>
      <c r="R471" s="318">
        <f t="shared" ref="R471:R481" si="274">R369</f>
        <v>55</v>
      </c>
      <c r="S471" s="318"/>
      <c r="T471" s="294">
        <f>ROUND($E471*L471,0)</f>
        <v>1815</v>
      </c>
      <c r="U471" s="319"/>
      <c r="V471" s="294">
        <f>ROUND($E471*N471,0)</f>
        <v>0</v>
      </c>
      <c r="W471" s="319"/>
      <c r="X471" s="294">
        <f>ROUND($E471*P471,0)</f>
        <v>0</v>
      </c>
      <c r="Y471" s="319"/>
      <c r="Z471" s="294">
        <f>ROUND($E471*R471,0)</f>
        <v>1815</v>
      </c>
      <c r="AB471" s="305"/>
      <c r="AC471" s="325"/>
    </row>
    <row r="472" spans="2:29">
      <c r="B472" s="317" t="s">
        <v>1090</v>
      </c>
      <c r="D472" s="293">
        <f>'[7]BD-Redesign'!I23</f>
        <v>13275</v>
      </c>
      <c r="E472" s="293">
        <f t="shared" ref="E472:E481" si="275">D472/$D$484*$E$484</f>
        <v>37438.428809180441</v>
      </c>
      <c r="F472" s="339"/>
      <c r="G472" s="376"/>
      <c r="H472" s="343"/>
      <c r="K472" s="339"/>
      <c r="L472" s="376">
        <f t="shared" si="271"/>
        <v>1.7867999999999999</v>
      </c>
      <c r="M472" s="343" t="s">
        <v>1062</v>
      </c>
      <c r="N472" s="376">
        <f t="shared" si="272"/>
        <v>19.766631654000651</v>
      </c>
      <c r="O472" s="343" t="s">
        <v>1062</v>
      </c>
      <c r="P472" s="376">
        <f t="shared" si="273"/>
        <v>1.3127</v>
      </c>
      <c r="Q472" s="343" t="s">
        <v>1062</v>
      </c>
      <c r="R472" s="376">
        <f t="shared" si="274"/>
        <v>22.86613165400065</v>
      </c>
      <c r="S472" s="343" t="s">
        <v>1062</v>
      </c>
      <c r="T472" s="294">
        <f>ROUND($E472*L472/100,0)</f>
        <v>669</v>
      </c>
      <c r="U472" s="346"/>
      <c r="V472" s="294">
        <f>ROUND($E472*N472/100,0)</f>
        <v>7400</v>
      </c>
      <c r="W472" s="346"/>
      <c r="X472" s="294">
        <f>ROUND($E472*P472/100,0)</f>
        <v>491</v>
      </c>
      <c r="Y472" s="346"/>
      <c r="Z472" s="294">
        <f>ROUND($E472*R472/100,0)</f>
        <v>8561</v>
      </c>
    </row>
    <row r="473" spans="2:29">
      <c r="B473" s="317" t="s">
        <v>1091</v>
      </c>
      <c r="D473" s="293">
        <f>'[7]BD-Redesign'!I24</f>
        <v>26685</v>
      </c>
      <c r="E473" s="293">
        <f t="shared" si="275"/>
        <v>75257.587402861027</v>
      </c>
      <c r="F473" s="339"/>
      <c r="G473" s="376"/>
      <c r="H473" s="343"/>
      <c r="K473" s="339"/>
      <c r="L473" s="376">
        <f t="shared" si="271"/>
        <v>1.7867999999999999</v>
      </c>
      <c r="M473" s="343" t="s">
        <v>1062</v>
      </c>
      <c r="N473" s="376">
        <f t="shared" si="272"/>
        <v>1.4732003384230001</v>
      </c>
      <c r="O473" s="343" t="s">
        <v>1062</v>
      </c>
      <c r="P473" s="376">
        <f t="shared" si="273"/>
        <v>1.3127</v>
      </c>
      <c r="Q473" s="343" t="s">
        <v>1062</v>
      </c>
      <c r="R473" s="376">
        <f t="shared" si="274"/>
        <v>4.5727003384230001</v>
      </c>
      <c r="S473" s="343" t="s">
        <v>1062</v>
      </c>
      <c r="T473" s="294">
        <f t="shared" ref="T473:T479" si="276">ROUND($E473*L473/100,0)</f>
        <v>1345</v>
      </c>
      <c r="U473" s="346"/>
      <c r="V473" s="294">
        <f t="shared" ref="V473:V479" si="277">ROUND($E473*N473/100,0)</f>
        <v>1109</v>
      </c>
      <c r="W473" s="346"/>
      <c r="X473" s="294">
        <f t="shared" ref="X473:X479" si="278">ROUND($E473*P473/100,0)</f>
        <v>988</v>
      </c>
      <c r="Y473" s="346"/>
      <c r="Z473" s="294">
        <f t="shared" ref="Z473:Z479" si="279">ROUND($E473*R473/100,0)</f>
        <v>3441</v>
      </c>
    </row>
    <row r="474" spans="2:29">
      <c r="B474" s="317" t="s">
        <v>1092</v>
      </c>
      <c r="D474" s="293">
        <f>'[7]BD-Redesign'!I25</f>
        <v>22525</v>
      </c>
      <c r="E474" s="293">
        <f t="shared" si="275"/>
        <v>63525.469599004857</v>
      </c>
      <c r="F474" s="339"/>
      <c r="G474" s="376"/>
      <c r="H474" s="343"/>
      <c r="K474" s="339"/>
      <c r="L474" s="376">
        <f t="shared" si="271"/>
        <v>1.7867999999999999</v>
      </c>
      <c r="M474" s="343" t="s">
        <v>1062</v>
      </c>
      <c r="N474" s="376">
        <f t="shared" si="272"/>
        <v>17.286999999999999</v>
      </c>
      <c r="O474" s="343" t="s">
        <v>1062</v>
      </c>
      <c r="P474" s="376">
        <f t="shared" si="273"/>
        <v>1.1617</v>
      </c>
      <c r="Q474" s="343" t="s">
        <v>1062</v>
      </c>
      <c r="R474" s="376">
        <f t="shared" si="274"/>
        <v>20.235499999999998</v>
      </c>
      <c r="S474" s="343" t="s">
        <v>1062</v>
      </c>
      <c r="T474" s="294">
        <f t="shared" si="276"/>
        <v>1135</v>
      </c>
      <c r="U474" s="346"/>
      <c r="V474" s="294">
        <f t="shared" si="277"/>
        <v>10982</v>
      </c>
      <c r="W474" s="346"/>
      <c r="X474" s="294">
        <f t="shared" si="278"/>
        <v>738</v>
      </c>
      <c r="Y474" s="346"/>
      <c r="Z474" s="294">
        <f t="shared" si="279"/>
        <v>12855</v>
      </c>
    </row>
    <row r="475" spans="2:29">
      <c r="B475" s="317" t="s">
        <v>1093</v>
      </c>
      <c r="D475" s="293">
        <f>'[7]BD-Redesign'!I26</f>
        <v>46055</v>
      </c>
      <c r="E475" s="293">
        <f t="shared" si="275"/>
        <v>129885.26092706631</v>
      </c>
      <c r="F475" s="339"/>
      <c r="G475" s="376"/>
      <c r="H475" s="343"/>
      <c r="K475" s="339"/>
      <c r="L475" s="376">
        <f t="shared" si="271"/>
        <v>1.7867999999999999</v>
      </c>
      <c r="M475" s="343" t="s">
        <v>1062</v>
      </c>
      <c r="N475" s="376">
        <f t="shared" si="272"/>
        <v>1.0980999999999999</v>
      </c>
      <c r="O475" s="343" t="s">
        <v>1062</v>
      </c>
      <c r="P475" s="376">
        <f t="shared" si="273"/>
        <v>1.1617</v>
      </c>
      <c r="Q475" s="343" t="s">
        <v>1062</v>
      </c>
      <c r="R475" s="376">
        <f t="shared" si="274"/>
        <v>4.0465999999999998</v>
      </c>
      <c r="S475" s="343" t="s">
        <v>1062</v>
      </c>
      <c r="T475" s="294">
        <f t="shared" si="276"/>
        <v>2321</v>
      </c>
      <c r="U475" s="346"/>
      <c r="V475" s="294">
        <f t="shared" si="277"/>
        <v>1426</v>
      </c>
      <c r="W475" s="346"/>
      <c r="X475" s="294">
        <f t="shared" si="278"/>
        <v>1509</v>
      </c>
      <c r="Y475" s="346"/>
      <c r="Z475" s="294">
        <f t="shared" si="279"/>
        <v>5256</v>
      </c>
    </row>
    <row r="476" spans="2:29">
      <c r="B476" s="317" t="s">
        <v>1094</v>
      </c>
      <c r="D476" s="293">
        <f>'[7]BD-Redesign'!I27</f>
        <v>22191.806131162721</v>
      </c>
      <c r="E476" s="293">
        <f t="shared" si="275"/>
        <v>62585.789377677567</v>
      </c>
      <c r="F476" s="339"/>
      <c r="G476" s="376"/>
      <c r="H476" s="343"/>
      <c r="K476" s="339"/>
      <c r="L476" s="376">
        <f t="shared" si="271"/>
        <v>0</v>
      </c>
      <c r="M476" s="343" t="s">
        <v>1062</v>
      </c>
      <c r="N476" s="376">
        <f t="shared" si="272"/>
        <v>0</v>
      </c>
      <c r="O476" s="343" t="s">
        <v>1062</v>
      </c>
      <c r="P476" s="376">
        <f t="shared" si="273"/>
        <v>6</v>
      </c>
      <c r="Q476" s="343" t="s">
        <v>1062</v>
      </c>
      <c r="R476" s="376">
        <f t="shared" si="274"/>
        <v>6</v>
      </c>
      <c r="S476" s="343" t="s">
        <v>1062</v>
      </c>
      <c r="T476" s="294">
        <f t="shared" si="276"/>
        <v>0</v>
      </c>
      <c r="U476" s="346"/>
      <c r="V476" s="294">
        <f t="shared" si="277"/>
        <v>0</v>
      </c>
      <c r="W476" s="346"/>
      <c r="X476" s="294">
        <f t="shared" si="278"/>
        <v>3755</v>
      </c>
      <c r="Y476" s="346"/>
      <c r="Z476" s="294">
        <f t="shared" si="279"/>
        <v>3755</v>
      </c>
    </row>
    <row r="477" spans="2:29">
      <c r="B477" s="317" t="s">
        <v>1095</v>
      </c>
      <c r="D477" s="293">
        <f>'[7]BD-Redesign'!I28</f>
        <v>17768.193868837279</v>
      </c>
      <c r="E477" s="293">
        <f t="shared" si="275"/>
        <v>50110.226834363915</v>
      </c>
      <c r="F477" s="339"/>
      <c r="G477" s="376"/>
      <c r="H477" s="343"/>
      <c r="K477" s="339"/>
      <c r="L477" s="376">
        <f t="shared" si="271"/>
        <v>0</v>
      </c>
      <c r="M477" s="343" t="s">
        <v>1062</v>
      </c>
      <c r="N477" s="376">
        <f t="shared" si="272"/>
        <v>0</v>
      </c>
      <c r="O477" s="343" t="s">
        <v>1062</v>
      </c>
      <c r="P477" s="376">
        <f t="shared" si="273"/>
        <v>-2.3358000000000008</v>
      </c>
      <c r="Q477" s="343" t="s">
        <v>1062</v>
      </c>
      <c r="R477" s="376">
        <f t="shared" si="274"/>
        <v>-2.3358000000000008</v>
      </c>
      <c r="S477" s="343" t="s">
        <v>1062</v>
      </c>
      <c r="T477" s="294">
        <f t="shared" si="276"/>
        <v>0</v>
      </c>
      <c r="U477" s="346"/>
      <c r="V477" s="294">
        <f t="shared" si="277"/>
        <v>0</v>
      </c>
      <c r="W477" s="346"/>
      <c r="X477" s="294">
        <f t="shared" si="278"/>
        <v>-1170</v>
      </c>
      <c r="Y477" s="346"/>
      <c r="Z477" s="294">
        <f t="shared" si="279"/>
        <v>-1170</v>
      </c>
    </row>
    <row r="478" spans="2:29">
      <c r="B478" s="317" t="s">
        <v>1096</v>
      </c>
      <c r="D478" s="293">
        <f>'[7]BD-Redesign'!I29</f>
        <v>38085.937549427908</v>
      </c>
      <c r="E478" s="293">
        <f t="shared" si="275"/>
        <v>107410.74663466282</v>
      </c>
      <c r="F478" s="339"/>
      <c r="G478" s="376"/>
      <c r="H478" s="343"/>
      <c r="K478" s="339"/>
      <c r="L478" s="376">
        <f t="shared" si="271"/>
        <v>0</v>
      </c>
      <c r="M478" s="343" t="s">
        <v>1062</v>
      </c>
      <c r="N478" s="376">
        <f t="shared" si="272"/>
        <v>0</v>
      </c>
      <c r="O478" s="343" t="s">
        <v>1062</v>
      </c>
      <c r="P478" s="376">
        <f t="shared" si="273"/>
        <v>5.3097000000000003</v>
      </c>
      <c r="Q478" s="343" t="s">
        <v>1062</v>
      </c>
      <c r="R478" s="376">
        <f t="shared" si="274"/>
        <v>5.3097000000000003</v>
      </c>
      <c r="S478" s="343" t="s">
        <v>1062</v>
      </c>
      <c r="T478" s="294">
        <f t="shared" si="276"/>
        <v>0</v>
      </c>
      <c r="U478" s="346"/>
      <c r="V478" s="294">
        <f t="shared" si="277"/>
        <v>0</v>
      </c>
      <c r="W478" s="346"/>
      <c r="X478" s="294">
        <f t="shared" si="278"/>
        <v>5703</v>
      </c>
      <c r="Y478" s="346"/>
      <c r="Z478" s="294">
        <f t="shared" si="279"/>
        <v>5703</v>
      </c>
    </row>
    <row r="479" spans="2:29">
      <c r="B479" s="317" t="s">
        <v>1097</v>
      </c>
      <c r="D479" s="293">
        <f>'[7]BD-Redesign'!I30</f>
        <v>30494.062450572088</v>
      </c>
      <c r="E479" s="293">
        <f t="shared" si="275"/>
        <v>85999.983891408338</v>
      </c>
      <c r="F479" s="339"/>
      <c r="G479" s="376"/>
      <c r="H479" s="343"/>
      <c r="K479" s="339"/>
      <c r="L479" s="376">
        <f t="shared" si="271"/>
        <v>0</v>
      </c>
      <c r="M479" s="343" t="s">
        <v>1062</v>
      </c>
      <c r="N479" s="376">
        <f t="shared" si="272"/>
        <v>0</v>
      </c>
      <c r="O479" s="343" t="s">
        <v>1062</v>
      </c>
      <c r="P479" s="376">
        <f t="shared" si="273"/>
        <v>-2.0670999999999999</v>
      </c>
      <c r="Q479" s="343" t="s">
        <v>1062</v>
      </c>
      <c r="R479" s="376">
        <f t="shared" si="274"/>
        <v>-2.0670999999999999</v>
      </c>
      <c r="S479" s="343" t="s">
        <v>1062</v>
      </c>
      <c r="T479" s="294">
        <f t="shared" si="276"/>
        <v>0</v>
      </c>
      <c r="U479" s="346"/>
      <c r="V479" s="294">
        <f t="shared" si="277"/>
        <v>0</v>
      </c>
      <c r="W479" s="346"/>
      <c r="X479" s="294">
        <f t="shared" si="278"/>
        <v>-1778</v>
      </c>
      <c r="Y479" s="346"/>
      <c r="Z479" s="294">
        <f t="shared" si="279"/>
        <v>-1778</v>
      </c>
    </row>
    <row r="480" spans="2:29">
      <c r="B480" s="317" t="s">
        <v>1098</v>
      </c>
      <c r="D480" s="293">
        <f>'[7]BD-Redesign'!I31</f>
        <v>0</v>
      </c>
      <c r="E480" s="293">
        <f t="shared" si="275"/>
        <v>0</v>
      </c>
      <c r="G480" s="318"/>
      <c r="H480" s="318"/>
      <c r="L480" s="318">
        <f t="shared" si="271"/>
        <v>-0.61</v>
      </c>
      <c r="M480" s="318"/>
      <c r="N480" s="318">
        <f t="shared" si="272"/>
        <v>0</v>
      </c>
      <c r="O480" s="318"/>
      <c r="P480" s="318">
        <f t="shared" si="273"/>
        <v>0</v>
      </c>
      <c r="Q480" s="318"/>
      <c r="R480" s="318">
        <f t="shared" si="274"/>
        <v>-0.61</v>
      </c>
      <c r="S480" s="318"/>
      <c r="T480" s="294">
        <f>ROUND($E480*L480,0)</f>
        <v>0</v>
      </c>
      <c r="U480" s="319"/>
      <c r="V480" s="294">
        <f>ROUND($E480*N480,0)</f>
        <v>0</v>
      </c>
      <c r="W480" s="319"/>
      <c r="X480" s="294">
        <f>ROUND($E480*P480,0)</f>
        <v>0</v>
      </c>
      <c r="Y480" s="319"/>
      <c r="Z480" s="294">
        <f>ROUND($E480*R480,0)</f>
        <v>0</v>
      </c>
    </row>
    <row r="481" spans="2:29">
      <c r="B481" s="353" t="s">
        <v>1077</v>
      </c>
      <c r="D481" s="293">
        <f>'[7]BD-Redesign'!I32</f>
        <v>0</v>
      </c>
      <c r="E481" s="293">
        <f t="shared" si="275"/>
        <v>0</v>
      </c>
      <c r="G481" s="377"/>
      <c r="H481" s="343"/>
      <c r="L481" s="377">
        <f t="shared" si="271"/>
        <v>0</v>
      </c>
      <c r="M481" s="343" t="s">
        <v>1062</v>
      </c>
      <c r="N481" s="377">
        <f t="shared" si="272"/>
        <v>7.125</v>
      </c>
      <c r="O481" s="343" t="s">
        <v>1062</v>
      </c>
      <c r="P481" s="377">
        <f t="shared" si="273"/>
        <v>0</v>
      </c>
      <c r="Q481" s="343" t="s">
        <v>1062</v>
      </c>
      <c r="R481" s="377">
        <f t="shared" si="274"/>
        <v>7.125</v>
      </c>
      <c r="S481" s="343" t="s">
        <v>1062</v>
      </c>
      <c r="T481" s="294">
        <f>ROUND($E481*L481/100,0)</f>
        <v>0</v>
      </c>
      <c r="U481" s="346"/>
      <c r="V481" s="294">
        <f>ROUND($E481*N481/100,0)</f>
        <v>0</v>
      </c>
      <c r="W481" s="346"/>
      <c r="X481" s="294">
        <f>ROUND($E481*P481/100,0)</f>
        <v>0</v>
      </c>
      <c r="Y481" s="346"/>
      <c r="Z481" s="294">
        <f>ROUND($E481*R481/100,0)</f>
        <v>0</v>
      </c>
      <c r="AB481" s="305"/>
      <c r="AC481" s="325"/>
    </row>
    <row r="482" spans="2:29">
      <c r="B482" s="317" t="s">
        <v>1079</v>
      </c>
      <c r="G482" s="338"/>
      <c r="H482" s="339"/>
      <c r="L482" s="338"/>
      <c r="M482" s="339"/>
      <c r="N482" s="338"/>
      <c r="O482" s="339"/>
      <c r="P482" s="359" t="str">
        <f>$P$43</f>
        <v>Tax Year 1</v>
      </c>
      <c r="Q482" s="339"/>
      <c r="R482" s="338">
        <f>$R$979</f>
        <v>-2.7099999999999999E-2</v>
      </c>
      <c r="S482" s="339"/>
      <c r="Z482" s="294">
        <f>R482*SUM(Z472:Z475,Z481)</f>
        <v>-816.06229999999994</v>
      </c>
    </row>
    <row r="483" spans="2:29">
      <c r="B483" s="317"/>
      <c r="G483" s="338"/>
      <c r="H483" s="339"/>
      <c r="L483" s="338"/>
      <c r="M483" s="339"/>
      <c r="N483" s="338"/>
      <c r="O483" s="339"/>
      <c r="P483" s="359" t="str">
        <f>$P$44</f>
        <v>Tax Year 2</v>
      </c>
      <c r="Q483" s="339"/>
      <c r="R483" s="338">
        <f>$R$980</f>
        <v>-1.3599999999999999E-2</v>
      </c>
      <c r="S483" s="339"/>
      <c r="Z483" s="294">
        <f>R483*SUM(Z472:Z475,Z481)</f>
        <v>-409.53679999999997</v>
      </c>
    </row>
    <row r="484" spans="2:29">
      <c r="B484" s="317" t="s">
        <v>945</v>
      </c>
      <c r="D484" s="293">
        <f>SUM(D476:D479,D481)</f>
        <v>108540</v>
      </c>
      <c r="E484" s="293">
        <f>E502</f>
        <v>306106.74673811265</v>
      </c>
      <c r="G484" s="318"/>
      <c r="H484" s="318"/>
      <c r="L484" s="318"/>
      <c r="M484" s="318"/>
      <c r="N484" s="318"/>
      <c r="O484" s="318"/>
      <c r="P484" s="318"/>
      <c r="Q484" s="318"/>
      <c r="R484" s="318"/>
      <c r="S484" s="318"/>
      <c r="T484" s="294">
        <f>SUM(T471:T481)</f>
        <v>7285</v>
      </c>
      <c r="U484" s="319"/>
      <c r="V484" s="294">
        <f>SUM(V471:V481)</f>
        <v>20917</v>
      </c>
      <c r="W484" s="319"/>
      <c r="X484" s="294">
        <f>SUM(X471:X481)</f>
        <v>10236</v>
      </c>
      <c r="Y484" s="319"/>
      <c r="Z484" s="294">
        <f>SUM(Z471:Z481)</f>
        <v>38438</v>
      </c>
      <c r="AB484" s="305" t="s">
        <v>939</v>
      </c>
      <c r="AC484" s="329">
        <f>Z484/Z502-1</f>
        <v>-0.18418371678410728</v>
      </c>
    </row>
    <row r="485" spans="2:29">
      <c r="B485" s="317"/>
      <c r="G485" s="318"/>
      <c r="H485" s="318"/>
      <c r="L485" s="318"/>
      <c r="M485" s="318"/>
      <c r="N485" s="318"/>
      <c r="O485" s="318"/>
      <c r="P485" s="318"/>
      <c r="Q485" s="318"/>
      <c r="R485" s="318"/>
      <c r="S485" s="318"/>
      <c r="T485" s="319"/>
      <c r="U485" s="319"/>
      <c r="V485" s="319"/>
      <c r="W485" s="319"/>
      <c r="X485" s="319"/>
      <c r="Y485" s="319"/>
      <c r="AB485" s="305"/>
      <c r="AC485" s="325"/>
    </row>
    <row r="486" spans="2:29">
      <c r="B486" s="317" t="s">
        <v>1089</v>
      </c>
      <c r="D486" s="293">
        <f>D471</f>
        <v>12</v>
      </c>
      <c r="E486" s="293">
        <f>D486*E813/D813</f>
        <v>33</v>
      </c>
      <c r="G486" s="339">
        <f>G384</f>
        <v>54</v>
      </c>
      <c r="H486" s="339"/>
      <c r="I486" s="294">
        <f t="shared" ref="I486:J488" si="280">ROUND($G486*D486,0)</f>
        <v>648</v>
      </c>
      <c r="J486" s="294">
        <f t="shared" si="280"/>
        <v>1782</v>
      </c>
      <c r="L486" s="339">
        <f t="shared" ref="L486:L493" si="281">L384</f>
        <v>55</v>
      </c>
      <c r="M486" s="339"/>
      <c r="N486" s="339">
        <f t="shared" ref="N486:N493" si="282">N384</f>
        <v>0</v>
      </c>
      <c r="O486" s="339"/>
      <c r="P486" s="339">
        <f t="shared" ref="P486:P493" si="283">P384</f>
        <v>0</v>
      </c>
      <c r="Q486" s="339"/>
      <c r="R486" s="339">
        <f t="shared" ref="R486:R493" si="284">R384</f>
        <v>55</v>
      </c>
      <c r="S486" s="339"/>
      <c r="T486" s="294">
        <f>ROUND($E486*L486,0)</f>
        <v>1815</v>
      </c>
      <c r="U486" s="319"/>
      <c r="V486" s="294">
        <f>ROUND($E486*N486,0)</f>
        <v>0</v>
      </c>
      <c r="W486" s="319"/>
      <c r="X486" s="294">
        <f>ROUND($E486*P486,0)</f>
        <v>0</v>
      </c>
      <c r="Y486" s="319"/>
      <c r="Z486" s="294">
        <f>ROUND($E486*R486,0)</f>
        <v>1815</v>
      </c>
    </row>
    <row r="487" spans="2:29">
      <c r="B487" s="317" t="s">
        <v>1099</v>
      </c>
      <c r="D487" s="293">
        <v>0</v>
      </c>
      <c r="E487" s="293">
        <v>0</v>
      </c>
      <c r="G487" s="339">
        <f>G385</f>
        <v>648</v>
      </c>
      <c r="H487" s="339"/>
      <c r="I487" s="294">
        <f t="shared" si="280"/>
        <v>0</v>
      </c>
      <c r="J487" s="294">
        <f t="shared" si="280"/>
        <v>0</v>
      </c>
      <c r="L487" s="339">
        <f t="shared" si="281"/>
        <v>660</v>
      </c>
      <c r="M487" s="339"/>
      <c r="N487" s="339">
        <f t="shared" si="282"/>
        <v>0</v>
      </c>
      <c r="O487" s="339"/>
      <c r="P487" s="339">
        <f t="shared" si="283"/>
        <v>0</v>
      </c>
      <c r="Q487" s="339"/>
      <c r="R487" s="339">
        <f t="shared" si="284"/>
        <v>660</v>
      </c>
      <c r="S487" s="339"/>
      <c r="T487" s="294">
        <f t="shared" ref="T487:T491" si="285">ROUND($E487*L487,0)</f>
        <v>0</v>
      </c>
      <c r="U487" s="319"/>
      <c r="V487" s="294">
        <f t="shared" ref="V487:V491" si="286">ROUND($E487*N487,0)</f>
        <v>0</v>
      </c>
      <c r="W487" s="319"/>
      <c r="X487" s="294">
        <f t="shared" ref="X487:X491" si="287">ROUND($E487*P487,0)</f>
        <v>0</v>
      </c>
      <c r="Y487" s="319"/>
      <c r="Z487" s="294">
        <f t="shared" ref="Z487:Z491" si="288">ROUND($E487*R487,0)</f>
        <v>0</v>
      </c>
    </row>
    <row r="488" spans="2:29">
      <c r="B488" s="317" t="s">
        <v>1100</v>
      </c>
      <c r="D488" s="293">
        <v>0</v>
      </c>
      <c r="E488" s="293">
        <v>0</v>
      </c>
      <c r="G488" s="339">
        <f>G386</f>
        <v>54</v>
      </c>
      <c r="H488" s="339"/>
      <c r="I488" s="294">
        <f t="shared" si="280"/>
        <v>0</v>
      </c>
      <c r="J488" s="294">
        <f t="shared" si="280"/>
        <v>0</v>
      </c>
      <c r="L488" s="339">
        <f t="shared" si="281"/>
        <v>55</v>
      </c>
      <c r="M488" s="339"/>
      <c r="N488" s="339">
        <f t="shared" si="282"/>
        <v>0</v>
      </c>
      <c r="O488" s="339"/>
      <c r="P488" s="339">
        <f t="shared" si="283"/>
        <v>0</v>
      </c>
      <c r="Q488" s="339"/>
      <c r="R488" s="339">
        <f t="shared" si="284"/>
        <v>55</v>
      </c>
      <c r="S488" s="339"/>
      <c r="T488" s="294">
        <f t="shared" si="285"/>
        <v>0</v>
      </c>
      <c r="V488" s="294">
        <f t="shared" si="286"/>
        <v>0</v>
      </c>
      <c r="X488" s="294">
        <f t="shared" si="287"/>
        <v>0</v>
      </c>
      <c r="Z488" s="294">
        <f t="shared" si="288"/>
        <v>0</v>
      </c>
    </row>
    <row r="489" spans="2:29">
      <c r="B489" s="317" t="s">
        <v>1101</v>
      </c>
      <c r="D489" s="293">
        <f>'[7]BD-Redesign'!I55</f>
        <v>716</v>
      </c>
      <c r="E489" s="293">
        <f>ROUND(D489/D502*E502,0)</f>
        <v>2019</v>
      </c>
      <c r="G489" s="339">
        <f>G387</f>
        <v>4.04</v>
      </c>
      <c r="H489" s="339"/>
      <c r="I489" s="294">
        <f>ROUND($G489*D489,0)</f>
        <v>2893</v>
      </c>
      <c r="J489" s="294">
        <f>ROUND($G489*E489,0)</f>
        <v>8157</v>
      </c>
      <c r="L489" s="339">
        <f t="shared" si="281"/>
        <v>4.1100000000000003</v>
      </c>
      <c r="M489" s="339"/>
      <c r="N489" s="339">
        <f t="shared" si="282"/>
        <v>0</v>
      </c>
      <c r="O489" s="339"/>
      <c r="P489" s="339">
        <f t="shared" si="283"/>
        <v>0</v>
      </c>
      <c r="Q489" s="339"/>
      <c r="R489" s="339">
        <f t="shared" si="284"/>
        <v>4.1100000000000003</v>
      </c>
      <c r="S489" s="339"/>
      <c r="T489" s="294">
        <f t="shared" si="285"/>
        <v>8298</v>
      </c>
      <c r="U489" s="319"/>
      <c r="V489" s="294">
        <f t="shared" si="286"/>
        <v>0</v>
      </c>
      <c r="W489" s="319"/>
      <c r="X489" s="294">
        <f t="shared" si="287"/>
        <v>0</v>
      </c>
      <c r="Y489" s="319"/>
      <c r="Z489" s="294">
        <f t="shared" si="288"/>
        <v>8298</v>
      </c>
    </row>
    <row r="490" spans="2:29">
      <c r="B490" s="317" t="s">
        <v>1102</v>
      </c>
      <c r="D490" s="293">
        <f>'[7]BD-Redesign'!I56</f>
        <v>265.5</v>
      </c>
      <c r="E490" s="293">
        <f>ROUND(D490/D492*E492,0)</f>
        <v>749</v>
      </c>
      <c r="G490" s="339"/>
      <c r="H490" s="339"/>
      <c r="L490" s="339">
        <f t="shared" si="281"/>
        <v>0.73</v>
      </c>
      <c r="M490" s="339"/>
      <c r="N490" s="339">
        <f t="shared" si="282"/>
        <v>12.959999999999999</v>
      </c>
      <c r="O490" s="339"/>
      <c r="P490" s="339">
        <f t="shared" si="283"/>
        <v>0</v>
      </c>
      <c r="Q490" s="339"/>
      <c r="R490" s="339">
        <f t="shared" si="284"/>
        <v>13.69</v>
      </c>
      <c r="S490" s="339"/>
      <c r="T490" s="294">
        <f t="shared" si="285"/>
        <v>547</v>
      </c>
      <c r="V490" s="294">
        <f t="shared" si="286"/>
        <v>9707</v>
      </c>
      <c r="X490" s="294">
        <f t="shared" si="287"/>
        <v>0</v>
      </c>
      <c r="Z490" s="294">
        <f t="shared" si="288"/>
        <v>10254</v>
      </c>
    </row>
    <row r="491" spans="2:29">
      <c r="B491" s="317" t="s">
        <v>1103</v>
      </c>
      <c r="D491" s="293">
        <f>'[7]BD-Redesign'!I57</f>
        <v>450.5</v>
      </c>
      <c r="E491" s="293">
        <f>ROUND(D491/D493*E493,0)</f>
        <v>1271</v>
      </c>
      <c r="G491" s="339"/>
      <c r="H491" s="339"/>
      <c r="L491" s="339">
        <f t="shared" si="281"/>
        <v>0.64</v>
      </c>
      <c r="M491" s="339"/>
      <c r="N491" s="339">
        <f t="shared" si="282"/>
        <v>11.479999999999999</v>
      </c>
      <c r="O491" s="339"/>
      <c r="P491" s="339">
        <f t="shared" si="283"/>
        <v>0</v>
      </c>
      <c r="Q491" s="339"/>
      <c r="R491" s="339">
        <f t="shared" si="284"/>
        <v>12.12</v>
      </c>
      <c r="S491" s="339"/>
      <c r="T491" s="294">
        <f t="shared" si="285"/>
        <v>813</v>
      </c>
      <c r="V491" s="294">
        <f t="shared" si="286"/>
        <v>14591</v>
      </c>
      <c r="X491" s="294">
        <f t="shared" si="287"/>
        <v>0</v>
      </c>
      <c r="Z491" s="294">
        <f t="shared" si="288"/>
        <v>15405</v>
      </c>
    </row>
    <row r="492" spans="2:29">
      <c r="B492" s="317" t="s">
        <v>1104</v>
      </c>
      <c r="D492" s="293">
        <f>'[7]BD-Redesign'!I59</f>
        <v>39960</v>
      </c>
      <c r="E492" s="293">
        <f>E502-E493</f>
        <v>112695.74673811265</v>
      </c>
      <c r="G492" s="377"/>
      <c r="H492" s="343"/>
      <c r="L492" s="377">
        <f t="shared" si="281"/>
        <v>0</v>
      </c>
      <c r="M492" s="343" t="s">
        <v>1062</v>
      </c>
      <c r="N492" s="377">
        <f t="shared" si="282"/>
        <v>1.7162999999999999</v>
      </c>
      <c r="O492" s="343" t="s">
        <v>1062</v>
      </c>
      <c r="P492" s="377">
        <f t="shared" si="283"/>
        <v>2.279911334706</v>
      </c>
      <c r="Q492" s="343" t="s">
        <v>1062</v>
      </c>
      <c r="R492" s="377">
        <f t="shared" si="284"/>
        <v>3.996211334706</v>
      </c>
      <c r="S492" s="343" t="s">
        <v>1062</v>
      </c>
      <c r="T492" s="294">
        <f>ROUND($E492*L492/100,0)</f>
        <v>0</v>
      </c>
      <c r="U492" s="346"/>
      <c r="V492" s="294">
        <f>ROUND($E492*N492/100,0)</f>
        <v>1934</v>
      </c>
      <c r="W492" s="346"/>
      <c r="X492" s="294">
        <f>ROUND($E492*P492/100,0)</f>
        <v>2569</v>
      </c>
      <c r="Y492" s="346"/>
      <c r="Z492" s="294">
        <f>ROUND($E492*R492/100,0)</f>
        <v>4504</v>
      </c>
    </row>
    <row r="493" spans="2:29">
      <c r="B493" s="317" t="s">
        <v>1105</v>
      </c>
      <c r="D493" s="293">
        <f>'[7]BD-Redesign'!I60</f>
        <v>68580</v>
      </c>
      <c r="E493" s="293">
        <f>ROUND(D493/D502*E502,0)</f>
        <v>193411</v>
      </c>
      <c r="G493" s="377"/>
      <c r="H493" s="343"/>
      <c r="L493" s="377">
        <f t="shared" si="281"/>
        <v>0</v>
      </c>
      <c r="M493" s="343" t="s">
        <v>1062</v>
      </c>
      <c r="N493" s="377">
        <f t="shared" si="282"/>
        <v>1.5188999999999999</v>
      </c>
      <c r="O493" s="343" t="s">
        <v>1062</v>
      </c>
      <c r="P493" s="377">
        <f t="shared" si="283"/>
        <v>2.0175702077039999</v>
      </c>
      <c r="Q493" s="343" t="s">
        <v>1062</v>
      </c>
      <c r="R493" s="377">
        <f t="shared" si="284"/>
        <v>3.5364702077039998</v>
      </c>
      <c r="S493" s="343" t="s">
        <v>1062</v>
      </c>
      <c r="T493" s="294">
        <f>ROUND($E493*L493/100,0)</f>
        <v>0</v>
      </c>
      <c r="U493" s="346"/>
      <c r="V493" s="294">
        <f>ROUND($E493*N493/100,0)</f>
        <v>2938</v>
      </c>
      <c r="W493" s="346"/>
      <c r="X493" s="294">
        <f>ROUND($E493*P493/100,0)</f>
        <v>3902</v>
      </c>
      <c r="Y493" s="346"/>
      <c r="Z493" s="294">
        <f>ROUND($E493*R493/100,0)</f>
        <v>6840</v>
      </c>
    </row>
    <row r="494" spans="2:29">
      <c r="B494" s="317" t="s">
        <v>1106</v>
      </c>
      <c r="D494" s="293">
        <f>(D490+D491)*D817/(D817+D818)</f>
        <v>278.86509449682785</v>
      </c>
      <c r="E494" s="293">
        <f>ROUND(D494/D502*E502,0)</f>
        <v>786</v>
      </c>
      <c r="G494" s="339">
        <f>G392</f>
        <v>14.62</v>
      </c>
      <c r="H494" s="339"/>
      <c r="I494" s="294">
        <f t="shared" ref="I494:J496" si="289">ROUND($G494*D494,0)</f>
        <v>4077</v>
      </c>
      <c r="J494" s="294">
        <f t="shared" si="289"/>
        <v>11491</v>
      </c>
      <c r="L494" s="339"/>
      <c r="M494" s="339"/>
      <c r="N494" s="339"/>
      <c r="O494" s="339"/>
      <c r="P494" s="339"/>
      <c r="Q494" s="339"/>
      <c r="R494" s="339"/>
      <c r="S494" s="339"/>
      <c r="U494" s="319"/>
      <c r="W494" s="319"/>
      <c r="Y494" s="319"/>
    </row>
    <row r="495" spans="2:29">
      <c r="B495" s="317" t="s">
        <v>1107</v>
      </c>
      <c r="D495" s="293">
        <f>D490+D491-D494</f>
        <v>437.13490550317215</v>
      </c>
      <c r="E495" s="293">
        <f>ROUND(D495/D502*E502,0)</f>
        <v>1233</v>
      </c>
      <c r="G495" s="339">
        <f>G393</f>
        <v>10.91</v>
      </c>
      <c r="H495" s="339"/>
      <c r="I495" s="294">
        <f t="shared" si="289"/>
        <v>4769</v>
      </c>
      <c r="J495" s="294">
        <f t="shared" si="289"/>
        <v>13452</v>
      </c>
      <c r="L495" s="339"/>
      <c r="M495" s="339"/>
      <c r="N495" s="339"/>
      <c r="O495" s="339"/>
      <c r="P495" s="339"/>
      <c r="Q495" s="339"/>
      <c r="R495" s="339"/>
      <c r="S495" s="339"/>
      <c r="U495" s="319"/>
      <c r="W495" s="319"/>
      <c r="Y495" s="319"/>
    </row>
    <row r="496" spans="2:29">
      <c r="B496" s="317" t="s">
        <v>1098</v>
      </c>
      <c r="D496" s="293">
        <f>D480</f>
        <v>0</v>
      </c>
      <c r="E496" s="293">
        <f>E480</f>
        <v>0</v>
      </c>
      <c r="G496" s="339">
        <f>G394</f>
        <v>-0.96</v>
      </c>
      <c r="H496" s="339"/>
      <c r="I496" s="294">
        <f t="shared" si="289"/>
        <v>0</v>
      </c>
      <c r="J496" s="294">
        <f t="shared" si="289"/>
        <v>0</v>
      </c>
      <c r="L496" s="339">
        <f>L394</f>
        <v>-0.96</v>
      </c>
      <c r="M496" s="339"/>
      <c r="N496" s="339">
        <f>N394</f>
        <v>0</v>
      </c>
      <c r="O496" s="339"/>
      <c r="P496" s="339">
        <f>P394</f>
        <v>0</v>
      </c>
      <c r="Q496" s="339"/>
      <c r="R496" s="339">
        <f>R394</f>
        <v>-0.96</v>
      </c>
      <c r="S496" s="339"/>
      <c r="T496" s="294">
        <f t="shared" ref="T496" si="290">ROUND($E496*L496,0)</f>
        <v>0</v>
      </c>
      <c r="U496" s="319"/>
      <c r="V496" s="294">
        <f t="shared" ref="V496" si="291">ROUND($E496*N496,0)</f>
        <v>0</v>
      </c>
      <c r="W496" s="319"/>
      <c r="X496" s="294">
        <f t="shared" ref="X496" si="292">ROUND($E496*P496,0)</f>
        <v>0</v>
      </c>
      <c r="Y496" s="319"/>
      <c r="Z496" s="294">
        <f t="shared" ref="Z496" si="293">ROUND($E496*R496,0)</f>
        <v>0</v>
      </c>
    </row>
    <row r="497" spans="2:29">
      <c r="B497" s="317" t="s">
        <v>1108</v>
      </c>
      <c r="D497" s="293">
        <f>(D492+D493)*D824/(D824+D825)</f>
        <v>51673.888905823311</v>
      </c>
      <c r="E497" s="293">
        <f>ROUND(D497/D502*E502,0)</f>
        <v>145732</v>
      </c>
      <c r="G497" s="377">
        <f>G395</f>
        <v>3.8127</v>
      </c>
      <c r="H497" s="343" t="s">
        <v>1062</v>
      </c>
      <c r="I497" s="294">
        <f>ROUND($G497*D497/100,0)</f>
        <v>1970</v>
      </c>
      <c r="J497" s="294">
        <f>ROUND($G497*E497/100,0)</f>
        <v>5556</v>
      </c>
      <c r="L497" s="377"/>
      <c r="M497" s="343"/>
      <c r="N497" s="377"/>
      <c r="O497" s="343"/>
      <c r="P497" s="377"/>
      <c r="Q497" s="343"/>
      <c r="R497" s="377"/>
      <c r="S497" s="343"/>
      <c r="T497" s="346"/>
      <c r="U497" s="346"/>
      <c r="V497" s="346"/>
      <c r="W497" s="346"/>
      <c r="X497" s="346"/>
      <c r="Y497" s="346"/>
    </row>
    <row r="498" spans="2:29">
      <c r="B498" s="317" t="s">
        <v>1109</v>
      </c>
      <c r="D498" s="293">
        <f>D492+D493-D497</f>
        <v>56866.111094176689</v>
      </c>
      <c r="E498" s="293">
        <f>E502-E497</f>
        <v>160374.74673811265</v>
      </c>
      <c r="G498" s="377">
        <f>G396</f>
        <v>3.5143</v>
      </c>
      <c r="H498" s="343" t="s">
        <v>1062</v>
      </c>
      <c r="I498" s="294">
        <f>ROUND($G498*D498/100,0)</f>
        <v>1998</v>
      </c>
      <c r="J498" s="294">
        <f>ROUND($G498*E498/100,0)</f>
        <v>5636</v>
      </c>
      <c r="L498" s="377"/>
      <c r="M498" s="343"/>
      <c r="N498" s="377"/>
      <c r="O498" s="343"/>
      <c r="P498" s="377"/>
      <c r="Q498" s="343"/>
      <c r="R498" s="377"/>
      <c r="S498" s="343"/>
      <c r="T498" s="346"/>
      <c r="U498" s="346"/>
      <c r="V498" s="346"/>
      <c r="W498" s="346"/>
      <c r="X498" s="346"/>
      <c r="Y498" s="346"/>
    </row>
    <row r="499" spans="2:29">
      <c r="B499" s="317" t="s">
        <v>1078</v>
      </c>
      <c r="D499" s="357">
        <v>0</v>
      </c>
      <c r="E499" s="357">
        <v>0</v>
      </c>
      <c r="I499" s="358">
        <v>0</v>
      </c>
      <c r="J499" s="358">
        <v>0</v>
      </c>
      <c r="Z499" s="358"/>
    </row>
    <row r="500" spans="2:29">
      <c r="B500" s="317" t="s">
        <v>1079</v>
      </c>
      <c r="G500" s="338">
        <f t="shared" ref="G500" si="294">G398</f>
        <v>-3.61E-2</v>
      </c>
      <c r="H500" s="339"/>
      <c r="I500" s="294">
        <f>SUM(I494:I495,I497:I498)*$G500</f>
        <v>-462.58539999999999</v>
      </c>
      <c r="J500" s="294">
        <f>SUM(J494:J495,J497:J498)*$G500</f>
        <v>-1304.4735000000001</v>
      </c>
      <c r="L500" s="338"/>
      <c r="M500" s="339"/>
      <c r="N500" s="338"/>
      <c r="O500" s="339"/>
      <c r="P500" s="359" t="str">
        <f>$P$43</f>
        <v>Tax Year 1</v>
      </c>
      <c r="Q500" s="339"/>
      <c r="R500" s="338">
        <f>$R$687</f>
        <v>-2.4199999999999999E-2</v>
      </c>
      <c r="S500" s="339"/>
      <c r="Z500" s="294">
        <f>R500*SUM(Z490:Z493)</f>
        <v>-895.47259999999994</v>
      </c>
    </row>
    <row r="501" spans="2:29">
      <c r="B501" s="317"/>
      <c r="G501" s="338"/>
      <c r="H501" s="339"/>
      <c r="L501" s="338"/>
      <c r="M501" s="339"/>
      <c r="N501" s="338"/>
      <c r="O501" s="339"/>
      <c r="P501" s="359" t="str">
        <f>$P$44</f>
        <v>Tax Year 2</v>
      </c>
      <c r="Q501" s="339"/>
      <c r="R501" s="338">
        <f>$R$688</f>
        <v>-1.21E-2</v>
      </c>
      <c r="S501" s="339"/>
      <c r="Z501" s="294">
        <f>R501*SUM(Z490:Z493)</f>
        <v>-447.73629999999997</v>
      </c>
    </row>
    <row r="502" spans="2:29" ht="16.5" thickBot="1">
      <c r="B502" s="317" t="s">
        <v>937</v>
      </c>
      <c r="D502" s="381">
        <f>SUM(D497:D499)</f>
        <v>108540</v>
      </c>
      <c r="E502" s="381">
        <f>D502*E829/D829</f>
        <v>306106.74673811265</v>
      </c>
      <c r="G502" s="368"/>
      <c r="I502" s="369">
        <f>SUM(I486:I500)</f>
        <v>15892.4146</v>
      </c>
      <c r="J502" s="369">
        <f>SUM(J486:J500)</f>
        <v>44769.5265</v>
      </c>
      <c r="L502" s="368"/>
      <c r="N502" s="368"/>
      <c r="P502" s="368"/>
      <c r="R502" s="368"/>
      <c r="T502" s="369">
        <f>SUM(T486:T499)</f>
        <v>11473</v>
      </c>
      <c r="V502" s="369">
        <f>SUM(V486:V499)</f>
        <v>29170</v>
      </c>
      <c r="X502" s="369">
        <f>SUM(X486:X499)</f>
        <v>6471</v>
      </c>
      <c r="Z502" s="369">
        <f>SUM(Z486:Z499)</f>
        <v>47116</v>
      </c>
      <c r="AB502" s="305" t="s">
        <v>939</v>
      </c>
      <c r="AC502" s="304">
        <f>Z502/J502-1</f>
        <v>5.2412292097840263E-2</v>
      </c>
    </row>
    <row r="503" spans="2:29" ht="16.5" thickTop="1"/>
    <row r="504" spans="2:29">
      <c r="B504" s="314" t="s">
        <v>953</v>
      </c>
    </row>
    <row r="505" spans="2:29">
      <c r="B505" s="317" t="s">
        <v>1089</v>
      </c>
      <c r="D505" s="293">
        <f>'[7]BD-Redesign'!L22</f>
        <v>55.716666666666669</v>
      </c>
      <c r="E505" s="293">
        <f>E520</f>
        <v>157.84953632148375</v>
      </c>
      <c r="G505" s="318"/>
      <c r="H505" s="318"/>
      <c r="L505" s="318">
        <f t="shared" ref="L505:L515" si="295">L369</f>
        <v>55</v>
      </c>
      <c r="M505" s="318"/>
      <c r="N505" s="318">
        <f t="shared" ref="N505:N515" si="296">N369</f>
        <v>0</v>
      </c>
      <c r="O505" s="318"/>
      <c r="P505" s="318">
        <f t="shared" ref="P505:P515" si="297">P369</f>
        <v>0</v>
      </c>
      <c r="Q505" s="318"/>
      <c r="R505" s="318">
        <f t="shared" ref="R505:R515" si="298">R369</f>
        <v>55</v>
      </c>
      <c r="S505" s="318"/>
      <c r="T505" s="294">
        <f>ROUND($E505*L505,0)</f>
        <v>8682</v>
      </c>
      <c r="U505" s="319"/>
      <c r="V505" s="294">
        <f>ROUND($E505*N505,0)</f>
        <v>0</v>
      </c>
      <c r="W505" s="319"/>
      <c r="X505" s="294">
        <f>ROUND($E505*P505,0)</f>
        <v>0</v>
      </c>
      <c r="Y505" s="319"/>
      <c r="Z505" s="294">
        <f>ROUND($E505*R505,0)</f>
        <v>8682</v>
      </c>
      <c r="AB505" s="305"/>
      <c r="AC505" s="325"/>
    </row>
    <row r="506" spans="2:29">
      <c r="B506" s="317" t="s">
        <v>1090</v>
      </c>
      <c r="D506" s="293">
        <f>'[7]BD-Redesign'!L23</f>
        <v>111994.63366336633</v>
      </c>
      <c r="E506" s="293">
        <f t="shared" ref="E506:E515" si="299">D506/$D$518*$E$518</f>
        <v>446919.92134186177</v>
      </c>
      <c r="F506" s="339"/>
      <c r="G506" s="376"/>
      <c r="H506" s="343"/>
      <c r="K506" s="339"/>
      <c r="L506" s="376">
        <f t="shared" si="295"/>
        <v>1.7867999999999999</v>
      </c>
      <c r="M506" s="343" t="s">
        <v>1062</v>
      </c>
      <c r="N506" s="376">
        <f t="shared" si="296"/>
        <v>19.766631654000651</v>
      </c>
      <c r="O506" s="343" t="s">
        <v>1062</v>
      </c>
      <c r="P506" s="376">
        <f t="shared" si="297"/>
        <v>1.3127</v>
      </c>
      <c r="Q506" s="343" t="s">
        <v>1062</v>
      </c>
      <c r="R506" s="376">
        <f t="shared" si="298"/>
        <v>22.86613165400065</v>
      </c>
      <c r="S506" s="343" t="s">
        <v>1062</v>
      </c>
      <c r="T506" s="294">
        <f>ROUND($E506*L506/100,0)</f>
        <v>7986</v>
      </c>
      <c r="U506" s="346"/>
      <c r="V506" s="294">
        <f>ROUND($E506*N506/100,0)</f>
        <v>88341</v>
      </c>
      <c r="W506" s="346"/>
      <c r="X506" s="294">
        <f>ROUND($E506*P506/100,0)</f>
        <v>5867</v>
      </c>
      <c r="Y506" s="346"/>
      <c r="Z506" s="294">
        <f>ROUND($E506*R506/100,0)</f>
        <v>102193</v>
      </c>
    </row>
    <row r="507" spans="2:29">
      <c r="B507" s="317" t="s">
        <v>1091</v>
      </c>
      <c r="D507" s="293">
        <f>'[7]BD-Redesign'!L24</f>
        <v>266833.36633663368</v>
      </c>
      <c r="E507" s="293">
        <f t="shared" si="299"/>
        <v>1064811.2609841989</v>
      </c>
      <c r="F507" s="339"/>
      <c r="G507" s="376"/>
      <c r="H507" s="343"/>
      <c r="K507" s="339"/>
      <c r="L507" s="376">
        <f t="shared" si="295"/>
        <v>1.7867999999999999</v>
      </c>
      <c r="M507" s="343" t="s">
        <v>1062</v>
      </c>
      <c r="N507" s="376">
        <f t="shared" si="296"/>
        <v>1.4732003384230001</v>
      </c>
      <c r="O507" s="343" t="s">
        <v>1062</v>
      </c>
      <c r="P507" s="376">
        <f t="shared" si="297"/>
        <v>1.3127</v>
      </c>
      <c r="Q507" s="343" t="s">
        <v>1062</v>
      </c>
      <c r="R507" s="376">
        <f t="shared" si="298"/>
        <v>4.5727003384230001</v>
      </c>
      <c r="S507" s="343" t="s">
        <v>1062</v>
      </c>
      <c r="T507" s="294">
        <f t="shared" ref="T507:T513" si="300">ROUND($E507*L507/100,0)</f>
        <v>19026</v>
      </c>
      <c r="U507" s="346"/>
      <c r="V507" s="294">
        <f t="shared" ref="V507:V513" si="301">ROUND($E507*N507/100,0)</f>
        <v>15687</v>
      </c>
      <c r="W507" s="346"/>
      <c r="X507" s="294">
        <f t="shared" ref="X507:X513" si="302">ROUND($E507*P507/100,0)</f>
        <v>13978</v>
      </c>
      <c r="Y507" s="346"/>
      <c r="Z507" s="294">
        <f t="shared" ref="Z507:Z513" si="303">ROUND($E507*R507/100,0)</f>
        <v>48691</v>
      </c>
    </row>
    <row r="508" spans="2:29">
      <c r="B508" s="317" t="s">
        <v>1092</v>
      </c>
      <c r="D508" s="293">
        <f>'[7]BD-Redesign'!L25</f>
        <v>151504.07425742573</v>
      </c>
      <c r="E508" s="293">
        <f t="shared" si="299"/>
        <v>604584.22636234248</v>
      </c>
      <c r="F508" s="339"/>
      <c r="G508" s="376"/>
      <c r="H508" s="343"/>
      <c r="K508" s="339"/>
      <c r="L508" s="376">
        <f t="shared" si="295"/>
        <v>1.7867999999999999</v>
      </c>
      <c r="M508" s="343" t="s">
        <v>1062</v>
      </c>
      <c r="N508" s="376">
        <f t="shared" si="296"/>
        <v>17.286999999999999</v>
      </c>
      <c r="O508" s="343" t="s">
        <v>1062</v>
      </c>
      <c r="P508" s="376">
        <f t="shared" si="297"/>
        <v>1.1617</v>
      </c>
      <c r="Q508" s="343" t="s">
        <v>1062</v>
      </c>
      <c r="R508" s="376">
        <f t="shared" si="298"/>
        <v>20.235499999999998</v>
      </c>
      <c r="S508" s="343" t="s">
        <v>1062</v>
      </c>
      <c r="T508" s="294">
        <f t="shared" si="300"/>
        <v>10803</v>
      </c>
      <c r="U508" s="346"/>
      <c r="V508" s="294">
        <f t="shared" si="301"/>
        <v>104514</v>
      </c>
      <c r="W508" s="346"/>
      <c r="X508" s="294">
        <f t="shared" si="302"/>
        <v>7023</v>
      </c>
      <c r="Y508" s="346"/>
      <c r="Z508" s="294">
        <f t="shared" si="303"/>
        <v>122341</v>
      </c>
    </row>
    <row r="509" spans="2:29">
      <c r="B509" s="317" t="s">
        <v>1093</v>
      </c>
      <c r="D509" s="293">
        <f>'[7]BD-Redesign'!L26</f>
        <v>460068.42574257427</v>
      </c>
      <c r="E509" s="293">
        <f t="shared" si="299"/>
        <v>1835924.9717515896</v>
      </c>
      <c r="F509" s="339"/>
      <c r="G509" s="376"/>
      <c r="H509" s="343"/>
      <c r="K509" s="339"/>
      <c r="L509" s="376">
        <f t="shared" si="295"/>
        <v>1.7867999999999999</v>
      </c>
      <c r="M509" s="343" t="s">
        <v>1062</v>
      </c>
      <c r="N509" s="376">
        <f t="shared" si="296"/>
        <v>1.0980999999999999</v>
      </c>
      <c r="O509" s="343" t="s">
        <v>1062</v>
      </c>
      <c r="P509" s="376">
        <f t="shared" si="297"/>
        <v>1.1617</v>
      </c>
      <c r="Q509" s="343" t="s">
        <v>1062</v>
      </c>
      <c r="R509" s="376">
        <f t="shared" si="298"/>
        <v>4.0465999999999998</v>
      </c>
      <c r="S509" s="343" t="s">
        <v>1062</v>
      </c>
      <c r="T509" s="294">
        <f t="shared" si="300"/>
        <v>32804</v>
      </c>
      <c r="U509" s="346"/>
      <c r="V509" s="294">
        <f t="shared" si="301"/>
        <v>20160</v>
      </c>
      <c r="W509" s="346"/>
      <c r="X509" s="294">
        <f t="shared" si="302"/>
        <v>21328</v>
      </c>
      <c r="Y509" s="346"/>
      <c r="Z509" s="294">
        <f t="shared" si="303"/>
        <v>74293</v>
      </c>
    </row>
    <row r="510" spans="2:29">
      <c r="B510" s="317" t="s">
        <v>1094</v>
      </c>
      <c r="D510" s="293">
        <f>'[7]BD-Redesign'!L27</f>
        <v>210382.32064704984</v>
      </c>
      <c r="E510" s="293">
        <f t="shared" si="299"/>
        <v>839540.67368902243</v>
      </c>
      <c r="F510" s="339"/>
      <c r="G510" s="376"/>
      <c r="H510" s="343"/>
      <c r="K510" s="339"/>
      <c r="L510" s="376">
        <f t="shared" si="295"/>
        <v>0</v>
      </c>
      <c r="M510" s="343" t="s">
        <v>1062</v>
      </c>
      <c r="N510" s="376">
        <f t="shared" si="296"/>
        <v>0</v>
      </c>
      <c r="O510" s="343" t="s">
        <v>1062</v>
      </c>
      <c r="P510" s="376">
        <f t="shared" si="297"/>
        <v>6</v>
      </c>
      <c r="Q510" s="343" t="s">
        <v>1062</v>
      </c>
      <c r="R510" s="376">
        <f t="shared" si="298"/>
        <v>6</v>
      </c>
      <c r="S510" s="343" t="s">
        <v>1062</v>
      </c>
      <c r="T510" s="294">
        <f t="shared" si="300"/>
        <v>0</v>
      </c>
      <c r="U510" s="346"/>
      <c r="V510" s="294">
        <f t="shared" si="301"/>
        <v>0</v>
      </c>
      <c r="W510" s="346"/>
      <c r="X510" s="294">
        <f t="shared" si="302"/>
        <v>50372</v>
      </c>
      <c r="Y510" s="346"/>
      <c r="Z510" s="294">
        <f t="shared" si="303"/>
        <v>50372</v>
      </c>
    </row>
    <row r="511" spans="2:29">
      <c r="B511" s="317" t="s">
        <v>1095</v>
      </c>
      <c r="D511" s="293">
        <f>'[7]BD-Redesign'!L28</f>
        <v>168445.67935295016</v>
      </c>
      <c r="E511" s="293">
        <f t="shared" si="299"/>
        <v>672190.50863703794</v>
      </c>
      <c r="F511" s="339"/>
      <c r="G511" s="376"/>
      <c r="H511" s="343"/>
      <c r="K511" s="339"/>
      <c r="L511" s="376">
        <f t="shared" si="295"/>
        <v>0</v>
      </c>
      <c r="M511" s="343" t="s">
        <v>1062</v>
      </c>
      <c r="N511" s="376">
        <f t="shared" si="296"/>
        <v>0</v>
      </c>
      <c r="O511" s="343" t="s">
        <v>1062</v>
      </c>
      <c r="P511" s="376">
        <f t="shared" si="297"/>
        <v>-2.3358000000000008</v>
      </c>
      <c r="Q511" s="343" t="s">
        <v>1062</v>
      </c>
      <c r="R511" s="376">
        <f t="shared" si="298"/>
        <v>-2.3358000000000008</v>
      </c>
      <c r="S511" s="343" t="s">
        <v>1062</v>
      </c>
      <c r="T511" s="294">
        <f t="shared" si="300"/>
        <v>0</v>
      </c>
      <c r="U511" s="346"/>
      <c r="V511" s="294">
        <f t="shared" si="301"/>
        <v>0</v>
      </c>
      <c r="W511" s="346"/>
      <c r="X511" s="294">
        <f t="shared" si="302"/>
        <v>-15701</v>
      </c>
      <c r="Y511" s="346"/>
      <c r="Z511" s="294">
        <f t="shared" si="303"/>
        <v>-15701</v>
      </c>
    </row>
    <row r="512" spans="2:29">
      <c r="B512" s="317" t="s">
        <v>1096</v>
      </c>
      <c r="D512" s="293">
        <f>'[7]BD-Redesign'!L29</f>
        <v>339637.09597473755</v>
      </c>
      <c r="E512" s="293">
        <f t="shared" si="299"/>
        <v>1355338.0126592533</v>
      </c>
      <c r="F512" s="339"/>
      <c r="G512" s="376"/>
      <c r="H512" s="343"/>
      <c r="K512" s="339"/>
      <c r="L512" s="376">
        <f t="shared" si="295"/>
        <v>0</v>
      </c>
      <c r="M512" s="343" t="s">
        <v>1062</v>
      </c>
      <c r="N512" s="376">
        <f t="shared" si="296"/>
        <v>0</v>
      </c>
      <c r="O512" s="343" t="s">
        <v>1062</v>
      </c>
      <c r="P512" s="376">
        <f t="shared" si="297"/>
        <v>5.3097000000000003</v>
      </c>
      <c r="Q512" s="343" t="s">
        <v>1062</v>
      </c>
      <c r="R512" s="376">
        <f t="shared" si="298"/>
        <v>5.3097000000000003</v>
      </c>
      <c r="S512" s="343" t="s">
        <v>1062</v>
      </c>
      <c r="T512" s="294">
        <f t="shared" si="300"/>
        <v>0</v>
      </c>
      <c r="U512" s="346"/>
      <c r="V512" s="294">
        <f t="shared" si="301"/>
        <v>0</v>
      </c>
      <c r="W512" s="346"/>
      <c r="X512" s="294">
        <f t="shared" si="302"/>
        <v>71964</v>
      </c>
      <c r="Y512" s="346"/>
      <c r="Z512" s="294">
        <f t="shared" si="303"/>
        <v>71964</v>
      </c>
    </row>
    <row r="513" spans="2:29">
      <c r="B513" s="317" t="s">
        <v>1097</v>
      </c>
      <c r="D513" s="293">
        <f>'[7]BD-Redesign'!L30</f>
        <v>271935.40402526245</v>
      </c>
      <c r="E513" s="293">
        <f t="shared" si="299"/>
        <v>1085171.1854546787</v>
      </c>
      <c r="F513" s="339"/>
      <c r="G513" s="376"/>
      <c r="H513" s="343"/>
      <c r="K513" s="339"/>
      <c r="L513" s="376">
        <f t="shared" si="295"/>
        <v>0</v>
      </c>
      <c r="M513" s="343" t="s">
        <v>1062</v>
      </c>
      <c r="N513" s="376">
        <f t="shared" si="296"/>
        <v>0</v>
      </c>
      <c r="O513" s="343" t="s">
        <v>1062</v>
      </c>
      <c r="P513" s="376">
        <f t="shared" si="297"/>
        <v>-2.0670999999999999</v>
      </c>
      <c r="Q513" s="343" t="s">
        <v>1062</v>
      </c>
      <c r="R513" s="376">
        <f t="shared" si="298"/>
        <v>-2.0670999999999999</v>
      </c>
      <c r="S513" s="343" t="s">
        <v>1062</v>
      </c>
      <c r="T513" s="294">
        <f t="shared" si="300"/>
        <v>0</v>
      </c>
      <c r="U513" s="346"/>
      <c r="V513" s="294">
        <f t="shared" si="301"/>
        <v>0</v>
      </c>
      <c r="W513" s="346"/>
      <c r="X513" s="294">
        <f t="shared" si="302"/>
        <v>-22432</v>
      </c>
      <c r="Y513" s="346"/>
      <c r="Z513" s="294">
        <f t="shared" si="303"/>
        <v>-22432</v>
      </c>
    </row>
    <row r="514" spans="2:29">
      <c r="B514" s="317" t="s">
        <v>1098</v>
      </c>
      <c r="D514" s="293">
        <f>'[7]BD-Redesign'!L31</f>
        <v>0</v>
      </c>
      <c r="E514" s="293">
        <f t="shared" si="299"/>
        <v>0</v>
      </c>
      <c r="G514" s="318"/>
      <c r="H514" s="318"/>
      <c r="L514" s="318">
        <f t="shared" si="295"/>
        <v>-0.61</v>
      </c>
      <c r="M514" s="318"/>
      <c r="N514" s="318">
        <f t="shared" si="296"/>
        <v>0</v>
      </c>
      <c r="O514" s="318"/>
      <c r="P514" s="318">
        <f t="shared" si="297"/>
        <v>0</v>
      </c>
      <c r="Q514" s="318"/>
      <c r="R514" s="318">
        <f t="shared" si="298"/>
        <v>-0.61</v>
      </c>
      <c r="S514" s="318"/>
      <c r="T514" s="294">
        <f>ROUND($E514*L514,0)</f>
        <v>0</v>
      </c>
      <c r="U514" s="319"/>
      <c r="V514" s="294">
        <f>ROUND($E514*N514,0)</f>
        <v>0</v>
      </c>
      <c r="W514" s="319"/>
      <c r="X514" s="294">
        <f>ROUND($E514*P514,0)</f>
        <v>0</v>
      </c>
      <c r="Y514" s="319"/>
      <c r="Z514" s="294">
        <f>ROUND($E514*R514,0)</f>
        <v>0</v>
      </c>
    </row>
    <row r="515" spans="2:29">
      <c r="B515" s="353" t="s">
        <v>1077</v>
      </c>
      <c r="D515" s="293">
        <f>'[7]BD-Redesign'!L32</f>
        <v>0</v>
      </c>
      <c r="E515" s="293">
        <f t="shared" si="299"/>
        <v>0</v>
      </c>
      <c r="G515" s="377"/>
      <c r="H515" s="343"/>
      <c r="L515" s="377">
        <f t="shared" si="295"/>
        <v>0</v>
      </c>
      <c r="M515" s="343" t="s">
        <v>1062</v>
      </c>
      <c r="N515" s="377">
        <f t="shared" si="296"/>
        <v>7.125</v>
      </c>
      <c r="O515" s="343" t="s">
        <v>1062</v>
      </c>
      <c r="P515" s="377">
        <f t="shared" si="297"/>
        <v>0</v>
      </c>
      <c r="Q515" s="343" t="s">
        <v>1062</v>
      </c>
      <c r="R515" s="377">
        <f t="shared" si="298"/>
        <v>7.125</v>
      </c>
      <c r="S515" s="343" t="s">
        <v>1062</v>
      </c>
      <c r="T515" s="294">
        <f>ROUND($E515*L515/100,0)</f>
        <v>0</v>
      </c>
      <c r="U515" s="346"/>
      <c r="V515" s="294">
        <f>ROUND($E515*N515/100,0)</f>
        <v>0</v>
      </c>
      <c r="W515" s="346"/>
      <c r="X515" s="294">
        <f>ROUND($E515*P515/100,0)</f>
        <v>0</v>
      </c>
      <c r="Y515" s="346"/>
      <c r="Z515" s="294">
        <f>ROUND($E515*R515/100,0)</f>
        <v>0</v>
      </c>
      <c r="AB515" s="305"/>
      <c r="AC515" s="325"/>
    </row>
    <row r="516" spans="2:29">
      <c r="B516" s="317" t="s">
        <v>1079</v>
      </c>
      <c r="G516" s="338"/>
      <c r="H516" s="339"/>
      <c r="L516" s="338"/>
      <c r="M516" s="339"/>
      <c r="N516" s="338"/>
      <c r="O516" s="339"/>
      <c r="P516" s="359" t="str">
        <f>$P$43</f>
        <v>Tax Year 1</v>
      </c>
      <c r="Q516" s="339"/>
      <c r="R516" s="338">
        <f>$R$979</f>
        <v>-2.7099999999999999E-2</v>
      </c>
      <c r="S516" s="339"/>
      <c r="Z516" s="294">
        <f>R516*SUM(Z506:Z509,Z515)</f>
        <v>-9417.737799999999</v>
      </c>
    </row>
    <row r="517" spans="2:29">
      <c r="B517" s="317"/>
      <c r="G517" s="338"/>
      <c r="H517" s="339"/>
      <c r="L517" s="338"/>
      <c r="M517" s="339"/>
      <c r="N517" s="338"/>
      <c r="O517" s="339"/>
      <c r="P517" s="359" t="str">
        <f>$P$44</f>
        <v>Tax Year 2</v>
      </c>
      <c r="Q517" s="339"/>
      <c r="R517" s="338">
        <f>$R$980</f>
        <v>-1.3599999999999999E-2</v>
      </c>
      <c r="S517" s="339"/>
      <c r="Z517" s="294">
        <f>R517*SUM(Z506:Z509,Z515)</f>
        <v>-4726.2447999999995</v>
      </c>
    </row>
    <row r="518" spans="2:29">
      <c r="B518" s="317" t="s">
        <v>945</v>
      </c>
      <c r="D518" s="293">
        <f>SUM(D510:D513,D515)</f>
        <v>990400.5</v>
      </c>
      <c r="E518" s="293">
        <f>E536</f>
        <v>3952240.3804399925</v>
      </c>
      <c r="G518" s="318"/>
      <c r="H518" s="318"/>
      <c r="L518" s="318"/>
      <c r="M518" s="318"/>
      <c r="N518" s="318"/>
      <c r="O518" s="318"/>
      <c r="P518" s="318"/>
      <c r="Q518" s="318"/>
      <c r="R518" s="318"/>
      <c r="S518" s="318"/>
      <c r="T518" s="294">
        <f>SUM(T505:T515)</f>
        <v>79301</v>
      </c>
      <c r="U518" s="319"/>
      <c r="V518" s="294">
        <f>SUM(V505:V515)</f>
        <v>228702</v>
      </c>
      <c r="W518" s="319"/>
      <c r="X518" s="294">
        <f>SUM(X505:X515)</f>
        <v>132399</v>
      </c>
      <c r="Y518" s="319"/>
      <c r="Z518" s="294">
        <f>SUM(Z505:Z515)</f>
        <v>440403</v>
      </c>
      <c r="AB518" s="305" t="s">
        <v>939</v>
      </c>
      <c r="AC518" s="329">
        <f>Z518/Z536-1</f>
        <v>-0.13981268982489725</v>
      </c>
    </row>
    <row r="519" spans="2:29">
      <c r="B519" s="317"/>
      <c r="G519" s="318"/>
      <c r="H519" s="318"/>
      <c r="L519" s="318"/>
      <c r="M519" s="318"/>
      <c r="N519" s="318"/>
      <c r="O519" s="318"/>
      <c r="P519" s="318"/>
      <c r="Q519" s="318"/>
      <c r="R519" s="318"/>
      <c r="S519" s="318"/>
      <c r="T519" s="319"/>
      <c r="U519" s="319"/>
      <c r="V519" s="319"/>
      <c r="W519" s="319"/>
      <c r="X519" s="319"/>
      <c r="Y519" s="319"/>
      <c r="AB519" s="305"/>
      <c r="AC519" s="325"/>
    </row>
    <row r="520" spans="2:29">
      <c r="B520" s="317" t="s">
        <v>1089</v>
      </c>
      <c r="D520" s="293">
        <f>D505</f>
        <v>55.716666666666669</v>
      </c>
      <c r="E520" s="293">
        <f>D520*E851/D851</f>
        <v>157.84953632148375</v>
      </c>
      <c r="G520" s="339">
        <f>G384</f>
        <v>54</v>
      </c>
      <c r="H520" s="339"/>
      <c r="I520" s="294">
        <f t="shared" ref="I520:J522" si="304">ROUND($G520*D520,0)</f>
        <v>3009</v>
      </c>
      <c r="J520" s="294">
        <f t="shared" si="304"/>
        <v>8524</v>
      </c>
      <c r="L520" s="339">
        <f t="shared" ref="L520:L527" si="305">L384</f>
        <v>55</v>
      </c>
      <c r="M520" s="339"/>
      <c r="N520" s="339">
        <f t="shared" ref="N520:N527" si="306">N384</f>
        <v>0</v>
      </c>
      <c r="O520" s="339"/>
      <c r="P520" s="339">
        <f t="shared" ref="P520:P527" si="307">P384</f>
        <v>0</v>
      </c>
      <c r="Q520" s="339"/>
      <c r="R520" s="339">
        <f t="shared" ref="R520:R527" si="308">R384</f>
        <v>55</v>
      </c>
      <c r="S520" s="339"/>
      <c r="T520" s="294">
        <f>ROUND($E520*L520,0)</f>
        <v>8682</v>
      </c>
      <c r="U520" s="319"/>
      <c r="V520" s="294">
        <f>ROUND($E520*N520,0)</f>
        <v>0</v>
      </c>
      <c r="W520" s="319"/>
      <c r="X520" s="294">
        <f>ROUND($E520*P520,0)</f>
        <v>0</v>
      </c>
      <c r="Y520" s="319"/>
      <c r="Z520" s="294">
        <f>ROUND($E520*R520,0)</f>
        <v>8682</v>
      </c>
    </row>
    <row r="521" spans="2:29">
      <c r="B521" s="317" t="s">
        <v>1099</v>
      </c>
      <c r="D521" s="293">
        <v>0</v>
      </c>
      <c r="E521" s="293">
        <v>0</v>
      </c>
      <c r="G521" s="339">
        <f>G385</f>
        <v>648</v>
      </c>
      <c r="H521" s="339"/>
      <c r="I521" s="294">
        <f t="shared" si="304"/>
        <v>0</v>
      </c>
      <c r="J521" s="294">
        <f t="shared" si="304"/>
        <v>0</v>
      </c>
      <c r="L521" s="339">
        <f t="shared" si="305"/>
        <v>660</v>
      </c>
      <c r="M521" s="339"/>
      <c r="N521" s="339">
        <f t="shared" si="306"/>
        <v>0</v>
      </c>
      <c r="O521" s="339"/>
      <c r="P521" s="339">
        <f t="shared" si="307"/>
        <v>0</v>
      </c>
      <c r="Q521" s="339"/>
      <c r="R521" s="339">
        <f t="shared" si="308"/>
        <v>660</v>
      </c>
      <c r="S521" s="339"/>
      <c r="T521" s="294">
        <f t="shared" ref="T521:T525" si="309">ROUND($E521*L521,0)</f>
        <v>0</v>
      </c>
      <c r="U521" s="319"/>
      <c r="V521" s="294">
        <f t="shared" ref="V521:V525" si="310">ROUND($E521*N521,0)</f>
        <v>0</v>
      </c>
      <c r="W521" s="319"/>
      <c r="X521" s="294">
        <f t="shared" ref="X521:X525" si="311">ROUND($E521*P521,0)</f>
        <v>0</v>
      </c>
      <c r="Y521" s="319"/>
      <c r="Z521" s="294">
        <f t="shared" ref="Z521:Z525" si="312">ROUND($E521*R521,0)</f>
        <v>0</v>
      </c>
    </row>
    <row r="522" spans="2:29">
      <c r="B522" s="317" t="s">
        <v>1050</v>
      </c>
      <c r="D522" s="293">
        <v>0</v>
      </c>
      <c r="E522" s="293">
        <v>0</v>
      </c>
      <c r="G522" s="339">
        <f>G386</f>
        <v>54</v>
      </c>
      <c r="H522" s="339"/>
      <c r="I522" s="294">
        <f t="shared" si="304"/>
        <v>0</v>
      </c>
      <c r="J522" s="294">
        <f t="shared" si="304"/>
        <v>0</v>
      </c>
      <c r="L522" s="339">
        <f t="shared" si="305"/>
        <v>55</v>
      </c>
      <c r="M522" s="339"/>
      <c r="N522" s="339">
        <f t="shared" si="306"/>
        <v>0</v>
      </c>
      <c r="O522" s="339"/>
      <c r="P522" s="339">
        <f t="shared" si="307"/>
        <v>0</v>
      </c>
      <c r="Q522" s="339"/>
      <c r="R522" s="339">
        <f t="shared" si="308"/>
        <v>55</v>
      </c>
      <c r="S522" s="339"/>
      <c r="T522" s="294">
        <f t="shared" si="309"/>
        <v>0</v>
      </c>
      <c r="V522" s="294">
        <f t="shared" si="310"/>
        <v>0</v>
      </c>
      <c r="X522" s="294">
        <f t="shared" si="311"/>
        <v>0</v>
      </c>
      <c r="Z522" s="294">
        <f t="shared" si="312"/>
        <v>0</v>
      </c>
    </row>
    <row r="523" spans="2:29">
      <c r="B523" s="317" t="s">
        <v>1101</v>
      </c>
      <c r="D523" s="293">
        <f>'[7]BD-Redesign'!L55</f>
        <v>5287.6844059405939</v>
      </c>
      <c r="E523" s="293">
        <f>ROUND(D523/D536*E536,0)</f>
        <v>21101</v>
      </c>
      <c r="G523" s="339">
        <f>G387</f>
        <v>4.04</v>
      </c>
      <c r="H523" s="339"/>
      <c r="I523" s="294">
        <f>ROUND($G523*D523,0)</f>
        <v>21362</v>
      </c>
      <c r="J523" s="294">
        <f>ROUND($G523*E523,0)</f>
        <v>85248</v>
      </c>
      <c r="L523" s="339">
        <f t="shared" si="305"/>
        <v>4.1100000000000003</v>
      </c>
      <c r="M523" s="339"/>
      <c r="N523" s="339">
        <f t="shared" si="306"/>
        <v>0</v>
      </c>
      <c r="O523" s="339"/>
      <c r="P523" s="339">
        <f t="shared" si="307"/>
        <v>0</v>
      </c>
      <c r="Q523" s="339"/>
      <c r="R523" s="339">
        <f t="shared" si="308"/>
        <v>4.1100000000000003</v>
      </c>
      <c r="S523" s="339"/>
      <c r="T523" s="294">
        <f t="shared" si="309"/>
        <v>86725</v>
      </c>
      <c r="U523" s="319"/>
      <c r="V523" s="294">
        <f t="shared" si="310"/>
        <v>0</v>
      </c>
      <c r="W523" s="319"/>
      <c r="X523" s="294">
        <f t="shared" si="311"/>
        <v>0</v>
      </c>
      <c r="Y523" s="319"/>
      <c r="Z523" s="294">
        <f t="shared" si="312"/>
        <v>86725</v>
      </c>
    </row>
    <row r="524" spans="2:29">
      <c r="B524" s="317" t="s">
        <v>1102</v>
      </c>
      <c r="D524" s="293">
        <f>'[7]BD-Redesign'!L56</f>
        <v>2252.7326732673264</v>
      </c>
      <c r="E524" s="293">
        <f>ROUND(D524/D526*E526,0)</f>
        <v>8990</v>
      </c>
      <c r="G524" s="339"/>
      <c r="H524" s="339"/>
      <c r="L524" s="339">
        <f t="shared" si="305"/>
        <v>0.73</v>
      </c>
      <c r="M524" s="339"/>
      <c r="N524" s="339">
        <f t="shared" si="306"/>
        <v>12.959999999999999</v>
      </c>
      <c r="O524" s="339"/>
      <c r="P524" s="339">
        <f t="shared" si="307"/>
        <v>0</v>
      </c>
      <c r="Q524" s="339"/>
      <c r="R524" s="339">
        <f t="shared" si="308"/>
        <v>13.69</v>
      </c>
      <c r="S524" s="339"/>
      <c r="T524" s="294">
        <f t="shared" si="309"/>
        <v>6563</v>
      </c>
      <c r="V524" s="294">
        <f t="shared" si="310"/>
        <v>116510</v>
      </c>
      <c r="X524" s="294">
        <f t="shared" si="311"/>
        <v>0</v>
      </c>
      <c r="Z524" s="294">
        <f t="shared" si="312"/>
        <v>123073</v>
      </c>
    </row>
    <row r="525" spans="2:29">
      <c r="B525" s="317" t="s">
        <v>1103</v>
      </c>
      <c r="D525" s="293">
        <f>'[7]BD-Redesign'!L57</f>
        <v>3034.9517326732675</v>
      </c>
      <c r="E525" s="293">
        <f>ROUND(D525/D527*E527,0)</f>
        <v>12111</v>
      </c>
      <c r="G525" s="339"/>
      <c r="H525" s="339"/>
      <c r="L525" s="339">
        <f t="shared" si="305"/>
        <v>0.64</v>
      </c>
      <c r="M525" s="339"/>
      <c r="N525" s="339">
        <f t="shared" si="306"/>
        <v>11.479999999999999</v>
      </c>
      <c r="O525" s="339"/>
      <c r="P525" s="339">
        <f t="shared" si="307"/>
        <v>0</v>
      </c>
      <c r="Q525" s="339"/>
      <c r="R525" s="339">
        <f t="shared" si="308"/>
        <v>12.12</v>
      </c>
      <c r="S525" s="339"/>
      <c r="T525" s="294">
        <f t="shared" si="309"/>
        <v>7751</v>
      </c>
      <c r="V525" s="294">
        <f t="shared" si="310"/>
        <v>139034</v>
      </c>
      <c r="X525" s="294">
        <f t="shared" si="311"/>
        <v>0</v>
      </c>
      <c r="Z525" s="294">
        <f t="shared" si="312"/>
        <v>146785</v>
      </c>
    </row>
    <row r="526" spans="2:29">
      <c r="B526" s="317" t="s">
        <v>1104</v>
      </c>
      <c r="D526" s="293">
        <f>'[7]BD-Redesign'!L59</f>
        <v>378828</v>
      </c>
      <c r="E526" s="293">
        <f>E536-E527</f>
        <v>1511731.3804399925</v>
      </c>
      <c r="G526" s="377"/>
      <c r="H526" s="343"/>
      <c r="L526" s="377">
        <f t="shared" si="305"/>
        <v>0</v>
      </c>
      <c r="M526" s="343" t="s">
        <v>1062</v>
      </c>
      <c r="N526" s="377">
        <f t="shared" si="306"/>
        <v>1.7162999999999999</v>
      </c>
      <c r="O526" s="343" t="s">
        <v>1062</v>
      </c>
      <c r="P526" s="377">
        <f t="shared" si="307"/>
        <v>2.279911334706</v>
      </c>
      <c r="Q526" s="343" t="s">
        <v>1062</v>
      </c>
      <c r="R526" s="377">
        <f t="shared" si="308"/>
        <v>3.996211334706</v>
      </c>
      <c r="S526" s="343" t="s">
        <v>1062</v>
      </c>
      <c r="T526" s="294">
        <f>ROUND($E526*L526/100,0)</f>
        <v>0</v>
      </c>
      <c r="U526" s="346"/>
      <c r="V526" s="294">
        <f>ROUND($E526*N526/100,0)</f>
        <v>25946</v>
      </c>
      <c r="W526" s="346"/>
      <c r="X526" s="294">
        <f>ROUND($E526*P526/100,0)</f>
        <v>34466</v>
      </c>
      <c r="Y526" s="346"/>
      <c r="Z526" s="294">
        <f>ROUND($E526*R526/100,0)</f>
        <v>60412</v>
      </c>
    </row>
    <row r="527" spans="2:29">
      <c r="B527" s="317" t="s">
        <v>1105</v>
      </c>
      <c r="D527" s="293">
        <f>'[7]BD-Redesign'!L60</f>
        <v>611572.5</v>
      </c>
      <c r="E527" s="293">
        <f>ROUND(D527/D536*E536,0)</f>
        <v>2440509</v>
      </c>
      <c r="G527" s="377"/>
      <c r="H527" s="343"/>
      <c r="L527" s="377">
        <f t="shared" si="305"/>
        <v>0</v>
      </c>
      <c r="M527" s="343" t="s">
        <v>1062</v>
      </c>
      <c r="N527" s="377">
        <f t="shared" si="306"/>
        <v>1.5188999999999999</v>
      </c>
      <c r="O527" s="343" t="s">
        <v>1062</v>
      </c>
      <c r="P527" s="377">
        <f t="shared" si="307"/>
        <v>2.0175702077039999</v>
      </c>
      <c r="Q527" s="343" t="s">
        <v>1062</v>
      </c>
      <c r="R527" s="377">
        <f t="shared" si="308"/>
        <v>3.5364702077039998</v>
      </c>
      <c r="S527" s="343" t="s">
        <v>1062</v>
      </c>
      <c r="T527" s="294">
        <f>ROUND($E527*L527/100,0)</f>
        <v>0</v>
      </c>
      <c r="U527" s="346"/>
      <c r="V527" s="294">
        <f>ROUND($E527*N527/100,0)</f>
        <v>37069</v>
      </c>
      <c r="W527" s="346"/>
      <c r="X527" s="294">
        <f>ROUND($E527*P527/100,0)</f>
        <v>49239</v>
      </c>
      <c r="Y527" s="346"/>
      <c r="Z527" s="294">
        <f>ROUND($E527*R527/100,0)</f>
        <v>86308</v>
      </c>
    </row>
    <row r="528" spans="2:29">
      <c r="B528" s="317" t="s">
        <v>1106</v>
      </c>
      <c r="D528" s="293">
        <f>(D524+D525)*D859/(D859+D860)</f>
        <v>2627.3123887994552</v>
      </c>
      <c r="E528" s="293">
        <f>ROUND(D528/D536*E536,0)</f>
        <v>10484</v>
      </c>
      <c r="G528" s="339">
        <f>G392</f>
        <v>14.62</v>
      </c>
      <c r="H528" s="339"/>
      <c r="I528" s="294">
        <f t="shared" ref="I528:J530" si="313">ROUND($G528*D528,0)</f>
        <v>38411</v>
      </c>
      <c r="J528" s="294">
        <f t="shared" si="313"/>
        <v>153276</v>
      </c>
      <c r="L528" s="339"/>
      <c r="M528" s="339"/>
      <c r="N528" s="339"/>
      <c r="O528" s="339"/>
      <c r="P528" s="339"/>
      <c r="Q528" s="339"/>
      <c r="R528" s="339"/>
      <c r="S528" s="339"/>
      <c r="U528" s="319"/>
      <c r="W528" s="319"/>
      <c r="Y528" s="319"/>
    </row>
    <row r="529" spans="1:29">
      <c r="B529" s="317" t="s">
        <v>1107</v>
      </c>
      <c r="D529" s="293">
        <f>D524+D525-D528</f>
        <v>2660.3720171411387</v>
      </c>
      <c r="E529" s="293">
        <f>ROUND(D529/D536*E536,0)</f>
        <v>10616</v>
      </c>
      <c r="G529" s="339">
        <f>G393</f>
        <v>10.91</v>
      </c>
      <c r="H529" s="339"/>
      <c r="I529" s="294">
        <f t="shared" si="313"/>
        <v>29025</v>
      </c>
      <c r="J529" s="294">
        <f t="shared" si="313"/>
        <v>115821</v>
      </c>
      <c r="L529" s="339"/>
      <c r="M529" s="339"/>
      <c r="N529" s="339"/>
      <c r="O529" s="339"/>
      <c r="P529" s="339"/>
      <c r="Q529" s="339"/>
      <c r="R529" s="339"/>
      <c r="S529" s="339"/>
      <c r="U529" s="319"/>
      <c r="W529" s="319"/>
      <c r="Y529" s="319"/>
    </row>
    <row r="530" spans="1:29">
      <c r="B530" s="317" t="s">
        <v>1098</v>
      </c>
      <c r="D530" s="293">
        <f>D514</f>
        <v>0</v>
      </c>
      <c r="E530" s="293">
        <f>E514</f>
        <v>0</v>
      </c>
      <c r="G530" s="339">
        <f>G394</f>
        <v>-0.96</v>
      </c>
      <c r="H530" s="339"/>
      <c r="I530" s="294">
        <f t="shared" si="313"/>
        <v>0</v>
      </c>
      <c r="J530" s="294">
        <f t="shared" si="313"/>
        <v>0</v>
      </c>
      <c r="L530" s="339">
        <f>L394</f>
        <v>-0.96</v>
      </c>
      <c r="M530" s="339"/>
      <c r="N530" s="339">
        <f>N394</f>
        <v>0</v>
      </c>
      <c r="O530" s="339"/>
      <c r="P530" s="339">
        <f>P394</f>
        <v>0</v>
      </c>
      <c r="Q530" s="339"/>
      <c r="R530" s="339">
        <f>R394</f>
        <v>-0.96</v>
      </c>
      <c r="S530" s="339"/>
      <c r="T530" s="294">
        <f t="shared" ref="T530" si="314">ROUND($E530*L530,0)</f>
        <v>0</v>
      </c>
      <c r="U530" s="319"/>
      <c r="V530" s="294">
        <f t="shared" ref="V530" si="315">ROUND($E530*N530,0)</f>
        <v>0</v>
      </c>
      <c r="W530" s="319"/>
      <c r="X530" s="294">
        <f t="shared" ref="X530" si="316">ROUND($E530*P530,0)</f>
        <v>0</v>
      </c>
      <c r="Y530" s="319"/>
      <c r="Z530" s="294">
        <f t="shared" ref="Z530" si="317">ROUND($E530*R530,0)</f>
        <v>0</v>
      </c>
    </row>
    <row r="531" spans="1:29">
      <c r="B531" s="317" t="s">
        <v>1108</v>
      </c>
      <c r="D531" s="293">
        <f>(D526+D527)*D862/(D862+D863)</f>
        <v>466945.20143776794</v>
      </c>
      <c r="E531" s="293">
        <f>ROUND(D531/D536*E536,0)</f>
        <v>1863367</v>
      </c>
      <c r="G531" s="377">
        <f>G395</f>
        <v>3.8127</v>
      </c>
      <c r="H531" s="343" t="s">
        <v>1062</v>
      </c>
      <c r="I531" s="294">
        <f>ROUND($G531*D531/100,0)</f>
        <v>17803</v>
      </c>
      <c r="J531" s="294">
        <f>ROUND($G531*E531/100,0)</f>
        <v>71045</v>
      </c>
      <c r="L531" s="377"/>
      <c r="M531" s="343"/>
      <c r="N531" s="377"/>
      <c r="O531" s="343"/>
      <c r="P531" s="377"/>
      <c r="Q531" s="343"/>
      <c r="R531" s="377"/>
      <c r="S531" s="343"/>
      <c r="T531" s="346"/>
      <c r="U531" s="346"/>
      <c r="V531" s="346"/>
      <c r="W531" s="346"/>
      <c r="X531" s="346"/>
      <c r="Y531" s="346"/>
    </row>
    <row r="532" spans="1:29">
      <c r="B532" s="317" t="s">
        <v>1109</v>
      </c>
      <c r="D532" s="293">
        <f>D526+D527-D531</f>
        <v>523455.29856223206</v>
      </c>
      <c r="E532" s="293">
        <f>E536-E531</f>
        <v>2088873.3804399925</v>
      </c>
      <c r="G532" s="377">
        <f>G396</f>
        <v>3.5143</v>
      </c>
      <c r="H532" s="343" t="s">
        <v>1062</v>
      </c>
      <c r="I532" s="294">
        <f>ROUND($G532*D532/100,0)</f>
        <v>18396</v>
      </c>
      <c r="J532" s="294">
        <f>ROUND($G532*E532/100,0)</f>
        <v>73409</v>
      </c>
      <c r="L532" s="377"/>
      <c r="M532" s="343"/>
      <c r="N532" s="377"/>
      <c r="O532" s="343"/>
      <c r="P532" s="377"/>
      <c r="Q532" s="343"/>
      <c r="R532" s="377"/>
      <c r="S532" s="343"/>
      <c r="T532" s="346"/>
      <c r="U532" s="346"/>
      <c r="V532" s="346"/>
      <c r="W532" s="346"/>
      <c r="X532" s="346"/>
      <c r="Y532" s="346"/>
    </row>
    <row r="533" spans="1:29">
      <c r="B533" s="317" t="s">
        <v>1078</v>
      </c>
      <c r="D533" s="357">
        <v>0</v>
      </c>
      <c r="E533" s="357">
        <v>0</v>
      </c>
      <c r="I533" s="358">
        <v>0</v>
      </c>
      <c r="J533" s="358">
        <v>0</v>
      </c>
      <c r="Z533" s="358"/>
    </row>
    <row r="534" spans="1:29">
      <c r="B534" s="317" t="s">
        <v>1079</v>
      </c>
      <c r="G534" s="338">
        <f t="shared" ref="G534" si="318">G398</f>
        <v>-3.61E-2</v>
      </c>
      <c r="H534" s="339"/>
      <c r="I534" s="294">
        <f>SUM(I528:I529,I531:I532)*$G534</f>
        <v>-3741.2235000000001</v>
      </c>
      <c r="J534" s="294">
        <f>SUM(J528:J529,J531:J532)*$G534</f>
        <v>-14929.1911</v>
      </c>
      <c r="L534" s="338"/>
      <c r="M534" s="339"/>
      <c r="N534" s="338"/>
      <c r="O534" s="339"/>
      <c r="P534" s="359" t="str">
        <f>$P$43</f>
        <v>Tax Year 1</v>
      </c>
      <c r="Q534" s="339"/>
      <c r="R534" s="338">
        <f>$R$687</f>
        <v>-2.4199999999999999E-2</v>
      </c>
      <c r="S534" s="339"/>
      <c r="Z534" s="294">
        <f>R534*SUM(Z524:Z527)</f>
        <v>-10081.187599999999</v>
      </c>
    </row>
    <row r="535" spans="1:29">
      <c r="B535" s="317"/>
      <c r="G535" s="338"/>
      <c r="H535" s="339"/>
      <c r="L535" s="338"/>
      <c r="M535" s="339"/>
      <c r="N535" s="338"/>
      <c r="O535" s="339"/>
      <c r="P535" s="359" t="str">
        <f>$P$44</f>
        <v>Tax Year 2</v>
      </c>
      <c r="Q535" s="339"/>
      <c r="R535" s="338">
        <f>$R$688</f>
        <v>-1.21E-2</v>
      </c>
      <c r="S535" s="339"/>
      <c r="Z535" s="294">
        <f>R535*SUM(Z524:Z527)</f>
        <v>-5040.5937999999996</v>
      </c>
    </row>
    <row r="536" spans="1:29" ht="16.5" thickBot="1">
      <c r="B536" s="317" t="s">
        <v>937</v>
      </c>
      <c r="D536" s="381">
        <f>SUM(D531:D533)</f>
        <v>990400.5</v>
      </c>
      <c r="E536" s="381">
        <f>D536*E867/D867</f>
        <v>3952240.3804399925</v>
      </c>
      <c r="G536" s="368"/>
      <c r="I536" s="369">
        <f>SUM(I520:I534)</f>
        <v>124264.77650000001</v>
      </c>
      <c r="J536" s="369">
        <f>SUM(J520:J534)</f>
        <v>492393.8089</v>
      </c>
      <c r="L536" s="368"/>
      <c r="N536" s="368"/>
      <c r="P536" s="368"/>
      <c r="R536" s="368"/>
      <c r="T536" s="369">
        <f>SUM(T520:T533)</f>
        <v>109721</v>
      </c>
      <c r="V536" s="369">
        <f>SUM(V520:V533)</f>
        <v>318559</v>
      </c>
      <c r="X536" s="369">
        <f>SUM(X520:X533)</f>
        <v>83705</v>
      </c>
      <c r="Z536" s="369">
        <f>SUM(Z520:Z533)</f>
        <v>511985</v>
      </c>
      <c r="AB536" s="305" t="s">
        <v>939</v>
      </c>
      <c r="AC536" s="304">
        <f>Z536/J536-1</f>
        <v>3.9787647094439382E-2</v>
      </c>
    </row>
    <row r="538" spans="1:29">
      <c r="A538" s="292">
        <v>1</v>
      </c>
      <c r="B538" s="314" t="s">
        <v>954</v>
      </c>
      <c r="F538" s="339"/>
      <c r="K538" s="339"/>
    </row>
    <row r="539" spans="1:29">
      <c r="B539" s="317" t="s">
        <v>1089</v>
      </c>
      <c r="D539" s="293">
        <f t="shared" ref="D539:E549" si="319">D572+D605+D638</f>
        <v>63</v>
      </c>
      <c r="E539" s="293">
        <f t="shared" si="319"/>
        <v>69.151622418879057</v>
      </c>
      <c r="G539" s="318"/>
      <c r="H539" s="318"/>
      <c r="L539" s="318">
        <f>L969</f>
        <v>55</v>
      </c>
      <c r="M539" s="318"/>
      <c r="N539" s="318">
        <f>N969</f>
        <v>0</v>
      </c>
      <c r="O539" s="318"/>
      <c r="P539" s="318">
        <f>P969</f>
        <v>0</v>
      </c>
      <c r="Q539" s="318"/>
      <c r="R539" s="318">
        <f>R969</f>
        <v>55</v>
      </c>
      <c r="S539" s="318"/>
      <c r="T539" s="294">
        <f>ROUND($E539*L539,0)</f>
        <v>3803</v>
      </c>
      <c r="U539" s="319"/>
      <c r="V539" s="294">
        <f>ROUND($E539*N539,0)</f>
        <v>0</v>
      </c>
      <c r="W539" s="319"/>
      <c r="X539" s="294">
        <f>ROUND($E539*P539,0)</f>
        <v>0</v>
      </c>
      <c r="Y539" s="319"/>
      <c r="Z539" s="294">
        <f>ROUND($E539*R539,0)</f>
        <v>3803</v>
      </c>
      <c r="AB539" s="305"/>
      <c r="AC539" s="325"/>
    </row>
    <row r="540" spans="1:29">
      <c r="B540" s="317" t="s">
        <v>1090</v>
      </c>
      <c r="D540" s="293">
        <f t="shared" si="319"/>
        <v>22414.5</v>
      </c>
      <c r="E540" s="293">
        <f t="shared" si="319"/>
        <v>23181.405554894285</v>
      </c>
      <c r="F540" s="339"/>
      <c r="G540" s="376"/>
      <c r="H540" s="343"/>
      <c r="K540" s="339"/>
      <c r="L540" s="376">
        <f>L961</f>
        <v>1.7867999999999999</v>
      </c>
      <c r="M540" s="343" t="s">
        <v>1062</v>
      </c>
      <c r="N540" s="376">
        <f>N961</f>
        <v>19.766631654000651</v>
      </c>
      <c r="O540" s="343" t="s">
        <v>1062</v>
      </c>
      <c r="P540" s="376">
        <f>P961</f>
        <v>1.3127</v>
      </c>
      <c r="Q540" s="343" t="s">
        <v>1062</v>
      </c>
      <c r="R540" s="376">
        <f>R961</f>
        <v>22.86613165400065</v>
      </c>
      <c r="S540" s="343" t="s">
        <v>1062</v>
      </c>
      <c r="T540" s="294">
        <f>ROUND($E540*L540/100,0)</f>
        <v>414</v>
      </c>
      <c r="U540" s="346"/>
      <c r="V540" s="294">
        <f>ROUND($E540*N540/100,0)</f>
        <v>4582</v>
      </c>
      <c r="W540" s="346"/>
      <c r="X540" s="294">
        <f>ROUND($E540*P540/100,0)</f>
        <v>304</v>
      </c>
      <c r="Y540" s="346"/>
      <c r="Z540" s="294">
        <f>ROUND($E540*R540/100,0)</f>
        <v>5301</v>
      </c>
    </row>
    <row r="541" spans="1:29">
      <c r="B541" s="317" t="s">
        <v>1091</v>
      </c>
      <c r="D541" s="293">
        <f t="shared" si="319"/>
        <v>29653.5</v>
      </c>
      <c r="E541" s="293">
        <f t="shared" si="319"/>
        <v>32182.25158153542</v>
      </c>
      <c r="F541" s="339"/>
      <c r="G541" s="376"/>
      <c r="H541" s="343"/>
      <c r="K541" s="339"/>
      <c r="L541" s="376">
        <f t="shared" ref="L541:L547" si="320">L962</f>
        <v>1.7867999999999999</v>
      </c>
      <c r="M541" s="343" t="s">
        <v>1062</v>
      </c>
      <c r="N541" s="376">
        <f t="shared" ref="N541:N547" si="321">N962</f>
        <v>1.4732003384230001</v>
      </c>
      <c r="O541" s="343" t="s">
        <v>1062</v>
      </c>
      <c r="P541" s="376">
        <f t="shared" ref="P541:P547" si="322">P962</f>
        <v>1.3127</v>
      </c>
      <c r="Q541" s="343" t="s">
        <v>1062</v>
      </c>
      <c r="R541" s="376">
        <f t="shared" ref="R541:R547" si="323">R962</f>
        <v>4.5727003384230001</v>
      </c>
      <c r="S541" s="343" t="s">
        <v>1062</v>
      </c>
      <c r="T541" s="294">
        <f t="shared" ref="T541:T547" si="324">ROUND($E541*L541/100,0)</f>
        <v>575</v>
      </c>
      <c r="U541" s="346"/>
      <c r="V541" s="294">
        <f t="shared" ref="V541:V547" si="325">ROUND($E541*N541/100,0)</f>
        <v>474</v>
      </c>
      <c r="W541" s="346"/>
      <c r="X541" s="294">
        <f t="shared" ref="X541:X547" si="326">ROUND($E541*P541/100,0)</f>
        <v>422</v>
      </c>
      <c r="Y541" s="346"/>
      <c r="Z541" s="294">
        <f t="shared" ref="Z541:Z547" si="327">ROUND($E541*R541/100,0)</f>
        <v>1472</v>
      </c>
    </row>
    <row r="542" spans="1:29">
      <c r="B542" s="317" t="s">
        <v>1092</v>
      </c>
      <c r="D542" s="293">
        <f t="shared" si="319"/>
        <v>49842</v>
      </c>
      <c r="E542" s="293">
        <f t="shared" si="319"/>
        <v>59234.229549653035</v>
      </c>
      <c r="F542" s="339"/>
      <c r="G542" s="376"/>
      <c r="H542" s="343"/>
      <c r="K542" s="339"/>
      <c r="L542" s="376">
        <f t="shared" si="320"/>
        <v>1.7867999999999999</v>
      </c>
      <c r="M542" s="343" t="s">
        <v>1062</v>
      </c>
      <c r="N542" s="376">
        <f t="shared" si="321"/>
        <v>17.286999999999999</v>
      </c>
      <c r="O542" s="343" t="s">
        <v>1062</v>
      </c>
      <c r="P542" s="376">
        <f t="shared" si="322"/>
        <v>1.1617</v>
      </c>
      <c r="Q542" s="343" t="s">
        <v>1062</v>
      </c>
      <c r="R542" s="376">
        <f t="shared" si="323"/>
        <v>20.235499999999998</v>
      </c>
      <c r="S542" s="343" t="s">
        <v>1062</v>
      </c>
      <c r="T542" s="294">
        <f t="shared" si="324"/>
        <v>1058</v>
      </c>
      <c r="U542" s="346"/>
      <c r="V542" s="294">
        <f t="shared" si="325"/>
        <v>10240</v>
      </c>
      <c r="W542" s="346"/>
      <c r="X542" s="294">
        <f t="shared" si="326"/>
        <v>688</v>
      </c>
      <c r="Y542" s="346"/>
      <c r="Z542" s="294">
        <f t="shared" si="327"/>
        <v>11986</v>
      </c>
    </row>
    <row r="543" spans="1:29">
      <c r="B543" s="317" t="s">
        <v>1093</v>
      </c>
      <c r="D543" s="293">
        <f t="shared" si="319"/>
        <v>25704.5</v>
      </c>
      <c r="E543" s="293">
        <f t="shared" si="319"/>
        <v>26202.396718020587</v>
      </c>
      <c r="F543" s="339"/>
      <c r="G543" s="376"/>
      <c r="H543" s="343"/>
      <c r="K543" s="339"/>
      <c r="L543" s="376">
        <f t="shared" si="320"/>
        <v>1.7867999999999999</v>
      </c>
      <c r="M543" s="343" t="s">
        <v>1062</v>
      </c>
      <c r="N543" s="376">
        <f t="shared" si="321"/>
        <v>1.0980999999999999</v>
      </c>
      <c r="O543" s="343" t="s">
        <v>1062</v>
      </c>
      <c r="P543" s="376">
        <f t="shared" si="322"/>
        <v>1.1617</v>
      </c>
      <c r="Q543" s="343" t="s">
        <v>1062</v>
      </c>
      <c r="R543" s="376">
        <f t="shared" si="323"/>
        <v>4.0465999999999998</v>
      </c>
      <c r="S543" s="343" t="s">
        <v>1062</v>
      </c>
      <c r="T543" s="294">
        <f t="shared" si="324"/>
        <v>468</v>
      </c>
      <c r="U543" s="346"/>
      <c r="V543" s="294">
        <f t="shared" si="325"/>
        <v>288</v>
      </c>
      <c r="W543" s="346"/>
      <c r="X543" s="294">
        <f t="shared" si="326"/>
        <v>304</v>
      </c>
      <c r="Y543" s="346"/>
      <c r="Z543" s="294">
        <f t="shared" si="327"/>
        <v>1060</v>
      </c>
    </row>
    <row r="544" spans="1:29">
      <c r="B544" s="317" t="s">
        <v>1094</v>
      </c>
      <c r="D544" s="293">
        <f t="shared" si="319"/>
        <v>28915.990030965484</v>
      </c>
      <c r="E544" s="293">
        <f t="shared" si="319"/>
        <v>30746.234881977271</v>
      </c>
      <c r="F544" s="339"/>
      <c r="G544" s="376"/>
      <c r="H544" s="343"/>
      <c r="K544" s="339"/>
      <c r="L544" s="376">
        <f t="shared" si="320"/>
        <v>0</v>
      </c>
      <c r="M544" s="343" t="s">
        <v>1062</v>
      </c>
      <c r="N544" s="376">
        <f t="shared" si="321"/>
        <v>0</v>
      </c>
      <c r="O544" s="343" t="s">
        <v>1062</v>
      </c>
      <c r="P544" s="376">
        <f t="shared" si="322"/>
        <v>6</v>
      </c>
      <c r="Q544" s="343" t="s">
        <v>1062</v>
      </c>
      <c r="R544" s="376">
        <f t="shared" si="323"/>
        <v>6</v>
      </c>
      <c r="S544" s="343" t="s">
        <v>1062</v>
      </c>
      <c r="T544" s="294">
        <f t="shared" si="324"/>
        <v>0</v>
      </c>
      <c r="U544" s="346"/>
      <c r="V544" s="294">
        <f t="shared" si="325"/>
        <v>0</v>
      </c>
      <c r="W544" s="346"/>
      <c r="X544" s="294">
        <f t="shared" si="326"/>
        <v>1845</v>
      </c>
      <c r="Y544" s="346"/>
      <c r="Z544" s="294">
        <f t="shared" si="327"/>
        <v>1845</v>
      </c>
    </row>
    <row r="545" spans="1:29">
      <c r="B545" s="317" t="s">
        <v>1095</v>
      </c>
      <c r="D545" s="293">
        <f t="shared" si="319"/>
        <v>23152.009969034516</v>
      </c>
      <c r="E545" s="293">
        <f t="shared" si="319"/>
        <v>24617.422254452438</v>
      </c>
      <c r="F545" s="339"/>
      <c r="G545" s="376"/>
      <c r="H545" s="343"/>
      <c r="K545" s="339"/>
      <c r="L545" s="376">
        <f t="shared" si="320"/>
        <v>0</v>
      </c>
      <c r="M545" s="343" t="s">
        <v>1062</v>
      </c>
      <c r="N545" s="376">
        <f t="shared" si="321"/>
        <v>0</v>
      </c>
      <c r="O545" s="343" t="s">
        <v>1062</v>
      </c>
      <c r="P545" s="376">
        <f t="shared" si="322"/>
        <v>-2.3358000000000008</v>
      </c>
      <c r="Q545" s="343" t="s">
        <v>1062</v>
      </c>
      <c r="R545" s="376">
        <f t="shared" si="323"/>
        <v>-2.3358000000000008</v>
      </c>
      <c r="S545" s="343" t="s">
        <v>1062</v>
      </c>
      <c r="T545" s="294">
        <f t="shared" si="324"/>
        <v>0</v>
      </c>
      <c r="U545" s="346"/>
      <c r="V545" s="294">
        <f t="shared" si="325"/>
        <v>0</v>
      </c>
      <c r="W545" s="346"/>
      <c r="X545" s="294">
        <f t="shared" si="326"/>
        <v>-575</v>
      </c>
      <c r="Y545" s="346"/>
      <c r="Z545" s="294">
        <f t="shared" si="327"/>
        <v>-575</v>
      </c>
    </row>
    <row r="546" spans="1:29">
      <c r="B546" s="317" t="s">
        <v>1096</v>
      </c>
      <c r="D546" s="293">
        <f t="shared" si="319"/>
        <v>41954.78683403114</v>
      </c>
      <c r="E546" s="293">
        <f t="shared" si="319"/>
        <v>47447.273439259698</v>
      </c>
      <c r="F546" s="339"/>
      <c r="G546" s="376"/>
      <c r="H546" s="343"/>
      <c r="K546" s="339"/>
      <c r="L546" s="376">
        <f t="shared" si="320"/>
        <v>0</v>
      </c>
      <c r="M546" s="343" t="s">
        <v>1062</v>
      </c>
      <c r="N546" s="376">
        <f t="shared" si="321"/>
        <v>0</v>
      </c>
      <c r="O546" s="343" t="s">
        <v>1062</v>
      </c>
      <c r="P546" s="376">
        <f t="shared" si="322"/>
        <v>5.3097000000000003</v>
      </c>
      <c r="Q546" s="343" t="s">
        <v>1062</v>
      </c>
      <c r="R546" s="376">
        <f t="shared" si="323"/>
        <v>5.3097000000000003</v>
      </c>
      <c r="S546" s="343" t="s">
        <v>1062</v>
      </c>
      <c r="T546" s="294">
        <f t="shared" si="324"/>
        <v>0</v>
      </c>
      <c r="U546" s="346"/>
      <c r="V546" s="294">
        <f t="shared" si="325"/>
        <v>0</v>
      </c>
      <c r="W546" s="346"/>
      <c r="X546" s="294">
        <f t="shared" si="326"/>
        <v>2519</v>
      </c>
      <c r="Y546" s="346"/>
      <c r="Z546" s="294">
        <f t="shared" si="327"/>
        <v>2519</v>
      </c>
    </row>
    <row r="547" spans="1:29">
      <c r="B547" s="317" t="s">
        <v>1097</v>
      </c>
      <c r="D547" s="293">
        <f t="shared" si="319"/>
        <v>33591.713165968853</v>
      </c>
      <c r="E547" s="293">
        <f t="shared" si="319"/>
        <v>37989.352828413917</v>
      </c>
      <c r="F547" s="339"/>
      <c r="G547" s="376"/>
      <c r="H547" s="343"/>
      <c r="K547" s="339"/>
      <c r="L547" s="376">
        <f t="shared" si="320"/>
        <v>0</v>
      </c>
      <c r="M547" s="343" t="s">
        <v>1062</v>
      </c>
      <c r="N547" s="376">
        <f t="shared" si="321"/>
        <v>0</v>
      </c>
      <c r="O547" s="343" t="s">
        <v>1062</v>
      </c>
      <c r="P547" s="376">
        <f t="shared" si="322"/>
        <v>-2.0670999999999999</v>
      </c>
      <c r="Q547" s="343" t="s">
        <v>1062</v>
      </c>
      <c r="R547" s="376">
        <f t="shared" si="323"/>
        <v>-2.0670999999999999</v>
      </c>
      <c r="S547" s="343" t="s">
        <v>1062</v>
      </c>
      <c r="T547" s="294">
        <f t="shared" si="324"/>
        <v>0</v>
      </c>
      <c r="U547" s="346"/>
      <c r="V547" s="294">
        <f t="shared" si="325"/>
        <v>0</v>
      </c>
      <c r="W547" s="346"/>
      <c r="X547" s="294">
        <f t="shared" si="326"/>
        <v>-785</v>
      </c>
      <c r="Y547" s="346"/>
      <c r="Z547" s="294">
        <f t="shared" si="327"/>
        <v>-785</v>
      </c>
    </row>
    <row r="548" spans="1:29">
      <c r="B548" s="317" t="s">
        <v>1098</v>
      </c>
      <c r="D548" s="293">
        <f t="shared" si="319"/>
        <v>0</v>
      </c>
      <c r="E548" s="293">
        <f t="shared" si="319"/>
        <v>0</v>
      </c>
      <c r="G548" s="318"/>
      <c r="H548" s="318"/>
      <c r="L548" s="318">
        <f>L996</f>
        <v>-0.61</v>
      </c>
      <c r="M548" s="318"/>
      <c r="N548" s="318">
        <f>N996</f>
        <v>0</v>
      </c>
      <c r="O548" s="318"/>
      <c r="P548" s="318">
        <f>P996</f>
        <v>0</v>
      </c>
      <c r="Q548" s="318"/>
      <c r="R548" s="318">
        <f>R996</f>
        <v>-0.61</v>
      </c>
      <c r="S548" s="318"/>
      <c r="T548" s="294">
        <f>ROUND($E548*L548,0)</f>
        <v>0</v>
      </c>
      <c r="U548" s="319"/>
      <c r="V548" s="294">
        <f>ROUND($E548*N548,0)</f>
        <v>0</v>
      </c>
      <c r="W548" s="319"/>
      <c r="X548" s="294">
        <f>ROUND($E548*P548,0)</f>
        <v>0</v>
      </c>
      <c r="Y548" s="319"/>
      <c r="Z548" s="294">
        <f>ROUND($E548*R548,0)</f>
        <v>0</v>
      </c>
    </row>
    <row r="549" spans="1:29">
      <c r="B549" s="353" t="s">
        <v>1077</v>
      </c>
      <c r="D549" s="293">
        <f t="shared" si="319"/>
        <v>0</v>
      </c>
      <c r="E549" s="293">
        <f t="shared" si="319"/>
        <v>0</v>
      </c>
      <c r="G549" s="377"/>
      <c r="H549" s="343"/>
      <c r="L549" s="377">
        <f>L1001</f>
        <v>0</v>
      </c>
      <c r="M549" s="343" t="s">
        <v>1062</v>
      </c>
      <c r="N549" s="377">
        <f>N1001</f>
        <v>7.125</v>
      </c>
      <c r="O549" s="343" t="s">
        <v>1062</v>
      </c>
      <c r="P549" s="377">
        <f>P1001</f>
        <v>0</v>
      </c>
      <c r="Q549" s="343" t="s">
        <v>1062</v>
      </c>
      <c r="R549" s="377">
        <f>R1001</f>
        <v>7.125</v>
      </c>
      <c r="S549" s="343" t="s">
        <v>1062</v>
      </c>
      <c r="T549" s="294">
        <f>ROUND($E549*L549/100,0)</f>
        <v>0</v>
      </c>
      <c r="U549" s="346"/>
      <c r="V549" s="294">
        <f>ROUND($E549*N549/100,0)</f>
        <v>0</v>
      </c>
      <c r="W549" s="346"/>
      <c r="X549" s="294">
        <f>ROUND($E549*P549/100,0)</f>
        <v>0</v>
      </c>
      <c r="Y549" s="346"/>
      <c r="Z549" s="294">
        <f>ROUND($E549*R549/100,0)</f>
        <v>0</v>
      </c>
      <c r="AB549" s="305"/>
      <c r="AC549" s="325"/>
    </row>
    <row r="550" spans="1:29">
      <c r="B550" s="317" t="s">
        <v>1079</v>
      </c>
      <c r="G550" s="338"/>
      <c r="H550" s="339"/>
      <c r="L550" s="338"/>
      <c r="M550" s="339"/>
      <c r="N550" s="338"/>
      <c r="O550" s="339"/>
      <c r="P550" s="359" t="str">
        <f>$P$43</f>
        <v>Tax Year 1</v>
      </c>
      <c r="Q550" s="339"/>
      <c r="R550" s="338">
        <f>$R$979</f>
        <v>-2.7099999999999999E-2</v>
      </c>
      <c r="S550" s="339"/>
      <c r="Z550" s="294">
        <f>R550*SUM(Z540:Z543,Z549)</f>
        <v>-537.09489999999994</v>
      </c>
    </row>
    <row r="551" spans="1:29">
      <c r="B551" s="317"/>
      <c r="G551" s="338"/>
      <c r="H551" s="339"/>
      <c r="L551" s="338"/>
      <c r="M551" s="339"/>
      <c r="N551" s="338"/>
      <c r="O551" s="339"/>
      <c r="P551" s="359" t="str">
        <f>$P$44</f>
        <v>Tax Year 2</v>
      </c>
      <c r="Q551" s="339"/>
      <c r="R551" s="338">
        <f>$R$980</f>
        <v>-1.3599999999999999E-2</v>
      </c>
      <c r="S551" s="339"/>
      <c r="Z551" s="294">
        <f>R551*SUM(Z540:Z543,Z549)</f>
        <v>-269.53839999999997</v>
      </c>
    </row>
    <row r="552" spans="1:29">
      <c r="A552" s="292">
        <v>1</v>
      </c>
      <c r="B552" s="317" t="s">
        <v>945</v>
      </c>
      <c r="D552" s="293">
        <f>SUM(D544:D547,D549)</f>
        <v>127614.5</v>
      </c>
      <c r="E552" s="293">
        <f>SUM(E544:E547,E549)</f>
        <v>140800.28340410333</v>
      </c>
      <c r="G552" s="318"/>
      <c r="H552" s="318"/>
      <c r="L552" s="318"/>
      <c r="M552" s="318"/>
      <c r="N552" s="318"/>
      <c r="O552" s="318"/>
      <c r="P552" s="318"/>
      <c r="Q552" s="318"/>
      <c r="R552" s="318"/>
      <c r="S552" s="318"/>
      <c r="T552" s="294">
        <f>SUM(T539:T549)</f>
        <v>6318</v>
      </c>
      <c r="U552" s="319"/>
      <c r="V552" s="294">
        <f>SUM(V539:V549)</f>
        <v>15584</v>
      </c>
      <c r="W552" s="319"/>
      <c r="X552" s="294">
        <f>SUM(X539:X549)</f>
        <v>4722</v>
      </c>
      <c r="Y552" s="319"/>
      <c r="Z552" s="294">
        <f>SUM(Z539:Z549)</f>
        <v>26626</v>
      </c>
      <c r="AB552" s="305" t="s">
        <v>939</v>
      </c>
      <c r="AC552" s="329">
        <f>Z552/Z569-1</f>
        <v>-0.5218718574917397</v>
      </c>
    </row>
    <row r="553" spans="1:29">
      <c r="B553" s="317"/>
      <c r="G553" s="318"/>
      <c r="H553" s="318"/>
      <c r="L553" s="318"/>
      <c r="M553" s="318"/>
      <c r="N553" s="318"/>
      <c r="O553" s="318"/>
      <c r="P553" s="318"/>
      <c r="Q553" s="318"/>
      <c r="R553" s="318"/>
      <c r="S553" s="318"/>
      <c r="T553" s="319"/>
      <c r="U553" s="319"/>
      <c r="V553" s="319"/>
      <c r="W553" s="319"/>
      <c r="X553" s="319"/>
      <c r="Y553" s="319"/>
      <c r="AB553" s="305"/>
      <c r="AC553" s="325"/>
    </row>
    <row r="554" spans="1:29">
      <c r="B554" s="317" t="s">
        <v>1089</v>
      </c>
      <c r="D554" s="293">
        <f t="shared" ref="D554:E566" si="328">D587+D620+D653</f>
        <v>63</v>
      </c>
      <c r="E554" s="293">
        <f t="shared" si="328"/>
        <v>69.151622418879057</v>
      </c>
      <c r="G554" s="318">
        <f>G889</f>
        <v>54</v>
      </c>
      <c r="H554" s="318"/>
      <c r="I554" s="294">
        <f t="shared" ref="I554:J555" si="329">ROUND($G554*D554,0)</f>
        <v>3402</v>
      </c>
      <c r="J554" s="294">
        <f t="shared" si="329"/>
        <v>3734</v>
      </c>
      <c r="L554" s="318">
        <f>L889</f>
        <v>55</v>
      </c>
      <c r="M554" s="318"/>
      <c r="N554" s="318">
        <f>N889</f>
        <v>0</v>
      </c>
      <c r="O554" s="318"/>
      <c r="P554" s="318">
        <f>P889</f>
        <v>0</v>
      </c>
      <c r="Q554" s="318"/>
      <c r="R554" s="318">
        <f>R889</f>
        <v>55</v>
      </c>
      <c r="S554" s="318"/>
      <c r="T554" s="294">
        <f t="shared" ref="T554:T558" si="330">ROUND($E554*L554,0)</f>
        <v>3803</v>
      </c>
      <c r="U554" s="319"/>
      <c r="V554" s="294">
        <f t="shared" ref="V554:V558" si="331">ROUND($E554*N554,0)</f>
        <v>0</v>
      </c>
      <c r="W554" s="319"/>
      <c r="X554" s="294">
        <f t="shared" ref="X554:X558" si="332">ROUND($E554*P554,0)</f>
        <v>0</v>
      </c>
      <c r="Y554" s="319"/>
      <c r="Z554" s="294">
        <f t="shared" ref="Z554:Z558" si="333">ROUND($E554*R554,0)</f>
        <v>3803</v>
      </c>
    </row>
    <row r="555" spans="1:29">
      <c r="B555" s="317" t="s">
        <v>1099</v>
      </c>
      <c r="D555" s="293">
        <f t="shared" si="328"/>
        <v>0</v>
      </c>
      <c r="E555" s="293">
        <f t="shared" si="328"/>
        <v>0</v>
      </c>
      <c r="F555" s="339"/>
      <c r="G555" s="318">
        <f>G890</f>
        <v>648</v>
      </c>
      <c r="H555" s="318"/>
      <c r="I555" s="294">
        <f t="shared" si="329"/>
        <v>0</v>
      </c>
      <c r="J555" s="294">
        <f t="shared" si="329"/>
        <v>0</v>
      </c>
      <c r="K555" s="339"/>
      <c r="L555" s="318">
        <f>L890</f>
        <v>660</v>
      </c>
      <c r="M555" s="318"/>
      <c r="N555" s="318">
        <f>N890</f>
        <v>0</v>
      </c>
      <c r="O555" s="318"/>
      <c r="P555" s="318">
        <f>P890</f>
        <v>0</v>
      </c>
      <c r="Q555" s="318"/>
      <c r="R555" s="318">
        <f>R890</f>
        <v>660</v>
      </c>
      <c r="S555" s="318"/>
      <c r="T555" s="294">
        <f t="shared" si="330"/>
        <v>0</v>
      </c>
      <c r="V555" s="294">
        <f t="shared" si="331"/>
        <v>0</v>
      </c>
      <c r="X555" s="294">
        <f t="shared" si="332"/>
        <v>0</v>
      </c>
      <c r="Z555" s="294">
        <f t="shared" si="333"/>
        <v>0</v>
      </c>
    </row>
    <row r="556" spans="1:29">
      <c r="B556" s="317" t="s">
        <v>1101</v>
      </c>
      <c r="D556" s="293">
        <f t="shared" si="328"/>
        <v>2545.5</v>
      </c>
      <c r="E556" s="293">
        <f t="shared" si="328"/>
        <v>2794</v>
      </c>
      <c r="G556" s="318">
        <f>G891</f>
        <v>4.04</v>
      </c>
      <c r="H556" s="318"/>
      <c r="I556" s="294">
        <f>ROUND($G556*D556,0)</f>
        <v>10284</v>
      </c>
      <c r="J556" s="294">
        <f>ROUND($G556*E556,0)</f>
        <v>11288</v>
      </c>
      <c r="L556" s="318">
        <f>L891</f>
        <v>4.1100000000000003</v>
      </c>
      <c r="M556" s="318"/>
      <c r="N556" s="318">
        <f>N891</f>
        <v>0</v>
      </c>
      <c r="O556" s="318"/>
      <c r="P556" s="318">
        <f>P891</f>
        <v>0</v>
      </c>
      <c r="Q556" s="318"/>
      <c r="R556" s="318">
        <f>R891</f>
        <v>4.1100000000000003</v>
      </c>
      <c r="S556" s="318"/>
      <c r="T556" s="294">
        <f t="shared" si="330"/>
        <v>11483</v>
      </c>
      <c r="U556" s="319"/>
      <c r="V556" s="294">
        <f t="shared" si="331"/>
        <v>0</v>
      </c>
      <c r="W556" s="319"/>
      <c r="X556" s="294">
        <f t="shared" si="332"/>
        <v>0</v>
      </c>
      <c r="Y556" s="319"/>
      <c r="Z556" s="294">
        <f t="shared" si="333"/>
        <v>11483</v>
      </c>
    </row>
    <row r="557" spans="1:29">
      <c r="B557" s="317" t="s">
        <v>1110</v>
      </c>
      <c r="D557" s="293">
        <f t="shared" si="328"/>
        <v>813.5</v>
      </c>
      <c r="E557" s="293">
        <f t="shared" si="328"/>
        <v>832</v>
      </c>
      <c r="G557" s="339"/>
      <c r="H557" s="339"/>
      <c r="L557" s="339">
        <f t="shared" ref="L557:L560" si="334">L892</f>
        <v>0.73</v>
      </c>
      <c r="M557" s="339"/>
      <c r="N557" s="339">
        <f t="shared" ref="N557:N560" si="335">N892</f>
        <v>12.959999999999999</v>
      </c>
      <c r="O557" s="339"/>
      <c r="P557" s="339">
        <f t="shared" ref="P557:P560" si="336">P892</f>
        <v>0</v>
      </c>
      <c r="Q557" s="339"/>
      <c r="R557" s="339">
        <f t="shared" ref="R557:R560" si="337">R892</f>
        <v>13.69</v>
      </c>
      <c r="S557" s="339"/>
      <c r="T557" s="294">
        <f t="shared" si="330"/>
        <v>607</v>
      </c>
      <c r="V557" s="294">
        <f t="shared" si="331"/>
        <v>10783</v>
      </c>
      <c r="X557" s="294">
        <f t="shared" si="332"/>
        <v>0</v>
      </c>
      <c r="Z557" s="294">
        <f t="shared" si="333"/>
        <v>11390</v>
      </c>
    </row>
    <row r="558" spans="1:29">
      <c r="B558" s="317" t="s">
        <v>1111</v>
      </c>
      <c r="D558" s="293">
        <f t="shared" si="328"/>
        <v>1732</v>
      </c>
      <c r="E558" s="293">
        <f t="shared" si="328"/>
        <v>1962</v>
      </c>
      <c r="G558" s="339"/>
      <c r="H558" s="339"/>
      <c r="L558" s="339">
        <f t="shared" si="334"/>
        <v>0.64</v>
      </c>
      <c r="M558" s="339"/>
      <c r="N558" s="339">
        <f t="shared" si="335"/>
        <v>11.479999999999999</v>
      </c>
      <c r="O558" s="339"/>
      <c r="P558" s="339">
        <f t="shared" si="336"/>
        <v>0</v>
      </c>
      <c r="Q558" s="339"/>
      <c r="R558" s="339">
        <f t="shared" si="337"/>
        <v>12.12</v>
      </c>
      <c r="S558" s="339"/>
      <c r="T558" s="294">
        <f t="shared" si="330"/>
        <v>1256</v>
      </c>
      <c r="V558" s="294">
        <f t="shared" si="331"/>
        <v>22524</v>
      </c>
      <c r="X558" s="294">
        <f t="shared" si="332"/>
        <v>0</v>
      </c>
      <c r="Z558" s="294">
        <f t="shared" si="333"/>
        <v>23779</v>
      </c>
    </row>
    <row r="559" spans="1:29">
      <c r="B559" s="317" t="s">
        <v>1104</v>
      </c>
      <c r="D559" s="293">
        <f t="shared" si="328"/>
        <v>52068</v>
      </c>
      <c r="E559" s="293">
        <f t="shared" si="328"/>
        <v>55363.283404103327</v>
      </c>
      <c r="G559" s="377"/>
      <c r="H559" s="343"/>
      <c r="L559" s="377">
        <f t="shared" si="334"/>
        <v>0</v>
      </c>
      <c r="M559" s="343" t="s">
        <v>1062</v>
      </c>
      <c r="N559" s="377">
        <f t="shared" si="335"/>
        <v>1.7162999999999999</v>
      </c>
      <c r="O559" s="343" t="s">
        <v>1062</v>
      </c>
      <c r="P559" s="377">
        <f t="shared" si="336"/>
        <v>2.279911334706</v>
      </c>
      <c r="Q559" s="343" t="s">
        <v>1062</v>
      </c>
      <c r="R559" s="377">
        <f t="shared" si="337"/>
        <v>3.996211334706</v>
      </c>
      <c r="S559" s="343" t="s">
        <v>1062</v>
      </c>
      <c r="T559" s="294">
        <f>ROUND($E559*L559/100,0)</f>
        <v>0</v>
      </c>
      <c r="U559" s="346"/>
      <c r="V559" s="294">
        <f>ROUND($E559*N559/100,0)</f>
        <v>950</v>
      </c>
      <c r="W559" s="346"/>
      <c r="X559" s="294">
        <f>ROUND($E559*P559/100,0)</f>
        <v>1262</v>
      </c>
      <c r="Y559" s="346"/>
      <c r="Z559" s="294">
        <f>ROUND($E559*R559/100,0)</f>
        <v>2212</v>
      </c>
    </row>
    <row r="560" spans="1:29">
      <c r="B560" s="317" t="s">
        <v>1105</v>
      </c>
      <c r="D560" s="293">
        <f t="shared" si="328"/>
        <v>75546.5</v>
      </c>
      <c r="E560" s="293">
        <f t="shared" si="328"/>
        <v>85437</v>
      </c>
      <c r="G560" s="377"/>
      <c r="H560" s="343"/>
      <c r="L560" s="377">
        <f t="shared" si="334"/>
        <v>0</v>
      </c>
      <c r="M560" s="343" t="s">
        <v>1062</v>
      </c>
      <c r="N560" s="377">
        <f t="shared" si="335"/>
        <v>1.5188999999999999</v>
      </c>
      <c r="O560" s="343" t="s">
        <v>1062</v>
      </c>
      <c r="P560" s="377">
        <f t="shared" si="336"/>
        <v>2.0175702077039999</v>
      </c>
      <c r="Q560" s="343" t="s">
        <v>1062</v>
      </c>
      <c r="R560" s="377">
        <f t="shared" si="337"/>
        <v>3.5364702077039998</v>
      </c>
      <c r="S560" s="343" t="s">
        <v>1062</v>
      </c>
      <c r="T560" s="294">
        <f>ROUND($E560*L560/100,0)</f>
        <v>0</v>
      </c>
      <c r="U560" s="346"/>
      <c r="V560" s="294">
        <f>ROUND($E560*N560/100,0)</f>
        <v>1298</v>
      </c>
      <c r="W560" s="346"/>
      <c r="X560" s="294">
        <f>ROUND($E560*P560/100,0)</f>
        <v>1724</v>
      </c>
      <c r="Y560" s="346"/>
      <c r="Z560" s="294">
        <f>ROUND($E560*R560/100,0)</f>
        <v>3021</v>
      </c>
    </row>
    <row r="561" spans="1:29">
      <c r="B561" s="317" t="s">
        <v>1112</v>
      </c>
      <c r="D561" s="293">
        <f t="shared" si="328"/>
        <v>1160.9530573023851</v>
      </c>
      <c r="E561" s="293">
        <f t="shared" si="328"/>
        <v>1206</v>
      </c>
      <c r="G561" s="318">
        <f t="shared" ref="G561:G565" si="338">G896</f>
        <v>14.62</v>
      </c>
      <c r="H561" s="318"/>
      <c r="I561" s="294">
        <f t="shared" ref="I561:J563" si="339">ROUND($G561*D561,0)</f>
        <v>16973</v>
      </c>
      <c r="J561" s="294">
        <f t="shared" si="339"/>
        <v>17632</v>
      </c>
      <c r="L561" s="318"/>
      <c r="M561" s="318"/>
      <c r="N561" s="318"/>
      <c r="O561" s="318"/>
      <c r="P561" s="318"/>
      <c r="Q561" s="318"/>
      <c r="R561" s="318"/>
      <c r="S561" s="318"/>
      <c r="U561" s="319"/>
      <c r="W561" s="319"/>
      <c r="Y561" s="319"/>
    </row>
    <row r="562" spans="1:29">
      <c r="B562" s="317" t="s">
        <v>1113</v>
      </c>
      <c r="D562" s="293">
        <f t="shared" si="328"/>
        <v>1384.5469426976149</v>
      </c>
      <c r="E562" s="293">
        <f t="shared" si="328"/>
        <v>1588</v>
      </c>
      <c r="G562" s="318">
        <f t="shared" si="338"/>
        <v>10.91</v>
      </c>
      <c r="H562" s="318"/>
      <c r="I562" s="294">
        <f t="shared" si="339"/>
        <v>15105</v>
      </c>
      <c r="J562" s="294">
        <f t="shared" si="339"/>
        <v>17325</v>
      </c>
      <c r="L562" s="318"/>
      <c r="M562" s="318"/>
      <c r="N562" s="318"/>
      <c r="O562" s="318"/>
      <c r="P562" s="318"/>
      <c r="Q562" s="318"/>
      <c r="R562" s="318"/>
      <c r="S562" s="318"/>
      <c r="U562" s="319"/>
      <c r="W562" s="319"/>
      <c r="Y562" s="319"/>
    </row>
    <row r="563" spans="1:29">
      <c r="B563" s="317" t="s">
        <v>1098</v>
      </c>
      <c r="D563" s="293">
        <f t="shared" si="328"/>
        <v>0</v>
      </c>
      <c r="E563" s="293">
        <f t="shared" si="328"/>
        <v>0</v>
      </c>
      <c r="G563" s="318">
        <f t="shared" si="338"/>
        <v>-0.96</v>
      </c>
      <c r="H563" s="318"/>
      <c r="I563" s="294">
        <f t="shared" si="339"/>
        <v>0</v>
      </c>
      <c r="J563" s="294">
        <f t="shared" si="339"/>
        <v>0</v>
      </c>
      <c r="L563" s="318">
        <f>L898</f>
        <v>-0.96</v>
      </c>
      <c r="M563" s="318"/>
      <c r="N563" s="318">
        <f>N898</f>
        <v>0</v>
      </c>
      <c r="O563" s="318"/>
      <c r="P563" s="318">
        <f>P898</f>
        <v>0</v>
      </c>
      <c r="Q563" s="318"/>
      <c r="R563" s="318">
        <f>R898</f>
        <v>-0.96</v>
      </c>
      <c r="S563" s="318"/>
      <c r="T563" s="294">
        <f t="shared" ref="T563" si="340">ROUND($E563*L563,0)</f>
        <v>0</v>
      </c>
      <c r="U563" s="319"/>
      <c r="V563" s="294">
        <f t="shared" ref="V563" si="341">ROUND($E563*N563,0)</f>
        <v>0</v>
      </c>
      <c r="W563" s="319"/>
      <c r="X563" s="294">
        <f t="shared" ref="X563" si="342">ROUND($E563*P563,0)</f>
        <v>0</v>
      </c>
      <c r="Y563" s="319"/>
      <c r="Z563" s="294">
        <f t="shared" ref="Z563" si="343">ROUND($E563*R563,0)</f>
        <v>0</v>
      </c>
    </row>
    <row r="564" spans="1:29">
      <c r="B564" s="317" t="s">
        <v>1108</v>
      </c>
      <c r="D564" s="293">
        <f t="shared" si="328"/>
        <v>56207.204457290034</v>
      </c>
      <c r="E564" s="293">
        <f t="shared" si="328"/>
        <v>59699</v>
      </c>
      <c r="G564" s="377">
        <f t="shared" si="338"/>
        <v>3.8127</v>
      </c>
      <c r="H564" s="343" t="s">
        <v>1062</v>
      </c>
      <c r="I564" s="294">
        <f>ROUND($G564*D564/100,0)</f>
        <v>2143</v>
      </c>
      <c r="J564" s="294">
        <f>ROUND($G564*E564/100,0)</f>
        <v>2276</v>
      </c>
      <c r="L564" s="377"/>
      <c r="M564" s="343"/>
      <c r="N564" s="377"/>
      <c r="O564" s="343"/>
      <c r="P564" s="377"/>
      <c r="Q564" s="343"/>
      <c r="R564" s="377"/>
      <c r="S564" s="343"/>
      <c r="T564" s="346"/>
      <c r="U564" s="346"/>
      <c r="V564" s="346"/>
      <c r="W564" s="346"/>
      <c r="X564" s="346"/>
      <c r="Y564" s="346"/>
    </row>
    <row r="565" spans="1:29">
      <c r="B565" s="317" t="s">
        <v>1109</v>
      </c>
      <c r="D565" s="293">
        <f t="shared" si="328"/>
        <v>71407.295542709966</v>
      </c>
      <c r="E565" s="293">
        <f t="shared" si="328"/>
        <v>81101.283404103335</v>
      </c>
      <c r="G565" s="377">
        <f t="shared" si="338"/>
        <v>3.5143</v>
      </c>
      <c r="H565" s="343" t="s">
        <v>1062</v>
      </c>
      <c r="I565" s="294">
        <f>ROUND($G565*D565/100,0)</f>
        <v>2509</v>
      </c>
      <c r="J565" s="294">
        <f>ROUND($G565*E565/100,0)</f>
        <v>2850</v>
      </c>
      <c r="L565" s="377"/>
      <c r="M565" s="343"/>
      <c r="N565" s="377"/>
      <c r="O565" s="343"/>
      <c r="P565" s="377"/>
      <c r="Q565" s="343"/>
      <c r="R565" s="377"/>
      <c r="S565" s="343"/>
      <c r="T565" s="346"/>
      <c r="U565" s="346"/>
      <c r="V565" s="346"/>
      <c r="W565" s="346"/>
      <c r="X565" s="346"/>
      <c r="Y565" s="346"/>
    </row>
    <row r="566" spans="1:29">
      <c r="B566" s="317" t="s">
        <v>1078</v>
      </c>
      <c r="D566" s="357">
        <f t="shared" si="328"/>
        <v>0</v>
      </c>
      <c r="E566" s="357">
        <f t="shared" si="328"/>
        <v>0</v>
      </c>
      <c r="I566" s="358">
        <f>I599+I632+I665</f>
        <v>0</v>
      </c>
      <c r="J566" s="358">
        <f>J599+J632+J665</f>
        <v>0</v>
      </c>
      <c r="Z566" s="358"/>
    </row>
    <row r="567" spans="1:29">
      <c r="B567" s="317" t="s">
        <v>1079</v>
      </c>
      <c r="G567" s="338">
        <f>G902</f>
        <v>-3.61E-2</v>
      </c>
      <c r="H567" s="339"/>
      <c r="I567" s="294">
        <f>SUM(I561:I562,I564:I565)*$G567</f>
        <v>-1325.953</v>
      </c>
      <c r="J567" s="294">
        <f>SUM(J561:J562,J564:J565)*$G567</f>
        <v>-1446.9963</v>
      </c>
      <c r="L567" s="338"/>
      <c r="M567" s="339"/>
      <c r="N567" s="338"/>
      <c r="O567" s="339"/>
      <c r="P567" s="359" t="str">
        <f>$P$43</f>
        <v>Tax Year 1</v>
      </c>
      <c r="Q567" s="339"/>
      <c r="R567" s="338">
        <f>$R$687</f>
        <v>-2.4199999999999999E-2</v>
      </c>
      <c r="S567" s="339"/>
      <c r="Z567" s="294">
        <f>R567*SUM(Z557:Z560)</f>
        <v>-977.72839999999997</v>
      </c>
    </row>
    <row r="568" spans="1:29">
      <c r="B568" s="317"/>
      <c r="G568" s="338"/>
      <c r="H568" s="339"/>
      <c r="L568" s="338"/>
      <c r="M568" s="339"/>
      <c r="N568" s="338"/>
      <c r="O568" s="339"/>
      <c r="P568" s="359" t="str">
        <f>$P$44</f>
        <v>Tax Year 2</v>
      </c>
      <c r="Q568" s="339"/>
      <c r="R568" s="338">
        <f>$R$688</f>
        <v>-1.21E-2</v>
      </c>
      <c r="S568" s="339"/>
      <c r="Z568" s="294">
        <f>R568*SUM(Z557:Z560)</f>
        <v>-488.86419999999998</v>
      </c>
    </row>
    <row r="569" spans="1:29" ht="16.5" thickBot="1">
      <c r="A569" s="292">
        <v>1</v>
      </c>
      <c r="B569" s="317" t="s">
        <v>937</v>
      </c>
      <c r="D569" s="381">
        <f>SUM(D564:D566)</f>
        <v>127614.5</v>
      </c>
      <c r="E569" s="381">
        <f>SUM(E564:E566)</f>
        <v>140800.28340410333</v>
      </c>
      <c r="G569" s="368"/>
      <c r="I569" s="369">
        <f>SUM(I554:I567)</f>
        <v>49090.046999999999</v>
      </c>
      <c r="J569" s="369">
        <f>SUM(J554:J567)</f>
        <v>53658.003700000001</v>
      </c>
      <c r="L569" s="368"/>
      <c r="N569" s="368"/>
      <c r="P569" s="368"/>
      <c r="R569" s="368"/>
      <c r="T569" s="369">
        <f>SUM(T554:T566)</f>
        <v>17149</v>
      </c>
      <c r="V569" s="369">
        <f>SUM(V554:V566)</f>
        <v>35555</v>
      </c>
      <c r="X569" s="369">
        <f>SUM(X554:X566)</f>
        <v>2986</v>
      </c>
      <c r="Z569" s="369">
        <f>SUM(Z554:Z566)</f>
        <v>55688</v>
      </c>
      <c r="AB569" s="305" t="s">
        <v>939</v>
      </c>
      <c r="AC569" s="304">
        <f>Z569/J569-1</f>
        <v>3.7832124939825018E-2</v>
      </c>
    </row>
    <row r="570" spans="1:29" ht="16.5" thickTop="1">
      <c r="A570" s="292">
        <v>1</v>
      </c>
    </row>
    <row r="571" spans="1:29">
      <c r="B571" s="314" t="s">
        <v>955</v>
      </c>
    </row>
    <row r="572" spans="1:29">
      <c r="B572" s="317" t="s">
        <v>1089</v>
      </c>
      <c r="D572" s="293">
        <f>'[7]BD-Redesign'!F38</f>
        <v>7</v>
      </c>
      <c r="E572" s="293">
        <f>E587</f>
        <v>9.1516224188790556</v>
      </c>
      <c r="G572" s="318"/>
      <c r="H572" s="318"/>
      <c r="L572" s="318">
        <f>L539</f>
        <v>55</v>
      </c>
      <c r="M572" s="318"/>
      <c r="N572" s="318">
        <f>N539</f>
        <v>0</v>
      </c>
      <c r="O572" s="318"/>
      <c r="P572" s="318">
        <f>P539</f>
        <v>0</v>
      </c>
      <c r="Q572" s="318"/>
      <c r="R572" s="318">
        <f t="shared" ref="R572:R582" si="344">R539</f>
        <v>55</v>
      </c>
      <c r="S572" s="318"/>
      <c r="T572" s="294">
        <f>ROUND($E572*L572,0)</f>
        <v>503</v>
      </c>
      <c r="U572" s="319"/>
      <c r="V572" s="294">
        <f>ROUND($E572*N572,0)</f>
        <v>0</v>
      </c>
      <c r="W572" s="319"/>
      <c r="X572" s="294">
        <f>ROUND($E572*P572,0)</f>
        <v>0</v>
      </c>
      <c r="Y572" s="319"/>
      <c r="Z572" s="294">
        <f>ROUND($E572*R572,0)</f>
        <v>503</v>
      </c>
      <c r="AB572" s="305"/>
      <c r="AC572" s="325"/>
    </row>
    <row r="573" spans="1:29">
      <c r="B573" s="317" t="s">
        <v>1090</v>
      </c>
      <c r="D573" s="293">
        <f>'[7]BD-Redesign'!F39</f>
        <v>1900</v>
      </c>
      <c r="E573" s="293">
        <f t="shared" ref="E573:E582" si="345">D573/$D$585*$E$585</f>
        <v>2469.8223468910705</v>
      </c>
      <c r="F573" s="339"/>
      <c r="G573" s="376"/>
      <c r="H573" s="343"/>
      <c r="K573" s="339"/>
      <c r="L573" s="376">
        <f t="shared" ref="L573:L582" si="346">L540</f>
        <v>1.7867999999999999</v>
      </c>
      <c r="M573" s="343" t="s">
        <v>1062</v>
      </c>
      <c r="N573" s="376">
        <f t="shared" ref="N573:N582" si="347">N540</f>
        <v>19.766631654000651</v>
      </c>
      <c r="O573" s="343" t="s">
        <v>1062</v>
      </c>
      <c r="P573" s="376">
        <f t="shared" ref="P573:P582" si="348">P540</f>
        <v>1.3127</v>
      </c>
      <c r="Q573" s="343" t="s">
        <v>1062</v>
      </c>
      <c r="R573" s="376">
        <f t="shared" si="344"/>
        <v>22.86613165400065</v>
      </c>
      <c r="S573" s="343" t="s">
        <v>1062</v>
      </c>
      <c r="T573" s="294">
        <f>ROUND($E573*L573/100,0)</f>
        <v>44</v>
      </c>
      <c r="U573" s="346"/>
      <c r="V573" s="294">
        <f>ROUND($E573*N573/100,0)</f>
        <v>488</v>
      </c>
      <c r="W573" s="346"/>
      <c r="X573" s="294">
        <f>ROUND($E573*P573/100,0)</f>
        <v>32</v>
      </c>
      <c r="Y573" s="346"/>
      <c r="Z573" s="294">
        <f>ROUND($E573*R573/100,0)</f>
        <v>565</v>
      </c>
    </row>
    <row r="574" spans="1:29">
      <c r="B574" s="317" t="s">
        <v>1091</v>
      </c>
      <c r="D574" s="293">
        <f>'[7]BD-Redesign'!F40</f>
        <v>7729.5</v>
      </c>
      <c r="E574" s="293">
        <f t="shared" si="345"/>
        <v>10047.627279102384</v>
      </c>
      <c r="F574" s="339"/>
      <c r="G574" s="376"/>
      <c r="H574" s="343"/>
      <c r="K574" s="339"/>
      <c r="L574" s="376">
        <f t="shared" si="346"/>
        <v>1.7867999999999999</v>
      </c>
      <c r="M574" s="343" t="s">
        <v>1062</v>
      </c>
      <c r="N574" s="376">
        <f t="shared" si="347"/>
        <v>1.4732003384230001</v>
      </c>
      <c r="O574" s="343" t="s">
        <v>1062</v>
      </c>
      <c r="P574" s="376">
        <f t="shared" si="348"/>
        <v>1.3127</v>
      </c>
      <c r="Q574" s="343" t="s">
        <v>1062</v>
      </c>
      <c r="R574" s="376">
        <f t="shared" si="344"/>
        <v>4.5727003384230001</v>
      </c>
      <c r="S574" s="343" t="s">
        <v>1062</v>
      </c>
      <c r="T574" s="294">
        <f t="shared" ref="T574:T580" si="349">ROUND($E574*L574/100,0)</f>
        <v>180</v>
      </c>
      <c r="U574" s="346"/>
      <c r="V574" s="294">
        <f t="shared" ref="V574:V580" si="350">ROUND($E574*N574/100,0)</f>
        <v>148</v>
      </c>
      <c r="W574" s="346"/>
      <c r="X574" s="294">
        <f t="shared" ref="X574:X580" si="351">ROUND($E574*P574/100,0)</f>
        <v>132</v>
      </c>
      <c r="Y574" s="346"/>
      <c r="Z574" s="294">
        <f t="shared" ref="Z574:Z580" si="352">ROUND($E574*R574/100,0)</f>
        <v>459</v>
      </c>
    </row>
    <row r="575" spans="1:29">
      <c r="B575" s="317" t="s">
        <v>1092</v>
      </c>
      <c r="D575" s="293">
        <f>'[7]BD-Redesign'!F41</f>
        <v>2874</v>
      </c>
      <c r="E575" s="293">
        <f t="shared" si="345"/>
        <v>3735.9312762973354</v>
      </c>
      <c r="F575" s="339"/>
      <c r="G575" s="376"/>
      <c r="H575" s="343"/>
      <c r="K575" s="339"/>
      <c r="L575" s="376">
        <f t="shared" si="346"/>
        <v>1.7867999999999999</v>
      </c>
      <c r="M575" s="343" t="s">
        <v>1062</v>
      </c>
      <c r="N575" s="376">
        <f t="shared" si="347"/>
        <v>17.286999999999999</v>
      </c>
      <c r="O575" s="343" t="s">
        <v>1062</v>
      </c>
      <c r="P575" s="376">
        <f t="shared" si="348"/>
        <v>1.1617</v>
      </c>
      <c r="Q575" s="343" t="s">
        <v>1062</v>
      </c>
      <c r="R575" s="376">
        <f t="shared" si="344"/>
        <v>20.235499999999998</v>
      </c>
      <c r="S575" s="343" t="s">
        <v>1062</v>
      </c>
      <c r="T575" s="294">
        <f t="shared" si="349"/>
        <v>67</v>
      </c>
      <c r="U575" s="346"/>
      <c r="V575" s="294">
        <f t="shared" si="350"/>
        <v>646</v>
      </c>
      <c r="W575" s="346"/>
      <c r="X575" s="294">
        <f t="shared" si="351"/>
        <v>43</v>
      </c>
      <c r="Y575" s="346"/>
      <c r="Z575" s="294">
        <f t="shared" si="352"/>
        <v>756</v>
      </c>
    </row>
    <row r="576" spans="1:29">
      <c r="B576" s="317" t="s">
        <v>1093</v>
      </c>
      <c r="D576" s="293">
        <f>'[7]BD-Redesign'!F42</f>
        <v>258.5</v>
      </c>
      <c r="E576" s="293">
        <f t="shared" si="345"/>
        <v>336.02582982702194</v>
      </c>
      <c r="F576" s="339"/>
      <c r="G576" s="376"/>
      <c r="H576" s="343"/>
      <c r="K576" s="339"/>
      <c r="L576" s="376">
        <f t="shared" si="346"/>
        <v>1.7867999999999999</v>
      </c>
      <c r="M576" s="343" t="s">
        <v>1062</v>
      </c>
      <c r="N576" s="376">
        <f t="shared" si="347"/>
        <v>1.0980999999999999</v>
      </c>
      <c r="O576" s="343" t="s">
        <v>1062</v>
      </c>
      <c r="P576" s="376">
        <f t="shared" si="348"/>
        <v>1.1617</v>
      </c>
      <c r="Q576" s="343" t="s">
        <v>1062</v>
      </c>
      <c r="R576" s="376">
        <f t="shared" si="344"/>
        <v>4.0465999999999998</v>
      </c>
      <c r="S576" s="343" t="s">
        <v>1062</v>
      </c>
      <c r="T576" s="294">
        <f t="shared" si="349"/>
        <v>6</v>
      </c>
      <c r="U576" s="346"/>
      <c r="V576" s="294">
        <f t="shared" si="350"/>
        <v>4</v>
      </c>
      <c r="W576" s="346"/>
      <c r="X576" s="294">
        <f t="shared" si="351"/>
        <v>4</v>
      </c>
      <c r="Y576" s="346"/>
      <c r="Z576" s="294">
        <f t="shared" si="352"/>
        <v>14</v>
      </c>
    </row>
    <row r="577" spans="2:29">
      <c r="B577" s="317" t="s">
        <v>1094</v>
      </c>
      <c r="D577" s="293">
        <f>'[7]BD-Redesign'!F43</f>
        <v>5347.7476761769631</v>
      </c>
      <c r="E577" s="293">
        <f t="shared" si="345"/>
        <v>6951.5719558719238</v>
      </c>
      <c r="F577" s="339"/>
      <c r="G577" s="376"/>
      <c r="H577" s="343"/>
      <c r="K577" s="339"/>
      <c r="L577" s="376">
        <f t="shared" si="346"/>
        <v>0</v>
      </c>
      <c r="M577" s="343" t="s">
        <v>1062</v>
      </c>
      <c r="N577" s="376">
        <f t="shared" si="347"/>
        <v>0</v>
      </c>
      <c r="O577" s="343" t="s">
        <v>1062</v>
      </c>
      <c r="P577" s="376">
        <f t="shared" si="348"/>
        <v>6</v>
      </c>
      <c r="Q577" s="343" t="s">
        <v>1062</v>
      </c>
      <c r="R577" s="376">
        <f t="shared" si="344"/>
        <v>6</v>
      </c>
      <c r="S577" s="343" t="s">
        <v>1062</v>
      </c>
      <c r="T577" s="294">
        <f t="shared" si="349"/>
        <v>0</v>
      </c>
      <c r="U577" s="346"/>
      <c r="V577" s="294">
        <f t="shared" si="350"/>
        <v>0</v>
      </c>
      <c r="W577" s="346"/>
      <c r="X577" s="294">
        <f t="shared" si="351"/>
        <v>417</v>
      </c>
      <c r="Y577" s="346"/>
      <c r="Z577" s="294">
        <f t="shared" si="352"/>
        <v>417</v>
      </c>
    </row>
    <row r="578" spans="2:29">
      <c r="B578" s="317" t="s">
        <v>1095</v>
      </c>
      <c r="D578" s="293">
        <f>'[7]BD-Redesign'!F44</f>
        <v>4281.7523238230369</v>
      </c>
      <c r="E578" s="293">
        <f t="shared" si="345"/>
        <v>5565.8776701215311</v>
      </c>
      <c r="F578" s="339"/>
      <c r="G578" s="376"/>
      <c r="H578" s="343"/>
      <c r="K578" s="339"/>
      <c r="L578" s="376">
        <f t="shared" si="346"/>
        <v>0</v>
      </c>
      <c r="M578" s="343" t="s">
        <v>1062</v>
      </c>
      <c r="N578" s="376">
        <f t="shared" si="347"/>
        <v>0</v>
      </c>
      <c r="O578" s="343" t="s">
        <v>1062</v>
      </c>
      <c r="P578" s="376">
        <f t="shared" si="348"/>
        <v>-2.3358000000000008</v>
      </c>
      <c r="Q578" s="343" t="s">
        <v>1062</v>
      </c>
      <c r="R578" s="376">
        <f t="shared" si="344"/>
        <v>-2.3358000000000008</v>
      </c>
      <c r="S578" s="343" t="s">
        <v>1062</v>
      </c>
      <c r="T578" s="294">
        <f t="shared" si="349"/>
        <v>0</v>
      </c>
      <c r="U578" s="346"/>
      <c r="V578" s="294">
        <f t="shared" si="350"/>
        <v>0</v>
      </c>
      <c r="W578" s="346"/>
      <c r="X578" s="294">
        <f t="shared" si="351"/>
        <v>-130</v>
      </c>
      <c r="Y578" s="346"/>
      <c r="Z578" s="294">
        <f t="shared" si="352"/>
        <v>-130</v>
      </c>
    </row>
    <row r="579" spans="2:29">
      <c r="B579" s="317" t="s">
        <v>1096</v>
      </c>
      <c r="D579" s="293">
        <f>'[7]BD-Redesign'!F45</f>
        <v>1739.6354530997805</v>
      </c>
      <c r="E579" s="293">
        <f t="shared" si="345"/>
        <v>2261.3634302683217</v>
      </c>
      <c r="F579" s="339"/>
      <c r="G579" s="376"/>
      <c r="H579" s="343"/>
      <c r="K579" s="339"/>
      <c r="L579" s="376">
        <f t="shared" si="346"/>
        <v>0</v>
      </c>
      <c r="M579" s="343" t="s">
        <v>1062</v>
      </c>
      <c r="N579" s="376">
        <f t="shared" si="347"/>
        <v>0</v>
      </c>
      <c r="O579" s="343" t="s">
        <v>1062</v>
      </c>
      <c r="P579" s="376">
        <f t="shared" si="348"/>
        <v>5.3097000000000003</v>
      </c>
      <c r="Q579" s="343" t="s">
        <v>1062</v>
      </c>
      <c r="R579" s="376">
        <f t="shared" si="344"/>
        <v>5.3097000000000003</v>
      </c>
      <c r="S579" s="343" t="s">
        <v>1062</v>
      </c>
      <c r="T579" s="294">
        <f t="shared" si="349"/>
        <v>0</v>
      </c>
      <c r="U579" s="346"/>
      <c r="V579" s="294">
        <f t="shared" si="350"/>
        <v>0</v>
      </c>
      <c r="W579" s="346"/>
      <c r="X579" s="294">
        <f t="shared" si="351"/>
        <v>120</v>
      </c>
      <c r="Y579" s="346"/>
      <c r="Z579" s="294">
        <f t="shared" si="352"/>
        <v>120</v>
      </c>
    </row>
    <row r="580" spans="2:29">
      <c r="B580" s="317" t="s">
        <v>1097</v>
      </c>
      <c r="D580" s="293">
        <f>'[7]BD-Redesign'!F46</f>
        <v>1392.8645469002195</v>
      </c>
      <c r="E580" s="293">
        <f t="shared" si="345"/>
        <v>1810.5936758560356</v>
      </c>
      <c r="F580" s="339"/>
      <c r="G580" s="376"/>
      <c r="H580" s="343"/>
      <c r="K580" s="339"/>
      <c r="L580" s="376">
        <f t="shared" si="346"/>
        <v>0</v>
      </c>
      <c r="M580" s="343" t="s">
        <v>1062</v>
      </c>
      <c r="N580" s="376">
        <f t="shared" si="347"/>
        <v>0</v>
      </c>
      <c r="O580" s="343" t="s">
        <v>1062</v>
      </c>
      <c r="P580" s="376">
        <f t="shared" si="348"/>
        <v>-2.0670999999999999</v>
      </c>
      <c r="Q580" s="343" t="s">
        <v>1062</v>
      </c>
      <c r="R580" s="376">
        <f t="shared" si="344"/>
        <v>-2.0670999999999999</v>
      </c>
      <c r="S580" s="343" t="s">
        <v>1062</v>
      </c>
      <c r="T580" s="294">
        <f t="shared" si="349"/>
        <v>0</v>
      </c>
      <c r="U580" s="346"/>
      <c r="V580" s="294">
        <f t="shared" si="350"/>
        <v>0</v>
      </c>
      <c r="W580" s="346"/>
      <c r="X580" s="294">
        <f t="shared" si="351"/>
        <v>-37</v>
      </c>
      <c r="Y580" s="346"/>
      <c r="Z580" s="294">
        <f t="shared" si="352"/>
        <v>-37</v>
      </c>
    </row>
    <row r="581" spans="2:29">
      <c r="B581" s="317" t="s">
        <v>1098</v>
      </c>
      <c r="D581" s="293">
        <f>'[7]BD-Redesign'!F47</f>
        <v>0</v>
      </c>
      <c r="E581" s="293">
        <f t="shared" si="345"/>
        <v>0</v>
      </c>
      <c r="G581" s="318"/>
      <c r="H581" s="318"/>
      <c r="L581" s="318">
        <f t="shared" si="346"/>
        <v>-0.61</v>
      </c>
      <c r="M581" s="318"/>
      <c r="N581" s="318">
        <f t="shared" si="347"/>
        <v>0</v>
      </c>
      <c r="O581" s="318"/>
      <c r="P581" s="318">
        <f t="shared" si="348"/>
        <v>0</v>
      </c>
      <c r="Q581" s="318"/>
      <c r="R581" s="318">
        <f t="shared" si="344"/>
        <v>-0.61</v>
      </c>
      <c r="S581" s="318"/>
      <c r="T581" s="294">
        <f>ROUND($E581*L581,0)</f>
        <v>0</v>
      </c>
      <c r="U581" s="319"/>
      <c r="V581" s="294">
        <f>ROUND($E581*N581,0)</f>
        <v>0</v>
      </c>
      <c r="W581" s="319"/>
      <c r="X581" s="294">
        <f>ROUND($E581*P581,0)</f>
        <v>0</v>
      </c>
      <c r="Y581" s="319"/>
      <c r="Z581" s="294">
        <f>ROUND($E581*R581,0)</f>
        <v>0</v>
      </c>
    </row>
    <row r="582" spans="2:29">
      <c r="B582" s="353" t="s">
        <v>1077</v>
      </c>
      <c r="D582" s="293">
        <f>'[7]BD-Redesign'!F48</f>
        <v>0</v>
      </c>
      <c r="E582" s="293">
        <f t="shared" si="345"/>
        <v>0</v>
      </c>
      <c r="G582" s="377"/>
      <c r="H582" s="343"/>
      <c r="L582" s="377">
        <f t="shared" si="346"/>
        <v>0</v>
      </c>
      <c r="M582" s="343" t="s">
        <v>1062</v>
      </c>
      <c r="N582" s="377">
        <f t="shared" si="347"/>
        <v>7.125</v>
      </c>
      <c r="O582" s="343" t="s">
        <v>1062</v>
      </c>
      <c r="P582" s="377">
        <f t="shared" si="348"/>
        <v>0</v>
      </c>
      <c r="Q582" s="343" t="s">
        <v>1062</v>
      </c>
      <c r="R582" s="377">
        <f t="shared" si="344"/>
        <v>7.125</v>
      </c>
      <c r="S582" s="343" t="s">
        <v>1062</v>
      </c>
      <c r="T582" s="294">
        <f>ROUND($E582*L582/100,0)</f>
        <v>0</v>
      </c>
      <c r="U582" s="346"/>
      <c r="V582" s="294">
        <f>ROUND($E582*N582/100,0)</f>
        <v>0</v>
      </c>
      <c r="W582" s="346"/>
      <c r="X582" s="294">
        <f>ROUND($E582*P582/100,0)</f>
        <v>0</v>
      </c>
      <c r="Y582" s="346"/>
      <c r="Z582" s="294">
        <f>ROUND($E582*R582/100,0)</f>
        <v>0</v>
      </c>
      <c r="AB582" s="305"/>
      <c r="AC582" s="325"/>
    </row>
    <row r="583" spans="2:29">
      <c r="B583" s="317" t="s">
        <v>1079</v>
      </c>
      <c r="G583" s="338"/>
      <c r="H583" s="339"/>
      <c r="L583" s="338"/>
      <c r="M583" s="339"/>
      <c r="N583" s="338"/>
      <c r="O583" s="339"/>
      <c r="P583" s="359" t="str">
        <f>$P$43</f>
        <v>Tax Year 1</v>
      </c>
      <c r="Q583" s="339"/>
      <c r="R583" s="338">
        <f>$R$979</f>
        <v>-2.7099999999999999E-2</v>
      </c>
      <c r="S583" s="339"/>
      <c r="Z583" s="294">
        <f>R583*SUM(Z573:Z576,Z582)</f>
        <v>-48.617399999999996</v>
      </c>
    </row>
    <row r="584" spans="2:29">
      <c r="B584" s="317"/>
      <c r="G584" s="338"/>
      <c r="H584" s="339"/>
      <c r="L584" s="338"/>
      <c r="M584" s="339"/>
      <c r="N584" s="338"/>
      <c r="O584" s="339"/>
      <c r="P584" s="359" t="str">
        <f>$P$44</f>
        <v>Tax Year 2</v>
      </c>
      <c r="Q584" s="339"/>
      <c r="R584" s="338">
        <f>$R$980</f>
        <v>-1.3599999999999999E-2</v>
      </c>
      <c r="S584" s="339"/>
      <c r="Z584" s="294">
        <f>R584*SUM(Z573:Z576,Z582)</f>
        <v>-24.398399999999999</v>
      </c>
    </row>
    <row r="585" spans="2:29">
      <c r="B585" s="317" t="s">
        <v>945</v>
      </c>
      <c r="D585" s="293">
        <f>SUM(D577:D580,D582)</f>
        <v>12762</v>
      </c>
      <c r="E585" s="293">
        <f>E602</f>
        <v>16589.406732117812</v>
      </c>
      <c r="G585" s="318"/>
      <c r="H585" s="318"/>
      <c r="L585" s="318"/>
      <c r="M585" s="318"/>
      <c r="N585" s="318"/>
      <c r="O585" s="318"/>
      <c r="P585" s="318"/>
      <c r="Q585" s="318"/>
      <c r="R585" s="318"/>
      <c r="S585" s="318"/>
      <c r="T585" s="294">
        <f>SUM(T572:T582)</f>
        <v>800</v>
      </c>
      <c r="U585" s="319"/>
      <c r="V585" s="294">
        <f>SUM(V572:V582)</f>
        <v>1286</v>
      </c>
      <c r="W585" s="319"/>
      <c r="X585" s="294">
        <f>SUM(X572:X582)</f>
        <v>581</v>
      </c>
      <c r="Y585" s="319"/>
      <c r="Z585" s="294">
        <f>SUM(Z572:Z582)</f>
        <v>2667</v>
      </c>
      <c r="AB585" s="305" t="s">
        <v>939</v>
      </c>
      <c r="AC585" s="329">
        <f>Z585/Z602-1</f>
        <v>-0.35920230658337338</v>
      </c>
    </row>
    <row r="586" spans="2:29">
      <c r="B586" s="317"/>
      <c r="G586" s="318"/>
      <c r="H586" s="318"/>
      <c r="L586" s="318"/>
      <c r="M586" s="318"/>
      <c r="N586" s="318"/>
      <c r="O586" s="318"/>
      <c r="P586" s="318"/>
      <c r="Q586" s="318"/>
      <c r="R586" s="318"/>
      <c r="S586" s="318"/>
      <c r="T586" s="319"/>
      <c r="U586" s="319"/>
      <c r="V586" s="319"/>
      <c r="W586" s="319"/>
      <c r="X586" s="319"/>
      <c r="Y586" s="319"/>
      <c r="AB586" s="305"/>
      <c r="AC586" s="325"/>
    </row>
    <row r="587" spans="2:29">
      <c r="B587" s="382" t="s">
        <v>1089</v>
      </c>
      <c r="D587" s="293">
        <f>D572</f>
        <v>7</v>
      </c>
      <c r="E587" s="293">
        <f>D587*E917/D917</f>
        <v>9.1516224188790556</v>
      </c>
      <c r="G587" s="318">
        <f>G554</f>
        <v>54</v>
      </c>
      <c r="H587" s="318"/>
      <c r="I587" s="294">
        <f t="shared" ref="I587:J588" si="353">ROUND($G587*D587,0)</f>
        <v>378</v>
      </c>
      <c r="J587" s="294">
        <f t="shared" si="353"/>
        <v>494</v>
      </c>
      <c r="L587" s="318">
        <f t="shared" ref="L587:L593" si="354">L554</f>
        <v>55</v>
      </c>
      <c r="M587" s="318"/>
      <c r="N587" s="318">
        <f t="shared" ref="N587:N593" si="355">N554</f>
        <v>0</v>
      </c>
      <c r="O587" s="318"/>
      <c r="P587" s="318">
        <f t="shared" ref="P587:P593" si="356">P554</f>
        <v>0</v>
      </c>
      <c r="Q587" s="318"/>
      <c r="R587" s="318">
        <f t="shared" ref="R587:R593" si="357">R554</f>
        <v>55</v>
      </c>
      <c r="S587" s="318"/>
      <c r="T587" s="294">
        <f t="shared" ref="T587:T591" si="358">ROUND($E587*L587,0)</f>
        <v>503</v>
      </c>
      <c r="U587" s="319"/>
      <c r="V587" s="294">
        <f t="shared" ref="V587:V591" si="359">ROUND($E587*N587,0)</f>
        <v>0</v>
      </c>
      <c r="W587" s="319"/>
      <c r="X587" s="294">
        <f t="shared" ref="X587:X591" si="360">ROUND($E587*P587,0)</f>
        <v>0</v>
      </c>
      <c r="Y587" s="319"/>
      <c r="Z587" s="294">
        <f t="shared" ref="Z587:Z591" si="361">ROUND($E587*R587,0)</f>
        <v>503</v>
      </c>
    </row>
    <row r="588" spans="2:29">
      <c r="B588" s="317" t="s">
        <v>1099</v>
      </c>
      <c r="D588" s="293">
        <v>0</v>
      </c>
      <c r="E588" s="293">
        <v>0</v>
      </c>
      <c r="F588" s="339"/>
      <c r="G588" s="318">
        <f>G555</f>
        <v>648</v>
      </c>
      <c r="H588" s="318"/>
      <c r="I588" s="294">
        <f t="shared" si="353"/>
        <v>0</v>
      </c>
      <c r="J588" s="294">
        <f t="shared" si="353"/>
        <v>0</v>
      </c>
      <c r="K588" s="339"/>
      <c r="L588" s="318">
        <f t="shared" si="354"/>
        <v>660</v>
      </c>
      <c r="M588" s="318"/>
      <c r="N588" s="318">
        <f t="shared" si="355"/>
        <v>0</v>
      </c>
      <c r="O588" s="318"/>
      <c r="P588" s="318">
        <f t="shared" si="356"/>
        <v>0</v>
      </c>
      <c r="Q588" s="318"/>
      <c r="R588" s="318">
        <f t="shared" si="357"/>
        <v>660</v>
      </c>
      <c r="S588" s="318"/>
      <c r="T588" s="294">
        <f t="shared" si="358"/>
        <v>0</v>
      </c>
      <c r="V588" s="294">
        <f t="shared" si="359"/>
        <v>0</v>
      </c>
      <c r="X588" s="294">
        <f t="shared" si="360"/>
        <v>0</v>
      </c>
      <c r="Z588" s="294">
        <f t="shared" si="361"/>
        <v>0</v>
      </c>
    </row>
    <row r="589" spans="2:29">
      <c r="B589" s="317" t="s">
        <v>1101</v>
      </c>
      <c r="D589" s="293">
        <f>'[7]BD-Redesign'!F68</f>
        <v>139.5</v>
      </c>
      <c r="E589" s="293">
        <f>ROUND(D589/D602*E602,0)</f>
        <v>181</v>
      </c>
      <c r="G589" s="318">
        <f>G556</f>
        <v>4.04</v>
      </c>
      <c r="H589" s="318"/>
      <c r="I589" s="294">
        <f>ROUND($G589*D589,0)</f>
        <v>564</v>
      </c>
      <c r="J589" s="294">
        <f>ROUND($G589*E589,0)</f>
        <v>731</v>
      </c>
      <c r="L589" s="318">
        <f t="shared" si="354"/>
        <v>4.1100000000000003</v>
      </c>
      <c r="M589" s="318"/>
      <c r="N589" s="318">
        <f t="shared" si="355"/>
        <v>0</v>
      </c>
      <c r="O589" s="318"/>
      <c r="P589" s="318">
        <f t="shared" si="356"/>
        <v>0</v>
      </c>
      <c r="Q589" s="318"/>
      <c r="R589" s="318">
        <f t="shared" si="357"/>
        <v>4.1100000000000003</v>
      </c>
      <c r="S589" s="318"/>
      <c r="T589" s="294">
        <f t="shared" si="358"/>
        <v>744</v>
      </c>
      <c r="U589" s="319"/>
      <c r="V589" s="294">
        <f t="shared" si="359"/>
        <v>0</v>
      </c>
      <c r="W589" s="319"/>
      <c r="X589" s="294">
        <f t="shared" si="360"/>
        <v>0</v>
      </c>
      <c r="Y589" s="319"/>
      <c r="Z589" s="294">
        <f t="shared" si="361"/>
        <v>744</v>
      </c>
    </row>
    <row r="590" spans="2:29">
      <c r="B590" s="317" t="s">
        <v>1110</v>
      </c>
      <c r="D590" s="293">
        <f>'[7]BD-Redesign'!F69</f>
        <v>38</v>
      </c>
      <c r="E590" s="293">
        <f>ROUND(D590/D592*E592,0)</f>
        <v>49</v>
      </c>
      <c r="G590" s="339"/>
      <c r="H590" s="339"/>
      <c r="L590" s="339">
        <f t="shared" si="354"/>
        <v>0.73</v>
      </c>
      <c r="M590" s="339"/>
      <c r="N590" s="339">
        <f t="shared" si="355"/>
        <v>12.959999999999999</v>
      </c>
      <c r="O590" s="339"/>
      <c r="P590" s="339">
        <f t="shared" si="356"/>
        <v>0</v>
      </c>
      <c r="Q590" s="339"/>
      <c r="R590" s="339">
        <f t="shared" si="357"/>
        <v>13.69</v>
      </c>
      <c r="S590" s="339"/>
      <c r="T590" s="294">
        <f t="shared" si="358"/>
        <v>36</v>
      </c>
      <c r="V590" s="294">
        <f t="shared" si="359"/>
        <v>635</v>
      </c>
      <c r="X590" s="294">
        <f t="shared" si="360"/>
        <v>0</v>
      </c>
      <c r="Z590" s="294">
        <f t="shared" si="361"/>
        <v>671</v>
      </c>
    </row>
    <row r="591" spans="2:29">
      <c r="B591" s="317" t="s">
        <v>1111</v>
      </c>
      <c r="D591" s="293">
        <f>'[7]BD-Redesign'!F70</f>
        <v>101.5</v>
      </c>
      <c r="E591" s="293">
        <f>ROUND(D591/D593*E593,0)</f>
        <v>132</v>
      </c>
      <c r="G591" s="339"/>
      <c r="H591" s="339"/>
      <c r="L591" s="339">
        <f t="shared" si="354"/>
        <v>0.64</v>
      </c>
      <c r="M591" s="339"/>
      <c r="N591" s="339">
        <f t="shared" si="355"/>
        <v>11.479999999999999</v>
      </c>
      <c r="O591" s="339"/>
      <c r="P591" s="339">
        <f t="shared" si="356"/>
        <v>0</v>
      </c>
      <c r="Q591" s="339"/>
      <c r="R591" s="339">
        <f t="shared" si="357"/>
        <v>12.12</v>
      </c>
      <c r="S591" s="339"/>
      <c r="T591" s="294">
        <f t="shared" si="358"/>
        <v>84</v>
      </c>
      <c r="V591" s="294">
        <f t="shared" si="359"/>
        <v>1515</v>
      </c>
      <c r="X591" s="294">
        <f t="shared" si="360"/>
        <v>0</v>
      </c>
      <c r="Z591" s="294">
        <f t="shared" si="361"/>
        <v>1600</v>
      </c>
    </row>
    <row r="592" spans="2:29">
      <c r="B592" s="317" t="s">
        <v>1104</v>
      </c>
      <c r="D592" s="293">
        <f>'[7]BD-Redesign'!F72</f>
        <v>9629.5</v>
      </c>
      <c r="E592" s="293">
        <f>E602-E593</f>
        <v>12517.406732117812</v>
      </c>
      <c r="G592" s="377"/>
      <c r="H592" s="343"/>
      <c r="L592" s="377">
        <f t="shared" si="354"/>
        <v>0</v>
      </c>
      <c r="M592" s="343" t="s">
        <v>1062</v>
      </c>
      <c r="N592" s="377">
        <f t="shared" si="355"/>
        <v>1.7162999999999999</v>
      </c>
      <c r="O592" s="343" t="s">
        <v>1062</v>
      </c>
      <c r="P592" s="377">
        <f t="shared" si="356"/>
        <v>2.279911334706</v>
      </c>
      <c r="Q592" s="343" t="s">
        <v>1062</v>
      </c>
      <c r="R592" s="377">
        <f t="shared" si="357"/>
        <v>3.996211334706</v>
      </c>
      <c r="S592" s="343" t="s">
        <v>1062</v>
      </c>
      <c r="T592" s="294">
        <f>ROUND($E592*L592/100,0)</f>
        <v>0</v>
      </c>
      <c r="U592" s="346"/>
      <c r="V592" s="294">
        <f>ROUND($E592*N592/100,0)</f>
        <v>215</v>
      </c>
      <c r="W592" s="346"/>
      <c r="X592" s="294">
        <f>ROUND($E592*P592/100,0)</f>
        <v>285</v>
      </c>
      <c r="Y592" s="346"/>
      <c r="Z592" s="294">
        <f>ROUND($E592*R592/100,0)</f>
        <v>500</v>
      </c>
    </row>
    <row r="593" spans="2:29">
      <c r="B593" s="317" t="s">
        <v>1105</v>
      </c>
      <c r="D593" s="293">
        <f>'[7]BD-Redesign'!F73</f>
        <v>3132.5</v>
      </c>
      <c r="E593" s="293">
        <f>ROUND(D593/D602*E602,0)</f>
        <v>4072</v>
      </c>
      <c r="G593" s="377"/>
      <c r="H593" s="343"/>
      <c r="L593" s="377">
        <f t="shared" si="354"/>
        <v>0</v>
      </c>
      <c r="M593" s="343" t="s">
        <v>1062</v>
      </c>
      <c r="N593" s="377">
        <f t="shared" si="355"/>
        <v>1.5188999999999999</v>
      </c>
      <c r="O593" s="343" t="s">
        <v>1062</v>
      </c>
      <c r="P593" s="377">
        <f t="shared" si="356"/>
        <v>2.0175702077039999</v>
      </c>
      <c r="Q593" s="343" t="s">
        <v>1062</v>
      </c>
      <c r="R593" s="377">
        <f t="shared" si="357"/>
        <v>3.5364702077039998</v>
      </c>
      <c r="S593" s="343" t="s">
        <v>1062</v>
      </c>
      <c r="T593" s="294">
        <f>ROUND($E593*L593/100,0)</f>
        <v>0</v>
      </c>
      <c r="U593" s="346"/>
      <c r="V593" s="294">
        <f>ROUND($E593*N593/100,0)</f>
        <v>62</v>
      </c>
      <c r="W593" s="346"/>
      <c r="X593" s="294">
        <f>ROUND($E593*P593/100,0)</f>
        <v>82</v>
      </c>
      <c r="Y593" s="346"/>
      <c r="Z593" s="294">
        <f>ROUND($E593*R593/100,0)</f>
        <v>144</v>
      </c>
    </row>
    <row r="594" spans="2:29">
      <c r="B594" s="317" t="s">
        <v>1112</v>
      </c>
      <c r="D594" s="293">
        <f>(D590+D591)*D914/(D914+D915)</f>
        <v>117.62785174590704</v>
      </c>
      <c r="E594" s="293">
        <f>ROUND(D594/D602*E602,0)</f>
        <v>153</v>
      </c>
      <c r="G594" s="318">
        <f>G561</f>
        <v>14.62</v>
      </c>
      <c r="H594" s="318"/>
      <c r="I594" s="294">
        <f t="shared" ref="I594:J596" si="362">ROUND($G594*D594,0)</f>
        <v>1720</v>
      </c>
      <c r="J594" s="294">
        <f t="shared" si="362"/>
        <v>2237</v>
      </c>
      <c r="L594" s="318"/>
      <c r="M594" s="318"/>
      <c r="N594" s="318"/>
      <c r="O594" s="318"/>
      <c r="P594" s="318"/>
      <c r="Q594" s="318"/>
      <c r="R594" s="318"/>
      <c r="S594" s="318"/>
      <c r="U594" s="319"/>
      <c r="W594" s="319"/>
      <c r="Y594" s="319"/>
    </row>
    <row r="595" spans="2:29">
      <c r="B595" s="317" t="s">
        <v>1113</v>
      </c>
      <c r="D595" s="293">
        <f>D590+D591-D594</f>
        <v>21.872148254092963</v>
      </c>
      <c r="E595" s="293">
        <f>ROUND(D595/D602*E602,0)</f>
        <v>28</v>
      </c>
      <c r="G595" s="318">
        <f>G562</f>
        <v>10.91</v>
      </c>
      <c r="H595" s="318"/>
      <c r="I595" s="294">
        <f t="shared" si="362"/>
        <v>239</v>
      </c>
      <c r="J595" s="294">
        <f t="shared" si="362"/>
        <v>305</v>
      </c>
      <c r="L595" s="318"/>
      <c r="M595" s="318"/>
      <c r="N595" s="318"/>
      <c r="O595" s="318"/>
      <c r="P595" s="318"/>
      <c r="Q595" s="318"/>
      <c r="R595" s="318"/>
      <c r="S595" s="318"/>
      <c r="U595" s="319"/>
      <c r="W595" s="319"/>
      <c r="Y595" s="319"/>
    </row>
    <row r="596" spans="2:29">
      <c r="B596" s="317" t="s">
        <v>1098</v>
      </c>
      <c r="D596" s="293">
        <f>D581</f>
        <v>0</v>
      </c>
      <c r="E596" s="293">
        <f>E581</f>
        <v>0</v>
      </c>
      <c r="G596" s="318">
        <f>G563</f>
        <v>-0.96</v>
      </c>
      <c r="H596" s="318"/>
      <c r="I596" s="294">
        <f t="shared" si="362"/>
        <v>0</v>
      </c>
      <c r="J596" s="294">
        <f t="shared" si="362"/>
        <v>0</v>
      </c>
      <c r="L596" s="318">
        <f>L563</f>
        <v>-0.96</v>
      </c>
      <c r="M596" s="318"/>
      <c r="N596" s="318">
        <f>N563</f>
        <v>0</v>
      </c>
      <c r="O596" s="318"/>
      <c r="P596" s="318">
        <f>P563</f>
        <v>0</v>
      </c>
      <c r="Q596" s="318"/>
      <c r="R596" s="318">
        <f>R563</f>
        <v>-0.96</v>
      </c>
      <c r="S596" s="318"/>
      <c r="T596" s="294">
        <f t="shared" ref="T596" si="363">ROUND($E596*L596,0)</f>
        <v>0</v>
      </c>
      <c r="U596" s="319"/>
      <c r="V596" s="294">
        <f t="shared" ref="V596" si="364">ROUND($E596*N596,0)</f>
        <v>0</v>
      </c>
      <c r="W596" s="319"/>
      <c r="X596" s="294">
        <f t="shared" ref="X596" si="365">ROUND($E596*P596,0)</f>
        <v>0</v>
      </c>
      <c r="Y596" s="319"/>
      <c r="Z596" s="294">
        <f t="shared" ref="Z596" si="366">ROUND($E596*R596,0)</f>
        <v>0</v>
      </c>
    </row>
    <row r="597" spans="2:29">
      <c r="B597" s="317" t="s">
        <v>1108</v>
      </c>
      <c r="D597" s="293">
        <f>(D592+D593)*D917/(D917+D918)</f>
        <v>10170</v>
      </c>
      <c r="E597" s="293">
        <f>ROUND(D597/D602*E602,0)</f>
        <v>13220</v>
      </c>
      <c r="G597" s="377">
        <f>G564</f>
        <v>3.8127</v>
      </c>
      <c r="H597" s="343" t="s">
        <v>1062</v>
      </c>
      <c r="I597" s="294">
        <f>ROUND($G597*D597/100,0)</f>
        <v>388</v>
      </c>
      <c r="J597" s="294">
        <f>ROUND($G597*E597/100,0)</f>
        <v>504</v>
      </c>
      <c r="L597" s="377"/>
      <c r="M597" s="343"/>
      <c r="N597" s="377"/>
      <c r="O597" s="343"/>
      <c r="P597" s="377"/>
      <c r="Q597" s="343"/>
      <c r="R597" s="377"/>
      <c r="S597" s="343"/>
      <c r="T597" s="346"/>
      <c r="U597" s="346"/>
      <c r="V597" s="346"/>
      <c r="W597" s="346"/>
      <c r="X597" s="346"/>
      <c r="Y597" s="346"/>
    </row>
    <row r="598" spans="2:29">
      <c r="B598" s="317" t="s">
        <v>1109</v>
      </c>
      <c r="D598" s="293">
        <f>D592+D593-D597</f>
        <v>2592</v>
      </c>
      <c r="E598" s="293">
        <f>E602-E597</f>
        <v>3369.4067321178118</v>
      </c>
      <c r="G598" s="377">
        <f>G565</f>
        <v>3.5143</v>
      </c>
      <c r="H598" s="343" t="s">
        <v>1062</v>
      </c>
      <c r="I598" s="294">
        <f>ROUND($G598*D598/100,0)</f>
        <v>91</v>
      </c>
      <c r="J598" s="294">
        <f>ROUND($G598*E598/100,0)</f>
        <v>118</v>
      </c>
      <c r="L598" s="377"/>
      <c r="M598" s="343"/>
      <c r="N598" s="377"/>
      <c r="O598" s="343"/>
      <c r="P598" s="377"/>
      <c r="Q598" s="343"/>
      <c r="R598" s="377"/>
      <c r="S598" s="343"/>
      <c r="T598" s="346"/>
      <c r="U598" s="346"/>
      <c r="V598" s="346"/>
      <c r="W598" s="346"/>
      <c r="X598" s="346"/>
      <c r="Y598" s="346"/>
    </row>
    <row r="599" spans="2:29">
      <c r="B599" s="317" t="s">
        <v>1078</v>
      </c>
      <c r="D599" s="357">
        <v>0</v>
      </c>
      <c r="E599" s="357">
        <v>0</v>
      </c>
      <c r="I599" s="358">
        <v>0</v>
      </c>
      <c r="J599" s="358">
        <v>0</v>
      </c>
      <c r="Z599" s="358"/>
    </row>
    <row r="600" spans="2:29">
      <c r="B600" s="317" t="s">
        <v>1079</v>
      </c>
      <c r="G600" s="338">
        <f>G567</f>
        <v>-3.61E-2</v>
      </c>
      <c r="H600" s="339"/>
      <c r="I600" s="294">
        <f>SUM(I594:I595,I597:I598)*$G600</f>
        <v>-88.011799999999994</v>
      </c>
      <c r="J600" s="294">
        <f>SUM(J594:J595,J597:J598)*$G600</f>
        <v>-114.2204</v>
      </c>
      <c r="L600" s="338"/>
      <c r="M600" s="339"/>
      <c r="N600" s="338"/>
      <c r="O600" s="339"/>
      <c r="P600" s="359" t="str">
        <f>$P$43</f>
        <v>Tax Year 1</v>
      </c>
      <c r="Q600" s="339"/>
      <c r="R600" s="338">
        <f>$R$687</f>
        <v>-2.4199999999999999E-2</v>
      </c>
      <c r="S600" s="339"/>
      <c r="Z600" s="294">
        <f>R600*SUM(Z590:Z593)</f>
        <v>-70.542999999999992</v>
      </c>
    </row>
    <row r="601" spans="2:29">
      <c r="B601" s="317"/>
      <c r="G601" s="338"/>
      <c r="H601" s="339"/>
      <c r="L601" s="338"/>
      <c r="M601" s="339"/>
      <c r="N601" s="338"/>
      <c r="O601" s="339"/>
      <c r="P601" s="359" t="str">
        <f>$P$44</f>
        <v>Tax Year 2</v>
      </c>
      <c r="Q601" s="339"/>
      <c r="R601" s="338">
        <f>$R$688</f>
        <v>-1.21E-2</v>
      </c>
      <c r="S601" s="339"/>
      <c r="Z601" s="294">
        <f>R601*SUM(Z590:Z593)</f>
        <v>-35.271499999999996</v>
      </c>
    </row>
    <row r="602" spans="2:29" ht="16.5" thickBot="1">
      <c r="B602" s="317" t="s">
        <v>937</v>
      </c>
      <c r="D602" s="381">
        <f>SUM(D597:D599)</f>
        <v>12762</v>
      </c>
      <c r="E602" s="381">
        <f>D602*E922/D922</f>
        <v>16589.406732117812</v>
      </c>
      <c r="G602" s="368"/>
      <c r="I602" s="369">
        <f>SUM(I587:I600)</f>
        <v>3291.9881999999998</v>
      </c>
      <c r="J602" s="369">
        <f>SUM(J587:J600)</f>
        <v>4274.7795999999998</v>
      </c>
      <c r="L602" s="368"/>
      <c r="N602" s="368"/>
      <c r="P602" s="368"/>
      <c r="R602" s="368"/>
      <c r="T602" s="369">
        <f>SUM(T587:T599)</f>
        <v>1367</v>
      </c>
      <c r="V602" s="369">
        <f>SUM(V587:V599)</f>
        <v>2427</v>
      </c>
      <c r="X602" s="369">
        <f>SUM(X587:X599)</f>
        <v>367</v>
      </c>
      <c r="Z602" s="369">
        <f>SUM(Z587:Z599)</f>
        <v>4162</v>
      </c>
      <c r="AB602" s="305" t="s">
        <v>939</v>
      </c>
      <c r="AC602" s="304">
        <f>Z602/J602-1</f>
        <v>-2.6382553149640664E-2</v>
      </c>
    </row>
    <row r="603" spans="2:29" ht="16.5" thickTop="1"/>
    <row r="604" spans="2:29">
      <c r="B604" s="314" t="s">
        <v>956</v>
      </c>
      <c r="F604" s="339"/>
      <c r="K604" s="339"/>
    </row>
    <row r="605" spans="2:29">
      <c r="B605" s="317" t="s">
        <v>1089</v>
      </c>
      <c r="D605" s="293">
        <f>'[7]BD-Redesign'!D38</f>
        <v>54</v>
      </c>
      <c r="E605" s="293">
        <f>E620</f>
        <v>54</v>
      </c>
      <c r="G605" s="318"/>
      <c r="H605" s="318"/>
      <c r="L605" s="318">
        <f>L539</f>
        <v>55</v>
      </c>
      <c r="M605" s="318"/>
      <c r="N605" s="318">
        <f>N539</f>
        <v>0</v>
      </c>
      <c r="O605" s="318"/>
      <c r="P605" s="318">
        <f>P539</f>
        <v>0</v>
      </c>
      <c r="Q605" s="318"/>
      <c r="R605" s="318">
        <f t="shared" ref="R605:R615" si="367">R539</f>
        <v>55</v>
      </c>
      <c r="S605" s="318"/>
      <c r="T605" s="294">
        <f>ROUND($E605*L605,0)</f>
        <v>2970</v>
      </c>
      <c r="U605" s="319"/>
      <c r="V605" s="294">
        <f>ROUND($E605*N605,0)</f>
        <v>0</v>
      </c>
      <c r="W605" s="319"/>
      <c r="X605" s="294">
        <f>ROUND($E605*P605,0)</f>
        <v>0</v>
      </c>
      <c r="Y605" s="319"/>
      <c r="Z605" s="294">
        <f>ROUND($E605*R605,0)</f>
        <v>2970</v>
      </c>
      <c r="AB605" s="305"/>
      <c r="AC605" s="325"/>
    </row>
    <row r="606" spans="2:29">
      <c r="B606" s="317" t="s">
        <v>1090</v>
      </c>
      <c r="D606" s="293">
        <f>'[7]BD-Redesign'!D39</f>
        <v>20514.5</v>
      </c>
      <c r="E606" s="293">
        <f t="shared" ref="E606:E615" si="368">D606/$D$618*$E$618</f>
        <v>20711.583208003216</v>
      </c>
      <c r="F606" s="339"/>
      <c r="G606" s="376"/>
      <c r="H606" s="343"/>
      <c r="K606" s="339"/>
      <c r="L606" s="376">
        <f t="shared" ref="L606:L615" si="369">L540</f>
        <v>1.7867999999999999</v>
      </c>
      <c r="M606" s="343" t="s">
        <v>1062</v>
      </c>
      <c r="N606" s="376">
        <f t="shared" ref="N606:N615" si="370">N540</f>
        <v>19.766631654000651</v>
      </c>
      <c r="O606" s="343" t="s">
        <v>1062</v>
      </c>
      <c r="P606" s="376">
        <f t="shared" ref="P606:P615" si="371">P540</f>
        <v>1.3127</v>
      </c>
      <c r="Q606" s="343" t="s">
        <v>1062</v>
      </c>
      <c r="R606" s="376">
        <f t="shared" si="367"/>
        <v>22.86613165400065</v>
      </c>
      <c r="S606" s="343" t="s">
        <v>1062</v>
      </c>
      <c r="T606" s="294">
        <f>ROUND($E606*L606/100,0)</f>
        <v>370</v>
      </c>
      <c r="U606" s="346"/>
      <c r="V606" s="294">
        <f>ROUND($E606*N606/100,0)</f>
        <v>4094</v>
      </c>
      <c r="W606" s="346"/>
      <c r="X606" s="294">
        <f>ROUND($E606*P606/100,0)</f>
        <v>272</v>
      </c>
      <c r="Y606" s="346"/>
      <c r="Z606" s="294">
        <f>ROUND($E606*R606/100,0)</f>
        <v>4736</v>
      </c>
    </row>
    <row r="607" spans="2:29">
      <c r="B607" s="317" t="s">
        <v>1091</v>
      </c>
      <c r="D607" s="293">
        <f>'[7]BD-Redesign'!D40</f>
        <v>21924</v>
      </c>
      <c r="E607" s="293">
        <f t="shared" si="368"/>
        <v>22134.624302433036</v>
      </c>
      <c r="F607" s="339"/>
      <c r="G607" s="376"/>
      <c r="H607" s="343"/>
      <c r="K607" s="339"/>
      <c r="L607" s="376">
        <f t="shared" si="369"/>
        <v>1.7867999999999999</v>
      </c>
      <c r="M607" s="343" t="s">
        <v>1062</v>
      </c>
      <c r="N607" s="376">
        <f t="shared" si="370"/>
        <v>1.4732003384230001</v>
      </c>
      <c r="O607" s="343" t="s">
        <v>1062</v>
      </c>
      <c r="P607" s="376">
        <f t="shared" si="371"/>
        <v>1.3127</v>
      </c>
      <c r="Q607" s="343" t="s">
        <v>1062</v>
      </c>
      <c r="R607" s="376">
        <f t="shared" si="367"/>
        <v>4.5727003384230001</v>
      </c>
      <c r="S607" s="343" t="s">
        <v>1062</v>
      </c>
      <c r="T607" s="294">
        <f t="shared" ref="T607:T613" si="372">ROUND($E607*L607/100,0)</f>
        <v>396</v>
      </c>
      <c r="U607" s="346"/>
      <c r="V607" s="294">
        <f t="shared" ref="V607:V613" si="373">ROUND($E607*N607/100,0)</f>
        <v>326</v>
      </c>
      <c r="W607" s="346"/>
      <c r="X607" s="294">
        <f t="shared" ref="X607:X613" si="374">ROUND($E607*P607/100,0)</f>
        <v>291</v>
      </c>
      <c r="Y607" s="346"/>
      <c r="Z607" s="294">
        <f t="shared" ref="Z607:Z613" si="375">ROUND($E607*R607/100,0)</f>
        <v>1012</v>
      </c>
    </row>
    <row r="608" spans="2:29">
      <c r="B608" s="317" t="s">
        <v>1092</v>
      </c>
      <c r="D608" s="293">
        <f>'[7]BD-Redesign'!D41</f>
        <v>43500.5</v>
      </c>
      <c r="E608" s="293">
        <f t="shared" si="368"/>
        <v>43918.410165480214</v>
      </c>
      <c r="F608" s="339"/>
      <c r="G608" s="376"/>
      <c r="H608" s="343"/>
      <c r="K608" s="339"/>
      <c r="L608" s="376">
        <f t="shared" si="369"/>
        <v>1.7867999999999999</v>
      </c>
      <c r="M608" s="343" t="s">
        <v>1062</v>
      </c>
      <c r="N608" s="376">
        <f t="shared" si="370"/>
        <v>17.286999999999999</v>
      </c>
      <c r="O608" s="343" t="s">
        <v>1062</v>
      </c>
      <c r="P608" s="376">
        <f t="shared" si="371"/>
        <v>1.1617</v>
      </c>
      <c r="Q608" s="343" t="s">
        <v>1062</v>
      </c>
      <c r="R608" s="376">
        <f t="shared" si="367"/>
        <v>20.235499999999998</v>
      </c>
      <c r="S608" s="343" t="s">
        <v>1062</v>
      </c>
      <c r="T608" s="294">
        <f t="shared" si="372"/>
        <v>785</v>
      </c>
      <c r="U608" s="346"/>
      <c r="V608" s="294">
        <f t="shared" si="373"/>
        <v>7592</v>
      </c>
      <c r="W608" s="346"/>
      <c r="X608" s="294">
        <f t="shared" si="374"/>
        <v>510</v>
      </c>
      <c r="Y608" s="346"/>
      <c r="Z608" s="294">
        <f t="shared" si="375"/>
        <v>8887</v>
      </c>
    </row>
    <row r="609" spans="2:29">
      <c r="B609" s="317" t="s">
        <v>1093</v>
      </c>
      <c r="D609" s="293">
        <f>'[7]BD-Redesign'!D42</f>
        <v>25370.5</v>
      </c>
      <c r="E609" s="293">
        <f t="shared" si="368"/>
        <v>25614.234896226844</v>
      </c>
      <c r="F609" s="339"/>
      <c r="G609" s="376"/>
      <c r="H609" s="343"/>
      <c r="K609" s="339"/>
      <c r="L609" s="376">
        <f t="shared" si="369"/>
        <v>1.7867999999999999</v>
      </c>
      <c r="M609" s="343" t="s">
        <v>1062</v>
      </c>
      <c r="N609" s="376">
        <f t="shared" si="370"/>
        <v>1.0980999999999999</v>
      </c>
      <c r="O609" s="343" t="s">
        <v>1062</v>
      </c>
      <c r="P609" s="376">
        <f t="shared" si="371"/>
        <v>1.1617</v>
      </c>
      <c r="Q609" s="343" t="s">
        <v>1062</v>
      </c>
      <c r="R609" s="376">
        <f t="shared" si="367"/>
        <v>4.0465999999999998</v>
      </c>
      <c r="S609" s="343" t="s">
        <v>1062</v>
      </c>
      <c r="T609" s="294">
        <f t="shared" si="372"/>
        <v>458</v>
      </c>
      <c r="U609" s="346"/>
      <c r="V609" s="294">
        <f t="shared" si="373"/>
        <v>281</v>
      </c>
      <c r="W609" s="346"/>
      <c r="X609" s="294">
        <f t="shared" si="374"/>
        <v>298</v>
      </c>
      <c r="Y609" s="346"/>
      <c r="Z609" s="294">
        <f t="shared" si="375"/>
        <v>1037</v>
      </c>
    </row>
    <row r="610" spans="2:29">
      <c r="B610" s="317" t="s">
        <v>1094</v>
      </c>
      <c r="D610" s="293">
        <f>'[7]BD-Redesign'!D43</f>
        <v>23568.242354788523</v>
      </c>
      <c r="E610" s="293">
        <f t="shared" si="368"/>
        <v>23794.662926105346</v>
      </c>
      <c r="F610" s="339"/>
      <c r="G610" s="376"/>
      <c r="H610" s="343"/>
      <c r="K610" s="339"/>
      <c r="L610" s="376">
        <f t="shared" si="369"/>
        <v>0</v>
      </c>
      <c r="M610" s="343" t="s">
        <v>1062</v>
      </c>
      <c r="N610" s="376">
        <f t="shared" si="370"/>
        <v>0</v>
      </c>
      <c r="O610" s="343" t="s">
        <v>1062</v>
      </c>
      <c r="P610" s="376">
        <f t="shared" si="371"/>
        <v>6</v>
      </c>
      <c r="Q610" s="343" t="s">
        <v>1062</v>
      </c>
      <c r="R610" s="376">
        <f t="shared" si="367"/>
        <v>6</v>
      </c>
      <c r="S610" s="343" t="s">
        <v>1062</v>
      </c>
      <c r="T610" s="294">
        <f t="shared" si="372"/>
        <v>0</v>
      </c>
      <c r="U610" s="346"/>
      <c r="V610" s="294">
        <f t="shared" si="373"/>
        <v>0</v>
      </c>
      <c r="W610" s="346"/>
      <c r="X610" s="294">
        <f t="shared" si="374"/>
        <v>1428</v>
      </c>
      <c r="Y610" s="346"/>
      <c r="Z610" s="294">
        <f t="shared" si="375"/>
        <v>1428</v>
      </c>
    </row>
    <row r="611" spans="2:29">
      <c r="B611" s="317" t="s">
        <v>1095</v>
      </c>
      <c r="D611" s="293">
        <f>'[7]BD-Redesign'!D44</f>
        <v>18870.257645211477</v>
      </c>
      <c r="E611" s="293">
        <f t="shared" si="368"/>
        <v>19051.544584330906</v>
      </c>
      <c r="F611" s="339"/>
      <c r="G611" s="376"/>
      <c r="H611" s="343"/>
      <c r="K611" s="339"/>
      <c r="L611" s="376">
        <f t="shared" si="369"/>
        <v>0</v>
      </c>
      <c r="M611" s="343" t="s">
        <v>1062</v>
      </c>
      <c r="N611" s="376">
        <f t="shared" si="370"/>
        <v>0</v>
      </c>
      <c r="O611" s="343" t="s">
        <v>1062</v>
      </c>
      <c r="P611" s="376">
        <f t="shared" si="371"/>
        <v>-2.3358000000000008</v>
      </c>
      <c r="Q611" s="343" t="s">
        <v>1062</v>
      </c>
      <c r="R611" s="376">
        <f t="shared" si="367"/>
        <v>-2.3358000000000008</v>
      </c>
      <c r="S611" s="343" t="s">
        <v>1062</v>
      </c>
      <c r="T611" s="294">
        <f t="shared" si="372"/>
        <v>0</v>
      </c>
      <c r="U611" s="346"/>
      <c r="V611" s="294">
        <f t="shared" si="373"/>
        <v>0</v>
      </c>
      <c r="W611" s="346"/>
      <c r="X611" s="294">
        <f t="shared" si="374"/>
        <v>-445</v>
      </c>
      <c r="Y611" s="346"/>
      <c r="Z611" s="294">
        <f t="shared" si="375"/>
        <v>-445</v>
      </c>
    </row>
    <row r="612" spans="2:29">
      <c r="B612" s="317" t="s">
        <v>1096</v>
      </c>
      <c r="D612" s="293">
        <f>'[7]BD-Redesign'!D45</f>
        <v>38247.544546028723</v>
      </c>
      <c r="E612" s="293">
        <f t="shared" si="368"/>
        <v>38614.989464373175</v>
      </c>
      <c r="F612" s="339"/>
      <c r="G612" s="376"/>
      <c r="H612" s="343"/>
      <c r="K612" s="339"/>
      <c r="L612" s="376">
        <f t="shared" si="369"/>
        <v>0</v>
      </c>
      <c r="M612" s="343" t="s">
        <v>1062</v>
      </c>
      <c r="N612" s="376">
        <f t="shared" si="370"/>
        <v>0</v>
      </c>
      <c r="O612" s="343" t="s">
        <v>1062</v>
      </c>
      <c r="P612" s="376">
        <f t="shared" si="371"/>
        <v>5.3097000000000003</v>
      </c>
      <c r="Q612" s="343" t="s">
        <v>1062</v>
      </c>
      <c r="R612" s="376">
        <f t="shared" si="367"/>
        <v>5.3097000000000003</v>
      </c>
      <c r="S612" s="343" t="s">
        <v>1062</v>
      </c>
      <c r="T612" s="294">
        <f t="shared" si="372"/>
        <v>0</v>
      </c>
      <c r="U612" s="346"/>
      <c r="V612" s="294">
        <f t="shared" si="373"/>
        <v>0</v>
      </c>
      <c r="W612" s="346"/>
      <c r="X612" s="294">
        <f t="shared" si="374"/>
        <v>2050</v>
      </c>
      <c r="Y612" s="346"/>
      <c r="Z612" s="294">
        <f t="shared" si="375"/>
        <v>2050</v>
      </c>
    </row>
    <row r="613" spans="2:29">
      <c r="B613" s="317" t="s">
        <v>1097</v>
      </c>
      <c r="D613" s="293">
        <f>'[7]BD-Redesign'!D46</f>
        <v>30623.455453971277</v>
      </c>
      <c r="E613" s="293">
        <f t="shared" si="368"/>
        <v>30917.655597333884</v>
      </c>
      <c r="F613" s="339"/>
      <c r="G613" s="376"/>
      <c r="H613" s="343"/>
      <c r="K613" s="339"/>
      <c r="L613" s="376">
        <f t="shared" si="369"/>
        <v>0</v>
      </c>
      <c r="M613" s="343" t="s">
        <v>1062</v>
      </c>
      <c r="N613" s="376">
        <f t="shared" si="370"/>
        <v>0</v>
      </c>
      <c r="O613" s="343" t="s">
        <v>1062</v>
      </c>
      <c r="P613" s="376">
        <f t="shared" si="371"/>
        <v>-2.0670999999999999</v>
      </c>
      <c r="Q613" s="343" t="s">
        <v>1062</v>
      </c>
      <c r="R613" s="376">
        <f t="shared" si="367"/>
        <v>-2.0670999999999999</v>
      </c>
      <c r="S613" s="343" t="s">
        <v>1062</v>
      </c>
      <c r="T613" s="294">
        <f t="shared" si="372"/>
        <v>0</v>
      </c>
      <c r="U613" s="346"/>
      <c r="V613" s="294">
        <f t="shared" si="373"/>
        <v>0</v>
      </c>
      <c r="W613" s="346"/>
      <c r="X613" s="294">
        <f t="shared" si="374"/>
        <v>-639</v>
      </c>
      <c r="Y613" s="346"/>
      <c r="Z613" s="294">
        <f t="shared" si="375"/>
        <v>-639</v>
      </c>
    </row>
    <row r="614" spans="2:29">
      <c r="B614" s="317" t="s">
        <v>1098</v>
      </c>
      <c r="D614" s="293">
        <f>'[7]BD-Redesign'!D47</f>
        <v>0</v>
      </c>
      <c r="E614" s="293">
        <f t="shared" si="368"/>
        <v>0</v>
      </c>
      <c r="G614" s="318"/>
      <c r="H614" s="318"/>
      <c r="L614" s="318">
        <f t="shared" si="369"/>
        <v>-0.61</v>
      </c>
      <c r="M614" s="318"/>
      <c r="N614" s="318">
        <f t="shared" si="370"/>
        <v>0</v>
      </c>
      <c r="O614" s="318"/>
      <c r="P614" s="318">
        <f t="shared" si="371"/>
        <v>0</v>
      </c>
      <c r="Q614" s="318"/>
      <c r="R614" s="318">
        <f t="shared" si="367"/>
        <v>-0.61</v>
      </c>
      <c r="S614" s="318"/>
      <c r="T614" s="294">
        <f>ROUND($E614*L614,0)</f>
        <v>0</v>
      </c>
      <c r="U614" s="319"/>
      <c r="V614" s="294">
        <f>ROUND($E614*N614,0)</f>
        <v>0</v>
      </c>
      <c r="W614" s="319"/>
      <c r="X614" s="294">
        <f>ROUND($E614*P614,0)</f>
        <v>0</v>
      </c>
      <c r="Y614" s="319"/>
      <c r="Z614" s="294">
        <f>ROUND($E614*R614,0)</f>
        <v>0</v>
      </c>
    </row>
    <row r="615" spans="2:29">
      <c r="B615" s="353" t="s">
        <v>1077</v>
      </c>
      <c r="D615" s="293">
        <f>'[7]BD-Redesign'!D48</f>
        <v>0</v>
      </c>
      <c r="E615" s="293">
        <f t="shared" si="368"/>
        <v>0</v>
      </c>
      <c r="G615" s="377"/>
      <c r="H615" s="343"/>
      <c r="L615" s="377">
        <f t="shared" si="369"/>
        <v>0</v>
      </c>
      <c r="M615" s="343" t="s">
        <v>1062</v>
      </c>
      <c r="N615" s="377">
        <f t="shared" si="370"/>
        <v>7.125</v>
      </c>
      <c r="O615" s="343" t="s">
        <v>1062</v>
      </c>
      <c r="P615" s="377">
        <f t="shared" si="371"/>
        <v>0</v>
      </c>
      <c r="Q615" s="343" t="s">
        <v>1062</v>
      </c>
      <c r="R615" s="377">
        <f t="shared" si="367"/>
        <v>7.125</v>
      </c>
      <c r="S615" s="343" t="s">
        <v>1062</v>
      </c>
      <c r="T615" s="294">
        <f>ROUND($E615*L615/100,0)</f>
        <v>0</v>
      </c>
      <c r="U615" s="346"/>
      <c r="V615" s="294">
        <f>ROUND($E615*N615/100,0)</f>
        <v>0</v>
      </c>
      <c r="W615" s="346"/>
      <c r="X615" s="294">
        <f>ROUND($E615*P615/100,0)</f>
        <v>0</v>
      </c>
      <c r="Y615" s="346"/>
      <c r="Z615" s="294">
        <f>ROUND($E615*R615/100,0)</f>
        <v>0</v>
      </c>
      <c r="AB615" s="305"/>
      <c r="AC615" s="325"/>
    </row>
    <row r="616" spans="2:29">
      <c r="B616" s="317" t="s">
        <v>1079</v>
      </c>
      <c r="G616" s="338"/>
      <c r="H616" s="339"/>
      <c r="L616" s="338"/>
      <c r="M616" s="339"/>
      <c r="N616" s="338"/>
      <c r="O616" s="339"/>
      <c r="P616" s="359" t="str">
        <f>$P$43</f>
        <v>Tax Year 1</v>
      </c>
      <c r="Q616" s="339"/>
      <c r="R616" s="338">
        <f>$R$979</f>
        <v>-2.7099999999999999E-2</v>
      </c>
      <c r="S616" s="339"/>
      <c r="Z616" s="294">
        <f>R616*SUM(Z606:Z609,Z615)</f>
        <v>-424.71119999999996</v>
      </c>
    </row>
    <row r="617" spans="2:29">
      <c r="B617" s="317"/>
      <c r="G617" s="338"/>
      <c r="H617" s="339"/>
      <c r="L617" s="338"/>
      <c r="M617" s="339"/>
      <c r="N617" s="338"/>
      <c r="O617" s="339"/>
      <c r="P617" s="359" t="str">
        <f>$P$44</f>
        <v>Tax Year 2</v>
      </c>
      <c r="Q617" s="339"/>
      <c r="R617" s="338">
        <f>$R$980</f>
        <v>-1.3599999999999999E-2</v>
      </c>
      <c r="S617" s="339"/>
      <c r="Z617" s="294">
        <f>R617*SUM(Z606:Z609,Z615)</f>
        <v>-213.13919999999999</v>
      </c>
    </row>
    <row r="618" spans="2:29">
      <c r="B618" s="317" t="s">
        <v>945</v>
      </c>
      <c r="D618" s="293">
        <f>SUM(D610:D613,D615)</f>
        <v>111309.5</v>
      </c>
      <c r="E618" s="293">
        <f>E635</f>
        <v>112378.85257214331</v>
      </c>
      <c r="G618" s="318"/>
      <c r="H618" s="318"/>
      <c r="L618" s="318"/>
      <c r="M618" s="318"/>
      <c r="N618" s="318"/>
      <c r="O618" s="318"/>
      <c r="P618" s="318"/>
      <c r="Q618" s="318"/>
      <c r="R618" s="318"/>
      <c r="S618" s="318"/>
      <c r="T618" s="294">
        <f>SUM(T605:T615)</f>
        <v>4979</v>
      </c>
      <c r="U618" s="319"/>
      <c r="V618" s="294">
        <f>SUM(V605:V615)</f>
        <v>12293</v>
      </c>
      <c r="W618" s="319"/>
      <c r="X618" s="294">
        <f>SUM(X605:X615)</f>
        <v>3765</v>
      </c>
      <c r="Y618" s="319"/>
      <c r="Z618" s="294">
        <f>SUM(Z605:Z615)</f>
        <v>21036</v>
      </c>
      <c r="AB618" s="305" t="s">
        <v>939</v>
      </c>
      <c r="AC618" s="329">
        <f>Z618/Z635-1</f>
        <v>-0.54755452316427933</v>
      </c>
    </row>
    <row r="619" spans="2:29">
      <c r="B619" s="317"/>
      <c r="G619" s="318"/>
      <c r="H619" s="318"/>
      <c r="L619" s="318"/>
      <c r="M619" s="318"/>
      <c r="N619" s="318"/>
      <c r="O619" s="318"/>
      <c r="P619" s="318"/>
      <c r="Q619" s="318"/>
      <c r="R619" s="318"/>
      <c r="S619" s="318"/>
      <c r="T619" s="319"/>
      <c r="U619" s="319"/>
      <c r="V619" s="319"/>
      <c r="W619" s="319"/>
      <c r="X619" s="319"/>
      <c r="Y619" s="319"/>
      <c r="AB619" s="305"/>
      <c r="AC619" s="325"/>
    </row>
    <row r="620" spans="2:29">
      <c r="B620" s="317" t="s">
        <v>1089</v>
      </c>
      <c r="D620" s="293">
        <f>D605</f>
        <v>54</v>
      </c>
      <c r="E620" s="293">
        <f>D620*E925/D925</f>
        <v>54</v>
      </c>
      <c r="G620" s="318">
        <f>G554</f>
        <v>54</v>
      </c>
      <c r="H620" s="318"/>
      <c r="I620" s="294">
        <f t="shared" ref="I620:J621" si="376">ROUND($G620*D620,0)</f>
        <v>2916</v>
      </c>
      <c r="J620" s="294">
        <f t="shared" si="376"/>
        <v>2916</v>
      </c>
      <c r="L620" s="318">
        <f t="shared" ref="L620:L626" si="377">L554</f>
        <v>55</v>
      </c>
      <c r="M620" s="318"/>
      <c r="N620" s="318">
        <f t="shared" ref="N620:N626" si="378">N554</f>
        <v>0</v>
      </c>
      <c r="O620" s="318"/>
      <c r="P620" s="318">
        <f t="shared" ref="P620:P626" si="379">P554</f>
        <v>0</v>
      </c>
      <c r="Q620" s="318"/>
      <c r="R620" s="318">
        <f t="shared" ref="R620:R626" si="380">R554</f>
        <v>55</v>
      </c>
      <c r="S620" s="318"/>
      <c r="T620" s="294">
        <f t="shared" ref="T620:T624" si="381">ROUND($E620*L620,0)</f>
        <v>2970</v>
      </c>
      <c r="U620" s="319"/>
      <c r="V620" s="294">
        <f t="shared" ref="V620:V624" si="382">ROUND($E620*N620,0)</f>
        <v>0</v>
      </c>
      <c r="W620" s="319"/>
      <c r="X620" s="294">
        <f t="shared" ref="X620:X624" si="383">ROUND($E620*P620,0)</f>
        <v>0</v>
      </c>
      <c r="Y620" s="319"/>
      <c r="Z620" s="294">
        <f t="shared" ref="Z620:Z624" si="384">ROUND($E620*R620,0)</f>
        <v>2970</v>
      </c>
    </row>
    <row r="621" spans="2:29">
      <c r="B621" s="317" t="s">
        <v>1099</v>
      </c>
      <c r="D621" s="293">
        <v>0</v>
      </c>
      <c r="E621" s="293">
        <v>0</v>
      </c>
      <c r="F621" s="339"/>
      <c r="G621" s="318">
        <f>G555</f>
        <v>648</v>
      </c>
      <c r="H621" s="318"/>
      <c r="I621" s="294">
        <f t="shared" si="376"/>
        <v>0</v>
      </c>
      <c r="J621" s="294">
        <f t="shared" si="376"/>
        <v>0</v>
      </c>
      <c r="K621" s="339"/>
      <c r="L621" s="318">
        <f t="shared" si="377"/>
        <v>660</v>
      </c>
      <c r="M621" s="318"/>
      <c r="N621" s="318">
        <f t="shared" si="378"/>
        <v>0</v>
      </c>
      <c r="O621" s="318"/>
      <c r="P621" s="318">
        <f t="shared" si="379"/>
        <v>0</v>
      </c>
      <c r="Q621" s="318"/>
      <c r="R621" s="318">
        <f t="shared" si="380"/>
        <v>660</v>
      </c>
      <c r="S621" s="318"/>
      <c r="T621" s="294">
        <f t="shared" si="381"/>
        <v>0</v>
      </c>
      <c r="V621" s="294">
        <f t="shared" si="382"/>
        <v>0</v>
      </c>
      <c r="X621" s="294">
        <f t="shared" si="383"/>
        <v>0</v>
      </c>
      <c r="Z621" s="294">
        <f t="shared" si="384"/>
        <v>0</v>
      </c>
    </row>
    <row r="622" spans="2:29">
      <c r="B622" s="317" t="s">
        <v>1101</v>
      </c>
      <c r="D622" s="293">
        <f>'[7]BD-Redesign'!D68</f>
        <v>2327</v>
      </c>
      <c r="E622" s="293">
        <f>ROUND(D622/D635*E635,0)</f>
        <v>2349</v>
      </c>
      <c r="G622" s="318">
        <f>G556</f>
        <v>4.04</v>
      </c>
      <c r="H622" s="318"/>
      <c r="I622" s="294">
        <f>ROUND($G622*D622,0)</f>
        <v>9401</v>
      </c>
      <c r="J622" s="294">
        <f>ROUND($G622*E622,0)</f>
        <v>9490</v>
      </c>
      <c r="L622" s="318">
        <f t="shared" si="377"/>
        <v>4.1100000000000003</v>
      </c>
      <c r="M622" s="318"/>
      <c r="N622" s="318">
        <f t="shared" si="378"/>
        <v>0</v>
      </c>
      <c r="O622" s="318"/>
      <c r="P622" s="318">
        <f t="shared" si="379"/>
        <v>0</v>
      </c>
      <c r="Q622" s="318"/>
      <c r="R622" s="318">
        <f t="shared" si="380"/>
        <v>4.1100000000000003</v>
      </c>
      <c r="S622" s="318"/>
      <c r="T622" s="294">
        <f t="shared" si="381"/>
        <v>9654</v>
      </c>
      <c r="U622" s="319"/>
      <c r="V622" s="294">
        <f t="shared" si="382"/>
        <v>0</v>
      </c>
      <c r="W622" s="319"/>
      <c r="X622" s="294">
        <f t="shared" si="383"/>
        <v>0</v>
      </c>
      <c r="Y622" s="319"/>
      <c r="Z622" s="294">
        <f t="shared" si="384"/>
        <v>9654</v>
      </c>
    </row>
    <row r="623" spans="2:29">
      <c r="B623" s="317" t="s">
        <v>1110</v>
      </c>
      <c r="D623" s="293">
        <f>'[7]BD-Redesign'!D69</f>
        <v>775.5</v>
      </c>
      <c r="E623" s="293">
        <f>ROUND(D623/D625*E625,0)</f>
        <v>783</v>
      </c>
      <c r="G623" s="339"/>
      <c r="H623" s="339"/>
      <c r="L623" s="339">
        <f t="shared" si="377"/>
        <v>0.73</v>
      </c>
      <c r="M623" s="339"/>
      <c r="N623" s="339">
        <f t="shared" si="378"/>
        <v>12.959999999999999</v>
      </c>
      <c r="O623" s="339"/>
      <c r="P623" s="339">
        <f t="shared" si="379"/>
        <v>0</v>
      </c>
      <c r="Q623" s="339"/>
      <c r="R623" s="339">
        <f t="shared" si="380"/>
        <v>13.69</v>
      </c>
      <c r="S623" s="339"/>
      <c r="T623" s="294">
        <f t="shared" si="381"/>
        <v>572</v>
      </c>
      <c r="V623" s="294">
        <f t="shared" si="382"/>
        <v>10148</v>
      </c>
      <c r="X623" s="294">
        <f t="shared" si="383"/>
        <v>0</v>
      </c>
      <c r="Z623" s="294">
        <f t="shared" si="384"/>
        <v>10719</v>
      </c>
    </row>
    <row r="624" spans="2:29">
      <c r="B624" s="317" t="s">
        <v>1111</v>
      </c>
      <c r="D624" s="293">
        <f>'[7]BD-Redesign'!D70</f>
        <v>1551.5</v>
      </c>
      <c r="E624" s="293">
        <f>ROUND(D624/D626*E626,0)</f>
        <v>1566</v>
      </c>
      <c r="G624" s="339"/>
      <c r="H624" s="339"/>
      <c r="L624" s="339">
        <f t="shared" si="377"/>
        <v>0.64</v>
      </c>
      <c r="M624" s="339"/>
      <c r="N624" s="339">
        <f t="shared" si="378"/>
        <v>11.479999999999999</v>
      </c>
      <c r="O624" s="339"/>
      <c r="P624" s="339">
        <f t="shared" si="379"/>
        <v>0</v>
      </c>
      <c r="Q624" s="339"/>
      <c r="R624" s="339">
        <f t="shared" si="380"/>
        <v>12.12</v>
      </c>
      <c r="S624" s="339"/>
      <c r="T624" s="294">
        <f t="shared" si="381"/>
        <v>1002</v>
      </c>
      <c r="V624" s="294">
        <f t="shared" si="382"/>
        <v>17978</v>
      </c>
      <c r="X624" s="294">
        <f t="shared" si="383"/>
        <v>0</v>
      </c>
      <c r="Z624" s="294">
        <f t="shared" si="384"/>
        <v>18980</v>
      </c>
    </row>
    <row r="625" spans="2:29">
      <c r="B625" s="317" t="s">
        <v>1104</v>
      </c>
      <c r="D625" s="293">
        <f>'[7]BD-Redesign'!D72</f>
        <v>42438.5</v>
      </c>
      <c r="E625" s="293">
        <f>E635-E626</f>
        <v>42845.852572143311</v>
      </c>
      <c r="G625" s="377"/>
      <c r="H625" s="343"/>
      <c r="L625" s="377">
        <f t="shared" si="377"/>
        <v>0</v>
      </c>
      <c r="M625" s="343" t="s">
        <v>1062</v>
      </c>
      <c r="N625" s="377">
        <f t="shared" si="378"/>
        <v>1.7162999999999999</v>
      </c>
      <c r="O625" s="343" t="s">
        <v>1062</v>
      </c>
      <c r="P625" s="377">
        <f t="shared" si="379"/>
        <v>2.279911334706</v>
      </c>
      <c r="Q625" s="343" t="s">
        <v>1062</v>
      </c>
      <c r="R625" s="377">
        <f t="shared" si="380"/>
        <v>3.996211334706</v>
      </c>
      <c r="S625" s="343" t="s">
        <v>1062</v>
      </c>
      <c r="T625" s="294">
        <f>ROUND($E625*L625/100,0)</f>
        <v>0</v>
      </c>
      <c r="U625" s="346"/>
      <c r="V625" s="294">
        <f>ROUND($E625*N625/100,0)</f>
        <v>735</v>
      </c>
      <c r="W625" s="346"/>
      <c r="X625" s="294">
        <f>ROUND($E625*P625/100,0)</f>
        <v>977</v>
      </c>
      <c r="Y625" s="346"/>
      <c r="Z625" s="294">
        <f>ROUND($E625*R625/100,0)</f>
        <v>1712</v>
      </c>
    </row>
    <row r="626" spans="2:29">
      <c r="B626" s="317" t="s">
        <v>1105</v>
      </c>
      <c r="D626" s="293">
        <f>'[7]BD-Redesign'!D73</f>
        <v>68871</v>
      </c>
      <c r="E626" s="293">
        <f>ROUND(D626/D635*E635,0)</f>
        <v>69533</v>
      </c>
      <c r="G626" s="377"/>
      <c r="H626" s="343"/>
      <c r="L626" s="377">
        <f t="shared" si="377"/>
        <v>0</v>
      </c>
      <c r="M626" s="343" t="s">
        <v>1062</v>
      </c>
      <c r="N626" s="377">
        <f t="shared" si="378"/>
        <v>1.5188999999999999</v>
      </c>
      <c r="O626" s="343" t="s">
        <v>1062</v>
      </c>
      <c r="P626" s="377">
        <f t="shared" si="379"/>
        <v>2.0175702077039999</v>
      </c>
      <c r="Q626" s="343" t="s">
        <v>1062</v>
      </c>
      <c r="R626" s="377">
        <f t="shared" si="380"/>
        <v>3.5364702077039998</v>
      </c>
      <c r="S626" s="343" t="s">
        <v>1062</v>
      </c>
      <c r="T626" s="294">
        <f>ROUND($E626*L626/100,0)</f>
        <v>0</v>
      </c>
      <c r="U626" s="346"/>
      <c r="V626" s="294">
        <f>ROUND($E626*N626/100,0)</f>
        <v>1056</v>
      </c>
      <c r="W626" s="346"/>
      <c r="X626" s="294">
        <f>ROUND($E626*P626/100,0)</f>
        <v>1403</v>
      </c>
      <c r="Y626" s="346"/>
      <c r="Z626" s="294">
        <f>ROUND($E626*R626/100,0)</f>
        <v>2459</v>
      </c>
    </row>
    <row r="627" spans="2:29">
      <c r="B627" s="317" t="s">
        <v>1112</v>
      </c>
      <c r="D627" s="293">
        <f>(D623+D624)*D932/(D932+D933)</f>
        <v>1043.3252055564781</v>
      </c>
      <c r="E627" s="293">
        <f>ROUND(D627/D635*E635,0)</f>
        <v>1053</v>
      </c>
      <c r="G627" s="318">
        <f>G561</f>
        <v>14.62</v>
      </c>
      <c r="H627" s="318"/>
      <c r="I627" s="294">
        <f t="shared" ref="I627:J629" si="385">ROUND($G627*D627,0)</f>
        <v>15253</v>
      </c>
      <c r="J627" s="294">
        <f t="shared" si="385"/>
        <v>15395</v>
      </c>
      <c r="L627" s="318"/>
      <c r="M627" s="318"/>
      <c r="N627" s="318"/>
      <c r="O627" s="318"/>
      <c r="P627" s="318"/>
      <c r="Q627" s="318"/>
      <c r="R627" s="318"/>
      <c r="S627" s="318"/>
      <c r="U627" s="319"/>
      <c r="W627" s="319"/>
      <c r="Y627" s="319"/>
    </row>
    <row r="628" spans="2:29">
      <c r="B628" s="317" t="s">
        <v>1113</v>
      </c>
      <c r="D628" s="293">
        <f>D623+D624-D627</f>
        <v>1283.6747944435219</v>
      </c>
      <c r="E628" s="293">
        <f>ROUND(D628/D635*E635,0)</f>
        <v>1296</v>
      </c>
      <c r="G628" s="318">
        <f>G562</f>
        <v>10.91</v>
      </c>
      <c r="H628" s="318"/>
      <c r="I628" s="294">
        <f t="shared" si="385"/>
        <v>14005</v>
      </c>
      <c r="J628" s="294">
        <f t="shared" si="385"/>
        <v>14139</v>
      </c>
      <c r="L628" s="318"/>
      <c r="M628" s="318"/>
      <c r="N628" s="318"/>
      <c r="O628" s="318"/>
      <c r="P628" s="318"/>
      <c r="Q628" s="318"/>
      <c r="R628" s="318"/>
      <c r="S628" s="318"/>
      <c r="U628" s="319"/>
      <c r="W628" s="319"/>
      <c r="Y628" s="319"/>
    </row>
    <row r="629" spans="2:29">
      <c r="B629" s="317" t="s">
        <v>1098</v>
      </c>
      <c r="D629" s="293">
        <f>D614</f>
        <v>0</v>
      </c>
      <c r="E629" s="293">
        <f>E614</f>
        <v>0</v>
      </c>
      <c r="G629" s="318">
        <f>G563</f>
        <v>-0.96</v>
      </c>
      <c r="H629" s="318"/>
      <c r="I629" s="294">
        <f t="shared" si="385"/>
        <v>0</v>
      </c>
      <c r="J629" s="294">
        <f t="shared" si="385"/>
        <v>0</v>
      </c>
      <c r="L629" s="318">
        <f>L563</f>
        <v>-0.96</v>
      </c>
      <c r="M629" s="318"/>
      <c r="N629" s="318">
        <f>N563</f>
        <v>0</v>
      </c>
      <c r="O629" s="318"/>
      <c r="P629" s="318">
        <f>P563</f>
        <v>0</v>
      </c>
      <c r="Q629" s="318"/>
      <c r="R629" s="318">
        <f>R563</f>
        <v>-0.96</v>
      </c>
      <c r="S629" s="318"/>
      <c r="T629" s="294">
        <f t="shared" ref="T629" si="386">ROUND($E629*L629,0)</f>
        <v>0</v>
      </c>
      <c r="U629" s="319"/>
      <c r="V629" s="294">
        <f t="shared" ref="V629" si="387">ROUND($E629*N629,0)</f>
        <v>0</v>
      </c>
      <c r="W629" s="319"/>
      <c r="X629" s="294">
        <f t="shared" ref="X629" si="388">ROUND($E629*P629,0)</f>
        <v>0</v>
      </c>
      <c r="Y629" s="319"/>
      <c r="Z629" s="294">
        <f t="shared" ref="Z629" si="389">ROUND($E629*R629,0)</f>
        <v>0</v>
      </c>
    </row>
    <row r="630" spans="2:29">
      <c r="B630" s="317" t="s">
        <v>1108</v>
      </c>
      <c r="D630" s="293">
        <f>(D625+D626)*D935/(D935+D936)</f>
        <v>46037.204457290034</v>
      </c>
      <c r="E630" s="293">
        <f>ROUND(D630/D635*E635,0)</f>
        <v>46479</v>
      </c>
      <c r="G630" s="377">
        <f>G564</f>
        <v>3.8127</v>
      </c>
      <c r="H630" s="343" t="s">
        <v>1062</v>
      </c>
      <c r="I630" s="294">
        <f>ROUND($G630*D630/100,0)</f>
        <v>1755</v>
      </c>
      <c r="J630" s="294">
        <f>ROUND($G630*E630/100,0)</f>
        <v>1772</v>
      </c>
      <c r="L630" s="377"/>
      <c r="M630" s="343"/>
      <c r="N630" s="377"/>
      <c r="O630" s="343"/>
      <c r="P630" s="377"/>
      <c r="Q630" s="343"/>
      <c r="R630" s="377"/>
      <c r="S630" s="343"/>
      <c r="T630" s="346"/>
      <c r="U630" s="346"/>
      <c r="V630" s="346"/>
      <c r="W630" s="346"/>
      <c r="X630" s="346"/>
      <c r="Y630" s="346"/>
    </row>
    <row r="631" spans="2:29">
      <c r="B631" s="317" t="s">
        <v>1109</v>
      </c>
      <c r="D631" s="293">
        <f>D625+D626-D630</f>
        <v>65272.295542709966</v>
      </c>
      <c r="E631" s="293">
        <f>E635-E630</f>
        <v>65899.852572143311</v>
      </c>
      <c r="G631" s="377">
        <f>G565</f>
        <v>3.5143</v>
      </c>
      <c r="H631" s="343" t="s">
        <v>1062</v>
      </c>
      <c r="I631" s="294">
        <f>ROUND($G631*D631/100,0)</f>
        <v>2294</v>
      </c>
      <c r="J631" s="294">
        <f>ROUND($G631*E631/100,0)</f>
        <v>2316</v>
      </c>
      <c r="L631" s="377"/>
      <c r="M631" s="343"/>
      <c r="N631" s="377"/>
      <c r="O631" s="343"/>
      <c r="P631" s="377"/>
      <c r="Q631" s="343"/>
      <c r="R631" s="377"/>
      <c r="S631" s="343"/>
      <c r="T631" s="346"/>
      <c r="U631" s="346"/>
      <c r="V631" s="346"/>
      <c r="W631" s="346"/>
      <c r="X631" s="346"/>
      <c r="Y631" s="346"/>
    </row>
    <row r="632" spans="2:29">
      <c r="B632" s="317" t="s">
        <v>1078</v>
      </c>
      <c r="D632" s="357">
        <v>0</v>
      </c>
      <c r="E632" s="357">
        <v>0</v>
      </c>
      <c r="I632" s="358">
        <v>0</v>
      </c>
      <c r="J632" s="358">
        <v>0</v>
      </c>
      <c r="Z632" s="358"/>
    </row>
    <row r="633" spans="2:29">
      <c r="B633" s="317" t="s">
        <v>1079</v>
      </c>
      <c r="G633" s="338">
        <f>G567</f>
        <v>-3.61E-2</v>
      </c>
      <c r="H633" s="339"/>
      <c r="I633" s="294">
        <f>SUM(I627:I628,I630:I631)*$G633</f>
        <v>-1202.3827000000001</v>
      </c>
      <c r="J633" s="294">
        <f>SUM(J627:J628,J630:J631)*$G633</f>
        <v>-1213.7542000000001</v>
      </c>
      <c r="L633" s="338"/>
      <c r="M633" s="339"/>
      <c r="N633" s="338"/>
      <c r="O633" s="339"/>
      <c r="P633" s="359" t="str">
        <f>$P$43</f>
        <v>Tax Year 1</v>
      </c>
      <c r="Q633" s="339"/>
      <c r="R633" s="338">
        <f>$R$687</f>
        <v>-2.4199999999999999E-2</v>
      </c>
      <c r="S633" s="339"/>
      <c r="Z633" s="294">
        <f>R633*SUM(Z623:Z626)</f>
        <v>-819.654</v>
      </c>
    </row>
    <row r="634" spans="2:29">
      <c r="B634" s="317"/>
      <c r="G634" s="338"/>
      <c r="H634" s="339"/>
      <c r="L634" s="338"/>
      <c r="M634" s="339"/>
      <c r="N634" s="338"/>
      <c r="O634" s="339"/>
      <c r="P634" s="359" t="str">
        <f>$P$44</f>
        <v>Tax Year 2</v>
      </c>
      <c r="Q634" s="339"/>
      <c r="R634" s="338">
        <f>$R$688</f>
        <v>-1.21E-2</v>
      </c>
      <c r="S634" s="339"/>
      <c r="Z634" s="294">
        <f>R634*SUM(Z623:Z626)</f>
        <v>-409.827</v>
      </c>
    </row>
    <row r="635" spans="2:29" ht="16.5" thickBot="1">
      <c r="B635" s="317" t="s">
        <v>937</v>
      </c>
      <c r="D635" s="381">
        <f>SUM(D630:D632)</f>
        <v>111309.5</v>
      </c>
      <c r="E635" s="381">
        <f>D635*E940/D940</f>
        <v>112378.85257214331</v>
      </c>
      <c r="G635" s="368"/>
      <c r="I635" s="369">
        <f>SUM(I620:I633)</f>
        <v>44421.617299999998</v>
      </c>
      <c r="J635" s="369">
        <f>SUM(J620:J633)</f>
        <v>44814.245799999997</v>
      </c>
      <c r="L635" s="368"/>
      <c r="N635" s="368"/>
      <c r="P635" s="368"/>
      <c r="R635" s="368"/>
      <c r="T635" s="369">
        <f>SUM(T620:T632)</f>
        <v>14198</v>
      </c>
      <c r="V635" s="369">
        <f>SUM(V620:V632)</f>
        <v>29917</v>
      </c>
      <c r="X635" s="369">
        <f>SUM(X620:X632)</f>
        <v>2380</v>
      </c>
      <c r="Z635" s="369">
        <f>SUM(Z620:Z632)</f>
        <v>46494</v>
      </c>
      <c r="AB635" s="305" t="s">
        <v>939</v>
      </c>
      <c r="AC635" s="304">
        <f>Z635/J635-1</f>
        <v>3.7482594429827598E-2</v>
      </c>
    </row>
    <row r="636" spans="2:29" ht="16.5" thickTop="1"/>
    <row r="637" spans="2:29">
      <c r="B637" s="314" t="s">
        <v>957</v>
      </c>
    </row>
    <row r="638" spans="2:29">
      <c r="B638" s="317" t="s">
        <v>1089</v>
      </c>
      <c r="D638" s="293">
        <f>'[7]BD-Redesign'!E38</f>
        <v>2</v>
      </c>
      <c r="E638" s="293">
        <f>E653</f>
        <v>6</v>
      </c>
      <c r="G638" s="318"/>
      <c r="H638" s="318"/>
      <c r="L638" s="318">
        <f t="shared" ref="L638:L648" si="390">L539</f>
        <v>55</v>
      </c>
      <c r="M638" s="318"/>
      <c r="N638" s="318">
        <f t="shared" ref="N638:N648" si="391">N539</f>
        <v>0</v>
      </c>
      <c r="O638" s="318"/>
      <c r="P638" s="318">
        <f t="shared" ref="P638:P648" si="392">P539</f>
        <v>0</v>
      </c>
      <c r="Q638" s="318"/>
      <c r="R638" s="318">
        <f t="shared" ref="R638:R648" si="393">R539</f>
        <v>55</v>
      </c>
      <c r="S638" s="318"/>
      <c r="T638" s="294">
        <f>ROUND($E638*L638,0)</f>
        <v>330</v>
      </c>
      <c r="U638" s="319"/>
      <c r="V638" s="294">
        <f>ROUND($E638*N638,0)</f>
        <v>0</v>
      </c>
      <c r="W638" s="319"/>
      <c r="X638" s="294">
        <f>ROUND($E638*P638,0)</f>
        <v>0</v>
      </c>
      <c r="Y638" s="319"/>
      <c r="Z638" s="294">
        <f>ROUND($E638*R638,0)</f>
        <v>330</v>
      </c>
      <c r="AB638" s="305"/>
      <c r="AC638" s="325"/>
    </row>
    <row r="639" spans="2:29">
      <c r="B639" s="317" t="s">
        <v>1090</v>
      </c>
      <c r="D639" s="293">
        <f>'[7]BD-Redesign'!E39</f>
        <v>0</v>
      </c>
      <c r="E639" s="293">
        <f t="shared" ref="E639:E648" si="394">D639/$D$651*$E$651</f>
        <v>0</v>
      </c>
      <c r="F639" s="339"/>
      <c r="G639" s="376"/>
      <c r="H639" s="343"/>
      <c r="K639" s="339"/>
      <c r="L639" s="376">
        <f t="shared" si="390"/>
        <v>1.7867999999999999</v>
      </c>
      <c r="M639" s="343" t="s">
        <v>1062</v>
      </c>
      <c r="N639" s="376">
        <f t="shared" si="391"/>
        <v>19.766631654000651</v>
      </c>
      <c r="O639" s="343" t="s">
        <v>1062</v>
      </c>
      <c r="P639" s="376">
        <f t="shared" si="392"/>
        <v>1.3127</v>
      </c>
      <c r="Q639" s="343" t="s">
        <v>1062</v>
      </c>
      <c r="R639" s="376">
        <f t="shared" si="393"/>
        <v>22.86613165400065</v>
      </c>
      <c r="S639" s="343" t="s">
        <v>1062</v>
      </c>
      <c r="T639" s="294">
        <f>ROUND($E639*L639/100,0)</f>
        <v>0</v>
      </c>
      <c r="U639" s="346"/>
      <c r="V639" s="294">
        <f>ROUND($E639*N639/100,0)</f>
        <v>0</v>
      </c>
      <c r="W639" s="346"/>
      <c r="X639" s="294">
        <f>ROUND($E639*P639/100,0)</f>
        <v>0</v>
      </c>
      <c r="Y639" s="346"/>
      <c r="Z639" s="294">
        <f>ROUND($E639*R639/100,0)</f>
        <v>0</v>
      </c>
    </row>
    <row r="640" spans="2:29">
      <c r="B640" s="317" t="s">
        <v>1091</v>
      </c>
      <c r="D640" s="293">
        <f>'[7]BD-Redesign'!E40</f>
        <v>0</v>
      </c>
      <c r="E640" s="293">
        <f t="shared" si="394"/>
        <v>0</v>
      </c>
      <c r="F640" s="339"/>
      <c r="G640" s="376"/>
      <c r="H640" s="343"/>
      <c r="K640" s="339"/>
      <c r="L640" s="376">
        <f t="shared" si="390"/>
        <v>1.7867999999999999</v>
      </c>
      <c r="M640" s="343" t="s">
        <v>1062</v>
      </c>
      <c r="N640" s="376">
        <f t="shared" si="391"/>
        <v>1.4732003384230001</v>
      </c>
      <c r="O640" s="343" t="s">
        <v>1062</v>
      </c>
      <c r="P640" s="376">
        <f t="shared" si="392"/>
        <v>1.3127</v>
      </c>
      <c r="Q640" s="343" t="s">
        <v>1062</v>
      </c>
      <c r="R640" s="376">
        <f t="shared" si="393"/>
        <v>4.5727003384230001</v>
      </c>
      <c r="S640" s="343" t="s">
        <v>1062</v>
      </c>
      <c r="T640" s="294">
        <f t="shared" ref="T640:T646" si="395">ROUND($E640*L640/100,0)</f>
        <v>0</v>
      </c>
      <c r="U640" s="346"/>
      <c r="V640" s="294">
        <f t="shared" ref="V640:V646" si="396">ROUND($E640*N640/100,0)</f>
        <v>0</v>
      </c>
      <c r="W640" s="346"/>
      <c r="X640" s="294">
        <f t="shared" ref="X640:X646" si="397">ROUND($E640*P640/100,0)</f>
        <v>0</v>
      </c>
      <c r="Y640" s="346"/>
      <c r="Z640" s="294">
        <f t="shared" ref="Z640:Z646" si="398">ROUND($E640*R640/100,0)</f>
        <v>0</v>
      </c>
    </row>
    <row r="641" spans="2:29">
      <c r="B641" s="317" t="s">
        <v>1092</v>
      </c>
      <c r="D641" s="293">
        <f>'[7]BD-Redesign'!E41</f>
        <v>3467.5</v>
      </c>
      <c r="E641" s="293">
        <f t="shared" si="394"/>
        <v>11579.888107875484</v>
      </c>
      <c r="F641" s="339"/>
      <c r="G641" s="376"/>
      <c r="H641" s="343"/>
      <c r="K641" s="339"/>
      <c r="L641" s="376">
        <f t="shared" si="390"/>
        <v>1.7867999999999999</v>
      </c>
      <c r="M641" s="343" t="s">
        <v>1062</v>
      </c>
      <c r="N641" s="376">
        <f t="shared" si="391"/>
        <v>17.286999999999999</v>
      </c>
      <c r="O641" s="343" t="s">
        <v>1062</v>
      </c>
      <c r="P641" s="376">
        <f t="shared" si="392"/>
        <v>1.1617</v>
      </c>
      <c r="Q641" s="343" t="s">
        <v>1062</v>
      </c>
      <c r="R641" s="376">
        <f t="shared" si="393"/>
        <v>20.235499999999998</v>
      </c>
      <c r="S641" s="343" t="s">
        <v>1062</v>
      </c>
      <c r="T641" s="294">
        <f t="shared" si="395"/>
        <v>207</v>
      </c>
      <c r="U641" s="346"/>
      <c r="V641" s="294">
        <f t="shared" si="396"/>
        <v>2002</v>
      </c>
      <c r="W641" s="346"/>
      <c r="X641" s="294">
        <f t="shared" si="397"/>
        <v>135</v>
      </c>
      <c r="Y641" s="346"/>
      <c r="Z641" s="294">
        <f t="shared" si="398"/>
        <v>2343</v>
      </c>
    </row>
    <row r="642" spans="2:29">
      <c r="B642" s="317" t="s">
        <v>1093</v>
      </c>
      <c r="D642" s="293">
        <f>'[7]BD-Redesign'!E42</f>
        <v>75.5</v>
      </c>
      <c r="E642" s="293">
        <f t="shared" si="394"/>
        <v>252.13599196671925</v>
      </c>
      <c r="F642" s="339"/>
      <c r="G642" s="376"/>
      <c r="H642" s="343"/>
      <c r="K642" s="339"/>
      <c r="L642" s="376">
        <f t="shared" si="390"/>
        <v>1.7867999999999999</v>
      </c>
      <c r="M642" s="343" t="s">
        <v>1062</v>
      </c>
      <c r="N642" s="376">
        <f t="shared" si="391"/>
        <v>1.0980999999999999</v>
      </c>
      <c r="O642" s="343" t="s">
        <v>1062</v>
      </c>
      <c r="P642" s="376">
        <f t="shared" si="392"/>
        <v>1.1617</v>
      </c>
      <c r="Q642" s="343" t="s">
        <v>1062</v>
      </c>
      <c r="R642" s="376">
        <f t="shared" si="393"/>
        <v>4.0465999999999998</v>
      </c>
      <c r="S642" s="343" t="s">
        <v>1062</v>
      </c>
      <c r="T642" s="294">
        <f t="shared" si="395"/>
        <v>5</v>
      </c>
      <c r="U642" s="346"/>
      <c r="V642" s="294">
        <f t="shared" si="396"/>
        <v>3</v>
      </c>
      <c r="W642" s="346"/>
      <c r="X642" s="294">
        <f t="shared" si="397"/>
        <v>3</v>
      </c>
      <c r="Y642" s="346"/>
      <c r="Z642" s="294">
        <f t="shared" si="398"/>
        <v>10</v>
      </c>
    </row>
    <row r="643" spans="2:29">
      <c r="B643" s="317" t="s">
        <v>1094</v>
      </c>
      <c r="D643" s="293">
        <f>'[7]BD-Redesign'!E43</f>
        <v>0</v>
      </c>
      <c r="E643" s="293">
        <f t="shared" si="394"/>
        <v>0</v>
      </c>
      <c r="F643" s="339"/>
      <c r="G643" s="376"/>
      <c r="H643" s="343"/>
      <c r="K643" s="339"/>
      <c r="L643" s="376">
        <f t="shared" si="390"/>
        <v>0</v>
      </c>
      <c r="M643" s="343" t="s">
        <v>1062</v>
      </c>
      <c r="N643" s="376">
        <f t="shared" si="391"/>
        <v>0</v>
      </c>
      <c r="O643" s="343" t="s">
        <v>1062</v>
      </c>
      <c r="P643" s="376">
        <f t="shared" si="392"/>
        <v>6</v>
      </c>
      <c r="Q643" s="343" t="s">
        <v>1062</v>
      </c>
      <c r="R643" s="376">
        <f t="shared" si="393"/>
        <v>6</v>
      </c>
      <c r="S643" s="343" t="s">
        <v>1062</v>
      </c>
      <c r="T643" s="294">
        <f t="shared" si="395"/>
        <v>0</v>
      </c>
      <c r="U643" s="346"/>
      <c r="V643" s="294">
        <f t="shared" si="396"/>
        <v>0</v>
      </c>
      <c r="W643" s="346"/>
      <c r="X643" s="294">
        <f t="shared" si="397"/>
        <v>0</v>
      </c>
      <c r="Y643" s="346"/>
      <c r="Z643" s="294">
        <f t="shared" si="398"/>
        <v>0</v>
      </c>
    </row>
    <row r="644" spans="2:29">
      <c r="B644" s="317" t="s">
        <v>1095</v>
      </c>
      <c r="D644" s="293">
        <f>'[7]BD-Redesign'!E44</f>
        <v>0</v>
      </c>
      <c r="E644" s="293">
        <f t="shared" si="394"/>
        <v>0</v>
      </c>
      <c r="F644" s="339"/>
      <c r="G644" s="376"/>
      <c r="H644" s="343"/>
      <c r="K644" s="339"/>
      <c r="L644" s="376">
        <f t="shared" si="390"/>
        <v>0</v>
      </c>
      <c r="M644" s="343" t="s">
        <v>1062</v>
      </c>
      <c r="N644" s="376">
        <f t="shared" si="391"/>
        <v>0</v>
      </c>
      <c r="O644" s="343" t="s">
        <v>1062</v>
      </c>
      <c r="P644" s="376">
        <f t="shared" si="392"/>
        <v>-2.3358000000000008</v>
      </c>
      <c r="Q644" s="343" t="s">
        <v>1062</v>
      </c>
      <c r="R644" s="376">
        <f t="shared" si="393"/>
        <v>-2.3358000000000008</v>
      </c>
      <c r="S644" s="343" t="s">
        <v>1062</v>
      </c>
      <c r="T644" s="294">
        <f t="shared" si="395"/>
        <v>0</v>
      </c>
      <c r="U644" s="346"/>
      <c r="V644" s="294">
        <f t="shared" si="396"/>
        <v>0</v>
      </c>
      <c r="W644" s="346"/>
      <c r="X644" s="294">
        <f t="shared" si="397"/>
        <v>0</v>
      </c>
      <c r="Y644" s="346"/>
      <c r="Z644" s="294">
        <f t="shared" si="398"/>
        <v>0</v>
      </c>
    </row>
    <row r="645" spans="2:29">
      <c r="B645" s="317" t="s">
        <v>1096</v>
      </c>
      <c r="D645" s="293">
        <f>'[7]BD-Redesign'!E45</f>
        <v>1967.6068349026409</v>
      </c>
      <c r="E645" s="293">
        <f t="shared" si="394"/>
        <v>6570.9205446182013</v>
      </c>
      <c r="F645" s="339"/>
      <c r="G645" s="376"/>
      <c r="H645" s="343"/>
      <c r="K645" s="339"/>
      <c r="L645" s="376">
        <f t="shared" si="390"/>
        <v>0</v>
      </c>
      <c r="M645" s="343" t="s">
        <v>1062</v>
      </c>
      <c r="N645" s="376">
        <f t="shared" si="391"/>
        <v>0</v>
      </c>
      <c r="O645" s="343" t="s">
        <v>1062</v>
      </c>
      <c r="P645" s="376">
        <f t="shared" si="392"/>
        <v>5.3097000000000003</v>
      </c>
      <c r="Q645" s="343" t="s">
        <v>1062</v>
      </c>
      <c r="R645" s="376">
        <f t="shared" si="393"/>
        <v>5.3097000000000003</v>
      </c>
      <c r="S645" s="343" t="s">
        <v>1062</v>
      </c>
      <c r="T645" s="294">
        <f t="shared" si="395"/>
        <v>0</v>
      </c>
      <c r="U645" s="346"/>
      <c r="V645" s="294">
        <f t="shared" si="396"/>
        <v>0</v>
      </c>
      <c r="W645" s="346"/>
      <c r="X645" s="294">
        <f t="shared" si="397"/>
        <v>349</v>
      </c>
      <c r="Y645" s="346"/>
      <c r="Z645" s="294">
        <f t="shared" si="398"/>
        <v>349</v>
      </c>
    </row>
    <row r="646" spans="2:29">
      <c r="B646" s="317" t="s">
        <v>1097</v>
      </c>
      <c r="D646" s="293">
        <f>'[7]BD-Redesign'!E46</f>
        <v>1575.3931650973593</v>
      </c>
      <c r="E646" s="293">
        <f t="shared" si="394"/>
        <v>5261.1035552240028</v>
      </c>
      <c r="F646" s="339"/>
      <c r="G646" s="376"/>
      <c r="H646" s="343"/>
      <c r="K646" s="339"/>
      <c r="L646" s="376">
        <f t="shared" si="390"/>
        <v>0</v>
      </c>
      <c r="M646" s="343" t="s">
        <v>1062</v>
      </c>
      <c r="N646" s="376">
        <f t="shared" si="391"/>
        <v>0</v>
      </c>
      <c r="O646" s="343" t="s">
        <v>1062</v>
      </c>
      <c r="P646" s="376">
        <f t="shared" si="392"/>
        <v>-2.0670999999999999</v>
      </c>
      <c r="Q646" s="343" t="s">
        <v>1062</v>
      </c>
      <c r="R646" s="376">
        <f t="shared" si="393"/>
        <v>-2.0670999999999999</v>
      </c>
      <c r="S646" s="343" t="s">
        <v>1062</v>
      </c>
      <c r="T646" s="294">
        <f t="shared" si="395"/>
        <v>0</v>
      </c>
      <c r="U646" s="346"/>
      <c r="V646" s="294">
        <f t="shared" si="396"/>
        <v>0</v>
      </c>
      <c r="W646" s="346"/>
      <c r="X646" s="294">
        <f t="shared" si="397"/>
        <v>-109</v>
      </c>
      <c r="Y646" s="346"/>
      <c r="Z646" s="294">
        <f t="shared" si="398"/>
        <v>-109</v>
      </c>
    </row>
    <row r="647" spans="2:29">
      <c r="B647" s="317" t="s">
        <v>1098</v>
      </c>
      <c r="D647" s="293">
        <f>'[7]BD-Redesign'!E47</f>
        <v>0</v>
      </c>
      <c r="E647" s="293">
        <f t="shared" si="394"/>
        <v>0</v>
      </c>
      <c r="G647" s="318"/>
      <c r="H647" s="318"/>
      <c r="L647" s="318">
        <f t="shared" si="390"/>
        <v>-0.61</v>
      </c>
      <c r="M647" s="318"/>
      <c r="N647" s="318">
        <f t="shared" si="391"/>
        <v>0</v>
      </c>
      <c r="O647" s="318"/>
      <c r="P647" s="318">
        <f t="shared" si="392"/>
        <v>0</v>
      </c>
      <c r="Q647" s="318"/>
      <c r="R647" s="318">
        <f t="shared" si="393"/>
        <v>-0.61</v>
      </c>
      <c r="S647" s="318"/>
      <c r="T647" s="294">
        <f>ROUND($E647*L647,0)</f>
        <v>0</v>
      </c>
      <c r="U647" s="319"/>
      <c r="V647" s="294">
        <f>ROUND($E647*N647,0)</f>
        <v>0</v>
      </c>
      <c r="W647" s="319"/>
      <c r="X647" s="294">
        <f>ROUND($E647*P647,0)</f>
        <v>0</v>
      </c>
      <c r="Y647" s="319"/>
      <c r="Z647" s="294">
        <f>ROUND($E647*R647,0)</f>
        <v>0</v>
      </c>
    </row>
    <row r="648" spans="2:29">
      <c r="B648" s="353" t="s">
        <v>1077</v>
      </c>
      <c r="D648" s="293">
        <f>'[7]BD-Redesign'!E48</f>
        <v>0</v>
      </c>
      <c r="E648" s="293">
        <f t="shared" si="394"/>
        <v>0</v>
      </c>
      <c r="G648" s="377"/>
      <c r="H648" s="343"/>
      <c r="L648" s="377">
        <f t="shared" si="390"/>
        <v>0</v>
      </c>
      <c r="M648" s="343" t="s">
        <v>1062</v>
      </c>
      <c r="N648" s="377">
        <f t="shared" si="391"/>
        <v>7.125</v>
      </c>
      <c r="O648" s="343" t="s">
        <v>1062</v>
      </c>
      <c r="P648" s="377">
        <f t="shared" si="392"/>
        <v>0</v>
      </c>
      <c r="Q648" s="343" t="s">
        <v>1062</v>
      </c>
      <c r="R648" s="377">
        <f t="shared" si="393"/>
        <v>7.125</v>
      </c>
      <c r="S648" s="343" t="s">
        <v>1062</v>
      </c>
      <c r="T648" s="294">
        <f>ROUND($E648*L648/100,0)</f>
        <v>0</v>
      </c>
      <c r="U648" s="346"/>
      <c r="V648" s="294">
        <f>ROUND($E648*N648/100,0)</f>
        <v>0</v>
      </c>
      <c r="W648" s="346"/>
      <c r="X648" s="294">
        <f>ROUND($E648*P648/100,0)</f>
        <v>0</v>
      </c>
      <c r="Y648" s="346"/>
      <c r="Z648" s="294">
        <f>ROUND($E648*R648/100,0)</f>
        <v>0</v>
      </c>
      <c r="AB648" s="305"/>
      <c r="AC648" s="325"/>
    </row>
    <row r="649" spans="2:29">
      <c r="B649" s="317" t="s">
        <v>1079</v>
      </c>
      <c r="G649" s="338"/>
      <c r="H649" s="339"/>
      <c r="L649" s="338"/>
      <c r="M649" s="339"/>
      <c r="N649" s="338"/>
      <c r="O649" s="339"/>
      <c r="P649" s="359" t="str">
        <f>$P$43</f>
        <v>Tax Year 1</v>
      </c>
      <c r="Q649" s="339"/>
      <c r="R649" s="338">
        <f>$R$979</f>
        <v>-2.7099999999999999E-2</v>
      </c>
      <c r="S649" s="339"/>
      <c r="Z649" s="294">
        <f>R649*SUM(Z639:Z642,Z648)</f>
        <v>-63.766300000000001</v>
      </c>
    </row>
    <row r="650" spans="2:29">
      <c r="B650" s="317"/>
      <c r="G650" s="338"/>
      <c r="H650" s="339"/>
      <c r="L650" s="338"/>
      <c r="M650" s="339"/>
      <c r="N650" s="338"/>
      <c r="O650" s="339"/>
      <c r="P650" s="359" t="str">
        <f>$P$44</f>
        <v>Tax Year 2</v>
      </c>
      <c r="Q650" s="339"/>
      <c r="R650" s="338">
        <f>$R$980</f>
        <v>-1.3599999999999999E-2</v>
      </c>
      <c r="S650" s="339"/>
      <c r="Z650" s="294">
        <f>R650*SUM(Z639:Z642,Z648)</f>
        <v>-32.000799999999998</v>
      </c>
    </row>
    <row r="651" spans="2:29">
      <c r="B651" s="317" t="s">
        <v>945</v>
      </c>
      <c r="D651" s="293">
        <f>SUM(D643:D646,D648)</f>
        <v>3543</v>
      </c>
      <c r="E651" s="293">
        <f>E668</f>
        <v>11832.024099842203</v>
      </c>
      <c r="G651" s="318"/>
      <c r="H651" s="318"/>
      <c r="L651" s="318"/>
      <c r="M651" s="318"/>
      <c r="N651" s="318"/>
      <c r="O651" s="318"/>
      <c r="P651" s="318"/>
      <c r="Q651" s="318"/>
      <c r="R651" s="318"/>
      <c r="S651" s="318"/>
      <c r="T651" s="294">
        <f>SUM(T638:T648)</f>
        <v>542</v>
      </c>
      <c r="U651" s="319"/>
      <c r="V651" s="294">
        <f>SUM(V638:V648)</f>
        <v>2005</v>
      </c>
      <c r="W651" s="319"/>
      <c r="X651" s="294">
        <f>SUM(X638:X648)</f>
        <v>378</v>
      </c>
      <c r="Y651" s="319"/>
      <c r="Z651" s="294">
        <f>SUM(Z638:Z648)</f>
        <v>2923</v>
      </c>
      <c r="AB651" s="305" t="s">
        <v>939</v>
      </c>
      <c r="AC651" s="329">
        <f>Z651/Z668-1</f>
        <v>-0.41923306179217168</v>
      </c>
    </row>
    <row r="652" spans="2:29">
      <c r="B652" s="317"/>
      <c r="G652" s="318"/>
      <c r="H652" s="318"/>
      <c r="L652" s="318"/>
      <c r="M652" s="318"/>
      <c r="N652" s="318"/>
      <c r="O652" s="318"/>
      <c r="P652" s="318"/>
      <c r="Q652" s="318"/>
      <c r="R652" s="318"/>
      <c r="S652" s="318"/>
      <c r="T652" s="319"/>
      <c r="U652" s="319"/>
      <c r="V652" s="319"/>
      <c r="W652" s="319"/>
      <c r="X652" s="319"/>
      <c r="Y652" s="319"/>
      <c r="AB652" s="305"/>
      <c r="AC652" s="325"/>
    </row>
    <row r="653" spans="2:29">
      <c r="B653" s="382" t="s">
        <v>1089</v>
      </c>
      <c r="D653" s="293">
        <f>D638</f>
        <v>2</v>
      </c>
      <c r="E653" s="293">
        <f>D653*E943/D943</f>
        <v>6</v>
      </c>
      <c r="G653" s="318">
        <f>G554</f>
        <v>54</v>
      </c>
      <c r="H653" s="318"/>
      <c r="I653" s="294">
        <f t="shared" ref="I653:J654" si="399">ROUND($G653*D653,0)</f>
        <v>108</v>
      </c>
      <c r="J653" s="294">
        <f t="shared" si="399"/>
        <v>324</v>
      </c>
      <c r="L653" s="318">
        <f t="shared" ref="L653:L659" si="400">L554</f>
        <v>55</v>
      </c>
      <c r="M653" s="318"/>
      <c r="N653" s="318">
        <f t="shared" ref="N653:N659" si="401">N554</f>
        <v>0</v>
      </c>
      <c r="O653" s="318"/>
      <c r="P653" s="318">
        <f t="shared" ref="P653:P659" si="402">P554</f>
        <v>0</v>
      </c>
      <c r="Q653" s="318"/>
      <c r="R653" s="318">
        <f t="shared" ref="R653:R659" si="403">R554</f>
        <v>55</v>
      </c>
      <c r="S653" s="318"/>
      <c r="T653" s="294">
        <f t="shared" ref="T653:T657" si="404">ROUND($E653*L653,0)</f>
        <v>330</v>
      </c>
      <c r="U653" s="319"/>
      <c r="V653" s="294">
        <f t="shared" ref="V653:V657" si="405">ROUND($E653*N653,0)</f>
        <v>0</v>
      </c>
      <c r="W653" s="319"/>
      <c r="X653" s="294">
        <f t="shared" ref="X653:X657" si="406">ROUND($E653*P653,0)</f>
        <v>0</v>
      </c>
      <c r="Y653" s="319"/>
      <c r="Z653" s="294">
        <f t="shared" ref="Z653:Z657" si="407">ROUND($E653*R653,0)</f>
        <v>330</v>
      </c>
    </row>
    <row r="654" spans="2:29">
      <c r="B654" s="317" t="s">
        <v>1099</v>
      </c>
      <c r="D654" s="293">
        <v>0</v>
      </c>
      <c r="E654" s="293">
        <v>0</v>
      </c>
      <c r="F654" s="339"/>
      <c r="G654" s="318">
        <f>G555</f>
        <v>648</v>
      </c>
      <c r="H654" s="318"/>
      <c r="I654" s="294">
        <f t="shared" si="399"/>
        <v>0</v>
      </c>
      <c r="J654" s="294">
        <f t="shared" si="399"/>
        <v>0</v>
      </c>
      <c r="K654" s="339"/>
      <c r="L654" s="318">
        <f t="shared" si="400"/>
        <v>660</v>
      </c>
      <c r="M654" s="318"/>
      <c r="N654" s="318">
        <f t="shared" si="401"/>
        <v>0</v>
      </c>
      <c r="O654" s="318"/>
      <c r="P654" s="318">
        <f t="shared" si="402"/>
        <v>0</v>
      </c>
      <c r="Q654" s="318"/>
      <c r="R654" s="318">
        <f t="shared" si="403"/>
        <v>660</v>
      </c>
      <c r="S654" s="318"/>
      <c r="T654" s="294">
        <f t="shared" si="404"/>
        <v>0</v>
      </c>
      <c r="V654" s="294">
        <f t="shared" si="405"/>
        <v>0</v>
      </c>
      <c r="X654" s="294">
        <f t="shared" si="406"/>
        <v>0</v>
      </c>
      <c r="Z654" s="294">
        <f t="shared" si="407"/>
        <v>0</v>
      </c>
    </row>
    <row r="655" spans="2:29">
      <c r="B655" s="317" t="s">
        <v>1101</v>
      </c>
      <c r="D655" s="293">
        <f>'[7]BD-Redesign'!E68</f>
        <v>79</v>
      </c>
      <c r="E655" s="293">
        <f>ROUND(D655/D668*E668,0)</f>
        <v>264</v>
      </c>
      <c r="G655" s="318">
        <f>G556</f>
        <v>4.04</v>
      </c>
      <c r="H655" s="318"/>
      <c r="I655" s="294">
        <f>ROUND($G655*D655,0)</f>
        <v>319</v>
      </c>
      <c r="J655" s="294">
        <f>ROUND($G655*E655,0)</f>
        <v>1067</v>
      </c>
      <c r="L655" s="318">
        <f t="shared" si="400"/>
        <v>4.1100000000000003</v>
      </c>
      <c r="M655" s="318"/>
      <c r="N655" s="318">
        <f t="shared" si="401"/>
        <v>0</v>
      </c>
      <c r="O655" s="318"/>
      <c r="P655" s="318">
        <f t="shared" si="402"/>
        <v>0</v>
      </c>
      <c r="Q655" s="318"/>
      <c r="R655" s="318">
        <f t="shared" si="403"/>
        <v>4.1100000000000003</v>
      </c>
      <c r="S655" s="318"/>
      <c r="T655" s="294">
        <f t="shared" si="404"/>
        <v>1085</v>
      </c>
      <c r="U655" s="319"/>
      <c r="V655" s="294">
        <f t="shared" si="405"/>
        <v>0</v>
      </c>
      <c r="W655" s="319"/>
      <c r="X655" s="294">
        <f t="shared" si="406"/>
        <v>0</v>
      </c>
      <c r="Y655" s="319"/>
      <c r="Z655" s="294">
        <f t="shared" si="407"/>
        <v>1085</v>
      </c>
    </row>
    <row r="656" spans="2:29">
      <c r="B656" s="317" t="s">
        <v>1110</v>
      </c>
      <c r="D656" s="293">
        <f>'[7]BD-Redesign'!E69</f>
        <v>0</v>
      </c>
      <c r="E656" s="293">
        <v>0</v>
      </c>
      <c r="G656" s="339"/>
      <c r="H656" s="339"/>
      <c r="L656" s="339">
        <f t="shared" si="400"/>
        <v>0.73</v>
      </c>
      <c r="M656" s="339"/>
      <c r="N656" s="339">
        <f t="shared" si="401"/>
        <v>12.959999999999999</v>
      </c>
      <c r="O656" s="339"/>
      <c r="P656" s="339">
        <f t="shared" si="402"/>
        <v>0</v>
      </c>
      <c r="Q656" s="339"/>
      <c r="R656" s="339">
        <f t="shared" si="403"/>
        <v>13.69</v>
      </c>
      <c r="S656" s="339"/>
      <c r="T656" s="294">
        <f t="shared" si="404"/>
        <v>0</v>
      </c>
      <c r="V656" s="294">
        <f t="shared" si="405"/>
        <v>0</v>
      </c>
      <c r="X656" s="294">
        <f t="shared" si="406"/>
        <v>0</v>
      </c>
      <c r="Z656" s="294">
        <f t="shared" si="407"/>
        <v>0</v>
      </c>
    </row>
    <row r="657" spans="1:31">
      <c r="B657" s="317" t="s">
        <v>1111</v>
      </c>
      <c r="D657" s="293">
        <f>'[7]BD-Redesign'!E70</f>
        <v>79</v>
      </c>
      <c r="E657" s="293">
        <f>ROUND(D657/D659*E659,0)</f>
        <v>264</v>
      </c>
      <c r="G657" s="339"/>
      <c r="H657" s="339"/>
      <c r="L657" s="339">
        <f t="shared" si="400"/>
        <v>0.64</v>
      </c>
      <c r="M657" s="339"/>
      <c r="N657" s="339">
        <f t="shared" si="401"/>
        <v>11.479999999999999</v>
      </c>
      <c r="O657" s="339"/>
      <c r="P657" s="339">
        <f t="shared" si="402"/>
        <v>0</v>
      </c>
      <c r="Q657" s="339"/>
      <c r="R657" s="339">
        <f t="shared" si="403"/>
        <v>12.12</v>
      </c>
      <c r="S657" s="339"/>
      <c r="T657" s="294">
        <f t="shared" si="404"/>
        <v>169</v>
      </c>
      <c r="V657" s="294">
        <f t="shared" si="405"/>
        <v>3031</v>
      </c>
      <c r="X657" s="294">
        <f t="shared" si="406"/>
        <v>0</v>
      </c>
      <c r="Z657" s="294">
        <f t="shared" si="407"/>
        <v>3200</v>
      </c>
    </row>
    <row r="658" spans="1:31">
      <c r="B658" s="317" t="s">
        <v>1104</v>
      </c>
      <c r="D658" s="293">
        <f>'[7]BD-Redesign'!E72</f>
        <v>0</v>
      </c>
      <c r="E658" s="293">
        <f>E668-E659</f>
        <v>2.4099842203213484E-2</v>
      </c>
      <c r="G658" s="377"/>
      <c r="H658" s="343"/>
      <c r="L658" s="377">
        <f t="shared" si="400"/>
        <v>0</v>
      </c>
      <c r="M658" s="343" t="s">
        <v>1062</v>
      </c>
      <c r="N658" s="377">
        <f t="shared" si="401"/>
        <v>1.7162999999999999</v>
      </c>
      <c r="O658" s="343" t="s">
        <v>1062</v>
      </c>
      <c r="P658" s="377">
        <f t="shared" si="402"/>
        <v>2.279911334706</v>
      </c>
      <c r="Q658" s="343" t="s">
        <v>1062</v>
      </c>
      <c r="R658" s="377">
        <f t="shared" si="403"/>
        <v>3.996211334706</v>
      </c>
      <c r="S658" s="343" t="s">
        <v>1062</v>
      </c>
      <c r="T658" s="294">
        <f>ROUND($E658*L658/100,0)</f>
        <v>0</v>
      </c>
      <c r="U658" s="346"/>
      <c r="V658" s="294">
        <f>ROUND($E658*N658/100,0)</f>
        <v>0</v>
      </c>
      <c r="W658" s="346"/>
      <c r="X658" s="294">
        <f>ROUND($E658*P658/100,0)</f>
        <v>0</v>
      </c>
      <c r="Y658" s="346"/>
      <c r="Z658" s="294">
        <f>ROUND($E658*R658/100,0)</f>
        <v>0</v>
      </c>
    </row>
    <row r="659" spans="1:31">
      <c r="B659" s="317" t="s">
        <v>1105</v>
      </c>
      <c r="D659" s="293">
        <f>'[7]BD-Redesign'!E73</f>
        <v>3543</v>
      </c>
      <c r="E659" s="293">
        <f>ROUND(D659/D668*E668,0)</f>
        <v>11832</v>
      </c>
      <c r="G659" s="377"/>
      <c r="H659" s="343"/>
      <c r="L659" s="377">
        <f t="shared" si="400"/>
        <v>0</v>
      </c>
      <c r="M659" s="343" t="s">
        <v>1062</v>
      </c>
      <c r="N659" s="377">
        <f t="shared" si="401"/>
        <v>1.5188999999999999</v>
      </c>
      <c r="O659" s="343" t="s">
        <v>1062</v>
      </c>
      <c r="P659" s="377">
        <f t="shared" si="402"/>
        <v>2.0175702077039999</v>
      </c>
      <c r="Q659" s="343" t="s">
        <v>1062</v>
      </c>
      <c r="R659" s="377">
        <f t="shared" si="403"/>
        <v>3.5364702077039998</v>
      </c>
      <c r="S659" s="343" t="s">
        <v>1062</v>
      </c>
      <c r="T659" s="294">
        <f>ROUND($E659*L659/100,0)</f>
        <v>0</v>
      </c>
      <c r="U659" s="346"/>
      <c r="V659" s="294">
        <f>ROUND($E659*N659/100,0)</f>
        <v>180</v>
      </c>
      <c r="W659" s="346"/>
      <c r="X659" s="294">
        <f>ROUND($E659*P659/100,0)</f>
        <v>239</v>
      </c>
      <c r="Y659" s="346"/>
      <c r="Z659" s="294">
        <f>ROUND($E659*R659/100,0)</f>
        <v>418</v>
      </c>
    </row>
    <row r="660" spans="1:31">
      <c r="B660" s="317" t="s">
        <v>1112</v>
      </c>
      <c r="D660" s="293">
        <f>(D656+D657)*D950/(D950+D951)</f>
        <v>0</v>
      </c>
      <c r="E660" s="293">
        <f>ROUND(D660/D668*E668,0)</f>
        <v>0</v>
      </c>
      <c r="G660" s="318">
        <f>G561</f>
        <v>14.62</v>
      </c>
      <c r="H660" s="318"/>
      <c r="I660" s="294">
        <f t="shared" ref="I660:J662" si="408">ROUND($G660*D660,0)</f>
        <v>0</v>
      </c>
      <c r="J660" s="294">
        <f t="shared" si="408"/>
        <v>0</v>
      </c>
      <c r="L660" s="318"/>
      <c r="M660" s="318"/>
      <c r="N660" s="318"/>
      <c r="O660" s="318"/>
      <c r="P660" s="318"/>
      <c r="Q660" s="318"/>
      <c r="R660" s="318"/>
      <c r="S660" s="318"/>
      <c r="U660" s="319"/>
      <c r="W660" s="319"/>
      <c r="Y660" s="319"/>
    </row>
    <row r="661" spans="1:31">
      <c r="B661" s="317" t="s">
        <v>1113</v>
      </c>
      <c r="D661" s="293">
        <f>D656+D657-D660</f>
        <v>79</v>
      </c>
      <c r="E661" s="293">
        <f>ROUND(D661/D668*E668,0)</f>
        <v>264</v>
      </c>
      <c r="G661" s="318">
        <f>G562</f>
        <v>10.91</v>
      </c>
      <c r="H661" s="318"/>
      <c r="I661" s="294">
        <f t="shared" si="408"/>
        <v>862</v>
      </c>
      <c r="J661" s="294">
        <f t="shared" si="408"/>
        <v>2880</v>
      </c>
      <c r="L661" s="318"/>
      <c r="M661" s="318"/>
      <c r="N661" s="318"/>
      <c r="O661" s="318"/>
      <c r="P661" s="318"/>
      <c r="Q661" s="318"/>
      <c r="R661" s="318"/>
      <c r="S661" s="318"/>
      <c r="U661" s="319"/>
      <c r="W661" s="319"/>
      <c r="Y661" s="319"/>
    </row>
    <row r="662" spans="1:31">
      <c r="B662" s="317" t="s">
        <v>1098</v>
      </c>
      <c r="D662" s="293">
        <f>D647</f>
        <v>0</v>
      </c>
      <c r="E662" s="293">
        <f>E647</f>
        <v>0</v>
      </c>
      <c r="G662" s="318">
        <f>G563</f>
        <v>-0.96</v>
      </c>
      <c r="H662" s="318"/>
      <c r="I662" s="294">
        <f t="shared" si="408"/>
        <v>0</v>
      </c>
      <c r="J662" s="294">
        <f t="shared" si="408"/>
        <v>0</v>
      </c>
      <c r="L662" s="318">
        <f>L563</f>
        <v>-0.96</v>
      </c>
      <c r="M662" s="318"/>
      <c r="N662" s="318">
        <f>N563</f>
        <v>0</v>
      </c>
      <c r="O662" s="318"/>
      <c r="P662" s="318">
        <f>P563</f>
        <v>0</v>
      </c>
      <c r="Q662" s="318"/>
      <c r="R662" s="318">
        <f>R563</f>
        <v>-0.96</v>
      </c>
      <c r="S662" s="318"/>
      <c r="T662" s="294">
        <f t="shared" ref="T662" si="409">ROUND($E662*L662,0)</f>
        <v>0</v>
      </c>
      <c r="U662" s="319"/>
      <c r="V662" s="294">
        <f t="shared" ref="V662" si="410">ROUND($E662*N662,0)</f>
        <v>0</v>
      </c>
      <c r="W662" s="319"/>
      <c r="X662" s="294">
        <f t="shared" ref="X662" si="411">ROUND($E662*P662,0)</f>
        <v>0</v>
      </c>
      <c r="Y662" s="319"/>
      <c r="Z662" s="294">
        <f t="shared" ref="Z662" si="412">ROUND($E662*R662,0)</f>
        <v>0</v>
      </c>
    </row>
    <row r="663" spans="1:31">
      <c r="B663" s="317" t="s">
        <v>1108</v>
      </c>
      <c r="D663" s="293">
        <f>(D658+D659)*D953/(D953+D954)</f>
        <v>0</v>
      </c>
      <c r="E663" s="293">
        <f>ROUND(D663/D668*E668,0)</f>
        <v>0</v>
      </c>
      <c r="G663" s="377">
        <f>G564</f>
        <v>3.8127</v>
      </c>
      <c r="H663" s="343" t="s">
        <v>1062</v>
      </c>
      <c r="I663" s="294">
        <f>ROUND($G663*D663/100,0)</f>
        <v>0</v>
      </c>
      <c r="J663" s="294">
        <f>ROUND($G663*E663/100,0)</f>
        <v>0</v>
      </c>
      <c r="L663" s="377"/>
      <c r="M663" s="343"/>
      <c r="N663" s="377"/>
      <c r="O663" s="343"/>
      <c r="P663" s="377"/>
      <c r="Q663" s="343"/>
      <c r="R663" s="377"/>
      <c r="S663" s="343"/>
      <c r="T663" s="346"/>
      <c r="U663" s="346"/>
      <c r="V663" s="346"/>
      <c r="W663" s="346"/>
      <c r="X663" s="346"/>
      <c r="Y663" s="346"/>
    </row>
    <row r="664" spans="1:31">
      <c r="B664" s="317" t="s">
        <v>1109</v>
      </c>
      <c r="D664" s="293">
        <f>D658+D659-D663</f>
        <v>3543</v>
      </c>
      <c r="E664" s="293">
        <f>E668-E663</f>
        <v>11832.024099842203</v>
      </c>
      <c r="G664" s="377">
        <f>G565</f>
        <v>3.5143</v>
      </c>
      <c r="H664" s="343" t="s">
        <v>1062</v>
      </c>
      <c r="I664" s="294">
        <f>ROUND($G664*D664/100,0)</f>
        <v>125</v>
      </c>
      <c r="J664" s="294">
        <f>ROUND($G664*E664/100,0)</f>
        <v>416</v>
      </c>
      <c r="L664" s="377"/>
      <c r="M664" s="343"/>
      <c r="N664" s="377"/>
      <c r="O664" s="343"/>
      <c r="P664" s="377"/>
      <c r="Q664" s="343"/>
      <c r="R664" s="377"/>
      <c r="S664" s="343"/>
      <c r="T664" s="346"/>
      <c r="U664" s="346"/>
      <c r="V664" s="346"/>
      <c r="W664" s="346"/>
      <c r="X664" s="346"/>
      <c r="Y664" s="346"/>
    </row>
    <row r="665" spans="1:31">
      <c r="B665" s="317" t="s">
        <v>1078</v>
      </c>
      <c r="D665" s="357">
        <v>0</v>
      </c>
      <c r="E665" s="357">
        <v>0</v>
      </c>
      <c r="I665" s="358">
        <v>0</v>
      </c>
      <c r="J665" s="358">
        <v>0</v>
      </c>
      <c r="Z665" s="358"/>
    </row>
    <row r="666" spans="1:31">
      <c r="B666" s="317" t="s">
        <v>1079</v>
      </c>
      <c r="G666" s="338">
        <f>G567</f>
        <v>-3.61E-2</v>
      </c>
      <c r="H666" s="339"/>
      <c r="I666" s="294">
        <f>SUM(I660:I661,I663:I664)*$G666</f>
        <v>-35.630699999999997</v>
      </c>
      <c r="J666" s="294">
        <f>SUM(J660:J661,J663:J664)*$G666</f>
        <v>-118.98560000000001</v>
      </c>
      <c r="L666" s="338"/>
      <c r="M666" s="339"/>
      <c r="N666" s="338"/>
      <c r="O666" s="339"/>
      <c r="P666" s="359" t="str">
        <f>$P$43</f>
        <v>Tax Year 1</v>
      </c>
      <c r="Q666" s="339"/>
      <c r="R666" s="338">
        <f>$R$687</f>
        <v>-2.4199999999999999E-2</v>
      </c>
      <c r="S666" s="339"/>
      <c r="Z666" s="294">
        <f>R666*SUM(Z656:Z659)</f>
        <v>-87.555599999999998</v>
      </c>
    </row>
    <row r="667" spans="1:31">
      <c r="B667" s="317"/>
      <c r="G667" s="338"/>
      <c r="H667" s="339"/>
      <c r="L667" s="338"/>
      <c r="M667" s="339"/>
      <c r="N667" s="338"/>
      <c r="O667" s="339"/>
      <c r="P667" s="359" t="str">
        <f>$P$44</f>
        <v>Tax Year 2</v>
      </c>
      <c r="Q667" s="339"/>
      <c r="R667" s="338">
        <f>$R$688</f>
        <v>-1.21E-2</v>
      </c>
      <c r="S667" s="339"/>
      <c r="Z667" s="294">
        <f>R667*SUM(Z656:Z659)</f>
        <v>-43.777799999999999</v>
      </c>
    </row>
    <row r="668" spans="1:31" ht="16.5" thickBot="1">
      <c r="B668" s="317" t="s">
        <v>937</v>
      </c>
      <c r="D668" s="381">
        <f>SUM(D663:D665)</f>
        <v>3543</v>
      </c>
      <c r="E668" s="381">
        <f>D668*E958/D958</f>
        <v>11832.024099842203</v>
      </c>
      <c r="G668" s="368"/>
      <c r="I668" s="369">
        <f>SUM(I653:I666)</f>
        <v>1378.3693000000001</v>
      </c>
      <c r="J668" s="369">
        <f>SUM(J653:J666)</f>
        <v>4568.0144</v>
      </c>
      <c r="L668" s="368"/>
      <c r="N668" s="368"/>
      <c r="P668" s="368"/>
      <c r="R668" s="368"/>
      <c r="T668" s="369">
        <f>SUM(T653:T665)</f>
        <v>1584</v>
      </c>
      <c r="V668" s="369">
        <f>SUM(V653:V665)</f>
        <v>3211</v>
      </c>
      <c r="X668" s="369">
        <f>SUM(X653:X665)</f>
        <v>239</v>
      </c>
      <c r="Z668" s="369">
        <f>SUM(Z653:Z665)</f>
        <v>5033</v>
      </c>
      <c r="AB668" s="305" t="s">
        <v>939</v>
      </c>
      <c r="AC668" s="304">
        <f>Z668/J668-1</f>
        <v>0.10179162307369261</v>
      </c>
    </row>
    <row r="669" spans="1:31" ht="16.5" thickTop="1"/>
    <row r="671" spans="1:31">
      <c r="A671" s="292">
        <v>1</v>
      </c>
      <c r="B671" s="314" t="s">
        <v>958</v>
      </c>
    </row>
    <row r="672" spans="1:31">
      <c r="B672" s="317" t="s">
        <v>1089</v>
      </c>
      <c r="D672" s="293">
        <f t="shared" ref="D672:E686" si="413">D693+D714+D735</f>
        <v>157930.33333333372</v>
      </c>
      <c r="E672" s="293">
        <f t="shared" si="413"/>
        <v>157116</v>
      </c>
      <c r="G672" s="318">
        <v>54</v>
      </c>
      <c r="H672" s="318"/>
      <c r="I672" s="294">
        <f t="shared" ref="I672:J682" si="414">ROUND($G672*D672,0)</f>
        <v>8528238</v>
      </c>
      <c r="J672" s="294">
        <f t="shared" si="414"/>
        <v>8484264</v>
      </c>
      <c r="L672" s="324">
        <f>R672</f>
        <v>55</v>
      </c>
      <c r="M672" s="324"/>
      <c r="N672" s="324"/>
      <c r="O672" s="324"/>
      <c r="P672" s="324"/>
      <c r="Q672" s="318"/>
      <c r="R672" s="318">
        <f>ROUND(G672*(1+$AC$676),0)</f>
        <v>55</v>
      </c>
      <c r="S672" s="318"/>
      <c r="T672" s="326">
        <f>Z672</f>
        <v>8641380</v>
      </c>
      <c r="U672" s="326"/>
      <c r="V672" s="326"/>
      <c r="W672" s="326"/>
      <c r="X672" s="326"/>
      <c r="Y672" s="319"/>
      <c r="Z672" s="294">
        <f>ROUND($E672*R672,0)</f>
        <v>8641380</v>
      </c>
      <c r="AB672" s="320" t="s">
        <v>1042</v>
      </c>
      <c r="AC672" s="321">
        <f>Z690+Z772+Z848+Z904</f>
        <v>497869263</v>
      </c>
      <c r="AD672" s="383">
        <v>1.0106427152999999</v>
      </c>
      <c r="AE672" s="292" t="s">
        <v>1114</v>
      </c>
    </row>
    <row r="673" spans="2:31">
      <c r="B673" s="317" t="s">
        <v>1099</v>
      </c>
      <c r="D673" s="293">
        <f t="shared" si="413"/>
        <v>0</v>
      </c>
      <c r="E673" s="293">
        <f t="shared" si="413"/>
        <v>0</v>
      </c>
      <c r="G673" s="318">
        <v>648</v>
      </c>
      <c r="H673" s="318"/>
      <c r="I673" s="294">
        <f t="shared" si="414"/>
        <v>0</v>
      </c>
      <c r="J673" s="294">
        <f t="shared" si="414"/>
        <v>0</v>
      </c>
      <c r="L673" s="324">
        <f t="shared" ref="L673:L674" si="415">R673</f>
        <v>660</v>
      </c>
      <c r="M673" s="324"/>
      <c r="N673" s="324"/>
      <c r="O673" s="324"/>
      <c r="P673" s="324"/>
      <c r="Q673" s="318"/>
      <c r="R673" s="318">
        <f>R672*12</f>
        <v>660</v>
      </c>
      <c r="S673" s="318"/>
      <c r="T673" s="326">
        <f>MIN($T$690-T672,Z673)</f>
        <v>0</v>
      </c>
      <c r="U673" s="326"/>
      <c r="V673" s="326"/>
      <c r="W673" s="326"/>
      <c r="X673" s="326"/>
      <c r="Y673" s="319"/>
      <c r="Z673" s="294">
        <f t="shared" ref="Z673:Z677" si="416">ROUND($E673*R673,0)</f>
        <v>0</v>
      </c>
      <c r="AB673" s="322" t="s">
        <v>1044</v>
      </c>
      <c r="AC673" s="323">
        <f>AD672*AD673</f>
        <v>497869262.98227203</v>
      </c>
      <c r="AD673" s="323">
        <f>SUM([7]RateSpread!M23:M25,[7]RateSpread!M29)*1000</f>
        <v>492626380.66359997</v>
      </c>
      <c r="AE673" s="323">
        <f>AC672+AC687+AC969-AD673-AD970</f>
        <v>0.89310671389102936</v>
      </c>
    </row>
    <row r="674" spans="2:31">
      <c r="B674" s="317" t="s">
        <v>1100</v>
      </c>
      <c r="D674" s="293">
        <f t="shared" si="413"/>
        <v>13.633333333333301</v>
      </c>
      <c r="E674" s="293">
        <f t="shared" si="413"/>
        <v>14</v>
      </c>
      <c r="G674" s="339">
        <v>54</v>
      </c>
      <c r="H674" s="339"/>
      <c r="I674" s="294">
        <f t="shared" si="414"/>
        <v>736</v>
      </c>
      <c r="J674" s="294">
        <f t="shared" si="414"/>
        <v>756</v>
      </c>
      <c r="L674" s="324">
        <f t="shared" si="415"/>
        <v>55</v>
      </c>
      <c r="M674" s="324"/>
      <c r="N674" s="324"/>
      <c r="O674" s="324"/>
      <c r="P674" s="324"/>
      <c r="Q674" s="339"/>
      <c r="R674" s="292">
        <f>R672</f>
        <v>55</v>
      </c>
      <c r="S674" s="339"/>
      <c r="T674" s="326">
        <f>MIN($T$690-T672-T673,Z674)</f>
        <v>770</v>
      </c>
      <c r="U674" s="325"/>
      <c r="V674" s="325"/>
      <c r="W674" s="325"/>
      <c r="X674" s="325"/>
      <c r="Z674" s="294">
        <f t="shared" si="416"/>
        <v>770</v>
      </c>
      <c r="AB674" s="327" t="s">
        <v>789</v>
      </c>
      <c r="AC674" s="328">
        <f>AC673-AC672</f>
        <v>-1.7727971076965332E-2</v>
      </c>
      <c r="AE674" s="361" t="s">
        <v>1115</v>
      </c>
    </row>
    <row r="675" spans="2:31">
      <c r="B675" s="317" t="s">
        <v>1101</v>
      </c>
      <c r="D675" s="293">
        <f t="shared" si="413"/>
        <v>16142756.858910916</v>
      </c>
      <c r="E675" s="293">
        <f t="shared" si="413"/>
        <v>15576842</v>
      </c>
      <c r="G675" s="318">
        <v>4.04</v>
      </c>
      <c r="H675" s="318"/>
      <c r="I675" s="294">
        <f>ROUND($G675*D675,0)</f>
        <v>65216738</v>
      </c>
      <c r="J675" s="294">
        <f>ROUND($G675*E675,0)</f>
        <v>62930442</v>
      </c>
      <c r="L675" s="324">
        <f>R675</f>
        <v>4.1100000000000003</v>
      </c>
      <c r="M675" s="324"/>
      <c r="N675" s="324"/>
      <c r="O675" s="324"/>
      <c r="P675" s="324"/>
      <c r="Q675" s="318"/>
      <c r="R675" s="318">
        <f>ROUND(G675*(1+$AC$676),2)</f>
        <v>4.1100000000000003</v>
      </c>
      <c r="S675" s="318"/>
      <c r="T675" s="326">
        <f>MIN($T$690-T672-T673-T674,Z675)</f>
        <v>64020821</v>
      </c>
      <c r="U675" s="326"/>
      <c r="V675" s="326"/>
      <c r="W675" s="326"/>
      <c r="X675" s="326"/>
      <c r="Y675" s="319"/>
      <c r="Z675" s="294">
        <f t="shared" si="416"/>
        <v>64020821</v>
      </c>
      <c r="AB675" s="320" t="s">
        <v>939</v>
      </c>
      <c r="AC675" s="384">
        <f>AC672/(J690+J772+J848+J904)-1</f>
        <v>5.0431335027612656E-2</v>
      </c>
      <c r="AE675" s="384">
        <f>AC972</f>
        <v>5.1541228078595624E-2</v>
      </c>
    </row>
    <row r="676" spans="2:31">
      <c r="B676" s="317" t="s">
        <v>1102</v>
      </c>
      <c r="D676" s="293">
        <f t="shared" si="413"/>
        <v>7196639.5007194839</v>
      </c>
      <c r="E676" s="293">
        <f t="shared" si="413"/>
        <v>7031003</v>
      </c>
      <c r="G676" s="339"/>
      <c r="H676" s="339"/>
      <c r="L676" s="340">
        <f t="shared" ref="L676:L677" si="417">ROUND(T676/$E676,2)</f>
        <v>0.73</v>
      </c>
      <c r="M676" s="340"/>
      <c r="N676" s="340">
        <f>R676-L676</f>
        <v>12.959999999999999</v>
      </c>
      <c r="O676" s="340"/>
      <c r="P676" s="340">
        <v>0</v>
      </c>
      <c r="Q676" s="339"/>
      <c r="R676" s="339">
        <f>ROUND(SUM(J680:J681,J764:J765,J840:J841,J896:J897)*(1+AC676)/(SUM(E680,E764,E840,E896)+SUM(E681,E765,E841,E897)/AC680),2)</f>
        <v>13.69</v>
      </c>
      <c r="S676" s="339"/>
      <c r="T676" s="325">
        <f>MIN($T$690-SUM($T$672:$T$675),SUM($Z$676:$Z$677,$Z$682))*$Z676/SUM($Z$676:$Z$677,$Z$682)</f>
        <v>5110195.68970339</v>
      </c>
      <c r="U676" s="325"/>
      <c r="V676" s="325">
        <f>MIN($V$690,SUM($Z$676:$Z$677,$Z$682,-SUM($T$676:$T$682)))*$Z676/SUM($Z$676:$Z$677,$Z$682)</f>
        <v>91144235.31029661</v>
      </c>
      <c r="W676" s="325"/>
      <c r="X676" s="325">
        <f>Z676-T676-V676</f>
        <v>0</v>
      </c>
      <c r="Z676" s="294">
        <f t="shared" si="416"/>
        <v>96254431</v>
      </c>
      <c r="AB676" s="322" t="s">
        <v>1048</v>
      </c>
      <c r="AC676" s="384">
        <f>(AC673-J685-J682-J766-J842-J898)/(SUM(J672:J684,J756:J768,J832:J844,J889:J900)-SUM(J682,J766,J842,J898))-1</f>
        <v>1.8203248396028826E-2</v>
      </c>
      <c r="AD676" s="384">
        <f>AC673/(J690+J772+J848+J904)-1</f>
        <v>5.0431334990209242E-2</v>
      </c>
      <c r="AE676" s="384">
        <f>AC973</f>
        <v>5.1542581432151291E-2</v>
      </c>
    </row>
    <row r="677" spans="2:31">
      <c r="B677" s="317" t="s">
        <v>1103</v>
      </c>
      <c r="D677" s="293">
        <f t="shared" si="413"/>
        <v>8946117.636377288</v>
      </c>
      <c r="E677" s="293">
        <f t="shared" si="413"/>
        <v>8605525</v>
      </c>
      <c r="G677" s="339"/>
      <c r="H677" s="339"/>
      <c r="L677" s="340">
        <f t="shared" si="417"/>
        <v>0.64</v>
      </c>
      <c r="M677" s="340"/>
      <c r="N677" s="340">
        <f>R677-L677</f>
        <v>11.479999999999999</v>
      </c>
      <c r="O677" s="340"/>
      <c r="P677" s="340">
        <v>0</v>
      </c>
      <c r="Q677" s="339"/>
      <c r="R677" s="339">
        <f>ROUND(R676/AC680,2)</f>
        <v>12.12</v>
      </c>
      <c r="S677" s="339"/>
      <c r="T677" s="340">
        <f>MIN($T$690-SUM($T$672:$T$675),SUM($Z$676:$Z$677,$Z$682))*$Z677/SUM($Z$676:$Z$677,$Z$682)</f>
        <v>5537283.9008640889</v>
      </c>
      <c r="U677" s="325"/>
      <c r="V677" s="325">
        <f>MIN($V$690,SUM($Z$676:$Z$677,$Z$682,-SUM($T$676:$T$682)))*$Z677/SUM($Z$676:$Z$677,$Z$682)</f>
        <v>98761679.09913592</v>
      </c>
      <c r="W677" s="325"/>
      <c r="X677" s="325">
        <f>Z677-T677-V677</f>
        <v>0</v>
      </c>
      <c r="Z677" s="294">
        <f t="shared" si="416"/>
        <v>104298963</v>
      </c>
      <c r="AB677" s="320" t="s">
        <v>1055</v>
      </c>
      <c r="AC677" s="330">
        <f>SUM(Z672:Z674,Z756:Z758,Z832:Z834,Z889:Z890)/SUM(J672:J674,J756:J758,J832:J834,J889:J890)-1</f>
        <v>1.8518269293936518E-2</v>
      </c>
    </row>
    <row r="678" spans="2:31">
      <c r="B678" s="317" t="s">
        <v>1104</v>
      </c>
      <c r="D678" s="293">
        <f t="shared" si="413"/>
        <v>2104339921.2249358</v>
      </c>
      <c r="E678" s="293">
        <f t="shared" si="413"/>
        <v>2063156225.1889281</v>
      </c>
      <c r="G678" s="377"/>
      <c r="H678" s="343"/>
      <c r="L678" s="348"/>
      <c r="M678" s="343"/>
      <c r="N678" s="348">
        <f>ROUND(V678/$E678*100,4)</f>
        <v>1.7162999999999999</v>
      </c>
      <c r="O678" s="343" t="s">
        <v>1062</v>
      </c>
      <c r="P678" s="344">
        <f>R678-N678</f>
        <v>2.279911334706</v>
      </c>
      <c r="Q678" s="343" t="s">
        <v>1062</v>
      </c>
      <c r="R678" s="377">
        <f>ROUND((AC673-SUM(Z672:Z677,Z682,Z685,Z756:Z761,Z766,Z832:Z837,Z842,Z889:Z893,Z898))/SUM(E678,E762,E838,E894,(E679+E763+E839+E895)/$AC$680)*100,$AC$8)</f>
        <v>3.996211334706</v>
      </c>
      <c r="S678" s="343" t="s">
        <v>1062</v>
      </c>
      <c r="T678" s="346"/>
      <c r="U678" s="346"/>
      <c r="V678" s="325">
        <f>MIN($V$690-SUM($V$676:$V$677,$V$682),SUM($Z$678:$Z$679,$Z$685))*$Z678/SUM($Z$678:$Z$679,$Z$685)</f>
        <v>35410860.353907183</v>
      </c>
      <c r="W678" s="346"/>
      <c r="X678" s="325">
        <f t="shared" ref="X678:X679" si="418">Z678-T678-V678</f>
        <v>47037222.646092817</v>
      </c>
      <c r="Y678" s="346"/>
      <c r="Z678" s="294">
        <f>ROUND($E678*R678/100,0)</f>
        <v>82448083</v>
      </c>
      <c r="AB678" s="335" t="s">
        <v>1116</v>
      </c>
      <c r="AC678" s="385">
        <f>SUM(Z675:Z677,Z759:Z761,Z835:Z837,Z891:Z893)/SUM(J675:J681,J759:J765,J835:J841,J891:J897)-1</f>
        <v>2.0224091588712634E-2</v>
      </c>
    </row>
    <row r="679" spans="2:31">
      <c r="B679" s="317" t="s">
        <v>1105</v>
      </c>
      <c r="D679" s="293">
        <f t="shared" si="413"/>
        <v>3672776336.5082054</v>
      </c>
      <c r="E679" s="293">
        <f t="shared" si="413"/>
        <v>3526754594</v>
      </c>
      <c r="G679" s="377"/>
      <c r="H679" s="343"/>
      <c r="L679" s="348"/>
      <c r="M679" s="343"/>
      <c r="N679" s="348">
        <f>ROUND(V679/$E679*100,4)</f>
        <v>1.5188999999999999</v>
      </c>
      <c r="O679" s="343" t="s">
        <v>1062</v>
      </c>
      <c r="P679" s="344">
        <f>R679-N679</f>
        <v>2.0175702077039999</v>
      </c>
      <c r="Q679" s="343" t="s">
        <v>1062</v>
      </c>
      <c r="R679" s="377">
        <f>ROUND(R678/$AC$680,$AC$8)</f>
        <v>3.5364702077039998</v>
      </c>
      <c r="S679" s="343" t="s">
        <v>1062</v>
      </c>
      <c r="T679" s="346"/>
      <c r="U679" s="346"/>
      <c r="V679" s="325">
        <f>MIN($V$690-SUM($V$676:$V$677,$V$682),SUM($Z$678:$Z$679,$Z$685))*$Z679/SUM($Z$678:$Z$679,$Z$685)</f>
        <v>53567473.391207807</v>
      </c>
      <c r="W679" s="346"/>
      <c r="X679" s="325">
        <f t="shared" si="418"/>
        <v>71155152.608792186</v>
      </c>
      <c r="Y679" s="346"/>
      <c r="Z679" s="294">
        <f>ROUND($E679*R679/100,0)</f>
        <v>124722626</v>
      </c>
      <c r="AB679" s="315" t="s">
        <v>1117</v>
      </c>
      <c r="AC679" s="386">
        <f>SUM(Z678:Z679,Z762:Z763,Z838:Z839,Z894:Z895)/SUM(J683:J684,J767:J768,J843:J844,J899:J900)-1</f>
        <v>1.5612048022161984E-2</v>
      </c>
    </row>
    <row r="680" spans="2:31">
      <c r="B680" s="317" t="s">
        <v>1106</v>
      </c>
      <c r="D680" s="293">
        <f t="shared" si="413"/>
        <v>7370533.2140903417</v>
      </c>
      <c r="E680" s="293">
        <f t="shared" si="413"/>
        <v>7107269</v>
      </c>
      <c r="G680" s="318">
        <v>14.62</v>
      </c>
      <c r="H680" s="318"/>
      <c r="I680" s="294">
        <f t="shared" si="414"/>
        <v>107757196</v>
      </c>
      <c r="J680" s="294">
        <f t="shared" si="414"/>
        <v>103908273</v>
      </c>
      <c r="L680" s="324"/>
      <c r="M680" s="324"/>
      <c r="N680" s="324"/>
      <c r="O680" s="324"/>
      <c r="P680" s="324"/>
      <c r="Q680" s="318"/>
      <c r="R680" s="318"/>
      <c r="S680" s="318"/>
      <c r="T680" s="326"/>
      <c r="U680" s="326"/>
      <c r="V680" s="326"/>
      <c r="W680" s="326"/>
      <c r="X680" s="326"/>
      <c r="Y680" s="319"/>
      <c r="AB680" s="305" t="s">
        <v>1118</v>
      </c>
      <c r="AC680" s="387">
        <v>1.1299999999999999</v>
      </c>
    </row>
    <row r="681" spans="2:31">
      <c r="B681" s="317" t="s">
        <v>1107</v>
      </c>
      <c r="D681" s="293">
        <f t="shared" si="413"/>
        <v>8772223.9230064284</v>
      </c>
      <c r="E681" s="293">
        <f t="shared" si="413"/>
        <v>8469573</v>
      </c>
      <c r="G681" s="318">
        <v>10.91</v>
      </c>
      <c r="H681" s="318"/>
      <c r="I681" s="294">
        <f t="shared" si="414"/>
        <v>95704963</v>
      </c>
      <c r="J681" s="294">
        <f t="shared" si="414"/>
        <v>92403041</v>
      </c>
      <c r="L681" s="324"/>
      <c r="M681" s="324"/>
      <c r="N681" s="324"/>
      <c r="O681" s="324"/>
      <c r="P681" s="324"/>
      <c r="Q681" s="318"/>
      <c r="R681" s="318"/>
      <c r="S681" s="318"/>
      <c r="T681" s="326"/>
      <c r="U681" s="326"/>
      <c r="V681" s="326"/>
      <c r="W681" s="326"/>
      <c r="X681" s="326"/>
      <c r="Y681" s="319"/>
    </row>
    <row r="682" spans="2:31">
      <c r="B682" s="317" t="s">
        <v>1098</v>
      </c>
      <c r="D682" s="293">
        <f t="shared" si="413"/>
        <v>572697.33333333302</v>
      </c>
      <c r="E682" s="293">
        <f t="shared" si="413"/>
        <v>569738</v>
      </c>
      <c r="G682" s="318">
        <v>-0.96</v>
      </c>
      <c r="H682" s="318"/>
      <c r="I682" s="294">
        <f t="shared" si="414"/>
        <v>-549789</v>
      </c>
      <c r="J682" s="294">
        <f t="shared" si="414"/>
        <v>-546948</v>
      </c>
      <c r="L682" s="340">
        <f>R682</f>
        <v>-0.96</v>
      </c>
      <c r="M682" s="340"/>
      <c r="N682" s="340"/>
      <c r="O682" s="340"/>
      <c r="P682" s="340"/>
      <c r="Q682" s="318"/>
      <c r="R682" s="318">
        <f>G682</f>
        <v>-0.96</v>
      </c>
      <c r="S682" s="318"/>
      <c r="T682" s="325">
        <f>MIN($T$690-SUM($T$672:$T$675),SUM($Z$676:$Z$677,$Z$682))*$Z682/SUM($Z$676:$Z$677,$Z$682)</f>
        <v>-29037.741775148919</v>
      </c>
      <c r="U682" s="326"/>
      <c r="V682" s="325">
        <f>MIN($V$690,SUM($Z$676:$Z$677,$Z$682,-SUM($T$676:$T$682)))*$Z682/SUM($Z$676:$Z$677,$Z$682)</f>
        <v>-517910.2582248511</v>
      </c>
      <c r="W682" s="326"/>
      <c r="X682" s="325">
        <f>Z682-T682-V682</f>
        <v>0</v>
      </c>
      <c r="Y682" s="319"/>
      <c r="Z682" s="294">
        <f t="shared" ref="Z682" si="419">ROUND($E682*R682,0)</f>
        <v>-546948</v>
      </c>
      <c r="AB682" s="305" t="s">
        <v>1011</v>
      </c>
      <c r="AC682" s="337">
        <f>SUM([7]RateSpread!V23:V25,[7]RateSpread!V29)*1000</f>
        <v>-10244858.938199302</v>
      </c>
      <c r="AD682" s="338">
        <f>ROUND(AC682/SUM(Z676:Z679,Z685,Z760:Z763,Z836:Z839,Z892:Z895),4)</f>
        <v>-2.4199999999999999E-2</v>
      </c>
    </row>
    <row r="683" spans="2:31">
      <c r="B683" s="317" t="s">
        <v>1108</v>
      </c>
      <c r="D683" s="293">
        <f t="shared" si="413"/>
        <v>2582975621.7403913</v>
      </c>
      <c r="E683" s="293">
        <f t="shared" si="413"/>
        <v>2527546695.1889286</v>
      </c>
      <c r="G683" s="377">
        <v>3.8127</v>
      </c>
      <c r="H683" s="343" t="s">
        <v>1062</v>
      </c>
      <c r="I683" s="294">
        <f t="shared" ref="I683:J685" si="420">ROUND($G683*D683/100,0)</f>
        <v>98481112</v>
      </c>
      <c r="J683" s="294">
        <f t="shared" si="420"/>
        <v>96367773</v>
      </c>
      <c r="L683" s="388"/>
      <c r="M683" s="343"/>
      <c r="N683" s="388"/>
      <c r="O683" s="343"/>
      <c r="P683" s="388"/>
      <c r="Q683" s="343"/>
      <c r="R683" s="377"/>
      <c r="S683" s="343"/>
      <c r="T683" s="346"/>
      <c r="U683" s="346"/>
      <c r="V683" s="346"/>
      <c r="W683" s="346"/>
      <c r="X683" s="346"/>
      <c r="Y683" s="346"/>
      <c r="AB683" s="305" t="s">
        <v>1057</v>
      </c>
      <c r="AC683" s="337">
        <f>SUM([7]RateSpread!W23:W25,[7]RateSpread!W29)*1000</f>
        <v>-5122429.4752433235</v>
      </c>
      <c r="AD683" s="338">
        <f>ROUND(AC683/SUM(Z676:Z679,Z685,Z760:Z763,Z836:Z839,Z892:Z895),4)</f>
        <v>-1.21E-2</v>
      </c>
    </row>
    <row r="684" spans="2:31">
      <c r="B684" s="317" t="s">
        <v>1109</v>
      </c>
      <c r="D684" s="293">
        <f t="shared" si="413"/>
        <v>3194140635.9927492</v>
      </c>
      <c r="E684" s="293">
        <f t="shared" si="413"/>
        <v>3062364124</v>
      </c>
      <c r="G684" s="377">
        <v>3.5143</v>
      </c>
      <c r="H684" s="343" t="s">
        <v>1062</v>
      </c>
      <c r="I684" s="294">
        <f t="shared" si="420"/>
        <v>112251684</v>
      </c>
      <c r="J684" s="294">
        <f t="shared" si="420"/>
        <v>107620662</v>
      </c>
      <c r="L684" s="388"/>
      <c r="M684" s="343"/>
      <c r="N684" s="388"/>
      <c r="O684" s="343"/>
      <c r="P684" s="388"/>
      <c r="Q684" s="343"/>
      <c r="R684" s="377"/>
      <c r="S684" s="343"/>
      <c r="T684" s="346"/>
      <c r="U684" s="346"/>
      <c r="V684" s="346"/>
      <c r="W684" s="346"/>
      <c r="X684" s="346"/>
      <c r="Y684" s="346"/>
      <c r="AB684" s="292" t="s">
        <v>1119</v>
      </c>
    </row>
    <row r="685" spans="2:31">
      <c r="B685" s="353" t="s">
        <v>1077</v>
      </c>
      <c r="D685" s="293">
        <f t="shared" si="413"/>
        <v>2072493</v>
      </c>
      <c r="E685" s="293">
        <f t="shared" si="413"/>
        <v>1977670</v>
      </c>
      <c r="G685" s="377">
        <v>7.125</v>
      </c>
      <c r="H685" s="343" t="s">
        <v>1062</v>
      </c>
      <c r="I685" s="294">
        <f t="shared" si="420"/>
        <v>147665</v>
      </c>
      <c r="J685" s="294">
        <f t="shared" si="420"/>
        <v>140909</v>
      </c>
      <c r="L685" s="348"/>
      <c r="M685" s="343"/>
      <c r="N685" s="348">
        <f>R685</f>
        <v>7.125</v>
      </c>
      <c r="O685" s="343" t="s">
        <v>1062</v>
      </c>
      <c r="P685" s="344"/>
      <c r="Q685" s="343" t="s">
        <v>1062</v>
      </c>
      <c r="R685" s="377">
        <f>G685</f>
        <v>7.125</v>
      </c>
      <c r="S685" s="343" t="s">
        <v>1062</v>
      </c>
      <c r="T685" s="325"/>
      <c r="U685" s="346"/>
      <c r="V685" s="325">
        <f>MIN($V$690-SUM($V$676:$V$677,$V$682),SUM($Z$678:$Z$679,$Z$685))*$Z685/SUM($Z$678:$Z$679,$Z$685)</f>
        <v>60519.404940060369</v>
      </c>
      <c r="W685" s="346"/>
      <c r="X685" s="325">
        <f>Z685-T685-V685</f>
        <v>80389.595059939631</v>
      </c>
      <c r="Y685" s="346"/>
      <c r="Z685" s="294">
        <f>ROUND($E685*R685/100,0)</f>
        <v>140909</v>
      </c>
      <c r="AB685" s="304" t="s">
        <v>1120</v>
      </c>
      <c r="AC685" s="337">
        <f>Z258+Z400+Z536+Z569</f>
        <v>31688743</v>
      </c>
    </row>
    <row r="686" spans="2:31">
      <c r="B686" s="317" t="s">
        <v>1078</v>
      </c>
      <c r="D686" s="357">
        <f t="shared" si="413"/>
        <v>17677070</v>
      </c>
      <c r="E686" s="357">
        <f t="shared" si="413"/>
        <v>0</v>
      </c>
      <c r="I686" s="358">
        <f>I707+I728+I749</f>
        <v>1707393.6474135239</v>
      </c>
      <c r="J686" s="358">
        <f>J707+J728+J749</f>
        <v>0</v>
      </c>
      <c r="Z686" s="358"/>
      <c r="AB686" s="292" t="s">
        <v>1121</v>
      </c>
      <c r="AC686" s="337">
        <f>Z238+Z382+Z518+Z552</f>
        <v>25934664</v>
      </c>
    </row>
    <row r="687" spans="2:31">
      <c r="B687" s="317" t="s">
        <v>1079</v>
      </c>
      <c r="G687" s="338">
        <v>-3.61E-2</v>
      </c>
      <c r="H687" s="339"/>
      <c r="I687" s="294">
        <f>SUM(I680:I681,I683:I685)*$G687</f>
        <v>-14957768.582</v>
      </c>
      <c r="J687" s="294">
        <f>SUM(J680:J681,J683:J685)*$G687</f>
        <v>-14455907.753799999</v>
      </c>
      <c r="L687" s="338"/>
      <c r="M687" s="339"/>
      <c r="N687" s="338"/>
      <c r="O687" s="339"/>
      <c r="P687" s="359" t="str">
        <f>$P$43</f>
        <v>Tax Year 1</v>
      </c>
      <c r="Q687" s="339"/>
      <c r="R687" s="338">
        <f>AD682</f>
        <v>-2.4199999999999999E-2</v>
      </c>
      <c r="S687" s="339"/>
      <c r="Z687" s="294">
        <f>R687*SUM(Z676:Z679,Z685)</f>
        <v>-9870333.2904000003</v>
      </c>
      <c r="AC687" s="337">
        <f>AC686-AC685</f>
        <v>-5754079</v>
      </c>
    </row>
    <row r="688" spans="2:31">
      <c r="B688" s="317"/>
      <c r="G688" s="338"/>
      <c r="H688" s="339"/>
      <c r="L688" s="338"/>
      <c r="M688" s="339"/>
      <c r="N688" s="338"/>
      <c r="O688" s="339"/>
      <c r="P688" s="359" t="str">
        <f>$P$44</f>
        <v>Tax Year 2</v>
      </c>
      <c r="Q688" s="339"/>
      <c r="R688" s="338">
        <f>AD683</f>
        <v>-1.21E-2</v>
      </c>
      <c r="S688" s="339"/>
      <c r="Z688" s="294">
        <f>R688*SUM(Z676:Z679,Z685)</f>
        <v>-4935166.6452000001</v>
      </c>
      <c r="AB688" s="360" t="s">
        <v>1081</v>
      </c>
      <c r="AC688" s="360"/>
      <c r="AD688" s="360"/>
      <c r="AE688" s="360"/>
    </row>
    <row r="689" spans="1:32">
      <c r="B689" s="353" t="s">
        <v>1082</v>
      </c>
      <c r="D689" s="293">
        <f>D710+D731+D752</f>
        <v>26720</v>
      </c>
      <c r="E689" s="293">
        <f>E710+E731+E752</f>
        <v>25489</v>
      </c>
      <c r="G689" s="338"/>
      <c r="H689" s="339"/>
      <c r="L689" s="338"/>
      <c r="M689" s="339"/>
      <c r="N689" s="338"/>
      <c r="O689" s="339"/>
      <c r="P689" s="338"/>
      <c r="Q689" s="339"/>
      <c r="R689" s="338"/>
      <c r="S689" s="339"/>
      <c r="AB689" s="361" t="s">
        <v>42</v>
      </c>
      <c r="AC689" s="361" t="s">
        <v>43</v>
      </c>
      <c r="AD689" s="361" t="s">
        <v>44</v>
      </c>
      <c r="AE689" s="361" t="s">
        <v>45</v>
      </c>
    </row>
    <row r="690" spans="1:32" ht="16.5" thickBot="1">
      <c r="A690" s="292">
        <v>1</v>
      </c>
      <c r="B690" s="317" t="s">
        <v>937</v>
      </c>
      <c r="D690" s="381">
        <f>SUM(D683:D689)</f>
        <v>5796892540.7331409</v>
      </c>
      <c r="E690" s="381">
        <f>SUM(E683:E689)</f>
        <v>5591913978.1889286</v>
      </c>
      <c r="G690" s="368"/>
      <c r="I690" s="369">
        <f>SUM(I672:I687)</f>
        <v>474288168.06541353</v>
      </c>
      <c r="J690" s="369">
        <f>SUM(J672:J687)</f>
        <v>456853264.24620003</v>
      </c>
      <c r="L690" s="368"/>
      <c r="N690" s="368"/>
      <c r="P690" s="368"/>
      <c r="R690" s="368"/>
      <c r="T690" s="364">
        <f>$Z690*AB690/$AE690</f>
        <v>83281412.848792329</v>
      </c>
      <c r="U690" s="364"/>
      <c r="V690" s="364">
        <f>$Z690*AC690/$AE690</f>
        <v>278426857.30126274</v>
      </c>
      <c r="W690" s="364"/>
      <c r="X690" s="364">
        <f>Z690-T690-V690</f>
        <v>118272764.84994495</v>
      </c>
      <c r="Z690" s="364">
        <f>SUM(Z672:Z686)</f>
        <v>479981035</v>
      </c>
      <c r="AB690" s="366">
        <f>('[7]Unit Cost Target'!$E$87+'[7]Unit Cost Target'!$E$123+'[7]Unit Cost Target'!$E$129)</f>
        <v>87933410.775021613</v>
      </c>
      <c r="AC690" s="366">
        <f>('[7]Unit Cost Target'!$E$45+'[7]Unit Cost Target'!$E$51+'[7]Unit Cost Target'!$E$75+'[7]Unit Cost Target'!$E$81)</f>
        <v>293979441.22684622</v>
      </c>
      <c r="AD690" s="366">
        <f>('[7]Unit Cost Target'!$E$33+'[7]Unit Cost Target'!$E$39+'[7]Unit Cost Target'!$E$63+'[7]Unit Cost Target'!$E$69)</f>
        <v>124879336.92876293</v>
      </c>
      <c r="AE690" s="366">
        <f>SUM(AB690:AD690)</f>
        <v>506792188.93063074</v>
      </c>
      <c r="AF690" s="366">
        <f>AE690-'[7]Unit Cost Target'!$E$21</f>
        <v>0</v>
      </c>
    </row>
    <row r="691" spans="1:32" ht="16.5" thickTop="1">
      <c r="A691" s="292">
        <v>1</v>
      </c>
      <c r="AB691" s="367">
        <f>T690-SUM(T672:T689)</f>
        <v>0</v>
      </c>
      <c r="AC691" s="367">
        <f>V690-SUM(V672:V689)</f>
        <v>0</v>
      </c>
      <c r="AD691" s="367">
        <f>X690-SUM(X672:X689)</f>
        <v>0</v>
      </c>
      <c r="AE691" s="367">
        <f>SUM(AB691:AD691)</f>
        <v>0</v>
      </c>
      <c r="AF691" s="366">
        <f>AE691-AC672</f>
        <v>-497869263</v>
      </c>
    </row>
    <row r="692" spans="1:32">
      <c r="B692" s="314" t="s">
        <v>959</v>
      </c>
      <c r="AB692" s="366"/>
      <c r="AC692" s="366"/>
      <c r="AD692" s="366"/>
      <c r="AE692" s="366"/>
    </row>
    <row r="693" spans="1:32">
      <c r="B693" s="317" t="s">
        <v>1089</v>
      </c>
      <c r="D693" s="293">
        <f>'[7]6'!H25</f>
        <v>3583.0333333333301</v>
      </c>
      <c r="E693" s="293">
        <f>[7]Bill!P10</f>
        <v>3780</v>
      </c>
      <c r="G693" s="339">
        <v>54</v>
      </c>
      <c r="H693" s="339"/>
      <c r="I693" s="294">
        <f t="shared" ref="I693:J703" si="421">ROUND($G693*D693,0)</f>
        <v>193484</v>
      </c>
      <c r="J693" s="294">
        <f t="shared" si="421"/>
        <v>204120</v>
      </c>
      <c r="L693" s="339">
        <f t="shared" ref="L693:L700" si="422">L672</f>
        <v>55</v>
      </c>
      <c r="M693" s="339"/>
      <c r="N693" s="339">
        <f t="shared" ref="N693:N700" si="423">N672</f>
        <v>0</v>
      </c>
      <c r="O693" s="339"/>
      <c r="P693" s="339">
        <f t="shared" ref="P693:P700" si="424">P672</f>
        <v>0</v>
      </c>
      <c r="Q693" s="339"/>
      <c r="R693" s="339">
        <f t="shared" ref="R693:R700" si="425">R672</f>
        <v>55</v>
      </c>
      <c r="S693" s="339"/>
      <c r="T693" s="294">
        <f>ROUND($E693*L693,0)</f>
        <v>207900</v>
      </c>
      <c r="U693" s="319"/>
      <c r="V693" s="294">
        <f>ROUND($E693*N693,0)</f>
        <v>0</v>
      </c>
      <c r="W693" s="319"/>
      <c r="X693" s="294">
        <f>ROUND($E693*P693,0)</f>
        <v>0</v>
      </c>
      <c r="Z693" s="294">
        <f>ROUND($E693*R693,0)</f>
        <v>207900</v>
      </c>
      <c r="AB693" s="366"/>
      <c r="AC693" s="366"/>
      <c r="AD693" s="366"/>
      <c r="AE693" s="366"/>
    </row>
    <row r="694" spans="1:32">
      <c r="B694" s="317" t="s">
        <v>1099</v>
      </c>
      <c r="D694" s="293">
        <v>0</v>
      </c>
      <c r="E694" s="293">
        <f>ROUND(D694/D693*E693,0)</f>
        <v>0</v>
      </c>
      <c r="G694" s="339">
        <v>648</v>
      </c>
      <c r="H694" s="339"/>
      <c r="I694" s="294">
        <f t="shared" si="421"/>
        <v>0</v>
      </c>
      <c r="J694" s="294">
        <f t="shared" si="421"/>
        <v>0</v>
      </c>
      <c r="L694" s="339">
        <f t="shared" si="422"/>
        <v>660</v>
      </c>
      <c r="M694" s="339"/>
      <c r="N694" s="339">
        <f t="shared" si="423"/>
        <v>0</v>
      </c>
      <c r="O694" s="339"/>
      <c r="P694" s="339">
        <f t="shared" si="424"/>
        <v>0</v>
      </c>
      <c r="Q694" s="339"/>
      <c r="R694" s="339">
        <f t="shared" si="425"/>
        <v>660</v>
      </c>
      <c r="S694" s="339"/>
      <c r="T694" s="294">
        <f t="shared" ref="T694:T698" si="426">ROUND($E694*L694,0)</f>
        <v>0</v>
      </c>
      <c r="U694" s="319"/>
      <c r="V694" s="294">
        <f t="shared" ref="V694:V698" si="427">ROUND($E694*N694,0)</f>
        <v>0</v>
      </c>
      <c r="W694" s="319"/>
      <c r="X694" s="294">
        <f t="shared" ref="X694:X698" si="428">ROUND($E694*P694,0)</f>
        <v>0</v>
      </c>
      <c r="Z694" s="294">
        <f t="shared" ref="Z694:Z698" si="429">ROUND($E694*R694,0)</f>
        <v>0</v>
      </c>
    </row>
    <row r="695" spans="1:32">
      <c r="B695" s="317" t="s">
        <v>1100</v>
      </c>
      <c r="D695" s="293">
        <f>'[7]6'!AB25</f>
        <v>0</v>
      </c>
      <c r="E695" s="293">
        <f>ROUND(D695/D693*E693,0)</f>
        <v>0</v>
      </c>
      <c r="G695" s="339">
        <v>54</v>
      </c>
      <c r="H695" s="339"/>
      <c r="I695" s="294">
        <f t="shared" si="421"/>
        <v>0</v>
      </c>
      <c r="J695" s="294">
        <f t="shared" si="421"/>
        <v>0</v>
      </c>
      <c r="L695" s="339">
        <f t="shared" si="422"/>
        <v>55</v>
      </c>
      <c r="M695" s="339"/>
      <c r="N695" s="339">
        <f t="shared" si="423"/>
        <v>0</v>
      </c>
      <c r="O695" s="339"/>
      <c r="P695" s="339">
        <f t="shared" si="424"/>
        <v>0</v>
      </c>
      <c r="Q695" s="339"/>
      <c r="R695" s="339">
        <f t="shared" si="425"/>
        <v>55</v>
      </c>
      <c r="S695" s="339"/>
      <c r="T695" s="294">
        <f t="shared" si="426"/>
        <v>0</v>
      </c>
      <c r="V695" s="294">
        <f t="shared" si="427"/>
        <v>0</v>
      </c>
      <c r="X695" s="294">
        <f t="shared" si="428"/>
        <v>0</v>
      </c>
      <c r="Z695" s="294">
        <f t="shared" si="429"/>
        <v>0</v>
      </c>
    </row>
    <row r="696" spans="1:32">
      <c r="B696" s="317" t="s">
        <v>1101</v>
      </c>
      <c r="D696" s="293">
        <f>'[7]6'!J25</f>
        <v>299679.84158415801</v>
      </c>
      <c r="E696" s="293">
        <f>ROUND(D696/D711*E711,0)</f>
        <v>359920</v>
      </c>
      <c r="G696" s="339">
        <v>4.04</v>
      </c>
      <c r="H696" s="339"/>
      <c r="I696" s="294">
        <f>ROUND($G696*D696,0)</f>
        <v>1210707</v>
      </c>
      <c r="J696" s="294">
        <f>ROUND($G696*E696,0)</f>
        <v>1454077</v>
      </c>
      <c r="L696" s="339">
        <f t="shared" si="422"/>
        <v>4.1100000000000003</v>
      </c>
      <c r="M696" s="339"/>
      <c r="N696" s="339">
        <f t="shared" si="423"/>
        <v>0</v>
      </c>
      <c r="O696" s="339"/>
      <c r="P696" s="339">
        <f t="shared" si="424"/>
        <v>0</v>
      </c>
      <c r="Q696" s="339"/>
      <c r="R696" s="339">
        <f t="shared" si="425"/>
        <v>4.1100000000000003</v>
      </c>
      <c r="S696" s="339"/>
      <c r="T696" s="294">
        <f t="shared" si="426"/>
        <v>1479271</v>
      </c>
      <c r="U696" s="319"/>
      <c r="V696" s="294">
        <f t="shared" si="427"/>
        <v>0</v>
      </c>
      <c r="W696" s="319"/>
      <c r="X696" s="294">
        <f t="shared" si="428"/>
        <v>0</v>
      </c>
      <c r="Z696" s="294">
        <f t="shared" si="429"/>
        <v>1479271</v>
      </c>
    </row>
    <row r="697" spans="1:32">
      <c r="B697" s="317" t="s">
        <v>1102</v>
      </c>
      <c r="D697" s="293">
        <f>'[7]6'!L25+'[7]6-may'!L25</f>
        <v>103225.47243554296</v>
      </c>
      <c r="E697" s="293">
        <f>ROUND(D697/D699*E699,0)</f>
        <v>140909</v>
      </c>
      <c r="G697" s="339"/>
      <c r="H697" s="339"/>
      <c r="L697" s="339">
        <f t="shared" si="422"/>
        <v>0.73</v>
      </c>
      <c r="M697" s="339"/>
      <c r="N697" s="339">
        <f t="shared" si="423"/>
        <v>12.959999999999999</v>
      </c>
      <c r="O697" s="339"/>
      <c r="P697" s="339">
        <f t="shared" si="424"/>
        <v>0</v>
      </c>
      <c r="Q697" s="339"/>
      <c r="R697" s="339">
        <f t="shared" si="425"/>
        <v>13.69</v>
      </c>
      <c r="S697" s="339"/>
      <c r="T697" s="294">
        <f t="shared" si="426"/>
        <v>102864</v>
      </c>
      <c r="V697" s="294">
        <f t="shared" si="427"/>
        <v>1826181</v>
      </c>
      <c r="X697" s="294">
        <f t="shared" si="428"/>
        <v>0</v>
      </c>
      <c r="Z697" s="294">
        <f t="shared" si="429"/>
        <v>1929044</v>
      </c>
    </row>
    <row r="698" spans="1:32">
      <c r="B698" s="317" t="s">
        <v>1103</v>
      </c>
      <c r="D698" s="293">
        <f>'[7]6'!M25+'[7]6-may'!M25</f>
        <v>196454.36991531623</v>
      </c>
      <c r="E698" s="293">
        <f>ROUND(D698/D700*E700,0)</f>
        <v>222014</v>
      </c>
      <c r="G698" s="339"/>
      <c r="H698" s="339"/>
      <c r="L698" s="339">
        <f t="shared" si="422"/>
        <v>0.64</v>
      </c>
      <c r="M698" s="339"/>
      <c r="N698" s="339">
        <f t="shared" si="423"/>
        <v>11.479999999999999</v>
      </c>
      <c r="O698" s="339"/>
      <c r="P698" s="339">
        <f t="shared" si="424"/>
        <v>0</v>
      </c>
      <c r="Q698" s="339"/>
      <c r="R698" s="339">
        <f t="shared" si="425"/>
        <v>12.12</v>
      </c>
      <c r="S698" s="339"/>
      <c r="T698" s="294">
        <f t="shared" si="426"/>
        <v>142089</v>
      </c>
      <c r="V698" s="294">
        <f t="shared" si="427"/>
        <v>2548721</v>
      </c>
      <c r="X698" s="294">
        <f t="shared" si="428"/>
        <v>0</v>
      </c>
      <c r="Z698" s="294">
        <f t="shared" si="429"/>
        <v>2690810</v>
      </c>
    </row>
    <row r="699" spans="1:32">
      <c r="B699" s="317" t="s">
        <v>1104</v>
      </c>
      <c r="D699" s="293">
        <f>'[7]6'!P25+'[7]6'!U25+[7]TempRevMay!C324-[7]TempRevMay!M324+'[7]6-may'!P25+'[7]6-may'!U25</f>
        <v>41751453.943650171</v>
      </c>
      <c r="E699" s="293">
        <f>E711-SUM(E700,E706:E710)</f>
        <v>56993222.034597188</v>
      </c>
      <c r="G699" s="377"/>
      <c r="H699" s="343"/>
      <c r="L699" s="377">
        <f t="shared" si="422"/>
        <v>0</v>
      </c>
      <c r="M699" s="343" t="s">
        <v>1062</v>
      </c>
      <c r="N699" s="377">
        <f t="shared" si="423"/>
        <v>1.7162999999999999</v>
      </c>
      <c r="O699" s="343" t="s">
        <v>1062</v>
      </c>
      <c r="P699" s="377">
        <f t="shared" si="424"/>
        <v>2.279911334706</v>
      </c>
      <c r="Q699" s="343" t="s">
        <v>1062</v>
      </c>
      <c r="R699" s="377">
        <f t="shared" si="425"/>
        <v>3.996211334706</v>
      </c>
      <c r="S699" s="343" t="s">
        <v>1062</v>
      </c>
      <c r="T699" s="294">
        <f>ROUND($E699*L699/100,0)</f>
        <v>0</v>
      </c>
      <c r="U699" s="346"/>
      <c r="V699" s="294">
        <f>ROUND($E699*N699/100,0)</f>
        <v>978175</v>
      </c>
      <c r="W699" s="346"/>
      <c r="X699" s="294">
        <f>ROUND($E699*P699/100,0)</f>
        <v>1299395</v>
      </c>
      <c r="Y699" s="346"/>
      <c r="Z699" s="294">
        <f>ROUND($E699*R699/100,0)</f>
        <v>2277570</v>
      </c>
    </row>
    <row r="700" spans="1:32">
      <c r="B700" s="317" t="s">
        <v>1105</v>
      </c>
      <c r="D700" s="293">
        <f>'[7]6'!Q25+'[7]6'!V25+[7]TempRevMay!C325-[7]TempRevMay!M325+'[7]6-may'!Q25+'[7]6-may'!V25</f>
        <v>84462817.942580998</v>
      </c>
      <c r="E700" s="293">
        <f>ROUND([7]Energy!T10*(1-(E706+E710)/[7]Energy!P10),0)</f>
        <v>95452005</v>
      </c>
      <c r="G700" s="377"/>
      <c r="H700" s="343"/>
      <c r="L700" s="377">
        <f t="shared" si="422"/>
        <v>0</v>
      </c>
      <c r="M700" s="343" t="s">
        <v>1062</v>
      </c>
      <c r="N700" s="377">
        <f t="shared" si="423"/>
        <v>1.5188999999999999</v>
      </c>
      <c r="O700" s="343" t="s">
        <v>1062</v>
      </c>
      <c r="P700" s="377">
        <f t="shared" si="424"/>
        <v>2.0175702077039999</v>
      </c>
      <c r="Q700" s="343" t="s">
        <v>1062</v>
      </c>
      <c r="R700" s="377">
        <f t="shared" si="425"/>
        <v>3.5364702077039998</v>
      </c>
      <c r="S700" s="343" t="s">
        <v>1062</v>
      </c>
      <c r="T700" s="294">
        <f>ROUND($E700*L700/100,0)</f>
        <v>0</v>
      </c>
      <c r="U700" s="346"/>
      <c r="V700" s="294">
        <f>ROUND($E700*N700/100,0)</f>
        <v>1449821</v>
      </c>
      <c r="W700" s="346"/>
      <c r="X700" s="294">
        <f>ROUND($E700*P700/100,0)</f>
        <v>1925811</v>
      </c>
      <c r="Y700" s="346"/>
      <c r="Z700" s="294">
        <f>ROUND($E700*R700/100,0)</f>
        <v>3375632</v>
      </c>
    </row>
    <row r="701" spans="1:32">
      <c r="B701" s="317" t="s">
        <v>1106</v>
      </c>
      <c r="D701" s="293">
        <f>'[7]6'!L25</f>
        <v>125353.22640218861</v>
      </c>
      <c r="E701" s="293">
        <f>ROUND(D701/D711*E711,0)</f>
        <v>150551</v>
      </c>
      <c r="G701" s="339">
        <v>14.62</v>
      </c>
      <c r="H701" s="339"/>
      <c r="I701" s="294">
        <f t="shared" si="421"/>
        <v>1832664</v>
      </c>
      <c r="J701" s="294">
        <f t="shared" si="421"/>
        <v>2201056</v>
      </c>
      <c r="L701" s="339"/>
      <c r="M701" s="339"/>
      <c r="N701" s="339"/>
      <c r="O701" s="339"/>
      <c r="P701" s="339"/>
      <c r="Q701" s="339"/>
      <c r="R701" s="339"/>
      <c r="S701" s="339"/>
      <c r="U701" s="319"/>
      <c r="W701" s="319"/>
    </row>
    <row r="702" spans="1:32">
      <c r="B702" s="317" t="s">
        <v>1107</v>
      </c>
      <c r="D702" s="293">
        <f>'[7]6'!M25</f>
        <v>174326.6159486706</v>
      </c>
      <c r="E702" s="293">
        <f>ROUND(D702/D711*E711,0)</f>
        <v>209369</v>
      </c>
      <c r="G702" s="339">
        <v>10.91</v>
      </c>
      <c r="H702" s="339"/>
      <c r="I702" s="294">
        <f t="shared" si="421"/>
        <v>1901903</v>
      </c>
      <c r="J702" s="294">
        <f t="shared" si="421"/>
        <v>2284216</v>
      </c>
      <c r="L702" s="339"/>
      <c r="M702" s="339"/>
      <c r="N702" s="339"/>
      <c r="O702" s="339"/>
      <c r="P702" s="339"/>
      <c r="Q702" s="339"/>
      <c r="R702" s="339"/>
      <c r="S702" s="339"/>
      <c r="U702" s="319"/>
      <c r="W702" s="319"/>
    </row>
    <row r="703" spans="1:32">
      <c r="B703" s="317" t="s">
        <v>1098</v>
      </c>
      <c r="D703" s="293">
        <f>'[7]6'!N25</f>
        <v>24132</v>
      </c>
      <c r="E703" s="293">
        <f>ROUND(D703/D711*E711,0)</f>
        <v>28983</v>
      </c>
      <c r="G703" s="339">
        <v>-0.96</v>
      </c>
      <c r="H703" s="339"/>
      <c r="I703" s="294">
        <f t="shared" si="421"/>
        <v>-23167</v>
      </c>
      <c r="J703" s="294">
        <f t="shared" si="421"/>
        <v>-27824</v>
      </c>
      <c r="L703" s="339">
        <f>L682</f>
        <v>-0.96</v>
      </c>
      <c r="M703" s="339"/>
      <c r="N703" s="339">
        <f>N682</f>
        <v>0</v>
      </c>
      <c r="O703" s="339"/>
      <c r="P703" s="339">
        <f>P682</f>
        <v>0</v>
      </c>
      <c r="Q703" s="339"/>
      <c r="R703" s="339">
        <f>R682</f>
        <v>-0.96</v>
      </c>
      <c r="S703" s="339"/>
      <c r="T703" s="294">
        <f t="shared" ref="T703" si="430">ROUND($E703*L703,0)</f>
        <v>-27824</v>
      </c>
      <c r="U703" s="319"/>
      <c r="V703" s="294">
        <f t="shared" ref="V703" si="431">ROUND($E703*N703,0)</f>
        <v>0</v>
      </c>
      <c r="W703" s="319"/>
      <c r="X703" s="294">
        <f t="shared" ref="X703" si="432">ROUND($E703*P703,0)</f>
        <v>0</v>
      </c>
      <c r="Z703" s="294">
        <f t="shared" ref="Z703" si="433">ROUND($E703*R703,0)</f>
        <v>-27824</v>
      </c>
    </row>
    <row r="704" spans="1:32">
      <c r="B704" s="317" t="s">
        <v>1108</v>
      </c>
      <c r="D704" s="293">
        <f>'[7]6'!P25+'[7]6'!U25+[7]TempRev!C324-[7]TempRev!M324</f>
        <v>50979480.334788077</v>
      </c>
      <c r="E704" s="293">
        <f>E711-SUM(E705:E710)</f>
        <v>66094782.034597188</v>
      </c>
      <c r="G704" s="377">
        <v>3.8127</v>
      </c>
      <c r="H704" s="343" t="s">
        <v>1062</v>
      </c>
      <c r="I704" s="294">
        <f t="shared" ref="I704:J706" si="434">ROUND($G704*D704/100,0)</f>
        <v>1943695</v>
      </c>
      <c r="J704" s="294">
        <f t="shared" si="434"/>
        <v>2519996</v>
      </c>
      <c r="L704" s="377"/>
      <c r="M704" s="343"/>
      <c r="N704" s="377"/>
      <c r="O704" s="343"/>
      <c r="P704" s="377"/>
      <c r="Q704" s="343"/>
      <c r="R704" s="377"/>
      <c r="S704" s="343"/>
      <c r="U704" s="346"/>
      <c r="W704" s="346"/>
      <c r="Y704" s="346"/>
    </row>
    <row r="705" spans="2:29">
      <c r="B705" s="317" t="s">
        <v>1109</v>
      </c>
      <c r="D705" s="293">
        <f>'[7]6'!Q25+'[7]6'!V25+[7]TempRev!C325-[7]TempRev!M325</f>
        <v>75234791.5514431</v>
      </c>
      <c r="E705" s="293">
        <f>ROUND([7]Energy!R10*(1-(E706+E710)/[7]Energy!P10),0)</f>
        <v>86350445</v>
      </c>
      <c r="G705" s="377">
        <v>3.5143</v>
      </c>
      <c r="H705" s="343" t="s">
        <v>1062</v>
      </c>
      <c r="I705" s="294">
        <f t="shared" si="434"/>
        <v>2643976</v>
      </c>
      <c r="J705" s="294">
        <f t="shared" si="434"/>
        <v>3034614</v>
      </c>
      <c r="L705" s="377"/>
      <c r="M705" s="343"/>
      <c r="N705" s="377"/>
      <c r="O705" s="343"/>
      <c r="P705" s="377"/>
      <c r="Q705" s="343"/>
      <c r="R705" s="377"/>
      <c r="S705" s="343"/>
      <c r="U705" s="346"/>
      <c r="W705" s="346"/>
      <c r="Y705" s="346"/>
    </row>
    <row r="706" spans="2:29">
      <c r="B706" s="353" t="s">
        <v>1077</v>
      </c>
      <c r="D706" s="293">
        <f>'[7]6'!S25</f>
        <v>0</v>
      </c>
      <c r="E706" s="293">
        <f>ROUND(D706/(D711-D707)*E711,0)</f>
        <v>0</v>
      </c>
      <c r="G706" s="377">
        <v>7.125</v>
      </c>
      <c r="H706" s="343" t="s">
        <v>1062</v>
      </c>
      <c r="I706" s="294">
        <f t="shared" si="434"/>
        <v>0</v>
      </c>
      <c r="J706" s="294">
        <f t="shared" si="434"/>
        <v>0</v>
      </c>
      <c r="L706" s="377">
        <f>L685</f>
        <v>0</v>
      </c>
      <c r="M706" s="343" t="s">
        <v>1062</v>
      </c>
      <c r="N706" s="377">
        <f>N685</f>
        <v>7.125</v>
      </c>
      <c r="O706" s="343" t="s">
        <v>1062</v>
      </c>
      <c r="P706" s="377">
        <f>P685</f>
        <v>0</v>
      </c>
      <c r="Q706" s="343" t="s">
        <v>1062</v>
      </c>
      <c r="R706" s="377">
        <f>R685</f>
        <v>7.125</v>
      </c>
      <c r="S706" s="343" t="s">
        <v>1062</v>
      </c>
      <c r="T706" s="294">
        <f>ROUND($E706*L706/100,0)</f>
        <v>0</v>
      </c>
      <c r="U706" s="346"/>
      <c r="V706" s="294">
        <f>ROUND($E706*N706/100,0)</f>
        <v>0</v>
      </c>
      <c r="W706" s="346"/>
      <c r="X706" s="294">
        <f>ROUND($E706*P706/100,0)</f>
        <v>0</v>
      </c>
      <c r="Y706" s="346"/>
      <c r="Z706" s="294">
        <f>ROUND($E706*R706/100,0)</f>
        <v>0</v>
      </c>
    </row>
    <row r="707" spans="2:29">
      <c r="B707" s="317" t="s">
        <v>1078</v>
      </c>
      <c r="D707" s="357">
        <f>'[7]Table 2'!J18</f>
        <v>716029</v>
      </c>
      <c r="E707" s="357">
        <v>0</v>
      </c>
      <c r="I707" s="358">
        <f>'[7]Table 3'!F18</f>
        <v>57893</v>
      </c>
      <c r="J707" s="358">
        <v>0</v>
      </c>
      <c r="Z707" s="358">
        <v>0</v>
      </c>
    </row>
    <row r="708" spans="2:29">
      <c r="B708" s="317" t="s">
        <v>1079</v>
      </c>
      <c r="G708" s="338">
        <v>-3.61E-2</v>
      </c>
      <c r="H708" s="339"/>
      <c r="I708" s="294">
        <f>SUM(I701:I702,I704:I706)*$G708</f>
        <v>-300432.79180000001</v>
      </c>
      <c r="J708" s="294">
        <f>SUM(J701:J702,J704:J706)*$G708</f>
        <v>-362439.7402</v>
      </c>
      <c r="L708" s="338"/>
      <c r="M708" s="339"/>
      <c r="N708" s="338"/>
      <c r="O708" s="339"/>
      <c r="P708" s="359" t="str">
        <f>$P$43</f>
        <v>Tax Year 1</v>
      </c>
      <c r="Q708" s="339"/>
      <c r="R708" s="338">
        <f>$R$687</f>
        <v>-2.4199999999999999E-2</v>
      </c>
      <c r="S708" s="339"/>
      <c r="Z708" s="294">
        <f>R708*SUM(Z697:Z700,Z706)</f>
        <v>-248607.9552</v>
      </c>
    </row>
    <row r="709" spans="2:29">
      <c r="B709" s="317"/>
      <c r="G709" s="338"/>
      <c r="H709" s="339"/>
      <c r="L709" s="338"/>
      <c r="M709" s="339"/>
      <c r="N709" s="338"/>
      <c r="O709" s="339"/>
      <c r="P709" s="359" t="str">
        <f>$P$44</f>
        <v>Tax Year 2</v>
      </c>
      <c r="Q709" s="339"/>
      <c r="R709" s="338">
        <f>$R$688</f>
        <v>-1.21E-2</v>
      </c>
      <c r="S709" s="339"/>
      <c r="Z709" s="294">
        <f>R709*SUM(Z697:Z700,Z706)</f>
        <v>-124303.9776</v>
      </c>
    </row>
    <row r="710" spans="2:29">
      <c r="B710" s="353" t="s">
        <v>1082</v>
      </c>
      <c r="D710" s="293">
        <f>'[7]6'!AD25</f>
        <v>0</v>
      </c>
      <c r="E710" s="293">
        <f>ROUND(D710/(D711-D707)*E711,0)</f>
        <v>0</v>
      </c>
      <c r="G710" s="338"/>
      <c r="H710" s="339"/>
      <c r="L710" s="338"/>
      <c r="M710" s="339"/>
      <c r="N710" s="338"/>
      <c r="O710" s="339"/>
      <c r="P710" s="338"/>
      <c r="Q710" s="339"/>
      <c r="R710" s="338"/>
      <c r="S710" s="339"/>
    </row>
    <row r="711" spans="2:29" ht="16.5" thickBot="1">
      <c r="B711" s="317" t="s">
        <v>937</v>
      </c>
      <c r="D711" s="381">
        <f>SUM(D704:D706,D707,D710)</f>
        <v>126930300.88623118</v>
      </c>
      <c r="E711" s="381">
        <f>[7]Energy!P10</f>
        <v>152445227.03459719</v>
      </c>
      <c r="G711" s="368"/>
      <c r="I711" s="369">
        <f>SUM(I693:I708)</f>
        <v>9460722.2082000002</v>
      </c>
      <c r="J711" s="369">
        <f>SUM(J693:J708)</f>
        <v>11307815.2598</v>
      </c>
      <c r="L711" s="368"/>
      <c r="N711" s="368"/>
      <c r="P711" s="368"/>
      <c r="R711" s="368"/>
      <c r="T711" s="369">
        <f>SUM(T693:T707)</f>
        <v>1904300</v>
      </c>
      <c r="V711" s="369">
        <f>SUM(V693:V707)</f>
        <v>6802898</v>
      </c>
      <c r="X711" s="369">
        <f>SUM(X693:X707)</f>
        <v>3225206</v>
      </c>
      <c r="Z711" s="369">
        <f>SUM(Z693:Z707)</f>
        <v>11932403</v>
      </c>
      <c r="AB711" s="305" t="s">
        <v>939</v>
      </c>
      <c r="AC711" s="304">
        <f>Z711/J711-1</f>
        <v>5.5235049905745237E-2</v>
      </c>
    </row>
    <row r="712" spans="2:29" ht="16.5" thickTop="1"/>
    <row r="713" spans="2:29">
      <c r="B713" s="314" t="s">
        <v>960</v>
      </c>
    </row>
    <row r="714" spans="2:29">
      <c r="B714" s="317" t="s">
        <v>1089</v>
      </c>
      <c r="D714" s="293">
        <f>'[7]6'!H23</f>
        <v>142578.73333333369</v>
      </c>
      <c r="E714" s="293">
        <f>[7]Bill!P31</f>
        <v>141468</v>
      </c>
      <c r="G714" s="339">
        <v>54</v>
      </c>
      <c r="H714" s="339"/>
      <c r="I714" s="294">
        <f t="shared" ref="I714:J724" si="435">ROUND($G714*D714,0)</f>
        <v>7699252</v>
      </c>
      <c r="J714" s="294">
        <f t="shared" si="435"/>
        <v>7639272</v>
      </c>
      <c r="L714" s="339">
        <f t="shared" ref="L714:L721" si="436">L672</f>
        <v>55</v>
      </c>
      <c r="M714" s="339"/>
      <c r="N714" s="339">
        <f t="shared" ref="N714:N721" si="437">N672</f>
        <v>0</v>
      </c>
      <c r="O714" s="339"/>
      <c r="P714" s="339">
        <f t="shared" ref="P714:P721" si="438">P672</f>
        <v>0</v>
      </c>
      <c r="Q714" s="339"/>
      <c r="R714" s="339">
        <f t="shared" ref="R714:R721" si="439">R672</f>
        <v>55</v>
      </c>
      <c r="S714" s="339"/>
      <c r="T714" s="294">
        <f>ROUND($E714*L714,0)</f>
        <v>7780740</v>
      </c>
      <c r="U714" s="319"/>
      <c r="V714" s="294">
        <f>ROUND($E714*N714,0)</f>
        <v>0</v>
      </c>
      <c r="W714" s="319"/>
      <c r="X714" s="294">
        <f>ROUND($E714*P714,0)</f>
        <v>0</v>
      </c>
      <c r="Z714" s="294">
        <f>ROUND($E714*R714,0)</f>
        <v>7780740</v>
      </c>
    </row>
    <row r="715" spans="2:29">
      <c r="B715" s="317" t="s">
        <v>1099</v>
      </c>
      <c r="D715" s="293">
        <v>0</v>
      </c>
      <c r="E715" s="293">
        <f>ROUND(D715/D714*E714,0)</f>
        <v>0</v>
      </c>
      <c r="G715" s="339">
        <v>648</v>
      </c>
      <c r="H715" s="339"/>
      <c r="I715" s="294">
        <f t="shared" si="435"/>
        <v>0</v>
      </c>
      <c r="J715" s="294">
        <f t="shared" si="435"/>
        <v>0</v>
      </c>
      <c r="L715" s="339">
        <f t="shared" si="436"/>
        <v>660</v>
      </c>
      <c r="M715" s="339"/>
      <c r="N715" s="339">
        <f t="shared" si="437"/>
        <v>0</v>
      </c>
      <c r="O715" s="339"/>
      <c r="P715" s="339">
        <f t="shared" si="438"/>
        <v>0</v>
      </c>
      <c r="Q715" s="339"/>
      <c r="R715" s="339">
        <f t="shared" si="439"/>
        <v>660</v>
      </c>
      <c r="S715" s="339"/>
      <c r="T715" s="294">
        <f t="shared" ref="T715:T719" si="440">ROUND($E715*L715,0)</f>
        <v>0</v>
      </c>
      <c r="U715" s="319"/>
      <c r="V715" s="294">
        <f t="shared" ref="V715:V719" si="441">ROUND($E715*N715,0)</f>
        <v>0</v>
      </c>
      <c r="W715" s="319"/>
      <c r="X715" s="294">
        <f t="shared" ref="X715:X719" si="442">ROUND($E715*P715,0)</f>
        <v>0</v>
      </c>
      <c r="Z715" s="294">
        <f t="shared" ref="Z715:Z719" si="443">ROUND($E715*R715,0)</f>
        <v>0</v>
      </c>
    </row>
    <row r="716" spans="2:29">
      <c r="B716" s="317" t="s">
        <v>1100</v>
      </c>
      <c r="D716" s="293">
        <f>'[7]6'!AB23</f>
        <v>13.633333333333301</v>
      </c>
      <c r="E716" s="293">
        <f>ROUND(D716/D714*E714,0)</f>
        <v>14</v>
      </c>
      <c r="G716" s="339">
        <v>54</v>
      </c>
      <c r="H716" s="339"/>
      <c r="I716" s="294">
        <f t="shared" si="435"/>
        <v>736</v>
      </c>
      <c r="J716" s="294">
        <f t="shared" si="435"/>
        <v>756</v>
      </c>
      <c r="L716" s="339">
        <f t="shared" si="436"/>
        <v>55</v>
      </c>
      <c r="M716" s="339"/>
      <c r="N716" s="339">
        <f t="shared" si="437"/>
        <v>0</v>
      </c>
      <c r="O716" s="339"/>
      <c r="P716" s="339">
        <f t="shared" si="438"/>
        <v>0</v>
      </c>
      <c r="Q716" s="339"/>
      <c r="R716" s="339">
        <f t="shared" si="439"/>
        <v>55</v>
      </c>
      <c r="S716" s="339"/>
      <c r="T716" s="294">
        <f t="shared" si="440"/>
        <v>770</v>
      </c>
      <c r="V716" s="294">
        <f t="shared" si="441"/>
        <v>0</v>
      </c>
      <c r="X716" s="294">
        <f t="shared" si="442"/>
        <v>0</v>
      </c>
      <c r="Z716" s="294">
        <f t="shared" si="443"/>
        <v>770</v>
      </c>
    </row>
    <row r="717" spans="2:29">
      <c r="B717" s="317" t="s">
        <v>1101</v>
      </c>
      <c r="D717" s="293">
        <f>'[7]6'!J23</f>
        <v>14000970.475247549</v>
      </c>
      <c r="E717" s="293">
        <f>ROUND(D717/D732*E732,0)</f>
        <v>13285763</v>
      </c>
      <c r="G717" s="339">
        <v>4.04</v>
      </c>
      <c r="H717" s="339"/>
      <c r="I717" s="294">
        <f>ROUND($G717*D717,0)</f>
        <v>56563921</v>
      </c>
      <c r="J717" s="294">
        <f>ROUND($G717*E717,0)</f>
        <v>53674483</v>
      </c>
      <c r="L717" s="339">
        <f t="shared" si="436"/>
        <v>4.1100000000000003</v>
      </c>
      <c r="M717" s="339"/>
      <c r="N717" s="339">
        <f t="shared" si="437"/>
        <v>0</v>
      </c>
      <c r="O717" s="339"/>
      <c r="P717" s="339">
        <f t="shared" si="438"/>
        <v>0</v>
      </c>
      <c r="Q717" s="339"/>
      <c r="R717" s="339">
        <f t="shared" si="439"/>
        <v>4.1100000000000003</v>
      </c>
      <c r="S717" s="339"/>
      <c r="T717" s="294">
        <f t="shared" si="440"/>
        <v>54604486</v>
      </c>
      <c r="U717" s="319"/>
      <c r="V717" s="294">
        <f t="shared" si="441"/>
        <v>0</v>
      </c>
      <c r="W717" s="319"/>
      <c r="X717" s="294">
        <f t="shared" si="442"/>
        <v>0</v>
      </c>
      <c r="Z717" s="294">
        <f t="shared" si="443"/>
        <v>54604486</v>
      </c>
    </row>
    <row r="718" spans="2:29">
      <c r="B718" s="317" t="s">
        <v>1102</v>
      </c>
      <c r="D718" s="293">
        <f>'[7]6'!L23</f>
        <v>6424044.8932969086</v>
      </c>
      <c r="E718" s="293">
        <f>ROUND(D718/D720*E720,0)</f>
        <v>6183861</v>
      </c>
      <c r="G718" s="339"/>
      <c r="H718" s="339"/>
      <c r="L718" s="339">
        <f t="shared" si="436"/>
        <v>0.73</v>
      </c>
      <c r="M718" s="339"/>
      <c r="N718" s="339">
        <f t="shared" si="437"/>
        <v>12.959999999999999</v>
      </c>
      <c r="O718" s="339"/>
      <c r="P718" s="339">
        <f t="shared" si="438"/>
        <v>0</v>
      </c>
      <c r="Q718" s="339"/>
      <c r="R718" s="339">
        <f t="shared" si="439"/>
        <v>13.69</v>
      </c>
      <c r="S718" s="339"/>
      <c r="T718" s="294">
        <f t="shared" si="440"/>
        <v>4514219</v>
      </c>
      <c r="V718" s="294">
        <f t="shared" si="441"/>
        <v>80142839</v>
      </c>
      <c r="X718" s="294">
        <f t="shared" si="442"/>
        <v>0</v>
      </c>
      <c r="Z718" s="294">
        <f t="shared" si="443"/>
        <v>84657057</v>
      </c>
    </row>
    <row r="719" spans="2:29">
      <c r="B719" s="317" t="s">
        <v>1103</v>
      </c>
      <c r="D719" s="293">
        <f>'[7]6'!M23</f>
        <v>7576925.8441796647</v>
      </c>
      <c r="E719" s="293">
        <f>ROUND(D719/D721*E721,0)</f>
        <v>7190357</v>
      </c>
      <c r="G719" s="339"/>
      <c r="H719" s="339"/>
      <c r="L719" s="339">
        <f t="shared" si="436"/>
        <v>0.64</v>
      </c>
      <c r="M719" s="339"/>
      <c r="N719" s="339">
        <f t="shared" si="437"/>
        <v>11.479999999999999</v>
      </c>
      <c r="O719" s="339"/>
      <c r="P719" s="339">
        <f t="shared" si="438"/>
        <v>0</v>
      </c>
      <c r="Q719" s="339"/>
      <c r="R719" s="339">
        <f t="shared" si="439"/>
        <v>12.12</v>
      </c>
      <c r="S719" s="339"/>
      <c r="T719" s="294">
        <f t="shared" si="440"/>
        <v>4601828</v>
      </c>
      <c r="V719" s="294">
        <f t="shared" si="441"/>
        <v>82545298</v>
      </c>
      <c r="X719" s="294">
        <f t="shared" si="442"/>
        <v>0</v>
      </c>
      <c r="Z719" s="294">
        <f t="shared" si="443"/>
        <v>87147127</v>
      </c>
    </row>
    <row r="720" spans="2:29">
      <c r="B720" s="317" t="s">
        <v>1104</v>
      </c>
      <c r="D720" s="293">
        <f>'[7]6'!P23+'[7]6'!U23+[7]TempRevMay!C333-[7]TempRevMay!M333-[7]TempRevMay!W333+'[7]6-may'!P23+'[7]6-may'!U23</f>
        <v>1838806321.3440943</v>
      </c>
      <c r="E720" s="293">
        <f>E732-SUM(E721,E727:E731)</f>
        <v>1770056466.9150953</v>
      </c>
      <c r="G720" s="377"/>
      <c r="H720" s="343"/>
      <c r="L720" s="377">
        <f t="shared" si="436"/>
        <v>0</v>
      </c>
      <c r="M720" s="343" t="s">
        <v>1062</v>
      </c>
      <c r="N720" s="377">
        <f t="shared" si="437"/>
        <v>1.7162999999999999</v>
      </c>
      <c r="O720" s="343" t="s">
        <v>1062</v>
      </c>
      <c r="P720" s="377">
        <f t="shared" si="438"/>
        <v>2.279911334706</v>
      </c>
      <c r="Q720" s="343" t="s">
        <v>1062</v>
      </c>
      <c r="R720" s="377">
        <f t="shared" si="439"/>
        <v>3.996211334706</v>
      </c>
      <c r="S720" s="343" t="s">
        <v>1062</v>
      </c>
      <c r="T720" s="294">
        <f>ROUND($E720*L720/100,0)</f>
        <v>0</v>
      </c>
      <c r="U720" s="346"/>
      <c r="V720" s="294">
        <f>ROUND($E720*N720/100,0)</f>
        <v>30379479</v>
      </c>
      <c r="W720" s="346"/>
      <c r="X720" s="294">
        <f>ROUND($E720*P720/100,0)</f>
        <v>40355718</v>
      </c>
      <c r="Y720" s="346"/>
      <c r="Z720" s="294">
        <f>ROUND($E720*R720/100,0)</f>
        <v>70735197</v>
      </c>
    </row>
    <row r="721" spans="2:29">
      <c r="B721" s="317" t="s">
        <v>1105</v>
      </c>
      <c r="D721" s="293">
        <f>'[7]6'!Q23+'[7]6'!V23+[7]TempRevMay!C334-[7]TempRevMay!M334-[7]TempRevMay!W334+'[7]6-may'!Q23+'[7]6-may'!V23</f>
        <v>3207450115.5028152</v>
      </c>
      <c r="E721" s="293">
        <f>ROUND([7]Energy!T31*(1-(E727+E731)/[7]Energy!P31),0)</f>
        <v>3043808629</v>
      </c>
      <c r="G721" s="377"/>
      <c r="H721" s="343"/>
      <c r="L721" s="377">
        <f t="shared" si="436"/>
        <v>0</v>
      </c>
      <c r="M721" s="343" t="s">
        <v>1062</v>
      </c>
      <c r="N721" s="377">
        <f t="shared" si="437"/>
        <v>1.5188999999999999</v>
      </c>
      <c r="O721" s="343" t="s">
        <v>1062</v>
      </c>
      <c r="P721" s="377">
        <f t="shared" si="438"/>
        <v>2.0175702077039999</v>
      </c>
      <c r="Q721" s="343" t="s">
        <v>1062</v>
      </c>
      <c r="R721" s="377">
        <f t="shared" si="439"/>
        <v>3.5364702077039998</v>
      </c>
      <c r="S721" s="343" t="s">
        <v>1062</v>
      </c>
      <c r="T721" s="294">
        <f>ROUND($E721*L721/100,0)</f>
        <v>0</v>
      </c>
      <c r="U721" s="346"/>
      <c r="V721" s="294">
        <f>ROUND($E721*N721/100,0)</f>
        <v>46232409</v>
      </c>
      <c r="W721" s="346"/>
      <c r="X721" s="294">
        <f>ROUND($E721*P721/100,0)</f>
        <v>61410976</v>
      </c>
      <c r="Y721" s="346"/>
      <c r="Z721" s="294">
        <f>ROUND($E721*R721/100,0)</f>
        <v>107643385</v>
      </c>
    </row>
    <row r="722" spans="2:29">
      <c r="B722" s="317" t="s">
        <v>1106</v>
      </c>
      <c r="D722" s="293">
        <f>'[7]6'!L23</f>
        <v>6424044.8932969086</v>
      </c>
      <c r="E722" s="293">
        <f>ROUND(D722/D732*E732,0)</f>
        <v>6095887</v>
      </c>
      <c r="G722" s="339">
        <v>14.62</v>
      </c>
      <c r="H722" s="339"/>
      <c r="I722" s="294">
        <f t="shared" si="435"/>
        <v>93919536</v>
      </c>
      <c r="J722" s="294">
        <f t="shared" si="435"/>
        <v>89121868</v>
      </c>
      <c r="L722" s="339"/>
      <c r="M722" s="339"/>
      <c r="N722" s="339"/>
      <c r="O722" s="339"/>
      <c r="P722" s="339"/>
      <c r="Q722" s="339"/>
      <c r="R722" s="339"/>
      <c r="S722" s="339"/>
      <c r="U722" s="319"/>
      <c r="W722" s="319"/>
    </row>
    <row r="723" spans="2:29">
      <c r="B723" s="317" t="s">
        <v>1107</v>
      </c>
      <c r="D723" s="293">
        <f>'[7]6'!M23</f>
        <v>7576925.8441796647</v>
      </c>
      <c r="E723" s="293">
        <f>ROUND(D723/D732*E732,0)</f>
        <v>7189876</v>
      </c>
      <c r="G723" s="339">
        <v>10.91</v>
      </c>
      <c r="H723" s="339"/>
      <c r="I723" s="294">
        <f t="shared" si="435"/>
        <v>82664261</v>
      </c>
      <c r="J723" s="294">
        <f t="shared" si="435"/>
        <v>78441547</v>
      </c>
      <c r="L723" s="339"/>
      <c r="M723" s="339"/>
      <c r="N723" s="339"/>
      <c r="O723" s="339"/>
      <c r="P723" s="339"/>
      <c r="Q723" s="339"/>
      <c r="R723" s="339"/>
      <c r="S723" s="339"/>
      <c r="U723" s="319"/>
      <c r="W723" s="319"/>
    </row>
    <row r="724" spans="2:29">
      <c r="B724" s="317" t="s">
        <v>1098</v>
      </c>
      <c r="D724" s="293">
        <f>'[7]6'!N23</f>
        <v>345279.625</v>
      </c>
      <c r="E724" s="293">
        <f>ROUND(D724/D732*E732,0)</f>
        <v>327642</v>
      </c>
      <c r="G724" s="339">
        <v>-0.96</v>
      </c>
      <c r="H724" s="339"/>
      <c r="I724" s="294">
        <f t="shared" si="435"/>
        <v>-331468</v>
      </c>
      <c r="J724" s="294">
        <f t="shared" si="435"/>
        <v>-314536</v>
      </c>
      <c r="L724" s="339">
        <f>L682</f>
        <v>-0.96</v>
      </c>
      <c r="M724" s="339"/>
      <c r="N724" s="339">
        <f>N682</f>
        <v>0</v>
      </c>
      <c r="O724" s="339"/>
      <c r="P724" s="339">
        <f>P682</f>
        <v>0</v>
      </c>
      <c r="Q724" s="339"/>
      <c r="R724" s="339">
        <f>R682</f>
        <v>-0.96</v>
      </c>
      <c r="S724" s="339"/>
      <c r="T724" s="294">
        <f t="shared" ref="T724" si="444">ROUND($E724*L724,0)</f>
        <v>-314536</v>
      </c>
      <c r="U724" s="319"/>
      <c r="V724" s="294">
        <f t="shared" ref="V724" si="445">ROUND($E724*N724,0)</f>
        <v>0</v>
      </c>
      <c r="W724" s="319"/>
      <c r="X724" s="294">
        <f t="shared" ref="X724" si="446">ROUND($E724*P724,0)</f>
        <v>0</v>
      </c>
      <c r="Z724" s="294">
        <f t="shared" ref="Z724" si="447">ROUND($E724*R724,0)</f>
        <v>-314536</v>
      </c>
    </row>
    <row r="725" spans="2:29">
      <c r="B725" s="317" t="s">
        <v>1108</v>
      </c>
      <c r="D725" s="293">
        <f>'[7]6'!P23+'[7]6'!U23+[7]TempRev!C333-[7]TempRev!M333-[7]TempRev!W333</f>
        <v>2260772296.4056034</v>
      </c>
      <c r="E725" s="293">
        <f>E732-SUM(E726:E731)</f>
        <v>2177285937.9150953</v>
      </c>
      <c r="G725" s="377">
        <v>3.8127</v>
      </c>
      <c r="H725" s="343" t="s">
        <v>1062</v>
      </c>
      <c r="I725" s="294">
        <f t="shared" ref="I725:J727" si="448">ROUND($G725*D725/100,0)</f>
        <v>86196465</v>
      </c>
      <c r="J725" s="294">
        <f t="shared" si="448"/>
        <v>83013381</v>
      </c>
      <c r="L725" s="377"/>
      <c r="M725" s="343"/>
      <c r="N725" s="377"/>
      <c r="O725" s="343"/>
      <c r="P725" s="377"/>
      <c r="Q725" s="343"/>
      <c r="R725" s="377"/>
      <c r="S725" s="343"/>
      <c r="U725" s="346"/>
      <c r="W725" s="346"/>
      <c r="Y725" s="346"/>
    </row>
    <row r="726" spans="2:29">
      <c r="B726" s="317" t="s">
        <v>1109</v>
      </c>
      <c r="D726" s="293">
        <f>'[7]6'!Q23+'[7]6'!V23+[7]TempRev!C334-[7]TempRev!M334-[7]TempRev!W334</f>
        <v>2785484140.4413061</v>
      </c>
      <c r="E726" s="293">
        <f>ROUND([7]Energy!R31*(1-(E727+E731)/[7]Energy!P31),0)</f>
        <v>2636579158</v>
      </c>
      <c r="G726" s="377">
        <v>3.5143</v>
      </c>
      <c r="H726" s="343" t="s">
        <v>1062</v>
      </c>
      <c r="I726" s="294">
        <f t="shared" si="448"/>
        <v>97890269</v>
      </c>
      <c r="J726" s="294">
        <f t="shared" si="448"/>
        <v>92657301</v>
      </c>
      <c r="L726" s="377"/>
      <c r="M726" s="343"/>
      <c r="N726" s="377"/>
      <c r="O726" s="343"/>
      <c r="P726" s="377"/>
      <c r="Q726" s="343"/>
      <c r="R726" s="377"/>
      <c r="S726" s="343"/>
      <c r="U726" s="346"/>
      <c r="W726" s="346"/>
      <c r="Y726" s="346"/>
    </row>
    <row r="727" spans="2:29">
      <c r="B727" s="353" t="s">
        <v>1077</v>
      </c>
      <c r="D727" s="293">
        <f>'[7]6'!S23</f>
        <v>2064493</v>
      </c>
      <c r="E727" s="293">
        <f>ROUND(D727/(D732-D728)*E732,0)</f>
        <v>1969419</v>
      </c>
      <c r="G727" s="377">
        <v>7.125</v>
      </c>
      <c r="H727" s="343" t="s">
        <v>1062</v>
      </c>
      <c r="I727" s="294">
        <f t="shared" si="448"/>
        <v>147095</v>
      </c>
      <c r="J727" s="294">
        <f t="shared" si="448"/>
        <v>140321</v>
      </c>
      <c r="L727" s="377">
        <f>L685</f>
        <v>0</v>
      </c>
      <c r="M727" s="343" t="s">
        <v>1062</v>
      </c>
      <c r="N727" s="377">
        <f>N685</f>
        <v>7.125</v>
      </c>
      <c r="O727" s="343" t="s">
        <v>1062</v>
      </c>
      <c r="P727" s="377">
        <f>P685</f>
        <v>0</v>
      </c>
      <c r="Q727" s="343" t="s">
        <v>1062</v>
      </c>
      <c r="R727" s="377">
        <f>R685</f>
        <v>7.125</v>
      </c>
      <c r="S727" s="343" t="s">
        <v>1062</v>
      </c>
      <c r="T727" s="294">
        <f>ROUND($E727*L727/100,0)</f>
        <v>0</v>
      </c>
      <c r="U727" s="346"/>
      <c r="V727" s="294">
        <f>ROUND($E727*N727/100,0)</f>
        <v>140321</v>
      </c>
      <c r="W727" s="346"/>
      <c r="X727" s="294">
        <f>ROUND($E727*P727/100,0)</f>
        <v>0</v>
      </c>
      <c r="Y727" s="346"/>
      <c r="Z727" s="294">
        <f>ROUND($E727*R727/100,0)</f>
        <v>140321</v>
      </c>
    </row>
    <row r="728" spans="2:29">
      <c r="B728" s="317" t="s">
        <v>1078</v>
      </c>
      <c r="D728" s="357">
        <f>'[7]Table 2'!J45</f>
        <v>26762696</v>
      </c>
      <c r="E728" s="357">
        <v>0</v>
      </c>
      <c r="I728" s="358">
        <f>'[7]Table 3'!F45</f>
        <v>2430886</v>
      </c>
      <c r="J728" s="358">
        <v>0</v>
      </c>
      <c r="Z728" s="358"/>
    </row>
    <row r="729" spans="2:29">
      <c r="B729" s="317" t="s">
        <v>1079</v>
      </c>
      <c r="G729" s="338">
        <v>-3.61E-2</v>
      </c>
      <c r="H729" s="339"/>
      <c r="I729" s="294">
        <f>SUM(I722:I723,I725:I727)*$G729</f>
        <v>-13025516.298599999</v>
      </c>
      <c r="J729" s="294">
        <f>SUM(J722:J723,J725:J727)*$G729</f>
        <v>-12395816.489800001</v>
      </c>
      <c r="L729" s="338"/>
      <c r="M729" s="339"/>
      <c r="N729" s="338"/>
      <c r="O729" s="339"/>
      <c r="P729" s="359" t="str">
        <f>$P$43</f>
        <v>Tax Year 1</v>
      </c>
      <c r="Q729" s="339"/>
      <c r="R729" s="338">
        <f>$R$687</f>
        <v>-2.4199999999999999E-2</v>
      </c>
      <c r="S729" s="339"/>
      <c r="Z729" s="294">
        <f>R729*SUM(Z718:Z721,Z727)</f>
        <v>-8477818.7053999994</v>
      </c>
    </row>
    <row r="730" spans="2:29">
      <c r="B730" s="317"/>
      <c r="G730" s="338"/>
      <c r="H730" s="339"/>
      <c r="L730" s="338"/>
      <c r="M730" s="339"/>
      <c r="N730" s="338"/>
      <c r="O730" s="339"/>
      <c r="P730" s="359" t="str">
        <f>$P$44</f>
        <v>Tax Year 2</v>
      </c>
      <c r="Q730" s="339"/>
      <c r="R730" s="338">
        <f>$R$688</f>
        <v>-1.21E-2</v>
      </c>
      <c r="S730" s="339"/>
      <c r="Z730" s="294">
        <f>R730*SUM(Z718:Z721,Z727)</f>
        <v>-4238909.3526999997</v>
      </c>
    </row>
    <row r="731" spans="2:29">
      <c r="B731" s="353" t="s">
        <v>1082</v>
      </c>
      <c r="D731" s="293">
        <f>'[7]6'!AD23</f>
        <v>26720</v>
      </c>
      <c r="E731" s="293">
        <f>ROUND(D731/(D732-D728)*E732,0)</f>
        <v>25489</v>
      </c>
      <c r="G731" s="338"/>
      <c r="H731" s="339"/>
      <c r="L731" s="338"/>
      <c r="M731" s="339"/>
      <c r="N731" s="338"/>
      <c r="O731" s="339"/>
      <c r="P731" s="338"/>
      <c r="Q731" s="339"/>
      <c r="R731" s="338"/>
      <c r="S731" s="339"/>
    </row>
    <row r="732" spans="2:29" ht="16.5" thickBot="1">
      <c r="B732" s="317" t="s">
        <v>937</v>
      </c>
      <c r="D732" s="381">
        <f>SUM(D725:D727,D728,D731)</f>
        <v>5075110345.8469095</v>
      </c>
      <c r="E732" s="381">
        <f>[7]Energy!P31</f>
        <v>4815860003.9150953</v>
      </c>
      <c r="G732" s="368"/>
      <c r="I732" s="369">
        <f>SUM(I714:I729)</f>
        <v>414155436.70139998</v>
      </c>
      <c r="J732" s="369">
        <f>SUM(J714:J729)</f>
        <v>391978576.51020002</v>
      </c>
      <c r="L732" s="368"/>
      <c r="N732" s="368"/>
      <c r="P732" s="368"/>
      <c r="R732" s="368"/>
      <c r="T732" s="369">
        <f>SUM(T714:T728)</f>
        <v>71187507</v>
      </c>
      <c r="V732" s="369">
        <f>SUM(V714:V728)</f>
        <v>239440346</v>
      </c>
      <c r="X732" s="369">
        <f>SUM(X714:X728)</f>
        <v>101766694</v>
      </c>
      <c r="Z732" s="369">
        <f>SUM(Z714:Z728)</f>
        <v>412394547</v>
      </c>
      <c r="AB732" s="305" t="s">
        <v>939</v>
      </c>
      <c r="AC732" s="304">
        <f>Z732/J732-1</f>
        <v>5.2084403876263119E-2</v>
      </c>
    </row>
    <row r="733" spans="2:29" ht="16.5" thickTop="1"/>
    <row r="734" spans="2:29">
      <c r="B734" s="314" t="s">
        <v>961</v>
      </c>
    </row>
    <row r="735" spans="2:29">
      <c r="B735" s="317" t="s">
        <v>1089</v>
      </c>
      <c r="D735" s="293">
        <f>'[7]6'!H24</f>
        <v>11768.5666666667</v>
      </c>
      <c r="E735" s="293">
        <f>[7]Bill!P56</f>
        <v>11868</v>
      </c>
      <c r="G735" s="339">
        <v>54</v>
      </c>
      <c r="H735" s="339"/>
      <c r="I735" s="294">
        <f t="shared" ref="I735:J745" si="449">ROUND($G735*D735,0)</f>
        <v>635503</v>
      </c>
      <c r="J735" s="294">
        <f t="shared" si="449"/>
        <v>640872</v>
      </c>
      <c r="L735" s="339">
        <f t="shared" ref="L735:L742" si="450">L672</f>
        <v>55</v>
      </c>
      <c r="M735" s="339"/>
      <c r="N735" s="339">
        <f t="shared" ref="N735:N742" si="451">N672</f>
        <v>0</v>
      </c>
      <c r="O735" s="339"/>
      <c r="P735" s="339">
        <f t="shared" ref="P735:P742" si="452">P672</f>
        <v>0</v>
      </c>
      <c r="Q735" s="339"/>
      <c r="R735" s="339">
        <f t="shared" ref="R735:R742" si="453">R672</f>
        <v>55</v>
      </c>
      <c r="S735" s="339"/>
      <c r="T735" s="294">
        <f>ROUND($E735*L735,0)</f>
        <v>652740</v>
      </c>
      <c r="U735" s="319"/>
      <c r="V735" s="294">
        <f>ROUND($E735*N735,0)</f>
        <v>0</v>
      </c>
      <c r="W735" s="319"/>
      <c r="X735" s="294">
        <f>ROUND($E735*P735,0)</f>
        <v>0</v>
      </c>
      <c r="Z735" s="294">
        <f>ROUND($E735*R735,0)</f>
        <v>652740</v>
      </c>
    </row>
    <row r="736" spans="2:29">
      <c r="B736" s="317" t="s">
        <v>1099</v>
      </c>
      <c r="D736" s="293">
        <v>0</v>
      </c>
      <c r="E736" s="293">
        <f>ROUND(D736/D735*E735,0)</f>
        <v>0</v>
      </c>
      <c r="G736" s="339">
        <v>648</v>
      </c>
      <c r="H736" s="339"/>
      <c r="I736" s="294">
        <f t="shared" si="449"/>
        <v>0</v>
      </c>
      <c r="J736" s="294">
        <f t="shared" si="449"/>
        <v>0</v>
      </c>
      <c r="L736" s="339">
        <f t="shared" si="450"/>
        <v>660</v>
      </c>
      <c r="M736" s="339"/>
      <c r="N736" s="339">
        <f t="shared" si="451"/>
        <v>0</v>
      </c>
      <c r="O736" s="339"/>
      <c r="P736" s="339">
        <f t="shared" si="452"/>
        <v>0</v>
      </c>
      <c r="Q736" s="339"/>
      <c r="R736" s="339">
        <f t="shared" si="453"/>
        <v>660</v>
      </c>
      <c r="S736" s="339"/>
      <c r="T736" s="294">
        <f t="shared" ref="T736:T740" si="454">ROUND($E736*L736,0)</f>
        <v>0</v>
      </c>
      <c r="U736" s="319"/>
      <c r="V736" s="294">
        <f t="shared" ref="V736:V740" si="455">ROUND($E736*N736,0)</f>
        <v>0</v>
      </c>
      <c r="W736" s="319"/>
      <c r="X736" s="294">
        <f t="shared" ref="X736:X740" si="456">ROUND($E736*P736,0)</f>
        <v>0</v>
      </c>
      <c r="Z736" s="294">
        <f t="shared" ref="Z736:Z740" si="457">ROUND($E736*R736,0)</f>
        <v>0</v>
      </c>
    </row>
    <row r="737" spans="2:26">
      <c r="B737" s="317" t="s">
        <v>1100</v>
      </c>
      <c r="D737" s="293">
        <f>'[7]6'!AB24</f>
        <v>0</v>
      </c>
      <c r="E737" s="293">
        <f>ROUND(D737/D735*E735,0)</f>
        <v>0</v>
      </c>
      <c r="G737" s="339">
        <v>54</v>
      </c>
      <c r="H737" s="339"/>
      <c r="I737" s="294">
        <f t="shared" si="449"/>
        <v>0</v>
      </c>
      <c r="J737" s="294">
        <f t="shared" si="449"/>
        <v>0</v>
      </c>
      <c r="L737" s="339">
        <f t="shared" si="450"/>
        <v>55</v>
      </c>
      <c r="M737" s="339"/>
      <c r="N737" s="339">
        <f t="shared" si="451"/>
        <v>0</v>
      </c>
      <c r="O737" s="339"/>
      <c r="P737" s="339">
        <f t="shared" si="452"/>
        <v>0</v>
      </c>
      <c r="Q737" s="339"/>
      <c r="R737" s="339">
        <f t="shared" si="453"/>
        <v>55</v>
      </c>
      <c r="S737" s="339"/>
      <c r="T737" s="294">
        <f t="shared" si="454"/>
        <v>0</v>
      </c>
      <c r="V737" s="294">
        <f t="shared" si="455"/>
        <v>0</v>
      </c>
      <c r="X737" s="294">
        <f t="shared" si="456"/>
        <v>0</v>
      </c>
      <c r="Z737" s="294">
        <f t="shared" si="457"/>
        <v>0</v>
      </c>
    </row>
    <row r="738" spans="2:26">
      <c r="B738" s="317" t="s">
        <v>1101</v>
      </c>
      <c r="D738" s="293">
        <f>'[7]6'!J24</f>
        <v>1842106.54207921</v>
      </c>
      <c r="E738" s="293">
        <f>ROUND(D738/D753*E753,0)</f>
        <v>1931159</v>
      </c>
      <c r="G738" s="339">
        <v>4.04</v>
      </c>
      <c r="H738" s="339"/>
      <c r="I738" s="294">
        <f>ROUND($G738*D738,0)</f>
        <v>7442110</v>
      </c>
      <c r="J738" s="294">
        <f>ROUND($G738*E738,0)</f>
        <v>7801882</v>
      </c>
      <c r="L738" s="339">
        <f t="shared" si="450"/>
        <v>4.1100000000000003</v>
      </c>
      <c r="M738" s="339"/>
      <c r="N738" s="339">
        <f t="shared" si="451"/>
        <v>0</v>
      </c>
      <c r="O738" s="339"/>
      <c r="P738" s="339">
        <f t="shared" si="452"/>
        <v>0</v>
      </c>
      <c r="Q738" s="339"/>
      <c r="R738" s="339">
        <f t="shared" si="453"/>
        <v>4.1100000000000003</v>
      </c>
      <c r="S738" s="339"/>
      <c r="T738" s="294">
        <f t="shared" si="454"/>
        <v>7937063</v>
      </c>
      <c r="U738" s="319"/>
      <c r="V738" s="294">
        <f t="shared" si="455"/>
        <v>0</v>
      </c>
      <c r="W738" s="319"/>
      <c r="X738" s="294">
        <f t="shared" si="456"/>
        <v>0</v>
      </c>
      <c r="Z738" s="294">
        <f t="shared" si="457"/>
        <v>7937063</v>
      </c>
    </row>
    <row r="739" spans="2:26">
      <c r="B739" s="317" t="s">
        <v>1102</v>
      </c>
      <c r="D739" s="293">
        <f>'[7]6'!L24+'[7]6-may'!L24</f>
        <v>669369.13498703158</v>
      </c>
      <c r="E739" s="293">
        <f>ROUND(D739/D741*E741,0)</f>
        <v>706233</v>
      </c>
      <c r="G739" s="339"/>
      <c r="H739" s="339"/>
      <c r="L739" s="339">
        <f t="shared" si="450"/>
        <v>0.73</v>
      </c>
      <c r="M739" s="339"/>
      <c r="N739" s="339">
        <f t="shared" si="451"/>
        <v>12.959999999999999</v>
      </c>
      <c r="O739" s="339"/>
      <c r="P739" s="339">
        <f t="shared" si="452"/>
        <v>0</v>
      </c>
      <c r="Q739" s="339"/>
      <c r="R739" s="339">
        <f t="shared" si="453"/>
        <v>13.69</v>
      </c>
      <c r="S739" s="339"/>
      <c r="T739" s="294">
        <f t="shared" si="454"/>
        <v>515550</v>
      </c>
      <c r="V739" s="294">
        <f t="shared" si="455"/>
        <v>9152780</v>
      </c>
      <c r="X739" s="294">
        <f t="shared" si="456"/>
        <v>0</v>
      </c>
      <c r="Z739" s="294">
        <f t="shared" si="457"/>
        <v>9668330</v>
      </c>
    </row>
    <row r="740" spans="2:26">
      <c r="B740" s="317" t="s">
        <v>1103</v>
      </c>
      <c r="D740" s="293">
        <f>'[7]6'!M24+'[7]6-may'!M24</f>
        <v>1172737.4222823069</v>
      </c>
      <c r="E740" s="293">
        <f>ROUND(D740/D742*E742,0)</f>
        <v>1193154</v>
      </c>
      <c r="G740" s="339"/>
      <c r="H740" s="339"/>
      <c r="L740" s="339">
        <f t="shared" si="450"/>
        <v>0.64</v>
      </c>
      <c r="M740" s="339"/>
      <c r="N740" s="339">
        <f t="shared" si="451"/>
        <v>11.479999999999999</v>
      </c>
      <c r="O740" s="339"/>
      <c r="P740" s="339">
        <f t="shared" si="452"/>
        <v>0</v>
      </c>
      <c r="Q740" s="339"/>
      <c r="R740" s="339">
        <f t="shared" si="453"/>
        <v>12.12</v>
      </c>
      <c r="S740" s="339"/>
      <c r="T740" s="294">
        <f t="shared" si="454"/>
        <v>763619</v>
      </c>
      <c r="V740" s="294">
        <f t="shared" si="455"/>
        <v>13697408</v>
      </c>
      <c r="X740" s="294">
        <f t="shared" si="456"/>
        <v>0</v>
      </c>
      <c r="Z740" s="294">
        <f t="shared" si="457"/>
        <v>14461026</v>
      </c>
    </row>
    <row r="741" spans="2:26">
      <c r="B741" s="317" t="s">
        <v>1104</v>
      </c>
      <c r="D741" s="293">
        <f>'[7]6'!P24+'[7]6'!U24+'[7]6-may'!P24+'[7]6-may'!U24</f>
        <v>223782145.93719122</v>
      </c>
      <c r="E741" s="293">
        <f>E753-SUM(E742,E748:E752)</f>
        <v>236106536.23923564</v>
      </c>
      <c r="G741" s="377"/>
      <c r="H741" s="343"/>
      <c r="L741" s="377">
        <f t="shared" si="450"/>
        <v>0</v>
      </c>
      <c r="M741" s="343" t="s">
        <v>1062</v>
      </c>
      <c r="N741" s="377">
        <f t="shared" si="451"/>
        <v>1.7162999999999999</v>
      </c>
      <c r="O741" s="343" t="s">
        <v>1062</v>
      </c>
      <c r="P741" s="377">
        <f t="shared" si="452"/>
        <v>2.279911334706</v>
      </c>
      <c r="Q741" s="343" t="s">
        <v>1062</v>
      </c>
      <c r="R741" s="377">
        <f t="shared" si="453"/>
        <v>3.996211334706</v>
      </c>
      <c r="S741" s="343" t="s">
        <v>1062</v>
      </c>
      <c r="T741" s="294">
        <f>ROUND($E741*L741/100,0)</f>
        <v>0</v>
      </c>
      <c r="U741" s="346"/>
      <c r="V741" s="294">
        <f>ROUND($E741*N741/100,0)</f>
        <v>4052296</v>
      </c>
      <c r="W741" s="346"/>
      <c r="X741" s="294">
        <f>ROUND($E741*P741/100,0)</f>
        <v>5383020</v>
      </c>
      <c r="Y741" s="346"/>
      <c r="Z741" s="294">
        <f>ROUND($E741*R741/100,0)</f>
        <v>9435316</v>
      </c>
    </row>
    <row r="742" spans="2:26">
      <c r="B742" s="317" t="s">
        <v>1105</v>
      </c>
      <c r="D742" s="293">
        <f>'[7]6'!Q24+'[7]6'!V24+'[7]6-may'!Q24+'[7]6-may'!V24</f>
        <v>380863403.06280875</v>
      </c>
      <c r="E742" s="293">
        <f>ROUND([7]Energy!T56*(1-(E748+E752)/[7]Energy!P56),0)</f>
        <v>387493960</v>
      </c>
      <c r="G742" s="377"/>
      <c r="H742" s="343"/>
      <c r="L742" s="377">
        <f t="shared" si="450"/>
        <v>0</v>
      </c>
      <c r="M742" s="343" t="s">
        <v>1062</v>
      </c>
      <c r="N742" s="377">
        <f t="shared" si="451"/>
        <v>1.5188999999999999</v>
      </c>
      <c r="O742" s="343" t="s">
        <v>1062</v>
      </c>
      <c r="P742" s="377">
        <f t="shared" si="452"/>
        <v>2.0175702077039999</v>
      </c>
      <c r="Q742" s="343" t="s">
        <v>1062</v>
      </c>
      <c r="R742" s="377">
        <f t="shared" si="453"/>
        <v>3.5364702077039998</v>
      </c>
      <c r="S742" s="343" t="s">
        <v>1062</v>
      </c>
      <c r="T742" s="294">
        <f>ROUND($E742*L742/100,0)</f>
        <v>0</v>
      </c>
      <c r="U742" s="346"/>
      <c r="V742" s="294">
        <f>ROUND($E742*N742/100,0)</f>
        <v>5885646</v>
      </c>
      <c r="W742" s="346"/>
      <c r="X742" s="294">
        <f>ROUND($E742*P742/100,0)</f>
        <v>7817963</v>
      </c>
      <c r="Y742" s="346"/>
      <c r="Z742" s="294">
        <f>ROUND($E742*R742/100,0)</f>
        <v>13703608</v>
      </c>
    </row>
    <row r="743" spans="2:26">
      <c r="B743" s="317" t="s">
        <v>1106</v>
      </c>
      <c r="D743" s="293">
        <f>'[7]6'!L24</f>
        <v>821135.09439124481</v>
      </c>
      <c r="E743" s="293">
        <f>ROUND(D743/D753*E753,0)</f>
        <v>860831</v>
      </c>
      <c r="G743" s="339">
        <v>14.62</v>
      </c>
      <c r="H743" s="339"/>
      <c r="I743" s="294">
        <f t="shared" si="449"/>
        <v>12004995</v>
      </c>
      <c r="J743" s="294">
        <f t="shared" si="449"/>
        <v>12585349</v>
      </c>
      <c r="L743" s="339"/>
      <c r="M743" s="339"/>
      <c r="N743" s="339"/>
      <c r="O743" s="339"/>
      <c r="P743" s="339"/>
      <c r="Q743" s="339"/>
      <c r="R743" s="339"/>
      <c r="S743" s="339"/>
      <c r="U743" s="319"/>
      <c r="W743" s="319"/>
    </row>
    <row r="744" spans="2:26">
      <c r="B744" s="317" t="s">
        <v>1107</v>
      </c>
      <c r="D744" s="293">
        <f>'[7]6'!M24</f>
        <v>1020971.4628780936</v>
      </c>
      <c r="E744" s="293">
        <f>ROUND(D744/D753*E753,0)</f>
        <v>1070328</v>
      </c>
      <c r="G744" s="339">
        <v>10.91</v>
      </c>
      <c r="H744" s="339"/>
      <c r="I744" s="294">
        <f t="shared" si="449"/>
        <v>11138799</v>
      </c>
      <c r="J744" s="294">
        <f t="shared" si="449"/>
        <v>11677278</v>
      </c>
      <c r="L744" s="339"/>
      <c r="M744" s="339"/>
      <c r="N744" s="339"/>
      <c r="O744" s="339"/>
      <c r="P744" s="339"/>
      <c r="Q744" s="339"/>
      <c r="R744" s="339"/>
      <c r="S744" s="339"/>
      <c r="U744" s="319"/>
      <c r="W744" s="319"/>
    </row>
    <row r="745" spans="2:26">
      <c r="B745" s="317" t="s">
        <v>1098</v>
      </c>
      <c r="D745" s="293">
        <f>'[7]6'!N24</f>
        <v>203285.70833333299</v>
      </c>
      <c r="E745" s="293">
        <f>ROUND(D745/D753*E753,0)</f>
        <v>213113</v>
      </c>
      <c r="G745" s="339">
        <v>-0.96</v>
      </c>
      <c r="H745" s="339"/>
      <c r="I745" s="294">
        <f t="shared" si="449"/>
        <v>-195154</v>
      </c>
      <c r="J745" s="294">
        <f t="shared" si="449"/>
        <v>-204588</v>
      </c>
      <c r="L745" s="339">
        <f>L682</f>
        <v>-0.96</v>
      </c>
      <c r="M745" s="339"/>
      <c r="N745" s="339">
        <f>N682</f>
        <v>0</v>
      </c>
      <c r="O745" s="339"/>
      <c r="P745" s="339">
        <f>P682</f>
        <v>0</v>
      </c>
      <c r="Q745" s="339"/>
      <c r="R745" s="339">
        <f>R682</f>
        <v>-0.96</v>
      </c>
      <c r="S745" s="339"/>
      <c r="T745" s="294">
        <f t="shared" ref="T745" si="458">ROUND($E745*L745,0)</f>
        <v>-204588</v>
      </c>
      <c r="U745" s="319"/>
      <c r="V745" s="294">
        <f t="shared" ref="V745" si="459">ROUND($E745*N745,0)</f>
        <v>0</v>
      </c>
      <c r="W745" s="319"/>
      <c r="X745" s="294">
        <f t="shared" ref="X745" si="460">ROUND($E745*P745,0)</f>
        <v>0</v>
      </c>
      <c r="Z745" s="294">
        <f t="shared" ref="Z745" si="461">ROUND($E745*R745,0)</f>
        <v>-204588</v>
      </c>
    </row>
    <row r="746" spans="2:26">
      <c r="B746" s="317" t="s">
        <v>1108</v>
      </c>
      <c r="D746" s="293">
        <f>'[7]6'!P24+'[7]6'!U24</f>
        <v>271223845</v>
      </c>
      <c r="E746" s="293">
        <f>E753-SUM(E747:E752)</f>
        <v>284165975.23923564</v>
      </c>
      <c r="G746" s="377">
        <v>3.8127</v>
      </c>
      <c r="H746" s="343" t="s">
        <v>1062</v>
      </c>
      <c r="I746" s="294">
        <f t="shared" ref="I746:J748" si="462">ROUND($G746*D746/100,0)</f>
        <v>10340952</v>
      </c>
      <c r="J746" s="294">
        <f t="shared" si="462"/>
        <v>10834396</v>
      </c>
      <c r="L746" s="377"/>
      <c r="M746" s="343"/>
      <c r="N746" s="377"/>
      <c r="O746" s="343"/>
      <c r="P746" s="377"/>
      <c r="Q746" s="343"/>
      <c r="R746" s="377"/>
      <c r="S746" s="343"/>
      <c r="U746" s="346"/>
      <c r="W746" s="346"/>
      <c r="Y746" s="346"/>
    </row>
    <row r="747" spans="2:26">
      <c r="B747" s="317" t="s">
        <v>1109</v>
      </c>
      <c r="D747" s="293">
        <f>'[7]6'!Q24+'[7]6'!V24</f>
        <v>333421704</v>
      </c>
      <c r="E747" s="293">
        <f>ROUND([7]Energy!R56*(1-(E748+E752)/[7]Energy!P56),0)</f>
        <v>339434521</v>
      </c>
      <c r="G747" s="377">
        <v>3.5143</v>
      </c>
      <c r="H747" s="343" t="s">
        <v>1062</v>
      </c>
      <c r="I747" s="294">
        <f t="shared" si="462"/>
        <v>11717439</v>
      </c>
      <c r="J747" s="294">
        <f t="shared" si="462"/>
        <v>11928747</v>
      </c>
      <c r="L747" s="377"/>
      <c r="M747" s="343"/>
      <c r="N747" s="377"/>
      <c r="O747" s="343"/>
      <c r="P747" s="377"/>
      <c r="Q747" s="343"/>
      <c r="R747" s="377"/>
      <c r="S747" s="343"/>
      <c r="U747" s="346"/>
      <c r="W747" s="346"/>
      <c r="Y747" s="346"/>
    </row>
    <row r="748" spans="2:26">
      <c r="B748" s="353" t="s">
        <v>1077</v>
      </c>
      <c r="D748" s="293">
        <f>'[7]6'!S24</f>
        <v>8000</v>
      </c>
      <c r="E748" s="293">
        <f>ROUND(D748/(D753-D749)*E753,0)</f>
        <v>8251</v>
      </c>
      <c r="G748" s="377">
        <v>7.125</v>
      </c>
      <c r="H748" s="343" t="s">
        <v>1062</v>
      </c>
      <c r="I748" s="294">
        <f t="shared" si="462"/>
        <v>570</v>
      </c>
      <c r="J748" s="294">
        <f t="shared" si="462"/>
        <v>588</v>
      </c>
      <c r="L748" s="377">
        <f>L685</f>
        <v>0</v>
      </c>
      <c r="M748" s="343" t="s">
        <v>1062</v>
      </c>
      <c r="N748" s="377">
        <f>N685</f>
        <v>7.125</v>
      </c>
      <c r="O748" s="343" t="s">
        <v>1062</v>
      </c>
      <c r="P748" s="377">
        <f>P685</f>
        <v>0</v>
      </c>
      <c r="Q748" s="343" t="s">
        <v>1062</v>
      </c>
      <c r="R748" s="377">
        <f>R685</f>
        <v>7.125</v>
      </c>
      <c r="S748" s="343" t="s">
        <v>1062</v>
      </c>
      <c r="T748" s="294">
        <f>ROUND($E748*L748/100,0)</f>
        <v>0</v>
      </c>
      <c r="U748" s="346"/>
      <c r="V748" s="294">
        <f>ROUND($E748*N748/100,0)</f>
        <v>588</v>
      </c>
      <c r="W748" s="346"/>
      <c r="X748" s="294">
        <f>ROUND($E748*P748/100,0)</f>
        <v>0</v>
      </c>
      <c r="Y748" s="346"/>
      <c r="Z748" s="294">
        <f>ROUND($E748*R748/100,0)</f>
        <v>588</v>
      </c>
    </row>
    <row r="749" spans="2:26">
      <c r="B749" s="317" t="s">
        <v>1078</v>
      </c>
      <c r="D749" s="357">
        <f>'[7]Table 2'!J83</f>
        <v>-9801655</v>
      </c>
      <c r="E749" s="357">
        <v>0</v>
      </c>
      <c r="I749" s="358">
        <f>'[7]Table 3'!F83</f>
        <v>-781385.35258647613</v>
      </c>
      <c r="J749" s="358">
        <v>0</v>
      </c>
      <c r="Z749" s="358">
        <v>0</v>
      </c>
    </row>
    <row r="750" spans="2:26">
      <c r="B750" s="317" t="s">
        <v>1079</v>
      </c>
      <c r="G750" s="338">
        <v>-3.61E-2</v>
      </c>
      <c r="H750" s="339"/>
      <c r="I750" s="294">
        <f>SUM(I743:I744,I746:I748)*$G750</f>
        <v>-1631819.4554999999</v>
      </c>
      <c r="J750" s="294">
        <f>SUM(J743:J744,J746:J748)*$G750</f>
        <v>-1697651.5238000001</v>
      </c>
      <c r="L750" s="338"/>
      <c r="M750" s="339"/>
      <c r="N750" s="338"/>
      <c r="O750" s="339"/>
      <c r="P750" s="359" t="str">
        <f>$P$43</f>
        <v>Tax Year 1</v>
      </c>
      <c r="Q750" s="339"/>
      <c r="R750" s="338">
        <f>$R$687</f>
        <v>-2.4199999999999999E-2</v>
      </c>
      <c r="S750" s="339"/>
      <c r="Z750" s="294">
        <f>R750*SUM(Z739:Z742,Z748)</f>
        <v>-1143906.6055999999</v>
      </c>
    </row>
    <row r="751" spans="2:26">
      <c r="B751" s="317"/>
      <c r="G751" s="338"/>
      <c r="H751" s="339"/>
      <c r="L751" s="338"/>
      <c r="M751" s="339"/>
      <c r="N751" s="338"/>
      <c r="O751" s="339"/>
      <c r="P751" s="359" t="str">
        <f>$P$44</f>
        <v>Tax Year 2</v>
      </c>
      <c r="Q751" s="339"/>
      <c r="R751" s="338">
        <f>$R$688</f>
        <v>-1.21E-2</v>
      </c>
      <c r="S751" s="339"/>
      <c r="Z751" s="294">
        <f>R751*SUM(Z739:Z742,Z748)</f>
        <v>-571953.30279999995</v>
      </c>
    </row>
    <row r="752" spans="2:26">
      <c r="B752" s="353" t="s">
        <v>1082</v>
      </c>
      <c r="D752" s="293">
        <f>'[7]6'!AD24</f>
        <v>0</v>
      </c>
      <c r="E752" s="293">
        <f>ROUND(D752/(D753-D749)*E753,0)</f>
        <v>0</v>
      </c>
      <c r="G752" s="338"/>
      <c r="H752" s="339"/>
      <c r="L752" s="338"/>
      <c r="M752" s="339"/>
      <c r="N752" s="338"/>
      <c r="O752" s="339"/>
      <c r="P752" s="338"/>
      <c r="Q752" s="339"/>
      <c r="R752" s="338"/>
      <c r="S752" s="339"/>
    </row>
    <row r="753" spans="1:29" ht="16.5" thickBot="1">
      <c r="B753" s="317" t="s">
        <v>937</v>
      </c>
      <c r="D753" s="381">
        <f>SUM(D746:D748,D749,D752)</f>
        <v>594851894</v>
      </c>
      <c r="E753" s="381">
        <f>[7]Energy!P56</f>
        <v>623608747.23923564</v>
      </c>
      <c r="G753" s="368"/>
      <c r="I753" s="369">
        <f>SUM(I735:I750)</f>
        <v>50672009.191913523</v>
      </c>
      <c r="J753" s="369">
        <f>SUM(J735:J750)</f>
        <v>53566872.476199999</v>
      </c>
      <c r="L753" s="368"/>
      <c r="N753" s="368"/>
      <c r="P753" s="368"/>
      <c r="R753" s="368"/>
      <c r="T753" s="369">
        <f>SUM(T735:T749)</f>
        <v>9664384</v>
      </c>
      <c r="V753" s="369">
        <f>SUM(V735:V749)</f>
        <v>32788718</v>
      </c>
      <c r="X753" s="369">
        <f>SUM(X735:X749)</f>
        <v>13200983</v>
      </c>
      <c r="Z753" s="369">
        <f>SUM(Z735:Z749)</f>
        <v>55654083</v>
      </c>
      <c r="AB753" s="305" t="s">
        <v>939</v>
      </c>
      <c r="AC753" s="304">
        <f>Z753/J753-1</f>
        <v>3.8964576935630379E-2</v>
      </c>
    </row>
    <row r="755" spans="1:29">
      <c r="A755" s="292">
        <v>1</v>
      </c>
      <c r="B755" s="314" t="s">
        <v>962</v>
      </c>
    </row>
    <row r="756" spans="1:29">
      <c r="B756" s="317" t="s">
        <v>1089</v>
      </c>
      <c r="D756" s="293">
        <f t="shared" ref="D756:E769" si="463">D775+D794+D813</f>
        <v>3423.7666666666673</v>
      </c>
      <c r="E756" s="293">
        <f t="shared" si="463"/>
        <v>4434</v>
      </c>
      <c r="G756" s="318">
        <v>54</v>
      </c>
      <c r="H756" s="318"/>
      <c r="I756" s="294">
        <f t="shared" ref="I756:J766" si="464">ROUND($G756*D756,0)</f>
        <v>184883</v>
      </c>
      <c r="J756" s="294">
        <f t="shared" si="464"/>
        <v>239436</v>
      </c>
      <c r="L756" s="318">
        <f t="shared" ref="L756:L763" si="465">L672</f>
        <v>55</v>
      </c>
      <c r="M756" s="318"/>
      <c r="N756" s="318">
        <f t="shared" ref="N756:N763" si="466">N672</f>
        <v>0</v>
      </c>
      <c r="O756" s="318"/>
      <c r="P756" s="318">
        <f t="shared" ref="P756:P763" si="467">P672</f>
        <v>0</v>
      </c>
      <c r="Q756" s="318"/>
      <c r="R756" s="318">
        <f t="shared" ref="R756:R763" si="468">R672</f>
        <v>55</v>
      </c>
      <c r="S756" s="318"/>
      <c r="T756" s="294">
        <f>ROUND($E756*L756,0)</f>
        <v>243870</v>
      </c>
      <c r="V756" s="294">
        <f>ROUND($E756*N756,0)</f>
        <v>0</v>
      </c>
      <c r="X756" s="294">
        <f>ROUND($E756*P756,0)</f>
        <v>0</v>
      </c>
      <c r="Y756" s="319"/>
      <c r="Z756" s="294">
        <f>ROUND($E756*R756,0)</f>
        <v>243870</v>
      </c>
    </row>
    <row r="757" spans="1:29">
      <c r="B757" s="317" t="s">
        <v>1099</v>
      </c>
      <c r="D757" s="293">
        <f t="shared" si="463"/>
        <v>0</v>
      </c>
      <c r="E757" s="293">
        <f t="shared" si="463"/>
        <v>0</v>
      </c>
      <c r="G757" s="318">
        <v>648</v>
      </c>
      <c r="H757" s="318"/>
      <c r="I757" s="294">
        <f t="shared" si="464"/>
        <v>0</v>
      </c>
      <c r="J757" s="294">
        <f t="shared" si="464"/>
        <v>0</v>
      </c>
      <c r="L757" s="318">
        <f t="shared" si="465"/>
        <v>660</v>
      </c>
      <c r="M757" s="318"/>
      <c r="N757" s="318">
        <f t="shared" si="466"/>
        <v>0</v>
      </c>
      <c r="O757" s="318"/>
      <c r="P757" s="318">
        <f t="shared" si="467"/>
        <v>0</v>
      </c>
      <c r="Q757" s="318"/>
      <c r="R757" s="318">
        <f t="shared" si="468"/>
        <v>660</v>
      </c>
      <c r="S757" s="318"/>
      <c r="T757" s="294">
        <f t="shared" ref="T757:T761" si="469">ROUND($E757*L757,0)</f>
        <v>0</v>
      </c>
      <c r="V757" s="294">
        <f t="shared" ref="V757:Z761" si="470">ROUND($E757*N757,0)</f>
        <v>0</v>
      </c>
      <c r="X757" s="294">
        <f t="shared" si="470"/>
        <v>0</v>
      </c>
      <c r="Y757" s="319"/>
      <c r="Z757" s="294">
        <f t="shared" si="470"/>
        <v>0</v>
      </c>
    </row>
    <row r="758" spans="1:29">
      <c r="B758" s="317" t="s">
        <v>1100</v>
      </c>
      <c r="D758" s="293">
        <f t="shared" si="463"/>
        <v>0</v>
      </c>
      <c r="E758" s="293">
        <f t="shared" si="463"/>
        <v>0</v>
      </c>
      <c r="G758" s="339">
        <v>54</v>
      </c>
      <c r="H758" s="339"/>
      <c r="I758" s="294">
        <f t="shared" si="464"/>
        <v>0</v>
      </c>
      <c r="J758" s="294">
        <f t="shared" si="464"/>
        <v>0</v>
      </c>
      <c r="L758" s="339">
        <f t="shared" si="465"/>
        <v>55</v>
      </c>
      <c r="M758" s="339"/>
      <c r="N758" s="339">
        <f t="shared" si="466"/>
        <v>0</v>
      </c>
      <c r="O758" s="339"/>
      <c r="P758" s="339">
        <f t="shared" si="467"/>
        <v>0</v>
      </c>
      <c r="Q758" s="339"/>
      <c r="R758" s="339">
        <f t="shared" si="468"/>
        <v>55</v>
      </c>
      <c r="S758" s="339"/>
      <c r="T758" s="294">
        <f t="shared" si="469"/>
        <v>0</v>
      </c>
      <c r="V758" s="294">
        <f t="shared" si="470"/>
        <v>0</v>
      </c>
      <c r="X758" s="294">
        <f t="shared" si="470"/>
        <v>0</v>
      </c>
      <c r="Z758" s="294">
        <f t="shared" si="470"/>
        <v>0</v>
      </c>
    </row>
    <row r="759" spans="1:29">
      <c r="B759" s="317" t="s">
        <v>1101</v>
      </c>
      <c r="D759" s="293">
        <f t="shared" si="463"/>
        <v>383745.23267326731</v>
      </c>
      <c r="E759" s="293">
        <f t="shared" si="463"/>
        <v>505379</v>
      </c>
      <c r="G759" s="318">
        <v>4.04</v>
      </c>
      <c r="H759" s="318"/>
      <c r="I759" s="294">
        <f>ROUND($G759*D759,0)</f>
        <v>1550331</v>
      </c>
      <c r="J759" s="294">
        <f>ROUND($G759*E759,0)</f>
        <v>2041731</v>
      </c>
      <c r="L759" s="318">
        <f t="shared" si="465"/>
        <v>4.1100000000000003</v>
      </c>
      <c r="M759" s="318"/>
      <c r="N759" s="318">
        <f t="shared" si="466"/>
        <v>0</v>
      </c>
      <c r="O759" s="318"/>
      <c r="P759" s="318">
        <f t="shared" si="467"/>
        <v>0</v>
      </c>
      <c r="Q759" s="318"/>
      <c r="R759" s="318">
        <f t="shared" si="468"/>
        <v>4.1100000000000003</v>
      </c>
      <c r="S759" s="318"/>
      <c r="T759" s="294">
        <f t="shared" si="469"/>
        <v>2077108</v>
      </c>
      <c r="V759" s="294">
        <f t="shared" si="470"/>
        <v>0</v>
      </c>
      <c r="X759" s="294">
        <f t="shared" si="470"/>
        <v>0</v>
      </c>
      <c r="Y759" s="319"/>
      <c r="Z759" s="294">
        <f t="shared" si="470"/>
        <v>2077108</v>
      </c>
    </row>
    <row r="760" spans="1:29">
      <c r="B760" s="317" t="s">
        <v>1102</v>
      </c>
      <c r="D760" s="293">
        <f t="shared" si="463"/>
        <v>157278.49761986933</v>
      </c>
      <c r="E760" s="293">
        <f t="shared" si="463"/>
        <v>190854</v>
      </c>
      <c r="G760" s="339"/>
      <c r="H760" s="339"/>
      <c r="L760" s="339">
        <f t="shared" si="465"/>
        <v>0.73</v>
      </c>
      <c r="M760" s="339"/>
      <c r="N760" s="339">
        <f t="shared" si="466"/>
        <v>12.959999999999999</v>
      </c>
      <c r="O760" s="339"/>
      <c r="P760" s="339">
        <f t="shared" si="467"/>
        <v>0</v>
      </c>
      <c r="Q760" s="339"/>
      <c r="R760" s="339">
        <f t="shared" si="468"/>
        <v>13.69</v>
      </c>
      <c r="S760" s="339"/>
      <c r="T760" s="294">
        <f t="shared" si="469"/>
        <v>139323</v>
      </c>
      <c r="V760" s="294">
        <f t="shared" si="470"/>
        <v>2473468</v>
      </c>
      <c r="X760" s="294">
        <f t="shared" si="470"/>
        <v>0</v>
      </c>
      <c r="Z760" s="294">
        <f t="shared" si="470"/>
        <v>2612791</v>
      </c>
    </row>
    <row r="761" spans="1:29">
      <c r="B761" s="317" t="s">
        <v>1103</v>
      </c>
      <c r="D761" s="293">
        <f t="shared" si="463"/>
        <v>226466.75962037957</v>
      </c>
      <c r="E761" s="293">
        <f t="shared" si="463"/>
        <v>315121</v>
      </c>
      <c r="G761" s="339"/>
      <c r="H761" s="339"/>
      <c r="L761" s="339">
        <f t="shared" si="465"/>
        <v>0.64</v>
      </c>
      <c r="M761" s="339"/>
      <c r="N761" s="339">
        <f t="shared" si="466"/>
        <v>11.479999999999999</v>
      </c>
      <c r="O761" s="339"/>
      <c r="P761" s="339">
        <f t="shared" si="467"/>
        <v>0</v>
      </c>
      <c r="Q761" s="339"/>
      <c r="R761" s="339">
        <f t="shared" si="468"/>
        <v>12.12</v>
      </c>
      <c r="S761" s="339"/>
      <c r="T761" s="294">
        <f t="shared" si="469"/>
        <v>201677</v>
      </c>
      <c r="V761" s="294">
        <f t="shared" si="470"/>
        <v>3617589</v>
      </c>
      <c r="X761" s="294">
        <f t="shared" si="470"/>
        <v>0</v>
      </c>
      <c r="Z761" s="294">
        <f t="shared" si="470"/>
        <v>3819267</v>
      </c>
    </row>
    <row r="762" spans="1:29">
      <c r="B762" s="317" t="s">
        <v>1104</v>
      </c>
      <c r="D762" s="293">
        <f t="shared" si="463"/>
        <v>50086245.627021879</v>
      </c>
      <c r="E762" s="293">
        <f t="shared" si="463"/>
        <v>60590665.781530641</v>
      </c>
      <c r="G762" s="377"/>
      <c r="H762" s="343"/>
      <c r="L762" s="377">
        <f t="shared" si="465"/>
        <v>0</v>
      </c>
      <c r="M762" s="343" t="s">
        <v>1062</v>
      </c>
      <c r="N762" s="377">
        <f t="shared" si="466"/>
        <v>1.7162999999999999</v>
      </c>
      <c r="O762" s="343" t="s">
        <v>1062</v>
      </c>
      <c r="P762" s="377">
        <f t="shared" si="467"/>
        <v>2.279911334706</v>
      </c>
      <c r="Q762" s="343" t="s">
        <v>1062</v>
      </c>
      <c r="R762" s="377">
        <f t="shared" si="468"/>
        <v>3.996211334706</v>
      </c>
      <c r="S762" s="343" t="s">
        <v>1062</v>
      </c>
      <c r="T762" s="294">
        <f>ROUND($E762*L762/100,0)</f>
        <v>0</v>
      </c>
      <c r="V762" s="294">
        <f>ROUND($E762*N762/100,0)</f>
        <v>1039918</v>
      </c>
      <c r="X762" s="294">
        <f>ROUND($E762*P762/100,0)</f>
        <v>1381413</v>
      </c>
      <c r="Y762" s="346"/>
      <c r="Z762" s="294">
        <f>ROUND($E762*R762/100,0)</f>
        <v>2421331</v>
      </c>
    </row>
    <row r="763" spans="1:29">
      <c r="B763" s="317" t="s">
        <v>1105</v>
      </c>
      <c r="D763" s="293">
        <f t="shared" si="463"/>
        <v>79149936.007644281</v>
      </c>
      <c r="E763" s="293">
        <f t="shared" si="463"/>
        <v>109661557.70953687</v>
      </c>
      <c r="G763" s="377"/>
      <c r="H763" s="343"/>
      <c r="L763" s="377">
        <f t="shared" si="465"/>
        <v>0</v>
      </c>
      <c r="M763" s="343" t="s">
        <v>1062</v>
      </c>
      <c r="N763" s="377">
        <f t="shared" si="466"/>
        <v>1.5188999999999999</v>
      </c>
      <c r="O763" s="343" t="s">
        <v>1062</v>
      </c>
      <c r="P763" s="377">
        <f t="shared" si="467"/>
        <v>2.0175702077039999</v>
      </c>
      <c r="Q763" s="343" t="s">
        <v>1062</v>
      </c>
      <c r="R763" s="377">
        <f t="shared" si="468"/>
        <v>3.5364702077039998</v>
      </c>
      <c r="S763" s="343" t="s">
        <v>1062</v>
      </c>
      <c r="T763" s="294">
        <f>ROUND($E763*L763/100,0)</f>
        <v>0</v>
      </c>
      <c r="V763" s="294">
        <f>ROUND($E763*N763/100,0)</f>
        <v>1665649</v>
      </c>
      <c r="X763" s="294">
        <f>ROUND($E763*P763/100,0)</f>
        <v>2212499</v>
      </c>
      <c r="Y763" s="346"/>
      <c r="Z763" s="294">
        <f>ROUND($E763*R763/100,0)</f>
        <v>3878148</v>
      </c>
    </row>
    <row r="764" spans="1:29">
      <c r="B764" s="317" t="s">
        <v>1106</v>
      </c>
      <c r="D764" s="293">
        <f t="shared" si="463"/>
        <v>172978.83652530829</v>
      </c>
      <c r="E764" s="293">
        <f t="shared" si="463"/>
        <v>228131</v>
      </c>
      <c r="G764" s="318">
        <v>14.62</v>
      </c>
      <c r="H764" s="318"/>
      <c r="I764" s="294">
        <f t="shared" si="464"/>
        <v>2528951</v>
      </c>
      <c r="J764" s="294">
        <f t="shared" si="464"/>
        <v>3335275</v>
      </c>
      <c r="L764" s="318"/>
      <c r="M764" s="318"/>
      <c r="N764" s="318"/>
      <c r="O764" s="318"/>
      <c r="P764" s="318"/>
      <c r="Q764" s="318"/>
      <c r="R764" s="318"/>
      <c r="S764" s="318"/>
      <c r="Y764" s="319"/>
    </row>
    <row r="765" spans="1:29">
      <c r="B765" s="317" t="s">
        <v>1107</v>
      </c>
      <c r="D765" s="293">
        <f t="shared" si="463"/>
        <v>210766.42071494064</v>
      </c>
      <c r="E765" s="293">
        <f t="shared" si="463"/>
        <v>277248</v>
      </c>
      <c r="G765" s="318">
        <v>10.91</v>
      </c>
      <c r="H765" s="318"/>
      <c r="I765" s="294">
        <f t="shared" si="464"/>
        <v>2299462</v>
      </c>
      <c r="J765" s="294">
        <f t="shared" si="464"/>
        <v>3024776</v>
      </c>
      <c r="L765" s="318"/>
      <c r="M765" s="318"/>
      <c r="N765" s="318"/>
      <c r="O765" s="318"/>
      <c r="P765" s="318"/>
      <c r="Q765" s="318"/>
      <c r="R765" s="318"/>
      <c r="S765" s="318"/>
      <c r="Y765" s="319"/>
    </row>
    <row r="766" spans="1:29">
      <c r="B766" s="317" t="s">
        <v>1098</v>
      </c>
      <c r="D766" s="293">
        <f t="shared" si="463"/>
        <v>15842</v>
      </c>
      <c r="E766" s="293">
        <f t="shared" si="463"/>
        <v>26614</v>
      </c>
      <c r="G766" s="318">
        <v>-0.96</v>
      </c>
      <c r="H766" s="318"/>
      <c r="I766" s="294">
        <f t="shared" si="464"/>
        <v>-15208</v>
      </c>
      <c r="J766" s="294">
        <f t="shared" si="464"/>
        <v>-25549</v>
      </c>
      <c r="L766" s="318">
        <f>L682</f>
        <v>-0.96</v>
      </c>
      <c r="M766" s="318"/>
      <c r="N766" s="318">
        <f>N682</f>
        <v>0</v>
      </c>
      <c r="O766" s="318"/>
      <c r="P766" s="318">
        <f>P682</f>
        <v>0</v>
      </c>
      <c r="Q766" s="318"/>
      <c r="R766" s="318">
        <f>R682</f>
        <v>-0.96</v>
      </c>
      <c r="S766" s="318"/>
      <c r="T766" s="294">
        <f t="shared" ref="T766" si="471">ROUND($E766*L766,0)</f>
        <v>-25549</v>
      </c>
      <c r="V766" s="294">
        <f t="shared" ref="V766:Z766" si="472">ROUND($E766*N766,0)</f>
        <v>0</v>
      </c>
      <c r="X766" s="294">
        <f t="shared" si="472"/>
        <v>0</v>
      </c>
      <c r="Y766" s="319"/>
      <c r="Z766" s="294">
        <f t="shared" si="472"/>
        <v>-25549</v>
      </c>
    </row>
    <row r="767" spans="1:29">
      <c r="B767" s="317" t="s">
        <v>1108</v>
      </c>
      <c r="D767" s="293">
        <f t="shared" si="463"/>
        <v>54977993.984188855</v>
      </c>
      <c r="E767" s="293">
        <f t="shared" si="463"/>
        <v>72856846.09838742</v>
      </c>
      <c r="G767" s="377">
        <v>3.8127</v>
      </c>
      <c r="H767" s="343" t="s">
        <v>1062</v>
      </c>
      <c r="I767" s="294">
        <f>ROUND($G767*D767/100,0)</f>
        <v>2096146</v>
      </c>
      <c r="J767" s="294">
        <f>ROUND($G767*E767/100,0)</f>
        <v>2777813</v>
      </c>
      <c r="L767" s="377"/>
      <c r="M767" s="343"/>
      <c r="N767" s="377"/>
      <c r="O767" s="343"/>
      <c r="P767" s="377"/>
      <c r="Q767" s="343"/>
      <c r="R767" s="377"/>
      <c r="S767" s="343"/>
      <c r="T767" s="346"/>
      <c r="U767" s="346"/>
      <c r="V767" s="346"/>
      <c r="W767" s="346"/>
      <c r="X767" s="346"/>
      <c r="Y767" s="346"/>
    </row>
    <row r="768" spans="1:29">
      <c r="B768" s="317" t="s">
        <v>1109</v>
      </c>
      <c r="D768" s="293">
        <f t="shared" si="463"/>
        <v>74258187.650477305</v>
      </c>
      <c r="E768" s="293">
        <f t="shared" si="463"/>
        <v>97395377.392680094</v>
      </c>
      <c r="G768" s="377">
        <v>3.5143</v>
      </c>
      <c r="H768" s="343" t="s">
        <v>1062</v>
      </c>
      <c r="I768" s="294">
        <f>ROUND($G768*D768/100,0)</f>
        <v>2609655</v>
      </c>
      <c r="J768" s="294">
        <f>ROUND($G768*E768/100,0)</f>
        <v>3422766</v>
      </c>
      <c r="L768" s="377"/>
      <c r="M768" s="343"/>
      <c r="N768" s="377"/>
      <c r="O768" s="343"/>
      <c r="P768" s="377"/>
      <c r="Q768" s="343"/>
      <c r="R768" s="377"/>
      <c r="S768" s="343"/>
      <c r="T768" s="346"/>
      <c r="U768" s="346"/>
      <c r="V768" s="346"/>
      <c r="W768" s="346"/>
      <c r="X768" s="346"/>
      <c r="Y768" s="346"/>
    </row>
    <row r="769" spans="1:29">
      <c r="B769" s="317" t="s">
        <v>1078</v>
      </c>
      <c r="D769" s="357">
        <f t="shared" si="463"/>
        <v>638530</v>
      </c>
      <c r="E769" s="357">
        <f t="shared" si="463"/>
        <v>0</v>
      </c>
      <c r="I769" s="358">
        <f>I788+I807+I826</f>
        <v>60083</v>
      </c>
      <c r="J769" s="358">
        <f>J788+J807+J826</f>
        <v>0</v>
      </c>
      <c r="Z769" s="358">
        <f>Z788+Z807+Z826</f>
        <v>0</v>
      </c>
    </row>
    <row r="770" spans="1:29">
      <c r="B770" s="317" t="s">
        <v>1079</v>
      </c>
      <c r="G770" s="338">
        <v>-3.61E-2</v>
      </c>
      <c r="H770" s="339"/>
      <c r="I770" s="294">
        <f>SUM(I764:I765,I767:I768)*$G770</f>
        <v>-344185.12540000002</v>
      </c>
      <c r="J770" s="294">
        <f>SUM(J764:J765,J767:J768)*$G770</f>
        <v>-453438.74300000002</v>
      </c>
      <c r="L770" s="338"/>
      <c r="M770" s="339"/>
      <c r="N770" s="338"/>
      <c r="O770" s="339"/>
      <c r="P770" s="359" t="str">
        <f>$P$43</f>
        <v>Tax Year 1</v>
      </c>
      <c r="Q770" s="339"/>
      <c r="R770" s="338">
        <f>$R$687</f>
        <v>-2.4199999999999999E-2</v>
      </c>
      <c r="S770" s="339"/>
      <c r="Z770" s="294">
        <f>R770*SUM(Z760:Z763)</f>
        <v>-308103.19539999997</v>
      </c>
    </row>
    <row r="771" spans="1:29">
      <c r="B771" s="317"/>
      <c r="G771" s="338"/>
      <c r="H771" s="339"/>
      <c r="L771" s="338"/>
      <c r="M771" s="339"/>
      <c r="N771" s="338"/>
      <c r="O771" s="339"/>
      <c r="P771" s="359" t="str">
        <f>$P$44</f>
        <v>Tax Year 2</v>
      </c>
      <c r="Q771" s="339"/>
      <c r="R771" s="338">
        <f>$R$688</f>
        <v>-1.21E-2</v>
      </c>
      <c r="S771" s="339"/>
      <c r="Z771" s="294">
        <f>R771*SUM(Z760:Z763)</f>
        <v>-154051.59769999998</v>
      </c>
    </row>
    <row r="772" spans="1:29" ht="16.5" thickBot="1">
      <c r="A772" s="292">
        <v>1</v>
      </c>
      <c r="B772" s="317" t="s">
        <v>937</v>
      </c>
      <c r="D772" s="381">
        <f>SUM(D767:D769)</f>
        <v>129874711.63466616</v>
      </c>
      <c r="E772" s="381">
        <f>SUM(E767:E769)</f>
        <v>170252223.49106753</v>
      </c>
      <c r="G772" s="368"/>
      <c r="I772" s="369">
        <f>SUM(I756:I770)</f>
        <v>10970117.874600001</v>
      </c>
      <c r="J772" s="369">
        <f>SUM(J756:J770)</f>
        <v>14362809.256999999</v>
      </c>
      <c r="L772" s="368"/>
      <c r="N772" s="368"/>
      <c r="P772" s="368"/>
      <c r="R772" s="368"/>
      <c r="T772" s="369">
        <f>SUM(T756:T769)</f>
        <v>2636429</v>
      </c>
      <c r="V772" s="369">
        <f>SUM(V756:V769)</f>
        <v>8796624</v>
      </c>
      <c r="X772" s="369">
        <f>SUM(X756:X769)</f>
        <v>3593912</v>
      </c>
      <c r="Z772" s="369">
        <f>SUM(Z756:Z769)</f>
        <v>15026966</v>
      </c>
      <c r="AB772" s="305" t="s">
        <v>939</v>
      </c>
      <c r="AC772" s="304">
        <f>Z772/J772-1</f>
        <v>4.6241423325754427E-2</v>
      </c>
    </row>
    <row r="773" spans="1:29" ht="16.5" thickTop="1">
      <c r="A773" s="292">
        <v>1</v>
      </c>
    </row>
    <row r="774" spans="1:29">
      <c r="B774" s="314" t="s">
        <v>963</v>
      </c>
    </row>
    <row r="775" spans="1:29">
      <c r="B775" s="317" t="s">
        <v>1089</v>
      </c>
      <c r="D775" s="293">
        <f>'[7]6'!H29</f>
        <v>158.96666666666701</v>
      </c>
      <c r="E775" s="293">
        <f>[7]Bill!P20</f>
        <v>204</v>
      </c>
      <c r="G775" s="339">
        <v>54</v>
      </c>
      <c r="H775" s="339"/>
      <c r="I775" s="294">
        <f t="shared" ref="I775:J785" si="473">ROUND($G775*D775,0)</f>
        <v>8584</v>
      </c>
      <c r="J775" s="294">
        <f t="shared" si="473"/>
        <v>11016</v>
      </c>
      <c r="L775" s="339">
        <f t="shared" ref="L775:L782" si="474">L756</f>
        <v>55</v>
      </c>
      <c r="M775" s="339"/>
      <c r="N775" s="339">
        <f t="shared" ref="N775:N782" si="475">N756</f>
        <v>0</v>
      </c>
      <c r="O775" s="339"/>
      <c r="P775" s="339">
        <f t="shared" ref="P775:P782" si="476">P756</f>
        <v>0</v>
      </c>
      <c r="Q775" s="339"/>
      <c r="R775" s="339">
        <f t="shared" ref="R775:R782" si="477">R756</f>
        <v>55</v>
      </c>
      <c r="S775" s="339"/>
      <c r="T775" s="294">
        <f>ROUND($E775*L775,0)</f>
        <v>11220</v>
      </c>
      <c r="V775" s="294">
        <f>ROUND($E775*N775,0)</f>
        <v>0</v>
      </c>
      <c r="X775" s="294">
        <f>ROUND($E775*P775,0)</f>
        <v>0</v>
      </c>
      <c r="Z775" s="294">
        <f>ROUND($E775*R775,0)</f>
        <v>11220</v>
      </c>
    </row>
    <row r="776" spans="1:29">
      <c r="B776" s="317" t="s">
        <v>1099</v>
      </c>
      <c r="D776" s="293">
        <v>0</v>
      </c>
      <c r="E776" s="293">
        <f>ROUND(D776/D775*E775,0)</f>
        <v>0</v>
      </c>
      <c r="G776" s="339">
        <v>648</v>
      </c>
      <c r="H776" s="339"/>
      <c r="I776" s="294">
        <f t="shared" si="473"/>
        <v>0</v>
      </c>
      <c r="J776" s="294">
        <f t="shared" si="473"/>
        <v>0</v>
      </c>
      <c r="L776" s="339">
        <f t="shared" si="474"/>
        <v>660</v>
      </c>
      <c r="M776" s="339"/>
      <c r="N776" s="339">
        <f t="shared" si="475"/>
        <v>0</v>
      </c>
      <c r="O776" s="339"/>
      <c r="P776" s="339">
        <f t="shared" si="476"/>
        <v>0</v>
      </c>
      <c r="Q776" s="339"/>
      <c r="R776" s="339">
        <f t="shared" si="477"/>
        <v>660</v>
      </c>
      <c r="S776" s="339"/>
      <c r="T776" s="294">
        <f t="shared" ref="T776:T780" si="478">ROUND($E776*L776,0)</f>
        <v>0</v>
      </c>
      <c r="V776" s="294">
        <f t="shared" ref="V776:V780" si="479">ROUND($E776*N776,0)</f>
        <v>0</v>
      </c>
      <c r="X776" s="294">
        <f t="shared" ref="X776:X780" si="480">ROUND($E776*P776,0)</f>
        <v>0</v>
      </c>
      <c r="Z776" s="294">
        <f t="shared" ref="Z776:Z780" si="481">ROUND($E776*R776,0)</f>
        <v>0</v>
      </c>
    </row>
    <row r="777" spans="1:29">
      <c r="B777" s="317" t="s">
        <v>1100</v>
      </c>
      <c r="D777" s="293">
        <v>0</v>
      </c>
      <c r="E777" s="293">
        <f>ROUND(D777/D775*E775,0)</f>
        <v>0</v>
      </c>
      <c r="G777" s="339">
        <v>54</v>
      </c>
      <c r="H777" s="339"/>
      <c r="I777" s="294">
        <f t="shared" si="473"/>
        <v>0</v>
      </c>
      <c r="J777" s="294">
        <f t="shared" si="473"/>
        <v>0</v>
      </c>
      <c r="L777" s="339">
        <f t="shared" si="474"/>
        <v>55</v>
      </c>
      <c r="M777" s="339"/>
      <c r="N777" s="339">
        <f t="shared" si="475"/>
        <v>0</v>
      </c>
      <c r="O777" s="339"/>
      <c r="P777" s="339">
        <f t="shared" si="476"/>
        <v>0</v>
      </c>
      <c r="Q777" s="339"/>
      <c r="R777" s="339">
        <f t="shared" si="477"/>
        <v>55</v>
      </c>
      <c r="S777" s="339"/>
      <c r="T777" s="294">
        <f t="shared" si="478"/>
        <v>0</v>
      </c>
      <c r="V777" s="294">
        <f t="shared" si="479"/>
        <v>0</v>
      </c>
      <c r="X777" s="294">
        <f t="shared" si="480"/>
        <v>0</v>
      </c>
      <c r="Z777" s="294">
        <f t="shared" si="481"/>
        <v>0</v>
      </c>
    </row>
    <row r="778" spans="1:29">
      <c r="B778" s="317" t="s">
        <v>1101</v>
      </c>
      <c r="D778" s="293">
        <f>'[7]6'!J29</f>
        <v>11471.5346534653</v>
      </c>
      <c r="E778" s="293">
        <f>ROUND(D778/D791*E791,0)</f>
        <v>13836</v>
      </c>
      <c r="G778" s="339">
        <v>4.04</v>
      </c>
      <c r="H778" s="339"/>
      <c r="I778" s="294">
        <f>ROUND($G778*D778,0)</f>
        <v>46345</v>
      </c>
      <c r="J778" s="294">
        <f>ROUND($G778*E778,0)</f>
        <v>55897</v>
      </c>
      <c r="L778" s="339">
        <f t="shared" si="474"/>
        <v>4.1100000000000003</v>
      </c>
      <c r="M778" s="339"/>
      <c r="N778" s="339">
        <f t="shared" si="475"/>
        <v>0</v>
      </c>
      <c r="O778" s="339"/>
      <c r="P778" s="339">
        <f t="shared" si="476"/>
        <v>0</v>
      </c>
      <c r="Q778" s="339"/>
      <c r="R778" s="339">
        <f t="shared" si="477"/>
        <v>4.1100000000000003</v>
      </c>
      <c r="S778" s="339"/>
      <c r="T778" s="294">
        <f t="shared" si="478"/>
        <v>56866</v>
      </c>
      <c r="V778" s="294">
        <f t="shared" si="479"/>
        <v>0</v>
      </c>
      <c r="X778" s="294">
        <f t="shared" si="480"/>
        <v>0</v>
      </c>
      <c r="Z778" s="294">
        <f t="shared" si="481"/>
        <v>56866</v>
      </c>
    </row>
    <row r="779" spans="1:29">
      <c r="B779" s="317" t="s">
        <v>1102</v>
      </c>
      <c r="D779" s="293">
        <f>'[7]6'!L29+'[7]6-may'!L29</f>
        <v>3464.7546487512086</v>
      </c>
      <c r="E779" s="293">
        <f>ROUND(D779/D781*E781,0)</f>
        <v>4682</v>
      </c>
      <c r="G779" s="339"/>
      <c r="H779" s="339"/>
      <c r="L779" s="339">
        <f t="shared" si="474"/>
        <v>0.73</v>
      </c>
      <c r="M779" s="339"/>
      <c r="N779" s="339">
        <f t="shared" si="475"/>
        <v>12.959999999999999</v>
      </c>
      <c r="O779" s="339"/>
      <c r="P779" s="339">
        <f t="shared" si="476"/>
        <v>0</v>
      </c>
      <c r="Q779" s="339"/>
      <c r="R779" s="339">
        <f t="shared" si="477"/>
        <v>13.69</v>
      </c>
      <c r="S779" s="339"/>
      <c r="T779" s="294">
        <f t="shared" si="478"/>
        <v>3418</v>
      </c>
      <c r="V779" s="294">
        <f t="shared" si="479"/>
        <v>60679</v>
      </c>
      <c r="X779" s="294">
        <f t="shared" si="480"/>
        <v>0</v>
      </c>
      <c r="Z779" s="294">
        <f t="shared" si="481"/>
        <v>64097</v>
      </c>
    </row>
    <row r="780" spans="1:29">
      <c r="B780" s="317" t="s">
        <v>1103</v>
      </c>
      <c r="D780" s="293">
        <f>'[7]6'!M29+'[7]6-may'!M29</f>
        <v>8006.7795760529116</v>
      </c>
      <c r="E780" s="293">
        <f>ROUND(D780/D782*E782,0)</f>
        <v>9269</v>
      </c>
      <c r="G780" s="339"/>
      <c r="H780" s="339"/>
      <c r="L780" s="339">
        <f t="shared" si="474"/>
        <v>0.64</v>
      </c>
      <c r="M780" s="339"/>
      <c r="N780" s="339">
        <f t="shared" si="475"/>
        <v>11.479999999999999</v>
      </c>
      <c r="O780" s="339"/>
      <c r="P780" s="339">
        <f t="shared" si="476"/>
        <v>0</v>
      </c>
      <c r="Q780" s="339"/>
      <c r="R780" s="339">
        <f t="shared" si="477"/>
        <v>12.12</v>
      </c>
      <c r="S780" s="339"/>
      <c r="T780" s="294">
        <f t="shared" si="478"/>
        <v>5932</v>
      </c>
      <c r="V780" s="294">
        <f t="shared" si="479"/>
        <v>106408</v>
      </c>
      <c r="X780" s="294">
        <f t="shared" si="480"/>
        <v>0</v>
      </c>
      <c r="Z780" s="294">
        <f t="shared" si="481"/>
        <v>112340</v>
      </c>
    </row>
    <row r="781" spans="1:29">
      <c r="B781" s="317" t="s">
        <v>1104</v>
      </c>
      <c r="D781" s="293">
        <f>'[7]6'!P29+'[7]6'!U29+[7]TempRevMay!M324+'[7]6-may'!P29+'[7]6-may'!U29</f>
        <v>1076461.2380270492</v>
      </c>
      <c r="E781" s="293">
        <f>[7]Energy!S20</f>
        <v>1454609.0476190476</v>
      </c>
      <c r="G781" s="377"/>
      <c r="H781" s="343"/>
      <c r="L781" s="377">
        <f t="shared" si="474"/>
        <v>0</v>
      </c>
      <c r="M781" s="343" t="s">
        <v>1062</v>
      </c>
      <c r="N781" s="377">
        <f t="shared" si="475"/>
        <v>1.7162999999999999</v>
      </c>
      <c r="O781" s="343" t="s">
        <v>1062</v>
      </c>
      <c r="P781" s="377">
        <f t="shared" si="476"/>
        <v>2.279911334706</v>
      </c>
      <c r="Q781" s="343" t="s">
        <v>1062</v>
      </c>
      <c r="R781" s="377">
        <f t="shared" si="477"/>
        <v>3.996211334706</v>
      </c>
      <c r="S781" s="343" t="s">
        <v>1062</v>
      </c>
      <c r="T781" s="294">
        <f>ROUND($E781*L781/100,0)</f>
        <v>0</v>
      </c>
      <c r="V781" s="294">
        <f>ROUND($E781*N781/100,0)</f>
        <v>24965</v>
      </c>
      <c r="X781" s="294">
        <f>ROUND($E781*P781/100,0)</f>
        <v>33164</v>
      </c>
      <c r="Y781" s="346"/>
      <c r="Z781" s="294">
        <f>ROUND($E781*R781/100,0)</f>
        <v>58129</v>
      </c>
    </row>
    <row r="782" spans="1:29">
      <c r="B782" s="317" t="s">
        <v>1105</v>
      </c>
      <c r="D782" s="293">
        <f>'[7]6'!Q29+'[7]6'!V29+[7]TempRevMay!M325+'[7]6-may'!Q29+'[7]6-may'!V29</f>
        <v>2694300.4670450641</v>
      </c>
      <c r="E782" s="293">
        <f>[7]Energy!T20</f>
        <v>3119199.1373626376</v>
      </c>
      <c r="G782" s="377"/>
      <c r="H782" s="343"/>
      <c r="L782" s="377">
        <f t="shared" si="474"/>
        <v>0</v>
      </c>
      <c r="M782" s="343" t="s">
        <v>1062</v>
      </c>
      <c r="N782" s="377">
        <f t="shared" si="475"/>
        <v>1.5188999999999999</v>
      </c>
      <c r="O782" s="343" t="s">
        <v>1062</v>
      </c>
      <c r="P782" s="377">
        <f t="shared" si="476"/>
        <v>2.0175702077039999</v>
      </c>
      <c r="Q782" s="343" t="s">
        <v>1062</v>
      </c>
      <c r="R782" s="377">
        <f t="shared" si="477"/>
        <v>3.5364702077039998</v>
      </c>
      <c r="S782" s="343" t="s">
        <v>1062</v>
      </c>
      <c r="T782" s="294">
        <f>ROUND($E782*L782/100,0)</f>
        <v>0</v>
      </c>
      <c r="V782" s="294">
        <f>ROUND($E782*N782/100,0)</f>
        <v>47378</v>
      </c>
      <c r="X782" s="294">
        <f>ROUND($E782*P782/100,0)</f>
        <v>62932</v>
      </c>
      <c r="Y782" s="346"/>
      <c r="Z782" s="294">
        <f>ROUND($E782*R782/100,0)</f>
        <v>110310</v>
      </c>
    </row>
    <row r="783" spans="1:29">
      <c r="B783" s="317" t="s">
        <v>1106</v>
      </c>
      <c r="D783" s="293">
        <f>'[7]6'!L29</f>
        <v>4259.2564979480203</v>
      </c>
      <c r="E783" s="293">
        <f>ROUND(D783/D791*E791,0)</f>
        <v>5137</v>
      </c>
      <c r="G783" s="339">
        <v>14.62</v>
      </c>
      <c r="H783" s="339"/>
      <c r="I783" s="294">
        <f t="shared" si="473"/>
        <v>62270</v>
      </c>
      <c r="J783" s="294">
        <f t="shared" si="473"/>
        <v>75103</v>
      </c>
      <c r="L783" s="339"/>
      <c r="M783" s="339"/>
      <c r="N783" s="339"/>
      <c r="O783" s="339"/>
      <c r="P783" s="339"/>
      <c r="Q783" s="339"/>
      <c r="R783" s="339"/>
      <c r="S783" s="339"/>
    </row>
    <row r="784" spans="1:29">
      <c r="B784" s="317" t="s">
        <v>1107</v>
      </c>
      <c r="D784" s="293">
        <f>'[7]6'!M29</f>
        <v>7212.2777268561003</v>
      </c>
      <c r="E784" s="293">
        <f>ROUND(D784/D791*E791,0)</f>
        <v>8699</v>
      </c>
      <c r="G784" s="339">
        <v>10.91</v>
      </c>
      <c r="H784" s="339"/>
      <c r="I784" s="294">
        <f t="shared" si="473"/>
        <v>78686</v>
      </c>
      <c r="J784" s="294">
        <f t="shared" si="473"/>
        <v>94906</v>
      </c>
      <c r="L784" s="339"/>
      <c r="M784" s="339"/>
      <c r="N784" s="339"/>
      <c r="O784" s="339"/>
      <c r="P784" s="339"/>
      <c r="Q784" s="339"/>
      <c r="R784" s="339"/>
      <c r="S784" s="339"/>
    </row>
    <row r="785" spans="2:29">
      <c r="B785" s="317" t="s">
        <v>1098</v>
      </c>
      <c r="D785" s="293">
        <f>'[7]6'!N29</f>
        <v>0</v>
      </c>
      <c r="E785" s="293">
        <f>ROUND(D785/D791*E791,0)</f>
        <v>0</v>
      </c>
      <c r="G785" s="339">
        <v>-0.96</v>
      </c>
      <c r="H785" s="339"/>
      <c r="I785" s="294">
        <f t="shared" si="473"/>
        <v>0</v>
      </c>
      <c r="J785" s="294">
        <f t="shared" si="473"/>
        <v>0</v>
      </c>
      <c r="L785" s="339">
        <f>L766</f>
        <v>-0.96</v>
      </c>
      <c r="M785" s="339"/>
      <c r="N785" s="339">
        <f>N766</f>
        <v>0</v>
      </c>
      <c r="O785" s="339"/>
      <c r="P785" s="339">
        <f>P766</f>
        <v>0</v>
      </c>
      <c r="Q785" s="339"/>
      <c r="R785" s="339">
        <f>R766</f>
        <v>-0.96</v>
      </c>
      <c r="S785" s="339"/>
      <c r="T785" s="294">
        <f t="shared" ref="T785" si="482">ROUND($E785*L785,0)</f>
        <v>0</v>
      </c>
      <c r="V785" s="294">
        <f t="shared" ref="V785" si="483">ROUND($E785*N785,0)</f>
        <v>0</v>
      </c>
      <c r="X785" s="294">
        <f t="shared" ref="X785" si="484">ROUND($E785*P785,0)</f>
        <v>0</v>
      </c>
      <c r="Z785" s="294">
        <f t="shared" ref="Z785" si="485">ROUND($E785*R785,0)</f>
        <v>0</v>
      </c>
    </row>
    <row r="786" spans="2:29">
      <c r="B786" s="317" t="s">
        <v>1108</v>
      </c>
      <c r="D786" s="293">
        <f>'[7]6'!P29+'[7]6'!U29+[7]TempRev!M324</f>
        <v>1331517.1683641539</v>
      </c>
      <c r="E786" s="293">
        <f>[7]Energy!Q20</f>
        <v>1752959.0476190476</v>
      </c>
      <c r="G786" s="377">
        <v>3.8127</v>
      </c>
      <c r="H786" s="343" t="s">
        <v>1062</v>
      </c>
      <c r="I786" s="294">
        <f>ROUND($G786*D786/100,0)</f>
        <v>50767</v>
      </c>
      <c r="J786" s="294">
        <f>ROUND($G786*E786/100,0)</f>
        <v>66835</v>
      </c>
      <c r="L786" s="377"/>
      <c r="M786" s="343"/>
      <c r="N786" s="377"/>
      <c r="O786" s="343"/>
      <c r="P786" s="377"/>
      <c r="Q786" s="343"/>
      <c r="R786" s="377"/>
      <c r="S786" s="343"/>
      <c r="T786" s="346"/>
      <c r="U786" s="346"/>
      <c r="V786" s="346"/>
      <c r="W786" s="346"/>
      <c r="X786" s="346"/>
      <c r="Y786" s="346"/>
    </row>
    <row r="787" spans="2:29">
      <c r="B787" s="317" t="s">
        <v>1109</v>
      </c>
      <c r="D787" s="293">
        <f>'[7]6'!Q29+'[7]6'!V29+[7]TempRev!M325</f>
        <v>2439244.5367079591</v>
      </c>
      <c r="E787" s="293">
        <f>[7]Energy!R20</f>
        <v>2820849.1373626376</v>
      </c>
      <c r="G787" s="377">
        <v>3.5143</v>
      </c>
      <c r="H787" s="343" t="s">
        <v>1062</v>
      </c>
      <c r="I787" s="294">
        <f>ROUND($G787*D787/100,0)</f>
        <v>85722</v>
      </c>
      <c r="J787" s="294">
        <f>ROUND($G787*E787/100,0)</f>
        <v>99133</v>
      </c>
      <c r="L787" s="377"/>
      <c r="M787" s="343"/>
      <c r="N787" s="377"/>
      <c r="O787" s="343"/>
      <c r="P787" s="377"/>
      <c r="Q787" s="343"/>
      <c r="R787" s="377"/>
      <c r="S787" s="343"/>
      <c r="T787" s="346"/>
      <c r="U787" s="346"/>
      <c r="V787" s="346"/>
      <c r="W787" s="346"/>
      <c r="X787" s="346"/>
      <c r="Y787" s="346"/>
    </row>
    <row r="788" spans="2:29">
      <c r="B788" s="317" t="s">
        <v>1078</v>
      </c>
      <c r="D788" s="357">
        <f>'[7]Table 2'!J19</f>
        <v>21392</v>
      </c>
      <c r="E788" s="357">
        <v>0</v>
      </c>
      <c r="I788" s="358">
        <f>'[7]Table 3'!F19</f>
        <v>1984</v>
      </c>
      <c r="J788" s="358">
        <v>0</v>
      </c>
      <c r="Z788" s="358">
        <v>0</v>
      </c>
    </row>
    <row r="789" spans="2:29">
      <c r="B789" s="317" t="s">
        <v>1079</v>
      </c>
      <c r="G789" s="338">
        <v>-3.61E-2</v>
      </c>
      <c r="H789" s="339"/>
      <c r="I789" s="294">
        <f>SUM(I783:I784,I786:I787)*$G789</f>
        <v>-10015.764499999999</v>
      </c>
      <c r="J789" s="294">
        <f>SUM(J783:J784,J786:J787)*$G789</f>
        <v>-12128.769700000001</v>
      </c>
      <c r="L789" s="338"/>
      <c r="M789" s="339"/>
      <c r="N789" s="338"/>
      <c r="O789" s="339"/>
      <c r="P789" s="359" t="str">
        <f>$P$43</f>
        <v>Tax Year 1</v>
      </c>
      <c r="Q789" s="339"/>
      <c r="R789" s="338">
        <f>$R$687</f>
        <v>-2.4199999999999999E-2</v>
      </c>
      <c r="S789" s="339"/>
      <c r="Z789" s="294">
        <f>R789*SUM(Z779:Z782)</f>
        <v>-8345.9992000000002</v>
      </c>
    </row>
    <row r="790" spans="2:29">
      <c r="B790" s="317"/>
      <c r="G790" s="338"/>
      <c r="H790" s="339"/>
      <c r="L790" s="338"/>
      <c r="M790" s="339"/>
      <c r="N790" s="338"/>
      <c r="O790" s="339"/>
      <c r="P790" s="359" t="str">
        <f>$P$44</f>
        <v>Tax Year 2</v>
      </c>
      <c r="Q790" s="339"/>
      <c r="R790" s="338">
        <f>$R$688</f>
        <v>-1.21E-2</v>
      </c>
      <c r="S790" s="339"/>
      <c r="Z790" s="294">
        <f>R790*SUM(Z779:Z782)</f>
        <v>-4172.9996000000001</v>
      </c>
    </row>
    <row r="791" spans="2:29" ht="16.5" thickBot="1">
      <c r="B791" s="317" t="s">
        <v>937</v>
      </c>
      <c r="D791" s="381">
        <f>SUM(D786:D788)</f>
        <v>3792153.7050721133</v>
      </c>
      <c r="E791" s="381">
        <f>SUM(E786:E788)</f>
        <v>4573808.1849816851</v>
      </c>
      <c r="G791" s="368"/>
      <c r="I791" s="369">
        <f>SUM(I775:I789)</f>
        <v>324342.23550000001</v>
      </c>
      <c r="J791" s="369">
        <f>SUM(J775:J789)</f>
        <v>390761.2303</v>
      </c>
      <c r="L791" s="368"/>
      <c r="N791" s="368"/>
      <c r="P791" s="368"/>
      <c r="R791" s="368"/>
      <c r="T791" s="369">
        <f>SUM(T775:T788)</f>
        <v>77436</v>
      </c>
      <c r="V791" s="369">
        <f>SUM(V775:V788)</f>
        <v>239430</v>
      </c>
      <c r="X791" s="369">
        <f>SUM(X775:X788)</f>
        <v>96096</v>
      </c>
      <c r="Z791" s="369">
        <f>SUM(Z775:Z788)</f>
        <v>412962</v>
      </c>
      <c r="AB791" s="305" t="s">
        <v>939</v>
      </c>
      <c r="AC791" s="304">
        <f>Z791/J791-1</f>
        <v>5.6814156519457537E-2</v>
      </c>
    </row>
    <row r="792" spans="2:29" ht="16.5" thickTop="1"/>
    <row r="793" spans="2:29">
      <c r="B793" s="314" t="s">
        <v>964</v>
      </c>
    </row>
    <row r="794" spans="2:29">
      <c r="B794" s="317" t="s">
        <v>1089</v>
      </c>
      <c r="D794" s="293">
        <f>'[7]6'!H27</f>
        <v>3192.8</v>
      </c>
      <c r="E794" s="293">
        <f>[7]Bill!P46</f>
        <v>4032</v>
      </c>
      <c r="G794" s="339">
        <v>54</v>
      </c>
      <c r="H794" s="339"/>
      <c r="I794" s="294">
        <f t="shared" ref="I794:J804" si="486">ROUND($G794*D794,0)</f>
        <v>172411</v>
      </c>
      <c r="J794" s="294">
        <f t="shared" si="486"/>
        <v>217728</v>
      </c>
      <c r="L794" s="339">
        <f t="shared" ref="L794:L801" si="487">L756</f>
        <v>55</v>
      </c>
      <c r="M794" s="339"/>
      <c r="N794" s="339">
        <f t="shared" ref="N794:N801" si="488">N756</f>
        <v>0</v>
      </c>
      <c r="O794" s="339"/>
      <c r="P794" s="339">
        <f t="shared" ref="P794:P801" si="489">P756</f>
        <v>0</v>
      </c>
      <c r="Q794" s="339"/>
      <c r="R794" s="339">
        <f t="shared" ref="R794:R801" si="490">R756</f>
        <v>55</v>
      </c>
      <c r="S794" s="339"/>
      <c r="T794" s="294">
        <f>ROUND($E794*L794,0)</f>
        <v>221760</v>
      </c>
      <c r="V794" s="294">
        <f>ROUND($E794*N794,0)</f>
        <v>0</v>
      </c>
      <c r="X794" s="294">
        <f>ROUND($E794*P794,0)</f>
        <v>0</v>
      </c>
      <c r="Z794" s="294">
        <f>ROUND($E794*R794,0)</f>
        <v>221760</v>
      </c>
    </row>
    <row r="795" spans="2:29">
      <c r="B795" s="317" t="s">
        <v>1099</v>
      </c>
      <c r="D795" s="293">
        <v>0</v>
      </c>
      <c r="E795" s="293">
        <f>ROUND(D795/D794*E794,0)</f>
        <v>0</v>
      </c>
      <c r="G795" s="339">
        <v>648</v>
      </c>
      <c r="H795" s="339"/>
      <c r="I795" s="294">
        <f t="shared" si="486"/>
        <v>0</v>
      </c>
      <c r="J795" s="294">
        <f t="shared" si="486"/>
        <v>0</v>
      </c>
      <c r="L795" s="339">
        <f t="shared" si="487"/>
        <v>660</v>
      </c>
      <c r="M795" s="339"/>
      <c r="N795" s="339">
        <f t="shared" si="488"/>
        <v>0</v>
      </c>
      <c r="O795" s="339"/>
      <c r="P795" s="339">
        <f t="shared" si="489"/>
        <v>0</v>
      </c>
      <c r="Q795" s="339"/>
      <c r="R795" s="339">
        <f t="shared" si="490"/>
        <v>660</v>
      </c>
      <c r="S795" s="339"/>
      <c r="T795" s="294">
        <f t="shared" ref="T795:T799" si="491">ROUND($E795*L795,0)</f>
        <v>0</v>
      </c>
      <c r="V795" s="294">
        <f t="shared" ref="V795:V799" si="492">ROUND($E795*N795,0)</f>
        <v>0</v>
      </c>
      <c r="X795" s="294">
        <f t="shared" ref="X795:X799" si="493">ROUND($E795*P795,0)</f>
        <v>0</v>
      </c>
      <c r="Z795" s="294">
        <f t="shared" ref="Z795:Z799" si="494">ROUND($E795*R795,0)</f>
        <v>0</v>
      </c>
    </row>
    <row r="796" spans="2:29">
      <c r="B796" s="317" t="s">
        <v>1100</v>
      </c>
      <c r="D796" s="293">
        <v>0</v>
      </c>
      <c r="E796" s="293">
        <f>ROUND(D796/D794*E794,0)</f>
        <v>0</v>
      </c>
      <c r="G796" s="339">
        <v>54</v>
      </c>
      <c r="H796" s="339"/>
      <c r="I796" s="294">
        <f t="shared" si="486"/>
        <v>0</v>
      </c>
      <c r="J796" s="294">
        <f t="shared" si="486"/>
        <v>0</v>
      </c>
      <c r="L796" s="339">
        <f t="shared" si="487"/>
        <v>55</v>
      </c>
      <c r="M796" s="339"/>
      <c r="N796" s="339">
        <f t="shared" si="488"/>
        <v>0</v>
      </c>
      <c r="O796" s="339"/>
      <c r="P796" s="339">
        <f t="shared" si="489"/>
        <v>0</v>
      </c>
      <c r="Q796" s="339"/>
      <c r="R796" s="339">
        <f t="shared" si="490"/>
        <v>55</v>
      </c>
      <c r="S796" s="339"/>
      <c r="T796" s="294">
        <f t="shared" si="491"/>
        <v>0</v>
      </c>
      <c r="V796" s="294">
        <f t="shared" si="492"/>
        <v>0</v>
      </c>
      <c r="X796" s="294">
        <f t="shared" si="493"/>
        <v>0</v>
      </c>
      <c r="Z796" s="294">
        <f t="shared" si="494"/>
        <v>0</v>
      </c>
    </row>
    <row r="797" spans="2:29">
      <c r="B797" s="317" t="s">
        <v>1101</v>
      </c>
      <c r="D797" s="293">
        <f>'[7]6'!J27</f>
        <v>364255.69801980199</v>
      </c>
      <c r="E797" s="293">
        <f>ROUND(D797/D810*E810,0)</f>
        <v>468930</v>
      </c>
      <c r="G797" s="339">
        <v>4.04</v>
      </c>
      <c r="H797" s="339"/>
      <c r="I797" s="294">
        <f>ROUND($G797*D797,0)</f>
        <v>1471593</v>
      </c>
      <c r="J797" s="294">
        <f>ROUND($G797*E797,0)</f>
        <v>1894477</v>
      </c>
      <c r="L797" s="339">
        <f t="shared" si="487"/>
        <v>4.1100000000000003</v>
      </c>
      <c r="M797" s="339"/>
      <c r="N797" s="339">
        <f t="shared" si="488"/>
        <v>0</v>
      </c>
      <c r="O797" s="339"/>
      <c r="P797" s="339">
        <f t="shared" si="489"/>
        <v>0</v>
      </c>
      <c r="Q797" s="339"/>
      <c r="R797" s="339">
        <f t="shared" si="490"/>
        <v>4.1100000000000003</v>
      </c>
      <c r="S797" s="339"/>
      <c r="T797" s="294">
        <f t="shared" si="491"/>
        <v>1927302</v>
      </c>
      <c r="V797" s="294">
        <f t="shared" si="492"/>
        <v>0</v>
      </c>
      <c r="X797" s="294">
        <f t="shared" si="493"/>
        <v>0</v>
      </c>
      <c r="Z797" s="294">
        <f t="shared" si="494"/>
        <v>1927302</v>
      </c>
    </row>
    <row r="798" spans="2:29">
      <c r="B798" s="317" t="s">
        <v>1102</v>
      </c>
      <c r="D798" s="293">
        <f>'[7]6'!L27+'[7]6-may'!L27</f>
        <v>150690.92065663519</v>
      </c>
      <c r="E798" s="293">
        <f>ROUND(D798/D800*E800,0)</f>
        <v>177280</v>
      </c>
      <c r="G798" s="339"/>
      <c r="H798" s="339"/>
      <c r="L798" s="339">
        <f t="shared" si="487"/>
        <v>0.73</v>
      </c>
      <c r="M798" s="339"/>
      <c r="N798" s="339">
        <f t="shared" si="488"/>
        <v>12.959999999999999</v>
      </c>
      <c r="O798" s="339"/>
      <c r="P798" s="339">
        <f t="shared" si="489"/>
        <v>0</v>
      </c>
      <c r="Q798" s="339"/>
      <c r="R798" s="339">
        <f t="shared" si="490"/>
        <v>13.69</v>
      </c>
      <c r="S798" s="339"/>
      <c r="T798" s="294">
        <f t="shared" si="491"/>
        <v>129414</v>
      </c>
      <c r="V798" s="294">
        <f t="shared" si="492"/>
        <v>2297549</v>
      </c>
      <c r="X798" s="294">
        <f t="shared" si="493"/>
        <v>0</v>
      </c>
      <c r="Z798" s="294">
        <f t="shared" si="494"/>
        <v>2426963</v>
      </c>
    </row>
    <row r="799" spans="2:29">
      <c r="B799" s="317" t="s">
        <v>1103</v>
      </c>
      <c r="D799" s="293">
        <f>'[7]6'!M27+'[7]6-may'!M27</f>
        <v>213564.80074693981</v>
      </c>
      <c r="E799" s="293">
        <f>ROUND(D799/D801*E801,0)</f>
        <v>292505</v>
      </c>
      <c r="G799" s="339"/>
      <c r="H799" s="339"/>
      <c r="L799" s="339">
        <f t="shared" si="487"/>
        <v>0.64</v>
      </c>
      <c r="M799" s="339"/>
      <c r="N799" s="339">
        <f t="shared" si="488"/>
        <v>11.479999999999999</v>
      </c>
      <c r="O799" s="339"/>
      <c r="P799" s="339">
        <f t="shared" si="489"/>
        <v>0</v>
      </c>
      <c r="Q799" s="339"/>
      <c r="R799" s="339">
        <f t="shared" si="490"/>
        <v>12.12</v>
      </c>
      <c r="S799" s="339"/>
      <c r="T799" s="294">
        <f t="shared" si="491"/>
        <v>187203</v>
      </c>
      <c r="V799" s="294">
        <f t="shared" si="492"/>
        <v>3357957</v>
      </c>
      <c r="X799" s="294">
        <f t="shared" si="493"/>
        <v>0</v>
      </c>
      <c r="Z799" s="294">
        <f t="shared" si="494"/>
        <v>3545161</v>
      </c>
    </row>
    <row r="800" spans="2:29">
      <c r="B800" s="317" t="s">
        <v>1104</v>
      </c>
      <c r="D800" s="293">
        <f>'[7]6'!P27+'[7]6'!U27+[7]TempRevMay!M333+'[7]6-may'!P27+'[7]6-may'!U27</f>
        <v>48125028.184217915</v>
      </c>
      <c r="E800" s="293">
        <f>[7]Energy!S46</f>
        <v>56616651.067244932</v>
      </c>
      <c r="G800" s="377"/>
      <c r="H800" s="343"/>
      <c r="L800" s="377">
        <f t="shared" si="487"/>
        <v>0</v>
      </c>
      <c r="M800" s="343" t="s">
        <v>1062</v>
      </c>
      <c r="N800" s="377">
        <f t="shared" si="488"/>
        <v>1.7162999999999999</v>
      </c>
      <c r="O800" s="343" t="s">
        <v>1062</v>
      </c>
      <c r="P800" s="377">
        <f t="shared" si="489"/>
        <v>2.279911334706</v>
      </c>
      <c r="Q800" s="343" t="s">
        <v>1062</v>
      </c>
      <c r="R800" s="377">
        <f t="shared" si="490"/>
        <v>3.996211334706</v>
      </c>
      <c r="S800" s="343" t="s">
        <v>1062</v>
      </c>
      <c r="T800" s="294">
        <f>ROUND($E800*L800/100,0)</f>
        <v>0</v>
      </c>
      <c r="V800" s="294">
        <f>ROUND($E800*N800/100,0)</f>
        <v>971712</v>
      </c>
      <c r="X800" s="294">
        <f>ROUND($E800*P800/100,0)</f>
        <v>1290809</v>
      </c>
      <c r="Y800" s="346"/>
      <c r="Z800" s="294">
        <f>ROUND($E800*R800/100,0)</f>
        <v>2262521</v>
      </c>
    </row>
    <row r="801" spans="2:29">
      <c r="B801" s="317" t="s">
        <v>1105</v>
      </c>
      <c r="D801" s="293">
        <f>'[7]6'!Q27+'[7]6'!V27+[7]TempRevMay!M334+'[7]6-may'!Q27+'[7]6-may'!V27</f>
        <v>75109563.745376125</v>
      </c>
      <c r="E801" s="293">
        <f>[7]Energy!T46</f>
        <v>102872324.73884089</v>
      </c>
      <c r="G801" s="377"/>
      <c r="H801" s="343"/>
      <c r="L801" s="377">
        <f t="shared" si="487"/>
        <v>0</v>
      </c>
      <c r="M801" s="343" t="s">
        <v>1062</v>
      </c>
      <c r="N801" s="377">
        <f t="shared" si="488"/>
        <v>1.5188999999999999</v>
      </c>
      <c r="O801" s="343" t="s">
        <v>1062</v>
      </c>
      <c r="P801" s="377">
        <f t="shared" si="489"/>
        <v>2.0175702077039999</v>
      </c>
      <c r="Q801" s="343" t="s">
        <v>1062</v>
      </c>
      <c r="R801" s="377">
        <f t="shared" si="490"/>
        <v>3.5364702077039998</v>
      </c>
      <c r="S801" s="343" t="s">
        <v>1062</v>
      </c>
      <c r="T801" s="294">
        <f>ROUND($E801*L801/100,0)</f>
        <v>0</v>
      </c>
      <c r="V801" s="294">
        <f>ROUND($E801*N801/100,0)</f>
        <v>1562528</v>
      </c>
      <c r="X801" s="294">
        <f>ROUND($E801*P801/100,0)</f>
        <v>2075521</v>
      </c>
      <c r="Y801" s="346"/>
      <c r="Z801" s="294">
        <f>ROUND($E801*R801/100,0)</f>
        <v>3638049</v>
      </c>
    </row>
    <row r="802" spans="2:29">
      <c r="B802" s="317" t="s">
        <v>1106</v>
      </c>
      <c r="D802" s="293">
        <f>'[7]6'!L27</f>
        <v>164941.854309166</v>
      </c>
      <c r="E802" s="293">
        <f>ROUND(D802/D810*E810,0)</f>
        <v>212340</v>
      </c>
      <c r="G802" s="339">
        <v>14.62</v>
      </c>
      <c r="H802" s="339"/>
      <c r="I802" s="294">
        <f t="shared" si="486"/>
        <v>2411450</v>
      </c>
      <c r="J802" s="294">
        <f t="shared" si="486"/>
        <v>3104411</v>
      </c>
      <c r="L802" s="339"/>
      <c r="M802" s="339"/>
      <c r="N802" s="339"/>
      <c r="O802" s="339"/>
      <c r="P802" s="339"/>
      <c r="Q802" s="339"/>
      <c r="R802" s="339"/>
      <c r="S802" s="339"/>
    </row>
    <row r="803" spans="2:29">
      <c r="B803" s="317" t="s">
        <v>1107</v>
      </c>
      <c r="D803" s="293">
        <f>'[7]6'!M27</f>
        <v>199313.86709440901</v>
      </c>
      <c r="E803" s="293">
        <f>ROUND(D803/D810*E810,0)</f>
        <v>256590</v>
      </c>
      <c r="G803" s="339">
        <v>10.91</v>
      </c>
      <c r="H803" s="339"/>
      <c r="I803" s="294">
        <f t="shared" si="486"/>
        <v>2174514</v>
      </c>
      <c r="J803" s="294">
        <f t="shared" si="486"/>
        <v>2799397</v>
      </c>
      <c r="L803" s="339"/>
      <c r="M803" s="339"/>
      <c r="N803" s="339"/>
      <c r="O803" s="339"/>
      <c r="P803" s="339"/>
      <c r="Q803" s="339"/>
      <c r="R803" s="339"/>
      <c r="S803" s="339"/>
    </row>
    <row r="804" spans="2:29">
      <c r="B804" s="317" t="s">
        <v>1098</v>
      </c>
      <c r="D804" s="293">
        <f>'[7]6'!N27</f>
        <v>11785</v>
      </c>
      <c r="E804" s="293">
        <f>ROUND(D804/D810*E810,0)</f>
        <v>15172</v>
      </c>
      <c r="G804" s="339">
        <v>-0.96</v>
      </c>
      <c r="H804" s="339"/>
      <c r="I804" s="294">
        <f t="shared" si="486"/>
        <v>-11314</v>
      </c>
      <c r="J804" s="294">
        <f t="shared" si="486"/>
        <v>-14565</v>
      </c>
      <c r="L804" s="339">
        <f>L766</f>
        <v>-0.96</v>
      </c>
      <c r="M804" s="339"/>
      <c r="N804" s="339">
        <f>N766</f>
        <v>0</v>
      </c>
      <c r="O804" s="339"/>
      <c r="P804" s="339">
        <f>P766</f>
        <v>0</v>
      </c>
      <c r="Q804" s="339"/>
      <c r="R804" s="339">
        <f>R766</f>
        <v>-0.96</v>
      </c>
      <c r="S804" s="339"/>
      <c r="T804" s="294">
        <f t="shared" ref="T804" si="495">ROUND($E804*L804,0)</f>
        <v>-14565</v>
      </c>
      <c r="V804" s="294">
        <f t="shared" ref="V804" si="496">ROUND($E804*N804,0)</f>
        <v>0</v>
      </c>
      <c r="X804" s="294">
        <f t="shared" ref="X804" si="497">ROUND($E804*P804,0)</f>
        <v>0</v>
      </c>
      <c r="Z804" s="294">
        <f t="shared" ref="Z804" si="498">ROUND($E804*R804,0)</f>
        <v>-14565</v>
      </c>
    </row>
    <row r="805" spans="2:29">
      <c r="B805" s="317" t="s">
        <v>1108</v>
      </c>
      <c r="D805" s="293">
        <f>'[7]6'!P27+'[7]6'!U27+[7]TempRev!M333</f>
        <v>52584420.815824702</v>
      </c>
      <c r="E805" s="293">
        <f>[7]Energy!Q46</f>
        <v>68150622.717435047</v>
      </c>
      <c r="G805" s="377">
        <v>3.8127</v>
      </c>
      <c r="H805" s="343" t="s">
        <v>1062</v>
      </c>
      <c r="I805" s="294">
        <f>ROUND($G805*D805/100,0)</f>
        <v>2004886</v>
      </c>
      <c r="J805" s="294">
        <f>ROUND($G805*E805/100,0)</f>
        <v>2598379</v>
      </c>
      <c r="L805" s="377"/>
      <c r="M805" s="343"/>
      <c r="N805" s="377"/>
      <c r="O805" s="343"/>
      <c r="P805" s="377"/>
      <c r="Q805" s="343"/>
      <c r="R805" s="377"/>
      <c r="S805" s="343"/>
      <c r="T805" s="346"/>
      <c r="U805" s="346"/>
      <c r="V805" s="346"/>
      <c r="W805" s="346"/>
      <c r="X805" s="346"/>
      <c r="Y805" s="346"/>
    </row>
    <row r="806" spans="2:29">
      <c r="B806" s="317" t="s">
        <v>1109</v>
      </c>
      <c r="D806" s="293">
        <f>'[7]6'!Q27+'[7]6'!V27+[7]TempRev!M334</f>
        <v>70650171.113769352</v>
      </c>
      <c r="E806" s="293">
        <f>[7]Energy!R46</f>
        <v>91338353.088650778</v>
      </c>
      <c r="G806" s="377">
        <v>3.5143</v>
      </c>
      <c r="H806" s="343" t="s">
        <v>1062</v>
      </c>
      <c r="I806" s="294">
        <f>ROUND($G806*D806/100,0)</f>
        <v>2482859</v>
      </c>
      <c r="J806" s="294">
        <f>ROUND($G806*E806/100,0)</f>
        <v>3209904</v>
      </c>
      <c r="L806" s="377"/>
      <c r="M806" s="343"/>
      <c r="N806" s="377"/>
      <c r="O806" s="343"/>
      <c r="P806" s="377"/>
      <c r="Q806" s="343"/>
      <c r="R806" s="377"/>
      <c r="S806" s="343"/>
      <c r="T806" s="346"/>
      <c r="U806" s="346"/>
      <c r="V806" s="346"/>
      <c r="W806" s="346"/>
      <c r="X806" s="346"/>
      <c r="Y806" s="346"/>
    </row>
    <row r="807" spans="2:29">
      <c r="B807" s="317" t="s">
        <v>1078</v>
      </c>
      <c r="D807" s="357">
        <f>'[7]Table 2'!J46</f>
        <v>653301</v>
      </c>
      <c r="E807" s="357">
        <v>0</v>
      </c>
      <c r="I807" s="358">
        <f>'[7]Table 3'!F46</f>
        <v>61273</v>
      </c>
      <c r="J807" s="358">
        <v>0</v>
      </c>
      <c r="Z807" s="358">
        <v>0</v>
      </c>
    </row>
    <row r="808" spans="2:29">
      <c r="B808" s="317" t="s">
        <v>1079</v>
      </c>
      <c r="G808" s="338">
        <v>-3.61E-2</v>
      </c>
      <c r="H808" s="339"/>
      <c r="I808" s="294">
        <f>SUM(I802:I803,I805:I806)*$G808</f>
        <v>-327560.89490000001</v>
      </c>
      <c r="J808" s="294">
        <f>SUM(J802:J803,J805:J806)*$G808</f>
        <v>-422806.48509999999</v>
      </c>
      <c r="L808" s="338"/>
      <c r="M808" s="339"/>
      <c r="N808" s="338"/>
      <c r="O808" s="339"/>
      <c r="P808" s="359" t="str">
        <f>$P$43</f>
        <v>Tax Year 1</v>
      </c>
      <c r="Q808" s="339"/>
      <c r="R808" s="338">
        <f>$R$687</f>
        <v>-2.4199999999999999E-2</v>
      </c>
      <c r="S808" s="339"/>
      <c r="Z808" s="294">
        <f>R808*SUM(Z798:Z801)</f>
        <v>-287319.1948</v>
      </c>
    </row>
    <row r="809" spans="2:29">
      <c r="B809" s="317"/>
      <c r="G809" s="338"/>
      <c r="H809" s="339"/>
      <c r="L809" s="338"/>
      <c r="M809" s="339"/>
      <c r="N809" s="338"/>
      <c r="O809" s="339"/>
      <c r="P809" s="359" t="str">
        <f>$P$44</f>
        <v>Tax Year 2</v>
      </c>
      <c r="Q809" s="339"/>
      <c r="R809" s="338">
        <f>$R$688</f>
        <v>-1.21E-2</v>
      </c>
      <c r="S809" s="339"/>
      <c r="Z809" s="294">
        <f>R809*SUM(Z798:Z801)</f>
        <v>-143659.5974</v>
      </c>
    </row>
    <row r="810" spans="2:29" ht="16.5" thickBot="1">
      <c r="B810" s="317" t="s">
        <v>937</v>
      </c>
      <c r="D810" s="381">
        <f>SUM(D805:D807)</f>
        <v>123887892.92959405</v>
      </c>
      <c r="E810" s="381">
        <f>SUM(E805:E807)</f>
        <v>159488975.80608582</v>
      </c>
      <c r="G810" s="368"/>
      <c r="I810" s="369">
        <f>SUM(I794:I808)</f>
        <v>10440111.1051</v>
      </c>
      <c r="J810" s="369">
        <f>SUM(J794:J808)</f>
        <v>13386924.514900001</v>
      </c>
      <c r="L810" s="368"/>
      <c r="N810" s="368"/>
      <c r="P810" s="368"/>
      <c r="R810" s="368"/>
      <c r="T810" s="369">
        <f>SUM(T794:T807)</f>
        <v>2451114</v>
      </c>
      <c r="V810" s="369">
        <f>SUM(V794:V807)</f>
        <v>8189746</v>
      </c>
      <c r="X810" s="369">
        <f>SUM(X794:X807)</f>
        <v>3366330</v>
      </c>
      <c r="Z810" s="369">
        <f>SUM(Z794:Z807)</f>
        <v>14007191</v>
      </c>
      <c r="AB810" s="305" t="s">
        <v>939</v>
      </c>
      <c r="AC810" s="304">
        <f>Z810/J810-1</f>
        <v>4.6333755330406623E-2</v>
      </c>
    </row>
    <row r="811" spans="2:29" ht="16.5" thickTop="1"/>
    <row r="812" spans="2:29">
      <c r="B812" s="314" t="s">
        <v>965</v>
      </c>
    </row>
    <row r="813" spans="2:29">
      <c r="B813" s="317" t="s">
        <v>1089</v>
      </c>
      <c r="D813" s="293">
        <f>'[7]6'!H28</f>
        <v>72</v>
      </c>
      <c r="E813" s="293">
        <f>[7]Bill!P72</f>
        <v>198</v>
      </c>
      <c r="G813" s="339">
        <v>54</v>
      </c>
      <c r="H813" s="339"/>
      <c r="I813" s="294">
        <f t="shared" ref="I813:J823" si="499">ROUND($G813*D813,0)</f>
        <v>3888</v>
      </c>
      <c r="J813" s="294">
        <f t="shared" si="499"/>
        <v>10692</v>
      </c>
      <c r="L813" s="339">
        <f t="shared" ref="L813:L820" si="500">L756</f>
        <v>55</v>
      </c>
      <c r="M813" s="339"/>
      <c r="N813" s="339">
        <f t="shared" ref="N813:N820" si="501">N756</f>
        <v>0</v>
      </c>
      <c r="O813" s="339"/>
      <c r="P813" s="339">
        <f t="shared" ref="P813:P820" si="502">P756</f>
        <v>0</v>
      </c>
      <c r="Q813" s="339"/>
      <c r="R813" s="339">
        <f t="shared" ref="R813:R820" si="503">R756</f>
        <v>55</v>
      </c>
      <c r="S813" s="339"/>
      <c r="T813" s="294">
        <f>ROUND($E813*L813,0)</f>
        <v>10890</v>
      </c>
      <c r="V813" s="294">
        <f>ROUND($E813*N813,0)</f>
        <v>0</v>
      </c>
      <c r="X813" s="294">
        <f>ROUND($E813*P813,0)</f>
        <v>0</v>
      </c>
      <c r="Z813" s="294">
        <f>ROUND($E813*R813,0)</f>
        <v>10890</v>
      </c>
    </row>
    <row r="814" spans="2:29">
      <c r="B814" s="317" t="s">
        <v>1099</v>
      </c>
      <c r="D814" s="293">
        <v>0</v>
      </c>
      <c r="E814" s="293">
        <f>ROUND(D814/D813*E813,0)</f>
        <v>0</v>
      </c>
      <c r="G814" s="339">
        <v>648</v>
      </c>
      <c r="H814" s="339"/>
      <c r="I814" s="294">
        <f t="shared" si="499"/>
        <v>0</v>
      </c>
      <c r="J814" s="294">
        <f t="shared" si="499"/>
        <v>0</v>
      </c>
      <c r="L814" s="339">
        <f t="shared" si="500"/>
        <v>660</v>
      </c>
      <c r="M814" s="339"/>
      <c r="N814" s="339">
        <f t="shared" si="501"/>
        <v>0</v>
      </c>
      <c r="O814" s="339"/>
      <c r="P814" s="339">
        <f t="shared" si="502"/>
        <v>0</v>
      </c>
      <c r="Q814" s="339"/>
      <c r="R814" s="339">
        <f t="shared" si="503"/>
        <v>660</v>
      </c>
      <c r="S814" s="339"/>
      <c r="T814" s="294">
        <f t="shared" ref="T814:T818" si="504">ROUND($E814*L814,0)</f>
        <v>0</v>
      </c>
      <c r="V814" s="294">
        <f t="shared" ref="V814:V818" si="505">ROUND($E814*N814,0)</f>
        <v>0</v>
      </c>
      <c r="X814" s="294">
        <f t="shared" ref="X814:X818" si="506">ROUND($E814*P814,0)</f>
        <v>0</v>
      </c>
      <c r="Z814" s="294">
        <f t="shared" ref="Z814:Z818" si="507">ROUND($E814*R814,0)</f>
        <v>0</v>
      </c>
    </row>
    <row r="815" spans="2:29">
      <c r="B815" s="317" t="s">
        <v>1100</v>
      </c>
      <c r="D815" s="293">
        <v>0</v>
      </c>
      <c r="E815" s="293">
        <f>ROUND(D815/D813*E813,0)</f>
        <v>0</v>
      </c>
      <c r="G815" s="339">
        <v>54</v>
      </c>
      <c r="H815" s="339"/>
      <c r="I815" s="294">
        <f t="shared" si="499"/>
        <v>0</v>
      </c>
      <c r="J815" s="294">
        <f t="shared" si="499"/>
        <v>0</v>
      </c>
      <c r="L815" s="339">
        <f t="shared" si="500"/>
        <v>55</v>
      </c>
      <c r="M815" s="339"/>
      <c r="N815" s="339">
        <f t="shared" si="501"/>
        <v>0</v>
      </c>
      <c r="O815" s="339"/>
      <c r="P815" s="339">
        <f t="shared" si="502"/>
        <v>0</v>
      </c>
      <c r="Q815" s="339"/>
      <c r="R815" s="339">
        <f t="shared" si="503"/>
        <v>55</v>
      </c>
      <c r="S815" s="339"/>
      <c r="T815" s="294">
        <f t="shared" si="504"/>
        <v>0</v>
      </c>
      <c r="V815" s="294">
        <f t="shared" si="505"/>
        <v>0</v>
      </c>
      <c r="X815" s="294">
        <f t="shared" si="506"/>
        <v>0</v>
      </c>
      <c r="Z815" s="294">
        <f t="shared" si="507"/>
        <v>0</v>
      </c>
    </row>
    <row r="816" spans="2:29">
      <c r="B816" s="317" t="s">
        <v>1101</v>
      </c>
      <c r="D816" s="293">
        <f>'[7]6'!J28</f>
        <v>8018</v>
      </c>
      <c r="E816" s="293">
        <f>ROUND(D816/D829*E829,0)</f>
        <v>22613</v>
      </c>
      <c r="G816" s="339">
        <v>4.04</v>
      </c>
      <c r="H816" s="339"/>
      <c r="I816" s="294">
        <f>ROUND($G816*D816,0)</f>
        <v>32393</v>
      </c>
      <c r="J816" s="294">
        <f>ROUND($G816*E816,0)</f>
        <v>91357</v>
      </c>
      <c r="L816" s="339">
        <f t="shared" si="500"/>
        <v>4.1100000000000003</v>
      </c>
      <c r="M816" s="339"/>
      <c r="N816" s="339">
        <f t="shared" si="501"/>
        <v>0</v>
      </c>
      <c r="O816" s="339"/>
      <c r="P816" s="339">
        <f t="shared" si="502"/>
        <v>0</v>
      </c>
      <c r="Q816" s="339"/>
      <c r="R816" s="339">
        <f t="shared" si="503"/>
        <v>4.1100000000000003</v>
      </c>
      <c r="S816" s="339"/>
      <c r="T816" s="294">
        <f t="shared" si="504"/>
        <v>92939</v>
      </c>
      <c r="V816" s="294">
        <f t="shared" si="505"/>
        <v>0</v>
      </c>
      <c r="X816" s="294">
        <f t="shared" si="506"/>
        <v>0</v>
      </c>
      <c r="Z816" s="294">
        <f t="shared" si="507"/>
        <v>92939</v>
      </c>
    </row>
    <row r="817" spans="1:29">
      <c r="B817" s="317" t="s">
        <v>1102</v>
      </c>
      <c r="D817" s="293">
        <f>'[7]6'!L28+'[7]6-may'!L28</f>
        <v>3122.8223144829426</v>
      </c>
      <c r="E817" s="293">
        <f>ROUND(D817/D819*E819,0)</f>
        <v>8892</v>
      </c>
      <c r="G817" s="339"/>
      <c r="H817" s="339"/>
      <c r="L817" s="339">
        <f t="shared" si="500"/>
        <v>0.73</v>
      </c>
      <c r="M817" s="339"/>
      <c r="N817" s="339">
        <f t="shared" si="501"/>
        <v>12.959999999999999</v>
      </c>
      <c r="O817" s="339"/>
      <c r="P817" s="339">
        <f t="shared" si="502"/>
        <v>0</v>
      </c>
      <c r="Q817" s="339"/>
      <c r="R817" s="339">
        <f t="shared" si="503"/>
        <v>13.69</v>
      </c>
      <c r="S817" s="339"/>
      <c r="T817" s="294">
        <f t="shared" si="504"/>
        <v>6491</v>
      </c>
      <c r="V817" s="294">
        <f t="shared" si="505"/>
        <v>115240</v>
      </c>
      <c r="X817" s="294">
        <f t="shared" si="506"/>
        <v>0</v>
      </c>
      <c r="Z817" s="294">
        <f t="shared" si="507"/>
        <v>121731</v>
      </c>
    </row>
    <row r="818" spans="1:29">
      <c r="B818" s="317" t="s">
        <v>1103</v>
      </c>
      <c r="D818" s="293">
        <f>'[7]6'!M28+'[7]6-may'!M28</f>
        <v>4895.1792973868469</v>
      </c>
      <c r="E818" s="293">
        <f>ROUND(D818/D820*E820,0)</f>
        <v>13347</v>
      </c>
      <c r="G818" s="339"/>
      <c r="H818" s="339"/>
      <c r="L818" s="339">
        <f t="shared" si="500"/>
        <v>0.64</v>
      </c>
      <c r="M818" s="339"/>
      <c r="N818" s="339">
        <f t="shared" si="501"/>
        <v>11.479999999999999</v>
      </c>
      <c r="O818" s="339"/>
      <c r="P818" s="339">
        <f t="shared" si="502"/>
        <v>0</v>
      </c>
      <c r="Q818" s="339"/>
      <c r="R818" s="339">
        <f t="shared" si="503"/>
        <v>12.12</v>
      </c>
      <c r="S818" s="339"/>
      <c r="T818" s="294">
        <f t="shared" si="504"/>
        <v>8542</v>
      </c>
      <c r="V818" s="294">
        <f t="shared" si="505"/>
        <v>153224</v>
      </c>
      <c r="X818" s="294">
        <f t="shared" si="506"/>
        <v>0</v>
      </c>
      <c r="Z818" s="294">
        <f t="shared" si="507"/>
        <v>161766</v>
      </c>
    </row>
    <row r="819" spans="1:29">
      <c r="B819" s="317" t="s">
        <v>1104</v>
      </c>
      <c r="D819" s="293">
        <f>'[7]6'!P28+'[7]6'!U28+'[7]6-may'!P28+'[7]6-may'!U28</f>
        <v>884756.20477691339</v>
      </c>
      <c r="E819" s="293">
        <f>[7]Energy!S72</f>
        <v>2519405.666666667</v>
      </c>
      <c r="G819" s="377"/>
      <c r="H819" s="343"/>
      <c r="L819" s="377">
        <f t="shared" si="500"/>
        <v>0</v>
      </c>
      <c r="M819" s="343" t="s">
        <v>1062</v>
      </c>
      <c r="N819" s="377">
        <f t="shared" si="501"/>
        <v>1.7162999999999999</v>
      </c>
      <c r="O819" s="343" t="s">
        <v>1062</v>
      </c>
      <c r="P819" s="377">
        <f t="shared" si="502"/>
        <v>2.279911334706</v>
      </c>
      <c r="Q819" s="343" t="s">
        <v>1062</v>
      </c>
      <c r="R819" s="377">
        <f t="shared" si="503"/>
        <v>3.996211334706</v>
      </c>
      <c r="S819" s="343" t="s">
        <v>1062</v>
      </c>
      <c r="T819" s="294">
        <f>ROUND($E819*L819/100,0)</f>
        <v>0</v>
      </c>
      <c r="V819" s="294">
        <f>ROUND($E819*N819/100,0)</f>
        <v>43241</v>
      </c>
      <c r="X819" s="294">
        <f>ROUND($E819*P819/100,0)</f>
        <v>57440</v>
      </c>
      <c r="Y819" s="346"/>
      <c r="Z819" s="294">
        <f>ROUND($E819*R819/100,0)</f>
        <v>100681</v>
      </c>
    </row>
    <row r="820" spans="1:29">
      <c r="B820" s="317" t="s">
        <v>1105</v>
      </c>
      <c r="D820" s="293">
        <f>'[7]6'!Q28+'[7]6'!V28+'[7]6-may'!Q28+'[7]6-may'!V28</f>
        <v>1346071.7952230866</v>
      </c>
      <c r="E820" s="293">
        <f>[7]Energy!T72</f>
        <v>3670033.833333333</v>
      </c>
      <c r="G820" s="377"/>
      <c r="H820" s="343"/>
      <c r="L820" s="377">
        <f t="shared" si="500"/>
        <v>0</v>
      </c>
      <c r="M820" s="343" t="s">
        <v>1062</v>
      </c>
      <c r="N820" s="377">
        <f t="shared" si="501"/>
        <v>1.5188999999999999</v>
      </c>
      <c r="O820" s="343" t="s">
        <v>1062</v>
      </c>
      <c r="P820" s="377">
        <f t="shared" si="502"/>
        <v>2.0175702077039999</v>
      </c>
      <c r="Q820" s="343" t="s">
        <v>1062</v>
      </c>
      <c r="R820" s="377">
        <f t="shared" si="503"/>
        <v>3.5364702077039998</v>
      </c>
      <c r="S820" s="343" t="s">
        <v>1062</v>
      </c>
      <c r="T820" s="294">
        <f>ROUND($E820*L820/100,0)</f>
        <v>0</v>
      </c>
      <c r="V820" s="294">
        <f>ROUND($E820*N820/100,0)</f>
        <v>55744</v>
      </c>
      <c r="X820" s="294">
        <f>ROUND($E820*P820/100,0)</f>
        <v>74046</v>
      </c>
      <c r="Y820" s="346"/>
      <c r="Z820" s="294">
        <f>ROUND($E820*R820/100,0)</f>
        <v>129790</v>
      </c>
    </row>
    <row r="821" spans="1:29">
      <c r="B821" s="317" t="s">
        <v>1106</v>
      </c>
      <c r="D821" s="293">
        <f>'[7]6'!L28</f>
        <v>3777.72571819426</v>
      </c>
      <c r="E821" s="293">
        <f>ROUND(D821/D829*E829,0)</f>
        <v>10654</v>
      </c>
      <c r="G821" s="339">
        <v>14.62</v>
      </c>
      <c r="H821" s="339"/>
      <c r="I821" s="294">
        <f t="shared" si="499"/>
        <v>55230</v>
      </c>
      <c r="J821" s="294">
        <f t="shared" si="499"/>
        <v>155761</v>
      </c>
      <c r="L821" s="339"/>
      <c r="M821" s="339"/>
      <c r="N821" s="339"/>
      <c r="O821" s="339"/>
      <c r="P821" s="339"/>
      <c r="Q821" s="339"/>
      <c r="R821" s="339"/>
      <c r="S821" s="339"/>
    </row>
    <row r="822" spans="1:29">
      <c r="B822" s="317" t="s">
        <v>1107</v>
      </c>
      <c r="D822" s="293">
        <f>'[7]6'!M28</f>
        <v>4240.2758936755299</v>
      </c>
      <c r="E822" s="293">
        <f>ROUND(D822/D829*E829,0)</f>
        <v>11959</v>
      </c>
      <c r="G822" s="339">
        <v>10.91</v>
      </c>
      <c r="H822" s="339"/>
      <c r="I822" s="294">
        <f t="shared" si="499"/>
        <v>46261</v>
      </c>
      <c r="J822" s="294">
        <f t="shared" si="499"/>
        <v>130473</v>
      </c>
      <c r="L822" s="339"/>
      <c r="M822" s="339"/>
      <c r="N822" s="339"/>
      <c r="O822" s="339"/>
      <c r="P822" s="339"/>
      <c r="Q822" s="339"/>
      <c r="R822" s="339"/>
      <c r="S822" s="339"/>
    </row>
    <row r="823" spans="1:29">
      <c r="B823" s="317" t="s">
        <v>1098</v>
      </c>
      <c r="D823" s="293">
        <f>'[7]6'!N28</f>
        <v>4057</v>
      </c>
      <c r="E823" s="293">
        <f>ROUND(D823/D829*E829,0)</f>
        <v>11442</v>
      </c>
      <c r="G823" s="339">
        <v>-0.96</v>
      </c>
      <c r="H823" s="339"/>
      <c r="I823" s="294">
        <f t="shared" si="499"/>
        <v>-3895</v>
      </c>
      <c r="J823" s="294">
        <f t="shared" si="499"/>
        <v>-10984</v>
      </c>
      <c r="L823" s="339">
        <f>L766</f>
        <v>-0.96</v>
      </c>
      <c r="M823" s="339"/>
      <c r="N823" s="339">
        <f>N766</f>
        <v>0</v>
      </c>
      <c r="O823" s="339"/>
      <c r="P823" s="339">
        <f>P766</f>
        <v>0</v>
      </c>
      <c r="Q823" s="339"/>
      <c r="R823" s="339">
        <f>R766</f>
        <v>-0.96</v>
      </c>
      <c r="S823" s="339"/>
      <c r="T823" s="294">
        <f t="shared" ref="T823" si="508">ROUND($E823*L823,0)</f>
        <v>-10984</v>
      </c>
      <c r="V823" s="294">
        <f t="shared" ref="V823" si="509">ROUND($E823*N823,0)</f>
        <v>0</v>
      </c>
      <c r="X823" s="294">
        <f t="shared" ref="X823" si="510">ROUND($E823*P823,0)</f>
        <v>0</v>
      </c>
      <c r="Z823" s="294">
        <f t="shared" ref="Z823" si="511">ROUND($E823*R823,0)</f>
        <v>-10984</v>
      </c>
    </row>
    <row r="824" spans="1:29">
      <c r="B824" s="317" t="s">
        <v>1108</v>
      </c>
      <c r="D824" s="293">
        <f>'[7]6'!P28+'[7]6'!U28</f>
        <v>1062056</v>
      </c>
      <c r="E824" s="293">
        <f>[7]Energy!Q72</f>
        <v>2953264.3333333335</v>
      </c>
      <c r="G824" s="377">
        <v>3.8127</v>
      </c>
      <c r="H824" s="343" t="s">
        <v>1062</v>
      </c>
      <c r="I824" s="294">
        <f>ROUND($G824*D824/100,0)</f>
        <v>40493</v>
      </c>
      <c r="J824" s="294">
        <f>ROUND($G824*E824/100,0)</f>
        <v>112599</v>
      </c>
      <c r="L824" s="377"/>
      <c r="M824" s="343"/>
      <c r="N824" s="377"/>
      <c r="O824" s="343"/>
      <c r="P824" s="377"/>
      <c r="Q824" s="343"/>
      <c r="R824" s="377"/>
      <c r="S824" s="343"/>
      <c r="T824" s="346"/>
      <c r="U824" s="346"/>
      <c r="V824" s="346"/>
      <c r="W824" s="346"/>
      <c r="X824" s="346"/>
      <c r="Y824" s="346"/>
    </row>
    <row r="825" spans="1:29">
      <c r="B825" s="317" t="s">
        <v>1109</v>
      </c>
      <c r="D825" s="293">
        <f>'[7]6'!Q28+'[7]6'!V28</f>
        <v>1168772</v>
      </c>
      <c r="E825" s="293">
        <f>[7]Energy!R72</f>
        <v>3236175.1666666665</v>
      </c>
      <c r="G825" s="377">
        <v>3.5143</v>
      </c>
      <c r="H825" s="343" t="s">
        <v>1062</v>
      </c>
      <c r="I825" s="294">
        <f>ROUND($G825*D825/100,0)</f>
        <v>41074</v>
      </c>
      <c r="J825" s="294">
        <f>ROUND($G825*E825/100,0)</f>
        <v>113729</v>
      </c>
      <c r="L825" s="377"/>
      <c r="M825" s="343"/>
      <c r="N825" s="377"/>
      <c r="O825" s="343"/>
      <c r="P825" s="377"/>
      <c r="Q825" s="343"/>
      <c r="R825" s="377"/>
      <c r="S825" s="343"/>
      <c r="T825" s="346"/>
      <c r="U825" s="346"/>
      <c r="V825" s="346"/>
      <c r="W825" s="346"/>
      <c r="X825" s="346"/>
      <c r="Y825" s="346"/>
    </row>
    <row r="826" spans="1:29">
      <c r="B826" s="317" t="s">
        <v>1078</v>
      </c>
      <c r="D826" s="357">
        <f>'[7]Table 2'!J84</f>
        <v>-36163</v>
      </c>
      <c r="E826" s="357">
        <v>0</v>
      </c>
      <c r="I826" s="358">
        <f>'[7]Table 3'!F84</f>
        <v>-3174</v>
      </c>
      <c r="J826" s="358">
        <v>0</v>
      </c>
      <c r="Z826" s="358">
        <v>0</v>
      </c>
    </row>
    <row r="827" spans="1:29">
      <c r="B827" s="317" t="s">
        <v>1079</v>
      </c>
      <c r="G827" s="338">
        <v>-3.61E-2</v>
      </c>
      <c r="H827" s="339"/>
      <c r="I827" s="294">
        <f>SUM(I821:I822,I824:I825)*$G827</f>
        <v>-6608.3937999999998</v>
      </c>
      <c r="J827" s="294">
        <f>SUM(J821:J822,J824:J825)*$G827</f>
        <v>-18503.4882</v>
      </c>
      <c r="L827" s="338"/>
      <c r="M827" s="339"/>
      <c r="N827" s="338"/>
      <c r="O827" s="339"/>
      <c r="P827" s="359" t="str">
        <f>$P$43</f>
        <v>Tax Year 1</v>
      </c>
      <c r="Q827" s="339"/>
      <c r="R827" s="338">
        <f>$R$687</f>
        <v>-2.4199999999999999E-2</v>
      </c>
      <c r="S827" s="339"/>
      <c r="Z827" s="294">
        <f>R827*SUM(Z817:Z820)</f>
        <v>-12438.025599999999</v>
      </c>
    </row>
    <row r="828" spans="1:29">
      <c r="B828" s="317"/>
      <c r="G828" s="338"/>
      <c r="H828" s="339"/>
      <c r="L828" s="338"/>
      <c r="M828" s="339"/>
      <c r="N828" s="338"/>
      <c r="O828" s="339"/>
      <c r="P828" s="359" t="str">
        <f>$P$44</f>
        <v>Tax Year 2</v>
      </c>
      <c r="Q828" s="339"/>
      <c r="R828" s="338">
        <f>$R$688</f>
        <v>-1.21E-2</v>
      </c>
      <c r="S828" s="339"/>
      <c r="Z828" s="294">
        <f>R828*SUM(Z817:Z820)</f>
        <v>-6219.0127999999995</v>
      </c>
    </row>
    <row r="829" spans="1:29" ht="16.5" thickBot="1">
      <c r="B829" s="317" t="s">
        <v>937</v>
      </c>
      <c r="D829" s="381">
        <f>SUM(D824:D826)</f>
        <v>2194665</v>
      </c>
      <c r="E829" s="381">
        <f>SUM(E824:E826)</f>
        <v>6189439.5</v>
      </c>
      <c r="G829" s="368"/>
      <c r="I829" s="369">
        <f>SUM(I813:I827)</f>
        <v>205661.60620000001</v>
      </c>
      <c r="J829" s="369">
        <f>SUM(J813:J827)</f>
        <v>585123.51179999998</v>
      </c>
      <c r="L829" s="368"/>
      <c r="N829" s="368"/>
      <c r="P829" s="368"/>
      <c r="R829" s="368"/>
      <c r="T829" s="369">
        <f>SUM(T813:T826)</f>
        <v>107878</v>
      </c>
      <c r="V829" s="369">
        <f>SUM(V813:V826)</f>
        <v>367449</v>
      </c>
      <c r="X829" s="369">
        <f>SUM(X813:X826)</f>
        <v>131486</v>
      </c>
      <c r="Z829" s="369">
        <f>SUM(Z813:Z826)</f>
        <v>606813</v>
      </c>
      <c r="AB829" s="305" t="s">
        <v>939</v>
      </c>
      <c r="AC829" s="304">
        <f>Z829/J829-1</f>
        <v>3.7068221943905799E-2</v>
      </c>
    </row>
    <row r="831" spans="1:29">
      <c r="A831" s="292">
        <v>1</v>
      </c>
      <c r="B831" s="314" t="s">
        <v>966</v>
      </c>
    </row>
    <row r="832" spans="1:29">
      <c r="B832" s="317" t="s">
        <v>1089</v>
      </c>
      <c r="D832" s="293">
        <f t="shared" ref="D832:E845" si="512">D851+D870</f>
        <v>220.73333333333335</v>
      </c>
      <c r="E832" s="293">
        <f t="shared" si="512"/>
        <v>611</v>
      </c>
      <c r="G832" s="339">
        <v>54</v>
      </c>
      <c r="H832" s="339"/>
      <c r="I832" s="294">
        <f t="shared" ref="I832:J842" si="513">ROUND($G832*D832,0)</f>
        <v>11920</v>
      </c>
      <c r="J832" s="294">
        <f t="shared" si="513"/>
        <v>32994</v>
      </c>
      <c r="L832" s="339">
        <f>L672</f>
        <v>55</v>
      </c>
      <c r="M832" s="339"/>
      <c r="N832" s="339">
        <f>N672</f>
        <v>0</v>
      </c>
      <c r="O832" s="339"/>
      <c r="P832" s="339">
        <f>P672</f>
        <v>0</v>
      </c>
      <c r="Q832" s="339"/>
      <c r="R832" s="339">
        <f>R672</f>
        <v>55</v>
      </c>
      <c r="S832" s="339"/>
      <c r="T832" s="294">
        <f>ROUND($E832*L832,0)</f>
        <v>33605</v>
      </c>
      <c r="V832" s="294">
        <f>ROUND($E832*N832,0)</f>
        <v>0</v>
      </c>
      <c r="X832" s="294">
        <f>ROUND($E832*P832,0)</f>
        <v>0</v>
      </c>
      <c r="Z832" s="294">
        <f>ROUND($E832*R832,0)</f>
        <v>33605</v>
      </c>
    </row>
    <row r="833" spans="1:29">
      <c r="B833" s="317" t="s">
        <v>1099</v>
      </c>
      <c r="D833" s="293">
        <f t="shared" si="512"/>
        <v>0</v>
      </c>
      <c r="E833" s="293">
        <f t="shared" si="512"/>
        <v>0</v>
      </c>
      <c r="G833" s="339">
        <v>648</v>
      </c>
      <c r="H833" s="339"/>
      <c r="I833" s="294">
        <f t="shared" si="513"/>
        <v>0</v>
      </c>
      <c r="J833" s="294">
        <f t="shared" si="513"/>
        <v>0</v>
      </c>
      <c r="L833" s="339">
        <f>L673</f>
        <v>660</v>
      </c>
      <c r="M833" s="339"/>
      <c r="N833" s="339">
        <f>N673</f>
        <v>0</v>
      </c>
      <c r="O833" s="339"/>
      <c r="P833" s="339">
        <f>P673</f>
        <v>0</v>
      </c>
      <c r="Q833" s="339"/>
      <c r="R833" s="339">
        <f>R673</f>
        <v>660</v>
      </c>
      <c r="S833" s="339"/>
      <c r="T833" s="294">
        <f t="shared" ref="T833:T837" si="514">ROUND($E833*L833,0)</f>
        <v>0</v>
      </c>
      <c r="V833" s="294">
        <f t="shared" ref="V833:Z837" si="515">ROUND($E833*N833,0)</f>
        <v>0</v>
      </c>
      <c r="X833" s="294">
        <f t="shared" si="515"/>
        <v>0</v>
      </c>
      <c r="Z833" s="294">
        <f t="shared" si="515"/>
        <v>0</v>
      </c>
    </row>
    <row r="834" spans="1:29">
      <c r="B834" s="317" t="s">
        <v>1050</v>
      </c>
      <c r="D834" s="293">
        <f t="shared" si="512"/>
        <v>21</v>
      </c>
      <c r="E834" s="293">
        <f t="shared" si="512"/>
        <v>59</v>
      </c>
      <c r="G834" s="339">
        <v>2</v>
      </c>
      <c r="H834" s="339"/>
      <c r="I834" s="294">
        <f t="shared" si="513"/>
        <v>42</v>
      </c>
      <c r="J834" s="294">
        <f t="shared" si="513"/>
        <v>118</v>
      </c>
      <c r="L834" s="339">
        <f>R834</f>
        <v>2</v>
      </c>
      <c r="M834" s="339"/>
      <c r="N834" s="339">
        <v>0</v>
      </c>
      <c r="O834" s="339"/>
      <c r="P834" s="339">
        <v>0</v>
      </c>
      <c r="Q834" s="339"/>
      <c r="R834" s="339">
        <f>G834</f>
        <v>2</v>
      </c>
      <c r="S834" s="339"/>
      <c r="T834" s="294">
        <f t="shared" si="514"/>
        <v>118</v>
      </c>
      <c r="V834" s="294">
        <f t="shared" si="515"/>
        <v>0</v>
      </c>
      <c r="X834" s="294">
        <f t="shared" si="515"/>
        <v>0</v>
      </c>
      <c r="Z834" s="294">
        <f t="shared" si="515"/>
        <v>118</v>
      </c>
    </row>
    <row r="835" spans="1:29">
      <c r="B835" s="317" t="s">
        <v>1101</v>
      </c>
      <c r="D835" s="293">
        <f t="shared" si="512"/>
        <v>25513.264851485168</v>
      </c>
      <c r="E835" s="293">
        <f t="shared" si="512"/>
        <v>94165</v>
      </c>
      <c r="G835" s="339">
        <v>4.04</v>
      </c>
      <c r="H835" s="339"/>
      <c r="I835" s="294">
        <f>ROUND($G835*D835,0)</f>
        <v>103074</v>
      </c>
      <c r="J835" s="294">
        <f>ROUND($G835*E835,0)</f>
        <v>380427</v>
      </c>
      <c r="L835" s="339">
        <f>L675</f>
        <v>4.1100000000000003</v>
      </c>
      <c r="M835" s="339"/>
      <c r="N835" s="339">
        <f>N675</f>
        <v>0</v>
      </c>
      <c r="O835" s="339"/>
      <c r="P835" s="339">
        <f>P675</f>
        <v>0</v>
      </c>
      <c r="Q835" s="339"/>
      <c r="R835" s="339">
        <f>R675</f>
        <v>4.1100000000000003</v>
      </c>
      <c r="S835" s="339"/>
      <c r="T835" s="294">
        <f t="shared" si="514"/>
        <v>387018</v>
      </c>
      <c r="V835" s="294">
        <f t="shared" si="515"/>
        <v>0</v>
      </c>
      <c r="X835" s="294">
        <f t="shared" si="515"/>
        <v>0</v>
      </c>
      <c r="Z835" s="294">
        <f t="shared" si="515"/>
        <v>387018</v>
      </c>
    </row>
    <row r="836" spans="1:29">
      <c r="B836" s="317" t="s">
        <v>1102</v>
      </c>
      <c r="D836" s="293">
        <f t="shared" si="512"/>
        <v>11239.792072758026</v>
      </c>
      <c r="E836" s="293">
        <f t="shared" si="512"/>
        <v>34911</v>
      </c>
      <c r="G836" s="339"/>
      <c r="H836" s="339"/>
      <c r="L836" s="339">
        <f>L676</f>
        <v>0.73</v>
      </c>
      <c r="M836" s="339"/>
      <c r="N836" s="339">
        <f>N676</f>
        <v>12.959999999999999</v>
      </c>
      <c r="O836" s="339"/>
      <c r="P836" s="339">
        <f>P676</f>
        <v>0</v>
      </c>
      <c r="Q836" s="339"/>
      <c r="R836" s="339">
        <f>R676</f>
        <v>13.69</v>
      </c>
      <c r="S836" s="339"/>
      <c r="T836" s="294">
        <f t="shared" si="514"/>
        <v>25485</v>
      </c>
      <c r="V836" s="294">
        <f t="shared" si="515"/>
        <v>452447</v>
      </c>
      <c r="X836" s="294">
        <f t="shared" si="515"/>
        <v>0</v>
      </c>
      <c r="Z836" s="294">
        <f t="shared" si="515"/>
        <v>477932</v>
      </c>
    </row>
    <row r="837" spans="1:29">
      <c r="B837" s="317" t="s">
        <v>1103</v>
      </c>
      <c r="D837" s="293">
        <f t="shared" si="512"/>
        <v>14273.476505122684</v>
      </c>
      <c r="E837" s="293">
        <f t="shared" si="512"/>
        <v>59396</v>
      </c>
      <c r="G837" s="339"/>
      <c r="H837" s="339"/>
      <c r="L837" s="339">
        <f>L677</f>
        <v>0.64</v>
      </c>
      <c r="M837" s="339"/>
      <c r="N837" s="339">
        <f>N677</f>
        <v>11.479999999999999</v>
      </c>
      <c r="O837" s="339"/>
      <c r="P837" s="339">
        <f>P677</f>
        <v>0</v>
      </c>
      <c r="Q837" s="339"/>
      <c r="R837" s="339">
        <f>R677</f>
        <v>12.12</v>
      </c>
      <c r="S837" s="339"/>
      <c r="T837" s="294">
        <f t="shared" si="514"/>
        <v>38013</v>
      </c>
      <c r="V837" s="294">
        <f t="shared" si="515"/>
        <v>681866</v>
      </c>
      <c r="X837" s="294">
        <f t="shared" si="515"/>
        <v>0</v>
      </c>
      <c r="Z837" s="294">
        <f t="shared" si="515"/>
        <v>719880</v>
      </c>
    </row>
    <row r="838" spans="1:29">
      <c r="B838" s="317" t="s">
        <v>1104</v>
      </c>
      <c r="D838" s="293">
        <f t="shared" si="512"/>
        <v>2917301.8660099008</v>
      </c>
      <c r="E838" s="293">
        <f t="shared" si="512"/>
        <v>8593598.8227068186</v>
      </c>
      <c r="G838" s="377"/>
      <c r="H838" s="343"/>
      <c r="L838" s="377">
        <f>L678</f>
        <v>0</v>
      </c>
      <c r="M838" s="343" t="s">
        <v>1062</v>
      </c>
      <c r="N838" s="377">
        <f>N678</f>
        <v>1.7162999999999999</v>
      </c>
      <c r="O838" s="343" t="s">
        <v>1062</v>
      </c>
      <c r="P838" s="377">
        <f>P678</f>
        <v>2.279911334706</v>
      </c>
      <c r="Q838" s="343" t="s">
        <v>1062</v>
      </c>
      <c r="R838" s="377">
        <f>R678</f>
        <v>3.996211334706</v>
      </c>
      <c r="S838" s="343" t="s">
        <v>1062</v>
      </c>
      <c r="T838" s="294">
        <f>ROUND($E838*L838/100,0)</f>
        <v>0</v>
      </c>
      <c r="V838" s="294">
        <f>ROUND($E838*N838/100,0)</f>
        <v>147492</v>
      </c>
      <c r="X838" s="294">
        <f>ROUND($E838*P838/100,0)</f>
        <v>195926</v>
      </c>
      <c r="Y838" s="346"/>
      <c r="Z838" s="294">
        <f>ROUND($E838*R838/100,0)</f>
        <v>343418</v>
      </c>
    </row>
    <row r="839" spans="1:29">
      <c r="B839" s="317" t="s">
        <v>1105</v>
      </c>
      <c r="D839" s="293">
        <f t="shared" si="512"/>
        <v>3833312.1309039872</v>
      </c>
      <c r="E839" s="293">
        <f t="shared" si="512"/>
        <v>15566357.794983968</v>
      </c>
      <c r="G839" s="377"/>
      <c r="H839" s="343"/>
      <c r="L839" s="377">
        <f>L679</f>
        <v>0</v>
      </c>
      <c r="M839" s="343" t="s">
        <v>1062</v>
      </c>
      <c r="N839" s="377">
        <f>N679</f>
        <v>1.5188999999999999</v>
      </c>
      <c r="O839" s="343" t="s">
        <v>1062</v>
      </c>
      <c r="P839" s="377">
        <f>P679</f>
        <v>2.0175702077039999</v>
      </c>
      <c r="Q839" s="343" t="s">
        <v>1062</v>
      </c>
      <c r="R839" s="377">
        <f>R679</f>
        <v>3.5364702077039998</v>
      </c>
      <c r="S839" s="343" t="s">
        <v>1062</v>
      </c>
      <c r="T839" s="294">
        <f>ROUND($E839*L839/100,0)</f>
        <v>0</v>
      </c>
      <c r="V839" s="294">
        <f>ROUND($E839*N839/100,0)</f>
        <v>236437</v>
      </c>
      <c r="X839" s="294">
        <f>ROUND($E839*P839/100,0)</f>
        <v>314062</v>
      </c>
      <c r="Y839" s="346"/>
      <c r="Z839" s="294">
        <f>ROUND($E839*R839/100,0)</f>
        <v>550500</v>
      </c>
    </row>
    <row r="840" spans="1:29">
      <c r="B840" s="317" t="s">
        <v>1106</v>
      </c>
      <c r="D840" s="293">
        <f t="shared" si="512"/>
        <v>12796.58755129959</v>
      </c>
      <c r="E840" s="293">
        <f t="shared" si="512"/>
        <v>46788</v>
      </c>
      <c r="G840" s="339">
        <v>14.62</v>
      </c>
      <c r="H840" s="339"/>
      <c r="I840" s="294">
        <f t="shared" si="513"/>
        <v>187086</v>
      </c>
      <c r="J840" s="294">
        <f t="shared" si="513"/>
        <v>684041</v>
      </c>
      <c r="L840" s="339"/>
      <c r="M840" s="339"/>
      <c r="N840" s="339"/>
      <c r="O840" s="339"/>
      <c r="P840" s="339"/>
      <c r="Q840" s="339"/>
      <c r="R840" s="339"/>
      <c r="S840" s="339"/>
    </row>
    <row r="841" spans="1:29">
      <c r="B841" s="317" t="s">
        <v>1107</v>
      </c>
      <c r="D841" s="293">
        <f t="shared" si="512"/>
        <v>12716.681026581118</v>
      </c>
      <c r="E841" s="293">
        <f t="shared" si="512"/>
        <v>47377</v>
      </c>
      <c r="G841" s="339">
        <v>10.91</v>
      </c>
      <c r="H841" s="339"/>
      <c r="I841" s="294">
        <f t="shared" si="513"/>
        <v>138739</v>
      </c>
      <c r="J841" s="294">
        <f t="shared" si="513"/>
        <v>516883</v>
      </c>
      <c r="L841" s="339"/>
      <c r="M841" s="339"/>
      <c r="N841" s="339"/>
      <c r="O841" s="339"/>
      <c r="P841" s="339"/>
      <c r="Q841" s="339"/>
      <c r="R841" s="339"/>
      <c r="S841" s="339"/>
    </row>
    <row r="842" spans="1:29">
      <c r="B842" s="317" t="s">
        <v>1098</v>
      </c>
      <c r="D842" s="293">
        <f t="shared" si="512"/>
        <v>0</v>
      </c>
      <c r="E842" s="293">
        <f t="shared" si="512"/>
        <v>0</v>
      </c>
      <c r="G842" s="339">
        <v>-0.96</v>
      </c>
      <c r="H842" s="339"/>
      <c r="I842" s="294">
        <f t="shared" si="513"/>
        <v>0</v>
      </c>
      <c r="J842" s="294">
        <f t="shared" si="513"/>
        <v>0</v>
      </c>
      <c r="L842" s="339">
        <f>L682</f>
        <v>-0.96</v>
      </c>
      <c r="M842" s="339"/>
      <c r="N842" s="339">
        <f>N682</f>
        <v>0</v>
      </c>
      <c r="O842" s="339"/>
      <c r="P842" s="339">
        <f>P682</f>
        <v>0</v>
      </c>
      <c r="Q842" s="339"/>
      <c r="R842" s="339">
        <f>R682</f>
        <v>-0.96</v>
      </c>
      <c r="S842" s="339"/>
      <c r="T842" s="294">
        <f t="shared" ref="T842" si="516">ROUND($E842*L842,0)</f>
        <v>0</v>
      </c>
      <c r="V842" s="294">
        <f t="shared" ref="V842:Z842" si="517">ROUND($E842*N842,0)</f>
        <v>0</v>
      </c>
      <c r="X842" s="294">
        <f t="shared" si="517"/>
        <v>0</v>
      </c>
      <c r="Z842" s="294">
        <f t="shared" si="517"/>
        <v>0</v>
      </c>
    </row>
    <row r="843" spans="1:29">
      <c r="B843" s="317" t="s">
        <v>1108</v>
      </c>
      <c r="D843" s="293">
        <f t="shared" si="512"/>
        <v>3253739.3356775618</v>
      </c>
      <c r="E843" s="293">
        <f t="shared" si="512"/>
        <v>10344290.948182104</v>
      </c>
      <c r="G843" s="377">
        <v>3.8127</v>
      </c>
      <c r="H843" s="343" t="s">
        <v>1062</v>
      </c>
      <c r="I843" s="294">
        <f>ROUND($G843*D843/100,0)</f>
        <v>124055</v>
      </c>
      <c r="J843" s="294">
        <f>ROUND($G843*E843/100,0)</f>
        <v>394397</v>
      </c>
      <c r="L843" s="377"/>
      <c r="M843" s="343"/>
      <c r="N843" s="377"/>
      <c r="O843" s="343"/>
      <c r="P843" s="377"/>
      <c r="Q843" s="343"/>
      <c r="R843" s="377"/>
      <c r="S843" s="343"/>
      <c r="T843" s="346"/>
      <c r="U843" s="346"/>
      <c r="V843" s="346"/>
      <c r="W843" s="346"/>
      <c r="X843" s="346"/>
      <c r="Y843" s="346"/>
    </row>
    <row r="844" spans="1:29">
      <c r="B844" s="317" t="s">
        <v>1109</v>
      </c>
      <c r="D844" s="293">
        <f t="shared" si="512"/>
        <v>3496874.6612363262</v>
      </c>
      <c r="E844" s="293">
        <f t="shared" si="512"/>
        <v>13815665.669508683</v>
      </c>
      <c r="G844" s="377">
        <v>3.5143</v>
      </c>
      <c r="H844" s="343" t="s">
        <v>1062</v>
      </c>
      <c r="I844" s="294">
        <f>ROUND($G844*D844/100,0)</f>
        <v>122891</v>
      </c>
      <c r="J844" s="294">
        <f>ROUND($G844*E844/100,0)</f>
        <v>485524</v>
      </c>
      <c r="L844" s="377"/>
      <c r="M844" s="343"/>
      <c r="N844" s="377"/>
      <c r="O844" s="343"/>
      <c r="P844" s="377"/>
      <c r="Q844" s="343"/>
      <c r="R844" s="377"/>
      <c r="S844" s="343"/>
      <c r="T844" s="346"/>
      <c r="U844" s="346"/>
      <c r="V844" s="346"/>
      <c r="W844" s="346"/>
      <c r="X844" s="346"/>
      <c r="Y844" s="346"/>
    </row>
    <row r="845" spans="1:29">
      <c r="B845" s="317" t="s">
        <v>1078</v>
      </c>
      <c r="D845" s="357">
        <f t="shared" si="512"/>
        <v>20121</v>
      </c>
      <c r="E845" s="357">
        <f t="shared" si="512"/>
        <v>0</v>
      </c>
      <c r="I845" s="358">
        <f>I864+I883</f>
        <v>2719</v>
      </c>
      <c r="J845" s="358">
        <v>0</v>
      </c>
      <c r="Z845" s="358">
        <v>0</v>
      </c>
    </row>
    <row r="846" spans="1:29">
      <c r="B846" s="317" t="s">
        <v>1079</v>
      </c>
      <c r="G846" s="338">
        <v>-3.61E-2</v>
      </c>
      <c r="H846" s="339"/>
      <c r="I846" s="294">
        <f>SUM(I840:I841,I843:I844)*$G846</f>
        <v>-20677.033100000001</v>
      </c>
      <c r="J846" s="294">
        <f>SUM(J840:J841,J843:J844)*$G846</f>
        <v>-75118.504499999995</v>
      </c>
      <c r="L846" s="338"/>
      <c r="M846" s="339"/>
      <c r="N846" s="338"/>
      <c r="O846" s="339"/>
      <c r="P846" s="359" t="str">
        <f>$P$43</f>
        <v>Tax Year 1</v>
      </c>
      <c r="Q846" s="339"/>
      <c r="R846" s="338">
        <f>$R$687</f>
        <v>-2.4199999999999999E-2</v>
      </c>
      <c r="S846" s="339"/>
      <c r="Z846" s="294">
        <f>R846*SUM(Z836:Z839)</f>
        <v>-50619.866000000002</v>
      </c>
    </row>
    <row r="847" spans="1:29">
      <c r="B847" s="317"/>
      <c r="G847" s="338"/>
      <c r="H847" s="339"/>
      <c r="L847" s="338"/>
      <c r="M847" s="339"/>
      <c r="N847" s="338"/>
      <c r="O847" s="339"/>
      <c r="P847" s="359" t="str">
        <f>$P$44</f>
        <v>Tax Year 2</v>
      </c>
      <c r="Q847" s="339"/>
      <c r="R847" s="338">
        <f>$R$688</f>
        <v>-1.21E-2</v>
      </c>
      <c r="S847" s="339"/>
      <c r="Z847" s="294">
        <f>R847*SUM(Z836:Z839)</f>
        <v>-25309.933000000001</v>
      </c>
    </row>
    <row r="848" spans="1:29" ht="16.5" thickBot="1">
      <c r="A848" s="292">
        <v>1</v>
      </c>
      <c r="B848" s="317" t="s">
        <v>937</v>
      </c>
      <c r="D848" s="381">
        <f>SUM(D843:D845)</f>
        <v>6770734.9969138876</v>
      </c>
      <c r="E848" s="381">
        <f>SUM(E843:E845)</f>
        <v>24159956.617690787</v>
      </c>
      <c r="G848" s="368"/>
      <c r="I848" s="369">
        <f>SUM(I832:I846)</f>
        <v>669848.9669</v>
      </c>
      <c r="J848" s="369">
        <f>SUM(J832:J846)</f>
        <v>2419265.4955000002</v>
      </c>
      <c r="L848" s="368"/>
      <c r="N848" s="368"/>
      <c r="P848" s="368"/>
      <c r="R848" s="368"/>
      <c r="T848" s="369">
        <f>SUM(T832:T845)</f>
        <v>484239</v>
      </c>
      <c r="V848" s="369">
        <f>SUM(V832:V845)</f>
        <v>1518242</v>
      </c>
      <c r="X848" s="369">
        <f>SUM(X832:X845)</f>
        <v>509988</v>
      </c>
      <c r="Z848" s="369">
        <f>SUM(Z832:Z845)</f>
        <v>2512471</v>
      </c>
      <c r="AB848" s="305" t="s">
        <v>939</v>
      </c>
      <c r="AC848" s="304">
        <f>Z848/J848-1</f>
        <v>3.8526364581881856E-2</v>
      </c>
    </row>
    <row r="849" spans="1:26" ht="16.5" thickTop="1">
      <c r="A849" s="292">
        <v>1</v>
      </c>
    </row>
    <row r="850" spans="1:26">
      <c r="B850" s="314" t="s">
        <v>967</v>
      </c>
    </row>
    <row r="851" spans="1:26">
      <c r="B851" s="317" t="s">
        <v>1089</v>
      </c>
      <c r="D851" s="293">
        <f>'[7]6'!H31</f>
        <v>215.66666666666669</v>
      </c>
      <c r="E851" s="293">
        <f>[7]Bill!P50</f>
        <v>611</v>
      </c>
      <c r="G851" s="339">
        <v>54</v>
      </c>
      <c r="H851" s="339"/>
      <c r="I851" s="294">
        <f t="shared" ref="I851:J861" si="518">ROUND($G851*D851,0)</f>
        <v>11646</v>
      </c>
      <c r="J851" s="294">
        <f t="shared" si="518"/>
        <v>32994</v>
      </c>
      <c r="L851" s="339">
        <f>L832</f>
        <v>55</v>
      </c>
      <c r="M851" s="339"/>
      <c r="N851" s="339">
        <f>N832</f>
        <v>0</v>
      </c>
      <c r="O851" s="339"/>
      <c r="P851" s="339">
        <f>P832</f>
        <v>0</v>
      </c>
      <c r="Q851" s="339"/>
      <c r="R851" s="339">
        <f t="shared" ref="R851:R858" si="519">R832</f>
        <v>55</v>
      </c>
      <c r="S851" s="339"/>
      <c r="T851" s="294">
        <f>ROUND($E851*L851,0)</f>
        <v>33605</v>
      </c>
      <c r="V851" s="294">
        <f>ROUND($E851*N851,0)</f>
        <v>0</v>
      </c>
      <c r="X851" s="294">
        <f>ROUND($E851*P851,0)</f>
        <v>0</v>
      </c>
      <c r="Z851" s="294">
        <f>ROUND($E851*R851,0)</f>
        <v>33605</v>
      </c>
    </row>
    <row r="852" spans="1:26">
      <c r="B852" s="317" t="s">
        <v>1099</v>
      </c>
      <c r="D852" s="293">
        <v>0</v>
      </c>
      <c r="E852" s="293">
        <f>ROUND(D852/D851*E851,0)</f>
        <v>0</v>
      </c>
      <c r="G852" s="339">
        <v>648</v>
      </c>
      <c r="H852" s="339"/>
      <c r="I852" s="294">
        <f t="shared" si="518"/>
        <v>0</v>
      </c>
      <c r="J852" s="294">
        <f t="shared" si="518"/>
        <v>0</v>
      </c>
      <c r="L852" s="339">
        <f t="shared" ref="L852:L858" si="520">L833</f>
        <v>660</v>
      </c>
      <c r="M852" s="339"/>
      <c r="N852" s="339">
        <f t="shared" ref="N852:N858" si="521">N833</f>
        <v>0</v>
      </c>
      <c r="O852" s="339"/>
      <c r="P852" s="339">
        <f t="shared" ref="P852:P858" si="522">P833</f>
        <v>0</v>
      </c>
      <c r="Q852" s="339"/>
      <c r="R852" s="339">
        <f t="shared" si="519"/>
        <v>660</v>
      </c>
      <c r="S852" s="339"/>
      <c r="T852" s="294">
        <f t="shared" ref="T852:T856" si="523">ROUND($E852*L852,0)</f>
        <v>0</v>
      </c>
      <c r="V852" s="294">
        <f t="shared" ref="V852:V856" si="524">ROUND($E852*N852,0)</f>
        <v>0</v>
      </c>
      <c r="X852" s="294">
        <f t="shared" ref="X852:X856" si="525">ROUND($E852*P852,0)</f>
        <v>0</v>
      </c>
      <c r="Z852" s="294">
        <f t="shared" ref="Z852:Z856" si="526">ROUND($E852*R852,0)</f>
        <v>0</v>
      </c>
    </row>
    <row r="853" spans="1:26">
      <c r="B853" s="317" t="s">
        <v>1050</v>
      </c>
      <c r="D853" s="293">
        <f>'[7]6'!I31</f>
        <v>21</v>
      </c>
      <c r="E853" s="293">
        <f>ROUND(D853/D851*E851,0)</f>
        <v>59</v>
      </c>
      <c r="G853" s="339">
        <v>2</v>
      </c>
      <c r="H853" s="339"/>
      <c r="I853" s="294">
        <f t="shared" si="518"/>
        <v>42</v>
      </c>
      <c r="J853" s="294">
        <f t="shared" si="518"/>
        <v>118</v>
      </c>
      <c r="L853" s="339">
        <f t="shared" si="520"/>
        <v>2</v>
      </c>
      <c r="M853" s="339"/>
      <c r="N853" s="339">
        <f t="shared" si="521"/>
        <v>0</v>
      </c>
      <c r="O853" s="339"/>
      <c r="P853" s="339">
        <f t="shared" si="522"/>
        <v>0</v>
      </c>
      <c r="Q853" s="339"/>
      <c r="R853" s="339">
        <f t="shared" si="519"/>
        <v>2</v>
      </c>
      <c r="S853" s="339"/>
      <c r="T853" s="294">
        <f t="shared" si="523"/>
        <v>118</v>
      </c>
      <c r="V853" s="294">
        <f t="shared" si="524"/>
        <v>0</v>
      </c>
      <c r="X853" s="294">
        <f t="shared" si="525"/>
        <v>0</v>
      </c>
      <c r="Z853" s="294">
        <f t="shared" si="526"/>
        <v>118</v>
      </c>
    </row>
    <row r="854" spans="1:26">
      <c r="B854" s="317" t="s">
        <v>1101</v>
      </c>
      <c r="D854" s="293">
        <f>'[7]6'!J31</f>
        <v>23596.9975247525</v>
      </c>
      <c r="E854" s="293">
        <f>ROUND(D854/D867*E867,0)</f>
        <v>94165</v>
      </c>
      <c r="G854" s="339">
        <v>4.04</v>
      </c>
      <c r="H854" s="339"/>
      <c r="I854" s="294">
        <f>ROUND($G854*D854,0)</f>
        <v>95332</v>
      </c>
      <c r="J854" s="294">
        <f>ROUND($G854*E854,0)</f>
        <v>380427</v>
      </c>
      <c r="L854" s="339">
        <f t="shared" si="520"/>
        <v>4.1100000000000003</v>
      </c>
      <c r="M854" s="339"/>
      <c r="N854" s="339">
        <f t="shared" si="521"/>
        <v>0</v>
      </c>
      <c r="O854" s="339"/>
      <c r="P854" s="339">
        <f t="shared" si="522"/>
        <v>0</v>
      </c>
      <c r="Q854" s="339"/>
      <c r="R854" s="339">
        <f t="shared" si="519"/>
        <v>4.1100000000000003</v>
      </c>
      <c r="S854" s="339"/>
      <c r="T854" s="294">
        <f t="shared" si="523"/>
        <v>387018</v>
      </c>
      <c r="V854" s="294">
        <f t="shared" si="524"/>
        <v>0</v>
      </c>
      <c r="X854" s="294">
        <f t="shared" si="525"/>
        <v>0</v>
      </c>
      <c r="Z854" s="294">
        <f t="shared" si="526"/>
        <v>387018</v>
      </c>
    </row>
    <row r="855" spans="1:26">
      <c r="B855" s="317" t="s">
        <v>1102</v>
      </c>
      <c r="D855" s="293">
        <f>'[7]6'!L31+'[7]6-may'!L31</f>
        <v>10167.939131581556</v>
      </c>
      <c r="E855" s="293">
        <f>ROUND(D855/D857*E857,0)</f>
        <v>34911</v>
      </c>
      <c r="G855" s="339"/>
      <c r="H855" s="339"/>
      <c r="L855" s="339">
        <f t="shared" si="520"/>
        <v>0.73</v>
      </c>
      <c r="M855" s="339"/>
      <c r="N855" s="339">
        <f t="shared" si="521"/>
        <v>12.959999999999999</v>
      </c>
      <c r="O855" s="339"/>
      <c r="P855" s="339">
        <f t="shared" si="522"/>
        <v>0</v>
      </c>
      <c r="Q855" s="339"/>
      <c r="R855" s="339">
        <f t="shared" si="519"/>
        <v>13.69</v>
      </c>
      <c r="S855" s="339"/>
      <c r="T855" s="294">
        <f t="shared" si="523"/>
        <v>25485</v>
      </c>
      <c r="V855" s="294">
        <f t="shared" si="524"/>
        <v>452447</v>
      </c>
      <c r="X855" s="294">
        <f t="shared" si="525"/>
        <v>0</v>
      </c>
      <c r="Z855" s="294">
        <f t="shared" si="526"/>
        <v>477932</v>
      </c>
    </row>
    <row r="856" spans="1:26">
      <c r="B856" s="317" t="s">
        <v>1103</v>
      </c>
      <c r="D856" s="293">
        <f>'[7]6'!M31+'[7]6-may'!M31</f>
        <v>13429.063122904536</v>
      </c>
      <c r="E856" s="293">
        <f>ROUND(D856/D858*E858,0)</f>
        <v>59396</v>
      </c>
      <c r="G856" s="339"/>
      <c r="H856" s="339"/>
      <c r="L856" s="339">
        <f t="shared" si="520"/>
        <v>0.64</v>
      </c>
      <c r="M856" s="339"/>
      <c r="N856" s="339">
        <f t="shared" si="521"/>
        <v>11.479999999999999</v>
      </c>
      <c r="O856" s="339"/>
      <c r="P856" s="339">
        <f t="shared" si="522"/>
        <v>0</v>
      </c>
      <c r="Q856" s="339"/>
      <c r="R856" s="339">
        <f t="shared" si="519"/>
        <v>12.12</v>
      </c>
      <c r="S856" s="339"/>
      <c r="T856" s="294">
        <f t="shared" si="523"/>
        <v>38013</v>
      </c>
      <c r="V856" s="294">
        <f t="shared" si="524"/>
        <v>681866</v>
      </c>
      <c r="X856" s="294">
        <f t="shared" si="525"/>
        <v>0</v>
      </c>
      <c r="Z856" s="294">
        <f t="shared" si="526"/>
        <v>719880</v>
      </c>
    </row>
    <row r="857" spans="1:26">
      <c r="B857" s="317" t="s">
        <v>1104</v>
      </c>
      <c r="D857" s="293">
        <f>'[7]6'!P31+'[7]6'!U31+[7]TempRevMay!W333+'[7]6-may'!P31+'[7]6-may'!U31</f>
        <v>2502935.8660099008</v>
      </c>
      <c r="E857" s="293">
        <f>[7]Energy!S50</f>
        <v>8593598.8227068186</v>
      </c>
      <c r="G857" s="377"/>
      <c r="H857" s="343"/>
      <c r="L857" s="377">
        <f t="shared" si="520"/>
        <v>0</v>
      </c>
      <c r="M857" s="343" t="s">
        <v>1062</v>
      </c>
      <c r="N857" s="377">
        <f t="shared" si="521"/>
        <v>1.7162999999999999</v>
      </c>
      <c r="O857" s="343" t="s">
        <v>1062</v>
      </c>
      <c r="P857" s="377">
        <f t="shared" si="522"/>
        <v>2.279911334706</v>
      </c>
      <c r="Q857" s="343" t="s">
        <v>1062</v>
      </c>
      <c r="R857" s="377">
        <f t="shared" si="519"/>
        <v>3.996211334706</v>
      </c>
      <c r="S857" s="343" t="s">
        <v>1062</v>
      </c>
      <c r="T857" s="294">
        <f>ROUND($E857*L857/100,0)</f>
        <v>0</v>
      </c>
      <c r="V857" s="294">
        <f>ROUND($E857*N857/100,0)</f>
        <v>147492</v>
      </c>
      <c r="X857" s="294">
        <f>ROUND($E857*P857/100,0)</f>
        <v>195926</v>
      </c>
      <c r="Y857" s="346"/>
      <c r="Z857" s="294">
        <f>ROUND($E857*R857/100,0)</f>
        <v>343418</v>
      </c>
    </row>
    <row r="858" spans="1:26">
      <c r="B858" s="317" t="s">
        <v>1105</v>
      </c>
      <c r="D858" s="293">
        <f>'[7]6'!Q31+'[7]6'!V31+[7]TempRevMay!W334+'[7]6-may'!Q31+'[7]6-may'!V31</f>
        <v>3519434.1309039872</v>
      </c>
      <c r="E858" s="293">
        <f>[7]Energy!T50</f>
        <v>15566357.794983968</v>
      </c>
      <c r="G858" s="377"/>
      <c r="H858" s="343"/>
      <c r="L858" s="377">
        <f t="shared" si="520"/>
        <v>0</v>
      </c>
      <c r="M858" s="343" t="s">
        <v>1062</v>
      </c>
      <c r="N858" s="377">
        <f t="shared" si="521"/>
        <v>1.5188999999999999</v>
      </c>
      <c r="O858" s="343" t="s">
        <v>1062</v>
      </c>
      <c r="P858" s="377">
        <f t="shared" si="522"/>
        <v>2.0175702077039999</v>
      </c>
      <c r="Q858" s="343" t="s">
        <v>1062</v>
      </c>
      <c r="R858" s="377">
        <f t="shared" si="519"/>
        <v>3.5364702077039998</v>
      </c>
      <c r="S858" s="343" t="s">
        <v>1062</v>
      </c>
      <c r="T858" s="294">
        <f>ROUND($E858*L858/100,0)</f>
        <v>0</v>
      </c>
      <c r="V858" s="294">
        <f>ROUND($E858*N858/100,0)</f>
        <v>236437</v>
      </c>
      <c r="X858" s="294">
        <f>ROUND($E858*P858/100,0)</f>
        <v>314062</v>
      </c>
      <c r="Y858" s="346"/>
      <c r="Z858" s="294">
        <f>ROUND($E858*R858/100,0)</f>
        <v>550500</v>
      </c>
    </row>
    <row r="859" spans="1:26">
      <c r="B859" s="317" t="s">
        <v>1106</v>
      </c>
      <c r="D859" s="293">
        <f>'[7]6'!L31</f>
        <v>11724.73461012312</v>
      </c>
      <c r="E859" s="293">
        <f>ROUND(D859/D867*E867,0)</f>
        <v>46788</v>
      </c>
      <c r="G859" s="339">
        <v>14.62</v>
      </c>
      <c r="H859" s="339"/>
      <c r="I859" s="294">
        <f t="shared" si="518"/>
        <v>171416</v>
      </c>
      <c r="J859" s="294">
        <f t="shared" si="518"/>
        <v>684041</v>
      </c>
      <c r="L859" s="339"/>
      <c r="M859" s="339"/>
      <c r="N859" s="339"/>
      <c r="O859" s="339"/>
      <c r="P859" s="339"/>
      <c r="Q859" s="339"/>
      <c r="R859" s="339"/>
      <c r="S859" s="339"/>
    </row>
    <row r="860" spans="1:26">
      <c r="B860" s="317" t="s">
        <v>1107</v>
      </c>
      <c r="D860" s="293">
        <f>'[7]6'!M31</f>
        <v>11872.26764436297</v>
      </c>
      <c r="E860" s="293">
        <f>ROUND(D860/D867*E867,0)</f>
        <v>47377</v>
      </c>
      <c r="G860" s="339">
        <v>10.91</v>
      </c>
      <c r="H860" s="339"/>
      <c r="I860" s="294">
        <f t="shared" si="518"/>
        <v>129526</v>
      </c>
      <c r="J860" s="294">
        <f t="shared" si="518"/>
        <v>516883</v>
      </c>
      <c r="L860" s="339"/>
      <c r="M860" s="339"/>
      <c r="N860" s="339"/>
      <c r="O860" s="339"/>
      <c r="P860" s="339"/>
      <c r="Q860" s="339"/>
      <c r="R860" s="339"/>
      <c r="S860" s="339"/>
    </row>
    <row r="861" spans="1:26">
      <c r="B861" s="317" t="s">
        <v>1098</v>
      </c>
      <c r="D861" s="293">
        <f>'[7]6'!N31</f>
        <v>0</v>
      </c>
      <c r="E861" s="293">
        <f>ROUND(D861/D867*E867,0)</f>
        <v>0</v>
      </c>
      <c r="G861" s="339">
        <v>-0.96</v>
      </c>
      <c r="H861" s="339"/>
      <c r="I861" s="294">
        <f t="shared" si="518"/>
        <v>0</v>
      </c>
      <c r="J861" s="294">
        <f t="shared" si="518"/>
        <v>0</v>
      </c>
      <c r="L861" s="339">
        <f>L842</f>
        <v>-0.96</v>
      </c>
      <c r="M861" s="339"/>
      <c r="N861" s="339">
        <f>N842</f>
        <v>0</v>
      </c>
      <c r="O861" s="339"/>
      <c r="P861" s="339">
        <f>P842</f>
        <v>0</v>
      </c>
      <c r="Q861" s="339"/>
      <c r="R861" s="339">
        <f>R842</f>
        <v>-0.96</v>
      </c>
      <c r="S861" s="339"/>
      <c r="T861" s="294">
        <f t="shared" ref="T861" si="527">ROUND($E861*L861,0)</f>
        <v>0</v>
      </c>
      <c r="V861" s="294">
        <f t="shared" ref="V861" si="528">ROUND($E861*N861,0)</f>
        <v>0</v>
      </c>
      <c r="X861" s="294">
        <f t="shared" ref="X861" si="529">ROUND($E861*P861,0)</f>
        <v>0</v>
      </c>
      <c r="Z861" s="294">
        <f t="shared" ref="Z861" si="530">ROUND($E861*R861,0)</f>
        <v>0</v>
      </c>
    </row>
    <row r="862" spans="1:26">
      <c r="B862" s="317" t="s">
        <v>1108</v>
      </c>
      <c r="D862" s="293">
        <f>'[7]6'!P31+'[7]6'!U31+[7]TempRev!W333</f>
        <v>2839373.3356775618</v>
      </c>
      <c r="E862" s="293">
        <f>[7]Energy!Q50</f>
        <v>10344290.948182104</v>
      </c>
      <c r="G862" s="377">
        <v>3.8127</v>
      </c>
      <c r="H862" s="343" t="s">
        <v>1062</v>
      </c>
      <c r="I862" s="294">
        <f>ROUND($G862*D862/100,0)</f>
        <v>108257</v>
      </c>
      <c r="J862" s="294">
        <f>ROUND($G862*E862/100,0)</f>
        <v>394397</v>
      </c>
      <c r="L862" s="377"/>
      <c r="M862" s="343"/>
      <c r="N862" s="377"/>
      <c r="O862" s="343"/>
      <c r="P862" s="377"/>
      <c r="Q862" s="343"/>
      <c r="R862" s="377"/>
      <c r="S862" s="343"/>
      <c r="T862" s="346"/>
      <c r="U862" s="346"/>
      <c r="V862" s="346"/>
      <c r="W862" s="346"/>
      <c r="X862" s="346"/>
      <c r="Y862" s="346"/>
    </row>
    <row r="863" spans="1:26">
      <c r="B863" s="317" t="s">
        <v>1109</v>
      </c>
      <c r="D863" s="293">
        <f>'[7]6'!Q31+'[7]6'!V31+[7]TempRev!W334</f>
        <v>3182996.6612363262</v>
      </c>
      <c r="E863" s="293">
        <f>[7]Energy!R50</f>
        <v>13815665.669508683</v>
      </c>
      <c r="G863" s="377">
        <v>3.5143</v>
      </c>
      <c r="H863" s="343" t="s">
        <v>1062</v>
      </c>
      <c r="I863" s="294">
        <f>ROUND($G863*D863/100,0)</f>
        <v>111860</v>
      </c>
      <c r="J863" s="294">
        <f>ROUND($G863*E863/100,0)</f>
        <v>485524</v>
      </c>
      <c r="L863" s="377"/>
      <c r="M863" s="343"/>
      <c r="N863" s="377"/>
      <c r="O863" s="343"/>
      <c r="P863" s="377"/>
      <c r="Q863" s="343"/>
      <c r="R863" s="377"/>
      <c r="S863" s="343"/>
      <c r="T863" s="346"/>
      <c r="U863" s="346"/>
      <c r="V863" s="346"/>
      <c r="W863" s="346"/>
      <c r="X863" s="346"/>
      <c r="Y863" s="346"/>
    </row>
    <row r="864" spans="1:26">
      <c r="B864" s="317" t="s">
        <v>1078</v>
      </c>
      <c r="D864" s="357">
        <f>'[7]Table 2'!J47</f>
        <v>31926</v>
      </c>
      <c r="E864" s="357">
        <v>0</v>
      </c>
      <c r="I864" s="358">
        <f>'[7]Table 3'!F47</f>
        <v>3599</v>
      </c>
      <c r="J864" s="358">
        <v>0</v>
      </c>
      <c r="Z864" s="358">
        <v>0</v>
      </c>
    </row>
    <row r="865" spans="2:29">
      <c r="B865" s="317" t="s">
        <v>1079</v>
      </c>
      <c r="G865" s="338">
        <v>-3.61E-2</v>
      </c>
      <c r="H865" s="339"/>
      <c r="I865" s="294">
        <f>SUM(I859:I860,I862:I863)*$G865</f>
        <v>-18810.229899999998</v>
      </c>
      <c r="J865" s="294">
        <f>SUM(J859:J860,J862:J863)*$G865</f>
        <v>-75118.504499999995</v>
      </c>
      <c r="L865" s="338"/>
      <c r="M865" s="339"/>
      <c r="N865" s="338"/>
      <c r="O865" s="339"/>
      <c r="P865" s="359" t="str">
        <f>$P$43</f>
        <v>Tax Year 1</v>
      </c>
      <c r="Q865" s="339"/>
      <c r="R865" s="338">
        <f>$R$687</f>
        <v>-2.4199999999999999E-2</v>
      </c>
      <c r="S865" s="339"/>
      <c r="Z865" s="294">
        <f>R865*SUM(Z855:Z858)</f>
        <v>-50619.866000000002</v>
      </c>
    </row>
    <row r="866" spans="2:29">
      <c r="B866" s="317"/>
      <c r="G866" s="338"/>
      <c r="H866" s="339"/>
      <c r="L866" s="338"/>
      <c r="M866" s="339"/>
      <c r="N866" s="338"/>
      <c r="O866" s="339"/>
      <c r="P866" s="359" t="str">
        <f>$P$44</f>
        <v>Tax Year 2</v>
      </c>
      <c r="Q866" s="339"/>
      <c r="R866" s="338">
        <f>$R$688</f>
        <v>-1.21E-2</v>
      </c>
      <c r="S866" s="339"/>
      <c r="Z866" s="294">
        <f>R866*SUM(Z855:Z858)</f>
        <v>-25309.933000000001</v>
      </c>
    </row>
    <row r="867" spans="2:29" ht="16.5" thickBot="1">
      <c r="B867" s="317" t="s">
        <v>937</v>
      </c>
      <c r="D867" s="381">
        <f>SUM(D862:D864)</f>
        <v>6054295.9969138876</v>
      </c>
      <c r="E867" s="381">
        <f>SUM(E862:E864)</f>
        <v>24159956.617690787</v>
      </c>
      <c r="G867" s="368"/>
      <c r="I867" s="369">
        <f>SUM(I851:I865)</f>
        <v>612867.77009999997</v>
      </c>
      <c r="J867" s="369">
        <f>SUM(J851:J865)</f>
        <v>2419265.4955000002</v>
      </c>
      <c r="L867" s="368"/>
      <c r="N867" s="368"/>
      <c r="P867" s="368"/>
      <c r="R867" s="368"/>
      <c r="T867" s="369">
        <f>SUM(T851:T864)</f>
        <v>484239</v>
      </c>
      <c r="V867" s="369">
        <f>SUM(V851:V864)</f>
        <v>1518242</v>
      </c>
      <c r="X867" s="369">
        <f>SUM(X851:X864)</f>
        <v>509988</v>
      </c>
      <c r="Z867" s="369">
        <f>SUM(Z851:Z864)</f>
        <v>2512471</v>
      </c>
      <c r="AB867" s="305" t="s">
        <v>939</v>
      </c>
      <c r="AC867" s="304">
        <f>Z867/J867-1</f>
        <v>3.8526364581881856E-2</v>
      </c>
    </row>
    <row r="868" spans="2:29" ht="16.5" thickTop="1"/>
    <row r="869" spans="2:29">
      <c r="B869" s="314" t="s">
        <v>968</v>
      </c>
    </row>
    <row r="870" spans="2:29">
      <c r="B870" s="317" t="s">
        <v>1089</v>
      </c>
      <c r="D870" s="293">
        <f>'[7]6'!H32</f>
        <v>5.06666666666667</v>
      </c>
      <c r="E870" s="293">
        <v>0</v>
      </c>
      <c r="G870" s="339">
        <v>54</v>
      </c>
      <c r="H870" s="339"/>
      <c r="I870" s="294">
        <f t="shared" ref="I870:J880" si="531">ROUND($G870*D870,0)</f>
        <v>274</v>
      </c>
      <c r="J870" s="294">
        <f t="shared" si="531"/>
        <v>0</v>
      </c>
      <c r="L870" s="339">
        <f t="shared" ref="L870:L877" si="532">L832</f>
        <v>55</v>
      </c>
      <c r="M870" s="339"/>
      <c r="N870" s="339">
        <f>N832</f>
        <v>0</v>
      </c>
      <c r="O870" s="339"/>
      <c r="P870" s="339">
        <f>P832</f>
        <v>0</v>
      </c>
      <c r="Q870" s="339"/>
      <c r="R870" s="339">
        <f t="shared" ref="R870:R877" si="533">R832</f>
        <v>55</v>
      </c>
      <c r="S870" s="339"/>
      <c r="T870" s="294">
        <f>ROUND($E870*L870,0)</f>
        <v>0</v>
      </c>
      <c r="V870" s="294">
        <f>ROUND($E870*N870,0)</f>
        <v>0</v>
      </c>
      <c r="X870" s="294">
        <f>ROUND($E870*P870,0)</f>
        <v>0</v>
      </c>
      <c r="Z870" s="294">
        <f>ROUND($E870*R870,0)</f>
        <v>0</v>
      </c>
    </row>
    <row r="871" spans="2:29">
      <c r="B871" s="317" t="s">
        <v>1099</v>
      </c>
      <c r="D871" s="293">
        <v>0</v>
      </c>
      <c r="E871" s="293">
        <f>ROUND(D871/D870*E870,0)</f>
        <v>0</v>
      </c>
      <c r="G871" s="339">
        <v>648</v>
      </c>
      <c r="H871" s="339"/>
      <c r="I871" s="294">
        <f t="shared" si="531"/>
        <v>0</v>
      </c>
      <c r="J871" s="294">
        <f t="shared" si="531"/>
        <v>0</v>
      </c>
      <c r="L871" s="339">
        <f t="shared" si="532"/>
        <v>660</v>
      </c>
      <c r="M871" s="339"/>
      <c r="N871" s="339">
        <f t="shared" ref="N871:N877" si="534">N833</f>
        <v>0</v>
      </c>
      <c r="O871" s="339"/>
      <c r="P871" s="339">
        <f t="shared" ref="P871:P877" si="535">P833</f>
        <v>0</v>
      </c>
      <c r="Q871" s="339"/>
      <c r="R871" s="339">
        <f t="shared" si="533"/>
        <v>660</v>
      </c>
      <c r="S871" s="339"/>
      <c r="T871" s="294">
        <f t="shared" ref="T871:T875" si="536">ROUND($E871*L871,0)</f>
        <v>0</v>
      </c>
      <c r="V871" s="294">
        <f t="shared" ref="V871:V875" si="537">ROUND($E871*N871,0)</f>
        <v>0</v>
      </c>
      <c r="X871" s="294">
        <f t="shared" ref="X871:X875" si="538">ROUND($E871*P871,0)</f>
        <v>0</v>
      </c>
      <c r="Z871" s="294">
        <f t="shared" ref="Z871:Z875" si="539">ROUND($E871*R871,0)</f>
        <v>0</v>
      </c>
    </row>
    <row r="872" spans="2:29">
      <c r="B872" s="317" t="s">
        <v>1050</v>
      </c>
      <c r="D872" s="293">
        <f>'[7]6'!I32</f>
        <v>0</v>
      </c>
      <c r="E872" s="293">
        <f>ROUND(D872/D870*E870,0)</f>
        <v>0</v>
      </c>
      <c r="G872" s="339">
        <v>2</v>
      </c>
      <c r="H872" s="339"/>
      <c r="I872" s="294">
        <f t="shared" si="531"/>
        <v>0</v>
      </c>
      <c r="J872" s="294">
        <f t="shared" si="531"/>
        <v>0</v>
      </c>
      <c r="L872" s="339">
        <f t="shared" si="532"/>
        <v>2</v>
      </c>
      <c r="M872" s="339"/>
      <c r="N872" s="339">
        <f t="shared" si="534"/>
        <v>0</v>
      </c>
      <c r="O872" s="339"/>
      <c r="P872" s="339">
        <f t="shared" si="535"/>
        <v>0</v>
      </c>
      <c r="Q872" s="339"/>
      <c r="R872" s="339">
        <f t="shared" si="533"/>
        <v>2</v>
      </c>
      <c r="S872" s="339"/>
      <c r="T872" s="294">
        <f t="shared" si="536"/>
        <v>0</v>
      </c>
      <c r="V872" s="294">
        <f t="shared" si="537"/>
        <v>0</v>
      </c>
      <c r="X872" s="294">
        <f t="shared" si="538"/>
        <v>0</v>
      </c>
      <c r="Z872" s="294">
        <f t="shared" si="539"/>
        <v>0</v>
      </c>
    </row>
    <row r="873" spans="2:29">
      <c r="B873" s="317" t="s">
        <v>1101</v>
      </c>
      <c r="D873" s="293">
        <f>'[7]6'!J32</f>
        <v>1916.26732673267</v>
      </c>
      <c r="E873" s="293">
        <f>ROUND(D873/D886*E886,0)</f>
        <v>0</v>
      </c>
      <c r="G873" s="339">
        <v>4.04</v>
      </c>
      <c r="H873" s="339"/>
      <c r="I873" s="294">
        <f>ROUND($G873*D873,0)</f>
        <v>7742</v>
      </c>
      <c r="J873" s="294">
        <f>ROUND($G873*E873,0)</f>
        <v>0</v>
      </c>
      <c r="L873" s="339">
        <f t="shared" si="532"/>
        <v>4.1100000000000003</v>
      </c>
      <c r="M873" s="339"/>
      <c r="N873" s="339">
        <f t="shared" si="534"/>
        <v>0</v>
      </c>
      <c r="O873" s="339"/>
      <c r="P873" s="339">
        <f t="shared" si="535"/>
        <v>0</v>
      </c>
      <c r="Q873" s="339"/>
      <c r="R873" s="339">
        <f t="shared" si="533"/>
        <v>4.1100000000000003</v>
      </c>
      <c r="S873" s="339"/>
      <c r="T873" s="294">
        <f t="shared" si="536"/>
        <v>0</v>
      </c>
      <c r="V873" s="294">
        <f t="shared" si="537"/>
        <v>0</v>
      </c>
      <c r="X873" s="294">
        <f t="shared" si="538"/>
        <v>0</v>
      </c>
      <c r="Z873" s="294">
        <f t="shared" si="539"/>
        <v>0</v>
      </c>
    </row>
    <row r="874" spans="2:29">
      <c r="B874" s="317" t="s">
        <v>1102</v>
      </c>
      <c r="D874" s="293">
        <f>'[7]6'!L32+'[7]6-may'!L32</f>
        <v>1071.85294117647</v>
      </c>
      <c r="G874" s="339"/>
      <c r="H874" s="339"/>
      <c r="L874" s="339">
        <f t="shared" si="532"/>
        <v>0.73</v>
      </c>
      <c r="M874" s="339"/>
      <c r="N874" s="339">
        <f t="shared" si="534"/>
        <v>12.959999999999999</v>
      </c>
      <c r="O874" s="339"/>
      <c r="P874" s="339">
        <f t="shared" si="535"/>
        <v>0</v>
      </c>
      <c r="Q874" s="339"/>
      <c r="R874" s="339">
        <f t="shared" si="533"/>
        <v>13.69</v>
      </c>
      <c r="S874" s="339"/>
      <c r="T874" s="294">
        <f t="shared" si="536"/>
        <v>0</v>
      </c>
      <c r="V874" s="294">
        <f t="shared" si="537"/>
        <v>0</v>
      </c>
      <c r="X874" s="294">
        <f t="shared" si="538"/>
        <v>0</v>
      </c>
      <c r="Z874" s="294">
        <f t="shared" si="539"/>
        <v>0</v>
      </c>
    </row>
    <row r="875" spans="2:29">
      <c r="B875" s="317" t="s">
        <v>1103</v>
      </c>
      <c r="D875" s="293">
        <f>'[7]6'!M32+'[7]6-may'!M32</f>
        <v>844.41338221814897</v>
      </c>
      <c r="G875" s="339"/>
      <c r="H875" s="339"/>
      <c r="L875" s="339">
        <f t="shared" si="532"/>
        <v>0.64</v>
      </c>
      <c r="M875" s="339"/>
      <c r="N875" s="339">
        <f t="shared" si="534"/>
        <v>11.479999999999999</v>
      </c>
      <c r="O875" s="339"/>
      <c r="P875" s="339">
        <f t="shared" si="535"/>
        <v>0</v>
      </c>
      <c r="Q875" s="339"/>
      <c r="R875" s="339">
        <f t="shared" si="533"/>
        <v>12.12</v>
      </c>
      <c r="S875" s="339"/>
      <c r="T875" s="294">
        <f t="shared" si="536"/>
        <v>0</v>
      </c>
      <c r="V875" s="294">
        <f t="shared" si="537"/>
        <v>0</v>
      </c>
      <c r="X875" s="294">
        <f t="shared" si="538"/>
        <v>0</v>
      </c>
      <c r="Z875" s="294">
        <f t="shared" si="539"/>
        <v>0</v>
      </c>
    </row>
    <row r="876" spans="2:29">
      <c r="B876" s="317" t="s">
        <v>1104</v>
      </c>
      <c r="D876" s="293">
        <f>'[7]6'!P32+'[7]6'!U32+'[7]6-may'!P32+'[7]6-may'!U32</f>
        <v>414366</v>
      </c>
      <c r="G876" s="377"/>
      <c r="H876" s="343"/>
      <c r="L876" s="377">
        <f t="shared" si="532"/>
        <v>0</v>
      </c>
      <c r="M876" s="343" t="s">
        <v>1062</v>
      </c>
      <c r="N876" s="377">
        <f t="shared" si="534"/>
        <v>1.7162999999999999</v>
      </c>
      <c r="O876" s="343" t="s">
        <v>1062</v>
      </c>
      <c r="P876" s="377">
        <f t="shared" si="535"/>
        <v>2.279911334706</v>
      </c>
      <c r="Q876" s="343" t="s">
        <v>1062</v>
      </c>
      <c r="R876" s="377">
        <f t="shared" si="533"/>
        <v>3.996211334706</v>
      </c>
      <c r="S876" s="343" t="s">
        <v>1062</v>
      </c>
      <c r="T876" s="294">
        <f>ROUND($E876*L876/100,0)</f>
        <v>0</v>
      </c>
      <c r="V876" s="294">
        <f>ROUND($E876*N876/100,0)</f>
        <v>0</v>
      </c>
      <c r="X876" s="294">
        <f>ROUND($E876*P876/100,0)</f>
        <v>0</v>
      </c>
      <c r="Y876" s="346"/>
      <c r="Z876" s="294">
        <f>ROUND($E876*R876/100,0)</f>
        <v>0</v>
      </c>
    </row>
    <row r="877" spans="2:29">
      <c r="B877" s="317" t="s">
        <v>1105</v>
      </c>
      <c r="D877" s="293">
        <f>'[7]6'!Q32+'[7]6'!V32+'[7]6-may'!Q32+'[7]6-may'!V32</f>
        <v>313878</v>
      </c>
      <c r="G877" s="377"/>
      <c r="H877" s="343"/>
      <c r="L877" s="377">
        <f t="shared" si="532"/>
        <v>0</v>
      </c>
      <c r="M877" s="343" t="s">
        <v>1062</v>
      </c>
      <c r="N877" s="377">
        <f t="shared" si="534"/>
        <v>1.5188999999999999</v>
      </c>
      <c r="O877" s="343" t="s">
        <v>1062</v>
      </c>
      <c r="P877" s="377">
        <f t="shared" si="535"/>
        <v>2.0175702077039999</v>
      </c>
      <c r="Q877" s="343" t="s">
        <v>1062</v>
      </c>
      <c r="R877" s="377">
        <f t="shared" si="533"/>
        <v>3.5364702077039998</v>
      </c>
      <c r="S877" s="343" t="s">
        <v>1062</v>
      </c>
      <c r="T877" s="294">
        <f>ROUND($E877*L877/100,0)</f>
        <v>0</v>
      </c>
      <c r="V877" s="294">
        <f>ROUND($E877*N877/100,0)</f>
        <v>0</v>
      </c>
      <c r="X877" s="294">
        <f>ROUND($E877*P877/100,0)</f>
        <v>0</v>
      </c>
      <c r="Y877" s="346"/>
      <c r="Z877" s="294">
        <f>ROUND($E877*R877/100,0)</f>
        <v>0</v>
      </c>
    </row>
    <row r="878" spans="2:29">
      <c r="B878" s="317" t="s">
        <v>1106</v>
      </c>
      <c r="D878" s="293">
        <f>'[7]6'!L32</f>
        <v>1071.85294117647</v>
      </c>
      <c r="E878" s="293">
        <f>ROUND(D878/D886*E886,0)</f>
        <v>0</v>
      </c>
      <c r="G878" s="339">
        <v>14.62</v>
      </c>
      <c r="H878" s="339"/>
      <c r="I878" s="294">
        <f t="shared" si="531"/>
        <v>15670</v>
      </c>
      <c r="J878" s="294">
        <f t="shared" si="531"/>
        <v>0</v>
      </c>
      <c r="L878" s="339"/>
      <c r="M878" s="339"/>
      <c r="N878" s="339"/>
      <c r="O878" s="339"/>
      <c r="P878" s="339"/>
      <c r="Q878" s="339"/>
      <c r="R878" s="339"/>
      <c r="S878" s="339"/>
    </row>
    <row r="879" spans="2:29">
      <c r="B879" s="317" t="s">
        <v>1107</v>
      </c>
      <c r="D879" s="293">
        <f>'[7]6'!M32</f>
        <v>844.41338221814897</v>
      </c>
      <c r="E879" s="293">
        <f>ROUND(D879/D886*E886,0)</f>
        <v>0</v>
      </c>
      <c r="G879" s="339">
        <v>10.91</v>
      </c>
      <c r="H879" s="339"/>
      <c r="I879" s="294">
        <f t="shared" si="531"/>
        <v>9213</v>
      </c>
      <c r="J879" s="294">
        <f t="shared" si="531"/>
        <v>0</v>
      </c>
      <c r="L879" s="339"/>
      <c r="M879" s="339"/>
      <c r="N879" s="339"/>
      <c r="O879" s="339"/>
      <c r="P879" s="339"/>
      <c r="Q879" s="339"/>
      <c r="R879" s="339"/>
      <c r="S879" s="339"/>
    </row>
    <row r="880" spans="2:29">
      <c r="B880" s="317" t="s">
        <v>1098</v>
      </c>
      <c r="D880" s="293">
        <f>'[7]6'!N32</f>
        <v>0</v>
      </c>
      <c r="E880" s="293">
        <f>ROUND(D880/D886*E886,0)</f>
        <v>0</v>
      </c>
      <c r="G880" s="339">
        <v>-0.96</v>
      </c>
      <c r="H880" s="339"/>
      <c r="I880" s="294">
        <f t="shared" si="531"/>
        <v>0</v>
      </c>
      <c r="J880" s="294">
        <f t="shared" si="531"/>
        <v>0</v>
      </c>
      <c r="L880" s="339">
        <f>L842</f>
        <v>-0.96</v>
      </c>
      <c r="M880" s="339"/>
      <c r="N880" s="339">
        <f>N842</f>
        <v>0</v>
      </c>
      <c r="O880" s="339"/>
      <c r="P880" s="339">
        <f>P842</f>
        <v>0</v>
      </c>
      <c r="Q880" s="339"/>
      <c r="R880" s="339">
        <f>R842</f>
        <v>-0.96</v>
      </c>
      <c r="S880" s="339"/>
      <c r="T880" s="294">
        <f t="shared" ref="T880" si="540">ROUND($E880*L880,0)</f>
        <v>0</v>
      </c>
      <c r="V880" s="294">
        <f t="shared" ref="V880" si="541">ROUND($E880*N880,0)</f>
        <v>0</v>
      </c>
      <c r="X880" s="294">
        <f t="shared" ref="X880" si="542">ROUND($E880*P880,0)</f>
        <v>0</v>
      </c>
      <c r="Z880" s="294">
        <f t="shared" ref="Z880" si="543">ROUND($E880*R880,0)</f>
        <v>0</v>
      </c>
    </row>
    <row r="881" spans="1:29">
      <c r="B881" s="317" t="s">
        <v>1108</v>
      </c>
      <c r="D881" s="293">
        <f>'[7]6'!P32+'[7]6'!U32</f>
        <v>414366</v>
      </c>
      <c r="E881" s="293">
        <v>0</v>
      </c>
      <c r="G881" s="377">
        <v>3.8127</v>
      </c>
      <c r="H881" s="343" t="s">
        <v>1062</v>
      </c>
      <c r="I881" s="294">
        <f>ROUND($G881*D881/100,0)</f>
        <v>15799</v>
      </c>
      <c r="J881" s="294">
        <f>ROUND($G881*E881/100,0)</f>
        <v>0</v>
      </c>
      <c r="L881" s="377"/>
      <c r="M881" s="343"/>
      <c r="N881" s="377"/>
      <c r="O881" s="343"/>
      <c r="P881" s="377"/>
      <c r="Q881" s="343"/>
      <c r="R881" s="377"/>
      <c r="S881" s="343"/>
      <c r="T881" s="346"/>
      <c r="U881" s="346"/>
      <c r="V881" s="346"/>
      <c r="W881" s="346"/>
      <c r="X881" s="346"/>
      <c r="Y881" s="346"/>
    </row>
    <row r="882" spans="1:29">
      <c r="B882" s="317" t="s">
        <v>1109</v>
      </c>
      <c r="D882" s="293">
        <f>'[7]6'!Q32+'[7]6'!V32</f>
        <v>313878</v>
      </c>
      <c r="E882" s="293">
        <v>0</v>
      </c>
      <c r="G882" s="377">
        <v>3.5143</v>
      </c>
      <c r="H882" s="343" t="s">
        <v>1062</v>
      </c>
      <c r="I882" s="294">
        <f>ROUND($G882*D882/100,0)</f>
        <v>11031</v>
      </c>
      <c r="J882" s="294">
        <f>ROUND($G882*E882/100,0)</f>
        <v>0</v>
      </c>
      <c r="L882" s="377"/>
      <c r="M882" s="343"/>
      <c r="N882" s="377"/>
      <c r="O882" s="343"/>
      <c r="P882" s="377"/>
      <c r="Q882" s="343"/>
      <c r="R882" s="377"/>
      <c r="S882" s="343"/>
      <c r="T882" s="346"/>
      <c r="U882" s="346"/>
      <c r="V882" s="346"/>
      <c r="W882" s="346"/>
      <c r="X882" s="346"/>
      <c r="Y882" s="346"/>
    </row>
    <row r="883" spans="1:29">
      <c r="B883" s="317" t="s">
        <v>1078</v>
      </c>
      <c r="D883" s="357">
        <f>'[7]Table 2'!J85</f>
        <v>-11805</v>
      </c>
      <c r="E883" s="357">
        <v>0</v>
      </c>
      <c r="I883" s="358">
        <f>'[7]Table 3'!F85</f>
        <v>-880</v>
      </c>
      <c r="J883" s="358">
        <v>0</v>
      </c>
      <c r="Z883" s="358">
        <v>0</v>
      </c>
    </row>
    <row r="884" spans="1:29">
      <c r="B884" s="317" t="s">
        <v>1079</v>
      </c>
      <c r="G884" s="338">
        <v>-3.61E-2</v>
      </c>
      <c r="H884" s="339"/>
      <c r="I884" s="294">
        <f>SUM(I878:I879,I881:I882)*$G884</f>
        <v>-1866.8393000000001</v>
      </c>
      <c r="J884" s="294">
        <f>SUM(J878:J879,J881:J882)*$G884</f>
        <v>0</v>
      </c>
      <c r="L884" s="338"/>
      <c r="M884" s="339"/>
      <c r="N884" s="338"/>
      <c r="O884" s="339"/>
      <c r="P884" s="359" t="str">
        <f>$P$43</f>
        <v>Tax Year 1</v>
      </c>
      <c r="Q884" s="339"/>
      <c r="R884" s="338">
        <f>$R$687</f>
        <v>-2.4199999999999999E-2</v>
      </c>
      <c r="S884" s="339"/>
      <c r="Z884" s="294">
        <f>R884*SUM(Z874:Z877)</f>
        <v>0</v>
      </c>
    </row>
    <row r="885" spans="1:29">
      <c r="B885" s="317"/>
      <c r="G885" s="338"/>
      <c r="H885" s="339"/>
      <c r="L885" s="338"/>
      <c r="M885" s="339"/>
      <c r="N885" s="338"/>
      <c r="O885" s="339"/>
      <c r="P885" s="359" t="str">
        <f>$P$44</f>
        <v>Tax Year 2</v>
      </c>
      <c r="Q885" s="339"/>
      <c r="R885" s="338">
        <f>$R$688</f>
        <v>-1.21E-2</v>
      </c>
      <c r="S885" s="339"/>
      <c r="Z885" s="294">
        <f>R885*SUM(Z874:Z877)</f>
        <v>0</v>
      </c>
    </row>
    <row r="886" spans="1:29" ht="16.5" thickBot="1">
      <c r="B886" s="317" t="s">
        <v>937</v>
      </c>
      <c r="D886" s="381">
        <f>SUM(D881:D883)</f>
        <v>716439</v>
      </c>
      <c r="E886" s="381">
        <f>SUM(E881:E883)</f>
        <v>0</v>
      </c>
      <c r="G886" s="368"/>
      <c r="I886" s="369">
        <f>SUM(I870:I884)</f>
        <v>56982.1607</v>
      </c>
      <c r="J886" s="369">
        <f>SUM(J870:J884)</f>
        <v>0</v>
      </c>
      <c r="L886" s="368"/>
      <c r="N886" s="368"/>
      <c r="P886" s="368"/>
      <c r="R886" s="368"/>
      <c r="T886" s="369">
        <f>SUM(T870:T883)</f>
        <v>0</v>
      </c>
      <c r="V886" s="369">
        <f>SUM(V870:V883)</f>
        <v>0</v>
      </c>
      <c r="X886" s="369">
        <f>SUM(X870:X883)</f>
        <v>0</v>
      </c>
      <c r="Z886" s="369">
        <f>SUM(Z870:Z883)</f>
        <v>0</v>
      </c>
      <c r="AB886" s="305" t="s">
        <v>939</v>
      </c>
      <c r="AC886" s="304"/>
    </row>
    <row r="888" spans="1:29">
      <c r="A888" s="292">
        <v>1</v>
      </c>
      <c r="B888" s="314" t="s">
        <v>969</v>
      </c>
      <c r="F888" s="339"/>
      <c r="K888" s="339"/>
    </row>
    <row r="889" spans="1:29">
      <c r="B889" s="317" t="s">
        <v>1089</v>
      </c>
      <c r="D889" s="293">
        <f t="shared" ref="D889:E901" si="544">D907+D925+D943</f>
        <v>186</v>
      </c>
      <c r="E889" s="293">
        <f t="shared" si="544"/>
        <v>192</v>
      </c>
      <c r="G889" s="318">
        <v>54</v>
      </c>
      <c r="H889" s="318"/>
      <c r="I889" s="294">
        <f t="shared" ref="I889:J898" si="545">ROUND($G889*D889,0)</f>
        <v>10044</v>
      </c>
      <c r="J889" s="294">
        <f t="shared" si="545"/>
        <v>10368</v>
      </c>
      <c r="L889" s="318">
        <f>L672</f>
        <v>55</v>
      </c>
      <c r="M889" s="318"/>
      <c r="N889" s="318">
        <f>N672</f>
        <v>0</v>
      </c>
      <c r="O889" s="318"/>
      <c r="P889" s="318">
        <f>P672</f>
        <v>0</v>
      </c>
      <c r="Q889" s="318"/>
      <c r="R889" s="318">
        <f>R672</f>
        <v>55</v>
      </c>
      <c r="S889" s="318"/>
      <c r="T889" s="294">
        <f>ROUND($E889*L889,0)</f>
        <v>10560</v>
      </c>
      <c r="V889" s="294">
        <f>ROUND($E889*N889,0)</f>
        <v>0</v>
      </c>
      <c r="X889" s="294">
        <f>ROUND($E889*P889,0)</f>
        <v>0</v>
      </c>
      <c r="Y889" s="319"/>
      <c r="Z889" s="294">
        <f>ROUND($E889*R889,0)</f>
        <v>10560</v>
      </c>
    </row>
    <row r="890" spans="1:29">
      <c r="B890" s="317" t="s">
        <v>1099</v>
      </c>
      <c r="D890" s="293">
        <f t="shared" si="544"/>
        <v>0</v>
      </c>
      <c r="E890" s="293">
        <f t="shared" si="544"/>
        <v>0</v>
      </c>
      <c r="F890" s="339"/>
      <c r="G890" s="318">
        <v>648</v>
      </c>
      <c r="H890" s="318"/>
      <c r="I890" s="294">
        <f t="shared" si="545"/>
        <v>0</v>
      </c>
      <c r="J890" s="294">
        <f t="shared" si="545"/>
        <v>0</v>
      </c>
      <c r="K890" s="339"/>
      <c r="L890" s="318">
        <f>L673</f>
        <v>660</v>
      </c>
      <c r="M890" s="318"/>
      <c r="N890" s="318">
        <f>N673</f>
        <v>0</v>
      </c>
      <c r="O890" s="318"/>
      <c r="P890" s="318">
        <f>P673</f>
        <v>0</v>
      </c>
      <c r="Q890" s="318"/>
      <c r="R890" s="318">
        <f>R673</f>
        <v>660</v>
      </c>
      <c r="S890" s="318"/>
      <c r="T890" s="294">
        <f t="shared" ref="T890:T893" si="546">ROUND($E890*L890,0)</f>
        <v>0</v>
      </c>
      <c r="V890" s="294">
        <f t="shared" ref="V890:Z893" si="547">ROUND($E890*N890,0)</f>
        <v>0</v>
      </c>
      <c r="X890" s="294">
        <f t="shared" si="547"/>
        <v>0</v>
      </c>
      <c r="Y890" s="319"/>
      <c r="Z890" s="294">
        <f t="shared" si="547"/>
        <v>0</v>
      </c>
    </row>
    <row r="891" spans="1:29">
      <c r="B891" s="317" t="s">
        <v>1101</v>
      </c>
      <c r="D891" s="293">
        <f t="shared" si="544"/>
        <v>14257</v>
      </c>
      <c r="E891" s="293">
        <f t="shared" si="544"/>
        <v>14844</v>
      </c>
      <c r="G891" s="318">
        <v>4.04</v>
      </c>
      <c r="H891" s="318"/>
      <c r="I891" s="294">
        <f>ROUND($G891*D891,0)</f>
        <v>57598</v>
      </c>
      <c r="J891" s="294">
        <f>ROUND($G891*E891,0)</f>
        <v>59970</v>
      </c>
      <c r="L891" s="318">
        <f>L675</f>
        <v>4.1100000000000003</v>
      </c>
      <c r="M891" s="318"/>
      <c r="N891" s="318">
        <f>N675</f>
        <v>0</v>
      </c>
      <c r="O891" s="318"/>
      <c r="P891" s="318">
        <f>P675</f>
        <v>0</v>
      </c>
      <c r="Q891" s="318"/>
      <c r="R891" s="318">
        <f>R675</f>
        <v>4.1100000000000003</v>
      </c>
      <c r="S891" s="318"/>
      <c r="T891" s="294">
        <f t="shared" si="546"/>
        <v>61009</v>
      </c>
      <c r="V891" s="294">
        <f t="shared" si="547"/>
        <v>0</v>
      </c>
      <c r="X891" s="294">
        <f t="shared" si="547"/>
        <v>0</v>
      </c>
      <c r="Y891" s="319"/>
      <c r="Z891" s="294">
        <f t="shared" si="547"/>
        <v>61009</v>
      </c>
    </row>
    <row r="892" spans="1:29">
      <c r="B892" s="317" t="s">
        <v>1110</v>
      </c>
      <c r="D892" s="293">
        <f t="shared" si="544"/>
        <v>4160.3301148008668</v>
      </c>
      <c r="E892" s="293">
        <f t="shared" si="544"/>
        <v>4915</v>
      </c>
      <c r="G892" s="339"/>
      <c r="H892" s="339"/>
      <c r="L892" s="339">
        <f>L676</f>
        <v>0.73</v>
      </c>
      <c r="M892" s="339"/>
      <c r="N892" s="339">
        <f>N676</f>
        <v>12.959999999999999</v>
      </c>
      <c r="O892" s="339"/>
      <c r="P892" s="339">
        <f>P676</f>
        <v>0</v>
      </c>
      <c r="Q892" s="339"/>
      <c r="R892" s="339">
        <f>R676</f>
        <v>13.69</v>
      </c>
      <c r="S892" s="339"/>
      <c r="T892" s="294">
        <f t="shared" si="546"/>
        <v>3588</v>
      </c>
      <c r="V892" s="294">
        <f t="shared" si="547"/>
        <v>63698</v>
      </c>
      <c r="X892" s="294">
        <f t="shared" si="547"/>
        <v>0</v>
      </c>
      <c r="Z892" s="294">
        <f t="shared" si="547"/>
        <v>67286</v>
      </c>
    </row>
    <row r="893" spans="1:29">
      <c r="B893" s="317" t="s">
        <v>1111</v>
      </c>
      <c r="D893" s="293">
        <f t="shared" si="544"/>
        <v>7102.6696538572614</v>
      </c>
      <c r="E893" s="293">
        <f t="shared" si="544"/>
        <v>6971</v>
      </c>
      <c r="G893" s="339"/>
      <c r="H893" s="339"/>
      <c r="L893" s="339">
        <f>L677</f>
        <v>0.64</v>
      </c>
      <c r="M893" s="339"/>
      <c r="N893" s="339">
        <f>N677</f>
        <v>11.479999999999999</v>
      </c>
      <c r="O893" s="339"/>
      <c r="P893" s="339">
        <f>P677</f>
        <v>0</v>
      </c>
      <c r="Q893" s="339"/>
      <c r="R893" s="339">
        <f>R677</f>
        <v>12.12</v>
      </c>
      <c r="S893" s="339"/>
      <c r="T893" s="294">
        <f t="shared" si="546"/>
        <v>4461</v>
      </c>
      <c r="V893" s="294">
        <f t="shared" si="547"/>
        <v>80027</v>
      </c>
      <c r="X893" s="294">
        <f t="shared" si="547"/>
        <v>0</v>
      </c>
      <c r="Z893" s="294">
        <f t="shared" si="547"/>
        <v>84489</v>
      </c>
    </row>
    <row r="894" spans="1:29">
      <c r="B894" s="317" t="s">
        <v>1104</v>
      </c>
      <c r="D894" s="293">
        <f t="shared" si="544"/>
        <v>1116494.5635641532</v>
      </c>
      <c r="E894" s="293">
        <f t="shared" si="544"/>
        <v>1281170</v>
      </c>
      <c r="G894" s="377"/>
      <c r="H894" s="343"/>
      <c r="L894" s="377">
        <f>L678</f>
        <v>0</v>
      </c>
      <c r="M894" s="343" t="s">
        <v>1062</v>
      </c>
      <c r="N894" s="377">
        <f>N678</f>
        <v>1.7162999999999999</v>
      </c>
      <c r="O894" s="343" t="s">
        <v>1062</v>
      </c>
      <c r="P894" s="377">
        <f>P678</f>
        <v>2.279911334706</v>
      </c>
      <c r="Q894" s="343" t="s">
        <v>1062</v>
      </c>
      <c r="R894" s="377">
        <f>R678</f>
        <v>3.996211334706</v>
      </c>
      <c r="S894" s="343" t="s">
        <v>1062</v>
      </c>
      <c r="T894" s="294">
        <f>ROUND($E894*L894/100,0)</f>
        <v>0</v>
      </c>
      <c r="V894" s="294">
        <f>ROUND($E894*N894/100,0)</f>
        <v>21989</v>
      </c>
      <c r="X894" s="294">
        <f>ROUND($E894*P894/100,0)</f>
        <v>29210</v>
      </c>
      <c r="Y894" s="346"/>
      <c r="Z894" s="294">
        <f>ROUND($E894*R894/100,0)</f>
        <v>51198</v>
      </c>
    </row>
    <row r="895" spans="1:29">
      <c r="B895" s="317" t="s">
        <v>1105</v>
      </c>
      <c r="D895" s="293">
        <f t="shared" si="544"/>
        <v>2191180.143108299</v>
      </c>
      <c r="E895" s="293">
        <f t="shared" si="544"/>
        <v>2099521</v>
      </c>
      <c r="G895" s="377"/>
      <c r="H895" s="343"/>
      <c r="L895" s="377">
        <f>L679</f>
        <v>0</v>
      </c>
      <c r="M895" s="343" t="s">
        <v>1062</v>
      </c>
      <c r="N895" s="377">
        <f>N679</f>
        <v>1.5188999999999999</v>
      </c>
      <c r="O895" s="343" t="s">
        <v>1062</v>
      </c>
      <c r="P895" s="377">
        <f>P679</f>
        <v>2.0175702077039999</v>
      </c>
      <c r="Q895" s="343" t="s">
        <v>1062</v>
      </c>
      <c r="R895" s="377">
        <f>R679</f>
        <v>3.5364702077039998</v>
      </c>
      <c r="S895" s="343" t="s">
        <v>1062</v>
      </c>
      <c r="T895" s="294">
        <f>ROUND($E895*L895/100,0)</f>
        <v>0</v>
      </c>
      <c r="V895" s="294">
        <f>ROUND($E895*N895/100,0)</f>
        <v>31890</v>
      </c>
      <c r="X895" s="294">
        <f>ROUND($E895*P895/100,0)</f>
        <v>42359</v>
      </c>
      <c r="Y895" s="346"/>
      <c r="Z895" s="294">
        <f>ROUND($E895*R895/100,0)</f>
        <v>74249</v>
      </c>
    </row>
    <row r="896" spans="1:29">
      <c r="B896" s="317" t="s">
        <v>1112</v>
      </c>
      <c r="D896" s="293">
        <f t="shared" si="544"/>
        <v>5006.6367989056098</v>
      </c>
      <c r="E896" s="293">
        <f t="shared" si="544"/>
        <v>5072</v>
      </c>
      <c r="G896" s="318">
        <v>14.62</v>
      </c>
      <c r="H896" s="318"/>
      <c r="I896" s="294">
        <f t="shared" si="545"/>
        <v>73197</v>
      </c>
      <c r="J896" s="294">
        <f t="shared" si="545"/>
        <v>74153</v>
      </c>
      <c r="L896" s="318"/>
      <c r="M896" s="318"/>
      <c r="N896" s="318"/>
      <c r="O896" s="318"/>
      <c r="P896" s="318"/>
      <c r="Q896" s="318"/>
      <c r="R896" s="318"/>
      <c r="S896" s="318"/>
      <c r="Y896" s="319"/>
    </row>
    <row r="897" spans="1:29">
      <c r="B897" s="317" t="s">
        <v>1113</v>
      </c>
      <c r="D897" s="293">
        <f t="shared" si="544"/>
        <v>6256.3629697525175</v>
      </c>
      <c r="E897" s="293">
        <f t="shared" si="544"/>
        <v>6688</v>
      </c>
      <c r="G897" s="318">
        <v>10.91</v>
      </c>
      <c r="H897" s="318"/>
      <c r="I897" s="294">
        <f t="shared" si="545"/>
        <v>68257</v>
      </c>
      <c r="J897" s="294">
        <f t="shared" si="545"/>
        <v>72966</v>
      </c>
      <c r="L897" s="318"/>
      <c r="M897" s="318"/>
      <c r="N897" s="318"/>
      <c r="O897" s="318"/>
      <c r="P897" s="318"/>
      <c r="Q897" s="318"/>
      <c r="R897" s="318"/>
      <c r="S897" s="318"/>
      <c r="Y897" s="319"/>
    </row>
    <row r="898" spans="1:29">
      <c r="B898" s="317" t="s">
        <v>1098</v>
      </c>
      <c r="D898" s="293">
        <f t="shared" si="544"/>
        <v>0</v>
      </c>
      <c r="E898" s="293">
        <f t="shared" si="544"/>
        <v>0</v>
      </c>
      <c r="G898" s="318">
        <v>-0.96</v>
      </c>
      <c r="H898" s="318"/>
      <c r="I898" s="294">
        <f t="shared" si="545"/>
        <v>0</v>
      </c>
      <c r="J898" s="294">
        <f t="shared" si="545"/>
        <v>0</v>
      </c>
      <c r="L898" s="318">
        <f>L682</f>
        <v>-0.96</v>
      </c>
      <c r="M898" s="318"/>
      <c r="N898" s="318">
        <f>N682</f>
        <v>0</v>
      </c>
      <c r="O898" s="318"/>
      <c r="P898" s="318">
        <f>P682</f>
        <v>0</v>
      </c>
      <c r="Q898" s="318"/>
      <c r="R898" s="318">
        <f>R682</f>
        <v>-0.96</v>
      </c>
      <c r="S898" s="318"/>
      <c r="T898" s="294">
        <f t="shared" ref="T898" si="548">ROUND($E898*L898,0)</f>
        <v>0</v>
      </c>
      <c r="V898" s="294">
        <f t="shared" ref="V898:Z898" si="549">ROUND($E898*N898,0)</f>
        <v>0</v>
      </c>
      <c r="X898" s="294">
        <f t="shared" si="549"/>
        <v>0</v>
      </c>
      <c r="Y898" s="319"/>
      <c r="Z898" s="294">
        <f t="shared" si="549"/>
        <v>0</v>
      </c>
    </row>
    <row r="899" spans="1:29">
      <c r="B899" s="317" t="s">
        <v>1108</v>
      </c>
      <c r="D899" s="293">
        <f t="shared" si="544"/>
        <v>1374894.8539157421</v>
      </c>
      <c r="E899" s="293">
        <f t="shared" si="544"/>
        <v>1563144</v>
      </c>
      <c r="G899" s="377">
        <v>3.8127</v>
      </c>
      <c r="H899" s="343" t="s">
        <v>1062</v>
      </c>
      <c r="I899" s="294">
        <f>ROUND($G899*D899/100,0)</f>
        <v>52421</v>
      </c>
      <c r="J899" s="294">
        <f>ROUND($G899*E899/100,0)</f>
        <v>59598</v>
      </c>
      <c r="L899" s="377"/>
      <c r="M899" s="343"/>
      <c r="N899" s="377"/>
      <c r="O899" s="343"/>
      <c r="P899" s="377"/>
      <c r="Q899" s="343"/>
      <c r="R899" s="377"/>
      <c r="S899" s="343"/>
      <c r="T899" s="346"/>
      <c r="U899" s="346"/>
      <c r="V899" s="346"/>
      <c r="W899" s="346"/>
      <c r="X899" s="346"/>
      <c r="Y899" s="346"/>
    </row>
    <row r="900" spans="1:29">
      <c r="B900" s="317" t="s">
        <v>1109</v>
      </c>
      <c r="D900" s="293">
        <f t="shared" si="544"/>
        <v>1932779.8527567103</v>
      </c>
      <c r="E900" s="293">
        <f t="shared" si="544"/>
        <v>1817547</v>
      </c>
      <c r="G900" s="377">
        <v>3.5143</v>
      </c>
      <c r="H900" s="343" t="s">
        <v>1062</v>
      </c>
      <c r="I900" s="294">
        <f>ROUND($G900*D900/100,0)</f>
        <v>67924</v>
      </c>
      <c r="J900" s="294">
        <f>ROUND($G900*E900/100,0)</f>
        <v>63874</v>
      </c>
      <c r="L900" s="377"/>
      <c r="M900" s="343"/>
      <c r="N900" s="377"/>
      <c r="O900" s="343"/>
      <c r="P900" s="377"/>
      <c r="Q900" s="343"/>
      <c r="R900" s="377"/>
      <c r="S900" s="343"/>
      <c r="T900" s="346"/>
      <c r="U900" s="346"/>
      <c r="V900" s="346"/>
      <c r="W900" s="346"/>
      <c r="X900" s="346"/>
      <c r="Y900" s="346"/>
    </row>
    <row r="901" spans="1:29">
      <c r="B901" s="317" t="s">
        <v>1078</v>
      </c>
      <c r="D901" s="357">
        <f t="shared" si="544"/>
        <v>17379</v>
      </c>
      <c r="E901" s="357">
        <f t="shared" si="544"/>
        <v>0</v>
      </c>
      <c r="I901" s="358">
        <f>I919+I937+I955</f>
        <v>1831</v>
      </c>
      <c r="J901" s="358">
        <f>J919+J937+J955</f>
        <v>0</v>
      </c>
      <c r="Z901" s="358">
        <f>Z919+Z937+Z955</f>
        <v>0</v>
      </c>
    </row>
    <row r="902" spans="1:29">
      <c r="B902" s="317" t="s">
        <v>1079</v>
      </c>
      <c r="G902" s="338">
        <v>-3.61E-2</v>
      </c>
      <c r="H902" s="339"/>
      <c r="I902" s="294">
        <f>SUM(I896:I897,I899:I900)*$G902</f>
        <v>-9450.9439000000002</v>
      </c>
      <c r="J902" s="294">
        <f>SUM(J896:J897,J899:J900)*$G902</f>
        <v>-9768.3351000000002</v>
      </c>
      <c r="L902" s="338"/>
      <c r="M902" s="339"/>
      <c r="N902" s="338"/>
      <c r="O902" s="339"/>
      <c r="P902" s="359" t="str">
        <f>$P$43</f>
        <v>Tax Year 1</v>
      </c>
      <c r="Q902" s="339"/>
      <c r="R902" s="338">
        <f>$R$687</f>
        <v>-2.4199999999999999E-2</v>
      </c>
      <c r="S902" s="339"/>
      <c r="Z902" s="294">
        <f>R902*SUM(Z892:Z895)</f>
        <v>-6708.7723999999998</v>
      </c>
    </row>
    <row r="903" spans="1:29">
      <c r="B903" s="317"/>
      <c r="G903" s="338"/>
      <c r="H903" s="339"/>
      <c r="L903" s="338"/>
      <c r="M903" s="339"/>
      <c r="N903" s="338"/>
      <c r="O903" s="339"/>
      <c r="P903" s="359" t="str">
        <f>$P$44</f>
        <v>Tax Year 2</v>
      </c>
      <c r="Q903" s="339"/>
      <c r="R903" s="338">
        <f>$R$688</f>
        <v>-1.21E-2</v>
      </c>
      <c r="S903" s="339"/>
      <c r="Z903" s="294">
        <f>R903*SUM(Z892:Z895)</f>
        <v>-3354.3861999999999</v>
      </c>
    </row>
    <row r="904" spans="1:29" ht="16.5" thickBot="1">
      <c r="A904" s="292">
        <v>1</v>
      </c>
      <c r="B904" s="317" t="s">
        <v>937</v>
      </c>
      <c r="D904" s="381">
        <f>SUM(D899:D901)</f>
        <v>3325053.7066724524</v>
      </c>
      <c r="E904" s="381">
        <f>SUM(E899:E901)</f>
        <v>3380691</v>
      </c>
      <c r="G904" s="368"/>
      <c r="I904" s="369">
        <f>SUM(I889:I902)</f>
        <v>321821.05609999999</v>
      </c>
      <c r="J904" s="369">
        <f>SUM(J889:J902)</f>
        <v>331160.66489999997</v>
      </c>
      <c r="L904" s="368"/>
      <c r="N904" s="368"/>
      <c r="P904" s="368"/>
      <c r="R904" s="368"/>
      <c r="T904" s="369">
        <f>SUM(T889:T901)</f>
        <v>79618</v>
      </c>
      <c r="V904" s="369">
        <f>SUM(V889:V901)</f>
        <v>197604</v>
      </c>
      <c r="X904" s="369">
        <f>SUM(X889:X901)</f>
        <v>71569</v>
      </c>
      <c r="Z904" s="369">
        <f>SUM(Z889:Z901)</f>
        <v>348791</v>
      </c>
      <c r="AB904" s="305" t="s">
        <v>939</v>
      </c>
      <c r="AC904" s="304">
        <f>Z904/J904-1</f>
        <v>5.3238010937451952E-2</v>
      </c>
    </row>
    <row r="905" spans="1:29" ht="16.5" thickTop="1">
      <c r="A905" s="292">
        <v>1</v>
      </c>
    </row>
    <row r="906" spans="1:29">
      <c r="B906" s="314" t="s">
        <v>970</v>
      </c>
    </row>
    <row r="907" spans="1:29">
      <c r="B907" s="382" t="s">
        <v>1089</v>
      </c>
      <c r="D907" s="293">
        <f>'[7]6'!H37</f>
        <v>14</v>
      </c>
      <c r="E907" s="293">
        <f>[7]Bill!P12</f>
        <v>12</v>
      </c>
      <c r="G907" s="318">
        <v>54</v>
      </c>
      <c r="H907" s="318"/>
      <c r="I907" s="294">
        <f t="shared" ref="I907:J916" si="550">ROUND($G907*D907,0)</f>
        <v>756</v>
      </c>
      <c r="J907" s="294">
        <f t="shared" si="550"/>
        <v>648</v>
      </c>
      <c r="L907" s="318">
        <f t="shared" ref="L907:L913" si="551">L889</f>
        <v>55</v>
      </c>
      <c r="M907" s="318"/>
      <c r="N907" s="318">
        <f t="shared" ref="N907:N913" si="552">N889</f>
        <v>0</v>
      </c>
      <c r="O907" s="318"/>
      <c r="P907" s="318">
        <f t="shared" ref="P907:P913" si="553">P889</f>
        <v>0</v>
      </c>
      <c r="Q907" s="318"/>
      <c r="R907" s="318">
        <f t="shared" ref="R907:R913" si="554">R889</f>
        <v>55</v>
      </c>
      <c r="S907" s="318"/>
      <c r="T907" s="294">
        <f>ROUND($E907*L907,0)</f>
        <v>660</v>
      </c>
      <c r="V907" s="294">
        <f>ROUND($E907*N907,0)</f>
        <v>0</v>
      </c>
      <c r="X907" s="294">
        <f>ROUND($E907*P907,0)</f>
        <v>0</v>
      </c>
      <c r="Y907" s="319"/>
      <c r="Z907" s="294">
        <f>ROUND($E907*R907,0)</f>
        <v>660</v>
      </c>
    </row>
    <row r="908" spans="1:29">
      <c r="B908" s="317" t="s">
        <v>1099</v>
      </c>
      <c r="D908" s="293">
        <v>0</v>
      </c>
      <c r="E908" s="293">
        <f>ROUND(D908/D907*E907,0)</f>
        <v>0</v>
      </c>
      <c r="F908" s="339"/>
      <c r="G908" s="318">
        <v>648</v>
      </c>
      <c r="H908" s="318"/>
      <c r="I908" s="294">
        <f t="shared" si="550"/>
        <v>0</v>
      </c>
      <c r="J908" s="294">
        <f t="shared" si="550"/>
        <v>0</v>
      </c>
      <c r="K908" s="339"/>
      <c r="L908" s="318">
        <f t="shared" si="551"/>
        <v>660</v>
      </c>
      <c r="M908" s="318"/>
      <c r="N908" s="318">
        <f t="shared" si="552"/>
        <v>0</v>
      </c>
      <c r="O908" s="318"/>
      <c r="P908" s="318">
        <f t="shared" si="553"/>
        <v>0</v>
      </c>
      <c r="Q908" s="318"/>
      <c r="R908" s="318">
        <f t="shared" si="554"/>
        <v>660</v>
      </c>
      <c r="S908" s="318"/>
      <c r="T908" s="294">
        <f t="shared" ref="T908:T911" si="555">ROUND($E908*L908,0)</f>
        <v>0</v>
      </c>
      <c r="V908" s="294">
        <f t="shared" ref="V908:V911" si="556">ROUND($E908*N908,0)</f>
        <v>0</v>
      </c>
      <c r="X908" s="294">
        <f t="shared" ref="X908:X911" si="557">ROUND($E908*P908,0)</f>
        <v>0</v>
      </c>
      <c r="Y908" s="319"/>
      <c r="Z908" s="294">
        <f t="shared" ref="Z908:Z911" si="558">ROUND($E908*R908,0)</f>
        <v>0</v>
      </c>
    </row>
    <row r="909" spans="1:29">
      <c r="B909" s="317" t="s">
        <v>1101</v>
      </c>
      <c r="D909" s="293">
        <f>'[7]6'!J37</f>
        <v>279</v>
      </c>
      <c r="E909" s="293">
        <f>ROUND(D909/D922*E922,0)</f>
        <v>363</v>
      </c>
      <c r="G909" s="318">
        <v>4.04</v>
      </c>
      <c r="H909" s="318"/>
      <c r="I909" s="294">
        <f>ROUND($G909*D909,0)</f>
        <v>1127</v>
      </c>
      <c r="J909" s="294">
        <f>ROUND($G909*E909,0)</f>
        <v>1467</v>
      </c>
      <c r="L909" s="318">
        <f t="shared" si="551"/>
        <v>4.1100000000000003</v>
      </c>
      <c r="M909" s="318"/>
      <c r="N909" s="318">
        <f t="shared" si="552"/>
        <v>0</v>
      </c>
      <c r="O909" s="318"/>
      <c r="P909" s="318">
        <f t="shared" si="553"/>
        <v>0</v>
      </c>
      <c r="Q909" s="318"/>
      <c r="R909" s="318">
        <f t="shared" si="554"/>
        <v>4.1100000000000003</v>
      </c>
      <c r="S909" s="318"/>
      <c r="T909" s="294">
        <f t="shared" si="555"/>
        <v>1492</v>
      </c>
      <c r="V909" s="294">
        <f t="shared" si="556"/>
        <v>0</v>
      </c>
      <c r="X909" s="294">
        <f t="shared" si="557"/>
        <v>0</v>
      </c>
      <c r="Y909" s="319"/>
      <c r="Z909" s="294">
        <f t="shared" si="558"/>
        <v>1492</v>
      </c>
    </row>
    <row r="910" spans="1:29">
      <c r="B910" s="317" t="s">
        <v>1110</v>
      </c>
      <c r="D910" s="293">
        <f>'[7]6'!L37+'[7]6-may'!L37</f>
        <v>58.024799757320203</v>
      </c>
      <c r="E910" s="293">
        <f>ROUND(D910/D912*E912,0)</f>
        <v>77</v>
      </c>
      <c r="G910" s="339"/>
      <c r="H910" s="339"/>
      <c r="L910" s="339">
        <f t="shared" si="551"/>
        <v>0.73</v>
      </c>
      <c r="M910" s="339"/>
      <c r="N910" s="339">
        <f t="shared" si="552"/>
        <v>12.959999999999999</v>
      </c>
      <c r="O910" s="339"/>
      <c r="P910" s="339">
        <f t="shared" si="553"/>
        <v>0</v>
      </c>
      <c r="Q910" s="339"/>
      <c r="R910" s="339">
        <f t="shared" si="554"/>
        <v>13.69</v>
      </c>
      <c r="S910" s="339"/>
      <c r="T910" s="294">
        <f t="shared" si="555"/>
        <v>56</v>
      </c>
      <c r="V910" s="294">
        <f t="shared" si="556"/>
        <v>998</v>
      </c>
      <c r="X910" s="294">
        <f t="shared" si="557"/>
        <v>0</v>
      </c>
      <c r="Z910" s="294">
        <f t="shared" si="558"/>
        <v>1054</v>
      </c>
    </row>
    <row r="911" spans="1:29">
      <c r="B911" s="317" t="s">
        <v>1111</v>
      </c>
      <c r="D911" s="293">
        <f>'[7]6'!M37+'[7]6-may'!M37</f>
        <v>11.97507610801749</v>
      </c>
      <c r="E911" s="293">
        <f>ROUND(D911/D913*E913,0)</f>
        <v>15</v>
      </c>
      <c r="G911" s="339"/>
      <c r="H911" s="339"/>
      <c r="L911" s="339">
        <f t="shared" si="551"/>
        <v>0.64</v>
      </c>
      <c r="M911" s="339"/>
      <c r="N911" s="339">
        <f t="shared" si="552"/>
        <v>11.479999999999999</v>
      </c>
      <c r="O911" s="339"/>
      <c r="P911" s="339">
        <f t="shared" si="553"/>
        <v>0</v>
      </c>
      <c r="Q911" s="339"/>
      <c r="R911" s="339">
        <f t="shared" si="554"/>
        <v>12.12</v>
      </c>
      <c r="S911" s="339"/>
      <c r="T911" s="294">
        <f t="shared" si="555"/>
        <v>10</v>
      </c>
      <c r="V911" s="294">
        <f t="shared" si="556"/>
        <v>172</v>
      </c>
      <c r="X911" s="294">
        <f t="shared" si="557"/>
        <v>0</v>
      </c>
      <c r="Z911" s="294">
        <f t="shared" si="558"/>
        <v>182</v>
      </c>
    </row>
    <row r="912" spans="1:29">
      <c r="B912" s="317" t="s">
        <v>1104</v>
      </c>
      <c r="D912" s="293">
        <f>'[7]6'!P37+'[7]6'!U37+'[7]6-may'!P37+'[7]6-may'!U37</f>
        <v>19258.837638376383</v>
      </c>
      <c r="E912" s="293">
        <f>[7]Energy!S12</f>
        <v>25685</v>
      </c>
      <c r="G912" s="377"/>
      <c r="H912" s="343"/>
      <c r="L912" s="377">
        <f t="shared" si="551"/>
        <v>0</v>
      </c>
      <c r="M912" s="343" t="s">
        <v>1062</v>
      </c>
      <c r="N912" s="377">
        <f t="shared" si="552"/>
        <v>1.7162999999999999</v>
      </c>
      <c r="O912" s="343" t="s">
        <v>1062</v>
      </c>
      <c r="P912" s="377">
        <f t="shared" si="553"/>
        <v>2.279911334706</v>
      </c>
      <c r="Q912" s="343" t="s">
        <v>1062</v>
      </c>
      <c r="R912" s="377">
        <f t="shared" si="554"/>
        <v>3.996211334706</v>
      </c>
      <c r="S912" s="343" t="s">
        <v>1062</v>
      </c>
      <c r="T912" s="294">
        <f>ROUND($E912*L912/100,0)</f>
        <v>0</v>
      </c>
      <c r="V912" s="294">
        <f>ROUND($E912*N912/100,0)</f>
        <v>441</v>
      </c>
      <c r="X912" s="294">
        <f>ROUND($E912*P912/100,0)</f>
        <v>586</v>
      </c>
      <c r="Y912" s="346"/>
      <c r="Z912" s="294">
        <f>ROUND($E912*R912/100,0)</f>
        <v>1026</v>
      </c>
    </row>
    <row r="913" spans="2:29">
      <c r="B913" s="317" t="s">
        <v>1105</v>
      </c>
      <c r="D913" s="293">
        <f>'[7]6'!Q37+'[7]6'!V37+'[7]6-may'!Q37+'[7]6-may'!V37</f>
        <v>6265.1623616236157</v>
      </c>
      <c r="E913" s="293">
        <f>[7]Energy!T12</f>
        <v>7681</v>
      </c>
      <c r="G913" s="377"/>
      <c r="H913" s="343"/>
      <c r="L913" s="377">
        <f t="shared" si="551"/>
        <v>0</v>
      </c>
      <c r="M913" s="343" t="s">
        <v>1062</v>
      </c>
      <c r="N913" s="377">
        <f t="shared" si="552"/>
        <v>1.5188999999999999</v>
      </c>
      <c r="O913" s="343" t="s">
        <v>1062</v>
      </c>
      <c r="P913" s="377">
        <f t="shared" si="553"/>
        <v>2.0175702077039999</v>
      </c>
      <c r="Q913" s="343" t="s">
        <v>1062</v>
      </c>
      <c r="R913" s="377">
        <f t="shared" si="554"/>
        <v>3.5364702077039998</v>
      </c>
      <c r="S913" s="343" t="s">
        <v>1062</v>
      </c>
      <c r="T913" s="294">
        <f>ROUND($E913*L913/100,0)</f>
        <v>0</v>
      </c>
      <c r="V913" s="294">
        <f>ROUND($E913*N913/100,0)</f>
        <v>117</v>
      </c>
      <c r="X913" s="294">
        <f>ROUND($E913*P913/100,0)</f>
        <v>155</v>
      </c>
      <c r="Y913" s="346"/>
      <c r="Z913" s="294">
        <f>ROUND($E913*R913/100,0)</f>
        <v>272</v>
      </c>
    </row>
    <row r="914" spans="2:29">
      <c r="B914" s="317" t="s">
        <v>1112</v>
      </c>
      <c r="D914" s="293">
        <f>'[7]6'!L37</f>
        <v>59.024623803009597</v>
      </c>
      <c r="E914" s="293">
        <f>ROUND(D914/D922*E922,0)</f>
        <v>77</v>
      </c>
      <c r="G914" s="318">
        <v>14.62</v>
      </c>
      <c r="H914" s="318"/>
      <c r="I914" s="294">
        <f t="shared" si="550"/>
        <v>863</v>
      </c>
      <c r="J914" s="294">
        <f t="shared" si="550"/>
        <v>1126</v>
      </c>
      <c r="L914" s="318"/>
      <c r="M914" s="318"/>
      <c r="N914" s="318"/>
      <c r="O914" s="318"/>
      <c r="P914" s="318"/>
      <c r="Q914" s="318"/>
      <c r="R914" s="318"/>
      <c r="S914" s="318"/>
      <c r="Y914" s="319"/>
    </row>
    <row r="915" spans="2:29">
      <c r="B915" s="317" t="s">
        <v>1113</v>
      </c>
      <c r="D915" s="293">
        <f>'[7]6'!M37</f>
        <v>10.975252062328099</v>
      </c>
      <c r="E915" s="293">
        <f>ROUND(D915/D922*E922,0)</f>
        <v>14</v>
      </c>
      <c r="G915" s="318">
        <v>10.91</v>
      </c>
      <c r="H915" s="318"/>
      <c r="I915" s="294">
        <f t="shared" si="550"/>
        <v>120</v>
      </c>
      <c r="J915" s="294">
        <f t="shared" si="550"/>
        <v>153</v>
      </c>
      <c r="L915" s="318"/>
      <c r="M915" s="318"/>
      <c r="N915" s="318"/>
      <c r="O915" s="318"/>
      <c r="P915" s="318"/>
      <c r="Q915" s="318"/>
      <c r="R915" s="318"/>
      <c r="S915" s="318"/>
      <c r="Y915" s="319"/>
    </row>
    <row r="916" spans="2:29">
      <c r="B916" s="317" t="s">
        <v>1098</v>
      </c>
      <c r="D916" s="293">
        <f>'[7]6'!N37</f>
        <v>0</v>
      </c>
      <c r="E916" s="293">
        <f>ROUND(D916/D922*E922,0)</f>
        <v>0</v>
      </c>
      <c r="G916" s="318">
        <v>-0.96</v>
      </c>
      <c r="H916" s="318"/>
      <c r="I916" s="294">
        <f t="shared" si="550"/>
        <v>0</v>
      </c>
      <c r="J916" s="294">
        <f t="shared" si="550"/>
        <v>0</v>
      </c>
      <c r="L916" s="318">
        <f>L898</f>
        <v>-0.96</v>
      </c>
      <c r="M916" s="318"/>
      <c r="N916" s="318">
        <f>N898</f>
        <v>0</v>
      </c>
      <c r="O916" s="318"/>
      <c r="P916" s="318">
        <f>P898</f>
        <v>0</v>
      </c>
      <c r="Q916" s="318"/>
      <c r="R916" s="318">
        <f>R898</f>
        <v>-0.96</v>
      </c>
      <c r="S916" s="318"/>
      <c r="T916" s="294">
        <f t="shared" ref="T916" si="559">ROUND($E916*L916,0)</f>
        <v>0</v>
      </c>
      <c r="V916" s="294">
        <f t="shared" ref="V916" si="560">ROUND($E916*N916,0)</f>
        <v>0</v>
      </c>
      <c r="X916" s="294">
        <f t="shared" ref="X916" si="561">ROUND($E916*P916,0)</f>
        <v>0</v>
      </c>
      <c r="Y916" s="319"/>
      <c r="Z916" s="294">
        <f t="shared" ref="Z916" si="562">ROUND($E916*R916,0)</f>
        <v>0</v>
      </c>
    </row>
    <row r="917" spans="2:29">
      <c r="B917" s="317" t="s">
        <v>1108</v>
      </c>
      <c r="D917" s="293">
        <f>'[7]6'!P37+'[7]6'!U37</f>
        <v>20340</v>
      </c>
      <c r="E917" s="293">
        <f>[7]Energy!Q12</f>
        <v>26592</v>
      </c>
      <c r="G917" s="377">
        <v>3.8127</v>
      </c>
      <c r="H917" s="343" t="s">
        <v>1062</v>
      </c>
      <c r="I917" s="294">
        <f>ROUND($G917*D917/100,0)</f>
        <v>776</v>
      </c>
      <c r="J917" s="294">
        <f>ROUND($G917*E917/100,0)</f>
        <v>1014</v>
      </c>
      <c r="L917" s="377"/>
      <c r="M917" s="343"/>
      <c r="N917" s="377"/>
      <c r="O917" s="343"/>
      <c r="P917" s="377"/>
      <c r="Q917" s="343"/>
      <c r="R917" s="377"/>
      <c r="S917" s="343"/>
      <c r="T917" s="346"/>
      <c r="U917" s="346"/>
      <c r="V917" s="346"/>
      <c r="W917" s="346"/>
      <c r="X917" s="346"/>
      <c r="Y917" s="346"/>
    </row>
    <row r="918" spans="2:29">
      <c r="B918" s="317" t="s">
        <v>1109</v>
      </c>
      <c r="D918" s="293">
        <f>'[7]6'!Q37+'[7]6'!V37</f>
        <v>5184</v>
      </c>
      <c r="E918" s="293">
        <f>[7]Energy!R12</f>
        <v>6774</v>
      </c>
      <c r="G918" s="377">
        <v>3.5143</v>
      </c>
      <c r="H918" s="343" t="s">
        <v>1062</v>
      </c>
      <c r="I918" s="294">
        <f>ROUND($G918*D918/100,0)</f>
        <v>182</v>
      </c>
      <c r="J918" s="294">
        <f>ROUND($G918*E918/100,0)</f>
        <v>238</v>
      </c>
      <c r="L918" s="377"/>
      <c r="M918" s="343"/>
      <c r="N918" s="377"/>
      <c r="O918" s="343"/>
      <c r="P918" s="377"/>
      <c r="Q918" s="343"/>
      <c r="R918" s="377"/>
      <c r="S918" s="343"/>
      <c r="T918" s="346"/>
      <c r="U918" s="346"/>
      <c r="V918" s="346"/>
      <c r="W918" s="346"/>
      <c r="X918" s="346"/>
      <c r="Y918" s="346"/>
    </row>
    <row r="919" spans="2:29">
      <c r="B919" s="317" t="s">
        <v>1078</v>
      </c>
      <c r="D919" s="357">
        <f>'[7]Table 2'!J22</f>
        <v>144</v>
      </c>
      <c r="E919" s="357">
        <v>0</v>
      </c>
      <c r="I919" s="358">
        <f>'[7]Table 3'!F22</f>
        <v>23</v>
      </c>
      <c r="J919" s="358">
        <v>0</v>
      </c>
      <c r="Z919" s="358">
        <v>0</v>
      </c>
    </row>
    <row r="920" spans="2:29">
      <c r="B920" s="317" t="s">
        <v>1079</v>
      </c>
      <c r="G920" s="338">
        <v>-3.61E-2</v>
      </c>
      <c r="H920" s="339"/>
      <c r="I920" s="294">
        <f>SUM(I914:I915,I917:I918)*$G920</f>
        <v>-70.070099999999996</v>
      </c>
      <c r="J920" s="294">
        <f>SUM(J914:J915,J917:J918)*$G920</f>
        <v>-91.369100000000003</v>
      </c>
      <c r="L920" s="338"/>
      <c r="M920" s="339"/>
      <c r="N920" s="338"/>
      <c r="O920" s="339"/>
      <c r="P920" s="359" t="str">
        <f>$P$43</f>
        <v>Tax Year 1</v>
      </c>
      <c r="Q920" s="339"/>
      <c r="R920" s="338">
        <f>$R$687</f>
        <v>-2.4199999999999999E-2</v>
      </c>
      <c r="S920" s="339"/>
      <c r="Z920" s="294">
        <f>R920*SUM(Z910:Z913)</f>
        <v>-61.322800000000001</v>
      </c>
    </row>
    <row r="921" spans="2:29">
      <c r="B921" s="317"/>
      <c r="G921" s="338"/>
      <c r="H921" s="339"/>
      <c r="L921" s="338"/>
      <c r="M921" s="339"/>
      <c r="N921" s="338"/>
      <c r="O921" s="339"/>
      <c r="P921" s="359" t="str">
        <f>$P$44</f>
        <v>Tax Year 2</v>
      </c>
      <c r="Q921" s="339"/>
      <c r="R921" s="338">
        <f>$R$688</f>
        <v>-1.21E-2</v>
      </c>
      <c r="S921" s="339"/>
      <c r="Z921" s="294">
        <f>R921*SUM(Z910:Z913)</f>
        <v>-30.6614</v>
      </c>
    </row>
    <row r="922" spans="2:29" ht="16.5" thickBot="1">
      <c r="B922" s="317" t="s">
        <v>937</v>
      </c>
      <c r="D922" s="381">
        <f>SUM(D917:D919)</f>
        <v>25668</v>
      </c>
      <c r="E922" s="381">
        <f>SUM(E917:E919)</f>
        <v>33366</v>
      </c>
      <c r="G922" s="368"/>
      <c r="I922" s="369">
        <f>SUM(I907:I920)</f>
        <v>3776.9299000000001</v>
      </c>
      <c r="J922" s="369">
        <f>SUM(J907:J920)</f>
        <v>4554.6309000000001</v>
      </c>
      <c r="L922" s="368"/>
      <c r="N922" s="368"/>
      <c r="P922" s="368"/>
      <c r="R922" s="368"/>
      <c r="T922" s="369">
        <f>SUM(T907:T919)</f>
        <v>2218</v>
      </c>
      <c r="V922" s="369">
        <f>SUM(V907:V919)</f>
        <v>1728</v>
      </c>
      <c r="X922" s="369">
        <f>SUM(X907:X919)</f>
        <v>741</v>
      </c>
      <c r="Z922" s="369">
        <f>SUM(Z907:Z919)</f>
        <v>4686</v>
      </c>
      <c r="AB922" s="305" t="s">
        <v>939</v>
      </c>
      <c r="AC922" s="304">
        <f>Z922/J922-1</f>
        <v>2.8842973862053256E-2</v>
      </c>
    </row>
    <row r="923" spans="2:29" ht="16.5" thickTop="1"/>
    <row r="924" spans="2:29">
      <c r="B924" s="314" t="s">
        <v>971</v>
      </c>
      <c r="F924" s="339"/>
      <c r="K924" s="339"/>
    </row>
    <row r="925" spans="2:29">
      <c r="B925" s="317" t="s">
        <v>1089</v>
      </c>
      <c r="D925" s="293">
        <f>'[7]6'!H35</f>
        <v>168</v>
      </c>
      <c r="E925" s="293">
        <f>[7]Bill!P33</f>
        <v>168</v>
      </c>
      <c r="G925" s="318">
        <v>54</v>
      </c>
      <c r="H925" s="318"/>
      <c r="I925" s="294">
        <f t="shared" ref="I925:J934" si="563">ROUND($G925*D925,0)</f>
        <v>9072</v>
      </c>
      <c r="J925" s="294">
        <f t="shared" si="563"/>
        <v>9072</v>
      </c>
      <c r="L925" s="318">
        <f t="shared" ref="L925:L931" si="564">L889</f>
        <v>55</v>
      </c>
      <c r="M925" s="318"/>
      <c r="N925" s="318">
        <f t="shared" ref="N925:N931" si="565">N889</f>
        <v>0</v>
      </c>
      <c r="O925" s="318"/>
      <c r="P925" s="318">
        <f t="shared" ref="P925:P931" si="566">P889</f>
        <v>0</v>
      </c>
      <c r="Q925" s="318"/>
      <c r="R925" s="318">
        <f t="shared" ref="R925:R931" si="567">R889</f>
        <v>55</v>
      </c>
      <c r="S925" s="318"/>
      <c r="T925" s="294">
        <f>ROUND($E925*L925,0)</f>
        <v>9240</v>
      </c>
      <c r="V925" s="294">
        <f>ROUND($E925*N925,0)</f>
        <v>0</v>
      </c>
      <c r="X925" s="294">
        <f>ROUND($E925*P925,0)</f>
        <v>0</v>
      </c>
      <c r="Y925" s="319"/>
      <c r="Z925" s="294">
        <f>ROUND($E925*R925,0)</f>
        <v>9240</v>
      </c>
    </row>
    <row r="926" spans="2:29">
      <c r="B926" s="317" t="s">
        <v>1099</v>
      </c>
      <c r="D926" s="293">
        <v>0</v>
      </c>
      <c r="E926" s="293">
        <f>ROUND(D926/D925*E925,0)</f>
        <v>0</v>
      </c>
      <c r="F926" s="339"/>
      <c r="G926" s="318">
        <v>648</v>
      </c>
      <c r="H926" s="318"/>
      <c r="I926" s="294">
        <f t="shared" si="563"/>
        <v>0</v>
      </c>
      <c r="J926" s="294">
        <f t="shared" si="563"/>
        <v>0</v>
      </c>
      <c r="K926" s="339"/>
      <c r="L926" s="318">
        <f t="shared" si="564"/>
        <v>660</v>
      </c>
      <c r="M926" s="318"/>
      <c r="N926" s="318">
        <f t="shared" si="565"/>
        <v>0</v>
      </c>
      <c r="O926" s="318"/>
      <c r="P926" s="318">
        <f t="shared" si="566"/>
        <v>0</v>
      </c>
      <c r="Q926" s="318"/>
      <c r="R926" s="318">
        <f t="shared" si="567"/>
        <v>660</v>
      </c>
      <c r="S926" s="318"/>
      <c r="T926" s="294">
        <f t="shared" ref="T926:T929" si="568">ROUND($E926*L926,0)</f>
        <v>0</v>
      </c>
      <c r="V926" s="294">
        <f t="shared" ref="V926:V929" si="569">ROUND($E926*N926,0)</f>
        <v>0</v>
      </c>
      <c r="X926" s="294">
        <f t="shared" ref="X926:X929" si="570">ROUND($E926*P926,0)</f>
        <v>0</v>
      </c>
      <c r="Y926" s="319"/>
      <c r="Z926" s="294">
        <f t="shared" ref="Z926:Z929" si="571">ROUND($E926*R926,0)</f>
        <v>0</v>
      </c>
    </row>
    <row r="927" spans="2:29">
      <c r="B927" s="317" t="s">
        <v>1101</v>
      </c>
      <c r="D927" s="293">
        <f>'[7]6'!J35</f>
        <v>13820</v>
      </c>
      <c r="E927" s="293">
        <f>ROUND(D927/D940*E940,0)</f>
        <v>13953</v>
      </c>
      <c r="G927" s="318">
        <v>4.04</v>
      </c>
      <c r="H927" s="318"/>
      <c r="I927" s="294">
        <f>ROUND($G927*D927,0)</f>
        <v>55833</v>
      </c>
      <c r="J927" s="294">
        <f>ROUND($G927*E927,0)</f>
        <v>56370</v>
      </c>
      <c r="L927" s="318">
        <f t="shared" si="564"/>
        <v>4.1100000000000003</v>
      </c>
      <c r="M927" s="318"/>
      <c r="N927" s="318">
        <f t="shared" si="565"/>
        <v>0</v>
      </c>
      <c r="O927" s="318"/>
      <c r="P927" s="318">
        <f t="shared" si="566"/>
        <v>0</v>
      </c>
      <c r="Q927" s="318"/>
      <c r="R927" s="318">
        <f t="shared" si="567"/>
        <v>4.1100000000000003</v>
      </c>
      <c r="S927" s="318"/>
      <c r="T927" s="294">
        <f t="shared" si="568"/>
        <v>57347</v>
      </c>
      <c r="V927" s="294">
        <f t="shared" si="569"/>
        <v>0</v>
      </c>
      <c r="X927" s="294">
        <f t="shared" si="570"/>
        <v>0</v>
      </c>
      <c r="Y927" s="319"/>
      <c r="Z927" s="294">
        <f t="shared" si="571"/>
        <v>57347</v>
      </c>
    </row>
    <row r="928" spans="2:29">
      <c r="B928" s="317" t="s">
        <v>1110</v>
      </c>
      <c r="D928" s="293">
        <f>'[7]6'!L35+'[7]6-may'!L35</f>
        <v>4102.3053150435462</v>
      </c>
      <c r="E928" s="293">
        <f>ROUND(D928/D930*E930,0)</f>
        <v>4665</v>
      </c>
      <c r="G928" s="339"/>
      <c r="H928" s="339"/>
      <c r="L928" s="339">
        <f t="shared" si="564"/>
        <v>0.73</v>
      </c>
      <c r="M928" s="339"/>
      <c r="N928" s="339">
        <f t="shared" si="565"/>
        <v>12.959999999999999</v>
      </c>
      <c r="O928" s="339"/>
      <c r="P928" s="339">
        <f t="shared" si="566"/>
        <v>0</v>
      </c>
      <c r="Q928" s="339"/>
      <c r="R928" s="339">
        <f t="shared" si="567"/>
        <v>13.69</v>
      </c>
      <c r="S928" s="339"/>
      <c r="T928" s="294">
        <f t="shared" si="568"/>
        <v>3405</v>
      </c>
      <c r="V928" s="294">
        <f t="shared" si="569"/>
        <v>60458</v>
      </c>
      <c r="X928" s="294">
        <f t="shared" si="570"/>
        <v>0</v>
      </c>
      <c r="Z928" s="294">
        <f t="shared" si="571"/>
        <v>63864</v>
      </c>
    </row>
    <row r="929" spans="2:29">
      <c r="B929" s="317" t="s">
        <v>1111</v>
      </c>
      <c r="D929" s="293">
        <f>'[7]6'!M35+'[7]6-may'!M35</f>
        <v>6932.6945777492438</v>
      </c>
      <c r="E929" s="293">
        <f>ROUND(D929/D931*E931,0)</f>
        <v>6610</v>
      </c>
      <c r="G929" s="339"/>
      <c r="H929" s="339"/>
      <c r="L929" s="339">
        <f t="shared" si="564"/>
        <v>0.64</v>
      </c>
      <c r="M929" s="339"/>
      <c r="N929" s="339">
        <f t="shared" si="565"/>
        <v>11.479999999999999</v>
      </c>
      <c r="O929" s="339"/>
      <c r="P929" s="339">
        <f t="shared" si="566"/>
        <v>0</v>
      </c>
      <c r="Q929" s="339"/>
      <c r="R929" s="339">
        <f t="shared" si="567"/>
        <v>12.12</v>
      </c>
      <c r="S929" s="339"/>
      <c r="T929" s="294">
        <f t="shared" si="568"/>
        <v>4230</v>
      </c>
      <c r="V929" s="294">
        <f t="shared" si="569"/>
        <v>75883</v>
      </c>
      <c r="X929" s="294">
        <f t="shared" si="570"/>
        <v>0</v>
      </c>
      <c r="Z929" s="294">
        <f t="shared" si="571"/>
        <v>80113</v>
      </c>
    </row>
    <row r="930" spans="2:29">
      <c r="B930" s="317" t="s">
        <v>1104</v>
      </c>
      <c r="D930" s="293">
        <f>'[7]6'!P35+'[7]6'!U35+'[7]6-may'!P35+'[7]6-may'!U35+[7]TempRevMay!C341</f>
        <v>1097235.7259257769</v>
      </c>
      <c r="E930" s="293">
        <f>[7]Energy!S33</f>
        <v>1247725</v>
      </c>
      <c r="G930" s="377"/>
      <c r="H930" s="343"/>
      <c r="L930" s="377">
        <f t="shared" si="564"/>
        <v>0</v>
      </c>
      <c r="M930" s="343" t="s">
        <v>1062</v>
      </c>
      <c r="N930" s="377">
        <f t="shared" si="565"/>
        <v>1.7162999999999999</v>
      </c>
      <c r="O930" s="343" t="s">
        <v>1062</v>
      </c>
      <c r="P930" s="377">
        <f t="shared" si="566"/>
        <v>2.279911334706</v>
      </c>
      <c r="Q930" s="343" t="s">
        <v>1062</v>
      </c>
      <c r="R930" s="377">
        <f t="shared" si="567"/>
        <v>3.996211334706</v>
      </c>
      <c r="S930" s="343" t="s">
        <v>1062</v>
      </c>
      <c r="T930" s="294">
        <f>ROUND($E930*L930/100,0)</f>
        <v>0</v>
      </c>
      <c r="V930" s="294">
        <f>ROUND($E930*N930/100,0)</f>
        <v>21415</v>
      </c>
      <c r="X930" s="294">
        <f>ROUND($E930*P930/100,0)</f>
        <v>28447</v>
      </c>
      <c r="Y930" s="346"/>
      <c r="Z930" s="294">
        <f>ROUND($E930*R930/100,0)</f>
        <v>49862</v>
      </c>
    </row>
    <row r="931" spans="2:29">
      <c r="B931" s="317" t="s">
        <v>1105</v>
      </c>
      <c r="D931" s="293">
        <f>'[7]6'!Q35+'[7]6'!V35+'[7]6-may'!Q35+'[7]6-may'!V35+[7]TempRevMay!C342</f>
        <v>2177828.9807466753</v>
      </c>
      <c r="E931" s="293">
        <f>[7]Energy!T33</f>
        <v>2076320</v>
      </c>
      <c r="G931" s="377"/>
      <c r="H931" s="343"/>
      <c r="L931" s="377">
        <f t="shared" si="564"/>
        <v>0</v>
      </c>
      <c r="M931" s="343" t="s">
        <v>1062</v>
      </c>
      <c r="N931" s="377">
        <f t="shared" si="565"/>
        <v>1.5188999999999999</v>
      </c>
      <c r="O931" s="343" t="s">
        <v>1062</v>
      </c>
      <c r="P931" s="377">
        <f t="shared" si="566"/>
        <v>2.0175702077039999</v>
      </c>
      <c r="Q931" s="343" t="s">
        <v>1062</v>
      </c>
      <c r="R931" s="377">
        <f t="shared" si="567"/>
        <v>3.5364702077039998</v>
      </c>
      <c r="S931" s="343" t="s">
        <v>1062</v>
      </c>
      <c r="T931" s="294">
        <f>ROUND($E931*L931/100,0)</f>
        <v>0</v>
      </c>
      <c r="V931" s="294">
        <f>ROUND($E931*N931/100,0)</f>
        <v>31537</v>
      </c>
      <c r="X931" s="294">
        <f>ROUND($E931*P931/100,0)</f>
        <v>41891</v>
      </c>
      <c r="Y931" s="346"/>
      <c r="Z931" s="294">
        <f>ROUND($E931*R931/100,0)</f>
        <v>73428</v>
      </c>
    </row>
    <row r="932" spans="2:29">
      <c r="B932" s="317" t="s">
        <v>1112</v>
      </c>
      <c r="D932" s="293">
        <f>'[7]6'!L35</f>
        <v>4947.6121751026003</v>
      </c>
      <c r="E932" s="293">
        <f>ROUND(D932/D940*E940,0)</f>
        <v>4995</v>
      </c>
      <c r="G932" s="318">
        <v>14.62</v>
      </c>
      <c r="H932" s="318"/>
      <c r="I932" s="294">
        <f t="shared" si="563"/>
        <v>72334</v>
      </c>
      <c r="J932" s="294">
        <f t="shared" si="563"/>
        <v>73027</v>
      </c>
      <c r="L932" s="318"/>
      <c r="M932" s="318"/>
      <c r="N932" s="318"/>
      <c r="O932" s="318"/>
      <c r="P932" s="318"/>
      <c r="Q932" s="318"/>
      <c r="R932" s="318"/>
      <c r="S932" s="318"/>
      <c r="Y932" s="319"/>
    </row>
    <row r="933" spans="2:29">
      <c r="B933" s="317" t="s">
        <v>1113</v>
      </c>
      <c r="D933" s="293">
        <f>'[7]6'!M35</f>
        <v>6087.3877176901897</v>
      </c>
      <c r="E933" s="293">
        <f>ROUND(D933/D940*E940,0)</f>
        <v>6146</v>
      </c>
      <c r="G933" s="318">
        <v>10.91</v>
      </c>
      <c r="H933" s="318"/>
      <c r="I933" s="294">
        <f t="shared" si="563"/>
        <v>66413</v>
      </c>
      <c r="J933" s="294">
        <f t="shared" si="563"/>
        <v>67053</v>
      </c>
      <c r="L933" s="318"/>
      <c r="M933" s="318"/>
      <c r="N933" s="318"/>
      <c r="O933" s="318"/>
      <c r="P933" s="318"/>
      <c r="Q933" s="318"/>
      <c r="R933" s="318"/>
      <c r="S933" s="318"/>
      <c r="Y933" s="319"/>
    </row>
    <row r="934" spans="2:29">
      <c r="B934" s="317" t="s">
        <v>1098</v>
      </c>
      <c r="D934" s="293">
        <f>'[7]6'!N35</f>
        <v>0</v>
      </c>
      <c r="E934" s="293">
        <f>ROUND(D934/D940*E940,0)</f>
        <v>0</v>
      </c>
      <c r="G934" s="318">
        <v>-0.96</v>
      </c>
      <c r="H934" s="318"/>
      <c r="I934" s="294">
        <f t="shared" si="563"/>
        <v>0</v>
      </c>
      <c r="J934" s="294">
        <f t="shared" si="563"/>
        <v>0</v>
      </c>
      <c r="L934" s="318">
        <f>L898</f>
        <v>-0.96</v>
      </c>
      <c r="M934" s="318"/>
      <c r="N934" s="318">
        <f>N898</f>
        <v>0</v>
      </c>
      <c r="O934" s="318"/>
      <c r="P934" s="318">
        <f>P898</f>
        <v>0</v>
      </c>
      <c r="Q934" s="318"/>
      <c r="R934" s="318">
        <f>R898</f>
        <v>-0.96</v>
      </c>
      <c r="S934" s="318"/>
      <c r="T934" s="294">
        <f t="shared" ref="T934" si="572">ROUND($E934*L934,0)</f>
        <v>0</v>
      </c>
      <c r="V934" s="294">
        <f t="shared" ref="V934" si="573">ROUND($E934*N934,0)</f>
        <v>0</v>
      </c>
      <c r="X934" s="294">
        <f t="shared" ref="X934" si="574">ROUND($E934*P934,0)</f>
        <v>0</v>
      </c>
      <c r="Y934" s="319"/>
      <c r="Z934" s="294">
        <f t="shared" ref="Z934" si="575">ROUND($E934*R934,0)</f>
        <v>0</v>
      </c>
    </row>
    <row r="935" spans="2:29">
      <c r="B935" s="317" t="s">
        <v>1108</v>
      </c>
      <c r="D935" s="293">
        <f>'[7]6'!P35+'[7]6'!U35+[7]TempRev!C341</f>
        <v>1354554.8539157421</v>
      </c>
      <c r="E935" s="293">
        <f>[7]Energy!Q33</f>
        <v>1526852</v>
      </c>
      <c r="G935" s="377">
        <v>3.8127</v>
      </c>
      <c r="H935" s="343" t="s">
        <v>1062</v>
      </c>
      <c r="I935" s="294">
        <f>ROUND($G935*D935/100,0)</f>
        <v>51645</v>
      </c>
      <c r="J935" s="294">
        <f>ROUND($G935*E935/100,0)</f>
        <v>58214</v>
      </c>
      <c r="L935" s="377"/>
      <c r="M935" s="343"/>
      <c r="N935" s="377"/>
      <c r="O935" s="343"/>
      <c r="P935" s="377"/>
      <c r="Q935" s="343"/>
      <c r="R935" s="377"/>
      <c r="S935" s="343"/>
      <c r="T935" s="346"/>
      <c r="U935" s="346"/>
      <c r="V935" s="346"/>
      <c r="W935" s="346"/>
      <c r="X935" s="346"/>
      <c r="Y935" s="346"/>
    </row>
    <row r="936" spans="2:29">
      <c r="B936" s="317" t="s">
        <v>1109</v>
      </c>
      <c r="D936" s="293">
        <f>'[7]6'!Q35+'[7]6'!V35+[7]TempRev!C342</f>
        <v>1920509.8527567103</v>
      </c>
      <c r="E936" s="293">
        <f>[7]Energy!R33</f>
        <v>1797193</v>
      </c>
      <c r="G936" s="377">
        <v>3.5143</v>
      </c>
      <c r="H936" s="343" t="s">
        <v>1062</v>
      </c>
      <c r="I936" s="294">
        <f>ROUND($G936*D936/100,0)</f>
        <v>67492</v>
      </c>
      <c r="J936" s="294">
        <f>ROUND($G936*E936/100,0)</f>
        <v>63159</v>
      </c>
      <c r="L936" s="377"/>
      <c r="M936" s="343"/>
      <c r="N936" s="377"/>
      <c r="O936" s="343"/>
      <c r="P936" s="377"/>
      <c r="Q936" s="343"/>
      <c r="R936" s="377"/>
      <c r="S936" s="343"/>
      <c r="T936" s="346"/>
      <c r="U936" s="346"/>
      <c r="V936" s="346"/>
      <c r="W936" s="346"/>
      <c r="X936" s="346"/>
      <c r="Y936" s="346"/>
    </row>
    <row r="937" spans="2:29">
      <c r="B937" s="317" t="s">
        <v>1078</v>
      </c>
      <c r="D937" s="357">
        <f>'[7]Table 2'!J51</f>
        <v>17350</v>
      </c>
      <c r="E937" s="357">
        <v>0</v>
      </c>
      <c r="I937" s="358">
        <f>'[7]Table 3'!F51</f>
        <v>1850</v>
      </c>
      <c r="J937" s="358">
        <v>0</v>
      </c>
      <c r="Z937" s="358">
        <v>0</v>
      </c>
    </row>
    <row r="938" spans="2:29">
      <c r="B938" s="317" t="s">
        <v>1079</v>
      </c>
      <c r="G938" s="338">
        <v>-3.61E-2</v>
      </c>
      <c r="H938" s="339"/>
      <c r="I938" s="294">
        <f>SUM(I932:I933,I935:I936)*$G938</f>
        <v>-9309.6124</v>
      </c>
      <c r="J938" s="294">
        <f>SUM(J932:J933,J935:J936)*$G938</f>
        <v>-9438.4532999999992</v>
      </c>
      <c r="L938" s="338"/>
      <c r="M938" s="339"/>
      <c r="N938" s="338"/>
      <c r="O938" s="339"/>
      <c r="P938" s="359" t="str">
        <f>$P$43</f>
        <v>Tax Year 1</v>
      </c>
      <c r="Q938" s="339"/>
      <c r="R938" s="338">
        <f>$R$687</f>
        <v>-2.4199999999999999E-2</v>
      </c>
      <c r="S938" s="339"/>
      <c r="Z938" s="294">
        <f>R938*SUM(Z928:Z931)</f>
        <v>-6467.8613999999998</v>
      </c>
    </row>
    <row r="939" spans="2:29">
      <c r="B939" s="317"/>
      <c r="G939" s="338"/>
      <c r="H939" s="339"/>
      <c r="L939" s="338"/>
      <c r="M939" s="339"/>
      <c r="N939" s="338"/>
      <c r="O939" s="339"/>
      <c r="P939" s="359" t="str">
        <f>$P$44</f>
        <v>Tax Year 2</v>
      </c>
      <c r="Q939" s="339"/>
      <c r="R939" s="338">
        <f>$R$688</f>
        <v>-1.21E-2</v>
      </c>
      <c r="S939" s="339"/>
      <c r="Z939" s="294">
        <f>R939*SUM(Z928:Z931)</f>
        <v>-3233.9306999999999</v>
      </c>
    </row>
    <row r="940" spans="2:29" ht="16.5" thickBot="1">
      <c r="B940" s="317" t="s">
        <v>937</v>
      </c>
      <c r="D940" s="381">
        <f>SUM(D935:D937)</f>
        <v>3292414.7066724524</v>
      </c>
      <c r="E940" s="381">
        <f>SUM(E935:E937)</f>
        <v>3324045</v>
      </c>
      <c r="G940" s="368"/>
      <c r="I940" s="369">
        <f>SUM(I925:I938)</f>
        <v>315329.38760000002</v>
      </c>
      <c r="J940" s="369">
        <f>SUM(J925:J938)</f>
        <v>317456.54670000001</v>
      </c>
      <c r="L940" s="368"/>
      <c r="N940" s="368"/>
      <c r="P940" s="368"/>
      <c r="R940" s="368"/>
      <c r="T940" s="369">
        <f>SUM(T925:T937)</f>
        <v>74222</v>
      </c>
      <c r="V940" s="369">
        <f>SUM(V925:V937)</f>
        <v>189293</v>
      </c>
      <c r="X940" s="369">
        <f>SUM(X925:X937)</f>
        <v>70338</v>
      </c>
      <c r="Z940" s="369">
        <f>SUM(Z925:Z937)</f>
        <v>333854</v>
      </c>
      <c r="AB940" s="305" t="s">
        <v>939</v>
      </c>
      <c r="AC940" s="304">
        <f>Z940/J940-1</f>
        <v>5.1652591419057314E-2</v>
      </c>
    </row>
    <row r="941" spans="2:29" ht="16.5" thickTop="1"/>
    <row r="942" spans="2:29">
      <c r="B942" s="314" t="s">
        <v>972</v>
      </c>
    </row>
    <row r="943" spans="2:29">
      <c r="B943" s="382" t="s">
        <v>1089</v>
      </c>
      <c r="D943" s="293">
        <f>'[7]6'!H36</f>
        <v>4</v>
      </c>
      <c r="E943" s="293">
        <f>[7]Bill!P58</f>
        <v>12</v>
      </c>
      <c r="G943" s="318">
        <v>54</v>
      </c>
      <c r="H943" s="318"/>
      <c r="I943" s="294">
        <f t="shared" ref="I943:J952" si="576">ROUND($G943*D943,0)</f>
        <v>216</v>
      </c>
      <c r="J943" s="294">
        <f t="shared" si="576"/>
        <v>648</v>
      </c>
      <c r="L943" s="318">
        <f t="shared" ref="L943:L949" si="577">L889</f>
        <v>55</v>
      </c>
      <c r="M943" s="318"/>
      <c r="N943" s="318">
        <f t="shared" ref="N943:N949" si="578">N889</f>
        <v>0</v>
      </c>
      <c r="O943" s="318"/>
      <c r="P943" s="318">
        <f t="shared" ref="P943:P949" si="579">P889</f>
        <v>0</v>
      </c>
      <c r="Q943" s="318"/>
      <c r="R943" s="318">
        <f t="shared" ref="R943:R949" si="580">R889</f>
        <v>55</v>
      </c>
      <c r="S943" s="318"/>
      <c r="T943" s="294">
        <f>ROUND($E943*L943,0)</f>
        <v>660</v>
      </c>
      <c r="V943" s="294">
        <f>ROUND($E943*N943,0)</f>
        <v>0</v>
      </c>
      <c r="X943" s="294">
        <f>ROUND($E943*P943,0)</f>
        <v>0</v>
      </c>
      <c r="Y943" s="319"/>
      <c r="Z943" s="294">
        <f>ROUND($E943*R943,0)</f>
        <v>660</v>
      </c>
    </row>
    <row r="944" spans="2:29">
      <c r="B944" s="317" t="s">
        <v>1099</v>
      </c>
      <c r="D944" s="293">
        <v>0</v>
      </c>
      <c r="E944" s="293">
        <f>ROUND(D944/D943*E943,0)</f>
        <v>0</v>
      </c>
      <c r="F944" s="339"/>
      <c r="G944" s="318">
        <v>648</v>
      </c>
      <c r="H944" s="318"/>
      <c r="I944" s="294">
        <f t="shared" si="576"/>
        <v>0</v>
      </c>
      <c r="J944" s="294">
        <f t="shared" si="576"/>
        <v>0</v>
      </c>
      <c r="K944" s="339"/>
      <c r="L944" s="318">
        <f t="shared" si="577"/>
        <v>660</v>
      </c>
      <c r="M944" s="318"/>
      <c r="N944" s="318">
        <f t="shared" si="578"/>
        <v>0</v>
      </c>
      <c r="O944" s="318"/>
      <c r="P944" s="318">
        <f t="shared" si="579"/>
        <v>0</v>
      </c>
      <c r="Q944" s="318"/>
      <c r="R944" s="318">
        <f t="shared" si="580"/>
        <v>660</v>
      </c>
      <c r="S944" s="318"/>
      <c r="T944" s="294">
        <f t="shared" ref="T944:T947" si="581">ROUND($E944*L944,0)</f>
        <v>0</v>
      </c>
      <c r="V944" s="294">
        <f t="shared" ref="V944:V947" si="582">ROUND($E944*N944,0)</f>
        <v>0</v>
      </c>
      <c r="X944" s="294">
        <f t="shared" ref="X944:X947" si="583">ROUND($E944*P944,0)</f>
        <v>0</v>
      </c>
      <c r="Y944" s="319"/>
      <c r="Z944" s="294">
        <f t="shared" ref="Z944:Z947" si="584">ROUND($E944*R944,0)</f>
        <v>0</v>
      </c>
    </row>
    <row r="945" spans="1:29">
      <c r="B945" s="317" t="s">
        <v>1101</v>
      </c>
      <c r="D945" s="293">
        <f>'[7]6'!J36</f>
        <v>158</v>
      </c>
      <c r="E945" s="293">
        <f>ROUND(D945/D958*E958,0)</f>
        <v>528</v>
      </c>
      <c r="G945" s="318">
        <v>4.04</v>
      </c>
      <c r="H945" s="318"/>
      <c r="I945" s="294">
        <f>ROUND($G945*D945,0)</f>
        <v>638</v>
      </c>
      <c r="J945" s="294">
        <f>ROUND($G945*E945,0)</f>
        <v>2133</v>
      </c>
      <c r="L945" s="318">
        <f t="shared" si="577"/>
        <v>4.1100000000000003</v>
      </c>
      <c r="M945" s="318"/>
      <c r="N945" s="318">
        <f t="shared" si="578"/>
        <v>0</v>
      </c>
      <c r="O945" s="318"/>
      <c r="P945" s="318">
        <f t="shared" si="579"/>
        <v>0</v>
      </c>
      <c r="Q945" s="318"/>
      <c r="R945" s="318">
        <f t="shared" si="580"/>
        <v>4.1100000000000003</v>
      </c>
      <c r="S945" s="318"/>
      <c r="T945" s="294">
        <f t="shared" si="581"/>
        <v>2170</v>
      </c>
      <c r="V945" s="294">
        <f t="shared" si="582"/>
        <v>0</v>
      </c>
      <c r="X945" s="294">
        <f t="shared" si="583"/>
        <v>0</v>
      </c>
      <c r="Y945" s="319"/>
      <c r="Z945" s="294">
        <f t="shared" si="584"/>
        <v>2170</v>
      </c>
    </row>
    <row r="946" spans="1:29">
      <c r="B946" s="317" t="s">
        <v>1110</v>
      </c>
      <c r="D946" s="293">
        <f>'[7]6'!L36+'[7]6-may'!L36</f>
        <v>0</v>
      </c>
      <c r="E946" s="293">
        <f>ROUND(E948*E947/E949,0)</f>
        <v>173</v>
      </c>
      <c r="G946" s="339"/>
      <c r="H946" s="339"/>
      <c r="L946" s="339">
        <f t="shared" si="577"/>
        <v>0.73</v>
      </c>
      <c r="M946" s="339"/>
      <c r="N946" s="339">
        <f t="shared" si="578"/>
        <v>12.959999999999999</v>
      </c>
      <c r="O946" s="339"/>
      <c r="P946" s="339">
        <f t="shared" si="579"/>
        <v>0</v>
      </c>
      <c r="Q946" s="339"/>
      <c r="R946" s="339">
        <f t="shared" si="580"/>
        <v>13.69</v>
      </c>
      <c r="S946" s="339"/>
      <c r="T946" s="294">
        <f t="shared" si="581"/>
        <v>126</v>
      </c>
      <c r="V946" s="294">
        <f t="shared" si="582"/>
        <v>2242</v>
      </c>
      <c r="X946" s="294">
        <f t="shared" si="583"/>
        <v>0</v>
      </c>
      <c r="Z946" s="294">
        <f t="shared" si="584"/>
        <v>2368</v>
      </c>
    </row>
    <row r="947" spans="1:29">
      <c r="B947" s="317" t="s">
        <v>1111</v>
      </c>
      <c r="D947" s="293">
        <f>'[7]6'!M36+'[7]6-may'!M36</f>
        <v>158</v>
      </c>
      <c r="E947" s="293">
        <f>ROUND(D947/D949*E949,0)</f>
        <v>346</v>
      </c>
      <c r="G947" s="339"/>
      <c r="H947" s="339"/>
      <c r="L947" s="339">
        <f t="shared" si="577"/>
        <v>0.64</v>
      </c>
      <c r="M947" s="339"/>
      <c r="N947" s="339">
        <f t="shared" si="578"/>
        <v>11.479999999999999</v>
      </c>
      <c r="O947" s="339"/>
      <c r="P947" s="339">
        <f t="shared" si="579"/>
        <v>0</v>
      </c>
      <c r="Q947" s="339"/>
      <c r="R947" s="339">
        <f t="shared" si="580"/>
        <v>12.12</v>
      </c>
      <c r="S947" s="339"/>
      <c r="T947" s="294">
        <f t="shared" si="581"/>
        <v>221</v>
      </c>
      <c r="V947" s="294">
        <f t="shared" si="582"/>
        <v>3972</v>
      </c>
      <c r="X947" s="294">
        <f t="shared" si="583"/>
        <v>0</v>
      </c>
      <c r="Z947" s="294">
        <f t="shared" si="584"/>
        <v>4194</v>
      </c>
    </row>
    <row r="948" spans="1:29">
      <c r="B948" s="317" t="s">
        <v>1104</v>
      </c>
      <c r="D948" s="293">
        <f>'[7]6'!P36+'[7]6'!U36+'[7]6-may'!P36+'[7]6-may'!U36</f>
        <v>0</v>
      </c>
      <c r="E948" s="293">
        <f>[7]Energy!S58</f>
        <v>7760</v>
      </c>
      <c r="G948" s="377"/>
      <c r="H948" s="343"/>
      <c r="L948" s="377">
        <f t="shared" si="577"/>
        <v>0</v>
      </c>
      <c r="M948" s="343" t="s">
        <v>1062</v>
      </c>
      <c r="N948" s="377">
        <f t="shared" si="578"/>
        <v>1.7162999999999999</v>
      </c>
      <c r="O948" s="343" t="s">
        <v>1062</v>
      </c>
      <c r="P948" s="377">
        <f t="shared" si="579"/>
        <v>2.279911334706</v>
      </c>
      <c r="Q948" s="343" t="s">
        <v>1062</v>
      </c>
      <c r="R948" s="377">
        <f t="shared" si="580"/>
        <v>3.996211334706</v>
      </c>
      <c r="S948" s="343" t="s">
        <v>1062</v>
      </c>
      <c r="T948" s="294">
        <f>ROUND($E948*L948/100,0)</f>
        <v>0</v>
      </c>
      <c r="V948" s="294">
        <f>ROUND($E948*N948/100,0)</f>
        <v>133</v>
      </c>
      <c r="X948" s="294">
        <f>ROUND($E948*P948/100,0)</f>
        <v>177</v>
      </c>
      <c r="Y948" s="346"/>
      <c r="Z948" s="294">
        <f>ROUND($E948*R948/100,0)</f>
        <v>310</v>
      </c>
    </row>
    <row r="949" spans="1:29">
      <c r="B949" s="317" t="s">
        <v>1105</v>
      </c>
      <c r="D949" s="293">
        <f>'[7]6'!Q36+'[7]6'!V36+'[7]6-may'!Q36+'[7]6-may'!V36</f>
        <v>7086</v>
      </c>
      <c r="E949" s="293">
        <f>[7]Energy!T58</f>
        <v>15520</v>
      </c>
      <c r="G949" s="377"/>
      <c r="H949" s="343"/>
      <c r="L949" s="377">
        <f t="shared" si="577"/>
        <v>0</v>
      </c>
      <c r="M949" s="343" t="s">
        <v>1062</v>
      </c>
      <c r="N949" s="377">
        <f t="shared" si="578"/>
        <v>1.5188999999999999</v>
      </c>
      <c r="O949" s="343" t="s">
        <v>1062</v>
      </c>
      <c r="P949" s="377">
        <f t="shared" si="579"/>
        <v>2.0175702077039999</v>
      </c>
      <c r="Q949" s="343" t="s">
        <v>1062</v>
      </c>
      <c r="R949" s="377">
        <f t="shared" si="580"/>
        <v>3.5364702077039998</v>
      </c>
      <c r="S949" s="343" t="s">
        <v>1062</v>
      </c>
      <c r="T949" s="294">
        <f>ROUND($E949*L949/100,0)</f>
        <v>0</v>
      </c>
      <c r="V949" s="294">
        <f>ROUND($E949*N949/100,0)</f>
        <v>236</v>
      </c>
      <c r="X949" s="294">
        <f>ROUND($E949*P949/100,0)</f>
        <v>313</v>
      </c>
      <c r="Y949" s="346"/>
      <c r="Z949" s="294">
        <f>ROUND($E949*R949/100,0)</f>
        <v>549</v>
      </c>
    </row>
    <row r="950" spans="1:29">
      <c r="B950" s="317" t="s">
        <v>1112</v>
      </c>
      <c r="D950" s="293">
        <f>'[7]6'!L36</f>
        <v>0</v>
      </c>
      <c r="E950" s="293">
        <f>ROUND(D950/D958*E958,0)</f>
        <v>0</v>
      </c>
      <c r="G950" s="318">
        <v>14.62</v>
      </c>
      <c r="H950" s="318"/>
      <c r="I950" s="294">
        <f t="shared" si="576"/>
        <v>0</v>
      </c>
      <c r="J950" s="294">
        <f t="shared" si="576"/>
        <v>0</v>
      </c>
      <c r="L950" s="318"/>
      <c r="M950" s="318"/>
      <c r="N950" s="318"/>
      <c r="O950" s="318"/>
      <c r="P950" s="318"/>
      <c r="Q950" s="318"/>
      <c r="R950" s="318"/>
      <c r="S950" s="318"/>
      <c r="Y950" s="319"/>
    </row>
    <row r="951" spans="1:29">
      <c r="B951" s="317" t="s">
        <v>1113</v>
      </c>
      <c r="D951" s="293">
        <f>'[7]6'!M36</f>
        <v>158</v>
      </c>
      <c r="E951" s="293">
        <f>ROUND(D951/D958*E958,0)</f>
        <v>528</v>
      </c>
      <c r="G951" s="318">
        <v>10.91</v>
      </c>
      <c r="H951" s="318"/>
      <c r="I951" s="294">
        <f t="shared" si="576"/>
        <v>1724</v>
      </c>
      <c r="J951" s="294">
        <f t="shared" si="576"/>
        <v>5760</v>
      </c>
      <c r="L951" s="318"/>
      <c r="M951" s="318"/>
      <c r="N951" s="318"/>
      <c r="O951" s="318"/>
      <c r="P951" s="318"/>
      <c r="Q951" s="318"/>
      <c r="R951" s="318"/>
      <c r="S951" s="318"/>
      <c r="Y951" s="319"/>
    </row>
    <row r="952" spans="1:29">
      <c r="B952" s="317" t="s">
        <v>1098</v>
      </c>
      <c r="D952" s="293">
        <f>'[7]6'!N36</f>
        <v>0</v>
      </c>
      <c r="E952" s="293">
        <f>ROUND(D952/D958*E958,0)</f>
        <v>0</v>
      </c>
      <c r="G952" s="318">
        <v>-0.96</v>
      </c>
      <c r="H952" s="318"/>
      <c r="I952" s="294">
        <f t="shared" si="576"/>
        <v>0</v>
      </c>
      <c r="J952" s="294">
        <f t="shared" si="576"/>
        <v>0</v>
      </c>
      <c r="L952" s="318">
        <f>L898</f>
        <v>-0.96</v>
      </c>
      <c r="M952" s="318"/>
      <c r="N952" s="318">
        <f>N898</f>
        <v>0</v>
      </c>
      <c r="O952" s="318"/>
      <c r="P952" s="318">
        <f>P898</f>
        <v>0</v>
      </c>
      <c r="Q952" s="318"/>
      <c r="R952" s="318">
        <f>R898</f>
        <v>-0.96</v>
      </c>
      <c r="S952" s="318"/>
      <c r="T952" s="294">
        <f t="shared" ref="T952" si="585">ROUND($E952*L952,0)</f>
        <v>0</v>
      </c>
      <c r="V952" s="294">
        <f t="shared" ref="V952" si="586">ROUND($E952*N952,0)</f>
        <v>0</v>
      </c>
      <c r="X952" s="294">
        <f t="shared" ref="X952" si="587">ROUND($E952*P952,0)</f>
        <v>0</v>
      </c>
      <c r="Y952" s="319"/>
      <c r="Z952" s="294">
        <f t="shared" ref="Z952" si="588">ROUND($E952*R952,0)</f>
        <v>0</v>
      </c>
    </row>
    <row r="953" spans="1:29">
      <c r="B953" s="317" t="s">
        <v>1108</v>
      </c>
      <c r="D953" s="293">
        <f>'[7]6'!P36+'[7]6'!U36</f>
        <v>0</v>
      </c>
      <c r="E953" s="293">
        <f>[7]Energy!Q58</f>
        <v>9700</v>
      </c>
      <c r="G953" s="377">
        <v>3.8127</v>
      </c>
      <c r="H953" s="343" t="s">
        <v>1062</v>
      </c>
      <c r="I953" s="294">
        <f>ROUND($G953*D953/100,0)</f>
        <v>0</v>
      </c>
      <c r="J953" s="294">
        <f>ROUND($G953*E953/100,0)</f>
        <v>370</v>
      </c>
      <c r="L953" s="377"/>
      <c r="M953" s="343"/>
      <c r="N953" s="377"/>
      <c r="O953" s="343"/>
      <c r="P953" s="377"/>
      <c r="Q953" s="343"/>
      <c r="R953" s="377"/>
      <c r="S953" s="343"/>
      <c r="T953" s="346"/>
      <c r="U953" s="346"/>
      <c r="V953" s="346"/>
      <c r="W953" s="346"/>
      <c r="X953" s="346"/>
      <c r="Y953" s="346"/>
    </row>
    <row r="954" spans="1:29">
      <c r="B954" s="317" t="s">
        <v>1109</v>
      </c>
      <c r="D954" s="293">
        <f>'[7]6'!Q36+'[7]6'!V36</f>
        <v>7086</v>
      </c>
      <c r="E954" s="293">
        <f>[7]Energy!R58</f>
        <v>13580</v>
      </c>
      <c r="G954" s="377">
        <v>3.5143</v>
      </c>
      <c r="H954" s="343" t="s">
        <v>1062</v>
      </c>
      <c r="I954" s="294">
        <f>ROUND($G954*D954/100,0)</f>
        <v>249</v>
      </c>
      <c r="J954" s="294">
        <f>ROUND($G954*E954/100,0)</f>
        <v>477</v>
      </c>
      <c r="L954" s="377"/>
      <c r="M954" s="343"/>
      <c r="N954" s="377"/>
      <c r="O954" s="343"/>
      <c r="P954" s="377"/>
      <c r="Q954" s="343"/>
      <c r="R954" s="377"/>
      <c r="S954" s="343"/>
      <c r="T954" s="346"/>
      <c r="U954" s="346"/>
      <c r="V954" s="346"/>
      <c r="W954" s="346"/>
      <c r="X954" s="346"/>
      <c r="Y954" s="346"/>
    </row>
    <row r="955" spans="1:29">
      <c r="B955" s="317" t="s">
        <v>1078</v>
      </c>
      <c r="D955" s="357">
        <f>'[7]Table 2'!J88</f>
        <v>-115</v>
      </c>
      <c r="E955" s="357">
        <v>0</v>
      </c>
      <c r="I955" s="358">
        <f>'[7]Table 3'!F88</f>
        <v>-42</v>
      </c>
      <c r="J955" s="358">
        <v>0</v>
      </c>
      <c r="Z955" s="358">
        <v>0</v>
      </c>
    </row>
    <row r="956" spans="1:29">
      <c r="B956" s="317" t="s">
        <v>1079</v>
      </c>
      <c r="G956" s="338">
        <v>-3.61E-2</v>
      </c>
      <c r="H956" s="339"/>
      <c r="I956" s="294">
        <f>SUM(I950:I951,I953:I954)*$G956</f>
        <v>-71.225300000000004</v>
      </c>
      <c r="J956" s="294">
        <f>SUM(J950:J951,J953:J954)*$G956</f>
        <v>-238.5127</v>
      </c>
      <c r="L956" s="292">
        <f>L902</f>
        <v>0</v>
      </c>
      <c r="M956" s="339"/>
      <c r="N956" s="292">
        <f>N902</f>
        <v>0</v>
      </c>
      <c r="O956" s="339"/>
      <c r="P956" s="359" t="str">
        <f>$P$43</f>
        <v>Tax Year 1</v>
      </c>
      <c r="Q956" s="339"/>
      <c r="R956" s="338">
        <f>$R$687</f>
        <v>-2.4199999999999999E-2</v>
      </c>
      <c r="S956" s="339"/>
      <c r="Z956" s="294">
        <f>R956*SUM(Z946:Z949)</f>
        <v>-179.5882</v>
      </c>
    </row>
    <row r="957" spans="1:29">
      <c r="B957" s="317"/>
      <c r="G957" s="338"/>
      <c r="H957" s="339"/>
      <c r="M957" s="339"/>
      <c r="O957" s="339"/>
      <c r="P957" s="359" t="str">
        <f>$P$44</f>
        <v>Tax Year 2</v>
      </c>
      <c r="Q957" s="339"/>
      <c r="R957" s="338">
        <f>$R$688</f>
        <v>-1.21E-2</v>
      </c>
      <c r="S957" s="339"/>
      <c r="Z957" s="294">
        <f>R957*SUM(Z946:Z949)</f>
        <v>-89.7941</v>
      </c>
    </row>
    <row r="958" spans="1:29" ht="16.5" thickBot="1">
      <c r="B958" s="317" t="s">
        <v>937</v>
      </c>
      <c r="D958" s="381">
        <f>SUM(D953:D955)</f>
        <v>6971</v>
      </c>
      <c r="E958" s="381">
        <f>SUM(E953:E955)</f>
        <v>23280</v>
      </c>
      <c r="G958" s="368"/>
      <c r="I958" s="369">
        <f>SUM(I943:I956)</f>
        <v>2713.7746999999999</v>
      </c>
      <c r="J958" s="369">
        <f>SUM(J943:J956)</f>
        <v>9149.4873000000007</v>
      </c>
      <c r="L958" s="368"/>
      <c r="N958" s="368"/>
      <c r="P958" s="368"/>
      <c r="R958" s="368"/>
      <c r="T958" s="369">
        <f>SUM(T943:T955)</f>
        <v>3177</v>
      </c>
      <c r="V958" s="369">
        <f>SUM(V943:V955)</f>
        <v>6583</v>
      </c>
      <c r="X958" s="369">
        <f>SUM(X943:X955)</f>
        <v>490</v>
      </c>
      <c r="Z958" s="369">
        <f>SUM(Z943:Z955)</f>
        <v>10251</v>
      </c>
      <c r="AB958" s="305" t="s">
        <v>939</v>
      </c>
      <c r="AC958" s="304">
        <f>Z958/J958-1</f>
        <v>0.12039064746283645</v>
      </c>
    </row>
    <row r="960" spans="1:29">
      <c r="A960" s="292">
        <v>1</v>
      </c>
      <c r="B960" s="314" t="s">
        <v>973</v>
      </c>
      <c r="G960" s="377"/>
      <c r="H960" s="377"/>
      <c r="L960" s="377"/>
      <c r="M960" s="377"/>
      <c r="N960" s="377"/>
      <c r="O960" s="377"/>
      <c r="P960" s="377"/>
      <c r="Q960" s="377"/>
      <c r="R960" s="377"/>
      <c r="S960" s="377"/>
    </row>
    <row r="961" spans="2:30">
      <c r="B961" s="317" t="s">
        <v>1090</v>
      </c>
      <c r="D961" s="293">
        <f t="shared" ref="D961:E968" si="589">D985+D1009+D1033</f>
        <v>19779189.087820396</v>
      </c>
      <c r="E961" s="293">
        <f t="shared" si="589"/>
        <v>44585441.124639124</v>
      </c>
      <c r="F961" s="339"/>
      <c r="G961" s="376"/>
      <c r="H961" s="343"/>
      <c r="K961" s="339"/>
      <c r="L961" s="347">
        <f>ROUND((T982-SUM(T969:T972))/SUM($E$961:$E$964)*100,4)</f>
        <v>1.7867999999999999</v>
      </c>
      <c r="M961" s="343" t="s">
        <v>1062</v>
      </c>
      <c r="N961" s="348">
        <f>R961-L961-P961</f>
        <v>19.766631654000651</v>
      </c>
      <c r="O961" s="343" t="s">
        <v>1062</v>
      </c>
      <c r="P961" s="342">
        <f>ROUND((X982-SUM(X965:X968))/(E961+E962+(E963+E964)/AC976)*100,4)</f>
        <v>1.3127</v>
      </c>
      <c r="Q961" s="343" t="s">
        <v>1062</v>
      </c>
      <c r="R961" s="376">
        <f>AB961*(1+AC961)</f>
        <v>22.86613165400065</v>
      </c>
      <c r="S961" s="343" t="s">
        <v>1062</v>
      </c>
      <c r="T961" s="294">
        <f>ROUND($E961*L961/100,0)</f>
        <v>796653</v>
      </c>
      <c r="U961" s="346"/>
      <c r="V961" s="294">
        <f>ROUND($E961*N961/100,0)</f>
        <v>8813040</v>
      </c>
      <c r="W961" s="346"/>
      <c r="X961" s="294">
        <f>ROUND($E961*P961/100,0)</f>
        <v>585273</v>
      </c>
      <c r="Y961" s="346"/>
      <c r="Z961" s="294">
        <f>ROUND($E961*R961/100,0)</f>
        <v>10194966</v>
      </c>
      <c r="AB961" s="376">
        <f>'[7]BD-Redesign'!B7*100</f>
        <v>22</v>
      </c>
      <c r="AC961" s="304">
        <f>[7]RateSpread!Q30</f>
        <v>3.9369620636393127E-2</v>
      </c>
    </row>
    <row r="962" spans="2:30">
      <c r="B962" s="317" t="s">
        <v>1091</v>
      </c>
      <c r="D962" s="293">
        <f t="shared" si="589"/>
        <v>35655696.16045028</v>
      </c>
      <c r="E962" s="293">
        <f t="shared" si="589"/>
        <v>80754202</v>
      </c>
      <c r="F962" s="339"/>
      <c r="G962" s="376"/>
      <c r="H962" s="343"/>
      <c r="K962" s="339"/>
      <c r="L962" s="347">
        <f>$L$961</f>
        <v>1.7867999999999999</v>
      </c>
      <c r="M962" s="343" t="s">
        <v>1062</v>
      </c>
      <c r="N962" s="348">
        <f t="shared" ref="N962:N964" si="590">R962-L962-P962</f>
        <v>1.4732003384230001</v>
      </c>
      <c r="O962" s="343" t="s">
        <v>1062</v>
      </c>
      <c r="P962" s="342">
        <f>P961</f>
        <v>1.3127</v>
      </c>
      <c r="Q962" s="343" t="s">
        <v>1062</v>
      </c>
      <c r="R962" s="376">
        <f>ROUND((AC970-SUM(Z961,Z963,Z965:Z977,Z1057,Z1059,Z1061:Z1068))/(E962+E1058+(E964+E1060)/AC976)*100,$AC$8)</f>
        <v>4.5727003384230001</v>
      </c>
      <c r="S962" s="343" t="s">
        <v>1062</v>
      </c>
      <c r="T962" s="294">
        <f t="shared" ref="T962:T964" si="591">ROUND($E962*L962/100,0)</f>
        <v>1442916</v>
      </c>
      <c r="U962" s="346"/>
      <c r="V962" s="294">
        <f t="shared" ref="V962:V964" si="592">ROUND($E962*N962/100,0)</f>
        <v>1189671</v>
      </c>
      <c r="W962" s="346"/>
      <c r="X962" s="294">
        <f t="shared" ref="X962:Z968" si="593">ROUND($E962*P962/100,0)</f>
        <v>1060060</v>
      </c>
      <c r="Y962" s="346"/>
      <c r="Z962" s="294">
        <f t="shared" si="593"/>
        <v>3692648</v>
      </c>
      <c r="AB962" s="376">
        <f>'[7]BD-Redesign'!B8*100</f>
        <v>4.325922505952053</v>
      </c>
    </row>
    <row r="963" spans="2:30">
      <c r="B963" s="317" t="s">
        <v>1092</v>
      </c>
      <c r="D963" s="293">
        <f t="shared" si="589"/>
        <v>34405474.716320619</v>
      </c>
      <c r="E963" s="293">
        <f t="shared" si="589"/>
        <v>73546803</v>
      </c>
      <c r="F963" s="339"/>
      <c r="G963" s="376"/>
      <c r="H963" s="343"/>
      <c r="K963" s="339"/>
      <c r="L963" s="347">
        <f t="shared" ref="L963:L964" si="594">$L$961</f>
        <v>1.7867999999999999</v>
      </c>
      <c r="M963" s="343" t="s">
        <v>1062</v>
      </c>
      <c r="N963" s="348">
        <f t="shared" si="590"/>
        <v>17.286999999999999</v>
      </c>
      <c r="O963" s="343" t="s">
        <v>1062</v>
      </c>
      <c r="P963" s="342">
        <f>ROUND(P961/AC976,4)</f>
        <v>1.1617</v>
      </c>
      <c r="Q963" s="343" t="s">
        <v>1062</v>
      </c>
      <c r="R963" s="376">
        <f>ROUND(R961/$AC$976,4)</f>
        <v>20.235499999999998</v>
      </c>
      <c r="S963" s="343" t="s">
        <v>1062</v>
      </c>
      <c r="T963" s="294">
        <f t="shared" si="591"/>
        <v>1314134</v>
      </c>
      <c r="U963" s="346"/>
      <c r="V963" s="294">
        <f t="shared" si="592"/>
        <v>12714036</v>
      </c>
      <c r="W963" s="346"/>
      <c r="X963" s="294">
        <f t="shared" si="593"/>
        <v>854393</v>
      </c>
      <c r="Y963" s="346"/>
      <c r="Z963" s="294">
        <f t="shared" si="593"/>
        <v>14882563</v>
      </c>
      <c r="AB963" s="376">
        <f>'[7]BD-Redesign'!B9*100</f>
        <v>19.469000000000001</v>
      </c>
    </row>
    <row r="964" spans="2:30">
      <c r="B964" s="317" t="s">
        <v>1093</v>
      </c>
      <c r="D964" s="293">
        <f t="shared" si="589"/>
        <v>72036642.888999879</v>
      </c>
      <c r="E964" s="293">
        <f t="shared" si="589"/>
        <v>153778261</v>
      </c>
      <c r="F964" s="339"/>
      <c r="G964" s="376"/>
      <c r="H964" s="343"/>
      <c r="K964" s="339"/>
      <c r="L964" s="347">
        <f t="shared" si="594"/>
        <v>1.7867999999999999</v>
      </c>
      <c r="M964" s="343" t="s">
        <v>1062</v>
      </c>
      <c r="N964" s="348">
        <f t="shared" si="590"/>
        <v>1.0980999999999999</v>
      </c>
      <c r="O964" s="343" t="s">
        <v>1062</v>
      </c>
      <c r="P964" s="342">
        <f>P963</f>
        <v>1.1617</v>
      </c>
      <c r="Q964" s="343" t="s">
        <v>1062</v>
      </c>
      <c r="R964" s="376">
        <f>ROUND(R962/$AC$976,4)</f>
        <v>4.0465999999999998</v>
      </c>
      <c r="S964" s="343" t="s">
        <v>1062</v>
      </c>
      <c r="T964" s="294">
        <f t="shared" si="591"/>
        <v>2747710</v>
      </c>
      <c r="U964" s="346"/>
      <c r="V964" s="294">
        <f t="shared" si="592"/>
        <v>1688639</v>
      </c>
      <c r="W964" s="346"/>
      <c r="X964" s="294">
        <f t="shared" si="593"/>
        <v>1786442</v>
      </c>
      <c r="Y964" s="346"/>
      <c r="Z964" s="294">
        <f t="shared" si="593"/>
        <v>6222791</v>
      </c>
      <c r="AB964" s="376">
        <f>'[7]BD-Redesign'!B10*100</f>
        <v>3.8282999999999996</v>
      </c>
    </row>
    <row r="965" spans="2:30">
      <c r="B965" s="317" t="s">
        <v>1094</v>
      </c>
      <c r="D965" s="293">
        <f t="shared" si="589"/>
        <v>28929914.642585691</v>
      </c>
      <c r="E965" s="293">
        <f t="shared" si="589"/>
        <v>65422495.124639124</v>
      </c>
      <c r="F965" s="339"/>
      <c r="G965" s="376"/>
      <c r="H965" s="343"/>
      <c r="K965" s="339"/>
      <c r="L965" s="347"/>
      <c r="M965" s="343"/>
      <c r="N965" s="347"/>
      <c r="O965" s="343"/>
      <c r="P965" s="342">
        <f>R965</f>
        <v>6</v>
      </c>
      <c r="Q965" s="343" t="s">
        <v>1062</v>
      </c>
      <c r="R965" s="376">
        <f>AB965*AC965</f>
        <v>6</v>
      </c>
      <c r="S965" s="343" t="s">
        <v>1062</v>
      </c>
      <c r="T965" s="346"/>
      <c r="U965" s="346"/>
      <c r="V965" s="346"/>
      <c r="W965" s="346"/>
      <c r="X965" s="346">
        <f t="shared" ref="X965:X968" si="595">Z965-T965-V965</f>
        <v>3925350</v>
      </c>
      <c r="Y965" s="346"/>
      <c r="Z965" s="294">
        <f t="shared" si="593"/>
        <v>3925350</v>
      </c>
      <c r="AB965" s="376">
        <f>'[7]BD-Redesign'!B11*100</f>
        <v>6</v>
      </c>
      <c r="AC965" s="292">
        <v>1</v>
      </c>
    </row>
    <row r="966" spans="2:30">
      <c r="B966" s="317" t="s">
        <v>1095</v>
      </c>
      <c r="D966" s="293">
        <f t="shared" si="589"/>
        <v>26504970.605684984</v>
      </c>
      <c r="E966" s="293">
        <f t="shared" si="589"/>
        <v>59917149</v>
      </c>
      <c r="F966" s="339"/>
      <c r="G966" s="376"/>
      <c r="H966" s="343"/>
      <c r="K966" s="339"/>
      <c r="L966" s="347"/>
      <c r="M966" s="343"/>
      <c r="N966" s="347"/>
      <c r="O966" s="343"/>
      <c r="P966" s="342">
        <f t="shared" ref="P966:P968" si="596">R966</f>
        <v>-2.3358000000000008</v>
      </c>
      <c r="Q966" s="343" t="s">
        <v>1062</v>
      </c>
      <c r="R966" s="376">
        <f>R965-AC977</f>
        <v>-2.3358000000000008</v>
      </c>
      <c r="S966" s="343" t="s">
        <v>1062</v>
      </c>
      <c r="T966" s="346"/>
      <c r="U966" s="346"/>
      <c r="V966" s="346"/>
      <c r="W966" s="346"/>
      <c r="X966" s="346">
        <f t="shared" si="595"/>
        <v>-1399545</v>
      </c>
      <c r="Y966" s="346"/>
      <c r="Z966" s="294">
        <f t="shared" si="593"/>
        <v>-1399545</v>
      </c>
      <c r="AB966" s="376">
        <f>'[7]BD-Redesign'!B12*100</f>
        <v>-2.3357999999999999</v>
      </c>
    </row>
    <row r="967" spans="2:30">
      <c r="B967" s="317" t="s">
        <v>1096</v>
      </c>
      <c r="D967" s="293">
        <f t="shared" si="589"/>
        <v>58020904.957487509</v>
      </c>
      <c r="E967" s="293">
        <f t="shared" si="589"/>
        <v>124025012</v>
      </c>
      <c r="F967" s="339"/>
      <c r="G967" s="376"/>
      <c r="H967" s="343"/>
      <c r="K967" s="339"/>
      <c r="L967" s="347"/>
      <c r="M967" s="343"/>
      <c r="N967" s="347"/>
      <c r="O967" s="343"/>
      <c r="P967" s="342">
        <f t="shared" si="596"/>
        <v>5.3097000000000003</v>
      </c>
      <c r="Q967" s="343" t="s">
        <v>1062</v>
      </c>
      <c r="R967" s="376">
        <f>ROUND(R965/$AC$976,4)</f>
        <v>5.3097000000000003</v>
      </c>
      <c r="S967" s="343" t="s">
        <v>1062</v>
      </c>
      <c r="T967" s="346"/>
      <c r="U967" s="346"/>
      <c r="V967" s="346"/>
      <c r="W967" s="346"/>
      <c r="X967" s="346">
        <f t="shared" si="595"/>
        <v>6585356</v>
      </c>
      <c r="Y967" s="346"/>
      <c r="Z967" s="294">
        <f t="shared" si="593"/>
        <v>6585356</v>
      </c>
      <c r="AB967" s="376">
        <f>'[7]BD-Redesign'!B13*100</f>
        <v>5.3096999999999994</v>
      </c>
    </row>
    <row r="968" spans="2:30">
      <c r="B968" s="317" t="s">
        <v>1097</v>
      </c>
      <c r="D968" s="293">
        <f t="shared" si="589"/>
        <v>48421212.647832997</v>
      </c>
      <c r="E968" s="293">
        <f t="shared" si="589"/>
        <v>103300051</v>
      </c>
      <c r="F968" s="339"/>
      <c r="G968" s="376"/>
      <c r="H968" s="343"/>
      <c r="K968" s="339"/>
      <c r="L968" s="347"/>
      <c r="M968" s="343"/>
      <c r="N968" s="347"/>
      <c r="O968" s="343"/>
      <c r="P968" s="342">
        <f t="shared" si="596"/>
        <v>-2.0670999999999999</v>
      </c>
      <c r="Q968" s="343" t="s">
        <v>1062</v>
      </c>
      <c r="R968" s="376">
        <f>ROUND(R966/$AC$976,4)</f>
        <v>-2.0670999999999999</v>
      </c>
      <c r="S968" s="343" t="s">
        <v>1062</v>
      </c>
      <c r="T968" s="346"/>
      <c r="U968" s="346"/>
      <c r="V968" s="346"/>
      <c r="W968" s="346"/>
      <c r="X968" s="346">
        <f t="shared" si="595"/>
        <v>-2135315</v>
      </c>
      <c r="Y968" s="346"/>
      <c r="Z968" s="294">
        <f t="shared" si="593"/>
        <v>-2135315</v>
      </c>
      <c r="AB968" s="376">
        <f>'[7]BD-Redesign'!B14*100</f>
        <v>-2.0670999999999999</v>
      </c>
    </row>
    <row r="969" spans="2:30">
      <c r="B969" s="317" t="s">
        <v>1089</v>
      </c>
      <c r="D969" s="293">
        <f>D993+D1017+D1041</f>
        <v>30591.066666666738</v>
      </c>
      <c r="E969" s="293">
        <f>E993+E1017+E1041</f>
        <v>31870</v>
      </c>
      <c r="G969" s="318">
        <v>54</v>
      </c>
      <c r="H969" s="318"/>
      <c r="I969" s="294">
        <f t="shared" ref="I969:J972" si="597">ROUND($G969*D969,0)</f>
        <v>1651918</v>
      </c>
      <c r="J969" s="294">
        <f t="shared" si="597"/>
        <v>1720980</v>
      </c>
      <c r="L969" s="318">
        <f>R969</f>
        <v>55</v>
      </c>
      <c r="M969" s="318"/>
      <c r="N969" s="318"/>
      <c r="O969" s="318"/>
      <c r="P969" s="318"/>
      <c r="Q969" s="318"/>
      <c r="R969" s="318">
        <f>R672</f>
        <v>55</v>
      </c>
      <c r="S969" s="318"/>
      <c r="T969" s="319">
        <f>Z969</f>
        <v>1752850</v>
      </c>
      <c r="U969" s="319"/>
      <c r="V969" s="319"/>
      <c r="W969" s="319"/>
      <c r="X969" s="319"/>
      <c r="Y969" s="319"/>
      <c r="Z969" s="294">
        <f>ROUND($E969*R969,0)</f>
        <v>1752850</v>
      </c>
      <c r="AB969" s="320" t="s">
        <v>1042</v>
      </c>
      <c r="AC969" s="321">
        <f>Z982+Z1076+Z1164</f>
        <v>48549694</v>
      </c>
      <c r="AD969" s="384">
        <f>AD672</f>
        <v>1.0106427152999999</v>
      </c>
    </row>
    <row r="970" spans="2:30">
      <c r="B970" s="317" t="s">
        <v>1122</v>
      </c>
      <c r="D970" s="293">
        <f t="shared" ref="D970:E978" si="598">D994+D1018+D1042</f>
        <v>1056197.9999999977</v>
      </c>
      <c r="E970" s="293">
        <f t="shared" si="598"/>
        <v>1149761</v>
      </c>
      <c r="F970" s="339"/>
      <c r="G970" s="318">
        <v>6.52</v>
      </c>
      <c r="H970" s="318"/>
      <c r="I970" s="294">
        <f t="shared" si="597"/>
        <v>6886411</v>
      </c>
      <c r="J970" s="294">
        <f t="shared" si="597"/>
        <v>7496442</v>
      </c>
      <c r="K970" s="339"/>
      <c r="L970" s="318"/>
      <c r="M970" s="318"/>
      <c r="N970" s="318"/>
      <c r="O970" s="318"/>
      <c r="P970" s="318"/>
      <c r="Q970" s="318"/>
      <c r="R970" s="318"/>
      <c r="S970" s="318"/>
      <c r="T970" s="319"/>
      <c r="U970" s="319"/>
      <c r="V970" s="319"/>
      <c r="W970" s="319"/>
      <c r="X970" s="319"/>
      <c r="Y970" s="319"/>
      <c r="AB970" s="322" t="s">
        <v>1044</v>
      </c>
      <c r="AC970" s="323">
        <f>AD969*AD970</f>
        <v>48549756.484379351</v>
      </c>
      <c r="AD970" s="323">
        <f>(SUM([7]RateSpread!M26:M28)+[7]RateSpread!M42*Blocking!J1925/(Blocking!J1925+Blocking!J1933))*1000</f>
        <v>48038496.443293318</v>
      </c>
    </row>
    <row r="971" spans="2:30">
      <c r="B971" s="317" t="s">
        <v>1123</v>
      </c>
      <c r="D971" s="293">
        <f t="shared" si="598"/>
        <v>1254506.3692870212</v>
      </c>
      <c r="E971" s="293">
        <f t="shared" si="598"/>
        <v>1365599</v>
      </c>
      <c r="F971" s="339"/>
      <c r="G971" s="318">
        <v>5.47</v>
      </c>
      <c r="H971" s="318"/>
      <c r="I971" s="294">
        <f t="shared" si="597"/>
        <v>6862150</v>
      </c>
      <c r="J971" s="294">
        <f t="shared" si="597"/>
        <v>7469827</v>
      </c>
      <c r="K971" s="339"/>
      <c r="L971" s="318"/>
      <c r="M971" s="318"/>
      <c r="N971" s="318"/>
      <c r="O971" s="318"/>
      <c r="P971" s="318"/>
      <c r="Q971" s="318"/>
      <c r="R971" s="318"/>
      <c r="S971" s="318"/>
      <c r="T971" s="319"/>
      <c r="U971" s="319"/>
      <c r="V971" s="319"/>
      <c r="W971" s="319"/>
      <c r="X971" s="319"/>
      <c r="Y971" s="319"/>
      <c r="AB971" s="327" t="s">
        <v>789</v>
      </c>
      <c r="AC971" s="328">
        <f>AC970-AC969</f>
        <v>62.484379351139069</v>
      </c>
      <c r="AD971" s="292" t="s">
        <v>1124</v>
      </c>
    </row>
    <row r="972" spans="2:30">
      <c r="B972" s="317" t="s">
        <v>1098</v>
      </c>
      <c r="D972" s="293">
        <f t="shared" si="598"/>
        <v>188556.63934426199</v>
      </c>
      <c r="E972" s="293">
        <f t="shared" si="598"/>
        <v>203454</v>
      </c>
      <c r="F972" s="339"/>
      <c r="G972" s="318">
        <v>-0.61</v>
      </c>
      <c r="H972" s="318"/>
      <c r="I972" s="294">
        <f t="shared" si="597"/>
        <v>-115020</v>
      </c>
      <c r="J972" s="294">
        <f t="shared" si="597"/>
        <v>-124107</v>
      </c>
      <c r="K972" s="339"/>
      <c r="L972" s="318">
        <f>R972</f>
        <v>-0.61</v>
      </c>
      <c r="M972" s="318"/>
      <c r="N972" s="318"/>
      <c r="O972" s="318"/>
      <c r="P972" s="318"/>
      <c r="Q972" s="318"/>
      <c r="R972" s="318">
        <f>G972</f>
        <v>-0.61</v>
      </c>
      <c r="S972" s="318"/>
      <c r="T972" s="319">
        <f>Z972</f>
        <v>-124107</v>
      </c>
      <c r="U972" s="319"/>
      <c r="V972" s="319"/>
      <c r="W972" s="319"/>
      <c r="X972" s="319"/>
      <c r="Y972" s="319"/>
      <c r="Z972" s="294">
        <f>ROUND($E972*R972,0)</f>
        <v>-124107</v>
      </c>
      <c r="AB972" s="320" t="s">
        <v>939</v>
      </c>
      <c r="AC972" s="389">
        <f>AC969/(J982+J1076+J1164)-1</f>
        <v>5.1541228078595624E-2</v>
      </c>
      <c r="AD972" s="292">
        <v>1.069</v>
      </c>
    </row>
    <row r="973" spans="2:30">
      <c r="B973" s="317" t="s">
        <v>1070</v>
      </c>
      <c r="D973" s="293">
        <f t="shared" si="598"/>
        <v>72211859.805493146</v>
      </c>
      <c r="E973" s="293">
        <f t="shared" si="598"/>
        <v>79326838.124639124</v>
      </c>
      <c r="F973" s="339"/>
      <c r="G973" s="342">
        <v>11.926600000000001</v>
      </c>
      <c r="H973" s="343" t="s">
        <v>1062</v>
      </c>
      <c r="I973" s="294">
        <f t="shared" ref="I973:J977" si="599">ROUND($G973*D973/100,0)</f>
        <v>8612420</v>
      </c>
      <c r="J973" s="294">
        <f t="shared" si="599"/>
        <v>9460995</v>
      </c>
      <c r="K973" s="339"/>
      <c r="L973" s="342"/>
      <c r="M973" s="343"/>
      <c r="N973" s="342"/>
      <c r="O973" s="343"/>
      <c r="P973" s="342"/>
      <c r="Q973" s="343"/>
      <c r="R973" s="342"/>
      <c r="S973" s="343"/>
      <c r="T973" s="346"/>
      <c r="U973" s="346"/>
      <c r="V973" s="346"/>
      <c r="W973" s="346"/>
      <c r="X973" s="346"/>
      <c r="Y973" s="346"/>
      <c r="AB973" s="322" t="s">
        <v>1048</v>
      </c>
      <c r="AC973" s="384">
        <f>AC970/(J982+J1076+J1164)-1</f>
        <v>5.1542581432151291E-2</v>
      </c>
      <c r="AD973" s="294">
        <f>[7]RateSpread!AD30*1000</f>
        <v>-1779.253193148179</v>
      </c>
    </row>
    <row r="974" spans="2:30">
      <c r="B974" s="317" t="s">
        <v>1071</v>
      </c>
      <c r="D974" s="293">
        <f t="shared" si="598"/>
        <v>63753636.726301193</v>
      </c>
      <c r="E974" s="293">
        <f t="shared" si="598"/>
        <v>70006450</v>
      </c>
      <c r="F974" s="339"/>
      <c r="G974" s="342">
        <v>3.5908000000000002</v>
      </c>
      <c r="H974" s="343" t="s">
        <v>1062</v>
      </c>
      <c r="I974" s="294">
        <f t="shared" si="599"/>
        <v>2289266</v>
      </c>
      <c r="J974" s="294">
        <f t="shared" si="599"/>
        <v>2513792</v>
      </c>
      <c r="K974" s="339"/>
      <c r="L974" s="342"/>
      <c r="M974" s="343"/>
      <c r="N974" s="342"/>
      <c r="O974" s="343"/>
      <c r="P974" s="342"/>
      <c r="Q974" s="343"/>
      <c r="R974" s="342"/>
      <c r="S974" s="343"/>
      <c r="T974" s="346"/>
      <c r="U974" s="346"/>
      <c r="V974" s="346"/>
      <c r="W974" s="346"/>
      <c r="X974" s="346"/>
      <c r="Y974" s="346"/>
      <c r="AB974" s="335" t="s">
        <v>1125</v>
      </c>
      <c r="AC974" s="385">
        <f>(AC970-Z969-Z1065-Z1153-Z977)/SUM(J970:J976,J1066:J1072,J1154:J1160)-1</f>
        <v>1.9799464262425293E-2</v>
      </c>
    </row>
    <row r="975" spans="2:30">
      <c r="B975" s="317" t="s">
        <v>1126</v>
      </c>
      <c r="D975" s="293">
        <f t="shared" si="598"/>
        <v>101525113.29458006</v>
      </c>
      <c r="E975" s="293">
        <f t="shared" si="598"/>
        <v>110209144</v>
      </c>
      <c r="F975" s="339"/>
      <c r="G975" s="342">
        <v>9.9693000000000005</v>
      </c>
      <c r="H975" s="343" t="s">
        <v>1062</v>
      </c>
      <c r="I975" s="294">
        <f t="shared" si="599"/>
        <v>10121343</v>
      </c>
      <c r="J975" s="294">
        <f t="shared" si="599"/>
        <v>10987080</v>
      </c>
      <c r="K975" s="339"/>
      <c r="L975" s="342"/>
      <c r="M975" s="343"/>
      <c r="N975" s="342"/>
      <c r="O975" s="343"/>
      <c r="P975" s="342"/>
      <c r="Q975" s="343"/>
      <c r="R975" s="342"/>
      <c r="S975" s="343"/>
      <c r="T975" s="346"/>
      <c r="U975" s="346"/>
      <c r="V975" s="346"/>
      <c r="W975" s="346"/>
      <c r="X975" s="346"/>
      <c r="Y975" s="346"/>
      <c r="AB975" s="305" t="s">
        <v>939</v>
      </c>
      <c r="AC975" s="304">
        <f>Z982/J982-1</f>
        <v>6.1892968228271616E-2</v>
      </c>
    </row>
    <row r="976" spans="2:30">
      <c r="B976" s="317" t="s">
        <v>1127</v>
      </c>
      <c r="D976" s="293">
        <f t="shared" si="598"/>
        <v>85966694.527216792</v>
      </c>
      <c r="E976" s="293">
        <f t="shared" si="598"/>
        <v>93122275</v>
      </c>
      <c r="F976" s="339"/>
      <c r="G976" s="342">
        <v>3.0059999999999998</v>
      </c>
      <c r="H976" s="343" t="s">
        <v>1062</v>
      </c>
      <c r="I976" s="294">
        <f t="shared" si="599"/>
        <v>2584159</v>
      </c>
      <c r="J976" s="294">
        <f t="shared" si="599"/>
        <v>2799256</v>
      </c>
      <c r="K976" s="339"/>
      <c r="L976" s="342"/>
      <c r="M976" s="343"/>
      <c r="N976" s="342"/>
      <c r="O976" s="343"/>
      <c r="P976" s="342"/>
      <c r="Q976" s="343"/>
      <c r="R976" s="342"/>
      <c r="S976" s="343"/>
      <c r="T976" s="346"/>
      <c r="U976" s="346"/>
      <c r="V976" s="346"/>
      <c r="W976" s="346"/>
      <c r="X976" s="346"/>
      <c r="Y976" s="346"/>
      <c r="AB976" s="305" t="s">
        <v>1118</v>
      </c>
      <c r="AC976" s="390">
        <v>1.1299999999999999</v>
      </c>
    </row>
    <row r="977" spans="1:32">
      <c r="B977" s="353" t="s">
        <v>1077</v>
      </c>
      <c r="D977" s="293">
        <f t="shared" si="598"/>
        <v>26996026</v>
      </c>
      <c r="E977" s="293">
        <f t="shared" si="598"/>
        <v>29568815</v>
      </c>
      <c r="G977" s="377">
        <v>7.125</v>
      </c>
      <c r="H977" s="343" t="s">
        <v>1062</v>
      </c>
      <c r="I977" s="294">
        <f t="shared" si="599"/>
        <v>1923467</v>
      </c>
      <c r="J977" s="294">
        <f t="shared" si="599"/>
        <v>2106778</v>
      </c>
      <c r="L977" s="347"/>
      <c r="M977" s="343" t="s">
        <v>1062</v>
      </c>
      <c r="N977" s="347">
        <f>R977</f>
        <v>7.125</v>
      </c>
      <c r="O977" s="343" t="s">
        <v>1062</v>
      </c>
      <c r="P977" s="342"/>
      <c r="Q977" s="343" t="s">
        <v>1062</v>
      </c>
      <c r="R977" s="377">
        <f>G977</f>
        <v>7.125</v>
      </c>
      <c r="S977" s="343" t="s">
        <v>1062</v>
      </c>
      <c r="T977" s="346"/>
      <c r="U977" s="346"/>
      <c r="V977" s="346">
        <f>Z977</f>
        <v>2106778</v>
      </c>
      <c r="W977" s="346"/>
      <c r="X977" s="346"/>
      <c r="Y977" s="346"/>
      <c r="Z977" s="294">
        <f t="shared" ref="Z977" si="600">ROUND($E977*R977/100,0)</f>
        <v>2106778</v>
      </c>
      <c r="AB977" s="305" t="s">
        <v>1128</v>
      </c>
      <c r="AC977" s="390">
        <f>G973-G974</f>
        <v>8.3358000000000008</v>
      </c>
    </row>
    <row r="978" spans="1:32">
      <c r="B978" s="317" t="s">
        <v>1078</v>
      </c>
      <c r="D978" s="357">
        <f t="shared" si="598"/>
        <v>662780</v>
      </c>
      <c r="E978" s="357">
        <f t="shared" si="598"/>
        <v>0</v>
      </c>
      <c r="I978" s="358">
        <f>I1002+I1026+I1050</f>
        <v>97502</v>
      </c>
      <c r="J978" s="358">
        <f t="shared" ref="J978" si="601">J1002+J1026+J1050</f>
        <v>0</v>
      </c>
      <c r="Z978" s="358"/>
      <c r="AB978" s="305" t="s">
        <v>1011</v>
      </c>
      <c r="AC978" s="337">
        <f>SUM([7]RateSpread!V26:V28,[7]RateSpread!V42*Blocking!Z1899/(Blocking!Z1899+Blocking!Z1917))*1000</f>
        <v>-998502.52494014427</v>
      </c>
      <c r="AD978" s="338">
        <f>ROUND(AC978/SUM(Z961:Z964,Z977,Z1057:Z1060,Z1889:Z1892)*AD972,4)</f>
        <v>-2.7099999999999999E-2</v>
      </c>
    </row>
    <row r="979" spans="1:32">
      <c r="B979" s="317" t="s">
        <v>1079</v>
      </c>
      <c r="G979" s="338">
        <v>-4.99E-2</v>
      </c>
      <c r="H979" s="339"/>
      <c r="I979" s="294">
        <f>SUM(I973:I977)*$G979</f>
        <v>-1273979.6845</v>
      </c>
      <c r="J979" s="294">
        <f>SUM(J973:J977)*$G979</f>
        <v>-1390608.2598999999</v>
      </c>
      <c r="L979" s="338"/>
      <c r="M979" s="339"/>
      <c r="N979" s="338"/>
      <c r="O979" s="339"/>
      <c r="P979" s="359" t="str">
        <f>$P$43</f>
        <v>Tax Year 1</v>
      </c>
      <c r="Q979" s="339"/>
      <c r="R979" s="338">
        <f>AD978</f>
        <v>-2.7099999999999999E-2</v>
      </c>
      <c r="S979" s="339"/>
      <c r="Z979" s="294">
        <f>R979*SUM(Z961:Z964,Z977)</f>
        <v>-1005403.1166</v>
      </c>
      <c r="AB979" s="305" t="s">
        <v>1057</v>
      </c>
      <c r="AC979" s="337">
        <f>SUM([7]RateSpread!W26:W28,[7]RateSpread!W42*Blocking!Z1899/(Blocking!Z1899+Blocking!Z1917))*1000</f>
        <v>-499251.31759671756</v>
      </c>
      <c r="AD979" s="338">
        <f>ROUND(AC979/SUM(Z961:Z964,Z977,Z1057:Z1060,Z1889:Z1892)*AD972,4)</f>
        <v>-1.3599999999999999E-2</v>
      </c>
    </row>
    <row r="980" spans="1:32">
      <c r="B980" s="317"/>
      <c r="G980" s="338"/>
      <c r="H980" s="339"/>
      <c r="L980" s="338"/>
      <c r="M980" s="339"/>
      <c r="N980" s="338"/>
      <c r="O980" s="339"/>
      <c r="P980" s="359" t="str">
        <f>$P$44</f>
        <v>Tax Year 2</v>
      </c>
      <c r="Q980" s="339"/>
      <c r="R980" s="338">
        <f>AD979</f>
        <v>-1.3599999999999999E-2</v>
      </c>
      <c r="S980" s="339"/>
      <c r="Z980" s="294">
        <f>R980*SUM(Z961:Z964,Z977)</f>
        <v>-504556.54559999995</v>
      </c>
    </row>
    <row r="981" spans="1:32">
      <c r="B981" s="353" t="s">
        <v>1082</v>
      </c>
      <c r="D981" s="293">
        <f t="shared" ref="D981:E981" si="602">D1005+D1029+D1053</f>
        <v>-1494890</v>
      </c>
      <c r="E981" s="293">
        <f t="shared" si="602"/>
        <v>-1649518</v>
      </c>
      <c r="G981" s="338"/>
      <c r="H981" s="339"/>
      <c r="L981" s="338"/>
      <c r="M981" s="339"/>
      <c r="N981" s="338"/>
      <c r="O981" s="339"/>
      <c r="P981" s="338"/>
      <c r="Q981" s="339"/>
      <c r="R981" s="338"/>
      <c r="S981" s="339"/>
      <c r="AB981" s="361" t="s">
        <v>42</v>
      </c>
      <c r="AC981" s="361" t="s">
        <v>43</v>
      </c>
      <c r="AD981" s="361" t="s">
        <v>44</v>
      </c>
      <c r="AE981" s="361" t="s">
        <v>45</v>
      </c>
    </row>
    <row r="982" spans="1:32" ht="16.5" thickBot="1">
      <c r="A982" s="292">
        <v>1</v>
      </c>
      <c r="B982" s="317" t="s">
        <v>937</v>
      </c>
      <c r="D982" s="381">
        <f>SUM(D973:D981)</f>
        <v>349621220.3535912</v>
      </c>
      <c r="E982" s="381">
        <f>SUM(E973:E981)</f>
        <v>380584004.12463915</v>
      </c>
      <c r="G982" s="368"/>
      <c r="I982" s="369">
        <f>SUM(I969:I979)</f>
        <v>39639636.315499999</v>
      </c>
      <c r="J982" s="369">
        <f>SUM(J969:J979)</f>
        <v>43040434.740099996</v>
      </c>
      <c r="L982" s="368"/>
      <c r="N982" s="368"/>
      <c r="P982" s="368"/>
      <c r="R982" s="368"/>
      <c r="T982" s="364">
        <f>$Z982*AB982/$AE982</f>
        <v>7930149.9737682538</v>
      </c>
      <c r="U982" s="364"/>
      <c r="V982" s="364">
        <f>$Z982*AC982/$AE982</f>
        <v>26512119.086317874</v>
      </c>
      <c r="W982" s="364"/>
      <c r="X982" s="364">
        <f>Z982-T982-V982</f>
        <v>11262065.939913869</v>
      </c>
      <c r="Z982" s="364">
        <f>SUM(Z961:Z978)</f>
        <v>45704335</v>
      </c>
      <c r="AB982" s="366">
        <f>'[7]Unit Cost Target'!$E$87+'[7]Unit Cost Target'!$E$123+'[7]Unit Cost Target'!$E$129</f>
        <v>87933410.775021613</v>
      </c>
      <c r="AC982" s="366">
        <f>'[7]Unit Cost Target'!$E$45+'[7]Unit Cost Target'!$E$51+'[7]Unit Cost Target'!$E$75+'[7]Unit Cost Target'!$E$81</f>
        <v>293979441.22684622</v>
      </c>
      <c r="AD982" s="366">
        <f>'[7]Unit Cost Target'!$E$33+'[7]Unit Cost Target'!$E$39+'[7]Unit Cost Target'!$E$63+'[7]Unit Cost Target'!$E$69</f>
        <v>124879336.92876293</v>
      </c>
      <c r="AE982" s="366">
        <f>SUM(AB982:AD982)</f>
        <v>506792188.93063074</v>
      </c>
      <c r="AF982" s="366">
        <f>AE982-'[7]Unit Cost Target'!$E$21</f>
        <v>0</v>
      </c>
    </row>
    <row r="983" spans="1:32" ht="16.5" thickTop="1">
      <c r="A983" s="292">
        <v>1</v>
      </c>
      <c r="AB983" s="366">
        <f>T982-SUM(T961:T981)</f>
        <v>-6.0262317461892962</v>
      </c>
      <c r="AC983" s="366">
        <f>V982-SUM(V961:V981)</f>
        <v>-44.913682125508785</v>
      </c>
      <c r="AD983" s="366">
        <f>X982-SUM(X961:X981)</f>
        <v>51.939913868904114</v>
      </c>
      <c r="AE983" s="366">
        <f>SUM(AB983:AD983)</f>
        <v>0.99999999720603228</v>
      </c>
      <c r="AF983" s="366"/>
    </row>
    <row r="984" spans="1:32">
      <c r="B984" s="314" t="s">
        <v>974</v>
      </c>
      <c r="G984" s="377"/>
      <c r="H984" s="377"/>
      <c r="L984" s="377"/>
      <c r="M984" s="377"/>
      <c r="N984" s="377"/>
      <c r="O984" s="377"/>
      <c r="P984" s="377"/>
      <c r="Q984" s="377"/>
      <c r="R984" s="377"/>
      <c r="S984" s="377"/>
    </row>
    <row r="985" spans="1:32">
      <c r="B985" s="317" t="s">
        <v>1090</v>
      </c>
      <c r="D985" s="293">
        <f>'[7]BD-Redesign'!F7</f>
        <v>195834</v>
      </c>
      <c r="E985" s="293">
        <f>E1006-SUM(E986:E988,E1001:E1005)</f>
        <v>476420</v>
      </c>
      <c r="F985" s="339"/>
      <c r="G985" s="376"/>
      <c r="H985" s="343"/>
      <c r="K985" s="339"/>
      <c r="L985" s="376">
        <f>L961</f>
        <v>1.7867999999999999</v>
      </c>
      <c r="M985" s="343" t="s">
        <v>1062</v>
      </c>
      <c r="N985" s="376">
        <f>N961</f>
        <v>19.766631654000651</v>
      </c>
      <c r="O985" s="343" t="s">
        <v>1062</v>
      </c>
      <c r="P985" s="376">
        <f>P961</f>
        <v>1.3127</v>
      </c>
      <c r="Q985" s="343" t="s">
        <v>1062</v>
      </c>
      <c r="R985" s="376">
        <f t="shared" ref="R985:R993" si="603">R961</f>
        <v>22.86613165400065</v>
      </c>
      <c r="S985" s="343" t="s">
        <v>1062</v>
      </c>
      <c r="T985" s="294">
        <f>ROUND($E985*L985/100,0)</f>
        <v>8513</v>
      </c>
      <c r="U985" s="346"/>
      <c r="V985" s="294">
        <f>ROUND($E985*N985/100,0)</f>
        <v>94172</v>
      </c>
      <c r="W985" s="346"/>
      <c r="X985" s="294">
        <f>ROUND($E985*P985/100,0)</f>
        <v>6254</v>
      </c>
      <c r="Y985" s="346"/>
      <c r="Z985" s="294">
        <f>ROUND($E985*R985/100,0)</f>
        <v>108939</v>
      </c>
    </row>
    <row r="986" spans="1:32">
      <c r="B986" s="317" t="s">
        <v>1091</v>
      </c>
      <c r="D986" s="293">
        <f>'[7]BD-Redesign'!F8</f>
        <v>1401051</v>
      </c>
      <c r="E986" s="293">
        <f>ROUND(D986/(D985+D986)*([7]Energy!S11*(1-1/[7]Energy!P11*(Blocking!E1001+Blocking!E1005))),0)</f>
        <v>3408441</v>
      </c>
      <c r="F986" s="339"/>
      <c r="G986" s="376"/>
      <c r="H986" s="343"/>
      <c r="K986" s="339"/>
      <c r="L986" s="376">
        <f t="shared" ref="L986:L993" si="604">L962</f>
        <v>1.7867999999999999</v>
      </c>
      <c r="M986" s="343" t="s">
        <v>1062</v>
      </c>
      <c r="N986" s="376">
        <f t="shared" ref="N986:N993" si="605">N962</f>
        <v>1.4732003384230001</v>
      </c>
      <c r="O986" s="343" t="s">
        <v>1062</v>
      </c>
      <c r="P986" s="376">
        <f t="shared" ref="P986:P993" si="606">P962</f>
        <v>1.3127</v>
      </c>
      <c r="Q986" s="343" t="s">
        <v>1062</v>
      </c>
      <c r="R986" s="376">
        <f t="shared" si="603"/>
        <v>4.5727003384230001</v>
      </c>
      <c r="S986" s="343" t="s">
        <v>1062</v>
      </c>
      <c r="T986" s="294">
        <f t="shared" ref="T986:T992" si="607">ROUND($E986*L986/100,0)</f>
        <v>60902</v>
      </c>
      <c r="U986" s="346"/>
      <c r="V986" s="294">
        <f t="shared" ref="V986:V992" si="608">ROUND($E986*N986/100,0)</f>
        <v>50213</v>
      </c>
      <c r="W986" s="346"/>
      <c r="X986" s="294">
        <f t="shared" ref="X986:Z992" si="609">ROUND($E986*P986/100,0)</f>
        <v>44743</v>
      </c>
      <c r="Y986" s="346"/>
      <c r="Z986" s="294">
        <f t="shared" si="609"/>
        <v>155858</v>
      </c>
    </row>
    <row r="987" spans="1:32">
      <c r="B987" s="317" t="s">
        <v>1092</v>
      </c>
      <c r="D987" s="293">
        <f>'[7]BD-Redesign'!F9</f>
        <v>338106.98885443184</v>
      </c>
      <c r="E987" s="293">
        <f>ROUND(D987/(D987+D988)*([7]Energy!T11*(1-1/[7]Energy!P11*(Blocking!E1001+Blocking!E1005))),0)</f>
        <v>714796</v>
      </c>
      <c r="F987" s="339"/>
      <c r="G987" s="376"/>
      <c r="H987" s="343"/>
      <c r="K987" s="339"/>
      <c r="L987" s="376">
        <f t="shared" si="604"/>
        <v>1.7867999999999999</v>
      </c>
      <c r="M987" s="343" t="s">
        <v>1062</v>
      </c>
      <c r="N987" s="376">
        <f t="shared" si="605"/>
        <v>17.286999999999999</v>
      </c>
      <c r="O987" s="343" t="s">
        <v>1062</v>
      </c>
      <c r="P987" s="376">
        <f t="shared" si="606"/>
        <v>1.1617</v>
      </c>
      <c r="Q987" s="343" t="s">
        <v>1062</v>
      </c>
      <c r="R987" s="376">
        <f t="shared" si="603"/>
        <v>20.235499999999998</v>
      </c>
      <c r="S987" s="343" t="s">
        <v>1062</v>
      </c>
      <c r="T987" s="294">
        <f t="shared" si="607"/>
        <v>12772</v>
      </c>
      <c r="U987" s="346"/>
      <c r="V987" s="294">
        <f t="shared" si="608"/>
        <v>123567</v>
      </c>
      <c r="W987" s="346"/>
      <c r="X987" s="294">
        <f t="shared" si="609"/>
        <v>8304</v>
      </c>
      <c r="Y987" s="346"/>
      <c r="Z987" s="294">
        <f t="shared" si="609"/>
        <v>144643</v>
      </c>
    </row>
    <row r="988" spans="1:32">
      <c r="B988" s="317" t="s">
        <v>1093</v>
      </c>
      <c r="D988" s="293">
        <f>'[7]BD-Redesign'!F10</f>
        <v>2623727.011145568</v>
      </c>
      <c r="E988" s="293">
        <f>ROUND(D988/(D987+D988)*([7]Energy!T11*(1-1/[7]Energy!P11*(Blocking!E1001+Blocking!E1005))),0)</f>
        <v>5546852</v>
      </c>
      <c r="F988" s="339"/>
      <c r="G988" s="376"/>
      <c r="H988" s="343"/>
      <c r="K988" s="339"/>
      <c r="L988" s="376">
        <f t="shared" si="604"/>
        <v>1.7867999999999999</v>
      </c>
      <c r="M988" s="343" t="s">
        <v>1062</v>
      </c>
      <c r="N988" s="376">
        <f t="shared" si="605"/>
        <v>1.0980999999999999</v>
      </c>
      <c r="O988" s="343" t="s">
        <v>1062</v>
      </c>
      <c r="P988" s="376">
        <f t="shared" si="606"/>
        <v>1.1617</v>
      </c>
      <c r="Q988" s="343" t="s">
        <v>1062</v>
      </c>
      <c r="R988" s="376">
        <f t="shared" si="603"/>
        <v>4.0465999999999998</v>
      </c>
      <c r="S988" s="343" t="s">
        <v>1062</v>
      </c>
      <c r="T988" s="294">
        <f t="shared" si="607"/>
        <v>99111</v>
      </c>
      <c r="U988" s="346"/>
      <c r="V988" s="294">
        <f t="shared" si="608"/>
        <v>60910</v>
      </c>
      <c r="W988" s="346"/>
      <c r="X988" s="294">
        <f t="shared" si="609"/>
        <v>64438</v>
      </c>
      <c r="Y988" s="346"/>
      <c r="Z988" s="294">
        <f t="shared" si="609"/>
        <v>224459</v>
      </c>
    </row>
    <row r="989" spans="1:32">
      <c r="B989" s="317" t="s">
        <v>1094</v>
      </c>
      <c r="D989" s="293">
        <f>'[7]BD-Redesign'!F11</f>
        <v>830941</v>
      </c>
      <c r="E989" s="293">
        <f>E1006-SUM(E990:E992,E1001:E1005)</f>
        <v>2021492</v>
      </c>
      <c r="F989" s="339"/>
      <c r="G989" s="376"/>
      <c r="H989" s="343"/>
      <c r="K989" s="339"/>
      <c r="L989" s="376">
        <f t="shared" si="604"/>
        <v>0</v>
      </c>
      <c r="M989" s="343" t="s">
        <v>1062</v>
      </c>
      <c r="N989" s="376">
        <f t="shared" si="605"/>
        <v>0</v>
      </c>
      <c r="O989" s="343" t="s">
        <v>1062</v>
      </c>
      <c r="P989" s="376">
        <f t="shared" si="606"/>
        <v>6</v>
      </c>
      <c r="Q989" s="343" t="s">
        <v>1062</v>
      </c>
      <c r="R989" s="376">
        <f t="shared" si="603"/>
        <v>6</v>
      </c>
      <c r="S989" s="343" t="s">
        <v>1062</v>
      </c>
      <c r="T989" s="294">
        <f t="shared" si="607"/>
        <v>0</v>
      </c>
      <c r="U989" s="346"/>
      <c r="V989" s="294">
        <f t="shared" si="608"/>
        <v>0</v>
      </c>
      <c r="W989" s="346"/>
      <c r="X989" s="294">
        <f t="shared" si="609"/>
        <v>121290</v>
      </c>
      <c r="Y989" s="346"/>
      <c r="Z989" s="294">
        <f t="shared" si="609"/>
        <v>121290</v>
      </c>
    </row>
    <row r="990" spans="1:32">
      <c r="B990" s="317" t="s">
        <v>1095</v>
      </c>
      <c r="D990" s="293">
        <f>'[7]BD-Redesign'!F12</f>
        <v>765944</v>
      </c>
      <c r="E990" s="293">
        <f>ROUND(D990/(D989+D990)*([7]Energy!S11*(1-1/[7]Energy!P11*(Blocking!E1001+Blocking!E1005))),0)</f>
        <v>1863369</v>
      </c>
      <c r="F990" s="339"/>
      <c r="G990" s="376"/>
      <c r="H990" s="343"/>
      <c r="K990" s="339"/>
      <c r="L990" s="376">
        <f t="shared" si="604"/>
        <v>0</v>
      </c>
      <c r="M990" s="343" t="s">
        <v>1062</v>
      </c>
      <c r="N990" s="376">
        <f t="shared" si="605"/>
        <v>0</v>
      </c>
      <c r="O990" s="343" t="s">
        <v>1062</v>
      </c>
      <c r="P990" s="376">
        <f t="shared" si="606"/>
        <v>-2.3358000000000008</v>
      </c>
      <c r="Q990" s="343" t="s">
        <v>1062</v>
      </c>
      <c r="R990" s="376">
        <f t="shared" si="603"/>
        <v>-2.3358000000000008</v>
      </c>
      <c r="S990" s="343" t="s">
        <v>1062</v>
      </c>
      <c r="T990" s="294">
        <f t="shared" si="607"/>
        <v>0</v>
      </c>
      <c r="U990" s="346"/>
      <c r="V990" s="294">
        <f t="shared" si="608"/>
        <v>0</v>
      </c>
      <c r="W990" s="346"/>
      <c r="X990" s="294">
        <f t="shared" si="609"/>
        <v>-43525</v>
      </c>
      <c r="Y990" s="346"/>
      <c r="Z990" s="294">
        <f t="shared" si="609"/>
        <v>-43525</v>
      </c>
    </row>
    <row r="991" spans="1:32">
      <c r="B991" s="317" t="s">
        <v>1096</v>
      </c>
      <c r="D991" s="293">
        <f>'[7]BD-Redesign'!F13</f>
        <v>1469173.5</v>
      </c>
      <c r="E991" s="293">
        <f>ROUND(D991/(D991+D992)*([7]Energy!T11*(1-1/[7]Energy!P11*(Blocking!E1001+Blocking!E1005))),0)</f>
        <v>3105997</v>
      </c>
      <c r="F991" s="339"/>
      <c r="G991" s="376"/>
      <c r="H991" s="343"/>
      <c r="K991" s="339"/>
      <c r="L991" s="376">
        <f t="shared" si="604"/>
        <v>0</v>
      </c>
      <c r="M991" s="343" t="s">
        <v>1062</v>
      </c>
      <c r="N991" s="376">
        <f t="shared" si="605"/>
        <v>0</v>
      </c>
      <c r="O991" s="343" t="s">
        <v>1062</v>
      </c>
      <c r="P991" s="376">
        <f t="shared" si="606"/>
        <v>5.3097000000000003</v>
      </c>
      <c r="Q991" s="343" t="s">
        <v>1062</v>
      </c>
      <c r="R991" s="376">
        <f t="shared" si="603"/>
        <v>5.3097000000000003</v>
      </c>
      <c r="S991" s="343" t="s">
        <v>1062</v>
      </c>
      <c r="T991" s="294">
        <f t="shared" si="607"/>
        <v>0</v>
      </c>
      <c r="U991" s="346"/>
      <c r="V991" s="294">
        <f t="shared" si="608"/>
        <v>0</v>
      </c>
      <c r="W991" s="346"/>
      <c r="X991" s="294">
        <f t="shared" si="609"/>
        <v>164919</v>
      </c>
      <c r="Y991" s="346"/>
      <c r="Z991" s="294">
        <f t="shared" si="609"/>
        <v>164919</v>
      </c>
    </row>
    <row r="992" spans="1:32">
      <c r="B992" s="317" t="s">
        <v>1097</v>
      </c>
      <c r="D992" s="293">
        <f>'[7]BD-Redesign'!F14</f>
        <v>1492660.5</v>
      </c>
      <c r="E992" s="293">
        <f>ROUND(D992/(D991+D992)*([7]Energy!T11*(1-1/[7]Energy!P11*(Blocking!E1001+Blocking!E1005))),0)</f>
        <v>3155651</v>
      </c>
      <c r="F992" s="339"/>
      <c r="G992" s="376"/>
      <c r="H992" s="343"/>
      <c r="K992" s="339"/>
      <c r="L992" s="376">
        <f t="shared" si="604"/>
        <v>0</v>
      </c>
      <c r="M992" s="343" t="s">
        <v>1062</v>
      </c>
      <c r="N992" s="376">
        <f t="shared" si="605"/>
        <v>0</v>
      </c>
      <c r="O992" s="343" t="s">
        <v>1062</v>
      </c>
      <c r="P992" s="376">
        <f t="shared" si="606"/>
        <v>-2.0670999999999999</v>
      </c>
      <c r="Q992" s="343" t="s">
        <v>1062</v>
      </c>
      <c r="R992" s="376">
        <f t="shared" si="603"/>
        <v>-2.0670999999999999</v>
      </c>
      <c r="S992" s="343" t="s">
        <v>1062</v>
      </c>
      <c r="T992" s="294">
        <f t="shared" si="607"/>
        <v>0</v>
      </c>
      <c r="U992" s="346"/>
      <c r="V992" s="294">
        <f t="shared" si="608"/>
        <v>0</v>
      </c>
      <c r="W992" s="346"/>
      <c r="X992" s="294">
        <f t="shared" si="609"/>
        <v>-65230</v>
      </c>
      <c r="Y992" s="346"/>
      <c r="Z992" s="294">
        <f t="shared" si="609"/>
        <v>-65230</v>
      </c>
    </row>
    <row r="993" spans="2:29">
      <c r="B993" s="317" t="s">
        <v>1089</v>
      </c>
      <c r="D993" s="293">
        <f>'[7]6A'!H18</f>
        <v>336.86666666666702</v>
      </c>
      <c r="E993" s="293">
        <f>[7]Bill!P11</f>
        <v>348</v>
      </c>
      <c r="G993" s="339">
        <v>54</v>
      </c>
      <c r="H993" s="339"/>
      <c r="I993" s="294">
        <f t="shared" ref="I993:J996" si="610">ROUND($G993*D993,0)</f>
        <v>18191</v>
      </c>
      <c r="J993" s="294">
        <f t="shared" si="610"/>
        <v>18792</v>
      </c>
      <c r="L993" s="318">
        <f t="shared" si="604"/>
        <v>55</v>
      </c>
      <c r="M993" s="318"/>
      <c r="N993" s="318">
        <f t="shared" si="605"/>
        <v>0</v>
      </c>
      <c r="O993" s="318"/>
      <c r="P993" s="318">
        <f t="shared" si="606"/>
        <v>0</v>
      </c>
      <c r="Q993" s="318"/>
      <c r="R993" s="318">
        <f t="shared" si="603"/>
        <v>55</v>
      </c>
      <c r="S993" s="318"/>
      <c r="T993" s="294">
        <f>ROUND($E993*L993,0)</f>
        <v>19140</v>
      </c>
      <c r="U993" s="319"/>
      <c r="V993" s="294">
        <f>ROUND($E993*N993,0)</f>
        <v>0</v>
      </c>
      <c r="W993" s="319"/>
      <c r="X993" s="294">
        <f>ROUND($E993*P993,0)</f>
        <v>0</v>
      </c>
      <c r="Y993" s="319"/>
      <c r="Z993" s="294">
        <f>ROUND($E993*R993,0)</f>
        <v>19140</v>
      </c>
    </row>
    <row r="994" spans="2:29">
      <c r="B994" s="317" t="s">
        <v>1122</v>
      </c>
      <c r="D994" s="293">
        <f>'[7]6A'!J18</f>
        <v>10419.506134969301</v>
      </c>
      <c r="E994" s="293">
        <f>ROUND(D994/D1006*E1006,0)</f>
        <v>11530</v>
      </c>
      <c r="G994" s="339">
        <v>6.52</v>
      </c>
      <c r="H994" s="339"/>
      <c r="I994" s="294">
        <f t="shared" si="610"/>
        <v>67935</v>
      </c>
      <c r="J994" s="294">
        <f t="shared" si="610"/>
        <v>75176</v>
      </c>
      <c r="L994" s="339"/>
      <c r="M994" s="339"/>
      <c r="N994" s="339"/>
      <c r="O994" s="339"/>
      <c r="P994" s="339"/>
      <c r="Q994" s="339"/>
      <c r="R994" s="339"/>
      <c r="S994" s="339"/>
    </row>
    <row r="995" spans="2:29">
      <c r="B995" s="317" t="s">
        <v>1123</v>
      </c>
      <c r="D995" s="293">
        <f>'[7]6A'!K18</f>
        <v>12416.2285191956</v>
      </c>
      <c r="E995" s="293">
        <f>ROUND(D995/D1006*E1006,0)</f>
        <v>13740</v>
      </c>
      <c r="G995" s="339">
        <v>5.47</v>
      </c>
      <c r="H995" s="339"/>
      <c r="I995" s="294">
        <f t="shared" si="610"/>
        <v>67917</v>
      </c>
      <c r="J995" s="294">
        <f t="shared" si="610"/>
        <v>75158</v>
      </c>
      <c r="L995" s="339"/>
      <c r="M995" s="339"/>
      <c r="N995" s="339"/>
      <c r="O995" s="339"/>
      <c r="P995" s="339"/>
      <c r="Q995" s="339"/>
      <c r="R995" s="339"/>
      <c r="S995" s="339"/>
    </row>
    <row r="996" spans="2:29">
      <c r="B996" s="317" t="s">
        <v>1098</v>
      </c>
      <c r="D996" s="293">
        <f>'[7]6A'!L18</f>
        <v>0</v>
      </c>
      <c r="E996" s="293">
        <f>ROUND(D996/D1006*E1006,0)</f>
        <v>0</v>
      </c>
      <c r="F996" s="339"/>
      <c r="G996" s="339">
        <v>-0.61</v>
      </c>
      <c r="H996" s="339"/>
      <c r="I996" s="294">
        <f t="shared" si="610"/>
        <v>0</v>
      </c>
      <c r="J996" s="294">
        <f t="shared" si="610"/>
        <v>0</v>
      </c>
      <c r="K996" s="339"/>
      <c r="L996" s="339">
        <f t="shared" ref="L996" si="611">L972</f>
        <v>-0.61</v>
      </c>
      <c r="M996" s="339"/>
      <c r="N996" s="339">
        <f t="shared" ref="N996" si="612">N972</f>
        <v>0</v>
      </c>
      <c r="O996" s="339"/>
      <c r="P996" s="339">
        <f t="shared" ref="P996" si="613">P972</f>
        <v>0</v>
      </c>
      <c r="Q996" s="339"/>
      <c r="R996" s="339">
        <f t="shared" ref="R996" si="614">R972</f>
        <v>-0.61</v>
      </c>
      <c r="S996" s="339"/>
      <c r="T996" s="294">
        <f>ROUND($E996*L996,0)</f>
        <v>0</v>
      </c>
      <c r="V996" s="294">
        <f>ROUND($E996*N996,0)</f>
        <v>0</v>
      </c>
      <c r="X996" s="294">
        <f>ROUND($E996*P996,0)</f>
        <v>0</v>
      </c>
      <c r="Z996" s="294">
        <f>ROUND($E996*R996,0)</f>
        <v>0</v>
      </c>
    </row>
    <row r="997" spans="2:29">
      <c r="B997" s="317" t="s">
        <v>1070</v>
      </c>
      <c r="D997" s="293">
        <f>'[7]6A'!N18+'[7]6A'!U18</f>
        <v>2029544</v>
      </c>
      <c r="E997" s="293">
        <f>E1006-SUM(E998:E1005)</f>
        <v>2379892</v>
      </c>
      <c r="F997" s="339"/>
      <c r="G997" s="376">
        <v>11.926600000000001</v>
      </c>
      <c r="H997" s="343" t="s">
        <v>1062</v>
      </c>
      <c r="I997" s="294">
        <f t="shared" ref="I997:J1001" si="615">ROUND($G997*D997/100,0)</f>
        <v>242056</v>
      </c>
      <c r="J997" s="294">
        <f t="shared" si="615"/>
        <v>283840</v>
      </c>
      <c r="K997" s="339"/>
      <c r="L997" s="376"/>
      <c r="M997" s="343"/>
      <c r="N997" s="376"/>
      <c r="O997" s="343"/>
      <c r="P997" s="376"/>
      <c r="Q997" s="343"/>
      <c r="R997" s="376"/>
      <c r="S997" s="343"/>
      <c r="U997" s="346"/>
      <c r="W997" s="346"/>
      <c r="Y997" s="346"/>
    </row>
    <row r="998" spans="2:29">
      <c r="B998" s="317" t="s">
        <v>1071</v>
      </c>
      <c r="D998" s="293">
        <f>'[7]6A'!O18+'[7]6A'!V18</f>
        <v>1892228</v>
      </c>
      <c r="E998" s="293">
        <f>ROUND(D998/(D997+D998)*([7]Energy!Q11*(1-1/[7]Energy!P11*(Blocking!E1001+Blocking!E1005))),0)</f>
        <v>2218872</v>
      </c>
      <c r="F998" s="339"/>
      <c r="G998" s="376">
        <v>3.5908000000000002</v>
      </c>
      <c r="H998" s="343" t="s">
        <v>1062</v>
      </c>
      <c r="I998" s="294">
        <f t="shared" si="615"/>
        <v>67946</v>
      </c>
      <c r="J998" s="294">
        <f t="shared" si="615"/>
        <v>79675</v>
      </c>
      <c r="K998" s="339"/>
      <c r="L998" s="376"/>
      <c r="M998" s="343"/>
      <c r="N998" s="376"/>
      <c r="O998" s="343"/>
      <c r="P998" s="376"/>
      <c r="Q998" s="343"/>
      <c r="R998" s="376"/>
      <c r="S998" s="343"/>
      <c r="U998" s="346"/>
      <c r="W998" s="346"/>
      <c r="Y998" s="346"/>
    </row>
    <row r="999" spans="2:29">
      <c r="B999" s="317" t="s">
        <v>1126</v>
      </c>
      <c r="D999" s="293">
        <f>'[7]6A'!P18+'[7]6A'!W18</f>
        <v>2570685</v>
      </c>
      <c r="E999" s="293">
        <f>ROUND(D999/(D999+D1000)*([7]Energy!R11*(1-1/[7]Energy!P11*(Blocking!E1001+Blocking!E1005))),0)</f>
        <v>2744885</v>
      </c>
      <c r="F999" s="339"/>
      <c r="G999" s="376">
        <v>9.9693000000000005</v>
      </c>
      <c r="H999" s="343" t="s">
        <v>1062</v>
      </c>
      <c r="I999" s="294">
        <f t="shared" si="615"/>
        <v>256279</v>
      </c>
      <c r="J999" s="294">
        <f t="shared" si="615"/>
        <v>273646</v>
      </c>
      <c r="K999" s="339"/>
      <c r="L999" s="376"/>
      <c r="M999" s="343"/>
      <c r="N999" s="376"/>
      <c r="O999" s="343"/>
      <c r="P999" s="376"/>
      <c r="Q999" s="343"/>
      <c r="R999" s="376"/>
      <c r="S999" s="343"/>
      <c r="U999" s="346"/>
      <c r="W999" s="346"/>
      <c r="Y999" s="346"/>
    </row>
    <row r="1000" spans="2:29">
      <c r="B1000" s="317" t="s">
        <v>1127</v>
      </c>
      <c r="D1000" s="293">
        <f>'[7]6A'!Q18+'[7]6A'!X18</f>
        <v>2624981</v>
      </c>
      <c r="E1000" s="293">
        <f>ROUND(D1000/(D999+D1000)*([7]Energy!R11*(1-1/[7]Energy!P11*(Blocking!E1001+Blocking!E1005))),0)</f>
        <v>2802860</v>
      </c>
      <c r="F1000" s="339"/>
      <c r="G1000" s="376">
        <v>3.0059999999999998</v>
      </c>
      <c r="H1000" s="343" t="s">
        <v>1062</v>
      </c>
      <c r="I1000" s="294">
        <f t="shared" si="615"/>
        <v>78907</v>
      </c>
      <c r="J1000" s="294">
        <f t="shared" si="615"/>
        <v>84254</v>
      </c>
      <c r="K1000" s="339"/>
      <c r="L1000" s="376"/>
      <c r="M1000" s="343"/>
      <c r="N1000" s="376"/>
      <c r="O1000" s="343"/>
      <c r="P1000" s="376"/>
      <c r="Q1000" s="343"/>
      <c r="R1000" s="376"/>
      <c r="S1000" s="343"/>
      <c r="U1000" s="346"/>
      <c r="W1000" s="346"/>
      <c r="Y1000" s="346"/>
    </row>
    <row r="1001" spans="2:29">
      <c r="B1001" s="353" t="s">
        <v>1077</v>
      </c>
      <c r="D1001" s="293">
        <f>'[7]6A'!S18</f>
        <v>0</v>
      </c>
      <c r="E1001" s="293">
        <f>ROUND(D1001/(D1006-D1002)*E1006,0)</f>
        <v>0</v>
      </c>
      <c r="G1001" s="377">
        <v>7.125</v>
      </c>
      <c r="H1001" s="343" t="s">
        <v>1062</v>
      </c>
      <c r="I1001" s="294">
        <f t="shared" si="615"/>
        <v>0</v>
      </c>
      <c r="J1001" s="294">
        <f t="shared" si="615"/>
        <v>0</v>
      </c>
      <c r="L1001" s="377">
        <f t="shared" ref="L1001" si="616">L977</f>
        <v>0</v>
      </c>
      <c r="M1001" s="343" t="s">
        <v>1062</v>
      </c>
      <c r="N1001" s="377">
        <f t="shared" ref="N1001" si="617">N977</f>
        <v>7.125</v>
      </c>
      <c r="O1001" s="343" t="s">
        <v>1062</v>
      </c>
      <c r="P1001" s="377">
        <f t="shared" ref="P1001" si="618">P977</f>
        <v>0</v>
      </c>
      <c r="Q1001" s="343" t="s">
        <v>1062</v>
      </c>
      <c r="R1001" s="377">
        <f t="shared" ref="R1001" si="619">R977</f>
        <v>7.125</v>
      </c>
      <c r="S1001" s="343" t="s">
        <v>1062</v>
      </c>
      <c r="T1001" s="294">
        <f t="shared" ref="T1001" si="620">ROUND($E1001*L1001/100,0)</f>
        <v>0</v>
      </c>
      <c r="U1001" s="346"/>
      <c r="V1001" s="294">
        <f t="shared" ref="V1001" si="621">ROUND($E1001*N1001/100,0)</f>
        <v>0</v>
      </c>
      <c r="W1001" s="346"/>
      <c r="X1001" s="294">
        <f t="shared" ref="X1001:Z1001" si="622">ROUND($E1001*P1001/100,0)</f>
        <v>0</v>
      </c>
      <c r="Y1001" s="346"/>
      <c r="Z1001" s="294">
        <f t="shared" si="622"/>
        <v>0</v>
      </c>
    </row>
    <row r="1002" spans="2:29">
      <c r="B1002" s="317" t="s">
        <v>1078</v>
      </c>
      <c r="D1002" s="357">
        <f>'[7]Table 2'!J20</f>
        <v>51579</v>
      </c>
      <c r="E1002" s="357">
        <v>0</v>
      </c>
      <c r="I1002" s="358">
        <f>'[7]Table 3'!F20</f>
        <v>4715</v>
      </c>
      <c r="J1002" s="358">
        <v>0</v>
      </c>
      <c r="Z1002" s="358"/>
    </row>
    <row r="1003" spans="2:29">
      <c r="B1003" s="317" t="s">
        <v>1079</v>
      </c>
      <c r="G1003" s="338">
        <v>-4.99E-2</v>
      </c>
      <c r="H1003" s="339"/>
      <c r="I1003" s="294">
        <f>SUM(I997:I1001)*$G1003</f>
        <v>-32194.8812</v>
      </c>
      <c r="J1003" s="294">
        <f>SUM(J997:J1001)*$G1003</f>
        <v>-35998.608500000002</v>
      </c>
      <c r="L1003" s="338"/>
      <c r="M1003" s="339"/>
      <c r="N1003" s="338"/>
      <c r="O1003" s="339"/>
      <c r="P1003" s="359" t="str">
        <f>$P$43</f>
        <v>Tax Year 1</v>
      </c>
      <c r="Q1003" s="339"/>
      <c r="R1003" s="338">
        <f>$R$979</f>
        <v>-2.7099999999999999E-2</v>
      </c>
      <c r="S1003" s="339"/>
      <c r="Z1003" s="294">
        <f>R1003*SUM(Z985:Z988,Z1001)</f>
        <v>-17178.662899999999</v>
      </c>
    </row>
    <row r="1004" spans="2:29">
      <c r="B1004" s="317"/>
      <c r="G1004" s="338"/>
      <c r="H1004" s="339"/>
      <c r="L1004" s="338"/>
      <c r="M1004" s="339"/>
      <c r="N1004" s="338"/>
      <c r="O1004" s="339"/>
      <c r="P1004" s="359" t="str">
        <f>$P$44</f>
        <v>Tax Year 2</v>
      </c>
      <c r="Q1004" s="339"/>
      <c r="R1004" s="338">
        <f>$R$980</f>
        <v>-1.3599999999999999E-2</v>
      </c>
      <c r="S1004" s="339"/>
      <c r="Z1004" s="294">
        <f>R1004*SUM(Z985:Z988,Z1001)</f>
        <v>-8621.0263999999988</v>
      </c>
    </row>
    <row r="1005" spans="2:29">
      <c r="B1005" s="353" t="s">
        <v>1082</v>
      </c>
      <c r="D1005" s="293">
        <f>'[7]6A'!AE18</f>
        <v>0</v>
      </c>
      <c r="E1005" s="293">
        <f>ROUND(D1005/(D1006-D1002)*E1006,0)</f>
        <v>0</v>
      </c>
      <c r="G1005" s="338"/>
      <c r="H1005" s="339"/>
      <c r="L1005" s="338"/>
      <c r="M1005" s="339"/>
      <c r="N1005" s="338"/>
      <c r="O1005" s="339"/>
      <c r="P1005" s="338"/>
      <c r="Q1005" s="339"/>
      <c r="R1005" s="338"/>
      <c r="S1005" s="339"/>
    </row>
    <row r="1006" spans="2:29" ht="16.5" thickBot="1">
      <c r="B1006" s="317" t="s">
        <v>937</v>
      </c>
      <c r="D1006" s="381">
        <f>SUM(D997:D1005)</f>
        <v>9169017</v>
      </c>
      <c r="E1006" s="381">
        <f>[7]Energy!P11</f>
        <v>10146509</v>
      </c>
      <c r="F1006" s="339"/>
      <c r="G1006" s="368"/>
      <c r="I1006" s="369">
        <f>SUM(I993:I1003)</f>
        <v>771751.11880000005</v>
      </c>
      <c r="J1006" s="369">
        <f>SUM(J993:J1003)</f>
        <v>854542.39150000003</v>
      </c>
      <c r="K1006" s="339"/>
      <c r="L1006" s="368"/>
      <c r="N1006" s="368"/>
      <c r="P1006" s="368"/>
      <c r="R1006" s="368"/>
      <c r="T1006" s="369">
        <f>SUM(T985:T1002)</f>
        <v>200438</v>
      </c>
      <c r="V1006" s="369">
        <f>SUM(V985:V1002)</f>
        <v>328862</v>
      </c>
      <c r="X1006" s="369">
        <f>SUM(X985:X1002)</f>
        <v>301193</v>
      </c>
      <c r="Z1006" s="369">
        <f>SUM(Z985:Z1002)</f>
        <v>830493</v>
      </c>
      <c r="AB1006" s="305" t="s">
        <v>939</v>
      </c>
      <c r="AC1006" s="304">
        <f>Z1006/J1006-1</f>
        <v>-2.8143005823017764E-2</v>
      </c>
    </row>
    <row r="1007" spans="2:29" ht="16.5" thickTop="1">
      <c r="F1007" s="339"/>
      <c r="K1007" s="339"/>
    </row>
    <row r="1008" spans="2:29">
      <c r="B1008" s="314" t="s">
        <v>975</v>
      </c>
      <c r="G1008" s="377"/>
      <c r="H1008" s="377"/>
      <c r="L1008" s="377"/>
      <c r="M1008" s="377"/>
      <c r="N1008" s="377"/>
      <c r="O1008" s="377"/>
      <c r="P1008" s="377"/>
      <c r="Q1008" s="377"/>
      <c r="R1008" s="377"/>
      <c r="S1008" s="377"/>
    </row>
    <row r="1009" spans="2:26">
      <c r="B1009" s="317" t="s">
        <v>1090</v>
      </c>
      <c r="D1009" s="293">
        <f>'[7]BD-Redesign'!D7/('[7]BD-Redesign'!D7+'[7]BD-Redesign'!D8)*(Blocking!D1013+Blocking!D1014)</f>
        <v>16432592.288788307</v>
      </c>
      <c r="E1009" s="293">
        <f>E1030-SUM(E1010:E1012,E1025:E1029)</f>
        <v>36693479.025227547</v>
      </c>
      <c r="F1009" s="339"/>
      <c r="G1009" s="376"/>
      <c r="H1009" s="343"/>
      <c r="K1009" s="339"/>
      <c r="L1009" s="376">
        <f>L961</f>
        <v>1.7867999999999999</v>
      </c>
      <c r="M1009" s="343" t="s">
        <v>1062</v>
      </c>
      <c r="N1009" s="376">
        <f>N961</f>
        <v>19.766631654000651</v>
      </c>
      <c r="O1009" s="343" t="s">
        <v>1062</v>
      </c>
      <c r="P1009" s="376">
        <f>P961</f>
        <v>1.3127</v>
      </c>
      <c r="Q1009" s="343" t="s">
        <v>1062</v>
      </c>
      <c r="R1009" s="376">
        <f t="shared" ref="R1009:R1017" si="623">R961</f>
        <v>22.86613165400065</v>
      </c>
      <c r="S1009" s="343" t="s">
        <v>1062</v>
      </c>
      <c r="T1009" s="294">
        <f>ROUND($E1009*L1009/100,0)</f>
        <v>655639</v>
      </c>
      <c r="U1009" s="346"/>
      <c r="V1009" s="294">
        <f>ROUND($E1009*N1009/100,0)</f>
        <v>7253065</v>
      </c>
      <c r="W1009" s="346"/>
      <c r="X1009" s="294">
        <f>ROUND($E1009*P1009/100,0)</f>
        <v>481675</v>
      </c>
      <c r="Y1009" s="346"/>
      <c r="Z1009" s="294">
        <f>ROUND($E1009*R1009/100,0)</f>
        <v>8390379</v>
      </c>
    </row>
    <row r="1010" spans="2:26">
      <c r="B1010" s="317" t="s">
        <v>1091</v>
      </c>
      <c r="D1010" s="293">
        <f>D1013+D1014-D1009</f>
        <v>27155370.959482368</v>
      </c>
      <c r="E1010" s="293">
        <f>ROUND(D1010/(D1009+D1010)*([7]Energy!S32*(1-1/[7]Energy!P32*(Blocking!E1025+Blocking!E1029))),0)</f>
        <v>60637118</v>
      </c>
      <c r="F1010" s="339"/>
      <c r="G1010" s="376"/>
      <c r="H1010" s="343"/>
      <c r="K1010" s="339"/>
      <c r="L1010" s="376">
        <f t="shared" ref="L1010:L1017" si="624">L962</f>
        <v>1.7867999999999999</v>
      </c>
      <c r="M1010" s="343" t="s">
        <v>1062</v>
      </c>
      <c r="N1010" s="376">
        <f t="shared" ref="N1010:N1017" si="625">N962</f>
        <v>1.4732003384230001</v>
      </c>
      <c r="O1010" s="343" t="s">
        <v>1062</v>
      </c>
      <c r="P1010" s="376">
        <f t="shared" ref="P1010:P1017" si="626">P962</f>
        <v>1.3127</v>
      </c>
      <c r="Q1010" s="343" t="s">
        <v>1062</v>
      </c>
      <c r="R1010" s="376">
        <f t="shared" si="623"/>
        <v>4.5727003384230001</v>
      </c>
      <c r="S1010" s="343" t="s">
        <v>1062</v>
      </c>
      <c r="T1010" s="294">
        <f t="shared" ref="T1010:T1016" si="627">ROUND($E1010*L1010/100,0)</f>
        <v>1083464</v>
      </c>
      <c r="U1010" s="346"/>
      <c r="V1010" s="294">
        <f t="shared" ref="V1010:V1016" si="628">ROUND($E1010*N1010/100,0)</f>
        <v>893306</v>
      </c>
      <c r="W1010" s="346"/>
      <c r="X1010" s="294">
        <f t="shared" ref="X1010:X1016" si="629">ROUND($E1010*P1010/100,0)</f>
        <v>795983</v>
      </c>
      <c r="Y1010" s="346"/>
      <c r="Z1010" s="294">
        <f t="shared" ref="Z1010:Z1016" si="630">ROUND($E1010*R1010/100,0)</f>
        <v>2772754</v>
      </c>
    </row>
    <row r="1011" spans="2:26">
      <c r="B1011" s="317" t="s">
        <v>1092</v>
      </c>
      <c r="D1011" s="293">
        <f>'[7]BD-Redesign'!D9/('[7]BD-Redesign'!D9+'[7]BD-Redesign'!D10)*(Blocking!D1015+Blocking!D1016)</f>
        <v>28847444.946726855</v>
      </c>
      <c r="E1011" s="293">
        <f>ROUND(D1011/(D1011+D1012)*([7]Energy!T32*(1-1/[7]Energy!P32*(Blocking!E1025+Blocking!E1029))),0)</f>
        <v>61197596</v>
      </c>
      <c r="F1011" s="339"/>
      <c r="G1011" s="376"/>
      <c r="H1011" s="343"/>
      <c r="K1011" s="339"/>
      <c r="L1011" s="376">
        <f t="shared" si="624"/>
        <v>1.7867999999999999</v>
      </c>
      <c r="M1011" s="343" t="s">
        <v>1062</v>
      </c>
      <c r="N1011" s="376">
        <f t="shared" si="625"/>
        <v>17.286999999999999</v>
      </c>
      <c r="O1011" s="343" t="s">
        <v>1062</v>
      </c>
      <c r="P1011" s="376">
        <f t="shared" si="626"/>
        <v>1.1617</v>
      </c>
      <c r="Q1011" s="343" t="s">
        <v>1062</v>
      </c>
      <c r="R1011" s="376">
        <f t="shared" si="623"/>
        <v>20.235499999999998</v>
      </c>
      <c r="S1011" s="343" t="s">
        <v>1062</v>
      </c>
      <c r="T1011" s="294">
        <f t="shared" si="627"/>
        <v>1093479</v>
      </c>
      <c r="U1011" s="346"/>
      <c r="V1011" s="294">
        <f t="shared" si="628"/>
        <v>10579228</v>
      </c>
      <c r="W1011" s="346"/>
      <c r="X1011" s="294">
        <f t="shared" si="629"/>
        <v>710932</v>
      </c>
      <c r="Y1011" s="346"/>
      <c r="Z1011" s="294">
        <f t="shared" si="630"/>
        <v>12383640</v>
      </c>
    </row>
    <row r="1012" spans="2:26">
      <c r="B1012" s="317" t="s">
        <v>1093</v>
      </c>
      <c r="D1012" s="293">
        <f>D1015+D1016-D1011</f>
        <v>60315072.658593655</v>
      </c>
      <c r="E1012" s="293">
        <f>ROUND(D1012/(D1011+D1012)*([7]Energy!T32*(1-1/[7]Energy!P32*(Blocking!E1025+Blocking!E1029))),0)</f>
        <v>127953706</v>
      </c>
      <c r="F1012" s="339"/>
      <c r="G1012" s="376"/>
      <c r="H1012" s="343"/>
      <c r="K1012" s="339"/>
      <c r="L1012" s="376">
        <f t="shared" si="624"/>
        <v>1.7867999999999999</v>
      </c>
      <c r="M1012" s="343" t="s">
        <v>1062</v>
      </c>
      <c r="N1012" s="376">
        <f t="shared" si="625"/>
        <v>1.0980999999999999</v>
      </c>
      <c r="O1012" s="343" t="s">
        <v>1062</v>
      </c>
      <c r="P1012" s="376">
        <f t="shared" si="626"/>
        <v>1.1617</v>
      </c>
      <c r="Q1012" s="343" t="s">
        <v>1062</v>
      </c>
      <c r="R1012" s="376">
        <f t="shared" si="623"/>
        <v>4.0465999999999998</v>
      </c>
      <c r="S1012" s="343" t="s">
        <v>1062</v>
      </c>
      <c r="T1012" s="294">
        <f t="shared" si="627"/>
        <v>2286277</v>
      </c>
      <c r="U1012" s="346"/>
      <c r="V1012" s="294">
        <f t="shared" si="628"/>
        <v>1405060</v>
      </c>
      <c r="W1012" s="346"/>
      <c r="X1012" s="294">
        <f t="shared" si="629"/>
        <v>1486438</v>
      </c>
      <c r="Y1012" s="346"/>
      <c r="Z1012" s="294">
        <f t="shared" si="630"/>
        <v>5177775</v>
      </c>
    </row>
    <row r="1013" spans="2:26">
      <c r="B1013" s="317" t="s">
        <v>1094</v>
      </c>
      <c r="D1013" s="293">
        <f>'[7]BD-Redesign'!D11+[7]TempRevMay!C336-[7]TempRevMay!M336-[7]TempRevMay!W336</f>
        <v>22652511.642585691</v>
      </c>
      <c r="E1013" s="293">
        <f>E1030-SUM(E1014:E1016,E1025:E1029)</f>
        <v>50582370.025227547</v>
      </c>
      <c r="F1013" s="339"/>
      <c r="G1013" s="376"/>
      <c r="H1013" s="343"/>
      <c r="K1013" s="339"/>
      <c r="L1013" s="376">
        <f t="shared" si="624"/>
        <v>0</v>
      </c>
      <c r="M1013" s="343" t="s">
        <v>1062</v>
      </c>
      <c r="N1013" s="376">
        <f t="shared" si="625"/>
        <v>0</v>
      </c>
      <c r="O1013" s="343" t="s">
        <v>1062</v>
      </c>
      <c r="P1013" s="376">
        <f t="shared" si="626"/>
        <v>6</v>
      </c>
      <c r="Q1013" s="343" t="s">
        <v>1062</v>
      </c>
      <c r="R1013" s="376">
        <f t="shared" si="623"/>
        <v>6</v>
      </c>
      <c r="S1013" s="343" t="s">
        <v>1062</v>
      </c>
      <c r="T1013" s="294">
        <f t="shared" si="627"/>
        <v>0</v>
      </c>
      <c r="U1013" s="346"/>
      <c r="V1013" s="294">
        <f t="shared" si="628"/>
        <v>0</v>
      </c>
      <c r="W1013" s="346"/>
      <c r="X1013" s="294">
        <f t="shared" si="629"/>
        <v>3034942</v>
      </c>
      <c r="Y1013" s="346"/>
      <c r="Z1013" s="294">
        <f t="shared" si="630"/>
        <v>3034942</v>
      </c>
    </row>
    <row r="1014" spans="2:26">
      <c r="B1014" s="317" t="s">
        <v>1095</v>
      </c>
      <c r="D1014" s="293">
        <f>'[7]BD-Redesign'!D12+[7]TempRevMay!C337-[7]TempRevMay!M337-[7]TempRevMay!W337</f>
        <v>20935451.605684984</v>
      </c>
      <c r="E1014" s="293">
        <f>ROUND(D1014/(D1013+D1014)*([7]Energy!S32*(1-1/[7]Energy!P32*(Blocking!E1025+Blocking!E1029))),0)</f>
        <v>46748227</v>
      </c>
      <c r="F1014" s="339"/>
      <c r="G1014" s="376"/>
      <c r="H1014" s="343"/>
      <c r="K1014" s="339"/>
      <c r="L1014" s="376">
        <f t="shared" si="624"/>
        <v>0</v>
      </c>
      <c r="M1014" s="343" t="s">
        <v>1062</v>
      </c>
      <c r="N1014" s="376">
        <f t="shared" si="625"/>
        <v>0</v>
      </c>
      <c r="O1014" s="343" t="s">
        <v>1062</v>
      </c>
      <c r="P1014" s="376">
        <f t="shared" si="626"/>
        <v>-2.3358000000000008</v>
      </c>
      <c r="Q1014" s="343" t="s">
        <v>1062</v>
      </c>
      <c r="R1014" s="376">
        <f t="shared" si="623"/>
        <v>-2.3358000000000008</v>
      </c>
      <c r="S1014" s="343" t="s">
        <v>1062</v>
      </c>
      <c r="T1014" s="294">
        <f t="shared" si="627"/>
        <v>0</v>
      </c>
      <c r="U1014" s="346"/>
      <c r="V1014" s="294">
        <f t="shared" si="628"/>
        <v>0</v>
      </c>
      <c r="W1014" s="346"/>
      <c r="X1014" s="294">
        <f t="shared" si="629"/>
        <v>-1091945</v>
      </c>
      <c r="Y1014" s="346"/>
      <c r="Z1014" s="294">
        <f t="shared" si="630"/>
        <v>-1091945</v>
      </c>
    </row>
    <row r="1015" spans="2:26">
      <c r="B1015" s="317" t="s">
        <v>1096</v>
      </c>
      <c r="D1015" s="293">
        <f>'[7]BD-Redesign'!D13+[7]TempRevMay!C338-[7]TempRevMay!M338-[7]TempRevMay!W338</f>
        <v>47718230.957487509</v>
      </c>
      <c r="E1015" s="293">
        <f>ROUND(D1015/(D1015+D1016)*([7]Energy!T32*(1-1/[7]Energy!P32*(Blocking!E1025+Blocking!E1029))),0)</f>
        <v>101230492</v>
      </c>
      <c r="F1015" s="339"/>
      <c r="G1015" s="376"/>
      <c r="H1015" s="343"/>
      <c r="K1015" s="339"/>
      <c r="L1015" s="376">
        <f t="shared" si="624"/>
        <v>0</v>
      </c>
      <c r="M1015" s="343" t="s">
        <v>1062</v>
      </c>
      <c r="N1015" s="376">
        <f t="shared" si="625"/>
        <v>0</v>
      </c>
      <c r="O1015" s="343" t="s">
        <v>1062</v>
      </c>
      <c r="P1015" s="376">
        <f t="shared" si="626"/>
        <v>5.3097000000000003</v>
      </c>
      <c r="Q1015" s="343" t="s">
        <v>1062</v>
      </c>
      <c r="R1015" s="376">
        <f t="shared" si="623"/>
        <v>5.3097000000000003</v>
      </c>
      <c r="S1015" s="343" t="s">
        <v>1062</v>
      </c>
      <c r="T1015" s="294">
        <f t="shared" si="627"/>
        <v>0</v>
      </c>
      <c r="U1015" s="346"/>
      <c r="V1015" s="294">
        <f t="shared" si="628"/>
        <v>0</v>
      </c>
      <c r="W1015" s="346"/>
      <c r="X1015" s="294">
        <f t="shared" si="629"/>
        <v>5375035</v>
      </c>
      <c r="Y1015" s="346"/>
      <c r="Z1015" s="294">
        <f t="shared" si="630"/>
        <v>5375035</v>
      </c>
    </row>
    <row r="1016" spans="2:26">
      <c r="B1016" s="317" t="s">
        <v>1097</v>
      </c>
      <c r="D1016" s="293">
        <f>'[7]BD-Redesign'!D14+[7]TempRevMay!C339-[7]TempRevMay!M339-[7]TempRevMay!W339</f>
        <v>41444286.647832997</v>
      </c>
      <c r="E1016" s="293">
        <f>ROUND(D1016/(D1015+D1016)*([7]Energy!T32*(1-1/[7]Energy!P32*(Blocking!E1025+Blocking!E1029))),0)</f>
        <v>87920810</v>
      </c>
      <c r="F1016" s="339"/>
      <c r="G1016" s="376"/>
      <c r="H1016" s="343"/>
      <c r="K1016" s="339"/>
      <c r="L1016" s="376">
        <f t="shared" si="624"/>
        <v>0</v>
      </c>
      <c r="M1016" s="343" t="s">
        <v>1062</v>
      </c>
      <c r="N1016" s="376">
        <f t="shared" si="625"/>
        <v>0</v>
      </c>
      <c r="O1016" s="343" t="s">
        <v>1062</v>
      </c>
      <c r="P1016" s="376">
        <f t="shared" si="626"/>
        <v>-2.0670999999999999</v>
      </c>
      <c r="Q1016" s="343" t="s">
        <v>1062</v>
      </c>
      <c r="R1016" s="376">
        <f t="shared" si="623"/>
        <v>-2.0670999999999999</v>
      </c>
      <c r="S1016" s="343" t="s">
        <v>1062</v>
      </c>
      <c r="T1016" s="294">
        <f t="shared" si="627"/>
        <v>0</v>
      </c>
      <c r="U1016" s="346"/>
      <c r="V1016" s="294">
        <f t="shared" si="628"/>
        <v>0</v>
      </c>
      <c r="W1016" s="346"/>
      <c r="X1016" s="294">
        <f t="shared" si="629"/>
        <v>-1817411</v>
      </c>
      <c r="Y1016" s="346"/>
      <c r="Z1016" s="294">
        <f t="shared" si="630"/>
        <v>-1817411</v>
      </c>
    </row>
    <row r="1017" spans="2:26">
      <c r="B1017" s="317" t="s">
        <v>1089</v>
      </c>
      <c r="D1017" s="293">
        <f>'[7]6A'!H16</f>
        <v>27150.133333333401</v>
      </c>
      <c r="E1017" s="293">
        <f>[7]Bill!P32</f>
        <v>28366</v>
      </c>
      <c r="G1017" s="339">
        <v>54</v>
      </c>
      <c r="H1017" s="339"/>
      <c r="I1017" s="294">
        <f t="shared" ref="I1017:J1020" si="631">ROUND($G1017*D1017,0)</f>
        <v>1466107</v>
      </c>
      <c r="J1017" s="294">
        <f t="shared" si="631"/>
        <v>1531764</v>
      </c>
      <c r="L1017" s="339">
        <f t="shared" si="624"/>
        <v>55</v>
      </c>
      <c r="M1017" s="339"/>
      <c r="N1017" s="339">
        <f t="shared" si="625"/>
        <v>0</v>
      </c>
      <c r="O1017" s="339"/>
      <c r="P1017" s="339">
        <f t="shared" si="626"/>
        <v>0</v>
      </c>
      <c r="Q1017" s="339"/>
      <c r="R1017" s="339">
        <f t="shared" si="623"/>
        <v>55</v>
      </c>
      <c r="S1017" s="339"/>
      <c r="T1017" s="294">
        <f>ROUND($E1017*L1017,0)</f>
        <v>1560130</v>
      </c>
      <c r="U1017" s="319"/>
      <c r="V1017" s="294">
        <f>ROUND($E1017*N1017,0)</f>
        <v>0</v>
      </c>
      <c r="W1017" s="319"/>
      <c r="X1017" s="294">
        <f>ROUND($E1017*P1017,0)</f>
        <v>0</v>
      </c>
      <c r="Z1017" s="294">
        <f>ROUND($E1017*R1017,0)</f>
        <v>1560130</v>
      </c>
    </row>
    <row r="1018" spans="2:26">
      <c r="B1018" s="317" t="s">
        <v>1122</v>
      </c>
      <c r="D1018" s="293">
        <f>'[7]6A'!J16</f>
        <v>874539.542944783</v>
      </c>
      <c r="E1018" s="293">
        <f>ROUND(D1018/D1030*E1030,0)</f>
        <v>939725</v>
      </c>
      <c r="G1018" s="339">
        <v>6.52</v>
      </c>
      <c r="H1018" s="339"/>
      <c r="I1018" s="294">
        <f t="shared" si="631"/>
        <v>5701998</v>
      </c>
      <c r="J1018" s="294">
        <f t="shared" si="631"/>
        <v>6127007</v>
      </c>
      <c r="L1018" s="339"/>
      <c r="M1018" s="339"/>
      <c r="N1018" s="339"/>
      <c r="O1018" s="339"/>
      <c r="P1018" s="339"/>
      <c r="Q1018" s="339"/>
      <c r="R1018" s="339"/>
      <c r="S1018" s="339"/>
    </row>
    <row r="1019" spans="2:26">
      <c r="B1019" s="317" t="s">
        <v>1123</v>
      </c>
      <c r="D1019" s="293">
        <f>'[7]6A'!K16</f>
        <v>1039150.685557588</v>
      </c>
      <c r="E1019" s="293">
        <f>ROUND(D1019/D1030*E1030,0)</f>
        <v>1116605</v>
      </c>
      <c r="G1019" s="339">
        <v>5.47</v>
      </c>
      <c r="H1019" s="339"/>
      <c r="I1019" s="294">
        <f t="shared" si="631"/>
        <v>5684154</v>
      </c>
      <c r="J1019" s="294">
        <f t="shared" si="631"/>
        <v>6107829</v>
      </c>
      <c r="L1019" s="339"/>
      <c r="M1019" s="339"/>
      <c r="N1019" s="339"/>
      <c r="O1019" s="339"/>
      <c r="P1019" s="339"/>
      <c r="Q1019" s="339"/>
      <c r="R1019" s="339"/>
      <c r="S1019" s="339"/>
    </row>
    <row r="1020" spans="2:26">
      <c r="B1020" s="317" t="s">
        <v>1098</v>
      </c>
      <c r="D1020" s="293">
        <f>'[7]6A'!L16</f>
        <v>178611.63934426199</v>
      </c>
      <c r="E1020" s="293">
        <f>ROUND(D1020/D1030*E1030,0)</f>
        <v>191925</v>
      </c>
      <c r="G1020" s="339">
        <v>-0.61</v>
      </c>
      <c r="H1020" s="339"/>
      <c r="I1020" s="294">
        <f t="shared" si="631"/>
        <v>-108953</v>
      </c>
      <c r="J1020" s="294">
        <f t="shared" si="631"/>
        <v>-117074</v>
      </c>
      <c r="L1020" s="339">
        <f t="shared" ref="L1020" si="632">L972</f>
        <v>-0.61</v>
      </c>
      <c r="M1020" s="339"/>
      <c r="N1020" s="339">
        <f t="shared" ref="N1020" si="633">N972</f>
        <v>0</v>
      </c>
      <c r="O1020" s="339"/>
      <c r="P1020" s="339">
        <f t="shared" ref="P1020" si="634">P972</f>
        <v>0</v>
      </c>
      <c r="Q1020" s="339"/>
      <c r="R1020" s="339">
        <f t="shared" ref="R1020" si="635">R972</f>
        <v>-0.61</v>
      </c>
      <c r="S1020" s="339"/>
      <c r="T1020" s="294">
        <f>ROUND($E1020*L1020,0)</f>
        <v>-117074</v>
      </c>
      <c r="V1020" s="294">
        <f>ROUND($E1020*N1020,0)</f>
        <v>0</v>
      </c>
      <c r="X1020" s="294">
        <f>ROUND($E1020*P1020,0)</f>
        <v>0</v>
      </c>
      <c r="Z1020" s="294">
        <f>ROUND($E1020*R1020,0)</f>
        <v>-117074</v>
      </c>
    </row>
    <row r="1021" spans="2:26">
      <c r="B1021" s="317" t="s">
        <v>1070</v>
      </c>
      <c r="D1021" s="293">
        <f>'[7]6A'!N16+'[7]6A'!U16+[7]TempRev!C336-[7]TempRev!M336-[7]TempRev!W336</f>
        <v>56775991.805493139</v>
      </c>
      <c r="E1021" s="293">
        <f>E1030-SUM(E1022:E1029)</f>
        <v>61555077.025227547</v>
      </c>
      <c r="G1021" s="376">
        <v>11.926600000000001</v>
      </c>
      <c r="H1021" s="343" t="s">
        <v>1062</v>
      </c>
      <c r="I1021" s="294">
        <f t="shared" ref="I1021:J1025" si="636">ROUND($G1021*D1021/100,0)</f>
        <v>6771445</v>
      </c>
      <c r="J1021" s="294">
        <f t="shared" si="636"/>
        <v>7341428</v>
      </c>
      <c r="L1021" s="376"/>
      <c r="M1021" s="343"/>
      <c r="N1021" s="376"/>
      <c r="O1021" s="343"/>
      <c r="P1021" s="376"/>
      <c r="Q1021" s="343"/>
      <c r="R1021" s="376"/>
      <c r="S1021" s="343"/>
      <c r="U1021" s="346"/>
      <c r="W1021" s="346"/>
      <c r="Y1021" s="346"/>
    </row>
    <row r="1022" spans="2:26">
      <c r="B1022" s="317" t="s">
        <v>1071</v>
      </c>
      <c r="D1022" s="293">
        <f>'[7]6A'!O16+'[7]6A'!V16+[7]TempRev!C337-[7]TempRev!M337-[7]TempRev!W337</f>
        <v>50614516.726301193</v>
      </c>
      <c r="E1022" s="293">
        <f>ROUND(D1022/(D1021+D1022)*([7]Energy!Q32*(1-1/[7]Energy!P32*(Blocking!E1025+Blocking!E1029))),0)</f>
        <v>54874963</v>
      </c>
      <c r="F1022" s="339"/>
      <c r="G1022" s="376">
        <v>3.5908000000000002</v>
      </c>
      <c r="H1022" s="343" t="s">
        <v>1062</v>
      </c>
      <c r="I1022" s="294">
        <f t="shared" si="636"/>
        <v>1817466</v>
      </c>
      <c r="J1022" s="294">
        <f t="shared" si="636"/>
        <v>1970450</v>
      </c>
      <c r="K1022" s="339"/>
      <c r="L1022" s="376"/>
      <c r="M1022" s="343"/>
      <c r="N1022" s="376"/>
      <c r="O1022" s="343"/>
      <c r="P1022" s="376"/>
      <c r="Q1022" s="343"/>
      <c r="R1022" s="376"/>
      <c r="S1022" s="343"/>
      <c r="U1022" s="346"/>
      <c r="W1022" s="346"/>
      <c r="Y1022" s="346"/>
    </row>
    <row r="1023" spans="2:26">
      <c r="B1023" s="317" t="s">
        <v>1126</v>
      </c>
      <c r="D1023" s="293">
        <f>'[7]6A'!P16+'[7]6A'!W16+[7]TempRev!C338-[7]TempRev!M338-[7]TempRev!W338</f>
        <v>83800827.294580057</v>
      </c>
      <c r="E1023" s="293">
        <f>ROUND(D1023/(D1023+D1024)*([7]Energy!R32*(1-1/[7]Energy!P32*(Blocking!E1025+Blocking!E1029))),0)</f>
        <v>90299396</v>
      </c>
      <c r="G1023" s="376">
        <v>9.9693000000000005</v>
      </c>
      <c r="H1023" s="343" t="s">
        <v>1062</v>
      </c>
      <c r="I1023" s="294">
        <f t="shared" si="636"/>
        <v>8354356</v>
      </c>
      <c r="J1023" s="294">
        <f t="shared" si="636"/>
        <v>9002218</v>
      </c>
      <c r="L1023" s="376"/>
      <c r="M1023" s="343"/>
      <c r="N1023" s="376"/>
      <c r="O1023" s="343"/>
      <c r="P1023" s="376"/>
      <c r="Q1023" s="343"/>
      <c r="R1023" s="376"/>
      <c r="S1023" s="343"/>
      <c r="U1023" s="346"/>
      <c r="W1023" s="346"/>
      <c r="Y1023" s="346"/>
    </row>
    <row r="1024" spans="2:26">
      <c r="B1024" s="317" t="s">
        <v>1127</v>
      </c>
      <c r="D1024" s="293">
        <f>'[7]6A'!Q16+'[7]6A'!X16+[7]TempRev!C339-[7]TempRev!M339-[7]TempRev!W339</f>
        <v>74012924.527216792</v>
      </c>
      <c r="E1024" s="293">
        <f>ROUND(D1024/(D1023+D1024)*([7]Energy!R32*(1-1/[7]Energy!P32*(Blocking!E1025+Blocking!E1029))),0)</f>
        <v>79752463</v>
      </c>
      <c r="F1024" s="339"/>
      <c r="G1024" s="376">
        <v>3.0059999999999998</v>
      </c>
      <c r="H1024" s="343" t="s">
        <v>1062</v>
      </c>
      <c r="I1024" s="294">
        <f t="shared" si="636"/>
        <v>2224829</v>
      </c>
      <c r="J1024" s="294">
        <f t="shared" si="636"/>
        <v>2397359</v>
      </c>
      <c r="K1024" s="339"/>
      <c r="L1024" s="376"/>
      <c r="M1024" s="343"/>
      <c r="N1024" s="376"/>
      <c r="O1024" s="343"/>
      <c r="P1024" s="376"/>
      <c r="Q1024" s="343"/>
      <c r="R1024" s="376"/>
      <c r="S1024" s="343"/>
      <c r="U1024" s="346"/>
      <c r="W1024" s="346"/>
      <c r="Y1024" s="346"/>
    </row>
    <row r="1025" spans="2:29">
      <c r="B1025" s="353" t="s">
        <v>1077</v>
      </c>
      <c r="D1025" s="293">
        <f>'[7]6A'!S16</f>
        <v>20238626</v>
      </c>
      <c r="E1025" s="293">
        <f>ROUND(D1025/(D1030-D1026)*E1030,0)</f>
        <v>21862394</v>
      </c>
      <c r="G1025" s="377">
        <v>7.125</v>
      </c>
      <c r="H1025" s="343" t="s">
        <v>1062</v>
      </c>
      <c r="I1025" s="294">
        <f t="shared" si="636"/>
        <v>1442002</v>
      </c>
      <c r="J1025" s="294">
        <f t="shared" si="636"/>
        <v>1557696</v>
      </c>
      <c r="L1025" s="377">
        <f t="shared" ref="L1025" si="637">L977</f>
        <v>0</v>
      </c>
      <c r="M1025" s="343" t="s">
        <v>1062</v>
      </c>
      <c r="N1025" s="377">
        <f t="shared" ref="N1025" si="638">N977</f>
        <v>7.125</v>
      </c>
      <c r="O1025" s="343" t="s">
        <v>1062</v>
      </c>
      <c r="P1025" s="377">
        <f t="shared" ref="P1025" si="639">P977</f>
        <v>0</v>
      </c>
      <c r="Q1025" s="343" t="s">
        <v>1062</v>
      </c>
      <c r="R1025" s="377">
        <f t="shared" ref="R1025" si="640">R977</f>
        <v>7.125</v>
      </c>
      <c r="S1025" s="343" t="s">
        <v>1062</v>
      </c>
      <c r="T1025" s="294">
        <f t="shared" ref="T1025" si="641">ROUND($E1025*L1025/100,0)</f>
        <v>0</v>
      </c>
      <c r="U1025" s="346"/>
      <c r="V1025" s="294">
        <f t="shared" ref="V1025" si="642">ROUND($E1025*N1025/100,0)</f>
        <v>1557696</v>
      </c>
      <c r="W1025" s="346"/>
      <c r="X1025" s="294">
        <f t="shared" ref="X1025" si="643">ROUND($E1025*P1025/100,0)</f>
        <v>0</v>
      </c>
      <c r="Y1025" s="346"/>
      <c r="Z1025" s="294">
        <f t="shared" ref="Z1025" si="644">ROUND($E1025*R1025/100,0)</f>
        <v>1557696</v>
      </c>
    </row>
    <row r="1026" spans="2:29">
      <c r="B1026" s="317" t="s">
        <v>1078</v>
      </c>
      <c r="D1026" s="357">
        <f>'[7]Table 2'!J48</f>
        <v>1507907</v>
      </c>
      <c r="E1026" s="357">
        <v>0</v>
      </c>
      <c r="I1026" s="358">
        <f>'[7]Table 3'!F48</f>
        <v>190811</v>
      </c>
      <c r="J1026" s="358">
        <v>0</v>
      </c>
      <c r="Z1026" s="358"/>
    </row>
    <row r="1027" spans="2:29">
      <c r="B1027" s="317" t="s">
        <v>1079</v>
      </c>
      <c r="G1027" s="338">
        <v>-4.99E-2</v>
      </c>
      <c r="H1027" s="339"/>
      <c r="I1027" s="294">
        <f>SUM(I1021:I1025)*$G$1027</f>
        <v>-1028443.8902</v>
      </c>
      <c r="J1027" s="294">
        <f>SUM(J1021:J1025)*$G$1027</f>
        <v>-1111230.6348999999</v>
      </c>
      <c r="L1027" s="338"/>
      <c r="M1027" s="339"/>
      <c r="N1027" s="338"/>
      <c r="O1027" s="339"/>
      <c r="P1027" s="359" t="str">
        <f>$P$43</f>
        <v>Tax Year 1</v>
      </c>
      <c r="Q1027" s="339"/>
      <c r="R1027" s="338">
        <f>$R$979</f>
        <v>-2.7099999999999999E-2</v>
      </c>
      <c r="S1027" s="339"/>
      <c r="Z1027" s="294">
        <f>R1027*SUM(Z1009:Z1012,Z1025)</f>
        <v>-820648.81239999994</v>
      </c>
    </row>
    <row r="1028" spans="2:29">
      <c r="B1028" s="317"/>
      <c r="G1028" s="338"/>
      <c r="H1028" s="339"/>
      <c r="L1028" s="338"/>
      <c r="M1028" s="339"/>
      <c r="N1028" s="338"/>
      <c r="O1028" s="339"/>
      <c r="P1028" s="359" t="str">
        <f>$P$44</f>
        <v>Tax Year 2</v>
      </c>
      <c r="Q1028" s="339"/>
      <c r="R1028" s="338">
        <f>$R$980</f>
        <v>-1.3599999999999999E-2</v>
      </c>
      <c r="S1028" s="339"/>
      <c r="Z1028" s="294">
        <f>R1028*SUM(Z1009:Z1012,Z1025)</f>
        <v>-411838.5184</v>
      </c>
    </row>
    <row r="1029" spans="2:29">
      <c r="B1029" s="353" t="s">
        <v>1082</v>
      </c>
      <c r="D1029" s="293">
        <f>'[7]6A'!AE16</f>
        <v>-918722</v>
      </c>
      <c r="E1029" s="293">
        <f>ROUND(D1029/(D1030-D1026)*E1030,0)</f>
        <v>-992432</v>
      </c>
      <c r="G1029" s="338"/>
      <c r="H1029" s="339"/>
      <c r="L1029" s="338"/>
      <c r="M1029" s="339"/>
      <c r="N1029" s="338"/>
      <c r="O1029" s="339"/>
      <c r="P1029" s="338"/>
      <c r="Q1029" s="339"/>
      <c r="R1029" s="338"/>
      <c r="S1029" s="339"/>
    </row>
    <row r="1030" spans="2:29" ht="16.5" thickBot="1">
      <c r="B1030" s="317" t="s">
        <v>937</v>
      </c>
      <c r="D1030" s="381">
        <f>SUM(D1021:D1029)</f>
        <v>286032071.3535912</v>
      </c>
      <c r="E1030" s="381">
        <f>[7]Energy!P32</f>
        <v>307351861.02522755</v>
      </c>
      <c r="G1030" s="368"/>
      <c r="I1030" s="369">
        <f>SUM(I1017:I1027)</f>
        <v>32515771.1098</v>
      </c>
      <c r="J1030" s="369">
        <f>SUM(J1017:J1027)</f>
        <v>34807446.365099996</v>
      </c>
      <c r="L1030" s="368"/>
      <c r="N1030" s="368"/>
      <c r="P1030" s="368"/>
      <c r="R1030" s="368"/>
      <c r="T1030" s="369">
        <f>SUM(T1009:T1026)</f>
        <v>6561915</v>
      </c>
      <c r="V1030" s="369">
        <f>SUM(V1009:V1026)</f>
        <v>21688355</v>
      </c>
      <c r="X1030" s="369">
        <f>SUM(X1009:X1026)</f>
        <v>8975649</v>
      </c>
      <c r="Z1030" s="369">
        <f>SUM(Z1009:Z1026)</f>
        <v>37225921</v>
      </c>
      <c r="AB1030" s="305" t="s">
        <v>939</v>
      </c>
      <c r="AC1030" s="304">
        <f>Z1030/J1030-1</f>
        <v>6.9481530174098305E-2</v>
      </c>
    </row>
    <row r="1031" spans="2:29" ht="16.5" thickTop="1"/>
    <row r="1032" spans="2:29">
      <c r="B1032" s="314" t="s">
        <v>976</v>
      </c>
      <c r="G1032" s="377"/>
      <c r="H1032" s="377"/>
      <c r="L1032" s="377"/>
      <c r="M1032" s="377"/>
      <c r="N1032" s="377"/>
      <c r="O1032" s="377"/>
      <c r="P1032" s="377"/>
      <c r="Q1032" s="377"/>
      <c r="R1032" s="377"/>
      <c r="S1032" s="377"/>
    </row>
    <row r="1033" spans="2:29">
      <c r="B1033" s="317" t="s">
        <v>1090</v>
      </c>
      <c r="D1033" s="293">
        <f>'[7]BD-Redesign'!E7</f>
        <v>3150762.7990320884</v>
      </c>
      <c r="E1033" s="293">
        <f>E1054-SUM(E1034:E1036,E1049:E1053)</f>
        <v>7415542.099411577</v>
      </c>
      <c r="F1033" s="339"/>
      <c r="G1033" s="376"/>
      <c r="H1033" s="343"/>
      <c r="K1033" s="339"/>
      <c r="L1033" s="376">
        <f t="shared" ref="L1033:L1041" si="645">L961</f>
        <v>1.7867999999999999</v>
      </c>
      <c r="M1033" s="343" t="s">
        <v>1062</v>
      </c>
      <c r="N1033" s="376">
        <f>N961</f>
        <v>19.766631654000651</v>
      </c>
      <c r="O1033" s="343" t="s">
        <v>1062</v>
      </c>
      <c r="P1033" s="376">
        <f>P961</f>
        <v>1.3127</v>
      </c>
      <c r="Q1033" s="343" t="s">
        <v>1062</v>
      </c>
      <c r="R1033" s="376">
        <f t="shared" ref="R1033:R1041" si="646">R961</f>
        <v>22.86613165400065</v>
      </c>
      <c r="S1033" s="343" t="s">
        <v>1062</v>
      </c>
      <c r="T1033" s="294">
        <f>ROUND($E1033*L1033/100,0)</f>
        <v>132501</v>
      </c>
      <c r="U1033" s="346"/>
      <c r="V1033" s="294">
        <f>ROUND($E1033*N1033/100,0)</f>
        <v>1465803</v>
      </c>
      <c r="W1033" s="346"/>
      <c r="X1033" s="294">
        <f>ROUND($E1033*P1033/100,0)</f>
        <v>97344</v>
      </c>
      <c r="Y1033" s="346"/>
      <c r="Z1033" s="294">
        <f>ROUND($E1033*R1033/100,0)</f>
        <v>1695648</v>
      </c>
    </row>
    <row r="1034" spans="2:29">
      <c r="B1034" s="317" t="s">
        <v>1091</v>
      </c>
      <c r="D1034" s="293">
        <f>'[7]BD-Redesign'!E8</f>
        <v>7099274.2009679126</v>
      </c>
      <c r="E1034" s="293">
        <f>ROUND(D1034/(D1033+D1034)*([7]Energy!S57*(1-1/[7]Energy!P57*(Blocking!E1049+Blocking!E1053))),0)</f>
        <v>16708643</v>
      </c>
      <c r="F1034" s="339"/>
      <c r="G1034" s="376"/>
      <c r="H1034" s="343"/>
      <c r="K1034" s="339"/>
      <c r="L1034" s="376">
        <f t="shared" si="645"/>
        <v>1.7867999999999999</v>
      </c>
      <c r="M1034" s="343" t="s">
        <v>1062</v>
      </c>
      <c r="N1034" s="376">
        <f t="shared" ref="N1034:N1041" si="647">N962</f>
        <v>1.4732003384230001</v>
      </c>
      <c r="O1034" s="343" t="s">
        <v>1062</v>
      </c>
      <c r="P1034" s="376">
        <f t="shared" ref="P1034:P1041" si="648">P962</f>
        <v>1.3127</v>
      </c>
      <c r="Q1034" s="343" t="s">
        <v>1062</v>
      </c>
      <c r="R1034" s="376">
        <f t="shared" si="646"/>
        <v>4.5727003384230001</v>
      </c>
      <c r="S1034" s="343" t="s">
        <v>1062</v>
      </c>
      <c r="T1034" s="294">
        <f t="shared" ref="T1034:T1040" si="649">ROUND($E1034*L1034/100,0)</f>
        <v>298550</v>
      </c>
      <c r="U1034" s="346"/>
      <c r="V1034" s="294">
        <f t="shared" ref="V1034:V1040" si="650">ROUND($E1034*N1034/100,0)</f>
        <v>246152</v>
      </c>
      <c r="W1034" s="346"/>
      <c r="X1034" s="294">
        <f t="shared" ref="X1034:X1040" si="651">ROUND($E1034*P1034/100,0)</f>
        <v>219334</v>
      </c>
      <c r="Y1034" s="346"/>
      <c r="Z1034" s="294">
        <f t="shared" ref="Z1034:Z1040" si="652">ROUND($E1034*R1034/100,0)</f>
        <v>764036</v>
      </c>
    </row>
    <row r="1035" spans="2:29">
      <c r="B1035" s="317" t="s">
        <v>1092</v>
      </c>
      <c r="D1035" s="293">
        <f>'[7]BD-Redesign'!E9</f>
        <v>5219922.7807393372</v>
      </c>
      <c r="E1035" s="293">
        <f>ROUND(D1035/(D1035+D1036)*([7]Energy!T57*(1-1/[7]Energy!P57*(Blocking!E1049+Blocking!E1053))),0)</f>
        <v>11634411</v>
      </c>
      <c r="F1035" s="339"/>
      <c r="G1035" s="376"/>
      <c r="H1035" s="343"/>
      <c r="K1035" s="339"/>
      <c r="L1035" s="376">
        <f t="shared" si="645"/>
        <v>1.7867999999999999</v>
      </c>
      <c r="M1035" s="343" t="s">
        <v>1062</v>
      </c>
      <c r="N1035" s="376">
        <f t="shared" si="647"/>
        <v>17.286999999999999</v>
      </c>
      <c r="O1035" s="343" t="s">
        <v>1062</v>
      </c>
      <c r="P1035" s="376">
        <f t="shared" si="648"/>
        <v>1.1617</v>
      </c>
      <c r="Q1035" s="343" t="s">
        <v>1062</v>
      </c>
      <c r="R1035" s="376">
        <f t="shared" si="646"/>
        <v>20.235499999999998</v>
      </c>
      <c r="S1035" s="343" t="s">
        <v>1062</v>
      </c>
      <c r="T1035" s="294">
        <f t="shared" si="649"/>
        <v>207884</v>
      </c>
      <c r="U1035" s="346"/>
      <c r="V1035" s="294">
        <f t="shared" si="650"/>
        <v>2011241</v>
      </c>
      <c r="W1035" s="346"/>
      <c r="X1035" s="294">
        <f t="shared" si="651"/>
        <v>135157</v>
      </c>
      <c r="Y1035" s="346"/>
      <c r="Z1035" s="294">
        <f t="shared" si="652"/>
        <v>2354281</v>
      </c>
    </row>
    <row r="1036" spans="2:29">
      <c r="B1036" s="317" t="s">
        <v>1093</v>
      </c>
      <c r="D1036" s="293">
        <f>'[7]BD-Redesign'!E10</f>
        <v>9097843.2192606572</v>
      </c>
      <c r="E1036" s="293">
        <f>ROUND(D1036/(D1035+D1036)*([7]Energy!T57*(1-1/[7]Energy!P57*(Blocking!E1049+Blocking!E1053))),0)</f>
        <v>20277703</v>
      </c>
      <c r="F1036" s="339"/>
      <c r="G1036" s="376"/>
      <c r="H1036" s="343"/>
      <c r="K1036" s="339"/>
      <c r="L1036" s="376">
        <f t="shared" si="645"/>
        <v>1.7867999999999999</v>
      </c>
      <c r="M1036" s="343" t="s">
        <v>1062</v>
      </c>
      <c r="N1036" s="376">
        <f t="shared" si="647"/>
        <v>1.0980999999999999</v>
      </c>
      <c r="O1036" s="343" t="s">
        <v>1062</v>
      </c>
      <c r="P1036" s="376">
        <f t="shared" si="648"/>
        <v>1.1617</v>
      </c>
      <c r="Q1036" s="343" t="s">
        <v>1062</v>
      </c>
      <c r="R1036" s="376">
        <f t="shared" si="646"/>
        <v>4.0465999999999998</v>
      </c>
      <c r="S1036" s="343" t="s">
        <v>1062</v>
      </c>
      <c r="T1036" s="294">
        <f t="shared" si="649"/>
        <v>362322</v>
      </c>
      <c r="U1036" s="346"/>
      <c r="V1036" s="294">
        <f t="shared" si="650"/>
        <v>222669</v>
      </c>
      <c r="W1036" s="346"/>
      <c r="X1036" s="294">
        <f t="shared" si="651"/>
        <v>235566</v>
      </c>
      <c r="Y1036" s="346"/>
      <c r="Z1036" s="294">
        <f t="shared" si="652"/>
        <v>820558</v>
      </c>
    </row>
    <row r="1037" spans="2:29">
      <c r="B1037" s="317" t="s">
        <v>1094</v>
      </c>
      <c r="D1037" s="293">
        <f>'[7]BD-Redesign'!E11</f>
        <v>5446462</v>
      </c>
      <c r="E1037" s="293">
        <f>E1054-SUM(E1038:E1040,E1049:E1053)</f>
        <v>12818633.099411577</v>
      </c>
      <c r="F1037" s="339"/>
      <c r="G1037" s="376"/>
      <c r="H1037" s="343"/>
      <c r="K1037" s="339"/>
      <c r="L1037" s="376">
        <f t="shared" si="645"/>
        <v>0</v>
      </c>
      <c r="M1037" s="343" t="s">
        <v>1062</v>
      </c>
      <c r="N1037" s="376">
        <f t="shared" si="647"/>
        <v>0</v>
      </c>
      <c r="O1037" s="343" t="s">
        <v>1062</v>
      </c>
      <c r="P1037" s="376">
        <f t="shared" si="648"/>
        <v>6</v>
      </c>
      <c r="Q1037" s="343" t="s">
        <v>1062</v>
      </c>
      <c r="R1037" s="376">
        <f t="shared" si="646"/>
        <v>6</v>
      </c>
      <c r="S1037" s="343" t="s">
        <v>1062</v>
      </c>
      <c r="T1037" s="294">
        <f t="shared" si="649"/>
        <v>0</v>
      </c>
      <c r="U1037" s="346"/>
      <c r="V1037" s="294">
        <f t="shared" si="650"/>
        <v>0</v>
      </c>
      <c r="W1037" s="346"/>
      <c r="X1037" s="294">
        <f t="shared" si="651"/>
        <v>769118</v>
      </c>
      <c r="Y1037" s="346"/>
      <c r="Z1037" s="294">
        <f t="shared" si="652"/>
        <v>769118</v>
      </c>
    </row>
    <row r="1038" spans="2:29">
      <c r="B1038" s="317" t="s">
        <v>1095</v>
      </c>
      <c r="D1038" s="293">
        <f>'[7]BD-Redesign'!E12</f>
        <v>4803575</v>
      </c>
      <c r="E1038" s="293">
        <f>ROUND(D1038/(D1037+D1038)*([7]Energy!S57*(1-1/[7]Energy!P57*(Blocking!E1049+Blocking!E1053))),0)</f>
        <v>11305553</v>
      </c>
      <c r="F1038" s="339"/>
      <c r="G1038" s="376"/>
      <c r="H1038" s="343"/>
      <c r="K1038" s="339"/>
      <c r="L1038" s="376">
        <f t="shared" si="645"/>
        <v>0</v>
      </c>
      <c r="M1038" s="343" t="s">
        <v>1062</v>
      </c>
      <c r="N1038" s="376">
        <f t="shared" si="647"/>
        <v>0</v>
      </c>
      <c r="O1038" s="343" t="s">
        <v>1062</v>
      </c>
      <c r="P1038" s="376">
        <f t="shared" si="648"/>
        <v>-2.3358000000000008</v>
      </c>
      <c r="Q1038" s="343" t="s">
        <v>1062</v>
      </c>
      <c r="R1038" s="376">
        <f t="shared" si="646"/>
        <v>-2.3358000000000008</v>
      </c>
      <c r="S1038" s="343" t="s">
        <v>1062</v>
      </c>
      <c r="T1038" s="294">
        <f t="shared" si="649"/>
        <v>0</v>
      </c>
      <c r="U1038" s="346"/>
      <c r="V1038" s="294">
        <f t="shared" si="650"/>
        <v>0</v>
      </c>
      <c r="W1038" s="346"/>
      <c r="X1038" s="294">
        <f t="shared" si="651"/>
        <v>-264075</v>
      </c>
      <c r="Y1038" s="346"/>
      <c r="Z1038" s="294">
        <f t="shared" si="652"/>
        <v>-264075</v>
      </c>
    </row>
    <row r="1039" spans="2:29">
      <c r="B1039" s="317" t="s">
        <v>1096</v>
      </c>
      <c r="D1039" s="293">
        <f>'[7]BD-Redesign'!E13</f>
        <v>8833500.5</v>
      </c>
      <c r="E1039" s="293">
        <f>ROUND(D1039/(D1039+D1040)*([7]Energy!T57*(1-1/[7]Energy!P57*(Blocking!E1049+Blocking!E1053))),0)</f>
        <v>19688523</v>
      </c>
      <c r="F1039" s="339"/>
      <c r="G1039" s="376"/>
      <c r="H1039" s="343"/>
      <c r="K1039" s="339"/>
      <c r="L1039" s="376">
        <f t="shared" si="645"/>
        <v>0</v>
      </c>
      <c r="M1039" s="343" t="s">
        <v>1062</v>
      </c>
      <c r="N1039" s="376">
        <f t="shared" si="647"/>
        <v>0</v>
      </c>
      <c r="O1039" s="343" t="s">
        <v>1062</v>
      </c>
      <c r="P1039" s="376">
        <f t="shared" si="648"/>
        <v>5.3097000000000003</v>
      </c>
      <c r="Q1039" s="343" t="s">
        <v>1062</v>
      </c>
      <c r="R1039" s="376">
        <f t="shared" si="646"/>
        <v>5.3097000000000003</v>
      </c>
      <c r="S1039" s="343" t="s">
        <v>1062</v>
      </c>
      <c r="T1039" s="294">
        <f t="shared" si="649"/>
        <v>0</v>
      </c>
      <c r="U1039" s="346"/>
      <c r="V1039" s="294">
        <f t="shared" si="650"/>
        <v>0</v>
      </c>
      <c r="W1039" s="346"/>
      <c r="X1039" s="294">
        <f t="shared" si="651"/>
        <v>1045402</v>
      </c>
      <c r="Y1039" s="346"/>
      <c r="Z1039" s="294">
        <f t="shared" si="652"/>
        <v>1045402</v>
      </c>
    </row>
    <row r="1040" spans="2:29">
      <c r="B1040" s="317" t="s">
        <v>1097</v>
      </c>
      <c r="D1040" s="293">
        <f>'[7]BD-Redesign'!E14</f>
        <v>5484265.5</v>
      </c>
      <c r="E1040" s="293">
        <f>ROUND(D1040/(D1039+D1040)*([7]Energy!T57*(1-1/[7]Energy!P57*(Blocking!E1049+Blocking!E1053))),0)</f>
        <v>12223590</v>
      </c>
      <c r="F1040" s="339"/>
      <c r="G1040" s="376"/>
      <c r="H1040" s="343"/>
      <c r="K1040" s="339"/>
      <c r="L1040" s="376">
        <f t="shared" si="645"/>
        <v>0</v>
      </c>
      <c r="M1040" s="343" t="s">
        <v>1062</v>
      </c>
      <c r="N1040" s="376">
        <f t="shared" si="647"/>
        <v>0</v>
      </c>
      <c r="O1040" s="343" t="s">
        <v>1062</v>
      </c>
      <c r="P1040" s="376">
        <f t="shared" si="648"/>
        <v>-2.0670999999999999</v>
      </c>
      <c r="Q1040" s="343" t="s">
        <v>1062</v>
      </c>
      <c r="R1040" s="376">
        <f t="shared" si="646"/>
        <v>-2.0670999999999999</v>
      </c>
      <c r="S1040" s="343" t="s">
        <v>1062</v>
      </c>
      <c r="T1040" s="294">
        <f t="shared" si="649"/>
        <v>0</v>
      </c>
      <c r="U1040" s="346"/>
      <c r="V1040" s="294">
        <f t="shared" si="650"/>
        <v>0</v>
      </c>
      <c r="W1040" s="346"/>
      <c r="X1040" s="294">
        <f t="shared" si="651"/>
        <v>-252674</v>
      </c>
      <c r="Y1040" s="346"/>
      <c r="Z1040" s="294">
        <f t="shared" si="652"/>
        <v>-252674</v>
      </c>
    </row>
    <row r="1041" spans="1:29">
      <c r="B1041" s="317" t="s">
        <v>1089</v>
      </c>
      <c r="D1041" s="293">
        <f>'[7]6A'!H17</f>
        <v>3104.0666666666698</v>
      </c>
      <c r="E1041" s="293">
        <f>[7]Bill!P57</f>
        <v>3156</v>
      </c>
      <c r="G1041" s="339">
        <v>54</v>
      </c>
      <c r="H1041" s="339"/>
      <c r="I1041" s="294">
        <f t="shared" ref="I1041:J1044" si="653">ROUND($G1041*D1041,0)</f>
        <v>167620</v>
      </c>
      <c r="J1041" s="294">
        <f t="shared" si="653"/>
        <v>170424</v>
      </c>
      <c r="L1041" s="339">
        <f t="shared" si="645"/>
        <v>55</v>
      </c>
      <c r="M1041" s="339"/>
      <c r="N1041" s="339">
        <f t="shared" si="647"/>
        <v>0</v>
      </c>
      <c r="O1041" s="339"/>
      <c r="P1041" s="339">
        <f t="shared" si="648"/>
        <v>0</v>
      </c>
      <c r="Q1041" s="339"/>
      <c r="R1041" s="339">
        <f t="shared" si="646"/>
        <v>55</v>
      </c>
      <c r="S1041" s="339"/>
      <c r="T1041" s="294">
        <f>ROUND($E1041*L1041,0)</f>
        <v>173580</v>
      </c>
      <c r="U1041" s="319"/>
      <c r="V1041" s="294">
        <f>ROUND($E1041*N1041,0)</f>
        <v>0</v>
      </c>
      <c r="W1041" s="319"/>
      <c r="X1041" s="294">
        <f>ROUND($E1041*P1041,0)</f>
        <v>0</v>
      </c>
      <c r="Z1041" s="294">
        <f>ROUND($E1041*R1041,0)</f>
        <v>173580</v>
      </c>
    </row>
    <row r="1042" spans="1:29">
      <c r="B1042" s="317" t="s">
        <v>1122</v>
      </c>
      <c r="D1042" s="293">
        <f>'[7]6A'!J17</f>
        <v>171238.95092024549</v>
      </c>
      <c r="E1042" s="293">
        <f>ROUND(D1042/D1054*E1054,0)</f>
        <v>198506</v>
      </c>
      <c r="G1042" s="339">
        <v>6.52</v>
      </c>
      <c r="H1042" s="339"/>
      <c r="I1042" s="294">
        <f t="shared" si="653"/>
        <v>1116478</v>
      </c>
      <c r="J1042" s="294">
        <f t="shared" si="653"/>
        <v>1294259</v>
      </c>
      <c r="L1042" s="339"/>
      <c r="M1042" s="339"/>
      <c r="N1042" s="339"/>
      <c r="O1042" s="339"/>
      <c r="P1042" s="339"/>
      <c r="Q1042" s="339"/>
      <c r="R1042" s="339"/>
      <c r="S1042" s="339"/>
    </row>
    <row r="1043" spans="1:29">
      <c r="B1043" s="317" t="s">
        <v>1123</v>
      </c>
      <c r="D1043" s="293">
        <f>'[7]6A'!K17</f>
        <v>202939.45521023759</v>
      </c>
      <c r="E1043" s="293">
        <f>ROUND(D1043/D1054*E1054,0)</f>
        <v>235254</v>
      </c>
      <c r="G1043" s="339">
        <v>5.47</v>
      </c>
      <c r="H1043" s="339"/>
      <c r="I1043" s="294">
        <f t="shared" si="653"/>
        <v>1110079</v>
      </c>
      <c r="J1043" s="294">
        <f t="shared" si="653"/>
        <v>1286839</v>
      </c>
      <c r="L1043" s="339"/>
      <c r="M1043" s="339"/>
      <c r="N1043" s="339"/>
      <c r="O1043" s="339"/>
      <c r="P1043" s="339"/>
      <c r="Q1043" s="339"/>
      <c r="R1043" s="339"/>
      <c r="S1043" s="339"/>
    </row>
    <row r="1044" spans="1:29">
      <c r="B1044" s="317" t="s">
        <v>1098</v>
      </c>
      <c r="D1044" s="293">
        <f>'[7]6A'!L17</f>
        <v>9945</v>
      </c>
      <c r="E1044" s="293">
        <f>ROUND(D1044/D1054*E1054,0)</f>
        <v>11529</v>
      </c>
      <c r="F1044" s="339"/>
      <c r="G1044" s="339">
        <v>-0.61</v>
      </c>
      <c r="H1044" s="339"/>
      <c r="I1044" s="294">
        <f t="shared" si="653"/>
        <v>-6066</v>
      </c>
      <c r="J1044" s="294">
        <f t="shared" si="653"/>
        <v>-7033</v>
      </c>
      <c r="K1044" s="339"/>
      <c r="L1044" s="339">
        <f t="shared" ref="L1044" si="654">L972</f>
        <v>-0.61</v>
      </c>
      <c r="M1044" s="339"/>
      <c r="N1044" s="339">
        <f t="shared" ref="N1044" si="655">N972</f>
        <v>0</v>
      </c>
      <c r="O1044" s="339"/>
      <c r="P1044" s="339">
        <f t="shared" ref="P1044" si="656">P972</f>
        <v>0</v>
      </c>
      <c r="Q1044" s="339"/>
      <c r="R1044" s="339">
        <f t="shared" ref="R1044" si="657">R972</f>
        <v>-0.61</v>
      </c>
      <c r="S1044" s="339"/>
      <c r="T1044" s="294">
        <f>ROUND($E1044*L1044,0)</f>
        <v>-7033</v>
      </c>
      <c r="V1044" s="294">
        <f>ROUND($E1044*N1044,0)</f>
        <v>0</v>
      </c>
      <c r="X1044" s="294">
        <f>ROUND($E1044*P1044,0)</f>
        <v>0</v>
      </c>
      <c r="Z1044" s="294">
        <f>ROUND($E1044*R1044,0)</f>
        <v>-7033</v>
      </c>
    </row>
    <row r="1045" spans="1:29">
      <c r="B1045" s="317" t="s">
        <v>1070</v>
      </c>
      <c r="D1045" s="293">
        <f>'[7]6A'!N17+'[7]6A'!U17</f>
        <v>13406324</v>
      </c>
      <c r="E1045" s="293">
        <f>E1054-SUM(E1046:E1053)</f>
        <v>15391869.099411577</v>
      </c>
      <c r="F1045" s="339"/>
      <c r="G1045" s="376">
        <v>11.926600000000001</v>
      </c>
      <c r="H1045" s="343" t="s">
        <v>1062</v>
      </c>
      <c r="I1045" s="294">
        <f t="shared" ref="I1045:J1049" si="658">ROUND($G1045*D1045/100,0)</f>
        <v>1598919</v>
      </c>
      <c r="J1045" s="294">
        <f t="shared" si="658"/>
        <v>1835727</v>
      </c>
      <c r="K1045" s="339"/>
      <c r="L1045" s="376"/>
      <c r="M1045" s="343"/>
      <c r="N1045" s="376"/>
      <c r="O1045" s="343"/>
      <c r="P1045" s="376"/>
      <c r="Q1045" s="343"/>
      <c r="R1045" s="376"/>
      <c r="S1045" s="343"/>
      <c r="U1045" s="346"/>
      <c r="W1045" s="346"/>
      <c r="Y1045" s="346"/>
    </row>
    <row r="1046" spans="1:29">
      <c r="B1046" s="317" t="s">
        <v>1071</v>
      </c>
      <c r="D1046" s="293">
        <f>'[7]6A'!O17+'[7]6A'!V17</f>
        <v>11246892</v>
      </c>
      <c r="E1046" s="293">
        <f>ROUND(D1046/(D1045+D1046)*([7]Energy!Q57*(1-1/[7]Energy!P57*(Blocking!E1049+Blocking!E1053))),0)</f>
        <v>12912615</v>
      </c>
      <c r="F1046" s="339"/>
      <c r="G1046" s="376">
        <v>3.5908000000000002</v>
      </c>
      <c r="H1046" s="343" t="s">
        <v>1062</v>
      </c>
      <c r="I1046" s="294">
        <f t="shared" si="658"/>
        <v>403853</v>
      </c>
      <c r="J1046" s="294">
        <f t="shared" si="658"/>
        <v>463666</v>
      </c>
      <c r="K1046" s="339"/>
      <c r="L1046" s="376"/>
      <c r="M1046" s="343"/>
      <c r="N1046" s="376"/>
      <c r="O1046" s="343"/>
      <c r="P1046" s="376"/>
      <c r="Q1046" s="343"/>
      <c r="R1046" s="376"/>
      <c r="S1046" s="343"/>
      <c r="U1046" s="346"/>
      <c r="W1046" s="346"/>
      <c r="Y1046" s="346"/>
    </row>
    <row r="1047" spans="1:29">
      <c r="B1047" s="317" t="s">
        <v>1126</v>
      </c>
      <c r="D1047" s="293">
        <f>'[7]6A'!P17+'[7]6A'!W17</f>
        <v>15153601</v>
      </c>
      <c r="E1047" s="293">
        <f>ROUND(D1047/(D1047+D1048)*([7]Energy!R57*(1-1/[7]Energy!P57*(Blocking!E1049+Blocking!E1053))),0)</f>
        <v>17164863</v>
      </c>
      <c r="F1047" s="339"/>
      <c r="G1047" s="376">
        <v>9.9693000000000005</v>
      </c>
      <c r="H1047" s="343" t="s">
        <v>1062</v>
      </c>
      <c r="I1047" s="294">
        <f t="shared" si="658"/>
        <v>1510708</v>
      </c>
      <c r="J1047" s="294">
        <f t="shared" si="658"/>
        <v>1711217</v>
      </c>
      <c r="K1047" s="339"/>
      <c r="L1047" s="376"/>
      <c r="M1047" s="343"/>
      <c r="N1047" s="376"/>
      <c r="O1047" s="343"/>
      <c r="P1047" s="376"/>
      <c r="Q1047" s="343"/>
      <c r="R1047" s="376"/>
      <c r="S1047" s="343"/>
      <c r="U1047" s="346"/>
      <c r="W1047" s="346"/>
      <c r="Y1047" s="346"/>
    </row>
    <row r="1048" spans="1:29">
      <c r="B1048" s="317" t="s">
        <v>1127</v>
      </c>
      <c r="D1048" s="293">
        <f>'[7]6A'!Q17+'[7]6A'!X17</f>
        <v>9328789</v>
      </c>
      <c r="E1048" s="293">
        <f>ROUND(D1048/(D1047+D1048)*([7]Energy!R57*(1-1/[7]Energy!P57*(Blocking!E1049+Blocking!E1053))),0)</f>
        <v>10566952</v>
      </c>
      <c r="F1048" s="339"/>
      <c r="G1048" s="376">
        <v>3.0059999999999998</v>
      </c>
      <c r="H1048" s="343" t="s">
        <v>1062</v>
      </c>
      <c r="I1048" s="294">
        <f t="shared" si="658"/>
        <v>280423</v>
      </c>
      <c r="J1048" s="294">
        <f t="shared" si="658"/>
        <v>317643</v>
      </c>
      <c r="K1048" s="339"/>
      <c r="L1048" s="376"/>
      <c r="M1048" s="343"/>
      <c r="N1048" s="376"/>
      <c r="O1048" s="343"/>
      <c r="P1048" s="376"/>
      <c r="Q1048" s="343"/>
      <c r="R1048" s="376"/>
      <c r="S1048" s="343"/>
      <c r="U1048" s="346"/>
      <c r="W1048" s="346"/>
      <c r="Y1048" s="346"/>
    </row>
    <row r="1049" spans="1:29">
      <c r="B1049" s="353" t="s">
        <v>1077</v>
      </c>
      <c r="D1049" s="293">
        <f>'[7]6A'!S17</f>
        <v>6757400</v>
      </c>
      <c r="E1049" s="293">
        <f>ROUND(D1049/(D1054-D1050)*E1054,0)</f>
        <v>7706421</v>
      </c>
      <c r="G1049" s="377">
        <v>7.125</v>
      </c>
      <c r="H1049" s="343" t="s">
        <v>1062</v>
      </c>
      <c r="I1049" s="294">
        <f t="shared" si="658"/>
        <v>481465</v>
      </c>
      <c r="J1049" s="294">
        <f t="shared" si="658"/>
        <v>549082</v>
      </c>
      <c r="L1049" s="377">
        <f t="shared" ref="L1049" si="659">L977</f>
        <v>0</v>
      </c>
      <c r="M1049" s="343" t="s">
        <v>1062</v>
      </c>
      <c r="N1049" s="377">
        <f t="shared" ref="N1049" si="660">N977</f>
        <v>7.125</v>
      </c>
      <c r="O1049" s="343" t="s">
        <v>1062</v>
      </c>
      <c r="P1049" s="377">
        <f t="shared" ref="P1049" si="661">P977</f>
        <v>0</v>
      </c>
      <c r="Q1049" s="343" t="s">
        <v>1062</v>
      </c>
      <c r="R1049" s="377">
        <f t="shared" ref="R1049" si="662">R977</f>
        <v>7.125</v>
      </c>
      <c r="S1049" s="343" t="s">
        <v>1062</v>
      </c>
      <c r="T1049" s="294">
        <f t="shared" ref="T1049" si="663">ROUND($E1049*L1049/100,0)</f>
        <v>0</v>
      </c>
      <c r="U1049" s="346"/>
      <c r="V1049" s="294">
        <f t="shared" ref="V1049" si="664">ROUND($E1049*N1049/100,0)</f>
        <v>549082</v>
      </c>
      <c r="W1049" s="346"/>
      <c r="X1049" s="294">
        <f t="shared" ref="X1049" si="665">ROUND($E1049*P1049/100,0)</f>
        <v>0</v>
      </c>
      <c r="Y1049" s="346"/>
      <c r="Z1049" s="294">
        <f t="shared" ref="Z1049" si="666">ROUND($E1049*R1049/100,0)</f>
        <v>549082</v>
      </c>
    </row>
    <row r="1050" spans="1:29">
      <c r="B1050" s="317" t="s">
        <v>1078</v>
      </c>
      <c r="D1050" s="357">
        <f>'[7]Table 2'!J86</f>
        <v>-896706</v>
      </c>
      <c r="E1050" s="357">
        <v>0</v>
      </c>
      <c r="I1050" s="358">
        <f>'[7]Table 3'!F86</f>
        <v>-98024</v>
      </c>
      <c r="J1050" s="358">
        <v>0</v>
      </c>
      <c r="Z1050" s="358"/>
    </row>
    <row r="1051" spans="1:29">
      <c r="B1051" s="317" t="s">
        <v>1079</v>
      </c>
      <c r="G1051" s="338">
        <v>-4.99E-2</v>
      </c>
      <c r="H1051" s="339"/>
      <c r="I1051" s="294">
        <f>SUM(I1045:I1049)*$G1051</f>
        <v>-213340.86319999999</v>
      </c>
      <c r="J1051" s="294">
        <f>SUM(J1045:J1049)*$G1051</f>
        <v>-243379.0165</v>
      </c>
      <c r="L1051" s="338"/>
      <c r="M1051" s="339"/>
      <c r="N1051" s="338"/>
      <c r="O1051" s="339"/>
      <c r="P1051" s="359" t="str">
        <f>$P$43</f>
        <v>Tax Year 1</v>
      </c>
      <c r="Q1051" s="339"/>
      <c r="R1051" s="338">
        <f>$R$979</f>
        <v>-2.7099999999999999E-2</v>
      </c>
      <c r="S1051" s="339"/>
      <c r="Z1051" s="294">
        <f>R1051*SUM(Z1033:Z1036,Z1049)</f>
        <v>-167575.6955</v>
      </c>
    </row>
    <row r="1052" spans="1:29">
      <c r="B1052" s="317"/>
      <c r="G1052" s="338"/>
      <c r="H1052" s="339"/>
      <c r="L1052" s="338"/>
      <c r="M1052" s="339"/>
      <c r="N1052" s="338"/>
      <c r="O1052" s="339"/>
      <c r="P1052" s="359" t="str">
        <f>$P$44</f>
        <v>Tax Year 2</v>
      </c>
      <c r="Q1052" s="339"/>
      <c r="R1052" s="338">
        <f>$R$980</f>
        <v>-1.3599999999999999E-2</v>
      </c>
      <c r="S1052" s="339"/>
      <c r="Z1052" s="294">
        <f>R1052*SUM(Z1033:Z1036,Z1049)</f>
        <v>-84097.027999999991</v>
      </c>
    </row>
    <row r="1053" spans="1:29">
      <c r="B1053" s="353" t="s">
        <v>1082</v>
      </c>
      <c r="D1053" s="293">
        <f>'[7]6A'!AE17</f>
        <v>-576168</v>
      </c>
      <c r="E1053" s="293">
        <f>ROUND(D1053/(D1054-D1050)*E1054,0)</f>
        <v>-657086</v>
      </c>
      <c r="G1053" s="338"/>
      <c r="H1053" s="339"/>
      <c r="L1053" s="338"/>
      <c r="M1053" s="339"/>
      <c r="N1053" s="338"/>
      <c r="O1053" s="339"/>
      <c r="P1053" s="338"/>
      <c r="Q1053" s="339"/>
      <c r="R1053" s="338"/>
      <c r="S1053" s="339"/>
    </row>
    <row r="1054" spans="1:29" ht="16.5" thickBot="1">
      <c r="B1054" s="317" t="s">
        <v>937</v>
      </c>
      <c r="D1054" s="381">
        <f>SUM(D1045:D1053)</f>
        <v>54420132</v>
      </c>
      <c r="E1054" s="381">
        <f>[7]Energy!P57</f>
        <v>63085634.099411577</v>
      </c>
      <c r="F1054" s="339"/>
      <c r="G1054" s="368"/>
      <c r="I1054" s="369">
        <f>SUM(I1041:I1051)</f>
        <v>6352114.1368000004</v>
      </c>
      <c r="J1054" s="369">
        <f>SUM(J1041:J1051)</f>
        <v>7378444.9835000001</v>
      </c>
      <c r="K1054" s="339"/>
      <c r="L1054" s="368"/>
      <c r="N1054" s="368"/>
      <c r="P1054" s="368"/>
      <c r="R1054" s="368"/>
      <c r="T1054" s="369">
        <f>SUM(T1033:T1050)</f>
        <v>1167804</v>
      </c>
      <c r="V1054" s="369">
        <f>SUM(V1033:V1050)</f>
        <v>4494947</v>
      </c>
      <c r="X1054" s="369">
        <f>SUM(X1033:X1050)</f>
        <v>1985172</v>
      </c>
      <c r="Z1054" s="369">
        <f>SUM(Z1033:Z1050)</f>
        <v>7647923</v>
      </c>
      <c r="AB1054" s="305" t="s">
        <v>939</v>
      </c>
      <c r="AC1054" s="304">
        <f>Z1054/J1054-1</f>
        <v>3.6522331887358206E-2</v>
      </c>
    </row>
    <row r="1056" spans="1:29">
      <c r="A1056" s="292">
        <v>1</v>
      </c>
      <c r="B1056" s="314" t="s">
        <v>977</v>
      </c>
      <c r="G1056" s="377"/>
      <c r="H1056" s="377"/>
      <c r="L1056" s="377"/>
      <c r="M1056" s="377"/>
      <c r="N1056" s="377"/>
      <c r="O1056" s="377"/>
      <c r="P1056" s="377"/>
      <c r="Q1056" s="377"/>
      <c r="R1056" s="377"/>
      <c r="S1056" s="377"/>
    </row>
    <row r="1057" spans="2:26">
      <c r="B1057" s="317" t="s">
        <v>1090</v>
      </c>
      <c r="D1057" s="293">
        <f t="shared" ref="D1057:E1072" si="667">D1079+D1101+D1123</f>
        <v>519342.45261118939</v>
      </c>
      <c r="E1057" s="293">
        <f t="shared" si="667"/>
        <v>1790597.1011697315</v>
      </c>
      <c r="F1057" s="339"/>
      <c r="G1057" s="376"/>
      <c r="H1057" s="343"/>
      <c r="K1057" s="339"/>
      <c r="L1057" s="376">
        <f>L961</f>
        <v>1.7867999999999999</v>
      </c>
      <c r="M1057" s="343" t="s">
        <v>1062</v>
      </c>
      <c r="N1057" s="376">
        <f>N961</f>
        <v>19.766631654000651</v>
      </c>
      <c r="O1057" s="343" t="s">
        <v>1062</v>
      </c>
      <c r="P1057" s="376">
        <f>P961</f>
        <v>1.3127</v>
      </c>
      <c r="Q1057" s="343" t="s">
        <v>1062</v>
      </c>
      <c r="R1057" s="376">
        <f t="shared" ref="R1057:R1065" si="668">R961</f>
        <v>22.86613165400065</v>
      </c>
      <c r="S1057" s="343" t="s">
        <v>1062</v>
      </c>
      <c r="T1057" s="294">
        <f>ROUND($E1057*L1057/100,0)</f>
        <v>31994</v>
      </c>
      <c r="U1057" s="346"/>
      <c r="V1057" s="294">
        <f>ROUND($E1057*N1057/100,0)</f>
        <v>353941</v>
      </c>
      <c r="W1057" s="346"/>
      <c r="X1057" s="294">
        <f>ROUND($E1057*P1057/100,0)</f>
        <v>23505</v>
      </c>
      <c r="Y1057" s="346"/>
      <c r="Z1057" s="294">
        <f>ROUND($E1057*R1057/100,0)</f>
        <v>409440</v>
      </c>
    </row>
    <row r="1058" spans="2:26">
      <c r="B1058" s="317" t="s">
        <v>1091</v>
      </c>
      <c r="D1058" s="293">
        <f t="shared" si="667"/>
        <v>1065674.9503393981</v>
      </c>
      <c r="E1058" s="293">
        <f t="shared" si="667"/>
        <v>3521773</v>
      </c>
      <c r="F1058" s="339"/>
      <c r="G1058" s="376"/>
      <c r="H1058" s="343"/>
      <c r="K1058" s="339"/>
      <c r="L1058" s="376">
        <f t="shared" ref="L1058:L1065" si="669">L962</f>
        <v>1.7867999999999999</v>
      </c>
      <c r="M1058" s="343" t="s">
        <v>1062</v>
      </c>
      <c r="N1058" s="376">
        <f t="shared" ref="N1058:N1065" si="670">N962</f>
        <v>1.4732003384230001</v>
      </c>
      <c r="O1058" s="343" t="s">
        <v>1062</v>
      </c>
      <c r="P1058" s="376">
        <f t="shared" ref="P1058:P1065" si="671">P962</f>
        <v>1.3127</v>
      </c>
      <c r="Q1058" s="343" t="s">
        <v>1062</v>
      </c>
      <c r="R1058" s="376">
        <f t="shared" si="668"/>
        <v>4.5727003384230001</v>
      </c>
      <c r="S1058" s="343" t="s">
        <v>1062</v>
      </c>
      <c r="T1058" s="294">
        <f t="shared" ref="T1058:T1064" si="672">ROUND($E1058*L1058/100,0)</f>
        <v>62927</v>
      </c>
      <c r="U1058" s="346"/>
      <c r="V1058" s="294">
        <f t="shared" ref="V1058:V1064" si="673">ROUND($E1058*N1058/100,0)</f>
        <v>51883</v>
      </c>
      <c r="W1058" s="346"/>
      <c r="X1058" s="294">
        <f t="shared" ref="X1058:X1064" si="674">ROUND($E1058*P1058/100,0)</f>
        <v>46230</v>
      </c>
      <c r="Y1058" s="346"/>
      <c r="Z1058" s="294">
        <f t="shared" ref="Z1058:Z1064" si="675">ROUND($E1058*R1058/100,0)</f>
        <v>161040</v>
      </c>
    </row>
    <row r="1059" spans="2:26">
      <c r="B1059" s="317" t="s">
        <v>1092</v>
      </c>
      <c r="D1059" s="293">
        <f t="shared" si="667"/>
        <v>1569625.3669775294</v>
      </c>
      <c r="E1059" s="293">
        <f t="shared" si="667"/>
        <v>5330608</v>
      </c>
      <c r="F1059" s="339"/>
      <c r="G1059" s="376"/>
      <c r="H1059" s="343"/>
      <c r="K1059" s="339"/>
      <c r="L1059" s="376">
        <f t="shared" si="669"/>
        <v>1.7867999999999999</v>
      </c>
      <c r="M1059" s="343" t="s">
        <v>1062</v>
      </c>
      <c r="N1059" s="376">
        <f t="shared" si="670"/>
        <v>17.286999999999999</v>
      </c>
      <c r="O1059" s="343" t="s">
        <v>1062</v>
      </c>
      <c r="P1059" s="376">
        <f t="shared" si="671"/>
        <v>1.1617</v>
      </c>
      <c r="Q1059" s="343" t="s">
        <v>1062</v>
      </c>
      <c r="R1059" s="376">
        <f t="shared" si="668"/>
        <v>20.235499999999998</v>
      </c>
      <c r="S1059" s="343" t="s">
        <v>1062</v>
      </c>
      <c r="T1059" s="294">
        <f t="shared" si="672"/>
        <v>95247</v>
      </c>
      <c r="U1059" s="346"/>
      <c r="V1059" s="294">
        <f t="shared" si="673"/>
        <v>921502</v>
      </c>
      <c r="W1059" s="346"/>
      <c r="X1059" s="294">
        <f t="shared" si="674"/>
        <v>61926</v>
      </c>
      <c r="Y1059" s="346"/>
      <c r="Z1059" s="294">
        <f t="shared" si="675"/>
        <v>1078675</v>
      </c>
    </row>
    <row r="1060" spans="2:26">
      <c r="B1060" s="317" t="s">
        <v>1093</v>
      </c>
      <c r="D1060" s="293">
        <f t="shared" si="667"/>
        <v>4146826.5803954229</v>
      </c>
      <c r="E1060" s="293">
        <f t="shared" si="667"/>
        <v>12790668</v>
      </c>
      <c r="F1060" s="339"/>
      <c r="G1060" s="376"/>
      <c r="H1060" s="343"/>
      <c r="K1060" s="339"/>
      <c r="L1060" s="376">
        <f t="shared" si="669"/>
        <v>1.7867999999999999</v>
      </c>
      <c r="M1060" s="343" t="s">
        <v>1062</v>
      </c>
      <c r="N1060" s="376">
        <f t="shared" si="670"/>
        <v>1.0980999999999999</v>
      </c>
      <c r="O1060" s="343" t="s">
        <v>1062</v>
      </c>
      <c r="P1060" s="376">
        <f t="shared" si="671"/>
        <v>1.1617</v>
      </c>
      <c r="Q1060" s="343" t="s">
        <v>1062</v>
      </c>
      <c r="R1060" s="376">
        <f t="shared" si="668"/>
        <v>4.0465999999999998</v>
      </c>
      <c r="S1060" s="343" t="s">
        <v>1062</v>
      </c>
      <c r="T1060" s="294">
        <f t="shared" si="672"/>
        <v>228544</v>
      </c>
      <c r="U1060" s="346"/>
      <c r="V1060" s="294">
        <f t="shared" si="673"/>
        <v>140454</v>
      </c>
      <c r="W1060" s="346"/>
      <c r="X1060" s="294">
        <f t="shared" si="674"/>
        <v>148589</v>
      </c>
      <c r="Y1060" s="346"/>
      <c r="Z1060" s="294">
        <f t="shared" si="675"/>
        <v>517587</v>
      </c>
    </row>
    <row r="1061" spans="2:26">
      <c r="B1061" s="317" t="s">
        <v>1094</v>
      </c>
      <c r="D1061" s="293">
        <f t="shared" si="667"/>
        <v>935529.56781097292</v>
      </c>
      <c r="E1061" s="293">
        <f t="shared" si="667"/>
        <v>3345042.1011697315</v>
      </c>
      <c r="F1061" s="339"/>
      <c r="G1061" s="376"/>
      <c r="H1061" s="343"/>
      <c r="K1061" s="339"/>
      <c r="L1061" s="376">
        <f t="shared" si="669"/>
        <v>0</v>
      </c>
      <c r="M1061" s="343" t="s">
        <v>1062</v>
      </c>
      <c r="N1061" s="376">
        <f t="shared" si="670"/>
        <v>0</v>
      </c>
      <c r="O1061" s="343" t="s">
        <v>1062</v>
      </c>
      <c r="P1061" s="376">
        <f t="shared" si="671"/>
        <v>6</v>
      </c>
      <c r="Q1061" s="343" t="s">
        <v>1062</v>
      </c>
      <c r="R1061" s="376">
        <f t="shared" si="668"/>
        <v>6</v>
      </c>
      <c r="S1061" s="343" t="s">
        <v>1062</v>
      </c>
      <c r="T1061" s="294">
        <f t="shared" si="672"/>
        <v>0</v>
      </c>
      <c r="U1061" s="346"/>
      <c r="V1061" s="294">
        <f t="shared" si="673"/>
        <v>0</v>
      </c>
      <c r="W1061" s="346"/>
      <c r="X1061" s="294">
        <f t="shared" si="674"/>
        <v>200703</v>
      </c>
      <c r="Y1061" s="346"/>
      <c r="Z1061" s="294">
        <f t="shared" si="675"/>
        <v>200703</v>
      </c>
    </row>
    <row r="1062" spans="2:26">
      <c r="B1062" s="317" t="s">
        <v>1095</v>
      </c>
      <c r="D1062" s="293">
        <f t="shared" si="667"/>
        <v>649487.83513961465</v>
      </c>
      <c r="E1062" s="293">
        <f t="shared" si="667"/>
        <v>1967328</v>
      </c>
      <c r="F1062" s="339"/>
      <c r="G1062" s="376"/>
      <c r="H1062" s="343"/>
      <c r="K1062" s="339"/>
      <c r="L1062" s="376">
        <f t="shared" si="669"/>
        <v>0</v>
      </c>
      <c r="M1062" s="343" t="s">
        <v>1062</v>
      </c>
      <c r="N1062" s="376">
        <f t="shared" si="670"/>
        <v>0</v>
      </c>
      <c r="O1062" s="343" t="s">
        <v>1062</v>
      </c>
      <c r="P1062" s="376">
        <f t="shared" si="671"/>
        <v>-2.3358000000000008</v>
      </c>
      <c r="Q1062" s="343" t="s">
        <v>1062</v>
      </c>
      <c r="R1062" s="376">
        <f t="shared" si="668"/>
        <v>-2.3358000000000008</v>
      </c>
      <c r="S1062" s="343" t="s">
        <v>1062</v>
      </c>
      <c r="T1062" s="294">
        <f t="shared" si="672"/>
        <v>0</v>
      </c>
      <c r="U1062" s="346"/>
      <c r="V1062" s="294">
        <f t="shared" si="673"/>
        <v>0</v>
      </c>
      <c r="W1062" s="346"/>
      <c r="X1062" s="294">
        <f t="shared" si="674"/>
        <v>-45953</v>
      </c>
      <c r="Y1062" s="346"/>
      <c r="Z1062" s="294">
        <f t="shared" si="675"/>
        <v>-45953</v>
      </c>
    </row>
    <row r="1063" spans="2:26">
      <c r="B1063" s="317" t="s">
        <v>1096</v>
      </c>
      <c r="D1063" s="293">
        <f t="shared" si="667"/>
        <v>3267750.5148829855</v>
      </c>
      <c r="E1063" s="293">
        <f t="shared" si="667"/>
        <v>10972800</v>
      </c>
      <c r="F1063" s="339"/>
      <c r="G1063" s="376"/>
      <c r="H1063" s="343"/>
      <c r="K1063" s="339"/>
      <c r="L1063" s="376">
        <f t="shared" si="669"/>
        <v>0</v>
      </c>
      <c r="M1063" s="343" t="s">
        <v>1062</v>
      </c>
      <c r="N1063" s="376">
        <f t="shared" si="670"/>
        <v>0</v>
      </c>
      <c r="O1063" s="343" t="s">
        <v>1062</v>
      </c>
      <c r="P1063" s="376">
        <f t="shared" si="671"/>
        <v>5.3097000000000003</v>
      </c>
      <c r="Q1063" s="343" t="s">
        <v>1062</v>
      </c>
      <c r="R1063" s="376">
        <f t="shared" si="668"/>
        <v>5.3097000000000003</v>
      </c>
      <c r="S1063" s="343" t="s">
        <v>1062</v>
      </c>
      <c r="T1063" s="294">
        <f t="shared" si="672"/>
        <v>0</v>
      </c>
      <c r="U1063" s="346"/>
      <c r="V1063" s="294">
        <f t="shared" si="673"/>
        <v>0</v>
      </c>
      <c r="W1063" s="346"/>
      <c r="X1063" s="294">
        <f t="shared" si="674"/>
        <v>582623</v>
      </c>
      <c r="Y1063" s="346"/>
      <c r="Z1063" s="294">
        <f t="shared" si="675"/>
        <v>582623</v>
      </c>
    </row>
    <row r="1064" spans="2:26">
      <c r="B1064" s="317" t="s">
        <v>1097</v>
      </c>
      <c r="D1064" s="293">
        <f t="shared" si="667"/>
        <v>2448701.432489967</v>
      </c>
      <c r="E1064" s="293">
        <f t="shared" si="667"/>
        <v>7148476</v>
      </c>
      <c r="F1064" s="339"/>
      <c r="G1064" s="376"/>
      <c r="H1064" s="343"/>
      <c r="K1064" s="339"/>
      <c r="L1064" s="376">
        <f t="shared" si="669"/>
        <v>0</v>
      </c>
      <c r="M1064" s="343" t="s">
        <v>1062</v>
      </c>
      <c r="N1064" s="376">
        <f t="shared" si="670"/>
        <v>0</v>
      </c>
      <c r="O1064" s="343" t="s">
        <v>1062</v>
      </c>
      <c r="P1064" s="376">
        <f t="shared" si="671"/>
        <v>-2.0670999999999999</v>
      </c>
      <c r="Q1064" s="343" t="s">
        <v>1062</v>
      </c>
      <c r="R1064" s="376">
        <f t="shared" si="668"/>
        <v>-2.0670999999999999</v>
      </c>
      <c r="S1064" s="343" t="s">
        <v>1062</v>
      </c>
      <c r="T1064" s="294">
        <f t="shared" si="672"/>
        <v>0</v>
      </c>
      <c r="U1064" s="346"/>
      <c r="V1064" s="294">
        <f t="shared" si="673"/>
        <v>0</v>
      </c>
      <c r="W1064" s="346"/>
      <c r="X1064" s="294">
        <f t="shared" si="674"/>
        <v>-147766</v>
      </c>
      <c r="Y1064" s="346"/>
      <c r="Z1064" s="294">
        <f t="shared" si="675"/>
        <v>-147766</v>
      </c>
    </row>
    <row r="1065" spans="2:26">
      <c r="B1065" s="317" t="s">
        <v>1089</v>
      </c>
      <c r="D1065" s="293">
        <f t="shared" si="667"/>
        <v>1245.7333333333333</v>
      </c>
      <c r="E1065" s="293">
        <f t="shared" si="667"/>
        <v>1797</v>
      </c>
      <c r="G1065" s="318">
        <v>54</v>
      </c>
      <c r="H1065" s="318"/>
      <c r="I1065" s="294">
        <f t="shared" ref="I1065:J1068" si="676">ROUND($G1065*D1065,0)</f>
        <v>67270</v>
      </c>
      <c r="J1065" s="294">
        <f t="shared" si="676"/>
        <v>97038</v>
      </c>
      <c r="L1065" s="318">
        <f t="shared" si="669"/>
        <v>55</v>
      </c>
      <c r="M1065" s="318"/>
      <c r="N1065" s="318">
        <f t="shared" si="670"/>
        <v>0</v>
      </c>
      <c r="O1065" s="318"/>
      <c r="P1065" s="318">
        <f t="shared" si="671"/>
        <v>0</v>
      </c>
      <c r="Q1065" s="318"/>
      <c r="R1065" s="318">
        <f t="shared" si="668"/>
        <v>55</v>
      </c>
      <c r="S1065" s="318"/>
      <c r="T1065" s="294">
        <f>ROUND($E1065*L1065,0)</f>
        <v>98835</v>
      </c>
      <c r="U1065" s="319"/>
      <c r="V1065" s="294">
        <f>ROUND($E1065*N1065,0)</f>
        <v>0</v>
      </c>
      <c r="W1065" s="319"/>
      <c r="X1065" s="294">
        <f>ROUND($E1065*P1065,0)</f>
        <v>0</v>
      </c>
      <c r="Y1065" s="319"/>
      <c r="Z1065" s="294">
        <f>ROUND($E1065*R1065,0)</f>
        <v>98835</v>
      </c>
    </row>
    <row r="1066" spans="2:26">
      <c r="B1066" s="317" t="s">
        <v>1122</v>
      </c>
      <c r="D1066" s="293">
        <f t="shared" si="667"/>
        <v>58468.518404907991</v>
      </c>
      <c r="E1066" s="293">
        <f t="shared" si="667"/>
        <v>93220</v>
      </c>
      <c r="F1066" s="339"/>
      <c r="G1066" s="318">
        <v>6.52</v>
      </c>
      <c r="H1066" s="318"/>
      <c r="I1066" s="294">
        <f t="shared" si="676"/>
        <v>381215</v>
      </c>
      <c r="J1066" s="294">
        <f t="shared" si="676"/>
        <v>607794</v>
      </c>
      <c r="K1066" s="339"/>
      <c r="L1066" s="318"/>
      <c r="M1066" s="318"/>
      <c r="N1066" s="318"/>
      <c r="O1066" s="318"/>
      <c r="P1066" s="318"/>
      <c r="Q1066" s="318"/>
      <c r="R1066" s="318"/>
      <c r="S1066" s="318"/>
      <c r="Y1066" s="319"/>
    </row>
    <row r="1067" spans="2:26">
      <c r="B1067" s="317" t="s">
        <v>1123</v>
      </c>
      <c r="D1067" s="293">
        <f t="shared" si="667"/>
        <v>83822.155393053035</v>
      </c>
      <c r="E1067" s="293">
        <f t="shared" si="667"/>
        <v>132834</v>
      </c>
      <c r="F1067" s="339"/>
      <c r="G1067" s="318">
        <v>5.47</v>
      </c>
      <c r="H1067" s="318"/>
      <c r="I1067" s="294">
        <f t="shared" si="676"/>
        <v>458507</v>
      </c>
      <c r="J1067" s="294">
        <f t="shared" si="676"/>
        <v>726602</v>
      </c>
      <c r="K1067" s="339"/>
      <c r="L1067" s="318"/>
      <c r="M1067" s="318"/>
      <c r="N1067" s="318"/>
      <c r="O1067" s="318"/>
      <c r="P1067" s="318"/>
      <c r="Q1067" s="318"/>
      <c r="R1067" s="318"/>
      <c r="S1067" s="318"/>
      <c r="Y1067" s="319"/>
    </row>
    <row r="1068" spans="2:26">
      <c r="B1068" s="317" t="s">
        <v>1098</v>
      </c>
      <c r="D1068" s="293">
        <f t="shared" si="667"/>
        <v>6358</v>
      </c>
      <c r="E1068" s="293">
        <f t="shared" si="667"/>
        <v>16106</v>
      </c>
      <c r="F1068" s="339"/>
      <c r="G1068" s="318">
        <v>-0.61</v>
      </c>
      <c r="H1068" s="318"/>
      <c r="I1068" s="294">
        <f t="shared" si="676"/>
        <v>-3878</v>
      </c>
      <c r="J1068" s="294">
        <f t="shared" si="676"/>
        <v>-9825</v>
      </c>
      <c r="K1068" s="339"/>
      <c r="L1068" s="318">
        <f t="shared" ref="L1068" si="677">L972</f>
        <v>-0.61</v>
      </c>
      <c r="M1068" s="318"/>
      <c r="N1068" s="318">
        <f t="shared" ref="N1068" si="678">N972</f>
        <v>0</v>
      </c>
      <c r="O1068" s="318"/>
      <c r="P1068" s="318">
        <f t="shared" ref="P1068" si="679">P972</f>
        <v>0</v>
      </c>
      <c r="Q1068" s="318"/>
      <c r="R1068" s="318">
        <f>R972</f>
        <v>-0.61</v>
      </c>
      <c r="S1068" s="318"/>
      <c r="T1068" s="294">
        <f>ROUND($E1068*L1068,0)</f>
        <v>-9825</v>
      </c>
      <c r="V1068" s="294">
        <f>ROUND($E1068*N1068,0)</f>
        <v>0</v>
      </c>
      <c r="X1068" s="294">
        <f>ROUND($E1068*P1068,0)</f>
        <v>0</v>
      </c>
      <c r="Y1068" s="319"/>
      <c r="Z1068" s="294">
        <f>ROUND($E1068*R1068,0)</f>
        <v>-9825</v>
      </c>
    </row>
    <row r="1069" spans="2:26">
      <c r="B1069" s="317" t="s">
        <v>1070</v>
      </c>
      <c r="D1069" s="293">
        <f t="shared" si="667"/>
        <v>2381003.0114695355</v>
      </c>
      <c r="E1069" s="293">
        <f t="shared" si="667"/>
        <v>4206143.1011697315</v>
      </c>
      <c r="F1069" s="339"/>
      <c r="G1069" s="342">
        <v>11.926600000000001</v>
      </c>
      <c r="H1069" s="343" t="s">
        <v>1062</v>
      </c>
      <c r="I1069" s="294">
        <f t="shared" ref="I1069:J1072" si="680">ROUND($G1069*D1069/100,0)</f>
        <v>283973</v>
      </c>
      <c r="J1069" s="294">
        <f t="shared" si="680"/>
        <v>501650</v>
      </c>
      <c r="K1069" s="339"/>
      <c r="L1069" s="342"/>
      <c r="M1069" s="343"/>
      <c r="N1069" s="342"/>
      <c r="O1069" s="343"/>
      <c r="P1069" s="342"/>
      <c r="Q1069" s="343"/>
      <c r="R1069" s="342"/>
      <c r="S1069" s="343"/>
      <c r="T1069" s="346"/>
      <c r="U1069" s="346"/>
      <c r="V1069" s="346"/>
      <c r="W1069" s="346"/>
      <c r="X1069" s="346"/>
      <c r="Y1069" s="346"/>
    </row>
    <row r="1070" spans="2:26">
      <c r="B1070" s="317" t="s">
        <v>1071</v>
      </c>
      <c r="D1070" s="293">
        <f t="shared" si="667"/>
        <v>1615823.0636627364</v>
      </c>
      <c r="E1070" s="293">
        <f t="shared" si="667"/>
        <v>2416795</v>
      </c>
      <c r="F1070" s="339"/>
      <c r="G1070" s="342">
        <v>3.5908000000000002</v>
      </c>
      <c r="H1070" s="343" t="s">
        <v>1062</v>
      </c>
      <c r="I1070" s="294">
        <f t="shared" si="680"/>
        <v>58021</v>
      </c>
      <c r="J1070" s="294">
        <f t="shared" si="680"/>
        <v>86782</v>
      </c>
      <c r="K1070" s="339"/>
      <c r="L1070" s="342"/>
      <c r="M1070" s="343"/>
      <c r="N1070" s="342"/>
      <c r="O1070" s="343"/>
      <c r="P1070" s="342"/>
      <c r="Q1070" s="343"/>
      <c r="R1070" s="342"/>
      <c r="S1070" s="343"/>
      <c r="T1070" s="346"/>
      <c r="U1070" s="346"/>
      <c r="V1070" s="346"/>
      <c r="W1070" s="346"/>
      <c r="X1070" s="346"/>
      <c r="Y1070" s="346"/>
    </row>
    <row r="1071" spans="2:26">
      <c r="B1071" s="317" t="s">
        <v>1126</v>
      </c>
      <c r="D1071" s="293">
        <f t="shared" si="667"/>
        <v>6019457.0712244231</v>
      </c>
      <c r="E1071" s="293">
        <f t="shared" si="667"/>
        <v>10109190</v>
      </c>
      <c r="F1071" s="339"/>
      <c r="G1071" s="342">
        <v>9.9693000000000005</v>
      </c>
      <c r="H1071" s="343" t="s">
        <v>1062</v>
      </c>
      <c r="I1071" s="294">
        <f t="shared" si="680"/>
        <v>600098</v>
      </c>
      <c r="J1071" s="294">
        <f t="shared" si="680"/>
        <v>1007815</v>
      </c>
      <c r="K1071" s="339"/>
      <c r="L1071" s="342"/>
      <c r="M1071" s="343"/>
      <c r="N1071" s="342"/>
      <c r="O1071" s="343"/>
      <c r="P1071" s="342"/>
      <c r="Q1071" s="343"/>
      <c r="R1071" s="342"/>
      <c r="S1071" s="343"/>
      <c r="T1071" s="346"/>
      <c r="U1071" s="346"/>
      <c r="V1071" s="346"/>
      <c r="W1071" s="346"/>
      <c r="X1071" s="346"/>
      <c r="Y1071" s="346"/>
    </row>
    <row r="1072" spans="2:26">
      <c r="B1072" s="317" t="s">
        <v>1127</v>
      </c>
      <c r="D1072" s="293">
        <f t="shared" si="667"/>
        <v>4575664.2039668448</v>
      </c>
      <c r="E1072" s="293">
        <f t="shared" si="667"/>
        <v>6701518</v>
      </c>
      <c r="F1072" s="339"/>
      <c r="G1072" s="342">
        <v>3.0059999999999998</v>
      </c>
      <c r="H1072" s="343" t="s">
        <v>1062</v>
      </c>
      <c r="I1072" s="294">
        <f t="shared" si="680"/>
        <v>137544</v>
      </c>
      <c r="J1072" s="294">
        <f t="shared" si="680"/>
        <v>201448</v>
      </c>
      <c r="K1072" s="339"/>
      <c r="L1072" s="342"/>
      <c r="M1072" s="343"/>
      <c r="N1072" s="342"/>
      <c r="O1072" s="343"/>
      <c r="P1072" s="342"/>
      <c r="Q1072" s="343"/>
      <c r="R1072" s="342"/>
      <c r="S1072" s="343"/>
      <c r="T1072" s="346"/>
      <c r="U1072" s="346"/>
      <c r="V1072" s="346"/>
      <c r="W1072" s="346"/>
      <c r="X1072" s="346"/>
      <c r="Y1072" s="346"/>
    </row>
    <row r="1073" spans="1:29">
      <c r="B1073" s="317" t="s">
        <v>1078</v>
      </c>
      <c r="D1073" s="357">
        <f t="shared" ref="D1073:E1073" si="681">D1095+D1117+D1139</f>
        <v>-9687</v>
      </c>
      <c r="E1073" s="357">
        <f t="shared" si="681"/>
        <v>0</v>
      </c>
      <c r="I1073" s="358">
        <f>I1095+I1117+I1139</f>
        <v>-430</v>
      </c>
      <c r="J1073" s="358">
        <f t="shared" ref="J1073" si="682">J1095+J1117+J1139</f>
        <v>0</v>
      </c>
      <c r="Z1073" s="358"/>
    </row>
    <row r="1074" spans="1:29">
      <c r="B1074" s="317" t="s">
        <v>1079</v>
      </c>
      <c r="G1074" s="338">
        <v>-4.99E-2</v>
      </c>
      <c r="H1074" s="339"/>
      <c r="I1074" s="294">
        <f>SUM(I1069:I1072)*$G1074</f>
        <v>-53873.8364</v>
      </c>
      <c r="J1074" s="294">
        <f>SUM(J1069:J1072)*$G1074</f>
        <v>-89704.980500000005</v>
      </c>
      <c r="L1074" s="338"/>
      <c r="M1074" s="339"/>
      <c r="N1074" s="338"/>
      <c r="O1074" s="339"/>
      <c r="P1074" s="359" t="str">
        <f>$P$43</f>
        <v>Tax Year 1</v>
      </c>
      <c r="Q1074" s="339"/>
      <c r="R1074" s="338">
        <f>$R$979</f>
        <v>-2.7099999999999999E-2</v>
      </c>
      <c r="S1074" s="339"/>
      <c r="Z1074" s="294">
        <f>R1074*SUM(Z1057:Z1060)</f>
        <v>-58718.708200000001</v>
      </c>
    </row>
    <row r="1075" spans="1:29">
      <c r="B1075" s="317"/>
      <c r="G1075" s="338"/>
      <c r="H1075" s="339"/>
      <c r="L1075" s="338"/>
      <c r="M1075" s="339"/>
      <c r="N1075" s="338"/>
      <c r="O1075" s="339"/>
      <c r="P1075" s="359" t="str">
        <f>$P$44</f>
        <v>Tax Year 2</v>
      </c>
      <c r="Q1075" s="339"/>
      <c r="R1075" s="338">
        <f>$R$980</f>
        <v>-1.3599999999999999E-2</v>
      </c>
      <c r="S1075" s="339"/>
      <c r="Z1075" s="294">
        <f>R1075*SUM(Z1057:Z1060)</f>
        <v>-29467.691199999997</v>
      </c>
    </row>
    <row r="1076" spans="1:29" ht="16.5" thickBot="1">
      <c r="A1076" s="292">
        <v>1</v>
      </c>
      <c r="B1076" s="317" t="s">
        <v>937</v>
      </c>
      <c r="D1076" s="381">
        <f>SUM(D1069:D1073)</f>
        <v>14582260.350323539</v>
      </c>
      <c r="E1076" s="381">
        <f>SUM(E1069:E1073)</f>
        <v>23433646.101169731</v>
      </c>
      <c r="G1076" s="368"/>
      <c r="I1076" s="369">
        <f>SUM(I1065:I1074)</f>
        <v>1928446.1636000001</v>
      </c>
      <c r="J1076" s="369">
        <f>SUM(J1065:J1074)</f>
        <v>3129599.0194999999</v>
      </c>
      <c r="L1076" s="368"/>
      <c r="N1076" s="368"/>
      <c r="P1076" s="368"/>
      <c r="R1076" s="368"/>
      <c r="T1076" s="369">
        <f>SUM(T1057:T1073)</f>
        <v>507722</v>
      </c>
      <c r="V1076" s="369">
        <f>SUM(V1057:V1073)</f>
        <v>1467780</v>
      </c>
      <c r="X1076" s="369">
        <f>SUM(X1057:X1073)</f>
        <v>869857</v>
      </c>
      <c r="Z1076" s="369">
        <f>SUM(Z1057:Z1073)</f>
        <v>2845359</v>
      </c>
      <c r="AB1076" s="305" t="s">
        <v>939</v>
      </c>
      <c r="AC1076" s="304">
        <f>Z1076/J1076-1</f>
        <v>-9.0823143070070222E-2</v>
      </c>
    </row>
    <row r="1077" spans="1:29" ht="16.5" thickTop="1">
      <c r="A1077" s="292">
        <v>11</v>
      </c>
    </row>
    <row r="1078" spans="1:29">
      <c r="B1078" s="314" t="s">
        <v>978</v>
      </c>
      <c r="G1078" s="377"/>
      <c r="H1078" s="377"/>
      <c r="L1078" s="377"/>
      <c r="M1078" s="377"/>
      <c r="N1078" s="377"/>
      <c r="O1078" s="377"/>
      <c r="P1078" s="377"/>
      <c r="Q1078" s="377"/>
      <c r="R1078" s="377"/>
      <c r="S1078" s="377"/>
    </row>
    <row r="1079" spans="1:29">
      <c r="B1079" s="317" t="s">
        <v>1090</v>
      </c>
      <c r="D1079" s="293">
        <f>'[7]BD-Redesign'!J7</f>
        <v>0</v>
      </c>
      <c r="E1079" s="293">
        <v>0</v>
      </c>
      <c r="F1079" s="339"/>
      <c r="G1079" s="376"/>
      <c r="H1079" s="343"/>
      <c r="K1079" s="339"/>
      <c r="L1079" s="376">
        <f>L1057</f>
        <v>1.7867999999999999</v>
      </c>
      <c r="M1079" s="343" t="s">
        <v>1062</v>
      </c>
      <c r="N1079" s="376">
        <f>N1057</f>
        <v>19.766631654000651</v>
      </c>
      <c r="O1079" s="343" t="s">
        <v>1062</v>
      </c>
      <c r="P1079" s="376">
        <f>P1057</f>
        <v>1.3127</v>
      </c>
      <c r="Q1079" s="343" t="s">
        <v>1062</v>
      </c>
      <c r="R1079" s="376">
        <f t="shared" ref="R1079:R1087" si="683">R1057</f>
        <v>22.86613165400065</v>
      </c>
      <c r="S1079" s="343" t="s">
        <v>1062</v>
      </c>
      <c r="T1079" s="294">
        <f>ROUND($E1079*L1079/100,0)</f>
        <v>0</v>
      </c>
      <c r="U1079" s="346"/>
      <c r="V1079" s="294">
        <f>ROUND($E1079*N1079/100,0)</f>
        <v>0</v>
      </c>
      <c r="W1079" s="346"/>
      <c r="X1079" s="294">
        <f>ROUND($E1079*P1079/100,0)</f>
        <v>0</v>
      </c>
      <c r="Y1079" s="346"/>
      <c r="Z1079" s="294">
        <f>ROUND($E1079*R1079/100,0)</f>
        <v>0</v>
      </c>
    </row>
    <row r="1080" spans="1:29">
      <c r="B1080" s="317" t="s">
        <v>1091</v>
      </c>
      <c r="D1080" s="293">
        <f>'[7]BD-Redesign'!J8</f>
        <v>0</v>
      </c>
      <c r="E1080" s="293">
        <v>0</v>
      </c>
      <c r="F1080" s="339"/>
      <c r="G1080" s="376"/>
      <c r="H1080" s="343"/>
      <c r="K1080" s="339"/>
      <c r="L1080" s="376">
        <f t="shared" ref="L1080:L1087" si="684">L1058</f>
        <v>1.7867999999999999</v>
      </c>
      <c r="M1080" s="343" t="s">
        <v>1062</v>
      </c>
      <c r="N1080" s="376">
        <f t="shared" ref="N1080:N1087" si="685">N1058</f>
        <v>1.4732003384230001</v>
      </c>
      <c r="O1080" s="343" t="s">
        <v>1062</v>
      </c>
      <c r="P1080" s="376">
        <f t="shared" ref="P1080:P1087" si="686">P1058</f>
        <v>1.3127</v>
      </c>
      <c r="Q1080" s="343" t="s">
        <v>1062</v>
      </c>
      <c r="R1080" s="376">
        <f t="shared" si="683"/>
        <v>4.5727003384230001</v>
      </c>
      <c r="S1080" s="343" t="s">
        <v>1062</v>
      </c>
      <c r="T1080" s="294">
        <f t="shared" ref="T1080:T1086" si="687">ROUND($E1080*L1080/100,0)</f>
        <v>0</v>
      </c>
      <c r="U1080" s="346"/>
      <c r="V1080" s="294">
        <f t="shared" ref="V1080:V1086" si="688">ROUND($E1080*N1080/100,0)</f>
        <v>0</v>
      </c>
      <c r="W1080" s="346"/>
      <c r="X1080" s="294">
        <f t="shared" ref="X1080:X1086" si="689">ROUND($E1080*P1080/100,0)</f>
        <v>0</v>
      </c>
      <c r="Y1080" s="346"/>
      <c r="Z1080" s="294">
        <f t="shared" ref="Z1080:Z1086" si="690">ROUND($E1080*R1080/100,0)</f>
        <v>0</v>
      </c>
    </row>
    <row r="1081" spans="1:29">
      <c r="B1081" s="317" t="s">
        <v>1092</v>
      </c>
      <c r="D1081" s="293">
        <f>'[7]BD-Redesign'!J9</f>
        <v>689.99085923217501</v>
      </c>
      <c r="E1081" s="293">
        <v>0</v>
      </c>
      <c r="F1081" s="339"/>
      <c r="G1081" s="376"/>
      <c r="H1081" s="343"/>
      <c r="K1081" s="339"/>
      <c r="L1081" s="376">
        <f t="shared" si="684"/>
        <v>1.7867999999999999</v>
      </c>
      <c r="M1081" s="343" t="s">
        <v>1062</v>
      </c>
      <c r="N1081" s="376">
        <f t="shared" si="685"/>
        <v>17.286999999999999</v>
      </c>
      <c r="O1081" s="343" t="s">
        <v>1062</v>
      </c>
      <c r="P1081" s="376">
        <f t="shared" si="686"/>
        <v>1.1617</v>
      </c>
      <c r="Q1081" s="343" t="s">
        <v>1062</v>
      </c>
      <c r="R1081" s="376">
        <f t="shared" si="683"/>
        <v>20.235499999999998</v>
      </c>
      <c r="S1081" s="343" t="s">
        <v>1062</v>
      </c>
      <c r="T1081" s="294">
        <f t="shared" si="687"/>
        <v>0</v>
      </c>
      <c r="U1081" s="346"/>
      <c r="V1081" s="294">
        <f t="shared" si="688"/>
        <v>0</v>
      </c>
      <c r="W1081" s="346"/>
      <c r="X1081" s="294">
        <f t="shared" si="689"/>
        <v>0</v>
      </c>
      <c r="Y1081" s="346"/>
      <c r="Z1081" s="294">
        <f t="shared" si="690"/>
        <v>0</v>
      </c>
    </row>
    <row r="1082" spans="1:29">
      <c r="B1082" s="317" t="s">
        <v>1093</v>
      </c>
      <c r="D1082" s="293">
        <f>'[7]BD-Redesign'!J10</f>
        <v>2323.0091407678251</v>
      </c>
      <c r="E1082" s="293">
        <v>0</v>
      </c>
      <c r="F1082" s="339"/>
      <c r="G1082" s="376"/>
      <c r="H1082" s="343"/>
      <c r="K1082" s="339"/>
      <c r="L1082" s="376">
        <f t="shared" si="684"/>
        <v>1.7867999999999999</v>
      </c>
      <c r="M1082" s="343" t="s">
        <v>1062</v>
      </c>
      <c r="N1082" s="376">
        <f t="shared" si="685"/>
        <v>1.0980999999999999</v>
      </c>
      <c r="O1082" s="343" t="s">
        <v>1062</v>
      </c>
      <c r="P1082" s="376">
        <f t="shared" si="686"/>
        <v>1.1617</v>
      </c>
      <c r="Q1082" s="343" t="s">
        <v>1062</v>
      </c>
      <c r="R1082" s="376">
        <f t="shared" si="683"/>
        <v>4.0465999999999998</v>
      </c>
      <c r="S1082" s="343" t="s">
        <v>1062</v>
      </c>
      <c r="T1082" s="294">
        <f t="shared" si="687"/>
        <v>0</v>
      </c>
      <c r="U1082" s="346"/>
      <c r="V1082" s="294">
        <f t="shared" si="688"/>
        <v>0</v>
      </c>
      <c r="W1082" s="346"/>
      <c r="X1082" s="294">
        <f t="shared" si="689"/>
        <v>0</v>
      </c>
      <c r="Y1082" s="346"/>
      <c r="Z1082" s="294">
        <f t="shared" si="690"/>
        <v>0</v>
      </c>
    </row>
    <row r="1083" spans="1:29">
      <c r="B1083" s="317" t="s">
        <v>1094</v>
      </c>
      <c r="D1083" s="293">
        <f>'[7]BD-Redesign'!J11</f>
        <v>0</v>
      </c>
      <c r="E1083" s="293">
        <v>0</v>
      </c>
      <c r="F1083" s="339"/>
      <c r="G1083" s="376"/>
      <c r="H1083" s="343"/>
      <c r="K1083" s="339"/>
      <c r="L1083" s="376">
        <f t="shared" si="684"/>
        <v>0</v>
      </c>
      <c r="M1083" s="343" t="s">
        <v>1062</v>
      </c>
      <c r="N1083" s="376">
        <f t="shared" si="685"/>
        <v>0</v>
      </c>
      <c r="O1083" s="343" t="s">
        <v>1062</v>
      </c>
      <c r="P1083" s="376">
        <f t="shared" si="686"/>
        <v>6</v>
      </c>
      <c r="Q1083" s="343" t="s">
        <v>1062</v>
      </c>
      <c r="R1083" s="376">
        <f t="shared" si="683"/>
        <v>6</v>
      </c>
      <c r="S1083" s="343" t="s">
        <v>1062</v>
      </c>
      <c r="T1083" s="294">
        <f t="shared" si="687"/>
        <v>0</v>
      </c>
      <c r="U1083" s="346"/>
      <c r="V1083" s="294">
        <f t="shared" si="688"/>
        <v>0</v>
      </c>
      <c r="W1083" s="346"/>
      <c r="X1083" s="294">
        <f t="shared" si="689"/>
        <v>0</v>
      </c>
      <c r="Y1083" s="346"/>
      <c r="Z1083" s="294">
        <f t="shared" si="690"/>
        <v>0</v>
      </c>
    </row>
    <row r="1084" spans="1:29">
      <c r="B1084" s="317" t="s">
        <v>1095</v>
      </c>
      <c r="D1084" s="293">
        <f>'[7]BD-Redesign'!J12</f>
        <v>0</v>
      </c>
      <c r="E1084" s="293">
        <v>0</v>
      </c>
      <c r="F1084" s="339"/>
      <c r="G1084" s="376"/>
      <c r="H1084" s="343"/>
      <c r="K1084" s="339"/>
      <c r="L1084" s="376">
        <f t="shared" si="684"/>
        <v>0</v>
      </c>
      <c r="M1084" s="343" t="s">
        <v>1062</v>
      </c>
      <c r="N1084" s="376">
        <f t="shared" si="685"/>
        <v>0</v>
      </c>
      <c r="O1084" s="343" t="s">
        <v>1062</v>
      </c>
      <c r="P1084" s="376">
        <f t="shared" si="686"/>
        <v>-2.3358000000000008</v>
      </c>
      <c r="Q1084" s="343" t="s">
        <v>1062</v>
      </c>
      <c r="R1084" s="376">
        <f t="shared" si="683"/>
        <v>-2.3358000000000008</v>
      </c>
      <c r="S1084" s="343" t="s">
        <v>1062</v>
      </c>
      <c r="T1084" s="294">
        <f t="shared" si="687"/>
        <v>0</v>
      </c>
      <c r="U1084" s="346"/>
      <c r="V1084" s="294">
        <f t="shared" si="688"/>
        <v>0</v>
      </c>
      <c r="W1084" s="346"/>
      <c r="X1084" s="294">
        <f t="shared" si="689"/>
        <v>0</v>
      </c>
      <c r="Y1084" s="346"/>
      <c r="Z1084" s="294">
        <f t="shared" si="690"/>
        <v>0</v>
      </c>
    </row>
    <row r="1085" spans="1:29">
      <c r="B1085" s="317" t="s">
        <v>1096</v>
      </c>
      <c r="D1085" s="293">
        <f>'[7]BD-Redesign'!J13</f>
        <v>1005</v>
      </c>
      <c r="E1085" s="293">
        <v>0</v>
      </c>
      <c r="F1085" s="339"/>
      <c r="G1085" s="376"/>
      <c r="H1085" s="343"/>
      <c r="K1085" s="339"/>
      <c r="L1085" s="376">
        <f t="shared" si="684"/>
        <v>0</v>
      </c>
      <c r="M1085" s="343" t="s">
        <v>1062</v>
      </c>
      <c r="N1085" s="376">
        <f t="shared" si="685"/>
        <v>0</v>
      </c>
      <c r="O1085" s="343" t="s">
        <v>1062</v>
      </c>
      <c r="P1085" s="376">
        <f t="shared" si="686"/>
        <v>5.3097000000000003</v>
      </c>
      <c r="Q1085" s="343" t="s">
        <v>1062</v>
      </c>
      <c r="R1085" s="376">
        <f t="shared" si="683"/>
        <v>5.3097000000000003</v>
      </c>
      <c r="S1085" s="343" t="s">
        <v>1062</v>
      </c>
      <c r="T1085" s="294">
        <f t="shared" si="687"/>
        <v>0</v>
      </c>
      <c r="U1085" s="346"/>
      <c r="V1085" s="294">
        <f t="shared" si="688"/>
        <v>0</v>
      </c>
      <c r="W1085" s="346"/>
      <c r="X1085" s="294">
        <f t="shared" si="689"/>
        <v>0</v>
      </c>
      <c r="Y1085" s="346"/>
      <c r="Z1085" s="294">
        <f t="shared" si="690"/>
        <v>0</v>
      </c>
    </row>
    <row r="1086" spans="1:29">
      <c r="B1086" s="317" t="s">
        <v>1097</v>
      </c>
      <c r="D1086" s="293">
        <f>'[7]BD-Redesign'!J14</f>
        <v>2008</v>
      </c>
      <c r="E1086" s="293">
        <v>0</v>
      </c>
      <c r="F1086" s="339"/>
      <c r="G1086" s="376"/>
      <c r="H1086" s="343"/>
      <c r="K1086" s="339"/>
      <c r="L1086" s="376">
        <f t="shared" si="684"/>
        <v>0</v>
      </c>
      <c r="M1086" s="343" t="s">
        <v>1062</v>
      </c>
      <c r="N1086" s="376">
        <f t="shared" si="685"/>
        <v>0</v>
      </c>
      <c r="O1086" s="343" t="s">
        <v>1062</v>
      </c>
      <c r="P1086" s="376">
        <f t="shared" si="686"/>
        <v>-2.0670999999999999</v>
      </c>
      <c r="Q1086" s="343" t="s">
        <v>1062</v>
      </c>
      <c r="R1086" s="376">
        <f t="shared" si="683"/>
        <v>-2.0670999999999999</v>
      </c>
      <c r="S1086" s="343" t="s">
        <v>1062</v>
      </c>
      <c r="T1086" s="294">
        <f t="shared" si="687"/>
        <v>0</v>
      </c>
      <c r="U1086" s="346"/>
      <c r="V1086" s="294">
        <f t="shared" si="688"/>
        <v>0</v>
      </c>
      <c r="W1086" s="346"/>
      <c r="X1086" s="294">
        <f t="shared" si="689"/>
        <v>0</v>
      </c>
      <c r="Y1086" s="346"/>
      <c r="Z1086" s="294">
        <f t="shared" si="690"/>
        <v>0</v>
      </c>
    </row>
    <row r="1087" spans="1:29">
      <c r="B1087" s="317" t="s">
        <v>1089</v>
      </c>
      <c r="D1087" s="293">
        <f>'[7]6A'!H22</f>
        <v>20.233333333333299</v>
      </c>
      <c r="E1087" s="293">
        <f>[7]Bill!P21</f>
        <v>12</v>
      </c>
      <c r="G1087" s="339">
        <v>54</v>
      </c>
      <c r="H1087" s="339"/>
      <c r="I1087" s="294">
        <f t="shared" ref="I1087:J1090" si="691">ROUND($G1087*D1087,0)</f>
        <v>1093</v>
      </c>
      <c r="J1087" s="294">
        <f t="shared" si="691"/>
        <v>648</v>
      </c>
      <c r="L1087" s="339">
        <f t="shared" si="684"/>
        <v>55</v>
      </c>
      <c r="M1087" s="339"/>
      <c r="N1087" s="339">
        <f t="shared" si="685"/>
        <v>0</v>
      </c>
      <c r="O1087" s="339"/>
      <c r="P1087" s="339">
        <f t="shared" si="686"/>
        <v>0</v>
      </c>
      <c r="Q1087" s="339"/>
      <c r="R1087" s="339">
        <f t="shared" si="683"/>
        <v>55</v>
      </c>
      <c r="S1087" s="339"/>
      <c r="T1087" s="294">
        <f>ROUND($E1087*L1087,0)</f>
        <v>660</v>
      </c>
      <c r="U1087" s="319"/>
      <c r="V1087" s="294">
        <f>ROUND($E1087*N1087,0)</f>
        <v>0</v>
      </c>
      <c r="W1087" s="319"/>
      <c r="X1087" s="294">
        <f>ROUND($E1087*P1087,0)</f>
        <v>0</v>
      </c>
      <c r="Z1087" s="294">
        <f>ROUND($E1087*R1087,0)</f>
        <v>660</v>
      </c>
    </row>
    <row r="1088" spans="1:29">
      <c r="B1088" s="317" t="s">
        <v>1122</v>
      </c>
      <c r="D1088" s="293">
        <f>'[7]6A'!J22</f>
        <v>374.33282208588997</v>
      </c>
      <c r="E1088" s="293">
        <f>ROUND(D1088/D1098*E1098,0)</f>
        <v>0</v>
      </c>
      <c r="G1088" s="339">
        <v>6.52</v>
      </c>
      <c r="H1088" s="339"/>
      <c r="I1088" s="294">
        <f t="shared" si="691"/>
        <v>2441</v>
      </c>
      <c r="J1088" s="294">
        <f t="shared" si="691"/>
        <v>0</v>
      </c>
      <c r="L1088" s="339"/>
      <c r="M1088" s="339"/>
      <c r="N1088" s="339"/>
      <c r="O1088" s="339"/>
      <c r="P1088" s="339"/>
      <c r="Q1088" s="339"/>
      <c r="R1088" s="339"/>
      <c r="S1088" s="339"/>
    </row>
    <row r="1089" spans="2:29">
      <c r="B1089" s="317" t="s">
        <v>1123</v>
      </c>
      <c r="D1089" s="293">
        <f>'[7]6A'!K22</f>
        <v>275.03473491773298</v>
      </c>
      <c r="E1089" s="293">
        <f>ROUND(D1089/D1098*E1098,0)</f>
        <v>0</v>
      </c>
      <c r="G1089" s="339">
        <v>5.47</v>
      </c>
      <c r="H1089" s="339"/>
      <c r="I1089" s="294">
        <f t="shared" si="691"/>
        <v>1504</v>
      </c>
      <c r="J1089" s="294">
        <f t="shared" si="691"/>
        <v>0</v>
      </c>
      <c r="L1089" s="339"/>
      <c r="M1089" s="339"/>
      <c r="N1089" s="339"/>
      <c r="O1089" s="339"/>
      <c r="P1089" s="339"/>
      <c r="Q1089" s="339"/>
      <c r="R1089" s="339"/>
      <c r="S1089" s="339"/>
    </row>
    <row r="1090" spans="2:29">
      <c r="B1090" s="317" t="s">
        <v>1098</v>
      </c>
      <c r="D1090" s="293">
        <f>'[7]6A'!L22</f>
        <v>0</v>
      </c>
      <c r="E1090" s="293">
        <f>ROUND(D1090/D1098*E1098,0)</f>
        <v>0</v>
      </c>
      <c r="F1090" s="339"/>
      <c r="G1090" s="339">
        <v>-0.61</v>
      </c>
      <c r="H1090" s="339"/>
      <c r="I1090" s="294">
        <f t="shared" si="691"/>
        <v>0</v>
      </c>
      <c r="J1090" s="294">
        <f t="shared" si="691"/>
        <v>0</v>
      </c>
      <c r="K1090" s="339"/>
      <c r="L1090" s="339">
        <f>L1068</f>
        <v>-0.61</v>
      </c>
      <c r="M1090" s="339"/>
      <c r="N1090" s="339">
        <f>N1068</f>
        <v>0</v>
      </c>
      <c r="O1090" s="339"/>
      <c r="P1090" s="339">
        <f>P1068</f>
        <v>0</v>
      </c>
      <c r="Q1090" s="339"/>
      <c r="R1090" s="339">
        <f>R1068</f>
        <v>-0.61</v>
      </c>
      <c r="S1090" s="339"/>
      <c r="T1090" s="294">
        <f>ROUND($E1090*L1090,0)</f>
        <v>0</v>
      </c>
      <c r="V1090" s="294">
        <f>ROUND($E1090*N1090,0)</f>
        <v>0</v>
      </c>
      <c r="X1090" s="294">
        <f>ROUND($E1090*P1090,0)</f>
        <v>0</v>
      </c>
      <c r="Z1090" s="294">
        <f>ROUND($E1090*R1090,0)</f>
        <v>0</v>
      </c>
    </row>
    <row r="1091" spans="2:29">
      <c r="B1091" s="317" t="s">
        <v>1070</v>
      </c>
      <c r="D1091" s="293">
        <f>'[7]6A'!N22</f>
        <v>0</v>
      </c>
      <c r="E1091" s="293">
        <f>E1098-SUM(E1092:E1095)</f>
        <v>0</v>
      </c>
      <c r="F1091" s="339"/>
      <c r="G1091" s="376">
        <v>11.926600000000001</v>
      </c>
      <c r="H1091" s="343" t="s">
        <v>1062</v>
      </c>
      <c r="I1091" s="294">
        <f t="shared" ref="I1091:J1094" si="692">ROUND($G1091*D1091/100,0)</f>
        <v>0</v>
      </c>
      <c r="J1091" s="294">
        <f t="shared" si="692"/>
        <v>0</v>
      </c>
      <c r="K1091" s="339"/>
      <c r="L1091" s="376"/>
      <c r="M1091" s="343"/>
      <c r="N1091" s="376"/>
      <c r="O1091" s="343"/>
      <c r="P1091" s="376"/>
      <c r="Q1091" s="343"/>
      <c r="R1091" s="376"/>
      <c r="S1091" s="343"/>
      <c r="T1091" s="346"/>
      <c r="U1091" s="346"/>
      <c r="V1091" s="346"/>
      <c r="W1091" s="346"/>
      <c r="X1091" s="346"/>
      <c r="Y1091" s="346"/>
    </row>
    <row r="1092" spans="2:29">
      <c r="B1092" s="317" t="s">
        <v>1071</v>
      </c>
      <c r="D1092" s="293">
        <f>'[7]6A'!O22</f>
        <v>0</v>
      </c>
      <c r="E1092" s="293">
        <f>IF((D1091+D1092)=0,0,ROUND(D1092/(D1091+D1092)*[7]Energy!Q21,0))</f>
        <v>0</v>
      </c>
      <c r="F1092" s="339"/>
      <c r="G1092" s="376">
        <v>3.5908000000000002</v>
      </c>
      <c r="H1092" s="343" t="s">
        <v>1062</v>
      </c>
      <c r="I1092" s="294">
        <f t="shared" si="692"/>
        <v>0</v>
      </c>
      <c r="J1092" s="294">
        <f t="shared" si="692"/>
        <v>0</v>
      </c>
      <c r="K1092" s="339"/>
      <c r="L1092" s="376"/>
      <c r="M1092" s="343"/>
      <c r="N1092" s="376"/>
      <c r="O1092" s="343"/>
      <c r="P1092" s="376"/>
      <c r="Q1092" s="343"/>
      <c r="R1092" s="376"/>
      <c r="S1092" s="343"/>
      <c r="T1092" s="346"/>
      <c r="U1092" s="346"/>
      <c r="V1092" s="346"/>
      <c r="W1092" s="346"/>
      <c r="X1092" s="346"/>
      <c r="Y1092" s="346"/>
    </row>
    <row r="1093" spans="2:29">
      <c r="B1093" s="317" t="s">
        <v>1126</v>
      </c>
      <c r="D1093" s="293">
        <f>'[7]6A'!P22</f>
        <v>2010</v>
      </c>
      <c r="E1093" s="293">
        <f>ROUND(D1093/(D1093+D1094)*[7]Energy!R21,0)</f>
        <v>0</v>
      </c>
      <c r="F1093" s="339"/>
      <c r="G1093" s="376">
        <v>9.9693000000000005</v>
      </c>
      <c r="H1093" s="343" t="s">
        <v>1062</v>
      </c>
      <c r="I1093" s="294">
        <f t="shared" si="692"/>
        <v>200</v>
      </c>
      <c r="J1093" s="294">
        <f t="shared" si="692"/>
        <v>0</v>
      </c>
      <c r="K1093" s="339"/>
      <c r="L1093" s="376"/>
      <c r="M1093" s="343"/>
      <c r="N1093" s="376"/>
      <c r="O1093" s="343"/>
      <c r="P1093" s="376"/>
      <c r="Q1093" s="343"/>
      <c r="R1093" s="376"/>
      <c r="S1093" s="343"/>
      <c r="T1093" s="346"/>
      <c r="U1093" s="346"/>
      <c r="V1093" s="346"/>
      <c r="W1093" s="346"/>
      <c r="X1093" s="346"/>
      <c r="Y1093" s="346"/>
    </row>
    <row r="1094" spans="2:29">
      <c r="B1094" s="317" t="s">
        <v>1127</v>
      </c>
      <c r="D1094" s="293">
        <f>'[7]6A'!Q22</f>
        <v>4016</v>
      </c>
      <c r="E1094" s="293">
        <f>ROUND(D1094/(D1093+D1094)*[7]Energy!R21,0)</f>
        <v>0</v>
      </c>
      <c r="F1094" s="339"/>
      <c r="G1094" s="376">
        <v>3.0059999999999998</v>
      </c>
      <c r="H1094" s="343" t="s">
        <v>1062</v>
      </c>
      <c r="I1094" s="294">
        <f t="shared" si="692"/>
        <v>121</v>
      </c>
      <c r="J1094" s="294">
        <f t="shared" si="692"/>
        <v>0</v>
      </c>
      <c r="K1094" s="339"/>
      <c r="L1094" s="376"/>
      <c r="M1094" s="343"/>
      <c r="N1094" s="376"/>
      <c r="O1094" s="343"/>
      <c r="P1094" s="376"/>
      <c r="Q1094" s="343"/>
      <c r="R1094" s="376"/>
      <c r="S1094" s="343"/>
      <c r="T1094" s="346"/>
      <c r="U1094" s="346"/>
      <c r="V1094" s="346"/>
      <c r="W1094" s="346"/>
      <c r="X1094" s="346"/>
      <c r="Y1094" s="346"/>
    </row>
    <row r="1095" spans="2:29">
      <c r="B1095" s="317" t="s">
        <v>1078</v>
      </c>
      <c r="D1095" s="357">
        <f>'[7]Table 2'!J21</f>
        <v>34</v>
      </c>
      <c r="E1095" s="357">
        <v>0</v>
      </c>
      <c r="I1095" s="358">
        <f>'[7]Table 3'!F21</f>
        <v>33</v>
      </c>
      <c r="J1095" s="358">
        <v>0</v>
      </c>
      <c r="Z1095" s="358"/>
    </row>
    <row r="1096" spans="2:29">
      <c r="B1096" s="317" t="s">
        <v>1079</v>
      </c>
      <c r="G1096" s="338">
        <v>-4.99E-2</v>
      </c>
      <c r="H1096" s="339"/>
      <c r="I1096" s="294">
        <f>SUM(I1091:I1094)*$G1096</f>
        <v>-16.017900000000001</v>
      </c>
      <c r="J1096" s="294">
        <f>SUM(J1091:J1094)*$G1096</f>
        <v>0</v>
      </c>
      <c r="L1096" s="338"/>
      <c r="M1096" s="339"/>
      <c r="N1096" s="338"/>
      <c r="O1096" s="339"/>
      <c r="P1096" s="359" t="str">
        <f>$P$43</f>
        <v>Tax Year 1</v>
      </c>
      <c r="Q1096" s="339"/>
      <c r="R1096" s="338">
        <f>$R$979</f>
        <v>-2.7099999999999999E-2</v>
      </c>
      <c r="S1096" s="339"/>
      <c r="Z1096" s="294">
        <f>R1096*SUM(Z1079:Z1082)</f>
        <v>0</v>
      </c>
    </row>
    <row r="1097" spans="2:29">
      <c r="B1097" s="317"/>
      <c r="G1097" s="338"/>
      <c r="H1097" s="339"/>
      <c r="L1097" s="338"/>
      <c r="M1097" s="339"/>
      <c r="N1097" s="338"/>
      <c r="O1097" s="339"/>
      <c r="P1097" s="359" t="str">
        <f>$P$44</f>
        <v>Tax Year 2</v>
      </c>
      <c r="Q1097" s="339"/>
      <c r="R1097" s="338">
        <f>$R$980</f>
        <v>-1.3599999999999999E-2</v>
      </c>
      <c r="S1097" s="339"/>
      <c r="Z1097" s="294">
        <f>R1097*SUM(Z1079:Z1082)</f>
        <v>0</v>
      </c>
    </row>
    <row r="1098" spans="2:29" ht="16.5" thickBot="1">
      <c r="B1098" s="317" t="s">
        <v>937</v>
      </c>
      <c r="D1098" s="381">
        <f>SUM(D1091:D1095)</f>
        <v>6060</v>
      </c>
      <c r="E1098" s="381">
        <f>[7]Energy!P21</f>
        <v>0</v>
      </c>
      <c r="F1098" s="339"/>
      <c r="G1098" s="368"/>
      <c r="I1098" s="369">
        <f>SUM(I1087:I1096)</f>
        <v>5375.9821000000002</v>
      </c>
      <c r="J1098" s="369">
        <f>SUM(J1087:J1096)</f>
        <v>648</v>
      </c>
      <c r="K1098" s="339"/>
      <c r="L1098" s="368"/>
      <c r="N1098" s="368"/>
      <c r="P1098" s="368"/>
      <c r="R1098" s="368"/>
      <c r="T1098" s="369">
        <f>SUM(T1079:T1095)</f>
        <v>660</v>
      </c>
      <c r="V1098" s="369">
        <f>SUM(V1079:V1095)</f>
        <v>0</v>
      </c>
      <c r="X1098" s="369">
        <f>SUM(X1079:X1095)</f>
        <v>0</v>
      </c>
      <c r="Z1098" s="369">
        <f>SUM(Z1079:Z1095)</f>
        <v>660</v>
      </c>
      <c r="AB1098" s="305" t="s">
        <v>939</v>
      </c>
      <c r="AC1098" s="304">
        <f>Z1098/J1098-1</f>
        <v>1.8518518518518601E-2</v>
      </c>
    </row>
    <row r="1099" spans="2:29" ht="16.5" thickTop="1">
      <c r="F1099" s="339"/>
      <c r="K1099" s="339"/>
    </row>
    <row r="1100" spans="2:29">
      <c r="B1100" s="314" t="s">
        <v>979</v>
      </c>
      <c r="G1100" s="377"/>
      <c r="H1100" s="377"/>
      <c r="L1100" s="377"/>
      <c r="M1100" s="377"/>
      <c r="N1100" s="377"/>
      <c r="O1100" s="377"/>
      <c r="P1100" s="377"/>
      <c r="Q1100" s="377"/>
      <c r="R1100" s="377"/>
      <c r="S1100" s="377"/>
    </row>
    <row r="1101" spans="2:29">
      <c r="B1101" s="317" t="s">
        <v>1090</v>
      </c>
      <c r="D1101" s="293">
        <f>'[7]BD-Redesign'!H7/('[7]BD-Redesign'!H7+'[7]BD-Redesign'!H8)*(Blocking!D1105+Blocking!D1106)</f>
        <v>285974.95261118939</v>
      </c>
      <c r="E1101" s="293">
        <f>E1120-SUM(E1102:E1104)</f>
        <v>662525.0242466554</v>
      </c>
      <c r="F1101" s="339"/>
      <c r="G1101" s="376"/>
      <c r="H1101" s="343"/>
      <c r="K1101" s="339"/>
      <c r="L1101" s="376">
        <f t="shared" ref="L1101:L1109" si="693">L1057</f>
        <v>1.7867999999999999</v>
      </c>
      <c r="M1101" s="343" t="s">
        <v>1062</v>
      </c>
      <c r="N1101" s="376">
        <f>N1057</f>
        <v>19.766631654000651</v>
      </c>
      <c r="O1101" s="343" t="s">
        <v>1062</v>
      </c>
      <c r="P1101" s="376">
        <f>P1057</f>
        <v>1.3127</v>
      </c>
      <c r="Q1101" s="343" t="s">
        <v>1062</v>
      </c>
      <c r="R1101" s="376">
        <f t="shared" ref="R1101:R1109" si="694">R1057</f>
        <v>22.86613165400065</v>
      </c>
      <c r="S1101" s="343" t="s">
        <v>1062</v>
      </c>
      <c r="T1101" s="294">
        <f>ROUND($E1101*L1101/100,0)</f>
        <v>11838</v>
      </c>
      <c r="U1101" s="346"/>
      <c r="V1101" s="294">
        <f>ROUND($E1101*N1101/100,0)</f>
        <v>130959</v>
      </c>
      <c r="W1101" s="346"/>
      <c r="X1101" s="294">
        <f>ROUND($E1101*P1101/100,0)</f>
        <v>8697</v>
      </c>
      <c r="Y1101" s="346"/>
      <c r="Z1101" s="294">
        <f>ROUND($E1101*R1101/100,0)</f>
        <v>151494</v>
      </c>
    </row>
    <row r="1102" spans="2:29">
      <c r="B1102" s="317" t="s">
        <v>1091</v>
      </c>
      <c r="D1102" s="293">
        <f>D1105+D1106-D1101</f>
        <v>647385.45033939811</v>
      </c>
      <c r="E1102" s="293">
        <f>ROUND(D1102/(D1101+D1102)*([7]Energy!S47*(1-1/[7]Energy!P47)),0)</f>
        <v>1499810</v>
      </c>
      <c r="F1102" s="339"/>
      <c r="G1102" s="376"/>
      <c r="H1102" s="343"/>
      <c r="K1102" s="339"/>
      <c r="L1102" s="376">
        <f t="shared" si="693"/>
        <v>1.7867999999999999</v>
      </c>
      <c r="M1102" s="343" t="s">
        <v>1062</v>
      </c>
      <c r="N1102" s="376">
        <f t="shared" ref="N1102:N1109" si="695">N1058</f>
        <v>1.4732003384230001</v>
      </c>
      <c r="O1102" s="343" t="s">
        <v>1062</v>
      </c>
      <c r="P1102" s="376">
        <f t="shared" ref="P1102:P1109" si="696">P1058</f>
        <v>1.3127</v>
      </c>
      <c r="Q1102" s="343" t="s">
        <v>1062</v>
      </c>
      <c r="R1102" s="376">
        <f t="shared" si="694"/>
        <v>4.5727003384230001</v>
      </c>
      <c r="S1102" s="343" t="s">
        <v>1062</v>
      </c>
      <c r="T1102" s="294">
        <f t="shared" ref="T1102:T1108" si="697">ROUND($E1102*L1102/100,0)</f>
        <v>26799</v>
      </c>
      <c r="U1102" s="346"/>
      <c r="V1102" s="294">
        <f t="shared" ref="V1102:V1108" si="698">ROUND($E1102*N1102/100,0)</f>
        <v>22095</v>
      </c>
      <c r="W1102" s="346"/>
      <c r="X1102" s="294">
        <f t="shared" ref="X1102:X1108" si="699">ROUND($E1102*P1102/100,0)</f>
        <v>19688</v>
      </c>
      <c r="Y1102" s="346"/>
      <c r="Z1102" s="294">
        <f t="shared" ref="Z1102:Z1108" si="700">ROUND($E1102*R1102/100,0)</f>
        <v>68582</v>
      </c>
    </row>
    <row r="1103" spans="2:29">
      <c r="B1103" s="317" t="s">
        <v>1092</v>
      </c>
      <c r="D1103" s="293">
        <f>'[7]BD-Redesign'!H9/('[7]BD-Redesign'!H9+'[7]BD-Redesign'!H10)*(Blocking!D1107+Blocking!D1108)</f>
        <v>1066590.8753472201</v>
      </c>
      <c r="E1103" s="293">
        <f>ROUND(D1103/(D1103+D1104)*([7]Energy!T47*(1-1/[7]Energy!P47)),0)</f>
        <v>2661792</v>
      </c>
      <c r="F1103" s="339"/>
      <c r="G1103" s="376"/>
      <c r="H1103" s="343"/>
      <c r="K1103" s="339"/>
      <c r="L1103" s="376">
        <f t="shared" si="693"/>
        <v>1.7867999999999999</v>
      </c>
      <c r="M1103" s="343" t="s">
        <v>1062</v>
      </c>
      <c r="N1103" s="376">
        <f t="shared" si="695"/>
        <v>17.286999999999999</v>
      </c>
      <c r="O1103" s="343" t="s">
        <v>1062</v>
      </c>
      <c r="P1103" s="376">
        <f t="shared" si="696"/>
        <v>1.1617</v>
      </c>
      <c r="Q1103" s="343" t="s">
        <v>1062</v>
      </c>
      <c r="R1103" s="376">
        <f t="shared" si="694"/>
        <v>20.235499999999998</v>
      </c>
      <c r="S1103" s="343" t="s">
        <v>1062</v>
      </c>
      <c r="T1103" s="294">
        <f t="shared" si="697"/>
        <v>47561</v>
      </c>
      <c r="U1103" s="346"/>
      <c r="V1103" s="294">
        <f t="shared" si="698"/>
        <v>460144</v>
      </c>
      <c r="W1103" s="346"/>
      <c r="X1103" s="294">
        <f t="shared" si="699"/>
        <v>30922</v>
      </c>
      <c r="Y1103" s="346"/>
      <c r="Z1103" s="294">
        <f t="shared" si="700"/>
        <v>538627</v>
      </c>
    </row>
    <row r="1104" spans="2:29">
      <c r="B1104" s="317" t="s">
        <v>1093</v>
      </c>
      <c r="D1104" s="293">
        <f>D1107+D1108-D1103</f>
        <v>3275666.5720257321</v>
      </c>
      <c r="E1104" s="293">
        <f>ROUND(D1104/(D1103+D1104)*([7]Energy!T47*(1-1/[7]Energy!P47)),0)</f>
        <v>8174779</v>
      </c>
      <c r="F1104" s="339"/>
      <c r="G1104" s="376"/>
      <c r="H1104" s="343"/>
      <c r="K1104" s="339"/>
      <c r="L1104" s="376">
        <f t="shared" si="693"/>
        <v>1.7867999999999999</v>
      </c>
      <c r="M1104" s="343" t="s">
        <v>1062</v>
      </c>
      <c r="N1104" s="376">
        <f t="shared" si="695"/>
        <v>1.0980999999999999</v>
      </c>
      <c r="O1104" s="343" t="s">
        <v>1062</v>
      </c>
      <c r="P1104" s="376">
        <f t="shared" si="696"/>
        <v>1.1617</v>
      </c>
      <c r="Q1104" s="343" t="s">
        <v>1062</v>
      </c>
      <c r="R1104" s="376">
        <f t="shared" si="694"/>
        <v>4.0465999999999998</v>
      </c>
      <c r="S1104" s="343" t="s">
        <v>1062</v>
      </c>
      <c r="T1104" s="294">
        <f t="shared" si="697"/>
        <v>146067</v>
      </c>
      <c r="U1104" s="346"/>
      <c r="V1104" s="294">
        <f t="shared" si="698"/>
        <v>89767</v>
      </c>
      <c r="W1104" s="346"/>
      <c r="X1104" s="294">
        <f t="shared" si="699"/>
        <v>94966</v>
      </c>
      <c r="Y1104" s="346"/>
      <c r="Z1104" s="294">
        <f t="shared" si="700"/>
        <v>330801</v>
      </c>
    </row>
    <row r="1105" spans="2:29">
      <c r="B1105" s="317" t="s">
        <v>1094</v>
      </c>
      <c r="D1105" s="293">
        <f>'[7]BD-Redesign'!H11+[7]TempRevMay!M336</f>
        <v>467669.56781097292</v>
      </c>
      <c r="E1105" s="293">
        <f>E1120-SUM(E1106:E1108)</f>
        <v>1083460.0242466554</v>
      </c>
      <c r="F1105" s="339"/>
      <c r="G1105" s="376"/>
      <c r="H1105" s="343"/>
      <c r="K1105" s="339"/>
      <c r="L1105" s="376">
        <f t="shared" si="693"/>
        <v>0</v>
      </c>
      <c r="M1105" s="343" t="s">
        <v>1062</v>
      </c>
      <c r="N1105" s="376">
        <f t="shared" si="695"/>
        <v>0</v>
      </c>
      <c r="O1105" s="343" t="s">
        <v>1062</v>
      </c>
      <c r="P1105" s="376">
        <f t="shared" si="696"/>
        <v>6</v>
      </c>
      <c r="Q1105" s="343" t="s">
        <v>1062</v>
      </c>
      <c r="R1105" s="376">
        <f t="shared" si="694"/>
        <v>6</v>
      </c>
      <c r="S1105" s="343" t="s">
        <v>1062</v>
      </c>
      <c r="T1105" s="294">
        <f t="shared" si="697"/>
        <v>0</v>
      </c>
      <c r="U1105" s="346"/>
      <c r="V1105" s="294">
        <f t="shared" si="698"/>
        <v>0</v>
      </c>
      <c r="W1105" s="346"/>
      <c r="X1105" s="294">
        <f t="shared" si="699"/>
        <v>65008</v>
      </c>
      <c r="Y1105" s="346"/>
      <c r="Z1105" s="294">
        <f t="shared" si="700"/>
        <v>65008</v>
      </c>
    </row>
    <row r="1106" spans="2:29">
      <c r="B1106" s="317" t="s">
        <v>1095</v>
      </c>
      <c r="D1106" s="293">
        <f>'[7]BD-Redesign'!H12+[7]TempRevMay!M337</f>
        <v>465690.83513961465</v>
      </c>
      <c r="E1106" s="293">
        <f>ROUND(D1106/(D1105+D1106)*([7]Energy!S47*(1-1/[7]Energy!P47)),0)</f>
        <v>1078875</v>
      </c>
      <c r="F1106" s="339"/>
      <c r="G1106" s="376"/>
      <c r="H1106" s="343"/>
      <c r="K1106" s="339"/>
      <c r="L1106" s="376">
        <f t="shared" si="693"/>
        <v>0</v>
      </c>
      <c r="M1106" s="343" t="s">
        <v>1062</v>
      </c>
      <c r="N1106" s="376">
        <f t="shared" si="695"/>
        <v>0</v>
      </c>
      <c r="O1106" s="343" t="s">
        <v>1062</v>
      </c>
      <c r="P1106" s="376">
        <f t="shared" si="696"/>
        <v>-2.3358000000000008</v>
      </c>
      <c r="Q1106" s="343" t="s">
        <v>1062</v>
      </c>
      <c r="R1106" s="376">
        <f t="shared" si="694"/>
        <v>-2.3358000000000008</v>
      </c>
      <c r="S1106" s="343" t="s">
        <v>1062</v>
      </c>
      <c r="T1106" s="294">
        <f t="shared" si="697"/>
        <v>0</v>
      </c>
      <c r="U1106" s="346"/>
      <c r="V1106" s="294">
        <f t="shared" si="698"/>
        <v>0</v>
      </c>
      <c r="W1106" s="346"/>
      <c r="X1106" s="294">
        <f t="shared" si="699"/>
        <v>-25200</v>
      </c>
      <c r="Y1106" s="346"/>
      <c r="Z1106" s="294">
        <f t="shared" si="700"/>
        <v>-25200</v>
      </c>
    </row>
    <row r="1107" spans="2:29">
      <c r="B1107" s="317" t="s">
        <v>1096</v>
      </c>
      <c r="D1107" s="293">
        <f>'[7]BD-Redesign'!H13+[7]TempRevMay!M338</f>
        <v>2265620.0148829855</v>
      </c>
      <c r="E1107" s="293">
        <f>ROUND(D1107/(D1107+D1108)*([7]Energy!T47*(1-1/[7]Energy!P47)),0)</f>
        <v>5654099</v>
      </c>
      <c r="F1107" s="339"/>
      <c r="G1107" s="376"/>
      <c r="H1107" s="343"/>
      <c r="K1107" s="339"/>
      <c r="L1107" s="376">
        <f t="shared" si="693"/>
        <v>0</v>
      </c>
      <c r="M1107" s="343" t="s">
        <v>1062</v>
      </c>
      <c r="N1107" s="376">
        <f t="shared" si="695"/>
        <v>0</v>
      </c>
      <c r="O1107" s="343" t="s">
        <v>1062</v>
      </c>
      <c r="P1107" s="376">
        <f t="shared" si="696"/>
        <v>5.3097000000000003</v>
      </c>
      <c r="Q1107" s="343" t="s">
        <v>1062</v>
      </c>
      <c r="R1107" s="376">
        <f t="shared" si="694"/>
        <v>5.3097000000000003</v>
      </c>
      <c r="S1107" s="343" t="s">
        <v>1062</v>
      </c>
      <c r="T1107" s="294">
        <f t="shared" si="697"/>
        <v>0</v>
      </c>
      <c r="U1107" s="346"/>
      <c r="V1107" s="294">
        <f t="shared" si="698"/>
        <v>0</v>
      </c>
      <c r="W1107" s="346"/>
      <c r="X1107" s="294">
        <f t="shared" si="699"/>
        <v>300216</v>
      </c>
      <c r="Y1107" s="346"/>
      <c r="Z1107" s="294">
        <f t="shared" si="700"/>
        <v>300216</v>
      </c>
    </row>
    <row r="1108" spans="2:29">
      <c r="B1108" s="317" t="s">
        <v>1097</v>
      </c>
      <c r="D1108" s="293">
        <f>'[7]BD-Redesign'!H14+[7]TempRevMay!M339</f>
        <v>2076637.4324899667</v>
      </c>
      <c r="E1108" s="293">
        <f>ROUND(D1108/(D1107+D1108)*([7]Energy!T47*(1-1/[7]Energy!P47)),0)</f>
        <v>5182472</v>
      </c>
      <c r="F1108" s="339"/>
      <c r="G1108" s="376"/>
      <c r="H1108" s="343"/>
      <c r="K1108" s="339"/>
      <c r="L1108" s="376">
        <f t="shared" si="693"/>
        <v>0</v>
      </c>
      <c r="M1108" s="343" t="s">
        <v>1062</v>
      </c>
      <c r="N1108" s="376">
        <f t="shared" si="695"/>
        <v>0</v>
      </c>
      <c r="O1108" s="343" t="s">
        <v>1062</v>
      </c>
      <c r="P1108" s="376">
        <f t="shared" si="696"/>
        <v>-2.0670999999999999</v>
      </c>
      <c r="Q1108" s="343" t="s">
        <v>1062</v>
      </c>
      <c r="R1108" s="376">
        <f t="shared" si="694"/>
        <v>-2.0670999999999999</v>
      </c>
      <c r="S1108" s="343" t="s">
        <v>1062</v>
      </c>
      <c r="T1108" s="294">
        <f t="shared" si="697"/>
        <v>0</v>
      </c>
      <c r="U1108" s="346"/>
      <c r="V1108" s="294">
        <f t="shared" si="698"/>
        <v>0</v>
      </c>
      <c r="W1108" s="346"/>
      <c r="X1108" s="294">
        <f t="shared" si="699"/>
        <v>-107127</v>
      </c>
      <c r="Y1108" s="346"/>
      <c r="Z1108" s="294">
        <f t="shared" si="700"/>
        <v>-107127</v>
      </c>
    </row>
    <row r="1109" spans="2:29">
      <c r="B1109" s="317" t="s">
        <v>1089</v>
      </c>
      <c r="D1109" s="293">
        <f>'[7]6A'!H20</f>
        <v>1069.5</v>
      </c>
      <c r="E1109" s="293">
        <f>[7]Bill!P47</f>
        <v>1356</v>
      </c>
      <c r="G1109" s="339">
        <v>54</v>
      </c>
      <c r="H1109" s="339"/>
      <c r="I1109" s="294">
        <f t="shared" ref="I1109:J1112" si="701">ROUND($G1109*D1109,0)</f>
        <v>57753</v>
      </c>
      <c r="J1109" s="294">
        <f t="shared" si="701"/>
        <v>73224</v>
      </c>
      <c r="L1109" s="339">
        <f t="shared" si="693"/>
        <v>55</v>
      </c>
      <c r="M1109" s="339"/>
      <c r="N1109" s="339">
        <f t="shared" si="695"/>
        <v>0</v>
      </c>
      <c r="O1109" s="339"/>
      <c r="P1109" s="339">
        <f t="shared" si="696"/>
        <v>0</v>
      </c>
      <c r="Q1109" s="339"/>
      <c r="R1109" s="339">
        <f t="shared" si="694"/>
        <v>55</v>
      </c>
      <c r="S1109" s="339"/>
      <c r="T1109" s="294">
        <f>ROUND($E1109*L1109,0)</f>
        <v>74580</v>
      </c>
      <c r="U1109" s="319"/>
      <c r="V1109" s="294">
        <f>ROUND($E1109*N1109,0)</f>
        <v>0</v>
      </c>
      <c r="W1109" s="319"/>
      <c r="X1109" s="294">
        <f>ROUND($E1109*P1109,0)</f>
        <v>0</v>
      </c>
      <c r="Z1109" s="294">
        <f>ROUND($E1109*R1109,0)</f>
        <v>74580</v>
      </c>
    </row>
    <row r="1110" spans="2:29">
      <c r="B1110" s="317" t="s">
        <v>1122</v>
      </c>
      <c r="D1110" s="293">
        <f>'[7]6A'!J20</f>
        <v>42357.259202453999</v>
      </c>
      <c r="E1110" s="293">
        <f>ROUND(D1110/D1120*E1120,0)</f>
        <v>51962</v>
      </c>
      <c r="G1110" s="339">
        <v>6.52</v>
      </c>
      <c r="H1110" s="339"/>
      <c r="I1110" s="294">
        <f t="shared" si="701"/>
        <v>276169</v>
      </c>
      <c r="J1110" s="294">
        <f t="shared" si="701"/>
        <v>338792</v>
      </c>
      <c r="L1110" s="339"/>
      <c r="M1110" s="339"/>
      <c r="N1110" s="339"/>
      <c r="O1110" s="339"/>
      <c r="P1110" s="339"/>
      <c r="Q1110" s="339"/>
      <c r="R1110" s="339"/>
      <c r="S1110" s="339"/>
    </row>
    <row r="1111" spans="2:29">
      <c r="B1111" s="317" t="s">
        <v>1123</v>
      </c>
      <c r="D1111" s="293">
        <f>'[7]6A'!K20</f>
        <v>61796.045703839103</v>
      </c>
      <c r="E1111" s="293">
        <f>ROUND(D1111/D1120*E1120,0)</f>
        <v>75809</v>
      </c>
      <c r="G1111" s="339">
        <v>5.47</v>
      </c>
      <c r="H1111" s="339"/>
      <c r="I1111" s="294">
        <f t="shared" si="701"/>
        <v>338024</v>
      </c>
      <c r="J1111" s="294">
        <f t="shared" si="701"/>
        <v>414675</v>
      </c>
      <c r="L1111" s="339"/>
      <c r="M1111" s="339"/>
      <c r="N1111" s="339"/>
      <c r="O1111" s="339"/>
      <c r="P1111" s="339"/>
      <c r="Q1111" s="339"/>
      <c r="R1111" s="339"/>
      <c r="S1111" s="339"/>
    </row>
    <row r="1112" spans="2:29">
      <c r="B1112" s="317" t="s">
        <v>1098</v>
      </c>
      <c r="D1112" s="293">
        <f>'[7]6A'!L20</f>
        <v>403</v>
      </c>
      <c r="E1112" s="293">
        <f>ROUND(D1112/D1120*E1120,0)</f>
        <v>494</v>
      </c>
      <c r="G1112" s="339">
        <v>-0.61</v>
      </c>
      <c r="H1112" s="339"/>
      <c r="I1112" s="294">
        <f t="shared" si="701"/>
        <v>-246</v>
      </c>
      <c r="J1112" s="294">
        <f t="shared" si="701"/>
        <v>-301</v>
      </c>
      <c r="L1112" s="339">
        <f>L1068</f>
        <v>-0.61</v>
      </c>
      <c r="M1112" s="339"/>
      <c r="N1112" s="339">
        <f>N1068</f>
        <v>0</v>
      </c>
      <c r="O1112" s="339"/>
      <c r="P1112" s="339">
        <f>P1068</f>
        <v>0</v>
      </c>
      <c r="Q1112" s="339"/>
      <c r="R1112" s="339">
        <f>R1068</f>
        <v>-0.61</v>
      </c>
      <c r="S1112" s="339"/>
      <c r="T1112" s="294">
        <f>ROUND($E1112*L1112,0)</f>
        <v>-301</v>
      </c>
      <c r="V1112" s="294">
        <f>ROUND($E1112*N1112,0)</f>
        <v>0</v>
      </c>
      <c r="X1112" s="294">
        <f>ROUND($E1112*P1112,0)</f>
        <v>0</v>
      </c>
      <c r="Z1112" s="294">
        <f>ROUND($E1112*R1112,0)</f>
        <v>-301</v>
      </c>
    </row>
    <row r="1113" spans="2:29">
      <c r="B1113" s="317" t="s">
        <v>1070</v>
      </c>
      <c r="D1113" s="293">
        <f>'[7]6A'!N20+[7]TempRev!M336</f>
        <v>1234808.0114695358</v>
      </c>
      <c r="E1113" s="293">
        <f>E1120-SUM(E1114:E1117)</f>
        <v>1401861.0242466554</v>
      </c>
      <c r="G1113" s="376">
        <v>11.926600000000001</v>
      </c>
      <c r="H1113" s="343" t="s">
        <v>1062</v>
      </c>
      <c r="I1113" s="294">
        <f t="shared" ref="I1113:J1116" si="702">ROUND($G1113*D1113/100,0)</f>
        <v>147271</v>
      </c>
      <c r="J1113" s="294">
        <f t="shared" si="702"/>
        <v>167194</v>
      </c>
      <c r="L1113" s="376"/>
      <c r="M1113" s="343"/>
      <c r="N1113" s="376"/>
      <c r="O1113" s="343"/>
      <c r="P1113" s="376"/>
      <c r="Q1113" s="343"/>
      <c r="R1113" s="376"/>
      <c r="S1113" s="343"/>
      <c r="T1113" s="346"/>
      <c r="U1113" s="346"/>
      <c r="V1113" s="346"/>
      <c r="W1113" s="346"/>
      <c r="X1113" s="346"/>
      <c r="Y1113" s="346"/>
    </row>
    <row r="1114" spans="2:29">
      <c r="B1114" s="317" t="s">
        <v>1071</v>
      </c>
      <c r="D1114" s="293">
        <f>'[7]6A'!O20+[7]TempRev!M337</f>
        <v>1171710.0636627364</v>
      </c>
      <c r="E1114" s="293">
        <f>ROUND(D1114/(D1113+D1114)*[7]Energy!Q47,0)</f>
        <v>1330227</v>
      </c>
      <c r="F1114" s="339"/>
      <c r="G1114" s="376">
        <v>3.5908000000000002</v>
      </c>
      <c r="H1114" s="343" t="s">
        <v>1062</v>
      </c>
      <c r="I1114" s="294">
        <f t="shared" si="702"/>
        <v>42074</v>
      </c>
      <c r="J1114" s="294">
        <f t="shared" si="702"/>
        <v>47766</v>
      </c>
      <c r="K1114" s="339"/>
      <c r="L1114" s="376"/>
      <c r="M1114" s="343"/>
      <c r="N1114" s="376"/>
      <c r="O1114" s="343"/>
      <c r="P1114" s="376"/>
      <c r="Q1114" s="343"/>
      <c r="R1114" s="376"/>
      <c r="S1114" s="343"/>
      <c r="T1114" s="346"/>
      <c r="U1114" s="346"/>
      <c r="V1114" s="346"/>
      <c r="W1114" s="346"/>
      <c r="X1114" s="346"/>
      <c r="Y1114" s="346"/>
    </row>
    <row r="1115" spans="2:29">
      <c r="B1115" s="317" t="s">
        <v>1126</v>
      </c>
      <c r="D1115" s="293">
        <f>'[7]6A'!P20+[7]TempRev!M338</f>
        <v>4225671.0712244231</v>
      </c>
      <c r="E1115" s="293">
        <f>ROUND(D1115/(D1115+D1116)*[7]Energy!R47,0)</f>
        <v>5333865</v>
      </c>
      <c r="G1115" s="376">
        <v>9.9693000000000005</v>
      </c>
      <c r="H1115" s="343" t="s">
        <v>1062</v>
      </c>
      <c r="I1115" s="294">
        <f t="shared" si="702"/>
        <v>421270</v>
      </c>
      <c r="J1115" s="294">
        <f t="shared" si="702"/>
        <v>531749</v>
      </c>
      <c r="L1115" s="376"/>
      <c r="M1115" s="343"/>
      <c r="N1115" s="376"/>
      <c r="O1115" s="343"/>
      <c r="P1115" s="376"/>
      <c r="Q1115" s="343"/>
      <c r="R1115" s="376"/>
      <c r="S1115" s="343"/>
      <c r="T1115" s="346"/>
      <c r="U1115" s="346"/>
      <c r="V1115" s="346"/>
      <c r="W1115" s="346"/>
      <c r="X1115" s="346"/>
      <c r="Y1115" s="346"/>
    </row>
    <row r="1116" spans="2:29">
      <c r="B1116" s="317" t="s">
        <v>1127</v>
      </c>
      <c r="D1116" s="293">
        <f>'[7]6A'!Q20+[7]TempRev!M339</f>
        <v>3908055.2039668453</v>
      </c>
      <c r="E1116" s="293">
        <f>ROUND(D1116/(D1115+D1116)*[7]Energy!R47,0)</f>
        <v>4932953</v>
      </c>
      <c r="F1116" s="339"/>
      <c r="G1116" s="376">
        <v>3.0059999999999998</v>
      </c>
      <c r="H1116" s="343" t="s">
        <v>1062</v>
      </c>
      <c r="I1116" s="294">
        <f t="shared" si="702"/>
        <v>117476</v>
      </c>
      <c r="J1116" s="294">
        <f t="shared" si="702"/>
        <v>148285</v>
      </c>
      <c r="K1116" s="339"/>
      <c r="L1116" s="376"/>
      <c r="M1116" s="343"/>
      <c r="N1116" s="376"/>
      <c r="O1116" s="343"/>
      <c r="P1116" s="376"/>
      <c r="Q1116" s="343"/>
      <c r="R1116" s="376"/>
      <c r="S1116" s="343"/>
      <c r="T1116" s="346"/>
      <c r="U1116" s="346"/>
      <c r="V1116" s="346"/>
      <c r="W1116" s="346"/>
      <c r="X1116" s="346"/>
      <c r="Y1116" s="346"/>
    </row>
    <row r="1117" spans="2:29">
      <c r="B1117" s="317" t="s">
        <v>1078</v>
      </c>
      <c r="D1117" s="357">
        <f>'[7]Table 2'!J49</f>
        <v>55861</v>
      </c>
      <c r="E1117" s="357">
        <v>0</v>
      </c>
      <c r="I1117" s="358">
        <f>'[7]Table 3'!F49</f>
        <v>8044</v>
      </c>
      <c r="J1117" s="358">
        <v>0</v>
      </c>
      <c r="Z1117" s="358"/>
    </row>
    <row r="1118" spans="2:29">
      <c r="B1118" s="317" t="s">
        <v>1079</v>
      </c>
      <c r="G1118" s="338">
        <v>-4.99E-2</v>
      </c>
      <c r="H1118" s="339"/>
      <c r="I1118" s="294">
        <f>SUM(I1113:I1116)*$G1118</f>
        <v>-36331.740899999997</v>
      </c>
      <c r="J1118" s="294">
        <f>SUM(J1113:J1116)*$G1118</f>
        <v>-44660.200599999996</v>
      </c>
      <c r="L1118" s="338"/>
      <c r="M1118" s="339"/>
      <c r="N1118" s="338"/>
      <c r="O1118" s="339"/>
      <c r="P1118" s="359" t="str">
        <f>$P$43</f>
        <v>Tax Year 1</v>
      </c>
      <c r="Q1118" s="339"/>
      <c r="R1118" s="338">
        <f>$R$979</f>
        <v>-2.7099999999999999E-2</v>
      </c>
      <c r="S1118" s="339"/>
      <c r="Z1118" s="294">
        <f>R1118*SUM(Z1101:Z1104)</f>
        <v>-29525.558399999998</v>
      </c>
    </row>
    <row r="1119" spans="2:29">
      <c r="B1119" s="317"/>
      <c r="G1119" s="338"/>
      <c r="H1119" s="339"/>
      <c r="L1119" s="338"/>
      <c r="M1119" s="339"/>
      <c r="N1119" s="338"/>
      <c r="O1119" s="339"/>
      <c r="P1119" s="359" t="str">
        <f>$P$44</f>
        <v>Tax Year 2</v>
      </c>
      <c r="Q1119" s="339"/>
      <c r="R1119" s="338">
        <f>$R$980</f>
        <v>-1.3599999999999999E-2</v>
      </c>
      <c r="S1119" s="339"/>
      <c r="Z1119" s="294">
        <f>R1119*SUM(Z1101:Z1104)</f>
        <v>-14817.2544</v>
      </c>
    </row>
    <row r="1120" spans="2:29" ht="16.5" thickBot="1">
      <c r="B1120" s="317" t="s">
        <v>937</v>
      </c>
      <c r="D1120" s="381">
        <f>SUM(D1113:D1117)</f>
        <v>10596105.350323541</v>
      </c>
      <c r="E1120" s="381">
        <f>[7]Energy!P47</f>
        <v>12998906.024246655</v>
      </c>
      <c r="G1120" s="368"/>
      <c r="I1120" s="369">
        <f>SUM(I1109:I1118)</f>
        <v>1371503.2590999999</v>
      </c>
      <c r="J1120" s="369">
        <f>SUM(J1109:J1118)</f>
        <v>1676723.7993999999</v>
      </c>
      <c r="L1120" s="368"/>
      <c r="N1120" s="368"/>
      <c r="P1120" s="368"/>
      <c r="R1120" s="368"/>
      <c r="T1120" s="369">
        <f>SUM(T1101:T1117)</f>
        <v>306544</v>
      </c>
      <c r="V1120" s="369">
        <f>SUM(V1101:V1117)</f>
        <v>702965</v>
      </c>
      <c r="X1120" s="369">
        <f>SUM(X1101:X1117)</f>
        <v>387170</v>
      </c>
      <c r="Z1120" s="369">
        <f>SUM(Z1101:Z1117)</f>
        <v>1396680</v>
      </c>
      <c r="AB1120" s="305" t="s">
        <v>939</v>
      </c>
      <c r="AC1120" s="304">
        <f>Z1120/J1120-1</f>
        <v>-0.16701844364600238</v>
      </c>
    </row>
    <row r="1121" spans="2:26" ht="16.5" thickTop="1"/>
    <row r="1122" spans="2:26">
      <c r="B1122" s="314" t="s">
        <v>980</v>
      </c>
      <c r="G1122" s="377"/>
      <c r="H1122" s="377"/>
      <c r="L1122" s="377"/>
      <c r="M1122" s="377"/>
      <c r="N1122" s="377"/>
      <c r="O1122" s="377"/>
      <c r="P1122" s="377"/>
      <c r="Q1122" s="377"/>
      <c r="R1122" s="377"/>
      <c r="S1122" s="377"/>
    </row>
    <row r="1123" spans="2:26">
      <c r="B1123" s="317" t="s">
        <v>1090</v>
      </c>
      <c r="D1123" s="293">
        <f>'[7]BD-Redesign'!I7</f>
        <v>233367.5</v>
      </c>
      <c r="E1123" s="293">
        <f>E1142-SUM(E1124:E1126)</f>
        <v>1128072.0769230761</v>
      </c>
      <c r="F1123" s="339"/>
      <c r="G1123" s="376"/>
      <c r="H1123" s="343"/>
      <c r="K1123" s="339"/>
      <c r="L1123" s="376">
        <f>L1057</f>
        <v>1.7867999999999999</v>
      </c>
      <c r="M1123" s="343" t="s">
        <v>1062</v>
      </c>
      <c r="N1123" s="376">
        <f>N1057</f>
        <v>19.766631654000651</v>
      </c>
      <c r="O1123" s="343" t="s">
        <v>1062</v>
      </c>
      <c r="P1123" s="376">
        <f>P1057</f>
        <v>1.3127</v>
      </c>
      <c r="Q1123" s="343" t="s">
        <v>1062</v>
      </c>
      <c r="R1123" s="376">
        <f t="shared" ref="R1123:R1131" si="703">R1057</f>
        <v>22.86613165400065</v>
      </c>
      <c r="S1123" s="343" t="s">
        <v>1062</v>
      </c>
      <c r="T1123" s="294">
        <f>ROUND($E1123*L1123/100,0)</f>
        <v>20156</v>
      </c>
      <c r="U1123" s="346"/>
      <c r="V1123" s="294">
        <f>ROUND($E1123*N1123/100,0)</f>
        <v>222982</v>
      </c>
      <c r="W1123" s="346"/>
      <c r="X1123" s="294">
        <f>ROUND($E1123*P1123/100,0)</f>
        <v>14808</v>
      </c>
      <c r="Y1123" s="346"/>
      <c r="Z1123" s="294">
        <f>ROUND($E1123*R1123/100,0)</f>
        <v>257946</v>
      </c>
    </row>
    <row r="1124" spans="2:26">
      <c r="B1124" s="317" t="s">
        <v>1091</v>
      </c>
      <c r="D1124" s="293">
        <f>'[7]BD-Redesign'!I8</f>
        <v>418289.5</v>
      </c>
      <c r="E1124" s="293">
        <f>ROUND(D1124/(D1123+D1124)*([7]Energy!S73*(1-1/[7]Energy!P73)),0)</f>
        <v>2021963</v>
      </c>
      <c r="F1124" s="339"/>
      <c r="G1124" s="376"/>
      <c r="H1124" s="343"/>
      <c r="K1124" s="339"/>
      <c r="L1124" s="376">
        <f t="shared" ref="L1124:L1131" si="704">L1058</f>
        <v>1.7867999999999999</v>
      </c>
      <c r="M1124" s="343" t="s">
        <v>1062</v>
      </c>
      <c r="N1124" s="376">
        <f t="shared" ref="N1124:N1131" si="705">N1058</f>
        <v>1.4732003384230001</v>
      </c>
      <c r="O1124" s="343" t="s">
        <v>1062</v>
      </c>
      <c r="P1124" s="376">
        <f t="shared" ref="P1124:P1131" si="706">P1058</f>
        <v>1.3127</v>
      </c>
      <c r="Q1124" s="343" t="s">
        <v>1062</v>
      </c>
      <c r="R1124" s="376">
        <f t="shared" si="703"/>
        <v>4.5727003384230001</v>
      </c>
      <c r="S1124" s="343" t="s">
        <v>1062</v>
      </c>
      <c r="T1124" s="294">
        <f t="shared" ref="T1124:T1130" si="707">ROUND($E1124*L1124/100,0)</f>
        <v>36128</v>
      </c>
      <c r="U1124" s="346"/>
      <c r="V1124" s="294">
        <f t="shared" ref="V1124:V1130" si="708">ROUND($E1124*N1124/100,0)</f>
        <v>29788</v>
      </c>
      <c r="W1124" s="346"/>
      <c r="X1124" s="294">
        <f t="shared" ref="X1124:X1130" si="709">ROUND($E1124*P1124/100,0)</f>
        <v>26542</v>
      </c>
      <c r="Y1124" s="346"/>
      <c r="Z1124" s="294">
        <f t="shared" ref="Z1124:Z1130" si="710">ROUND($E1124*R1124/100,0)</f>
        <v>92458</v>
      </c>
    </row>
    <row r="1125" spans="2:26">
      <c r="B1125" s="317" t="s">
        <v>1092</v>
      </c>
      <c r="D1125" s="293">
        <f>'[7]BD-Redesign'!I9</f>
        <v>502344.50077107706</v>
      </c>
      <c r="E1125" s="293">
        <f>ROUND(D1125/(D1125+D1126)*([7]Energy!T73*(1-1/[7]Energy!P73)),0)</f>
        <v>2668816</v>
      </c>
      <c r="F1125" s="339"/>
      <c r="G1125" s="376"/>
      <c r="H1125" s="343"/>
      <c r="K1125" s="339"/>
      <c r="L1125" s="376">
        <f t="shared" si="704"/>
        <v>1.7867999999999999</v>
      </c>
      <c r="M1125" s="343" t="s">
        <v>1062</v>
      </c>
      <c r="N1125" s="376">
        <f t="shared" si="705"/>
        <v>17.286999999999999</v>
      </c>
      <c r="O1125" s="343" t="s">
        <v>1062</v>
      </c>
      <c r="P1125" s="376">
        <f t="shared" si="706"/>
        <v>1.1617</v>
      </c>
      <c r="Q1125" s="343" t="s">
        <v>1062</v>
      </c>
      <c r="R1125" s="376">
        <f t="shared" si="703"/>
        <v>20.235499999999998</v>
      </c>
      <c r="S1125" s="343" t="s">
        <v>1062</v>
      </c>
      <c r="T1125" s="294">
        <f t="shared" si="707"/>
        <v>47686</v>
      </c>
      <c r="U1125" s="346"/>
      <c r="V1125" s="294">
        <f t="shared" si="708"/>
        <v>461358</v>
      </c>
      <c r="W1125" s="346"/>
      <c r="X1125" s="294">
        <f t="shared" si="709"/>
        <v>31004</v>
      </c>
      <c r="Y1125" s="346"/>
      <c r="Z1125" s="294">
        <f t="shared" si="710"/>
        <v>540048</v>
      </c>
    </row>
    <row r="1126" spans="2:26">
      <c r="B1126" s="317" t="s">
        <v>1093</v>
      </c>
      <c r="D1126" s="293">
        <f>'[7]BD-Redesign'!I10</f>
        <v>868836.999228923</v>
      </c>
      <c r="E1126" s="293">
        <f>ROUND(D1126/(D1125+D1126)*([7]Energy!T73*(1-1/[7]Energy!P73)),0)</f>
        <v>4615889</v>
      </c>
      <c r="F1126" s="339"/>
      <c r="G1126" s="376"/>
      <c r="H1126" s="343"/>
      <c r="K1126" s="339"/>
      <c r="L1126" s="376">
        <f t="shared" si="704"/>
        <v>1.7867999999999999</v>
      </c>
      <c r="M1126" s="343" t="s">
        <v>1062</v>
      </c>
      <c r="N1126" s="376">
        <f t="shared" si="705"/>
        <v>1.0980999999999999</v>
      </c>
      <c r="O1126" s="343" t="s">
        <v>1062</v>
      </c>
      <c r="P1126" s="376">
        <f t="shared" si="706"/>
        <v>1.1617</v>
      </c>
      <c r="Q1126" s="343" t="s">
        <v>1062</v>
      </c>
      <c r="R1126" s="376">
        <f t="shared" si="703"/>
        <v>4.0465999999999998</v>
      </c>
      <c r="S1126" s="343" t="s">
        <v>1062</v>
      </c>
      <c r="T1126" s="294">
        <f t="shared" si="707"/>
        <v>82477</v>
      </c>
      <c r="U1126" s="346"/>
      <c r="V1126" s="294">
        <f t="shared" si="708"/>
        <v>50687</v>
      </c>
      <c r="W1126" s="346"/>
      <c r="X1126" s="294">
        <f t="shared" si="709"/>
        <v>53623</v>
      </c>
      <c r="Y1126" s="346"/>
      <c r="Z1126" s="294">
        <f t="shared" si="710"/>
        <v>186787</v>
      </c>
    </row>
    <row r="1127" spans="2:26">
      <c r="B1127" s="317" t="s">
        <v>1094</v>
      </c>
      <c r="D1127" s="293">
        <f>'[7]BD-Redesign'!I11</f>
        <v>467860</v>
      </c>
      <c r="E1127" s="293">
        <f>E1142-SUM(E1128:E1130)</f>
        <v>2261582.0769230761</v>
      </c>
      <c r="F1127" s="339"/>
      <c r="G1127" s="376"/>
      <c r="H1127" s="343"/>
      <c r="K1127" s="339"/>
      <c r="L1127" s="376">
        <f t="shared" si="704"/>
        <v>0</v>
      </c>
      <c r="M1127" s="343" t="s">
        <v>1062</v>
      </c>
      <c r="N1127" s="376">
        <f t="shared" si="705"/>
        <v>0</v>
      </c>
      <c r="O1127" s="343" t="s">
        <v>1062</v>
      </c>
      <c r="P1127" s="376">
        <f t="shared" si="706"/>
        <v>6</v>
      </c>
      <c r="Q1127" s="343" t="s">
        <v>1062</v>
      </c>
      <c r="R1127" s="376">
        <f t="shared" si="703"/>
        <v>6</v>
      </c>
      <c r="S1127" s="343" t="s">
        <v>1062</v>
      </c>
      <c r="T1127" s="294">
        <f t="shared" si="707"/>
        <v>0</v>
      </c>
      <c r="U1127" s="346"/>
      <c r="V1127" s="294">
        <f t="shared" si="708"/>
        <v>0</v>
      </c>
      <c r="W1127" s="346"/>
      <c r="X1127" s="294">
        <f t="shared" si="709"/>
        <v>135695</v>
      </c>
      <c r="Y1127" s="346"/>
      <c r="Z1127" s="294">
        <f t="shared" si="710"/>
        <v>135695</v>
      </c>
    </row>
    <row r="1128" spans="2:26">
      <c r="B1128" s="317" t="s">
        <v>1095</v>
      </c>
      <c r="D1128" s="293">
        <f>'[7]BD-Redesign'!I12</f>
        <v>183797</v>
      </c>
      <c r="E1128" s="293">
        <f>ROUND(D1128/(D1127+D1128)*([7]Energy!S73*(1-1/[7]Energy!P73)),0)</f>
        <v>888453</v>
      </c>
      <c r="F1128" s="339"/>
      <c r="G1128" s="376"/>
      <c r="H1128" s="343"/>
      <c r="K1128" s="339"/>
      <c r="L1128" s="376">
        <f t="shared" si="704"/>
        <v>0</v>
      </c>
      <c r="M1128" s="343" t="s">
        <v>1062</v>
      </c>
      <c r="N1128" s="376">
        <f t="shared" si="705"/>
        <v>0</v>
      </c>
      <c r="O1128" s="343" t="s">
        <v>1062</v>
      </c>
      <c r="P1128" s="376">
        <f t="shared" si="706"/>
        <v>-2.3358000000000008</v>
      </c>
      <c r="Q1128" s="343" t="s">
        <v>1062</v>
      </c>
      <c r="R1128" s="376">
        <f t="shared" si="703"/>
        <v>-2.3358000000000008</v>
      </c>
      <c r="S1128" s="343" t="s">
        <v>1062</v>
      </c>
      <c r="T1128" s="294">
        <f t="shared" si="707"/>
        <v>0</v>
      </c>
      <c r="U1128" s="346"/>
      <c r="V1128" s="294">
        <f t="shared" si="708"/>
        <v>0</v>
      </c>
      <c r="W1128" s="346"/>
      <c r="X1128" s="294">
        <f t="shared" si="709"/>
        <v>-20752</v>
      </c>
      <c r="Y1128" s="346"/>
      <c r="Z1128" s="294">
        <f t="shared" si="710"/>
        <v>-20752</v>
      </c>
    </row>
    <row r="1129" spans="2:26">
      <c r="B1129" s="317" t="s">
        <v>1096</v>
      </c>
      <c r="D1129" s="293">
        <f>'[7]BD-Redesign'!I13</f>
        <v>1001125.5</v>
      </c>
      <c r="E1129" s="293">
        <f>ROUND(D1129/(D1129+D1130)*([7]Energy!T73*(1-1/[7]Energy!P73)),0)</f>
        <v>5318701</v>
      </c>
      <c r="F1129" s="339"/>
      <c r="G1129" s="376"/>
      <c r="H1129" s="343"/>
      <c r="K1129" s="339"/>
      <c r="L1129" s="376">
        <f t="shared" si="704"/>
        <v>0</v>
      </c>
      <c r="M1129" s="343" t="s">
        <v>1062</v>
      </c>
      <c r="N1129" s="376">
        <f t="shared" si="705"/>
        <v>0</v>
      </c>
      <c r="O1129" s="343" t="s">
        <v>1062</v>
      </c>
      <c r="P1129" s="376">
        <f t="shared" si="706"/>
        <v>5.3097000000000003</v>
      </c>
      <c r="Q1129" s="343" t="s">
        <v>1062</v>
      </c>
      <c r="R1129" s="376">
        <f t="shared" si="703"/>
        <v>5.3097000000000003</v>
      </c>
      <c r="S1129" s="343" t="s">
        <v>1062</v>
      </c>
      <c r="T1129" s="294">
        <f t="shared" si="707"/>
        <v>0</v>
      </c>
      <c r="U1129" s="346"/>
      <c r="V1129" s="294">
        <f t="shared" si="708"/>
        <v>0</v>
      </c>
      <c r="W1129" s="346"/>
      <c r="X1129" s="294">
        <f t="shared" si="709"/>
        <v>282407</v>
      </c>
      <c r="Y1129" s="346"/>
      <c r="Z1129" s="294">
        <f t="shared" si="710"/>
        <v>282407</v>
      </c>
    </row>
    <row r="1130" spans="2:26">
      <c r="B1130" s="317" t="s">
        <v>1097</v>
      </c>
      <c r="D1130" s="293">
        <f>'[7]BD-Redesign'!I14</f>
        <v>370056</v>
      </c>
      <c r="E1130" s="293">
        <f>ROUND(D1130/(D1129+D1130)*([7]Energy!T73*(1-1/[7]Energy!P73)),0)</f>
        <v>1966004</v>
      </c>
      <c r="F1130" s="339"/>
      <c r="G1130" s="376"/>
      <c r="H1130" s="343"/>
      <c r="K1130" s="339"/>
      <c r="L1130" s="376">
        <f t="shared" si="704"/>
        <v>0</v>
      </c>
      <c r="M1130" s="343" t="s">
        <v>1062</v>
      </c>
      <c r="N1130" s="376">
        <f t="shared" si="705"/>
        <v>0</v>
      </c>
      <c r="O1130" s="343" t="s">
        <v>1062</v>
      </c>
      <c r="P1130" s="376">
        <f t="shared" si="706"/>
        <v>-2.0670999999999999</v>
      </c>
      <c r="Q1130" s="343" t="s">
        <v>1062</v>
      </c>
      <c r="R1130" s="376">
        <f t="shared" si="703"/>
        <v>-2.0670999999999999</v>
      </c>
      <c r="S1130" s="343" t="s">
        <v>1062</v>
      </c>
      <c r="T1130" s="294">
        <f t="shared" si="707"/>
        <v>0</v>
      </c>
      <c r="U1130" s="346"/>
      <c r="V1130" s="294">
        <f t="shared" si="708"/>
        <v>0</v>
      </c>
      <c r="W1130" s="346"/>
      <c r="X1130" s="294">
        <f t="shared" si="709"/>
        <v>-40639</v>
      </c>
      <c r="Y1130" s="346"/>
      <c r="Z1130" s="294">
        <f t="shared" si="710"/>
        <v>-40639</v>
      </c>
    </row>
    <row r="1131" spans="2:26">
      <c r="B1131" s="317" t="s">
        <v>1089</v>
      </c>
      <c r="D1131" s="293">
        <f>'[7]6A'!H21</f>
        <v>156</v>
      </c>
      <c r="E1131" s="293">
        <f>[7]Bill!P73</f>
        <v>429</v>
      </c>
      <c r="G1131" s="339">
        <v>54</v>
      </c>
      <c r="H1131" s="339"/>
      <c r="I1131" s="294">
        <f t="shared" ref="I1131:J1134" si="711">ROUND($G1131*D1131,0)</f>
        <v>8424</v>
      </c>
      <c r="J1131" s="294">
        <f t="shared" si="711"/>
        <v>23166</v>
      </c>
      <c r="L1131" s="339">
        <f t="shared" si="704"/>
        <v>55</v>
      </c>
      <c r="M1131" s="339"/>
      <c r="N1131" s="339">
        <f t="shared" si="705"/>
        <v>0</v>
      </c>
      <c r="O1131" s="339"/>
      <c r="P1131" s="339">
        <f t="shared" si="706"/>
        <v>0</v>
      </c>
      <c r="Q1131" s="339"/>
      <c r="R1131" s="339">
        <f t="shared" si="703"/>
        <v>55</v>
      </c>
      <c r="S1131" s="339"/>
      <c r="T1131" s="294">
        <f>ROUND($E1131*L1131,0)</f>
        <v>23595</v>
      </c>
      <c r="U1131" s="319"/>
      <c r="V1131" s="294">
        <f>ROUND($E1131*N1131,0)</f>
        <v>0</v>
      </c>
      <c r="W1131" s="319"/>
      <c r="X1131" s="294">
        <f>ROUND($E1131*P1131,0)</f>
        <v>0</v>
      </c>
      <c r="Z1131" s="294">
        <f>ROUND($E1131*R1131,0)</f>
        <v>23595</v>
      </c>
    </row>
    <row r="1132" spans="2:26">
      <c r="B1132" s="317" t="s">
        <v>1122</v>
      </c>
      <c r="D1132" s="293">
        <f>'[7]6A'!J21</f>
        <v>15736.926380368101</v>
      </c>
      <c r="E1132" s="293">
        <f>ROUND(D1132/D1142*E1142,0)</f>
        <v>41258</v>
      </c>
      <c r="G1132" s="339">
        <v>6.52</v>
      </c>
      <c r="H1132" s="339"/>
      <c r="I1132" s="294">
        <f t="shared" si="711"/>
        <v>102605</v>
      </c>
      <c r="J1132" s="294">
        <f t="shared" si="711"/>
        <v>269002</v>
      </c>
      <c r="L1132" s="339"/>
      <c r="M1132" s="339"/>
      <c r="N1132" s="339"/>
      <c r="O1132" s="339"/>
      <c r="P1132" s="339"/>
      <c r="Q1132" s="339"/>
      <c r="R1132" s="339"/>
      <c r="S1132" s="339"/>
    </row>
    <row r="1133" spans="2:26">
      <c r="B1133" s="317" t="s">
        <v>1123</v>
      </c>
      <c r="D1133" s="293">
        <f>'[7]6A'!K21</f>
        <v>21751.0749542962</v>
      </c>
      <c r="E1133" s="293">
        <f>ROUND(D1133/D1142*E1142,0)</f>
        <v>57025</v>
      </c>
      <c r="G1133" s="339">
        <v>5.47</v>
      </c>
      <c r="H1133" s="339"/>
      <c r="I1133" s="294">
        <f t="shared" si="711"/>
        <v>118978</v>
      </c>
      <c r="J1133" s="294">
        <f t="shared" si="711"/>
        <v>311927</v>
      </c>
      <c r="L1133" s="339"/>
      <c r="M1133" s="339"/>
      <c r="N1133" s="339"/>
      <c r="O1133" s="339"/>
      <c r="P1133" s="339"/>
      <c r="Q1133" s="339"/>
      <c r="R1133" s="339"/>
      <c r="S1133" s="339"/>
    </row>
    <row r="1134" spans="2:26">
      <c r="B1134" s="317" t="s">
        <v>1098</v>
      </c>
      <c r="D1134" s="293">
        <f>'[7]6A'!L21</f>
        <v>5955</v>
      </c>
      <c r="E1134" s="293">
        <f>ROUND(D1134/D1142*E1142,0)</f>
        <v>15612</v>
      </c>
      <c r="F1134" s="339"/>
      <c r="G1134" s="339">
        <v>-0.61</v>
      </c>
      <c r="H1134" s="339"/>
      <c r="I1134" s="294">
        <f t="shared" si="711"/>
        <v>-3633</v>
      </c>
      <c r="J1134" s="294">
        <f t="shared" si="711"/>
        <v>-9523</v>
      </c>
      <c r="K1134" s="339"/>
      <c r="L1134" s="339">
        <f>L1068</f>
        <v>-0.61</v>
      </c>
      <c r="M1134" s="339"/>
      <c r="N1134" s="339">
        <f>N1068</f>
        <v>0</v>
      </c>
      <c r="O1134" s="339"/>
      <c r="P1134" s="339">
        <f>P1068</f>
        <v>0</v>
      </c>
      <c r="Q1134" s="339"/>
      <c r="R1134" s="339">
        <f>R1068</f>
        <v>-0.61</v>
      </c>
      <c r="S1134" s="339"/>
      <c r="T1134" s="294">
        <f>ROUND($E1134*L1134,0)</f>
        <v>-9523</v>
      </c>
      <c r="V1134" s="294">
        <f>ROUND($E1134*N1134,0)</f>
        <v>0</v>
      </c>
      <c r="X1134" s="294">
        <f>ROUND($E1134*P1134,0)</f>
        <v>0</v>
      </c>
      <c r="Z1134" s="294">
        <f>ROUND($E1134*R1134,0)</f>
        <v>-9523</v>
      </c>
    </row>
    <row r="1135" spans="2:26">
      <c r="B1135" s="317" t="s">
        <v>1070</v>
      </c>
      <c r="D1135" s="293">
        <f>'[7]6A'!N21</f>
        <v>1146195</v>
      </c>
      <c r="E1135" s="293">
        <f>E1142-SUM(E1136:E1139)</f>
        <v>2804282.0769230761</v>
      </c>
      <c r="F1135" s="339"/>
      <c r="G1135" s="376">
        <v>11.926600000000001</v>
      </c>
      <c r="H1135" s="343" t="s">
        <v>1062</v>
      </c>
      <c r="I1135" s="294">
        <f t="shared" ref="I1135:J1138" si="712">ROUND($G1135*D1135/100,0)</f>
        <v>136702</v>
      </c>
      <c r="J1135" s="294">
        <f t="shared" si="712"/>
        <v>334456</v>
      </c>
      <c r="K1135" s="339"/>
      <c r="L1135" s="376"/>
      <c r="M1135" s="343"/>
      <c r="N1135" s="376"/>
      <c r="O1135" s="343"/>
      <c r="P1135" s="376"/>
      <c r="Q1135" s="343"/>
      <c r="R1135" s="376"/>
      <c r="S1135" s="343"/>
      <c r="T1135" s="346"/>
      <c r="U1135" s="346"/>
      <c r="V1135" s="346"/>
      <c r="W1135" s="346"/>
      <c r="X1135" s="346"/>
      <c r="Y1135" s="346"/>
    </row>
    <row r="1136" spans="2:26">
      <c r="B1136" s="317" t="s">
        <v>1071</v>
      </c>
      <c r="D1136" s="293">
        <f>'[7]6A'!O21</f>
        <v>444113</v>
      </c>
      <c r="E1136" s="293">
        <f>ROUND(D1136/(D1135+D1136)*[7]Energy!Q73,0)</f>
        <v>1086568</v>
      </c>
      <c r="F1136" s="339"/>
      <c r="G1136" s="376">
        <v>3.5908000000000002</v>
      </c>
      <c r="H1136" s="343" t="s">
        <v>1062</v>
      </c>
      <c r="I1136" s="294">
        <f t="shared" si="712"/>
        <v>15947</v>
      </c>
      <c r="J1136" s="294">
        <f t="shared" si="712"/>
        <v>39016</v>
      </c>
      <c r="K1136" s="339"/>
      <c r="L1136" s="376"/>
      <c r="M1136" s="343"/>
      <c r="N1136" s="376"/>
      <c r="O1136" s="343"/>
      <c r="P1136" s="376"/>
      <c r="Q1136" s="343"/>
      <c r="R1136" s="376"/>
      <c r="S1136" s="343"/>
      <c r="T1136" s="346"/>
      <c r="U1136" s="346"/>
      <c r="V1136" s="346"/>
      <c r="W1136" s="346"/>
      <c r="X1136" s="346"/>
      <c r="Y1136" s="346"/>
    </row>
    <row r="1137" spans="2:29">
      <c r="B1137" s="317" t="s">
        <v>1126</v>
      </c>
      <c r="D1137" s="293">
        <f>'[7]6A'!P21</f>
        <v>1791776</v>
      </c>
      <c r="E1137" s="293">
        <f>ROUND(D1137/(D1137+D1138)*[7]Energy!R73,0)</f>
        <v>4775325</v>
      </c>
      <c r="F1137" s="339"/>
      <c r="G1137" s="376">
        <v>9.9693000000000005</v>
      </c>
      <c r="H1137" s="343" t="s">
        <v>1062</v>
      </c>
      <c r="I1137" s="294">
        <f t="shared" si="712"/>
        <v>178628</v>
      </c>
      <c r="J1137" s="294">
        <f t="shared" si="712"/>
        <v>476066</v>
      </c>
      <c r="K1137" s="339"/>
      <c r="L1137" s="376"/>
      <c r="M1137" s="343"/>
      <c r="N1137" s="376"/>
      <c r="O1137" s="343"/>
      <c r="P1137" s="376"/>
      <c r="Q1137" s="343"/>
      <c r="R1137" s="376"/>
      <c r="S1137" s="343"/>
      <c r="T1137" s="346"/>
      <c r="U1137" s="346"/>
      <c r="V1137" s="346"/>
      <c r="W1137" s="346"/>
      <c r="X1137" s="346"/>
      <c r="Y1137" s="346"/>
    </row>
    <row r="1138" spans="2:29">
      <c r="B1138" s="317" t="s">
        <v>1127</v>
      </c>
      <c r="D1138" s="293">
        <f>'[7]6A'!Q21</f>
        <v>663593</v>
      </c>
      <c r="E1138" s="293">
        <f>ROUND(D1138/(D1137+D1138)*[7]Energy!R73,0)</f>
        <v>1768565</v>
      </c>
      <c r="F1138" s="339"/>
      <c r="G1138" s="376">
        <v>3.0059999999999998</v>
      </c>
      <c r="H1138" s="343" t="s">
        <v>1062</v>
      </c>
      <c r="I1138" s="294">
        <f t="shared" si="712"/>
        <v>19948</v>
      </c>
      <c r="J1138" s="294">
        <f t="shared" si="712"/>
        <v>53163</v>
      </c>
      <c r="K1138" s="339"/>
      <c r="L1138" s="376"/>
      <c r="M1138" s="343"/>
      <c r="N1138" s="376"/>
      <c r="O1138" s="343"/>
      <c r="P1138" s="376"/>
      <c r="Q1138" s="343"/>
      <c r="R1138" s="376"/>
      <c r="S1138" s="343"/>
      <c r="T1138" s="346"/>
      <c r="U1138" s="346"/>
      <c r="V1138" s="346"/>
      <c r="W1138" s="346"/>
      <c r="X1138" s="346"/>
      <c r="Y1138" s="346"/>
    </row>
    <row r="1139" spans="2:29">
      <c r="B1139" s="317" t="s">
        <v>1078</v>
      </c>
      <c r="D1139" s="357">
        <f>'[7]Table 2'!J87</f>
        <v>-65582</v>
      </c>
      <c r="E1139" s="357">
        <v>0</v>
      </c>
      <c r="I1139" s="358">
        <f>'[7]Table 3'!F87</f>
        <v>-8507</v>
      </c>
      <c r="J1139" s="358">
        <v>0</v>
      </c>
      <c r="Z1139" s="358"/>
    </row>
    <row r="1140" spans="2:29">
      <c r="B1140" s="317" t="s">
        <v>1079</v>
      </c>
      <c r="G1140" s="338">
        <v>-4.99E-2</v>
      </c>
      <c r="H1140" s="339"/>
      <c r="I1140" s="294">
        <f>SUM(I1135:I1138)*$G1140</f>
        <v>-17526.127499999999</v>
      </c>
      <c r="J1140" s="294">
        <f>SUM(J1135:J1138)*$G1140</f>
        <v>-45044.779900000001</v>
      </c>
      <c r="L1140" s="338"/>
      <c r="M1140" s="339"/>
      <c r="N1140" s="338"/>
      <c r="O1140" s="339"/>
      <c r="P1140" s="359" t="str">
        <f>$P$43</f>
        <v>Tax Year 1</v>
      </c>
      <c r="Q1140" s="339"/>
      <c r="R1140" s="338">
        <f>$R$979</f>
        <v>-2.7099999999999999E-2</v>
      </c>
      <c r="S1140" s="339"/>
      <c r="Z1140" s="294">
        <f>R1140*SUM(Z1123:Z1126)</f>
        <v>-29193.176899999999</v>
      </c>
    </row>
    <row r="1141" spans="2:29">
      <c r="B1141" s="317"/>
      <c r="G1141" s="338"/>
      <c r="H1141" s="339"/>
      <c r="L1141" s="338"/>
      <c r="M1141" s="339"/>
      <c r="N1141" s="338"/>
      <c r="O1141" s="339"/>
      <c r="P1141" s="359" t="str">
        <f>$P$44</f>
        <v>Tax Year 2</v>
      </c>
      <c r="Q1141" s="339"/>
      <c r="R1141" s="338">
        <f>$R$980</f>
        <v>-1.3599999999999999E-2</v>
      </c>
      <c r="S1141" s="339"/>
      <c r="Z1141" s="294">
        <f>R1141*SUM(Z1123:Z1126)</f>
        <v>-14650.4504</v>
      </c>
    </row>
    <row r="1142" spans="2:29" ht="16.5" thickBot="1">
      <c r="B1142" s="317" t="s">
        <v>937</v>
      </c>
      <c r="D1142" s="381">
        <f>SUM(D1135:D1139)</f>
        <v>3980095</v>
      </c>
      <c r="E1142" s="381">
        <f>[7]Energy!P73</f>
        <v>10434740.076923076</v>
      </c>
      <c r="F1142" s="339"/>
      <c r="G1142" s="368"/>
      <c r="I1142" s="369">
        <f>SUM(I1131:I1140)</f>
        <v>551565.87250000006</v>
      </c>
      <c r="J1142" s="369">
        <f>SUM(J1131:J1140)</f>
        <v>1452228.2201</v>
      </c>
      <c r="K1142" s="339"/>
      <c r="L1142" s="368"/>
      <c r="N1142" s="368"/>
      <c r="P1142" s="368"/>
      <c r="R1142" s="368"/>
      <c r="T1142" s="369">
        <f>SUM(T1123:T1139)</f>
        <v>200519</v>
      </c>
      <c r="V1142" s="369">
        <f>SUM(V1123:V1139)</f>
        <v>764815</v>
      </c>
      <c r="X1142" s="369">
        <f>SUM(X1123:X1139)</f>
        <v>482688</v>
      </c>
      <c r="Z1142" s="369">
        <f>SUM(Z1123:Z1139)</f>
        <v>1448022</v>
      </c>
      <c r="AB1142" s="305" t="s">
        <v>939</v>
      </c>
      <c r="AC1142" s="304">
        <f>Z1142/J1142-1</f>
        <v>-2.8963905547231272E-3</v>
      </c>
    </row>
    <row r="1143" spans="2:29" ht="16.5" thickTop="1">
      <c r="F1143" s="339"/>
      <c r="K1143" s="339"/>
    </row>
    <row r="1144" spans="2:29">
      <c r="B1144" s="314" t="s">
        <v>981</v>
      </c>
      <c r="G1144" s="377"/>
      <c r="H1144" s="377"/>
      <c r="L1144" s="377"/>
      <c r="M1144" s="377"/>
      <c r="N1144" s="377"/>
      <c r="O1144" s="377"/>
      <c r="P1144" s="377"/>
      <c r="Q1144" s="377"/>
      <c r="R1144" s="377"/>
      <c r="S1144" s="377"/>
    </row>
    <row r="1145" spans="2:29">
      <c r="B1145" s="317" t="s">
        <v>1090</v>
      </c>
      <c r="D1145" s="293">
        <f>'[7]BD-Redesign'!L7/('[7]BD-Redesign'!L7+'[7]BD-Redesign'!L8)*(Blocking!D1149+Blocking!D1150)</f>
        <v>13322.339107795206</v>
      </c>
      <c r="E1145" s="293">
        <f>E1164-SUM(E1146:E1148)</f>
        <v>0</v>
      </c>
      <c r="F1145" s="339"/>
      <c r="G1145" s="376"/>
      <c r="H1145" s="343"/>
      <c r="K1145" s="339"/>
      <c r="L1145" s="376">
        <f>L961</f>
        <v>1.7867999999999999</v>
      </c>
      <c r="M1145" s="343" t="s">
        <v>1062</v>
      </c>
      <c r="N1145" s="376">
        <f>N961</f>
        <v>19.766631654000651</v>
      </c>
      <c r="O1145" s="343" t="s">
        <v>1062</v>
      </c>
      <c r="P1145" s="376">
        <f>P961</f>
        <v>1.3127</v>
      </c>
      <c r="Q1145" s="343" t="s">
        <v>1062</v>
      </c>
      <c r="R1145" s="376">
        <f t="shared" ref="R1145:R1153" si="713">R961</f>
        <v>22.86613165400065</v>
      </c>
      <c r="S1145" s="343" t="s">
        <v>1062</v>
      </c>
      <c r="T1145" s="294">
        <f>ROUND($E1145*L1145/100,0)</f>
        <v>0</v>
      </c>
      <c r="U1145" s="346"/>
      <c r="V1145" s="294">
        <f>ROUND($E1145*N1145/100,0)</f>
        <v>0</v>
      </c>
      <c r="W1145" s="346"/>
      <c r="X1145" s="294">
        <f>ROUND($E1145*P1145/100,0)</f>
        <v>0</v>
      </c>
      <c r="Y1145" s="346"/>
      <c r="Z1145" s="294">
        <f>ROUND($E1145*R1145/100,0)</f>
        <v>0</v>
      </c>
    </row>
    <row r="1146" spans="2:29">
      <c r="B1146" s="317" t="s">
        <v>1091</v>
      </c>
      <c r="D1146" s="293">
        <f>D1149+D1150-D1145</f>
        <v>53605.44143337437</v>
      </c>
      <c r="E1146" s="293">
        <v>0</v>
      </c>
      <c r="F1146" s="339"/>
      <c r="G1146" s="376"/>
      <c r="H1146" s="343"/>
      <c r="K1146" s="339"/>
      <c r="L1146" s="376">
        <f t="shared" ref="L1146:L1152" si="714">L962</f>
        <v>1.7867999999999999</v>
      </c>
      <c r="M1146" s="343" t="s">
        <v>1062</v>
      </c>
      <c r="N1146" s="376">
        <f t="shared" ref="N1146:N1152" si="715">N962</f>
        <v>1.4732003384230001</v>
      </c>
      <c r="O1146" s="343" t="s">
        <v>1062</v>
      </c>
      <c r="P1146" s="376">
        <f t="shared" ref="P1146:P1152" si="716">P962</f>
        <v>1.3127</v>
      </c>
      <c r="Q1146" s="343" t="s">
        <v>1062</v>
      </c>
      <c r="R1146" s="376">
        <f t="shared" si="713"/>
        <v>4.5727003384230001</v>
      </c>
      <c r="S1146" s="343" t="s">
        <v>1062</v>
      </c>
      <c r="T1146" s="294">
        <f t="shared" ref="T1146:T1152" si="717">ROUND($E1146*L1146/100,0)</f>
        <v>0</v>
      </c>
      <c r="U1146" s="346"/>
      <c r="V1146" s="294">
        <f t="shared" ref="V1146:V1152" si="718">ROUND($E1146*N1146/100,0)</f>
        <v>0</v>
      </c>
      <c r="W1146" s="346"/>
      <c r="X1146" s="294">
        <f t="shared" ref="X1146:X1152" si="719">ROUND($E1146*P1146/100,0)</f>
        <v>0</v>
      </c>
      <c r="Y1146" s="346"/>
      <c r="Z1146" s="294">
        <f t="shared" ref="Z1146:Z1152" si="720">ROUND($E1146*R1146/100,0)</f>
        <v>0</v>
      </c>
    </row>
    <row r="1147" spans="2:29">
      <c r="B1147" s="317" t="s">
        <v>1092</v>
      </c>
      <c r="D1147" s="293">
        <f>'[7]BD-Redesign'!L9/('[7]BD-Redesign'!L9+'[7]BD-Redesign'!L10)*(Blocking!D1151+Blocking!D1152)</f>
        <v>13895.672297448593</v>
      </c>
      <c r="E1147" s="293">
        <v>0</v>
      </c>
      <c r="F1147" s="339"/>
      <c r="G1147" s="376"/>
      <c r="H1147" s="343"/>
      <c r="K1147" s="339"/>
      <c r="L1147" s="376">
        <f t="shared" si="714"/>
        <v>1.7867999999999999</v>
      </c>
      <c r="M1147" s="343" t="s">
        <v>1062</v>
      </c>
      <c r="N1147" s="376">
        <f t="shared" si="715"/>
        <v>17.286999999999999</v>
      </c>
      <c r="O1147" s="343" t="s">
        <v>1062</v>
      </c>
      <c r="P1147" s="376">
        <f t="shared" si="716"/>
        <v>1.1617</v>
      </c>
      <c r="Q1147" s="343" t="s">
        <v>1062</v>
      </c>
      <c r="R1147" s="376">
        <f t="shared" si="713"/>
        <v>20.235499999999998</v>
      </c>
      <c r="S1147" s="343" t="s">
        <v>1062</v>
      </c>
      <c r="T1147" s="294">
        <f t="shared" si="717"/>
        <v>0</v>
      </c>
      <c r="U1147" s="346"/>
      <c r="V1147" s="294">
        <f t="shared" si="718"/>
        <v>0</v>
      </c>
      <c r="W1147" s="346"/>
      <c r="X1147" s="294">
        <f t="shared" si="719"/>
        <v>0</v>
      </c>
      <c r="Y1147" s="346"/>
      <c r="Z1147" s="294">
        <f t="shared" si="720"/>
        <v>0</v>
      </c>
    </row>
    <row r="1148" spans="2:29">
      <c r="B1148" s="317" t="s">
        <v>1093</v>
      </c>
      <c r="D1148" s="293">
        <f>D1151+D1152-D1147</f>
        <v>68636.435521739491</v>
      </c>
      <c r="E1148" s="293">
        <v>0</v>
      </c>
      <c r="F1148" s="339"/>
      <c r="G1148" s="376"/>
      <c r="H1148" s="343"/>
      <c r="K1148" s="339"/>
      <c r="L1148" s="376">
        <f t="shared" si="714"/>
        <v>1.7867999999999999</v>
      </c>
      <c r="M1148" s="343" t="s">
        <v>1062</v>
      </c>
      <c r="N1148" s="376">
        <f t="shared" si="715"/>
        <v>1.0980999999999999</v>
      </c>
      <c r="O1148" s="343" t="s">
        <v>1062</v>
      </c>
      <c r="P1148" s="376">
        <f t="shared" si="716"/>
        <v>1.1617</v>
      </c>
      <c r="Q1148" s="343" t="s">
        <v>1062</v>
      </c>
      <c r="R1148" s="376">
        <f t="shared" si="713"/>
        <v>4.0465999999999998</v>
      </c>
      <c r="S1148" s="343" t="s">
        <v>1062</v>
      </c>
      <c r="T1148" s="294">
        <f t="shared" si="717"/>
        <v>0</v>
      </c>
      <c r="U1148" s="346"/>
      <c r="V1148" s="294">
        <f t="shared" si="718"/>
        <v>0</v>
      </c>
      <c r="W1148" s="346"/>
      <c r="X1148" s="294">
        <f t="shared" si="719"/>
        <v>0</v>
      </c>
      <c r="Y1148" s="346"/>
      <c r="Z1148" s="294">
        <f t="shared" si="720"/>
        <v>0</v>
      </c>
    </row>
    <row r="1149" spans="2:29">
      <c r="B1149" s="317" t="s">
        <v>1094</v>
      </c>
      <c r="D1149" s="293">
        <f>'[7]BD-Redesign'!L11+[7]TempRevMay!W336</f>
        <v>34787.289603337464</v>
      </c>
      <c r="E1149" s="293">
        <f>E1164-SUM(E1150:E1152)</f>
        <v>0</v>
      </c>
      <c r="F1149" s="339"/>
      <c r="G1149" s="376"/>
      <c r="H1149" s="343"/>
      <c r="K1149" s="339"/>
      <c r="L1149" s="376">
        <f t="shared" si="714"/>
        <v>0</v>
      </c>
      <c r="M1149" s="343" t="s">
        <v>1062</v>
      </c>
      <c r="N1149" s="376">
        <f t="shared" si="715"/>
        <v>0</v>
      </c>
      <c r="O1149" s="343" t="s">
        <v>1062</v>
      </c>
      <c r="P1149" s="376">
        <f t="shared" si="716"/>
        <v>6</v>
      </c>
      <c r="Q1149" s="343" t="s">
        <v>1062</v>
      </c>
      <c r="R1149" s="376">
        <f t="shared" si="713"/>
        <v>6</v>
      </c>
      <c r="S1149" s="343" t="s">
        <v>1062</v>
      </c>
      <c r="T1149" s="294">
        <f t="shared" si="717"/>
        <v>0</v>
      </c>
      <c r="U1149" s="346"/>
      <c r="V1149" s="294">
        <f t="shared" si="718"/>
        <v>0</v>
      </c>
      <c r="W1149" s="346"/>
      <c r="X1149" s="294">
        <f t="shared" si="719"/>
        <v>0</v>
      </c>
      <c r="Y1149" s="346"/>
      <c r="Z1149" s="294">
        <f t="shared" si="720"/>
        <v>0</v>
      </c>
    </row>
    <row r="1150" spans="2:29">
      <c r="B1150" s="317" t="s">
        <v>1095</v>
      </c>
      <c r="D1150" s="293">
        <f>'[7]BD-Redesign'!L12+[7]TempRevMay!W337</f>
        <v>32140.490937832117</v>
      </c>
      <c r="E1150" s="293">
        <v>0</v>
      </c>
      <c r="F1150" s="339"/>
      <c r="G1150" s="376"/>
      <c r="H1150" s="343"/>
      <c r="K1150" s="339"/>
      <c r="L1150" s="376">
        <f t="shared" si="714"/>
        <v>0</v>
      </c>
      <c r="M1150" s="343" t="s">
        <v>1062</v>
      </c>
      <c r="N1150" s="376">
        <f t="shared" si="715"/>
        <v>0</v>
      </c>
      <c r="O1150" s="343" t="s">
        <v>1062</v>
      </c>
      <c r="P1150" s="376">
        <f t="shared" si="716"/>
        <v>-2.3358000000000008</v>
      </c>
      <c r="Q1150" s="343" t="s">
        <v>1062</v>
      </c>
      <c r="R1150" s="376">
        <f t="shared" si="713"/>
        <v>-2.3358000000000008</v>
      </c>
      <c r="S1150" s="343" t="s">
        <v>1062</v>
      </c>
      <c r="T1150" s="294">
        <f t="shared" si="717"/>
        <v>0</v>
      </c>
      <c r="U1150" s="346"/>
      <c r="V1150" s="294">
        <f t="shared" si="718"/>
        <v>0</v>
      </c>
      <c r="W1150" s="346"/>
      <c r="X1150" s="294">
        <f t="shared" si="719"/>
        <v>0</v>
      </c>
      <c r="Y1150" s="346"/>
      <c r="Z1150" s="294">
        <f t="shared" si="720"/>
        <v>0</v>
      </c>
    </row>
    <row r="1151" spans="2:29">
      <c r="B1151" s="317" t="s">
        <v>1096</v>
      </c>
      <c r="D1151" s="293">
        <f>'[7]BD-Redesign'!L13+[7]TempRevMay!W338</f>
        <v>40510.527629505144</v>
      </c>
      <c r="E1151" s="293">
        <v>0</v>
      </c>
      <c r="F1151" s="339"/>
      <c r="G1151" s="376"/>
      <c r="H1151" s="343"/>
      <c r="K1151" s="339"/>
      <c r="L1151" s="376">
        <f t="shared" si="714"/>
        <v>0</v>
      </c>
      <c r="M1151" s="343" t="s">
        <v>1062</v>
      </c>
      <c r="N1151" s="376">
        <f t="shared" si="715"/>
        <v>0</v>
      </c>
      <c r="O1151" s="343" t="s">
        <v>1062</v>
      </c>
      <c r="P1151" s="376">
        <f t="shared" si="716"/>
        <v>5.3097000000000003</v>
      </c>
      <c r="Q1151" s="343" t="s">
        <v>1062</v>
      </c>
      <c r="R1151" s="376">
        <f t="shared" si="713"/>
        <v>5.3097000000000003</v>
      </c>
      <c r="S1151" s="343" t="s">
        <v>1062</v>
      </c>
      <c r="T1151" s="294">
        <f t="shared" si="717"/>
        <v>0</v>
      </c>
      <c r="U1151" s="346"/>
      <c r="V1151" s="294">
        <f t="shared" si="718"/>
        <v>0</v>
      </c>
      <c r="W1151" s="346"/>
      <c r="X1151" s="294">
        <f t="shared" si="719"/>
        <v>0</v>
      </c>
      <c r="Y1151" s="346"/>
      <c r="Z1151" s="294">
        <f t="shared" si="720"/>
        <v>0</v>
      </c>
    </row>
    <row r="1152" spans="2:29">
      <c r="B1152" s="317" t="s">
        <v>1097</v>
      </c>
      <c r="D1152" s="293">
        <f>'[7]BD-Redesign'!L14+[7]TempRevMay!W339</f>
        <v>42021.580189682936</v>
      </c>
      <c r="E1152" s="293">
        <v>0</v>
      </c>
      <c r="F1152" s="339"/>
      <c r="G1152" s="376"/>
      <c r="H1152" s="343"/>
      <c r="K1152" s="339"/>
      <c r="L1152" s="376">
        <f t="shared" si="714"/>
        <v>0</v>
      </c>
      <c r="M1152" s="343" t="s">
        <v>1062</v>
      </c>
      <c r="N1152" s="376">
        <f t="shared" si="715"/>
        <v>0</v>
      </c>
      <c r="O1152" s="343" t="s">
        <v>1062</v>
      </c>
      <c r="P1152" s="376">
        <f t="shared" si="716"/>
        <v>-2.0670999999999999</v>
      </c>
      <c r="Q1152" s="343" t="s">
        <v>1062</v>
      </c>
      <c r="R1152" s="376">
        <f t="shared" si="713"/>
        <v>-2.0670999999999999</v>
      </c>
      <c r="S1152" s="343" t="s">
        <v>1062</v>
      </c>
      <c r="T1152" s="294">
        <f t="shared" si="717"/>
        <v>0</v>
      </c>
      <c r="U1152" s="346"/>
      <c r="V1152" s="294">
        <f t="shared" si="718"/>
        <v>0</v>
      </c>
      <c r="W1152" s="346"/>
      <c r="X1152" s="294">
        <f t="shared" si="719"/>
        <v>0</v>
      </c>
      <c r="Y1152" s="346"/>
      <c r="Z1152" s="294">
        <f t="shared" si="720"/>
        <v>0</v>
      </c>
    </row>
    <row r="1153" spans="1:29">
      <c r="B1153" s="317" t="s">
        <v>1089</v>
      </c>
      <c r="D1153" s="293">
        <f>'[7]6A'!H24</f>
        <v>14.6</v>
      </c>
      <c r="E1153" s="293">
        <v>0</v>
      </c>
      <c r="G1153" s="339">
        <v>54</v>
      </c>
      <c r="H1153" s="339"/>
      <c r="I1153" s="294">
        <f t="shared" ref="I1153:J1156" si="721">ROUND($G1153*D1153,0)</f>
        <v>788</v>
      </c>
      <c r="J1153" s="294">
        <f t="shared" si="721"/>
        <v>0</v>
      </c>
      <c r="L1153" s="339">
        <f>L969</f>
        <v>55</v>
      </c>
      <c r="M1153" s="339"/>
      <c r="N1153" s="339">
        <f>N969</f>
        <v>0</v>
      </c>
      <c r="O1153" s="339"/>
      <c r="P1153" s="339">
        <f>P969</f>
        <v>0</v>
      </c>
      <c r="Q1153" s="339"/>
      <c r="R1153" s="339">
        <f t="shared" si="713"/>
        <v>55</v>
      </c>
      <c r="S1153" s="339"/>
      <c r="T1153" s="294">
        <f>ROUND($E1153*L1153,0)</f>
        <v>0</v>
      </c>
      <c r="U1153" s="319"/>
      <c r="V1153" s="294">
        <f>ROUND($E1153*N1153,0)</f>
        <v>0</v>
      </c>
      <c r="W1153" s="319"/>
      <c r="X1153" s="294">
        <f>ROUND($E1153*P1153,0)</f>
        <v>0</v>
      </c>
      <c r="Z1153" s="294">
        <f>ROUND($E1153*R1153,0)</f>
        <v>0</v>
      </c>
    </row>
    <row r="1154" spans="1:29">
      <c r="B1154" s="317" t="s">
        <v>1122</v>
      </c>
      <c r="D1154" s="293">
        <f>'[7]6A'!J24</f>
        <v>610.87423312883402</v>
      </c>
      <c r="E1154" s="293">
        <f>ROUND(D1154/D1164*E1164,0)</f>
        <v>0</v>
      </c>
      <c r="G1154" s="339">
        <v>6.52</v>
      </c>
      <c r="H1154" s="339"/>
      <c r="I1154" s="294">
        <f t="shared" si="721"/>
        <v>3983</v>
      </c>
      <c r="J1154" s="294">
        <f t="shared" si="721"/>
        <v>0</v>
      </c>
      <c r="L1154" s="339"/>
      <c r="M1154" s="339"/>
      <c r="N1154" s="339"/>
      <c r="O1154" s="339"/>
      <c r="P1154" s="339"/>
      <c r="Q1154" s="339"/>
      <c r="R1154" s="339"/>
      <c r="S1154" s="339"/>
    </row>
    <row r="1155" spans="1:29">
      <c r="B1155" s="317" t="s">
        <v>1123</v>
      </c>
      <c r="D1155" s="293">
        <f>'[7]6A'!K24</f>
        <v>476.79341864716599</v>
      </c>
      <c r="E1155" s="293">
        <f>ROUND(D1155/D1164*E1164,0)</f>
        <v>0</v>
      </c>
      <c r="G1155" s="339">
        <v>5.47</v>
      </c>
      <c r="H1155" s="339"/>
      <c r="I1155" s="294">
        <f t="shared" si="721"/>
        <v>2608</v>
      </c>
      <c r="J1155" s="294">
        <f t="shared" si="721"/>
        <v>0</v>
      </c>
      <c r="L1155" s="339"/>
      <c r="M1155" s="339"/>
      <c r="N1155" s="339"/>
      <c r="O1155" s="339"/>
      <c r="P1155" s="339"/>
      <c r="Q1155" s="339"/>
      <c r="R1155" s="339"/>
      <c r="S1155" s="339"/>
    </row>
    <row r="1156" spans="1:29">
      <c r="B1156" s="317" t="s">
        <v>1098</v>
      </c>
      <c r="D1156" s="293">
        <f>'[7]6A'!L24</f>
        <v>0</v>
      </c>
      <c r="E1156" s="293">
        <f>ROUND(D1156/D1164*E1164,0)</f>
        <v>0</v>
      </c>
      <c r="G1156" s="339">
        <v>-0.61</v>
      </c>
      <c r="H1156" s="339"/>
      <c r="I1156" s="294">
        <f t="shared" si="721"/>
        <v>0</v>
      </c>
      <c r="J1156" s="294">
        <f t="shared" si="721"/>
        <v>0</v>
      </c>
      <c r="L1156" s="339">
        <f>L972</f>
        <v>-0.61</v>
      </c>
      <c r="M1156" s="339"/>
      <c r="N1156" s="339">
        <f>N972</f>
        <v>0</v>
      </c>
      <c r="O1156" s="339"/>
      <c r="P1156" s="339">
        <f>P972</f>
        <v>0</v>
      </c>
      <c r="Q1156" s="339"/>
      <c r="R1156" s="339">
        <f>R972</f>
        <v>-0.61</v>
      </c>
      <c r="S1156" s="339"/>
      <c r="T1156" s="294">
        <f>ROUND($E1156*L1156,0)</f>
        <v>0</v>
      </c>
      <c r="V1156" s="294">
        <f>ROUND($E1156*N1156,0)</f>
        <v>0</v>
      </c>
      <c r="X1156" s="294">
        <f>ROUND($E1156*P1156,0)</f>
        <v>0</v>
      </c>
      <c r="Z1156" s="294">
        <f>ROUND($E1156*R1156,0)</f>
        <v>0</v>
      </c>
    </row>
    <row r="1157" spans="1:29">
      <c r="B1157" s="317" t="s">
        <v>1070</v>
      </c>
      <c r="D1157" s="293">
        <f>'[7]6A'!N24+[7]TempRev!W336</f>
        <v>76746.183037327341</v>
      </c>
      <c r="E1157" s="293">
        <f>E1164-SUM(E1158:E1161)</f>
        <v>0</v>
      </c>
      <c r="G1157" s="376">
        <v>11.926600000000001</v>
      </c>
      <c r="H1157" s="343" t="s">
        <v>1062</v>
      </c>
      <c r="I1157" s="294">
        <f t="shared" ref="I1157:J1160" si="722">ROUND($G1157*D1157/100,0)</f>
        <v>9153</v>
      </c>
      <c r="J1157" s="294">
        <f t="shared" si="722"/>
        <v>0</v>
      </c>
      <c r="L1157" s="376"/>
      <c r="M1157" s="343"/>
      <c r="N1157" s="376"/>
      <c r="O1157" s="343"/>
      <c r="P1157" s="376"/>
      <c r="Q1157" s="343"/>
      <c r="R1157" s="376"/>
      <c r="S1157" s="343"/>
      <c r="T1157" s="346"/>
      <c r="U1157" s="346"/>
      <c r="V1157" s="346"/>
      <c r="W1157" s="346"/>
      <c r="X1157" s="346"/>
      <c r="Y1157" s="346"/>
    </row>
    <row r="1158" spans="1:29">
      <c r="B1158" s="317" t="s">
        <v>1071</v>
      </c>
      <c r="D1158" s="293">
        <f>'[7]6A'!O24+[7]TempRev!W337</f>
        <v>70349.781849994804</v>
      </c>
      <c r="E1158" s="293">
        <v>0</v>
      </c>
      <c r="F1158" s="339"/>
      <c r="G1158" s="376">
        <v>3.5908000000000002</v>
      </c>
      <c r="H1158" s="343" t="s">
        <v>1062</v>
      </c>
      <c r="I1158" s="294">
        <f t="shared" si="722"/>
        <v>2526</v>
      </c>
      <c r="J1158" s="294">
        <f t="shared" si="722"/>
        <v>0</v>
      </c>
      <c r="K1158" s="339"/>
      <c r="L1158" s="376"/>
      <c r="M1158" s="343"/>
      <c r="N1158" s="376"/>
      <c r="O1158" s="343"/>
      <c r="P1158" s="376"/>
      <c r="Q1158" s="343"/>
      <c r="R1158" s="376"/>
      <c r="S1158" s="343"/>
      <c r="T1158" s="346"/>
      <c r="U1158" s="346"/>
      <c r="V1158" s="346"/>
      <c r="W1158" s="346"/>
      <c r="X1158" s="346"/>
      <c r="Y1158" s="346"/>
    </row>
    <row r="1159" spans="1:29">
      <c r="B1159" s="317" t="s">
        <v>1126</v>
      </c>
      <c r="D1159" s="293">
        <f>'[7]6A'!P24+[7]TempRev!W338</f>
        <v>73676.63419551526</v>
      </c>
      <c r="E1159" s="293">
        <v>0</v>
      </c>
      <c r="G1159" s="376">
        <v>9.9693000000000005</v>
      </c>
      <c r="H1159" s="343" t="s">
        <v>1062</v>
      </c>
      <c r="I1159" s="294">
        <f t="shared" si="722"/>
        <v>7345</v>
      </c>
      <c r="J1159" s="294">
        <f t="shared" si="722"/>
        <v>0</v>
      </c>
      <c r="L1159" s="376"/>
      <c r="M1159" s="343"/>
      <c r="N1159" s="376"/>
      <c r="O1159" s="343"/>
      <c r="P1159" s="376"/>
      <c r="Q1159" s="343"/>
      <c r="R1159" s="376"/>
      <c r="S1159" s="343"/>
      <c r="T1159" s="346"/>
      <c r="U1159" s="346"/>
      <c r="V1159" s="346"/>
      <c r="W1159" s="346"/>
      <c r="X1159" s="346"/>
      <c r="Y1159" s="346"/>
    </row>
    <row r="1160" spans="1:29">
      <c r="B1160" s="317" t="s">
        <v>1127</v>
      </c>
      <c r="D1160" s="293">
        <f>'[7]6A'!Q24+[7]TempRev!W339</f>
        <v>77835.789277520249</v>
      </c>
      <c r="E1160" s="293">
        <v>0</v>
      </c>
      <c r="F1160" s="339"/>
      <c r="G1160" s="376">
        <v>3.0059999999999998</v>
      </c>
      <c r="H1160" s="343" t="s">
        <v>1062</v>
      </c>
      <c r="I1160" s="294">
        <f t="shared" si="722"/>
        <v>2340</v>
      </c>
      <c r="J1160" s="294">
        <f t="shared" si="722"/>
        <v>0</v>
      </c>
      <c r="K1160" s="339"/>
      <c r="L1160" s="376"/>
      <c r="M1160" s="343"/>
      <c r="N1160" s="376"/>
      <c r="O1160" s="343"/>
      <c r="P1160" s="376"/>
      <c r="Q1160" s="343"/>
      <c r="R1160" s="376"/>
      <c r="S1160" s="343"/>
      <c r="T1160" s="346"/>
      <c r="U1160" s="346"/>
      <c r="V1160" s="346"/>
      <c r="W1160" s="346"/>
      <c r="X1160" s="346"/>
      <c r="Y1160" s="346"/>
    </row>
    <row r="1161" spans="1:29">
      <c r="B1161" s="317" t="s">
        <v>1078</v>
      </c>
      <c r="D1161" s="357">
        <f>'[7]Table 2'!J50</f>
        <v>1583</v>
      </c>
      <c r="E1161" s="357">
        <v>0</v>
      </c>
      <c r="I1161" s="358">
        <f>'[7]Table 3'!F50</f>
        <v>163</v>
      </c>
      <c r="J1161" s="358">
        <v>0</v>
      </c>
      <c r="Z1161" s="358"/>
    </row>
    <row r="1162" spans="1:29">
      <c r="B1162" s="317" t="s">
        <v>1079</v>
      </c>
      <c r="G1162" s="338">
        <v>-4.99E-2</v>
      </c>
      <c r="H1162" s="339"/>
      <c r="I1162" s="294">
        <f>SUM(I1157:I1160)*$G1162</f>
        <v>-1066.0636</v>
      </c>
      <c r="J1162" s="294">
        <f>SUM(J1157:J1160)*$G1162</f>
        <v>0</v>
      </c>
      <c r="L1162" s="338"/>
      <c r="M1162" s="339"/>
      <c r="N1162" s="338"/>
      <c r="O1162" s="339"/>
      <c r="P1162" s="359" t="str">
        <f>$P$43</f>
        <v>Tax Year 1</v>
      </c>
      <c r="Q1162" s="339"/>
      <c r="R1162" s="338">
        <f>$R$979</f>
        <v>-2.7099999999999999E-2</v>
      </c>
      <c r="S1162" s="339"/>
      <c r="Z1162" s="294">
        <f>R1162*SUM(Z1145:Z1148)</f>
        <v>0</v>
      </c>
    </row>
    <row r="1163" spans="1:29">
      <c r="B1163" s="317"/>
      <c r="G1163" s="338"/>
      <c r="H1163" s="339"/>
      <c r="L1163" s="338"/>
      <c r="M1163" s="339"/>
      <c r="N1163" s="338"/>
      <c r="O1163" s="339"/>
      <c r="P1163" s="359" t="str">
        <f>$P$44</f>
        <v>Tax Year 2</v>
      </c>
      <c r="Q1163" s="339"/>
      <c r="R1163" s="338">
        <f>$R$980</f>
        <v>-1.3599999999999999E-2</v>
      </c>
      <c r="S1163" s="339"/>
      <c r="Z1163" s="294">
        <f>R1163*SUM(Z1145:Z1148)</f>
        <v>0</v>
      </c>
    </row>
    <row r="1164" spans="1:29" ht="16.5" thickBot="1">
      <c r="B1164" s="317" t="s">
        <v>937</v>
      </c>
      <c r="D1164" s="381">
        <f>SUM(D1157:D1161)</f>
        <v>300191.38836035767</v>
      </c>
      <c r="E1164" s="381">
        <v>0</v>
      </c>
      <c r="G1164" s="368"/>
      <c r="I1164" s="369">
        <f>SUM(I1153:I1162)</f>
        <v>27839.936399999999</v>
      </c>
      <c r="J1164" s="369">
        <f>SUM(J1153:J1162)</f>
        <v>0</v>
      </c>
      <c r="L1164" s="368"/>
      <c r="N1164" s="368"/>
      <c r="P1164" s="368"/>
      <c r="R1164" s="368"/>
      <c r="T1164" s="369">
        <f>SUM(T1145:T1161)</f>
        <v>0</v>
      </c>
      <c r="V1164" s="369">
        <f>SUM(V1145:V1161)</f>
        <v>0</v>
      </c>
      <c r="X1164" s="369">
        <f>SUM(X1145:X1161)</f>
        <v>0</v>
      </c>
      <c r="Z1164" s="369">
        <f>SUM(Z1145:Z1161)</f>
        <v>0</v>
      </c>
      <c r="AB1164" s="305" t="s">
        <v>939</v>
      </c>
      <c r="AC1164" s="304"/>
    </row>
    <row r="1166" spans="1:29">
      <c r="A1166" s="292">
        <v>1</v>
      </c>
      <c r="B1166" s="314" t="s">
        <v>982</v>
      </c>
    </row>
    <row r="1167" spans="1:29">
      <c r="B1167" s="391" t="s">
        <v>1129</v>
      </c>
      <c r="AB1167" s="305"/>
      <c r="AC1167" s="325"/>
    </row>
    <row r="1168" spans="1:29">
      <c r="B1168" s="317" t="s">
        <v>1130</v>
      </c>
      <c r="C1168" s="292">
        <v>29</v>
      </c>
      <c r="D1168" s="293">
        <f>D1210+D1252+D1294+D1336</f>
        <v>0</v>
      </c>
      <c r="E1168" s="293">
        <f>E1210+E1252+E1294+E1336</f>
        <v>0</v>
      </c>
      <c r="G1168" s="318">
        <v>5.68</v>
      </c>
      <c r="H1168" s="318"/>
      <c r="I1168" s="294">
        <f t="shared" ref="I1168:J1171" si="723">ROUND($G1168*D1168,0)</f>
        <v>0</v>
      </c>
      <c r="J1168" s="294">
        <f t="shared" si="723"/>
        <v>0</v>
      </c>
      <c r="L1168" s="318"/>
      <c r="M1168" s="318"/>
      <c r="N1168" s="318"/>
      <c r="O1168" s="318"/>
      <c r="P1168" s="318"/>
      <c r="Q1168" s="318"/>
      <c r="R1168" s="318"/>
      <c r="S1168" s="318"/>
      <c r="T1168" s="319"/>
      <c r="U1168" s="319"/>
      <c r="V1168" s="319"/>
      <c r="W1168" s="319"/>
      <c r="X1168" s="319"/>
      <c r="Y1168" s="319"/>
      <c r="AB1168" s="305"/>
      <c r="AC1168" s="325"/>
    </row>
    <row r="1169" spans="2:29">
      <c r="B1169" s="317" t="s">
        <v>1131</v>
      </c>
      <c r="C1169" s="292">
        <v>1</v>
      </c>
      <c r="D1169" s="293">
        <f t="shared" ref="D1169:D1171" si="724">D1211+D1253+D1295+D1337</f>
        <v>37029.915140415185</v>
      </c>
      <c r="E1169" s="293">
        <f>E1211+E1253+E1295+E1337</f>
        <v>36084</v>
      </c>
      <c r="G1169" s="318">
        <v>16.38</v>
      </c>
      <c r="H1169" s="318"/>
      <c r="I1169" s="294">
        <f t="shared" si="723"/>
        <v>606550</v>
      </c>
      <c r="J1169" s="294">
        <f t="shared" si="723"/>
        <v>591056</v>
      </c>
      <c r="L1169" s="318"/>
      <c r="M1169" s="318"/>
      <c r="N1169" s="318"/>
      <c r="O1169" s="318"/>
      <c r="P1169" s="318"/>
      <c r="Q1169" s="318"/>
      <c r="R1169" s="318"/>
      <c r="S1169" s="318"/>
      <c r="T1169" s="319"/>
      <c r="U1169" s="319"/>
      <c r="V1169" s="319"/>
      <c r="W1169" s="319"/>
      <c r="X1169" s="319"/>
      <c r="Y1169" s="319"/>
      <c r="AB1169" s="378"/>
      <c r="AC1169" s="325"/>
    </row>
    <row r="1170" spans="2:29">
      <c r="B1170" s="317" t="s">
        <v>1132</v>
      </c>
      <c r="C1170" s="292">
        <v>40</v>
      </c>
      <c r="D1170" s="293">
        <f t="shared" si="724"/>
        <v>0</v>
      </c>
      <c r="E1170" s="293">
        <f>E1212+E1254+E1296+E1338</f>
        <v>0</v>
      </c>
      <c r="G1170" s="318">
        <v>8.0500000000000007</v>
      </c>
      <c r="H1170" s="318"/>
      <c r="I1170" s="294">
        <f t="shared" si="723"/>
        <v>0</v>
      </c>
      <c r="J1170" s="294">
        <f t="shared" si="723"/>
        <v>0</v>
      </c>
      <c r="L1170" s="318"/>
      <c r="M1170" s="318"/>
      <c r="N1170" s="318"/>
      <c r="O1170" s="318"/>
      <c r="P1170" s="318"/>
      <c r="Q1170" s="318"/>
      <c r="R1170" s="318"/>
      <c r="S1170" s="318"/>
      <c r="T1170" s="319"/>
      <c r="U1170" s="319"/>
      <c r="V1170" s="319"/>
      <c r="W1170" s="319"/>
      <c r="X1170" s="319"/>
      <c r="Y1170" s="319"/>
      <c r="AB1170" s="305"/>
      <c r="AC1170" s="304"/>
    </row>
    <row r="1171" spans="2:29">
      <c r="B1171" s="317" t="s">
        <v>1133</v>
      </c>
      <c r="C1171" s="292">
        <v>2</v>
      </c>
      <c r="D1171" s="293">
        <f t="shared" si="724"/>
        <v>9098.6105302464457</v>
      </c>
      <c r="E1171" s="293">
        <f>E1213+E1255+E1297+E1339</f>
        <v>8903</v>
      </c>
      <c r="G1171" s="318">
        <v>26.78</v>
      </c>
      <c r="H1171" s="318"/>
      <c r="I1171" s="294">
        <f t="shared" si="723"/>
        <v>243661</v>
      </c>
      <c r="J1171" s="294">
        <f t="shared" si="723"/>
        <v>238422</v>
      </c>
      <c r="L1171" s="318"/>
      <c r="M1171" s="318"/>
      <c r="N1171" s="318"/>
      <c r="O1171" s="318"/>
      <c r="P1171" s="318"/>
      <c r="Q1171" s="318"/>
      <c r="R1171" s="318"/>
      <c r="S1171" s="318"/>
      <c r="T1171" s="319"/>
      <c r="U1171" s="319"/>
      <c r="V1171" s="319"/>
      <c r="W1171" s="319"/>
      <c r="X1171" s="319"/>
      <c r="Y1171" s="319"/>
      <c r="AB1171" s="305"/>
      <c r="AC1171" s="304"/>
    </row>
    <row r="1172" spans="2:29">
      <c r="B1172" s="391" t="s">
        <v>1134</v>
      </c>
      <c r="AB1172" s="305"/>
      <c r="AC1172" s="304"/>
    </row>
    <row r="1173" spans="2:29">
      <c r="B1173" s="317" t="s">
        <v>1135</v>
      </c>
      <c r="C1173" s="292">
        <v>3</v>
      </c>
      <c r="D1173" s="293">
        <f t="shared" ref="D1173:E1183" si="725">D1215+D1257+D1299+D1341</f>
        <v>3544.3636986301349</v>
      </c>
      <c r="E1173" s="293">
        <f t="shared" si="725"/>
        <v>3408</v>
      </c>
      <c r="G1173" s="318">
        <v>14.6</v>
      </c>
      <c r="H1173" s="318"/>
      <c r="I1173" s="294">
        <f t="shared" ref="I1173:J1183" si="726">ROUND($G1173*D1173,0)</f>
        <v>51748</v>
      </c>
      <c r="J1173" s="294">
        <f t="shared" si="726"/>
        <v>49757</v>
      </c>
      <c r="L1173" s="318"/>
      <c r="M1173" s="318"/>
      <c r="N1173" s="318"/>
      <c r="O1173" s="318"/>
      <c r="P1173" s="318"/>
      <c r="Q1173" s="318"/>
      <c r="R1173" s="318"/>
      <c r="S1173" s="318"/>
      <c r="T1173" s="319"/>
      <c r="U1173" s="319"/>
      <c r="V1173" s="319"/>
      <c r="W1173" s="319"/>
      <c r="X1173" s="319"/>
      <c r="Y1173" s="319"/>
      <c r="AB1173" s="305"/>
      <c r="AC1173" s="304"/>
    </row>
    <row r="1174" spans="2:29">
      <c r="B1174" s="317" t="s">
        <v>1136</v>
      </c>
      <c r="C1174" s="292">
        <v>4</v>
      </c>
      <c r="D1174" s="293">
        <f t="shared" si="725"/>
        <v>1432.432542927228</v>
      </c>
      <c r="E1174" s="293">
        <f t="shared" si="725"/>
        <v>1393</v>
      </c>
      <c r="G1174" s="318">
        <v>12.23</v>
      </c>
      <c r="H1174" s="318"/>
      <c r="I1174" s="294">
        <f t="shared" si="726"/>
        <v>17519</v>
      </c>
      <c r="J1174" s="294">
        <f t="shared" si="726"/>
        <v>17036</v>
      </c>
      <c r="L1174" s="318"/>
      <c r="M1174" s="318"/>
      <c r="N1174" s="318"/>
      <c r="O1174" s="318"/>
      <c r="P1174" s="318"/>
      <c r="Q1174" s="318"/>
      <c r="R1174" s="318"/>
      <c r="S1174" s="318"/>
      <c r="T1174" s="319"/>
      <c r="U1174" s="319"/>
      <c r="V1174" s="319"/>
      <c r="W1174" s="319"/>
      <c r="X1174" s="319"/>
      <c r="Y1174" s="319"/>
    </row>
    <row r="1175" spans="2:29">
      <c r="B1175" s="317" t="s">
        <v>1137</v>
      </c>
      <c r="C1175" s="292">
        <v>5</v>
      </c>
      <c r="D1175" s="293">
        <f t="shared" si="725"/>
        <v>22685.572721396195</v>
      </c>
      <c r="E1175" s="293">
        <f t="shared" si="725"/>
        <v>21807</v>
      </c>
      <c r="G1175" s="318">
        <v>15.47</v>
      </c>
      <c r="H1175" s="318"/>
      <c r="I1175" s="294">
        <f t="shared" si="726"/>
        <v>350946</v>
      </c>
      <c r="J1175" s="294">
        <f t="shared" si="726"/>
        <v>337354</v>
      </c>
      <c r="L1175" s="318"/>
      <c r="M1175" s="318"/>
      <c r="N1175" s="318"/>
      <c r="O1175" s="318"/>
      <c r="P1175" s="318"/>
      <c r="Q1175" s="318"/>
      <c r="R1175" s="318"/>
      <c r="S1175" s="318"/>
      <c r="T1175" s="319"/>
      <c r="U1175" s="319"/>
      <c r="V1175" s="319"/>
      <c r="W1175" s="319"/>
      <c r="X1175" s="319"/>
      <c r="Y1175" s="319"/>
    </row>
    <row r="1176" spans="2:29">
      <c r="B1176" s="317" t="s">
        <v>1138</v>
      </c>
      <c r="C1176" s="292">
        <v>6</v>
      </c>
      <c r="D1176" s="293">
        <f t="shared" si="725"/>
        <v>17865.860255447038</v>
      </c>
      <c r="E1176" s="293">
        <f t="shared" si="725"/>
        <v>17345</v>
      </c>
      <c r="G1176" s="318">
        <v>13.31</v>
      </c>
      <c r="H1176" s="318"/>
      <c r="I1176" s="294">
        <f t="shared" si="726"/>
        <v>237795</v>
      </c>
      <c r="J1176" s="294">
        <f t="shared" si="726"/>
        <v>230862</v>
      </c>
      <c r="L1176" s="318"/>
      <c r="M1176" s="318"/>
      <c r="N1176" s="318"/>
      <c r="O1176" s="318"/>
      <c r="P1176" s="318"/>
      <c r="Q1176" s="318"/>
      <c r="R1176" s="318"/>
      <c r="S1176" s="318"/>
      <c r="T1176" s="319"/>
      <c r="U1176" s="319"/>
      <c r="V1176" s="319"/>
      <c r="W1176" s="319"/>
      <c r="X1176" s="319"/>
      <c r="Y1176" s="319"/>
    </row>
    <row r="1177" spans="2:29">
      <c r="B1177" s="317" t="s">
        <v>1139</v>
      </c>
      <c r="C1177" s="292">
        <v>7</v>
      </c>
      <c r="D1177" s="293">
        <f t="shared" si="725"/>
        <v>3186.1654676258945</v>
      </c>
      <c r="E1177" s="293">
        <f t="shared" si="725"/>
        <v>3018</v>
      </c>
      <c r="G1177" s="318">
        <v>19.46</v>
      </c>
      <c r="H1177" s="318"/>
      <c r="I1177" s="294">
        <f t="shared" si="726"/>
        <v>62003</v>
      </c>
      <c r="J1177" s="294">
        <f t="shared" si="726"/>
        <v>58730</v>
      </c>
      <c r="L1177" s="318"/>
      <c r="M1177" s="318"/>
      <c r="N1177" s="318"/>
      <c r="O1177" s="318"/>
      <c r="P1177" s="318"/>
      <c r="Q1177" s="318"/>
      <c r="R1177" s="318"/>
      <c r="S1177" s="318"/>
      <c r="T1177" s="319"/>
      <c r="U1177" s="319"/>
      <c r="V1177" s="319"/>
      <c r="W1177" s="319"/>
      <c r="X1177" s="319"/>
      <c r="Y1177" s="319"/>
    </row>
    <row r="1178" spans="2:29">
      <c r="B1178" s="317" t="s">
        <v>1140</v>
      </c>
      <c r="C1178" s="292">
        <v>8</v>
      </c>
      <c r="D1178" s="293">
        <f t="shared" si="725"/>
        <v>2284.6351430239388</v>
      </c>
      <c r="E1178" s="293">
        <f t="shared" si="725"/>
        <v>2209</v>
      </c>
      <c r="G1178" s="318">
        <v>17.13</v>
      </c>
      <c r="H1178" s="318"/>
      <c r="I1178" s="294">
        <f t="shared" si="726"/>
        <v>39136</v>
      </c>
      <c r="J1178" s="294">
        <f t="shared" si="726"/>
        <v>37840</v>
      </c>
      <c r="L1178" s="318"/>
      <c r="M1178" s="318"/>
      <c r="N1178" s="318"/>
      <c r="O1178" s="318"/>
      <c r="P1178" s="318"/>
      <c r="Q1178" s="318"/>
      <c r="R1178" s="318"/>
      <c r="S1178" s="318"/>
      <c r="T1178" s="319"/>
      <c r="U1178" s="319"/>
      <c r="V1178" s="319"/>
      <c r="W1178" s="319"/>
      <c r="X1178" s="319"/>
      <c r="Y1178" s="319"/>
    </row>
    <row r="1179" spans="2:29">
      <c r="B1179" s="317" t="s">
        <v>1141</v>
      </c>
      <c r="C1179" s="292">
        <v>9</v>
      </c>
      <c r="D1179" s="293">
        <f t="shared" si="725"/>
        <v>96.233507356430906</v>
      </c>
      <c r="E1179" s="293">
        <f t="shared" si="725"/>
        <v>90</v>
      </c>
      <c r="G1179" s="318">
        <v>21.07</v>
      </c>
      <c r="H1179" s="318"/>
      <c r="I1179" s="294">
        <f t="shared" si="726"/>
        <v>2028</v>
      </c>
      <c r="J1179" s="294">
        <f t="shared" si="726"/>
        <v>1896</v>
      </c>
      <c r="L1179" s="318"/>
      <c r="M1179" s="318"/>
      <c r="N1179" s="318"/>
      <c r="O1179" s="318"/>
      <c r="P1179" s="318"/>
      <c r="Q1179" s="318"/>
      <c r="R1179" s="318"/>
      <c r="S1179" s="318"/>
      <c r="T1179" s="319"/>
      <c r="U1179" s="319"/>
      <c r="V1179" s="319"/>
      <c r="W1179" s="319"/>
      <c r="X1179" s="319"/>
      <c r="Y1179" s="319"/>
    </row>
    <row r="1180" spans="2:29">
      <c r="B1180" s="317" t="s">
        <v>1142</v>
      </c>
      <c r="C1180" s="292">
        <v>10</v>
      </c>
      <c r="D1180" s="293">
        <f t="shared" si="725"/>
        <v>3256.3994045087184</v>
      </c>
      <c r="E1180" s="293">
        <f t="shared" si="725"/>
        <v>3084</v>
      </c>
      <c r="G1180" s="318">
        <v>23.51</v>
      </c>
      <c r="H1180" s="318"/>
      <c r="I1180" s="294">
        <f t="shared" si="726"/>
        <v>76558</v>
      </c>
      <c r="J1180" s="294">
        <f t="shared" si="726"/>
        <v>72505</v>
      </c>
      <c r="L1180" s="318"/>
      <c r="M1180" s="318"/>
      <c r="N1180" s="318"/>
      <c r="O1180" s="318"/>
      <c r="P1180" s="318"/>
      <c r="Q1180" s="318"/>
      <c r="R1180" s="318"/>
      <c r="S1180" s="318"/>
      <c r="T1180" s="319"/>
      <c r="U1180" s="319"/>
      <c r="V1180" s="319"/>
      <c r="W1180" s="319"/>
      <c r="X1180" s="319"/>
      <c r="Y1180" s="319"/>
    </row>
    <row r="1181" spans="2:29">
      <c r="B1181" s="317" t="s">
        <v>1143</v>
      </c>
      <c r="C1181" s="292">
        <v>11</v>
      </c>
      <c r="D1181" s="293">
        <f t="shared" si="725"/>
        <v>3903.236457842675</v>
      </c>
      <c r="E1181" s="293">
        <f t="shared" si="725"/>
        <v>3792</v>
      </c>
      <c r="G1181" s="318">
        <v>21.23</v>
      </c>
      <c r="H1181" s="318"/>
      <c r="I1181" s="294">
        <f t="shared" si="726"/>
        <v>82866</v>
      </c>
      <c r="J1181" s="294">
        <f t="shared" si="726"/>
        <v>80504</v>
      </c>
      <c r="L1181" s="318"/>
      <c r="M1181" s="318"/>
      <c r="N1181" s="318"/>
      <c r="O1181" s="318"/>
      <c r="P1181" s="318"/>
      <c r="Q1181" s="318"/>
      <c r="R1181" s="318"/>
      <c r="S1181" s="318"/>
      <c r="T1181" s="319"/>
      <c r="U1181" s="319"/>
      <c r="V1181" s="319"/>
      <c r="W1181" s="319"/>
      <c r="X1181" s="319"/>
      <c r="Y1181" s="319"/>
    </row>
    <row r="1182" spans="2:29">
      <c r="B1182" s="317" t="s">
        <v>1144</v>
      </c>
      <c r="C1182" s="292">
        <v>12</v>
      </c>
      <c r="D1182" s="293">
        <f t="shared" si="725"/>
        <v>2083.0886925795062</v>
      </c>
      <c r="E1182" s="293">
        <f t="shared" si="725"/>
        <v>1972</v>
      </c>
      <c r="G1182" s="318">
        <v>28.3</v>
      </c>
      <c r="H1182" s="318"/>
      <c r="I1182" s="294">
        <f t="shared" si="726"/>
        <v>58951</v>
      </c>
      <c r="J1182" s="294">
        <f t="shared" si="726"/>
        <v>55808</v>
      </c>
      <c r="L1182" s="318"/>
      <c r="M1182" s="318"/>
      <c r="N1182" s="318"/>
      <c r="O1182" s="318"/>
      <c r="P1182" s="318"/>
      <c r="Q1182" s="318"/>
      <c r="R1182" s="318"/>
      <c r="S1182" s="318"/>
      <c r="T1182" s="319"/>
      <c r="U1182" s="319"/>
      <c r="V1182" s="319"/>
      <c r="W1182" s="319"/>
      <c r="X1182" s="319"/>
      <c r="Y1182" s="319"/>
    </row>
    <row r="1183" spans="2:29">
      <c r="B1183" s="317" t="s">
        <v>1145</v>
      </c>
      <c r="C1183" s="292">
        <v>13</v>
      </c>
      <c r="D1183" s="293">
        <f t="shared" si="725"/>
        <v>2142.9330511735266</v>
      </c>
      <c r="E1183" s="293">
        <f t="shared" si="725"/>
        <v>2067</v>
      </c>
      <c r="G1183" s="318">
        <v>25.99</v>
      </c>
      <c r="H1183" s="318"/>
      <c r="I1183" s="294">
        <f t="shared" si="726"/>
        <v>55695</v>
      </c>
      <c r="J1183" s="294">
        <f t="shared" si="726"/>
        <v>53721</v>
      </c>
      <c r="L1183" s="318"/>
      <c r="M1183" s="318"/>
      <c r="N1183" s="318"/>
      <c r="O1183" s="318"/>
      <c r="P1183" s="318"/>
      <c r="Q1183" s="318"/>
      <c r="R1183" s="318"/>
      <c r="S1183" s="318"/>
      <c r="T1183" s="319"/>
      <c r="U1183" s="319"/>
      <c r="V1183" s="319"/>
      <c r="W1183" s="319"/>
      <c r="X1183" s="319"/>
      <c r="Y1183" s="319"/>
    </row>
    <row r="1184" spans="2:29">
      <c r="B1184" s="391" t="s">
        <v>1146</v>
      </c>
    </row>
    <row r="1185" spans="2:25">
      <c r="B1185" s="317" t="s">
        <v>1139</v>
      </c>
      <c r="C1185" s="292">
        <v>14</v>
      </c>
      <c r="D1185" s="293">
        <f t="shared" ref="D1185:E1190" si="727">D1227+D1269+D1311+D1353</f>
        <v>4218.9188078108982</v>
      </c>
      <c r="E1185" s="293">
        <f t="shared" si="727"/>
        <v>4104</v>
      </c>
      <c r="G1185" s="318">
        <v>19.46</v>
      </c>
      <c r="H1185" s="318"/>
      <c r="I1185" s="294">
        <f t="shared" ref="I1185:J1190" si="728">ROUND($G1185*D1185,0)</f>
        <v>82100</v>
      </c>
      <c r="J1185" s="294">
        <f t="shared" si="728"/>
        <v>79864</v>
      </c>
      <c r="L1185" s="318"/>
      <c r="M1185" s="318"/>
      <c r="N1185" s="318"/>
      <c r="O1185" s="318"/>
      <c r="P1185" s="318"/>
      <c r="Q1185" s="318"/>
      <c r="R1185" s="318"/>
      <c r="S1185" s="318"/>
      <c r="T1185" s="319"/>
      <c r="U1185" s="319"/>
      <c r="V1185" s="319"/>
      <c r="W1185" s="319"/>
      <c r="X1185" s="319"/>
      <c r="Y1185" s="319"/>
    </row>
    <row r="1186" spans="2:25">
      <c r="B1186" s="317" t="s">
        <v>1140</v>
      </c>
      <c r="C1186" s="292">
        <v>15</v>
      </c>
      <c r="D1186" s="293">
        <f t="shared" si="727"/>
        <v>4637.4354932866354</v>
      </c>
      <c r="E1186" s="293">
        <f t="shared" si="727"/>
        <v>4494</v>
      </c>
      <c r="G1186" s="318">
        <v>17.13</v>
      </c>
      <c r="H1186" s="318"/>
      <c r="I1186" s="294">
        <f t="shared" si="728"/>
        <v>79439</v>
      </c>
      <c r="J1186" s="294">
        <f t="shared" si="728"/>
        <v>76982</v>
      </c>
      <c r="L1186" s="318"/>
      <c r="M1186" s="318"/>
      <c r="N1186" s="318"/>
      <c r="O1186" s="318"/>
      <c r="P1186" s="318"/>
      <c r="Q1186" s="318"/>
      <c r="R1186" s="318"/>
      <c r="S1186" s="318"/>
      <c r="T1186" s="319"/>
      <c r="U1186" s="319"/>
      <c r="V1186" s="319"/>
      <c r="W1186" s="319"/>
      <c r="X1186" s="319"/>
      <c r="Y1186" s="319"/>
    </row>
    <row r="1187" spans="2:25">
      <c r="B1187" s="317" t="s">
        <v>1142</v>
      </c>
      <c r="C1187" s="292">
        <v>16</v>
      </c>
      <c r="D1187" s="293">
        <f t="shared" si="727"/>
        <v>943.19906422798852</v>
      </c>
      <c r="E1187" s="293">
        <f t="shared" si="727"/>
        <v>906</v>
      </c>
      <c r="G1187" s="318">
        <v>23.51</v>
      </c>
      <c r="H1187" s="318"/>
      <c r="I1187" s="294">
        <f t="shared" si="728"/>
        <v>22175</v>
      </c>
      <c r="J1187" s="294">
        <f t="shared" si="728"/>
        <v>21300</v>
      </c>
      <c r="L1187" s="318"/>
      <c r="M1187" s="318"/>
      <c r="N1187" s="318"/>
      <c r="O1187" s="318"/>
      <c r="P1187" s="318"/>
      <c r="Q1187" s="318"/>
      <c r="R1187" s="318"/>
      <c r="S1187" s="318"/>
      <c r="T1187" s="319"/>
      <c r="U1187" s="319"/>
      <c r="V1187" s="319"/>
      <c r="W1187" s="319"/>
      <c r="X1187" s="319"/>
      <c r="Y1187" s="319"/>
    </row>
    <row r="1188" spans="2:25">
      <c r="B1188" s="317" t="s">
        <v>1143</v>
      </c>
      <c r="C1188" s="292">
        <v>17</v>
      </c>
      <c r="D1188" s="293">
        <f t="shared" si="727"/>
        <v>1248.0325011775799</v>
      </c>
      <c r="E1188" s="293">
        <f t="shared" si="727"/>
        <v>1206</v>
      </c>
      <c r="G1188" s="318">
        <v>21.23</v>
      </c>
      <c r="H1188" s="318"/>
      <c r="I1188" s="294">
        <f t="shared" si="728"/>
        <v>26496</v>
      </c>
      <c r="J1188" s="294">
        <f t="shared" si="728"/>
        <v>25603</v>
      </c>
      <c r="L1188" s="318"/>
      <c r="M1188" s="318"/>
      <c r="N1188" s="318"/>
      <c r="O1188" s="318"/>
      <c r="P1188" s="318"/>
      <c r="Q1188" s="318"/>
      <c r="R1188" s="318"/>
      <c r="S1188" s="318"/>
      <c r="T1188" s="319"/>
      <c r="U1188" s="319"/>
      <c r="V1188" s="319"/>
      <c r="W1188" s="319"/>
      <c r="X1188" s="319"/>
      <c r="Y1188" s="319"/>
    </row>
    <row r="1189" spans="2:25">
      <c r="B1189" s="317" t="s">
        <v>1144</v>
      </c>
      <c r="C1189" s="292">
        <v>18</v>
      </c>
      <c r="D1189" s="293">
        <f t="shared" si="727"/>
        <v>8440.1773851590024</v>
      </c>
      <c r="E1189" s="293">
        <f t="shared" si="727"/>
        <v>8226</v>
      </c>
      <c r="G1189" s="318">
        <v>28.3</v>
      </c>
      <c r="H1189" s="318"/>
      <c r="I1189" s="294">
        <f t="shared" si="728"/>
        <v>238857</v>
      </c>
      <c r="J1189" s="294">
        <f t="shared" si="728"/>
        <v>232796</v>
      </c>
      <c r="L1189" s="318"/>
      <c r="M1189" s="318"/>
      <c r="N1189" s="318"/>
      <c r="O1189" s="318"/>
      <c r="P1189" s="318"/>
      <c r="Q1189" s="318"/>
      <c r="R1189" s="318"/>
      <c r="S1189" s="318"/>
      <c r="T1189" s="319"/>
      <c r="U1189" s="319"/>
      <c r="V1189" s="319"/>
      <c r="W1189" s="319"/>
      <c r="X1189" s="319"/>
      <c r="Y1189" s="319"/>
    </row>
    <row r="1190" spans="2:25">
      <c r="B1190" s="317" t="s">
        <v>1145</v>
      </c>
      <c r="C1190" s="292">
        <v>19</v>
      </c>
      <c r="D1190" s="293">
        <f t="shared" si="727"/>
        <v>9563.0681031165896</v>
      </c>
      <c r="E1190" s="293">
        <f t="shared" si="727"/>
        <v>9308</v>
      </c>
      <c r="G1190" s="318">
        <v>25.99</v>
      </c>
      <c r="H1190" s="318"/>
      <c r="I1190" s="294">
        <f t="shared" si="728"/>
        <v>248544</v>
      </c>
      <c r="J1190" s="294">
        <f t="shared" si="728"/>
        <v>241915</v>
      </c>
      <c r="L1190" s="318"/>
      <c r="M1190" s="318"/>
      <c r="N1190" s="318"/>
      <c r="O1190" s="318"/>
      <c r="P1190" s="318"/>
      <c r="Q1190" s="318"/>
      <c r="R1190" s="318"/>
      <c r="S1190" s="318"/>
      <c r="T1190" s="319"/>
      <c r="U1190" s="319"/>
      <c r="V1190" s="319"/>
      <c r="W1190" s="319"/>
      <c r="X1190" s="319"/>
      <c r="Y1190" s="319"/>
    </row>
    <row r="1191" spans="2:25">
      <c r="B1191" s="391" t="s">
        <v>1147</v>
      </c>
    </row>
    <row r="1192" spans="2:25">
      <c r="B1192" s="317" t="s">
        <v>1148</v>
      </c>
      <c r="C1192" s="292">
        <v>20</v>
      </c>
      <c r="D1192" s="293">
        <f t="shared" ref="D1192:E1199" si="729">D1234+D1276+D1318+D1360</f>
        <v>0</v>
      </c>
      <c r="E1192" s="293">
        <f t="shared" si="729"/>
        <v>0</v>
      </c>
      <c r="G1192" s="318">
        <v>29.4</v>
      </c>
      <c r="H1192" s="318"/>
      <c r="I1192" s="294">
        <f t="shared" ref="I1192:J1199" si="730">ROUND($G1192*D1192,0)</f>
        <v>0</v>
      </c>
      <c r="J1192" s="294">
        <f t="shared" si="730"/>
        <v>0</v>
      </c>
      <c r="L1192" s="318"/>
      <c r="M1192" s="318"/>
      <c r="N1192" s="318"/>
      <c r="O1192" s="318"/>
      <c r="P1192" s="318"/>
      <c r="Q1192" s="318"/>
      <c r="R1192" s="318"/>
      <c r="S1192" s="318"/>
      <c r="T1192" s="319"/>
      <c r="U1192" s="319"/>
      <c r="V1192" s="319"/>
      <c r="W1192" s="319"/>
      <c r="X1192" s="319"/>
      <c r="Y1192" s="319"/>
    </row>
    <row r="1193" spans="2:25">
      <c r="B1193" s="317" t="s">
        <v>1149</v>
      </c>
      <c r="C1193" s="292">
        <v>21</v>
      </c>
      <c r="D1193" s="293">
        <f t="shared" si="729"/>
        <v>294.36622303809088</v>
      </c>
      <c r="E1193" s="293">
        <f t="shared" si="729"/>
        <v>280</v>
      </c>
      <c r="G1193" s="318">
        <v>21.79</v>
      </c>
      <c r="H1193" s="318"/>
      <c r="I1193" s="294">
        <f t="shared" si="730"/>
        <v>6414</v>
      </c>
      <c r="J1193" s="294">
        <f t="shared" si="730"/>
        <v>6101</v>
      </c>
      <c r="L1193" s="318"/>
      <c r="M1193" s="318"/>
      <c r="N1193" s="318"/>
      <c r="O1193" s="318"/>
      <c r="P1193" s="318"/>
      <c r="Q1193" s="318"/>
      <c r="R1193" s="318"/>
      <c r="S1193" s="318"/>
      <c r="T1193" s="319"/>
      <c r="U1193" s="319"/>
      <c r="V1193" s="319"/>
      <c r="W1193" s="319"/>
      <c r="X1193" s="319"/>
      <c r="Y1193" s="319"/>
    </row>
    <row r="1194" spans="2:25">
      <c r="B1194" s="317" t="s">
        <v>1150</v>
      </c>
      <c r="C1194" s="292">
        <v>22</v>
      </c>
      <c r="D1194" s="293">
        <f t="shared" si="729"/>
        <v>108</v>
      </c>
      <c r="E1194" s="293">
        <f t="shared" si="729"/>
        <v>108</v>
      </c>
      <c r="G1194" s="318">
        <v>34.340000000000003</v>
      </c>
      <c r="H1194" s="318"/>
      <c r="I1194" s="294">
        <f t="shared" si="730"/>
        <v>3709</v>
      </c>
      <c r="J1194" s="294">
        <f t="shared" si="730"/>
        <v>3709</v>
      </c>
      <c r="L1194" s="318"/>
      <c r="M1194" s="318"/>
      <c r="N1194" s="318"/>
      <c r="O1194" s="318"/>
      <c r="P1194" s="318"/>
      <c r="Q1194" s="318"/>
      <c r="R1194" s="318"/>
      <c r="S1194" s="318"/>
      <c r="T1194" s="319"/>
      <c r="U1194" s="319"/>
      <c r="V1194" s="319"/>
      <c r="W1194" s="319"/>
      <c r="X1194" s="319"/>
      <c r="Y1194" s="319"/>
    </row>
    <row r="1195" spans="2:25">
      <c r="B1195" s="317" t="s">
        <v>1151</v>
      </c>
      <c r="C1195" s="292">
        <v>23</v>
      </c>
      <c r="D1195" s="293">
        <f t="shared" si="729"/>
        <v>96</v>
      </c>
      <c r="E1195" s="293">
        <f t="shared" si="729"/>
        <v>94</v>
      </c>
      <c r="G1195" s="318">
        <v>27.43</v>
      </c>
      <c r="H1195" s="318"/>
      <c r="I1195" s="294">
        <f t="shared" si="730"/>
        <v>2633</v>
      </c>
      <c r="J1195" s="294">
        <f t="shared" si="730"/>
        <v>2578</v>
      </c>
      <c r="L1195" s="318"/>
      <c r="M1195" s="318"/>
      <c r="N1195" s="318"/>
      <c r="O1195" s="318"/>
      <c r="P1195" s="318"/>
      <c r="Q1195" s="318"/>
      <c r="R1195" s="318"/>
      <c r="S1195" s="318"/>
      <c r="T1195" s="319"/>
      <c r="U1195" s="319"/>
      <c r="V1195" s="319"/>
      <c r="W1195" s="319"/>
      <c r="X1195" s="319"/>
      <c r="Y1195" s="319"/>
    </row>
    <row r="1196" spans="2:25">
      <c r="B1196" s="317" t="s">
        <v>1152</v>
      </c>
      <c r="C1196" s="292">
        <v>24</v>
      </c>
      <c r="D1196" s="293">
        <f t="shared" si="729"/>
        <v>326.76669392204963</v>
      </c>
      <c r="E1196" s="293">
        <f t="shared" si="729"/>
        <v>304</v>
      </c>
      <c r="G1196" s="318">
        <v>36.69</v>
      </c>
      <c r="H1196" s="318"/>
      <c r="I1196" s="294">
        <f t="shared" si="730"/>
        <v>11989</v>
      </c>
      <c r="J1196" s="294">
        <f t="shared" si="730"/>
        <v>11154</v>
      </c>
      <c r="L1196" s="318"/>
      <c r="M1196" s="318"/>
      <c r="N1196" s="318"/>
      <c r="O1196" s="318"/>
      <c r="P1196" s="318"/>
      <c r="Q1196" s="318"/>
      <c r="R1196" s="318"/>
      <c r="S1196" s="318"/>
      <c r="T1196" s="319"/>
      <c r="U1196" s="319"/>
      <c r="V1196" s="319"/>
      <c r="W1196" s="319"/>
      <c r="X1196" s="319"/>
      <c r="Y1196" s="319"/>
    </row>
    <row r="1197" spans="2:25">
      <c r="B1197" s="317" t="s">
        <v>1153</v>
      </c>
      <c r="C1197" s="292">
        <v>25</v>
      </c>
      <c r="D1197" s="293">
        <f t="shared" si="729"/>
        <v>573.43304172274532</v>
      </c>
      <c r="E1197" s="293">
        <f t="shared" si="729"/>
        <v>553</v>
      </c>
      <c r="G1197" s="318">
        <v>29.72</v>
      </c>
      <c r="H1197" s="318"/>
      <c r="I1197" s="294">
        <f t="shared" si="730"/>
        <v>17042</v>
      </c>
      <c r="J1197" s="294">
        <f t="shared" si="730"/>
        <v>16435</v>
      </c>
      <c r="L1197" s="318"/>
      <c r="M1197" s="318"/>
      <c r="N1197" s="318"/>
      <c r="O1197" s="318"/>
      <c r="P1197" s="318"/>
      <c r="Q1197" s="318"/>
      <c r="R1197" s="318"/>
      <c r="S1197" s="318"/>
      <c r="T1197" s="319"/>
      <c r="U1197" s="319"/>
      <c r="V1197" s="319"/>
      <c r="W1197" s="319"/>
      <c r="X1197" s="319"/>
      <c r="Y1197" s="319"/>
    </row>
    <row r="1198" spans="2:25">
      <c r="B1198" s="317" t="s">
        <v>1154</v>
      </c>
      <c r="C1198" s="292">
        <v>26</v>
      </c>
      <c r="D1198" s="293">
        <f t="shared" si="729"/>
        <v>12</v>
      </c>
      <c r="E1198" s="293">
        <f t="shared" si="729"/>
        <v>12</v>
      </c>
      <c r="G1198" s="318">
        <v>57.58</v>
      </c>
      <c r="H1198" s="318"/>
      <c r="I1198" s="294">
        <f t="shared" si="730"/>
        <v>691</v>
      </c>
      <c r="J1198" s="294">
        <f t="shared" si="730"/>
        <v>691</v>
      </c>
      <c r="L1198" s="318"/>
      <c r="M1198" s="318"/>
      <c r="N1198" s="318"/>
      <c r="O1198" s="318"/>
      <c r="P1198" s="318"/>
      <c r="Q1198" s="318"/>
      <c r="R1198" s="318"/>
      <c r="S1198" s="318"/>
      <c r="T1198" s="319"/>
      <c r="U1198" s="319"/>
      <c r="V1198" s="319"/>
      <c r="W1198" s="319"/>
      <c r="X1198" s="319"/>
      <c r="Y1198" s="319"/>
    </row>
    <row r="1199" spans="2:25">
      <c r="B1199" s="317" t="s">
        <v>1155</v>
      </c>
      <c r="C1199" s="292">
        <v>27</v>
      </c>
      <c r="D1199" s="293">
        <f t="shared" si="729"/>
        <v>33.733401221995898</v>
      </c>
      <c r="E1199" s="293">
        <f t="shared" si="729"/>
        <v>33</v>
      </c>
      <c r="G1199" s="318">
        <v>49.1</v>
      </c>
      <c r="H1199" s="318"/>
      <c r="I1199" s="294">
        <f t="shared" si="730"/>
        <v>1656</v>
      </c>
      <c r="J1199" s="294">
        <f t="shared" si="730"/>
        <v>1620</v>
      </c>
      <c r="L1199" s="318"/>
      <c r="M1199" s="318"/>
      <c r="N1199" s="318"/>
      <c r="O1199" s="318"/>
      <c r="P1199" s="318"/>
      <c r="Q1199" s="318"/>
      <c r="R1199" s="318"/>
      <c r="S1199" s="318"/>
      <c r="T1199" s="319"/>
      <c r="U1199" s="319"/>
      <c r="V1199" s="319"/>
      <c r="W1199" s="319"/>
      <c r="X1199" s="319"/>
      <c r="Y1199" s="319"/>
    </row>
    <row r="1200" spans="2:25">
      <c r="B1200" s="317" t="s">
        <v>1156</v>
      </c>
      <c r="D1200" s="293">
        <f>SUM(D1168:D1199)</f>
        <v>139104.57732785653</v>
      </c>
      <c r="E1200" s="293">
        <f>SUM(E1168:E1199)</f>
        <v>134800</v>
      </c>
      <c r="I1200" s="294">
        <f>SUM(I1168:I1199)</f>
        <v>2627201</v>
      </c>
      <c r="J1200" s="294">
        <f>SUM(J1168:J1199)</f>
        <v>2546239</v>
      </c>
    </row>
    <row r="1201" spans="1:30">
      <c r="B1201" s="317" t="s">
        <v>1157</v>
      </c>
      <c r="D1201" s="392">
        <f t="shared" ref="D1201:E1202" si="731">D1243+D1285+D1327+D1369</f>
        <v>10821359.950480232</v>
      </c>
      <c r="E1201" s="392">
        <f t="shared" si="731"/>
        <v>10497984.469308628</v>
      </c>
    </row>
    <row r="1202" spans="1:30">
      <c r="B1202" s="317" t="s">
        <v>1158</v>
      </c>
      <c r="D1202" s="393">
        <f t="shared" si="731"/>
        <v>21913</v>
      </c>
      <c r="E1202" s="393">
        <f t="shared" si="731"/>
        <v>0</v>
      </c>
      <c r="G1202" s="394"/>
      <c r="I1202" s="395">
        <f>I1244+I1286+I1328+I1370</f>
        <v>7198</v>
      </c>
      <c r="J1202" s="395">
        <f t="shared" ref="J1202" si="732">J1244+J1286+J1328+J1370</f>
        <v>0</v>
      </c>
      <c r="L1202" s="394"/>
      <c r="N1202" s="394"/>
      <c r="P1202" s="394"/>
      <c r="R1202" s="394"/>
      <c r="Z1202" s="395"/>
    </row>
    <row r="1203" spans="1:30">
      <c r="B1203" s="317" t="s">
        <v>1079</v>
      </c>
      <c r="G1203" s="338">
        <v>-1.9800000000000002E-2</v>
      </c>
      <c r="H1203" s="339"/>
      <c r="I1203" s="294">
        <f>I1200*$G1203</f>
        <v>-52018.579800000007</v>
      </c>
      <c r="J1203" s="294">
        <f>J1200*$G1203</f>
        <v>-50415.532200000001</v>
      </c>
      <c r="L1203" s="338"/>
      <c r="M1203" s="339"/>
      <c r="N1203" s="338"/>
      <c r="O1203" s="339"/>
      <c r="P1203" s="359" t="str">
        <f>$P$43</f>
        <v>Tax Year 1</v>
      </c>
      <c r="Q1203" s="339"/>
      <c r="R1203" s="338">
        <f>$AD$1203</f>
        <v>-1.7000000000000001E-2</v>
      </c>
      <c r="S1203" s="339"/>
      <c r="Z1203" s="294">
        <f>R1203*Z1206</f>
        <v>-23868.912622137523</v>
      </c>
      <c r="AB1203" s="305" t="s">
        <v>1011</v>
      </c>
      <c r="AC1203" s="337">
        <f>[7]RateSpread!V56*1000</f>
        <v>-23835.267421272736</v>
      </c>
      <c r="AD1203" s="338">
        <f>ROUND(AC1203/Z1206,4)</f>
        <v>-1.7000000000000001E-2</v>
      </c>
    </row>
    <row r="1204" spans="1:30">
      <c r="B1204" s="317"/>
      <c r="G1204" s="338"/>
      <c r="H1204" s="339"/>
      <c r="L1204" s="338"/>
      <c r="M1204" s="339"/>
      <c r="N1204" s="338"/>
      <c r="O1204" s="339"/>
      <c r="P1204" s="359" t="str">
        <f>$P$44</f>
        <v>Tax Year 2</v>
      </c>
      <c r="Q1204" s="339"/>
      <c r="R1204" s="338">
        <f>$AD$1204</f>
        <v>-8.5000000000000006E-3</v>
      </c>
      <c r="S1204" s="339"/>
      <c r="Z1204" s="294">
        <f>R1204*Z1206</f>
        <v>-11934.456311068761</v>
      </c>
      <c r="AB1204" s="305" t="s">
        <v>1057</v>
      </c>
      <c r="AC1204" s="337">
        <f>[7]RateSpread!W56*1000</f>
        <v>-11917.633724929987</v>
      </c>
      <c r="AD1204" s="338">
        <f>ROUND(AC1204/Z1206,4)</f>
        <v>-8.5000000000000006E-3</v>
      </c>
    </row>
    <row r="1205" spans="1:30">
      <c r="B1205" s="317" t="s">
        <v>1159</v>
      </c>
      <c r="D1205" s="293">
        <f t="shared" ref="D1205:E1205" si="733">D1247+D1289+D1331+D1373</f>
        <v>6725.8333333333267</v>
      </c>
      <c r="E1205" s="293">
        <f t="shared" si="733"/>
        <v>6491</v>
      </c>
    </row>
    <row r="1206" spans="1:30" ht="16.5" thickBot="1">
      <c r="A1206" s="292">
        <v>1</v>
      </c>
      <c r="B1206" s="317" t="s">
        <v>983</v>
      </c>
      <c r="D1206" s="396">
        <f>D1201+D1202</f>
        <v>10843272.950480232</v>
      </c>
      <c r="E1206" s="396">
        <f>E1201+E1202</f>
        <v>10497984.469308628</v>
      </c>
      <c r="G1206" s="363"/>
      <c r="I1206" s="364">
        <f>SUM(I1200:I1203)</f>
        <v>2582380.4202000001</v>
      </c>
      <c r="J1206" s="364">
        <f>SUM(J1200:J1203)</f>
        <v>2495823.4678000002</v>
      </c>
      <c r="L1206" s="363"/>
      <c r="N1206" s="363"/>
      <c r="P1206" s="363"/>
      <c r="R1206" s="363"/>
      <c r="T1206" s="294">
        <f>$Z1206*AB$1797/$AE$1797</f>
        <v>968160.84683475597</v>
      </c>
      <c r="V1206" s="294">
        <f>$Z1206*AC$1797/$AE$1797</f>
        <v>229857.27394424911</v>
      </c>
      <c r="X1206" s="294">
        <f>Z1206-T1206-V1206</f>
        <v>206035.56287614329</v>
      </c>
      <c r="Z1206" s="364">
        <f>[7]RateSpread!M56*1000</f>
        <v>1404053.6836551484</v>
      </c>
      <c r="AB1206" s="305" t="s">
        <v>939</v>
      </c>
      <c r="AC1206" s="304">
        <f>Z1206/J1206-1</f>
        <v>-0.43743870439170796</v>
      </c>
    </row>
    <row r="1207" spans="1:30" ht="16.5" thickTop="1">
      <c r="A1207" s="292">
        <v>1</v>
      </c>
      <c r="F1207" s="339"/>
      <c r="K1207" s="339"/>
    </row>
    <row r="1208" spans="1:30">
      <c r="B1208" s="314" t="s">
        <v>984</v>
      </c>
    </row>
    <row r="1209" spans="1:30">
      <c r="B1209" s="391" t="s">
        <v>1129</v>
      </c>
      <c r="D1209" s="293" t="s">
        <v>1160</v>
      </c>
    </row>
    <row r="1210" spans="1:30">
      <c r="B1210" s="317" t="s">
        <v>1130</v>
      </c>
      <c r="C1210" s="292">
        <v>29</v>
      </c>
      <c r="D1210" s="293">
        <f>SUMIFS('[7]7'!$M$2:$M$85,'[7]7'!$C$2:$C$85,C1210,'[7]7'!$A$2:$A$85,$D$1209)</f>
        <v>0</v>
      </c>
      <c r="E1210" s="293">
        <f>ROUND(D1210/$D$1243*$E$1243,0)</f>
        <v>0</v>
      </c>
      <c r="G1210" s="318">
        <v>5.68</v>
      </c>
      <c r="H1210" s="318"/>
      <c r="I1210" s="294">
        <f t="shared" ref="I1210:J1213" si="734">ROUND($G1210*D1210,0)</f>
        <v>0</v>
      </c>
      <c r="J1210" s="294">
        <f t="shared" si="734"/>
        <v>0</v>
      </c>
      <c r="L1210" s="318"/>
      <c r="M1210" s="318"/>
      <c r="N1210" s="318"/>
      <c r="O1210" s="318"/>
      <c r="P1210" s="318"/>
      <c r="Q1210" s="318"/>
      <c r="R1210" s="318"/>
      <c r="S1210" s="318"/>
      <c r="T1210" s="319"/>
      <c r="U1210" s="319"/>
      <c r="V1210" s="319"/>
      <c r="W1210" s="319"/>
      <c r="X1210" s="319"/>
      <c r="Y1210" s="319"/>
    </row>
    <row r="1211" spans="1:30">
      <c r="B1211" s="317" t="s">
        <v>1131</v>
      </c>
      <c r="C1211" s="292">
        <v>1</v>
      </c>
      <c r="D1211" s="293">
        <f>SUMIFS('[7]7'!$M$2:$M$85,'[7]7'!$C$2:$C$85,C1211,'[7]7'!$A$2:$A$85,$D$1209)+SUMIFS('[7]7'!$M$2:$M$85,'[7]7'!$C$2:$C$85,28,'[7]7'!$A$2:$A$85,$D$1209)</f>
        <v>12068.206959707</v>
      </c>
      <c r="E1211" s="293">
        <f>ROUND(D1211/$D$1243*$E$1243,0)</f>
        <v>11765</v>
      </c>
      <c r="G1211" s="318">
        <v>16.38</v>
      </c>
      <c r="H1211" s="318"/>
      <c r="I1211" s="294">
        <f t="shared" si="734"/>
        <v>197677</v>
      </c>
      <c r="J1211" s="294">
        <f t="shared" si="734"/>
        <v>192711</v>
      </c>
      <c r="L1211" s="318"/>
      <c r="M1211" s="318"/>
      <c r="N1211" s="318"/>
      <c r="O1211" s="318"/>
      <c r="P1211" s="318"/>
      <c r="Q1211" s="318"/>
      <c r="R1211" s="318"/>
      <c r="S1211" s="318"/>
      <c r="T1211" s="319"/>
      <c r="U1211" s="319"/>
      <c r="V1211" s="319"/>
      <c r="W1211" s="319"/>
      <c r="X1211" s="319"/>
      <c r="Y1211" s="319"/>
    </row>
    <row r="1212" spans="1:30">
      <c r="B1212" s="317" t="s">
        <v>1132</v>
      </c>
      <c r="C1212" s="292">
        <v>40</v>
      </c>
      <c r="D1212" s="293">
        <f>SUMIFS('[7]7'!$M$2:$M$85,'[7]7'!$C$2:$C$85,C1212,'[7]7'!$A$2:$A$85,$D$1209)</f>
        <v>0</v>
      </c>
      <c r="E1212" s="293">
        <f>ROUND(D1212/$D$1243*$E$1243,0)</f>
        <v>0</v>
      </c>
      <c r="G1212" s="318">
        <v>8.0500000000000007</v>
      </c>
      <c r="H1212" s="318"/>
      <c r="I1212" s="294">
        <f t="shared" si="734"/>
        <v>0</v>
      </c>
      <c r="J1212" s="294">
        <f t="shared" si="734"/>
        <v>0</v>
      </c>
      <c r="L1212" s="318"/>
      <c r="M1212" s="318"/>
      <c r="N1212" s="318"/>
      <c r="O1212" s="318"/>
      <c r="P1212" s="318"/>
      <c r="Q1212" s="318"/>
      <c r="R1212" s="318"/>
      <c r="S1212" s="318"/>
      <c r="T1212" s="319"/>
      <c r="U1212" s="319"/>
      <c r="V1212" s="319"/>
      <c r="W1212" s="319"/>
      <c r="X1212" s="319"/>
      <c r="Y1212" s="319"/>
    </row>
    <row r="1213" spans="1:30">
      <c r="B1213" s="317" t="s">
        <v>1133</v>
      </c>
      <c r="C1213" s="292">
        <v>2</v>
      </c>
      <c r="D1213" s="293">
        <f>SUMIFS('[7]7'!$M$2:$M$85,'[7]7'!$C$2:$C$85,C1213,'[7]7'!$A$2:$A$85,$D$1209)</f>
        <v>762.60156833457802</v>
      </c>
      <c r="E1213" s="293">
        <f>ROUND(D1213/$D$1243*$E$1243,0)</f>
        <v>743</v>
      </c>
      <c r="G1213" s="318">
        <v>26.78</v>
      </c>
      <c r="H1213" s="318"/>
      <c r="I1213" s="294">
        <f t="shared" si="734"/>
        <v>20422</v>
      </c>
      <c r="J1213" s="294">
        <f t="shared" si="734"/>
        <v>19898</v>
      </c>
      <c r="L1213" s="318"/>
      <c r="M1213" s="318"/>
      <c r="N1213" s="318"/>
      <c r="O1213" s="318"/>
      <c r="P1213" s="318"/>
      <c r="Q1213" s="318"/>
      <c r="R1213" s="318"/>
      <c r="S1213" s="318"/>
      <c r="T1213" s="319"/>
      <c r="U1213" s="319"/>
      <c r="V1213" s="319"/>
      <c r="W1213" s="319"/>
      <c r="X1213" s="319"/>
      <c r="Y1213" s="319"/>
    </row>
    <row r="1214" spans="1:30">
      <c r="B1214" s="391" t="s">
        <v>1134</v>
      </c>
    </row>
    <row r="1215" spans="1:30">
      <c r="B1215" s="317" t="s">
        <v>1135</v>
      </c>
      <c r="C1215" s="292">
        <v>3</v>
      </c>
      <c r="D1215" s="293">
        <f>SUMIFS('[7]7'!$M$2:$M$85,'[7]7'!$C$2:$C$85,C1215,'[7]7'!$A$2:$A$85,$D$1209)</f>
        <v>2326.39726027397</v>
      </c>
      <c r="E1215" s="293">
        <f t="shared" ref="E1215:E1225" si="735">ROUND(D1215/$D$1243*$E$1243,0)</f>
        <v>2268</v>
      </c>
      <c r="G1215" s="318">
        <v>14.6</v>
      </c>
      <c r="H1215" s="318"/>
      <c r="I1215" s="294">
        <f t="shared" ref="I1215:J1225" si="736">ROUND($G1215*D1215,0)</f>
        <v>33965</v>
      </c>
      <c r="J1215" s="294">
        <f t="shared" si="736"/>
        <v>33113</v>
      </c>
      <c r="L1215" s="318"/>
      <c r="M1215" s="318"/>
      <c r="N1215" s="318"/>
      <c r="O1215" s="318"/>
      <c r="P1215" s="318"/>
      <c r="Q1215" s="318"/>
      <c r="R1215" s="318"/>
      <c r="S1215" s="318"/>
      <c r="T1215" s="319"/>
      <c r="U1215" s="319"/>
      <c r="V1215" s="319"/>
      <c r="W1215" s="319"/>
      <c r="X1215" s="319"/>
      <c r="Y1215" s="319"/>
    </row>
    <row r="1216" spans="1:30">
      <c r="B1216" s="317" t="s">
        <v>1136</v>
      </c>
      <c r="C1216" s="292">
        <v>4</v>
      </c>
      <c r="D1216" s="293">
        <f>SUMIFS('[7]7'!$M$2:$M$85,'[7]7'!$C$2:$C$85,C1216,'[7]7'!$A$2:$A$85,$D$1209)</f>
        <v>838.19869174161897</v>
      </c>
      <c r="E1216" s="293">
        <f t="shared" si="735"/>
        <v>817</v>
      </c>
      <c r="G1216" s="318">
        <v>12.23</v>
      </c>
      <c r="H1216" s="318"/>
      <c r="I1216" s="294">
        <f t="shared" si="736"/>
        <v>10251</v>
      </c>
      <c r="J1216" s="294">
        <f t="shared" si="736"/>
        <v>9992</v>
      </c>
      <c r="L1216" s="318"/>
      <c r="M1216" s="318"/>
      <c r="N1216" s="318"/>
      <c r="O1216" s="318"/>
      <c r="P1216" s="318"/>
      <c r="Q1216" s="318"/>
      <c r="R1216" s="318"/>
      <c r="S1216" s="318"/>
      <c r="T1216" s="319"/>
      <c r="U1216" s="319"/>
      <c r="V1216" s="319"/>
      <c r="W1216" s="319"/>
      <c r="X1216" s="319"/>
      <c r="Y1216" s="319"/>
    </row>
    <row r="1217" spans="2:25">
      <c r="B1217" s="317" t="s">
        <v>1137</v>
      </c>
      <c r="C1217" s="292">
        <v>5</v>
      </c>
      <c r="D1217" s="293">
        <f>SUMIFS('[7]7'!$M$2:$M$85,'[7]7'!$C$2:$C$85,C1217,'[7]7'!$A$2:$A$85,$D$1209)</f>
        <v>8663.8209437621099</v>
      </c>
      <c r="E1217" s="293">
        <f t="shared" si="735"/>
        <v>8446</v>
      </c>
      <c r="G1217" s="318">
        <v>15.47</v>
      </c>
      <c r="H1217" s="318"/>
      <c r="I1217" s="294">
        <f t="shared" si="736"/>
        <v>134029</v>
      </c>
      <c r="J1217" s="294">
        <f t="shared" si="736"/>
        <v>130660</v>
      </c>
      <c r="L1217" s="318"/>
      <c r="M1217" s="318"/>
      <c r="N1217" s="318"/>
      <c r="O1217" s="318"/>
      <c r="P1217" s="318"/>
      <c r="Q1217" s="318"/>
      <c r="R1217" s="318"/>
      <c r="S1217" s="318"/>
      <c r="T1217" s="319"/>
      <c r="U1217" s="319"/>
      <c r="V1217" s="319"/>
      <c r="W1217" s="319"/>
      <c r="X1217" s="319"/>
      <c r="Y1217" s="319"/>
    </row>
    <row r="1218" spans="2:25">
      <c r="B1218" s="317" t="s">
        <v>1138</v>
      </c>
      <c r="C1218" s="292">
        <v>6</v>
      </c>
      <c r="D1218" s="293">
        <f>SUMIFS('[7]7'!$M$2:$M$85,'[7]7'!$C$2:$C$85,C1218,'[7]7'!$A$2:$A$85,$D$1209)</f>
        <v>7765.4440270473397</v>
      </c>
      <c r="E1218" s="293">
        <f t="shared" si="735"/>
        <v>7570</v>
      </c>
      <c r="G1218" s="318">
        <v>13.31</v>
      </c>
      <c r="H1218" s="318"/>
      <c r="I1218" s="294">
        <f t="shared" si="736"/>
        <v>103358</v>
      </c>
      <c r="J1218" s="294">
        <f t="shared" si="736"/>
        <v>100757</v>
      </c>
      <c r="L1218" s="318"/>
      <c r="M1218" s="318"/>
      <c r="N1218" s="318"/>
      <c r="O1218" s="318"/>
      <c r="P1218" s="318"/>
      <c r="Q1218" s="318"/>
      <c r="R1218" s="318"/>
      <c r="S1218" s="318"/>
      <c r="T1218" s="319"/>
      <c r="U1218" s="319"/>
      <c r="V1218" s="319"/>
      <c r="W1218" s="319"/>
      <c r="X1218" s="319"/>
      <c r="Y1218" s="319"/>
    </row>
    <row r="1219" spans="2:25">
      <c r="B1219" s="317" t="s">
        <v>1139</v>
      </c>
      <c r="C1219" s="292">
        <v>7</v>
      </c>
      <c r="D1219" s="293">
        <f>SUMIFS('[7]7'!$M$2:$M$85,'[7]7'!$C$2:$C$85,C1219,'[7]7'!$A$2:$A$85,$D$1209)</f>
        <v>1029.5328879753299</v>
      </c>
      <c r="E1219" s="293">
        <f t="shared" si="735"/>
        <v>1004</v>
      </c>
      <c r="G1219" s="318">
        <v>19.46</v>
      </c>
      <c r="H1219" s="318"/>
      <c r="I1219" s="294">
        <f t="shared" si="736"/>
        <v>20035</v>
      </c>
      <c r="J1219" s="294">
        <f t="shared" si="736"/>
        <v>19538</v>
      </c>
      <c r="L1219" s="318"/>
      <c r="M1219" s="318"/>
      <c r="N1219" s="318"/>
      <c r="O1219" s="318"/>
      <c r="P1219" s="318"/>
      <c r="Q1219" s="318"/>
      <c r="R1219" s="318"/>
      <c r="S1219" s="318"/>
      <c r="T1219" s="319"/>
      <c r="U1219" s="319"/>
      <c r="V1219" s="319"/>
      <c r="W1219" s="319"/>
      <c r="X1219" s="319"/>
      <c r="Y1219" s="319"/>
    </row>
    <row r="1220" spans="2:25">
      <c r="B1220" s="317" t="s">
        <v>1140</v>
      </c>
      <c r="C1220" s="292">
        <v>8</v>
      </c>
      <c r="D1220" s="293">
        <f>SUMIFS('[7]7'!$M$2:$M$85,'[7]7'!$C$2:$C$85,C1220,'[7]7'!$A$2:$A$85,$D$1209)</f>
        <v>448.83537653239898</v>
      </c>
      <c r="E1220" s="293">
        <f t="shared" si="735"/>
        <v>438</v>
      </c>
      <c r="G1220" s="318">
        <v>17.13</v>
      </c>
      <c r="H1220" s="318"/>
      <c r="I1220" s="294">
        <f t="shared" si="736"/>
        <v>7689</v>
      </c>
      <c r="J1220" s="294">
        <f t="shared" si="736"/>
        <v>7503</v>
      </c>
      <c r="L1220" s="318"/>
      <c r="M1220" s="318"/>
      <c r="N1220" s="318"/>
      <c r="O1220" s="318"/>
      <c r="P1220" s="318"/>
      <c r="Q1220" s="318"/>
      <c r="R1220" s="318"/>
      <c r="S1220" s="318"/>
      <c r="T1220" s="319"/>
      <c r="U1220" s="319"/>
      <c r="V1220" s="319"/>
      <c r="W1220" s="319"/>
      <c r="X1220" s="319"/>
      <c r="Y1220" s="319"/>
    </row>
    <row r="1221" spans="2:25">
      <c r="B1221" s="317" t="s">
        <v>1141</v>
      </c>
      <c r="C1221" s="292">
        <v>9</v>
      </c>
      <c r="D1221" s="293">
        <f>SUMIFS('[7]7'!$M$2:$M$85,'[7]7'!$C$2:$C$85,C1221,'[7]7'!$A$2:$A$85,$D$1209)</f>
        <v>72.233507356430906</v>
      </c>
      <c r="E1221" s="293">
        <f t="shared" si="735"/>
        <v>70</v>
      </c>
      <c r="G1221" s="318">
        <v>21.07</v>
      </c>
      <c r="H1221" s="318"/>
      <c r="I1221" s="294">
        <f t="shared" si="736"/>
        <v>1522</v>
      </c>
      <c r="J1221" s="294">
        <f t="shared" si="736"/>
        <v>1475</v>
      </c>
      <c r="L1221" s="318"/>
      <c r="M1221" s="318"/>
      <c r="N1221" s="318"/>
      <c r="O1221" s="318"/>
      <c r="P1221" s="318"/>
      <c r="Q1221" s="318"/>
      <c r="R1221" s="318"/>
      <c r="S1221" s="318"/>
      <c r="T1221" s="319"/>
      <c r="U1221" s="319"/>
      <c r="V1221" s="319"/>
      <c r="W1221" s="319"/>
      <c r="X1221" s="319"/>
      <c r="Y1221" s="319"/>
    </row>
    <row r="1222" spans="2:25">
      <c r="B1222" s="317" t="s">
        <v>1142</v>
      </c>
      <c r="C1222" s="292">
        <v>10</v>
      </c>
      <c r="D1222" s="293">
        <f>SUMIFS('[7]7'!$M$2:$M$85,'[7]7'!$C$2:$C$85,C1222,'[7]7'!$A$2:$A$85,$D$1209)</f>
        <v>430.90131858783502</v>
      </c>
      <c r="E1222" s="293">
        <f t="shared" si="735"/>
        <v>420</v>
      </c>
      <c r="G1222" s="318">
        <v>23.51</v>
      </c>
      <c r="H1222" s="318"/>
      <c r="I1222" s="294">
        <f t="shared" si="736"/>
        <v>10130</v>
      </c>
      <c r="J1222" s="294">
        <f t="shared" si="736"/>
        <v>9874</v>
      </c>
      <c r="L1222" s="318"/>
      <c r="M1222" s="318"/>
      <c r="N1222" s="318"/>
      <c r="O1222" s="318"/>
      <c r="P1222" s="318"/>
      <c r="Q1222" s="318"/>
      <c r="R1222" s="318"/>
      <c r="S1222" s="318"/>
      <c r="T1222" s="319"/>
      <c r="U1222" s="319"/>
      <c r="V1222" s="319"/>
      <c r="W1222" s="319"/>
      <c r="X1222" s="319"/>
      <c r="Y1222" s="319"/>
    </row>
    <row r="1223" spans="2:25">
      <c r="B1223" s="317" t="s">
        <v>1143</v>
      </c>
      <c r="C1223" s="292">
        <v>11</v>
      </c>
      <c r="D1223" s="293">
        <f>SUMIFS('[7]7'!$M$2:$M$85,'[7]7'!$C$2:$C$85,C1223,'[7]7'!$A$2:$A$85,$D$1209)</f>
        <v>447.55204898728198</v>
      </c>
      <c r="E1223" s="293">
        <f t="shared" si="735"/>
        <v>436</v>
      </c>
      <c r="G1223" s="318">
        <v>21.23</v>
      </c>
      <c r="H1223" s="318"/>
      <c r="I1223" s="294">
        <f t="shared" si="736"/>
        <v>9502</v>
      </c>
      <c r="J1223" s="294">
        <f t="shared" si="736"/>
        <v>9256</v>
      </c>
      <c r="L1223" s="318"/>
      <c r="M1223" s="318"/>
      <c r="N1223" s="318"/>
      <c r="O1223" s="318"/>
      <c r="P1223" s="318"/>
      <c r="Q1223" s="318"/>
      <c r="R1223" s="318"/>
      <c r="S1223" s="318"/>
      <c r="T1223" s="319"/>
      <c r="U1223" s="319"/>
      <c r="V1223" s="319"/>
      <c r="W1223" s="319"/>
      <c r="X1223" s="319"/>
      <c r="Y1223" s="319"/>
    </row>
    <row r="1224" spans="2:25">
      <c r="B1224" s="317" t="s">
        <v>1144</v>
      </c>
      <c r="C1224" s="292">
        <v>12</v>
      </c>
      <c r="D1224" s="293">
        <f>SUMIFS('[7]7'!$M$2:$M$85,'[7]7'!$C$2:$C$85,C1224,'[7]7'!$A$2:$A$85,$D$1209)</f>
        <v>444</v>
      </c>
      <c r="E1224" s="293">
        <f t="shared" si="735"/>
        <v>433</v>
      </c>
      <c r="G1224" s="318">
        <v>28.3</v>
      </c>
      <c r="H1224" s="318"/>
      <c r="I1224" s="294">
        <f t="shared" si="736"/>
        <v>12565</v>
      </c>
      <c r="J1224" s="294">
        <f t="shared" si="736"/>
        <v>12254</v>
      </c>
      <c r="L1224" s="318"/>
      <c r="M1224" s="318"/>
      <c r="N1224" s="318"/>
      <c r="O1224" s="318"/>
      <c r="P1224" s="318"/>
      <c r="Q1224" s="318"/>
      <c r="R1224" s="318"/>
      <c r="S1224" s="318"/>
      <c r="T1224" s="319"/>
      <c r="U1224" s="319"/>
      <c r="V1224" s="319"/>
      <c r="W1224" s="319"/>
      <c r="X1224" s="319"/>
      <c r="Y1224" s="319"/>
    </row>
    <row r="1225" spans="2:25">
      <c r="B1225" s="317" t="s">
        <v>1145</v>
      </c>
      <c r="C1225" s="292">
        <v>13</v>
      </c>
      <c r="D1225" s="293">
        <f>SUMIFS('[7]7'!$M$2:$M$85,'[7]7'!$C$2:$C$85,C1225,'[7]7'!$A$2:$A$85,$D$1209)</f>
        <v>272.66641015775298</v>
      </c>
      <c r="E1225" s="293">
        <f t="shared" si="735"/>
        <v>266</v>
      </c>
      <c r="G1225" s="318">
        <v>25.99</v>
      </c>
      <c r="H1225" s="318"/>
      <c r="I1225" s="294">
        <f t="shared" si="736"/>
        <v>7087</v>
      </c>
      <c r="J1225" s="294">
        <f t="shared" si="736"/>
        <v>6913</v>
      </c>
      <c r="L1225" s="318"/>
      <c r="M1225" s="318"/>
      <c r="N1225" s="318"/>
      <c r="O1225" s="318"/>
      <c r="P1225" s="318"/>
      <c r="Q1225" s="318"/>
      <c r="R1225" s="318"/>
      <c r="S1225" s="318"/>
      <c r="T1225" s="319"/>
      <c r="U1225" s="319"/>
      <c r="V1225" s="319"/>
      <c r="W1225" s="319"/>
      <c r="X1225" s="319"/>
      <c r="Y1225" s="319"/>
    </row>
    <row r="1226" spans="2:25">
      <c r="B1226" s="391" t="s">
        <v>1146</v>
      </c>
    </row>
    <row r="1227" spans="2:25">
      <c r="B1227" s="317" t="s">
        <v>1139</v>
      </c>
      <c r="C1227" s="292">
        <v>14</v>
      </c>
      <c r="D1227" s="293">
        <f>SUMIFS('[7]7'!$M$2:$M$85,'[7]7'!$C$2:$C$85,C1227,'[7]7'!$A$2:$A$85,$D$1209)</f>
        <v>1019.1341212744099</v>
      </c>
      <c r="E1227" s="293">
        <f t="shared" ref="E1227:E1232" si="737">ROUND(D1227/$D$1243*$E$1243,0)</f>
        <v>993</v>
      </c>
      <c r="G1227" s="318">
        <v>19.46</v>
      </c>
      <c r="H1227" s="318"/>
      <c r="I1227" s="294">
        <f t="shared" ref="I1227:J1232" si="738">ROUND($G1227*D1227,0)</f>
        <v>19832</v>
      </c>
      <c r="J1227" s="294">
        <f t="shared" si="738"/>
        <v>19324</v>
      </c>
      <c r="L1227" s="318"/>
      <c r="M1227" s="318"/>
      <c r="N1227" s="318"/>
      <c r="O1227" s="318"/>
      <c r="P1227" s="318"/>
      <c r="Q1227" s="318"/>
      <c r="R1227" s="318"/>
      <c r="S1227" s="318"/>
      <c r="T1227" s="319"/>
      <c r="U1227" s="319"/>
      <c r="V1227" s="319"/>
      <c r="W1227" s="319"/>
      <c r="X1227" s="319"/>
      <c r="Y1227" s="319"/>
    </row>
    <row r="1228" spans="2:25">
      <c r="B1228" s="317" t="s">
        <v>1140</v>
      </c>
      <c r="C1228" s="292">
        <v>15</v>
      </c>
      <c r="D1228" s="293">
        <f>SUMIFS('[7]7'!$M$2:$M$85,'[7]7'!$C$2:$C$85,C1228,'[7]7'!$A$2:$A$85,$D$1209)</f>
        <v>990.43432574430801</v>
      </c>
      <c r="E1228" s="293">
        <f t="shared" si="737"/>
        <v>966</v>
      </c>
      <c r="G1228" s="318">
        <v>17.13</v>
      </c>
      <c r="H1228" s="318"/>
      <c r="I1228" s="294">
        <f t="shared" si="738"/>
        <v>16966</v>
      </c>
      <c r="J1228" s="294">
        <f t="shared" si="738"/>
        <v>16548</v>
      </c>
      <c r="L1228" s="318"/>
      <c r="M1228" s="318"/>
      <c r="N1228" s="318"/>
      <c r="O1228" s="318"/>
      <c r="P1228" s="318"/>
      <c r="Q1228" s="318"/>
      <c r="R1228" s="318"/>
      <c r="S1228" s="318"/>
      <c r="T1228" s="319"/>
      <c r="U1228" s="319"/>
      <c r="V1228" s="319"/>
      <c r="W1228" s="319"/>
      <c r="X1228" s="319"/>
      <c r="Y1228" s="319"/>
    </row>
    <row r="1229" spans="2:25">
      <c r="B1229" s="317" t="s">
        <v>1142</v>
      </c>
      <c r="C1229" s="292">
        <v>16</v>
      </c>
      <c r="D1229" s="293">
        <f>SUMIFS('[7]7'!$M$2:$M$85,'[7]7'!$C$2:$C$85,C1229,'[7]7'!$A$2:$A$85,$D$1209)</f>
        <v>115.83283709059999</v>
      </c>
      <c r="E1229" s="293">
        <f t="shared" si="737"/>
        <v>113</v>
      </c>
      <c r="G1229" s="318">
        <v>23.51</v>
      </c>
      <c r="H1229" s="318"/>
      <c r="I1229" s="294">
        <f t="shared" si="738"/>
        <v>2723</v>
      </c>
      <c r="J1229" s="294">
        <f t="shared" si="738"/>
        <v>2657</v>
      </c>
      <c r="L1229" s="318"/>
      <c r="M1229" s="318"/>
      <c r="N1229" s="318"/>
      <c r="O1229" s="318"/>
      <c r="P1229" s="318"/>
      <c r="Q1229" s="318"/>
      <c r="R1229" s="318"/>
      <c r="S1229" s="318"/>
      <c r="T1229" s="319"/>
      <c r="U1229" s="319"/>
      <c r="V1229" s="319"/>
      <c r="W1229" s="319"/>
      <c r="X1229" s="319"/>
      <c r="Y1229" s="319"/>
    </row>
    <row r="1230" spans="2:25">
      <c r="B1230" s="317" t="s">
        <v>1143</v>
      </c>
      <c r="C1230" s="292">
        <v>17</v>
      </c>
      <c r="D1230" s="293">
        <f>SUMIFS('[7]7'!$M$2:$M$85,'[7]7'!$C$2:$C$85,C1230,'[7]7'!$A$2:$A$85,$D$1209)</f>
        <v>108</v>
      </c>
      <c r="E1230" s="293">
        <f t="shared" si="737"/>
        <v>105</v>
      </c>
      <c r="G1230" s="318">
        <v>21.23</v>
      </c>
      <c r="H1230" s="318"/>
      <c r="I1230" s="294">
        <f t="shared" si="738"/>
        <v>2293</v>
      </c>
      <c r="J1230" s="294">
        <f t="shared" si="738"/>
        <v>2229</v>
      </c>
      <c r="L1230" s="318"/>
      <c r="M1230" s="318"/>
      <c r="N1230" s="318"/>
      <c r="O1230" s="318"/>
      <c r="P1230" s="318"/>
      <c r="Q1230" s="318"/>
      <c r="R1230" s="318"/>
      <c r="S1230" s="318"/>
      <c r="T1230" s="319"/>
      <c r="U1230" s="319"/>
      <c r="V1230" s="319"/>
      <c r="W1230" s="319"/>
      <c r="X1230" s="319"/>
      <c r="Y1230" s="319"/>
    </row>
    <row r="1231" spans="2:25">
      <c r="B1231" s="317" t="s">
        <v>1144</v>
      </c>
      <c r="C1231" s="292">
        <v>18</v>
      </c>
      <c r="D1231" s="293">
        <f>SUMIFS('[7]7'!$M$2:$M$85,'[7]7'!$C$2:$C$85,C1231,'[7]7'!$A$2:$A$85,$D$1209)</f>
        <v>427.00035335689</v>
      </c>
      <c r="E1231" s="293">
        <f t="shared" si="737"/>
        <v>416</v>
      </c>
      <c r="G1231" s="318">
        <v>28.3</v>
      </c>
      <c r="H1231" s="318"/>
      <c r="I1231" s="294">
        <f t="shared" si="738"/>
        <v>12084</v>
      </c>
      <c r="J1231" s="294">
        <f t="shared" si="738"/>
        <v>11773</v>
      </c>
      <c r="L1231" s="318"/>
      <c r="M1231" s="318"/>
      <c r="N1231" s="318"/>
      <c r="O1231" s="318"/>
      <c r="P1231" s="318"/>
      <c r="Q1231" s="318"/>
      <c r="R1231" s="318"/>
      <c r="S1231" s="318"/>
      <c r="T1231" s="319"/>
      <c r="U1231" s="319"/>
      <c r="V1231" s="319"/>
      <c r="W1231" s="319"/>
      <c r="X1231" s="319"/>
      <c r="Y1231" s="319"/>
    </row>
    <row r="1232" spans="2:25">
      <c r="B1232" s="317" t="s">
        <v>1145</v>
      </c>
      <c r="C1232" s="292">
        <v>19</v>
      </c>
      <c r="D1232" s="293">
        <f>SUMIFS('[7]7'!$M$2:$M$85,'[7]7'!$C$2:$C$85,C1232,'[7]7'!$A$2:$A$85,$D$1209)</f>
        <v>593.96614082339397</v>
      </c>
      <c r="E1232" s="293">
        <f t="shared" si="737"/>
        <v>579</v>
      </c>
      <c r="G1232" s="318">
        <v>25.99</v>
      </c>
      <c r="H1232" s="318"/>
      <c r="I1232" s="294">
        <f t="shared" si="738"/>
        <v>15437</v>
      </c>
      <c r="J1232" s="294">
        <f t="shared" si="738"/>
        <v>15048</v>
      </c>
      <c r="L1232" s="318"/>
      <c r="M1232" s="318"/>
      <c r="N1232" s="318"/>
      <c r="O1232" s="318"/>
      <c r="P1232" s="318"/>
      <c r="Q1232" s="318"/>
      <c r="R1232" s="318"/>
      <c r="S1232" s="318"/>
      <c r="T1232" s="319"/>
      <c r="U1232" s="319"/>
      <c r="V1232" s="319"/>
      <c r="W1232" s="319"/>
      <c r="X1232" s="319"/>
      <c r="Y1232" s="319"/>
    </row>
    <row r="1233" spans="2:29">
      <c r="B1233" s="391" t="s">
        <v>1147</v>
      </c>
    </row>
    <row r="1234" spans="2:29">
      <c r="B1234" s="317" t="s">
        <v>1148</v>
      </c>
      <c r="C1234" s="292">
        <v>20</v>
      </c>
      <c r="D1234" s="293">
        <f>SUMIFS('[7]7'!$M$2:$M$85,'[7]7'!$C$2:$C$85,C1234,'[7]7'!$A$2:$A$85,$D$1209)</f>
        <v>0</v>
      </c>
      <c r="E1234" s="293">
        <f t="shared" ref="E1234:E1241" si="739">ROUND(D1234/$D$1243*$E$1243,0)</f>
        <v>0</v>
      </c>
      <c r="G1234" s="318">
        <v>29.4</v>
      </c>
      <c r="H1234" s="318"/>
      <c r="I1234" s="294">
        <f t="shared" ref="I1234:J1241" si="740">ROUND($G1234*D1234,0)</f>
        <v>0</v>
      </c>
      <c r="J1234" s="294">
        <f t="shared" si="740"/>
        <v>0</v>
      </c>
      <c r="L1234" s="318"/>
      <c r="M1234" s="318"/>
      <c r="N1234" s="318"/>
      <c r="O1234" s="318"/>
      <c r="P1234" s="318"/>
      <c r="Q1234" s="318"/>
      <c r="R1234" s="318"/>
      <c r="S1234" s="318"/>
      <c r="T1234" s="319"/>
      <c r="U1234" s="319"/>
      <c r="V1234" s="319"/>
      <c r="W1234" s="319"/>
      <c r="X1234" s="319"/>
      <c r="Y1234" s="319"/>
    </row>
    <row r="1235" spans="2:29">
      <c r="B1235" s="317" t="s">
        <v>1149</v>
      </c>
      <c r="C1235" s="292">
        <v>21</v>
      </c>
      <c r="D1235" s="293">
        <f>SUMIFS('[7]7'!$M$2:$M$85,'[7]7'!$C$2:$C$85,C1235,'[7]7'!$A$2:$A$85,$D$1209)</f>
        <v>0</v>
      </c>
      <c r="E1235" s="293">
        <f t="shared" si="739"/>
        <v>0</v>
      </c>
      <c r="G1235" s="318">
        <v>21.79</v>
      </c>
      <c r="H1235" s="318"/>
      <c r="I1235" s="294">
        <f t="shared" si="740"/>
        <v>0</v>
      </c>
      <c r="J1235" s="294">
        <f t="shared" si="740"/>
        <v>0</v>
      </c>
      <c r="L1235" s="318"/>
      <c r="M1235" s="318"/>
      <c r="N1235" s="318"/>
      <c r="O1235" s="318"/>
      <c r="P1235" s="318"/>
      <c r="Q1235" s="318"/>
      <c r="R1235" s="318"/>
      <c r="S1235" s="318"/>
      <c r="T1235" s="319"/>
      <c r="U1235" s="319"/>
      <c r="V1235" s="319"/>
      <c r="W1235" s="319"/>
      <c r="X1235" s="319"/>
      <c r="Y1235" s="319"/>
    </row>
    <row r="1236" spans="2:29">
      <c r="B1236" s="317" t="s">
        <v>1150</v>
      </c>
      <c r="C1236" s="292">
        <v>22</v>
      </c>
      <c r="D1236" s="293">
        <f>SUMIFS('[7]7'!$M$2:$M$85,'[7]7'!$C$2:$C$85,C1236,'[7]7'!$A$2:$A$85,$D$1209)</f>
        <v>0</v>
      </c>
      <c r="E1236" s="293">
        <f t="shared" si="739"/>
        <v>0</v>
      </c>
      <c r="G1236" s="318">
        <v>34.340000000000003</v>
      </c>
      <c r="H1236" s="318"/>
      <c r="I1236" s="294">
        <f t="shared" si="740"/>
        <v>0</v>
      </c>
      <c r="J1236" s="294">
        <f t="shared" si="740"/>
        <v>0</v>
      </c>
      <c r="L1236" s="318"/>
      <c r="M1236" s="318"/>
      <c r="N1236" s="318"/>
      <c r="O1236" s="318"/>
      <c r="P1236" s="318"/>
      <c r="Q1236" s="318"/>
      <c r="R1236" s="318"/>
      <c r="S1236" s="318"/>
      <c r="T1236" s="319"/>
      <c r="U1236" s="319"/>
      <c r="V1236" s="319"/>
      <c r="W1236" s="319"/>
      <c r="X1236" s="319"/>
      <c r="Y1236" s="319"/>
    </row>
    <row r="1237" spans="2:29">
      <c r="B1237" s="317" t="s">
        <v>1151</v>
      </c>
      <c r="C1237" s="292">
        <v>23</v>
      </c>
      <c r="D1237" s="293">
        <f>SUMIFS('[7]7'!$M$2:$M$85,'[7]7'!$C$2:$C$85,C1237,'[7]7'!$A$2:$A$85,$D$1209)</f>
        <v>0</v>
      </c>
      <c r="E1237" s="293">
        <f t="shared" si="739"/>
        <v>0</v>
      </c>
      <c r="G1237" s="318">
        <v>27.43</v>
      </c>
      <c r="H1237" s="318"/>
      <c r="I1237" s="294">
        <f t="shared" si="740"/>
        <v>0</v>
      </c>
      <c r="J1237" s="294">
        <f t="shared" si="740"/>
        <v>0</v>
      </c>
      <c r="L1237" s="318"/>
      <c r="M1237" s="318"/>
      <c r="N1237" s="318"/>
      <c r="O1237" s="318"/>
      <c r="P1237" s="318"/>
      <c r="Q1237" s="318"/>
      <c r="R1237" s="318"/>
      <c r="S1237" s="318"/>
      <c r="T1237" s="319"/>
      <c r="U1237" s="319"/>
      <c r="V1237" s="319"/>
      <c r="W1237" s="319"/>
      <c r="X1237" s="319"/>
      <c r="Y1237" s="319"/>
    </row>
    <row r="1238" spans="2:29">
      <c r="B1238" s="317" t="s">
        <v>1152</v>
      </c>
      <c r="C1238" s="292">
        <v>24</v>
      </c>
      <c r="D1238" s="293">
        <f>SUMIFS('[7]7'!$M$2:$M$85,'[7]7'!$C$2:$C$85,C1238,'[7]7'!$A$2:$A$85,$D$1209)</f>
        <v>0</v>
      </c>
      <c r="E1238" s="293">
        <f t="shared" si="739"/>
        <v>0</v>
      </c>
      <c r="G1238" s="318">
        <v>36.69</v>
      </c>
      <c r="H1238" s="318"/>
      <c r="I1238" s="294">
        <f t="shared" si="740"/>
        <v>0</v>
      </c>
      <c r="J1238" s="294">
        <f t="shared" si="740"/>
        <v>0</v>
      </c>
      <c r="L1238" s="318"/>
      <c r="M1238" s="318"/>
      <c r="N1238" s="318"/>
      <c r="O1238" s="318"/>
      <c r="P1238" s="318"/>
      <c r="Q1238" s="318"/>
      <c r="R1238" s="318"/>
      <c r="S1238" s="318"/>
      <c r="T1238" s="319"/>
      <c r="U1238" s="319"/>
      <c r="V1238" s="319"/>
      <c r="W1238" s="319"/>
      <c r="X1238" s="319"/>
      <c r="Y1238" s="319"/>
    </row>
    <row r="1239" spans="2:29">
      <c r="B1239" s="317" t="s">
        <v>1153</v>
      </c>
      <c r="C1239" s="292">
        <v>25</v>
      </c>
      <c r="D1239" s="293">
        <f>SUMIFS('[7]7'!$M$2:$M$85,'[7]7'!$C$2:$C$85,C1239,'[7]7'!$A$2:$A$85,$D$1209)</f>
        <v>0</v>
      </c>
      <c r="E1239" s="293">
        <f t="shared" si="739"/>
        <v>0</v>
      </c>
      <c r="G1239" s="318">
        <v>29.72</v>
      </c>
      <c r="H1239" s="318"/>
      <c r="I1239" s="294">
        <f t="shared" si="740"/>
        <v>0</v>
      </c>
      <c r="J1239" s="294">
        <f t="shared" si="740"/>
        <v>0</v>
      </c>
      <c r="L1239" s="318"/>
      <c r="M1239" s="318"/>
      <c r="N1239" s="318"/>
      <c r="O1239" s="318"/>
      <c r="P1239" s="318"/>
      <c r="Q1239" s="318"/>
      <c r="R1239" s="318"/>
      <c r="S1239" s="318"/>
      <c r="T1239" s="319"/>
      <c r="U1239" s="319"/>
      <c r="V1239" s="319"/>
      <c r="W1239" s="319"/>
      <c r="X1239" s="319"/>
      <c r="Y1239" s="319"/>
    </row>
    <row r="1240" spans="2:29">
      <c r="B1240" s="317" t="s">
        <v>1154</v>
      </c>
      <c r="C1240" s="292">
        <v>26</v>
      </c>
      <c r="D1240" s="293">
        <f>SUMIFS('[7]7'!$M$2:$M$85,'[7]7'!$C$2:$C$85,C1240,'[7]7'!$A$2:$A$85,$D$1209)</f>
        <v>0</v>
      </c>
      <c r="E1240" s="293">
        <f t="shared" si="739"/>
        <v>0</v>
      </c>
      <c r="G1240" s="318">
        <v>57.58</v>
      </c>
      <c r="H1240" s="318"/>
      <c r="I1240" s="294">
        <f t="shared" si="740"/>
        <v>0</v>
      </c>
      <c r="J1240" s="294">
        <f t="shared" si="740"/>
        <v>0</v>
      </c>
      <c r="L1240" s="318"/>
      <c r="M1240" s="318"/>
      <c r="N1240" s="318"/>
      <c r="O1240" s="318"/>
      <c r="P1240" s="318"/>
      <c r="Q1240" s="318"/>
      <c r="R1240" s="318"/>
      <c r="S1240" s="318"/>
      <c r="T1240" s="319"/>
      <c r="U1240" s="319"/>
      <c r="V1240" s="319"/>
      <c r="W1240" s="319"/>
      <c r="X1240" s="319"/>
      <c r="Y1240" s="319"/>
    </row>
    <row r="1241" spans="2:29">
      <c r="B1241" s="317" t="s">
        <v>1155</v>
      </c>
      <c r="C1241" s="292">
        <v>27</v>
      </c>
      <c r="D1241" s="293">
        <f>SUMIFS('[7]7'!$M$2:$M$85,'[7]7'!$C$2:$C$85,C1241,'[7]7'!$A$2:$A$85,$D$1209)</f>
        <v>0</v>
      </c>
      <c r="E1241" s="293">
        <f t="shared" si="739"/>
        <v>0</v>
      </c>
      <c r="G1241" s="318">
        <v>49.1</v>
      </c>
      <c r="H1241" s="318"/>
      <c r="I1241" s="294">
        <f t="shared" si="740"/>
        <v>0</v>
      </c>
      <c r="J1241" s="294">
        <f t="shared" si="740"/>
        <v>0</v>
      </c>
      <c r="L1241" s="318"/>
      <c r="M1241" s="318"/>
      <c r="N1241" s="318"/>
      <c r="O1241" s="318"/>
      <c r="P1241" s="318"/>
      <c r="Q1241" s="318"/>
      <c r="R1241" s="318"/>
      <c r="S1241" s="318"/>
      <c r="T1241" s="319"/>
      <c r="U1241" s="319"/>
      <c r="V1241" s="319"/>
      <c r="W1241" s="319"/>
      <c r="X1241" s="319"/>
      <c r="Y1241" s="319"/>
    </row>
    <row r="1242" spans="2:29">
      <c r="B1242" s="317" t="s">
        <v>1156</v>
      </c>
      <c r="D1242" s="293">
        <f>SUM(D1210:D1241)</f>
        <v>38824.758778753254</v>
      </c>
      <c r="E1242" s="293">
        <f>SUM(E1210:E1241)</f>
        <v>37848</v>
      </c>
      <c r="I1242" s="294">
        <f>SUM(I1210:I1241)</f>
        <v>637567</v>
      </c>
      <c r="J1242" s="294">
        <f>SUM(J1210:J1241)</f>
        <v>621523</v>
      </c>
    </row>
    <row r="1243" spans="2:29">
      <c r="B1243" s="317" t="s">
        <v>1157</v>
      </c>
      <c r="D1243" s="392">
        <f>'[7]7'!N91</f>
        <v>2246900.6861753906</v>
      </c>
      <c r="E1243" s="392">
        <f>E1248</f>
        <v>2190362.1297112624</v>
      </c>
    </row>
    <row r="1244" spans="2:29">
      <c r="B1244" s="317" t="s">
        <v>1158</v>
      </c>
      <c r="D1244" s="393">
        <f>'[7]Table 2'!J23</f>
        <v>12711</v>
      </c>
      <c r="E1244" s="393">
        <v>0</v>
      </c>
      <c r="G1244" s="394"/>
      <c r="I1244" s="395">
        <f>'[7]Table 3'!F23</f>
        <v>3843</v>
      </c>
      <c r="J1244" s="358">
        <v>0</v>
      </c>
      <c r="L1244" s="394"/>
      <c r="N1244" s="394"/>
      <c r="P1244" s="394"/>
      <c r="R1244" s="394"/>
      <c r="Z1244" s="358"/>
    </row>
    <row r="1245" spans="2:29">
      <c r="B1245" s="317" t="s">
        <v>1079</v>
      </c>
      <c r="G1245" s="338">
        <v>-1.9800000000000002E-2</v>
      </c>
      <c r="H1245" s="339"/>
      <c r="I1245" s="294">
        <f>I1242*$G1245</f>
        <v>-12623.8266</v>
      </c>
      <c r="J1245" s="294">
        <f>J1242*$G1245</f>
        <v>-12306.155400000001</v>
      </c>
      <c r="L1245" s="338"/>
      <c r="M1245" s="339"/>
      <c r="N1245" s="338"/>
      <c r="O1245" s="339"/>
      <c r="P1245" s="359" t="str">
        <f>$P$43</f>
        <v>Tax Year 1</v>
      </c>
      <c r="Q1245" s="339"/>
      <c r="R1245" s="338">
        <f>$AD$1203</f>
        <v>-1.7000000000000001E-2</v>
      </c>
      <c r="S1245" s="339"/>
      <c r="Z1245" s="294">
        <f>R1245*Z1248</f>
        <v>-5826.2708958777157</v>
      </c>
    </row>
    <row r="1246" spans="2:29">
      <c r="B1246" s="317"/>
      <c r="G1246" s="338"/>
      <c r="H1246" s="339"/>
      <c r="L1246" s="338"/>
      <c r="M1246" s="339"/>
      <c r="N1246" s="338"/>
      <c r="O1246" s="339"/>
      <c r="P1246" s="359" t="str">
        <f>$P$44</f>
        <v>Tax Year 2</v>
      </c>
      <c r="Q1246" s="339"/>
      <c r="R1246" s="338">
        <f>$AD$1204</f>
        <v>-8.5000000000000006E-3</v>
      </c>
      <c r="S1246" s="339"/>
      <c r="Z1246" s="294">
        <f>R1246*Z1248</f>
        <v>-2913.1354479388579</v>
      </c>
    </row>
    <row r="1247" spans="2:29">
      <c r="B1247" s="317" t="s">
        <v>1159</v>
      </c>
      <c r="D1247" s="293">
        <f>'[7]Table 2'!F23</f>
        <v>2277.3333333333298</v>
      </c>
      <c r="E1247" s="293">
        <f>ROUND([7]Bill!P13/12,0)</f>
        <v>2205</v>
      </c>
    </row>
    <row r="1248" spans="2:29" ht="16.5" thickBot="1">
      <c r="B1248" s="317" t="s">
        <v>983</v>
      </c>
      <c r="D1248" s="396">
        <f>D1243+D1244</f>
        <v>2259611.6861753906</v>
      </c>
      <c r="E1248" s="396">
        <f>[7]Energy!P13</f>
        <v>2190362.1297112624</v>
      </c>
      <c r="G1248" s="363"/>
      <c r="I1248" s="364">
        <f>SUM(I1242:I1245)</f>
        <v>628786.17339999997</v>
      </c>
      <c r="J1248" s="364">
        <f>SUM(J1242:J1245)</f>
        <v>609216.84459999995</v>
      </c>
      <c r="L1248" s="363"/>
      <c r="N1248" s="363"/>
      <c r="P1248" s="363"/>
      <c r="R1248" s="363"/>
      <c r="T1248" s="364">
        <f>$Z1248/$Z$1206*T1206</f>
        <v>236322.76232014279</v>
      </c>
      <c r="V1248" s="364">
        <f>$Z1248/$Z$1206*V1206</f>
        <v>56106.902169690882</v>
      </c>
      <c r="X1248" s="364">
        <f>Z1248-T1248-V1248</f>
        <v>50292.152914737839</v>
      </c>
      <c r="Z1248" s="364">
        <f>$Z$1206/$J$1206*J1248</f>
        <v>342721.81740457151</v>
      </c>
      <c r="AB1248" s="305" t="s">
        <v>939</v>
      </c>
      <c r="AC1248" s="304">
        <f>Z1248/J1248-1</f>
        <v>-0.43743870439170796</v>
      </c>
    </row>
    <row r="1249" spans="2:25" ht="16.5" thickTop="1">
      <c r="F1249" s="339"/>
      <c r="K1249" s="339"/>
    </row>
    <row r="1250" spans="2:25">
      <c r="B1250" s="314" t="s">
        <v>985</v>
      </c>
    </row>
    <row r="1251" spans="2:25">
      <c r="B1251" s="391" t="s">
        <v>1129</v>
      </c>
      <c r="D1251" s="293" t="s">
        <v>1161</v>
      </c>
    </row>
    <row r="1252" spans="2:25">
      <c r="B1252" s="317" t="s">
        <v>1130</v>
      </c>
      <c r="C1252" s="292">
        <v>29</v>
      </c>
      <c r="D1252" s="293">
        <f>SUMIFS('[7]7'!$M$2:$M$85,'[7]7'!$C$2:$C$85,C1252,'[7]7'!$A$2:$A$85,$D$1251)</f>
        <v>0</v>
      </c>
      <c r="E1252" s="293">
        <f>ROUND(D1252/$D$1285*$E$1285,0)</f>
        <v>0</v>
      </c>
      <c r="G1252" s="318">
        <v>5.68</v>
      </c>
      <c r="H1252" s="318"/>
      <c r="I1252" s="294">
        <f t="shared" ref="I1252:J1255" si="741">ROUND($G1252*D1252,0)</f>
        <v>0</v>
      </c>
      <c r="J1252" s="294">
        <f t="shared" si="741"/>
        <v>0</v>
      </c>
      <c r="L1252" s="318"/>
      <c r="M1252" s="318"/>
      <c r="N1252" s="318"/>
      <c r="O1252" s="318"/>
      <c r="P1252" s="318"/>
      <c r="Q1252" s="318"/>
      <c r="R1252" s="318"/>
      <c r="S1252" s="318"/>
      <c r="T1252" s="319"/>
      <c r="U1252" s="319"/>
      <c r="V1252" s="319"/>
      <c r="W1252" s="319"/>
      <c r="X1252" s="319"/>
      <c r="Y1252" s="319"/>
    </row>
    <row r="1253" spans="2:25">
      <c r="B1253" s="317" t="s">
        <v>1131</v>
      </c>
      <c r="C1253" s="292">
        <v>1</v>
      </c>
      <c r="D1253" s="293">
        <f>SUMIFS('[7]7'!$M$2:$M$85,'[7]7'!$C$2:$C$85,C1253,'[7]7'!$A$2:$A$85,$D$1251)+SUMIFS('[7]7'!$M$2:$M$85,'[7]7'!$C$2:$C$85,28,'[7]7'!$A$2:$A$85,$D$1251)</f>
        <v>21854.609890109899</v>
      </c>
      <c r="E1253" s="293">
        <f t="shared" ref="E1253:E1255" si="742">ROUND(D1253/$D$1285*$E$1285,0)</f>
        <v>21101</v>
      </c>
      <c r="G1253" s="318">
        <v>16.38</v>
      </c>
      <c r="H1253" s="318"/>
      <c r="I1253" s="294">
        <f t="shared" si="741"/>
        <v>357979</v>
      </c>
      <c r="J1253" s="294">
        <f t="shared" si="741"/>
        <v>345634</v>
      </c>
      <c r="L1253" s="318"/>
      <c r="M1253" s="318"/>
      <c r="N1253" s="318"/>
      <c r="O1253" s="318"/>
      <c r="P1253" s="318"/>
      <c r="Q1253" s="318"/>
      <c r="R1253" s="318"/>
      <c r="S1253" s="318"/>
      <c r="T1253" s="319"/>
      <c r="U1253" s="319"/>
      <c r="V1253" s="319"/>
      <c r="W1253" s="319"/>
      <c r="X1253" s="319"/>
      <c r="Y1253" s="319"/>
    </row>
    <row r="1254" spans="2:25">
      <c r="B1254" s="317" t="s">
        <v>1132</v>
      </c>
      <c r="C1254" s="292">
        <v>40</v>
      </c>
      <c r="D1254" s="293">
        <f>SUMIFS('[7]7'!$M$2:$M$85,'[7]7'!$C$2:$C$85,C1254,'[7]7'!$A$2:$A$85,$D$1251)</f>
        <v>0</v>
      </c>
      <c r="E1254" s="293">
        <f t="shared" si="742"/>
        <v>0</v>
      </c>
      <c r="G1254" s="318">
        <v>8.0500000000000007</v>
      </c>
      <c r="H1254" s="318"/>
      <c r="I1254" s="294">
        <f t="shared" si="741"/>
        <v>0</v>
      </c>
      <c r="J1254" s="294">
        <f t="shared" si="741"/>
        <v>0</v>
      </c>
      <c r="L1254" s="318"/>
      <c r="M1254" s="318"/>
      <c r="N1254" s="318"/>
      <c r="O1254" s="318"/>
      <c r="P1254" s="318"/>
      <c r="Q1254" s="318"/>
      <c r="R1254" s="318"/>
      <c r="S1254" s="318"/>
      <c r="T1254" s="319"/>
      <c r="U1254" s="319"/>
      <c r="V1254" s="319"/>
      <c r="W1254" s="319"/>
      <c r="X1254" s="319"/>
      <c r="Y1254" s="319"/>
    </row>
    <row r="1255" spans="2:25">
      <c r="B1255" s="317" t="s">
        <v>1133</v>
      </c>
      <c r="C1255" s="292">
        <v>2</v>
      </c>
      <c r="D1255" s="293">
        <f>SUMIFS('[7]7'!$M$2:$M$85,'[7]7'!$C$2:$C$85,C1255,'[7]7'!$A$2:$A$85,$D$1251)</f>
        <v>6704.2098581030596</v>
      </c>
      <c r="E1255" s="293">
        <f t="shared" si="742"/>
        <v>6473</v>
      </c>
      <c r="G1255" s="318">
        <v>26.78</v>
      </c>
      <c r="H1255" s="318"/>
      <c r="I1255" s="294">
        <f t="shared" si="741"/>
        <v>179539</v>
      </c>
      <c r="J1255" s="294">
        <f t="shared" si="741"/>
        <v>173347</v>
      </c>
      <c r="L1255" s="318"/>
      <c r="M1255" s="318"/>
      <c r="N1255" s="318"/>
      <c r="O1255" s="318"/>
      <c r="P1255" s="318"/>
      <c r="Q1255" s="318"/>
      <c r="R1255" s="318"/>
      <c r="S1255" s="318"/>
      <c r="T1255" s="319"/>
      <c r="U1255" s="319"/>
      <c r="V1255" s="319"/>
      <c r="W1255" s="319"/>
      <c r="X1255" s="319"/>
      <c r="Y1255" s="319"/>
    </row>
    <row r="1256" spans="2:25">
      <c r="B1256" s="391" t="s">
        <v>1134</v>
      </c>
      <c r="L1256" s="318"/>
      <c r="N1256" s="318"/>
      <c r="P1256" s="318"/>
      <c r="R1256" s="318"/>
    </row>
    <row r="1257" spans="2:25">
      <c r="B1257" s="317" t="s">
        <v>1135</v>
      </c>
      <c r="C1257" s="292">
        <v>3</v>
      </c>
      <c r="D1257" s="293">
        <f>SUMIFS('[7]7'!$M$2:$M$85,'[7]7'!$C$2:$C$85,C1257,'[7]7'!$A$2:$A$85,$D$1251)</f>
        <v>967.46575342465803</v>
      </c>
      <c r="E1257" s="293">
        <f t="shared" ref="E1257:E1267" si="743">ROUND(D1257/$D$1285*$E$1285,0)</f>
        <v>934</v>
      </c>
      <c r="G1257" s="318">
        <v>14.6</v>
      </c>
      <c r="H1257" s="318"/>
      <c r="I1257" s="294">
        <f t="shared" ref="I1257:J1267" si="744">ROUND($G1257*D1257,0)</f>
        <v>14125</v>
      </c>
      <c r="J1257" s="294">
        <f t="shared" si="744"/>
        <v>13636</v>
      </c>
      <c r="L1257" s="318"/>
      <c r="M1257" s="318"/>
      <c r="N1257" s="318"/>
      <c r="O1257" s="318"/>
      <c r="P1257" s="318"/>
      <c r="Q1257" s="318"/>
      <c r="R1257" s="318"/>
      <c r="S1257" s="318"/>
      <c r="T1257" s="319"/>
      <c r="U1257" s="319"/>
      <c r="V1257" s="319"/>
      <c r="W1257" s="319"/>
      <c r="X1257" s="319"/>
      <c r="Y1257" s="319"/>
    </row>
    <row r="1258" spans="2:25">
      <c r="B1258" s="317" t="s">
        <v>1136</v>
      </c>
      <c r="C1258" s="292">
        <v>4</v>
      </c>
      <c r="D1258" s="293">
        <f>SUMIFS('[7]7'!$M$2:$M$85,'[7]7'!$C$2:$C$85,C1258,'[7]7'!$A$2:$A$85,$D$1251)</f>
        <v>534.23385118560896</v>
      </c>
      <c r="E1258" s="293">
        <f t="shared" si="743"/>
        <v>516</v>
      </c>
      <c r="G1258" s="318">
        <v>12.23</v>
      </c>
      <c r="H1258" s="318"/>
      <c r="I1258" s="294">
        <f t="shared" si="744"/>
        <v>6534</v>
      </c>
      <c r="J1258" s="294">
        <f t="shared" si="744"/>
        <v>6311</v>
      </c>
      <c r="L1258" s="318"/>
      <c r="M1258" s="318"/>
      <c r="N1258" s="318"/>
      <c r="O1258" s="318"/>
      <c r="P1258" s="318"/>
      <c r="Q1258" s="318"/>
      <c r="R1258" s="318"/>
      <c r="S1258" s="318"/>
      <c r="T1258" s="319"/>
      <c r="U1258" s="319"/>
      <c r="V1258" s="319"/>
      <c r="W1258" s="319"/>
      <c r="X1258" s="319"/>
      <c r="Y1258" s="319"/>
    </row>
    <row r="1259" spans="2:25">
      <c r="B1259" s="317" t="s">
        <v>1137</v>
      </c>
      <c r="C1259" s="292">
        <v>5</v>
      </c>
      <c r="D1259" s="293">
        <f>SUMIFS('[7]7'!$M$2:$M$85,'[7]7'!$C$2:$C$85,C1259,'[7]7'!$A$2:$A$85,$D$1251)</f>
        <v>11633.5837104072</v>
      </c>
      <c r="E1259" s="293">
        <f t="shared" si="743"/>
        <v>11232</v>
      </c>
      <c r="G1259" s="318">
        <v>15.47</v>
      </c>
      <c r="H1259" s="318"/>
      <c r="I1259" s="294">
        <f t="shared" si="744"/>
        <v>179972</v>
      </c>
      <c r="J1259" s="294">
        <f t="shared" si="744"/>
        <v>173759</v>
      </c>
      <c r="L1259" s="318"/>
      <c r="M1259" s="318"/>
      <c r="N1259" s="318"/>
      <c r="O1259" s="318"/>
      <c r="P1259" s="318"/>
      <c r="Q1259" s="318"/>
      <c r="R1259" s="318"/>
      <c r="S1259" s="318"/>
      <c r="T1259" s="319"/>
      <c r="U1259" s="319"/>
      <c r="V1259" s="319"/>
      <c r="W1259" s="319"/>
      <c r="X1259" s="319"/>
      <c r="Y1259" s="319"/>
    </row>
    <row r="1260" spans="2:25">
      <c r="B1260" s="317" t="s">
        <v>1138</v>
      </c>
      <c r="C1260" s="292">
        <v>6</v>
      </c>
      <c r="D1260" s="293">
        <f>SUMIFS('[7]7'!$M$2:$M$85,'[7]7'!$C$2:$C$85,C1260,'[7]7'!$A$2:$A$85,$D$1251)</f>
        <v>9374.8159278737803</v>
      </c>
      <c r="E1260" s="293">
        <f t="shared" si="743"/>
        <v>9051</v>
      </c>
      <c r="G1260" s="318">
        <v>13.31</v>
      </c>
      <c r="H1260" s="318"/>
      <c r="I1260" s="294">
        <f t="shared" si="744"/>
        <v>124779</v>
      </c>
      <c r="J1260" s="294">
        <f t="shared" si="744"/>
        <v>120469</v>
      </c>
      <c r="L1260" s="318"/>
      <c r="M1260" s="318"/>
      <c r="N1260" s="318"/>
      <c r="O1260" s="318"/>
      <c r="P1260" s="318"/>
      <c r="Q1260" s="318"/>
      <c r="R1260" s="318"/>
      <c r="S1260" s="318"/>
      <c r="T1260" s="319"/>
      <c r="U1260" s="319"/>
      <c r="V1260" s="319"/>
      <c r="W1260" s="319"/>
      <c r="X1260" s="319"/>
      <c r="Y1260" s="319"/>
    </row>
    <row r="1261" spans="2:25">
      <c r="B1261" s="317" t="s">
        <v>1139</v>
      </c>
      <c r="C1261" s="292">
        <v>7</v>
      </c>
      <c r="D1261" s="293">
        <f>SUMIFS('[7]7'!$M$2:$M$85,'[7]7'!$C$2:$C$85,C1261,'[7]7'!$A$2:$A$85,$D$1251)</f>
        <v>1431.1330935251799</v>
      </c>
      <c r="E1261" s="293">
        <f t="shared" si="743"/>
        <v>1382</v>
      </c>
      <c r="G1261" s="318">
        <v>19.46</v>
      </c>
      <c r="H1261" s="318"/>
      <c r="I1261" s="294">
        <f t="shared" si="744"/>
        <v>27850</v>
      </c>
      <c r="J1261" s="294">
        <f t="shared" si="744"/>
        <v>26894</v>
      </c>
      <c r="L1261" s="318"/>
      <c r="M1261" s="318"/>
      <c r="N1261" s="318"/>
      <c r="O1261" s="318"/>
      <c r="P1261" s="318"/>
      <c r="Q1261" s="318"/>
      <c r="R1261" s="318"/>
      <c r="S1261" s="318"/>
      <c r="T1261" s="319"/>
      <c r="U1261" s="319"/>
      <c r="V1261" s="319"/>
      <c r="W1261" s="319"/>
      <c r="X1261" s="319"/>
      <c r="Y1261" s="319"/>
    </row>
    <row r="1262" spans="2:25">
      <c r="B1262" s="317" t="s">
        <v>1140</v>
      </c>
      <c r="C1262" s="292">
        <v>8</v>
      </c>
      <c r="D1262" s="293">
        <f>SUMIFS('[7]7'!$M$2:$M$85,'[7]7'!$C$2:$C$85,C1262,'[7]7'!$A$2:$A$85,$D$1251)</f>
        <v>1655.7997664915399</v>
      </c>
      <c r="E1262" s="293">
        <f t="shared" si="743"/>
        <v>1599</v>
      </c>
      <c r="G1262" s="318">
        <v>17.13</v>
      </c>
      <c r="H1262" s="318"/>
      <c r="I1262" s="294">
        <f t="shared" si="744"/>
        <v>28364</v>
      </c>
      <c r="J1262" s="294">
        <f t="shared" si="744"/>
        <v>27391</v>
      </c>
      <c r="L1262" s="318"/>
      <c r="M1262" s="318"/>
      <c r="N1262" s="318"/>
      <c r="O1262" s="318"/>
      <c r="P1262" s="318"/>
      <c r="Q1262" s="318"/>
      <c r="R1262" s="318"/>
      <c r="S1262" s="318"/>
      <c r="T1262" s="319"/>
      <c r="U1262" s="319"/>
      <c r="V1262" s="319"/>
      <c r="W1262" s="319"/>
      <c r="X1262" s="319"/>
      <c r="Y1262" s="319"/>
    </row>
    <row r="1263" spans="2:25">
      <c r="B1263" s="317" t="s">
        <v>1141</v>
      </c>
      <c r="C1263" s="292">
        <v>9</v>
      </c>
      <c r="D1263" s="293">
        <f>SUMIFS('[7]7'!$M$2:$M$85,'[7]7'!$C$2:$C$85,C1263,'[7]7'!$A$2:$A$85,$D$1251)</f>
        <v>0</v>
      </c>
      <c r="E1263" s="293">
        <f t="shared" si="743"/>
        <v>0</v>
      </c>
      <c r="G1263" s="318">
        <v>21.07</v>
      </c>
      <c r="H1263" s="318"/>
      <c r="I1263" s="294">
        <f t="shared" si="744"/>
        <v>0</v>
      </c>
      <c r="J1263" s="294">
        <f t="shared" si="744"/>
        <v>0</v>
      </c>
      <c r="L1263" s="318"/>
      <c r="M1263" s="318"/>
      <c r="N1263" s="318"/>
      <c r="O1263" s="318"/>
      <c r="P1263" s="318"/>
      <c r="Q1263" s="318"/>
      <c r="R1263" s="318"/>
      <c r="S1263" s="318"/>
      <c r="T1263" s="319"/>
      <c r="U1263" s="319"/>
      <c r="V1263" s="319"/>
      <c r="W1263" s="319"/>
      <c r="X1263" s="319"/>
      <c r="Y1263" s="319"/>
    </row>
    <row r="1264" spans="2:25">
      <c r="B1264" s="317" t="s">
        <v>1142</v>
      </c>
      <c r="C1264" s="292">
        <v>10</v>
      </c>
      <c r="D1264" s="293">
        <f>SUMIFS('[7]7'!$M$2:$M$85,'[7]7'!$C$2:$C$85,C1264,'[7]7'!$A$2:$A$85,$D$1251)</f>
        <v>1981.86601446193</v>
      </c>
      <c r="E1264" s="293">
        <f t="shared" si="743"/>
        <v>1913</v>
      </c>
      <c r="G1264" s="318">
        <v>23.51</v>
      </c>
      <c r="H1264" s="318"/>
      <c r="I1264" s="294">
        <f t="shared" si="744"/>
        <v>46594</v>
      </c>
      <c r="J1264" s="294">
        <f t="shared" si="744"/>
        <v>44975</v>
      </c>
      <c r="L1264" s="318"/>
      <c r="M1264" s="318"/>
      <c r="N1264" s="318"/>
      <c r="O1264" s="318"/>
      <c r="P1264" s="318"/>
      <c r="Q1264" s="318"/>
      <c r="R1264" s="318"/>
      <c r="S1264" s="318"/>
      <c r="T1264" s="319"/>
      <c r="U1264" s="319"/>
      <c r="V1264" s="319"/>
      <c r="W1264" s="319"/>
      <c r="X1264" s="319"/>
      <c r="Y1264" s="319"/>
    </row>
    <row r="1265" spans="2:25">
      <c r="B1265" s="317" t="s">
        <v>1143</v>
      </c>
      <c r="C1265" s="292">
        <v>11</v>
      </c>
      <c r="D1265" s="293">
        <f>SUMIFS('[7]7'!$M$2:$M$85,'[7]7'!$C$2:$C$85,C1265,'[7]7'!$A$2:$A$85,$D$1251)</f>
        <v>3148.3509185115399</v>
      </c>
      <c r="E1265" s="293">
        <f t="shared" si="743"/>
        <v>3040</v>
      </c>
      <c r="G1265" s="318">
        <v>21.23</v>
      </c>
      <c r="H1265" s="318"/>
      <c r="I1265" s="294">
        <f t="shared" si="744"/>
        <v>66839</v>
      </c>
      <c r="J1265" s="294">
        <f t="shared" si="744"/>
        <v>64539</v>
      </c>
      <c r="L1265" s="318"/>
      <c r="M1265" s="318"/>
      <c r="N1265" s="318"/>
      <c r="O1265" s="318"/>
      <c r="P1265" s="318"/>
      <c r="Q1265" s="318"/>
      <c r="R1265" s="318"/>
      <c r="S1265" s="318"/>
      <c r="T1265" s="319"/>
      <c r="U1265" s="319"/>
      <c r="V1265" s="319"/>
      <c r="W1265" s="319"/>
      <c r="X1265" s="319"/>
      <c r="Y1265" s="319"/>
    </row>
    <row r="1266" spans="2:25">
      <c r="B1266" s="317" t="s">
        <v>1144</v>
      </c>
      <c r="C1266" s="292">
        <v>12</v>
      </c>
      <c r="D1266" s="293">
        <f>SUMIFS('[7]7'!$M$2:$M$85,'[7]7'!$C$2:$C$85,C1266,'[7]7'!$A$2:$A$85,$D$1251)</f>
        <v>999.25053003533606</v>
      </c>
      <c r="E1266" s="293">
        <f t="shared" si="743"/>
        <v>965</v>
      </c>
      <c r="G1266" s="318">
        <v>28.3</v>
      </c>
      <c r="H1266" s="318"/>
      <c r="I1266" s="294">
        <f t="shared" si="744"/>
        <v>28279</v>
      </c>
      <c r="J1266" s="294">
        <f t="shared" si="744"/>
        <v>27310</v>
      </c>
      <c r="L1266" s="318"/>
      <c r="M1266" s="318"/>
      <c r="N1266" s="318"/>
      <c r="O1266" s="318"/>
      <c r="P1266" s="318"/>
      <c r="Q1266" s="318"/>
      <c r="R1266" s="318"/>
      <c r="S1266" s="318"/>
      <c r="T1266" s="319"/>
      <c r="U1266" s="319"/>
      <c r="V1266" s="319"/>
      <c r="W1266" s="319"/>
      <c r="X1266" s="319"/>
      <c r="Y1266" s="319"/>
    </row>
    <row r="1267" spans="2:25">
      <c r="B1267" s="317" t="s">
        <v>1145</v>
      </c>
      <c r="C1267" s="292">
        <v>13</v>
      </c>
      <c r="D1267" s="293">
        <f>SUMIFS('[7]7'!$M$2:$M$85,'[7]7'!$C$2:$C$85,C1267,'[7]7'!$A$2:$A$85,$D$1251)</f>
        <v>1681.83339746056</v>
      </c>
      <c r="E1267" s="293">
        <f t="shared" si="743"/>
        <v>1624</v>
      </c>
      <c r="G1267" s="318">
        <v>25.99</v>
      </c>
      <c r="H1267" s="318"/>
      <c r="I1267" s="294">
        <f t="shared" si="744"/>
        <v>43711</v>
      </c>
      <c r="J1267" s="294">
        <f t="shared" si="744"/>
        <v>42208</v>
      </c>
      <c r="L1267" s="318"/>
      <c r="M1267" s="318"/>
      <c r="N1267" s="318"/>
      <c r="O1267" s="318"/>
      <c r="P1267" s="318"/>
      <c r="Q1267" s="318"/>
      <c r="R1267" s="318"/>
      <c r="S1267" s="318"/>
      <c r="T1267" s="319"/>
      <c r="U1267" s="319"/>
      <c r="V1267" s="319"/>
      <c r="W1267" s="319"/>
      <c r="X1267" s="319"/>
      <c r="Y1267" s="319"/>
    </row>
    <row r="1268" spans="2:25">
      <c r="B1268" s="391" t="s">
        <v>1146</v>
      </c>
      <c r="L1268" s="318"/>
      <c r="N1268" s="318"/>
      <c r="P1268" s="318"/>
      <c r="R1268" s="318"/>
    </row>
    <row r="1269" spans="2:25">
      <c r="B1269" s="317" t="s">
        <v>1139</v>
      </c>
      <c r="C1269" s="292">
        <v>14</v>
      </c>
      <c r="D1269" s="293">
        <f>SUMIFS('[7]7'!$M$2:$M$85,'[7]7'!$C$2:$C$85,C1269,'[7]7'!$A$2:$A$85,$D$1251)</f>
        <v>2911.1181911613598</v>
      </c>
      <c r="E1269" s="293">
        <f t="shared" ref="E1269:E1274" si="745">ROUND(D1269/$D$1285*$E$1285,0)</f>
        <v>2811</v>
      </c>
      <c r="G1269" s="318">
        <v>19.46</v>
      </c>
      <c r="H1269" s="318"/>
      <c r="I1269" s="294">
        <f t="shared" ref="I1269:J1274" si="746">ROUND($G1269*D1269,0)</f>
        <v>56650</v>
      </c>
      <c r="J1269" s="294">
        <f t="shared" si="746"/>
        <v>54702</v>
      </c>
      <c r="L1269" s="318"/>
      <c r="M1269" s="318"/>
      <c r="N1269" s="318"/>
      <c r="O1269" s="318"/>
      <c r="P1269" s="318"/>
      <c r="Q1269" s="318"/>
      <c r="R1269" s="318"/>
      <c r="S1269" s="318"/>
      <c r="T1269" s="319"/>
      <c r="U1269" s="319"/>
      <c r="V1269" s="319"/>
      <c r="W1269" s="319"/>
      <c r="X1269" s="319"/>
      <c r="Y1269" s="319"/>
    </row>
    <row r="1270" spans="2:25">
      <c r="B1270" s="317" t="s">
        <v>1140</v>
      </c>
      <c r="C1270" s="292">
        <v>15</v>
      </c>
      <c r="D1270" s="293">
        <f>SUMIFS('[7]7'!$M$2:$M$85,'[7]7'!$C$2:$C$85,C1270,'[7]7'!$A$2:$A$85,$D$1251)</f>
        <v>3562.9678925861099</v>
      </c>
      <c r="E1270" s="293">
        <f t="shared" si="745"/>
        <v>3440</v>
      </c>
      <c r="G1270" s="318">
        <v>17.13</v>
      </c>
      <c r="H1270" s="318"/>
      <c r="I1270" s="294">
        <f t="shared" si="746"/>
        <v>61034</v>
      </c>
      <c r="J1270" s="294">
        <f t="shared" si="746"/>
        <v>58927</v>
      </c>
      <c r="L1270" s="318"/>
      <c r="M1270" s="318"/>
      <c r="N1270" s="318"/>
      <c r="O1270" s="318"/>
      <c r="P1270" s="318"/>
      <c r="Q1270" s="318"/>
      <c r="R1270" s="318"/>
      <c r="S1270" s="318"/>
      <c r="T1270" s="319"/>
      <c r="U1270" s="319"/>
      <c r="V1270" s="319"/>
      <c r="W1270" s="319"/>
      <c r="X1270" s="319"/>
      <c r="Y1270" s="319"/>
    </row>
    <row r="1271" spans="2:25">
      <c r="B1271" s="317" t="s">
        <v>1142</v>
      </c>
      <c r="C1271" s="292">
        <v>16</v>
      </c>
      <c r="D1271" s="293">
        <f>SUMIFS('[7]7'!$M$2:$M$85,'[7]7'!$C$2:$C$85,C1271,'[7]7'!$A$2:$A$85,$D$1251)</f>
        <v>732.46618460229695</v>
      </c>
      <c r="E1271" s="293">
        <f t="shared" si="745"/>
        <v>707</v>
      </c>
      <c r="G1271" s="318">
        <v>23.51</v>
      </c>
      <c r="H1271" s="318"/>
      <c r="I1271" s="294">
        <f t="shared" si="746"/>
        <v>17220</v>
      </c>
      <c r="J1271" s="294">
        <f t="shared" si="746"/>
        <v>16622</v>
      </c>
      <c r="L1271" s="318"/>
      <c r="M1271" s="318"/>
      <c r="N1271" s="318"/>
      <c r="O1271" s="318"/>
      <c r="P1271" s="318"/>
      <c r="Q1271" s="318"/>
      <c r="R1271" s="318"/>
      <c r="S1271" s="318"/>
      <c r="T1271" s="319"/>
      <c r="U1271" s="319"/>
      <c r="V1271" s="319"/>
      <c r="W1271" s="319"/>
      <c r="X1271" s="319"/>
      <c r="Y1271" s="319"/>
    </row>
    <row r="1272" spans="2:25">
      <c r="B1272" s="317" t="s">
        <v>1143</v>
      </c>
      <c r="C1272" s="292">
        <v>17</v>
      </c>
      <c r="D1272" s="293">
        <f>SUMIFS('[7]7'!$M$2:$M$85,'[7]7'!$C$2:$C$85,C1272,'[7]7'!$A$2:$A$85,$D$1251)</f>
        <v>1140.0325011775799</v>
      </c>
      <c r="E1272" s="293">
        <f t="shared" si="745"/>
        <v>1101</v>
      </c>
      <c r="G1272" s="318">
        <v>21.23</v>
      </c>
      <c r="H1272" s="318"/>
      <c r="I1272" s="294">
        <f t="shared" si="746"/>
        <v>24203</v>
      </c>
      <c r="J1272" s="294">
        <f t="shared" si="746"/>
        <v>23374</v>
      </c>
      <c r="L1272" s="318"/>
      <c r="M1272" s="318"/>
      <c r="N1272" s="318"/>
      <c r="O1272" s="318"/>
      <c r="P1272" s="318"/>
      <c r="Q1272" s="318"/>
      <c r="R1272" s="318"/>
      <c r="S1272" s="318"/>
      <c r="T1272" s="319"/>
      <c r="U1272" s="319"/>
      <c r="V1272" s="319"/>
      <c r="W1272" s="319"/>
      <c r="X1272" s="319"/>
      <c r="Y1272" s="319"/>
    </row>
    <row r="1273" spans="2:25">
      <c r="B1273" s="317" t="s">
        <v>1144</v>
      </c>
      <c r="C1273" s="292">
        <v>18</v>
      </c>
      <c r="D1273" s="293">
        <f>SUMIFS('[7]7'!$M$2:$M$85,'[7]7'!$C$2:$C$85,C1273,'[7]7'!$A$2:$A$85,$D$1251)</f>
        <v>6225.63356890459</v>
      </c>
      <c r="E1273" s="293">
        <f t="shared" si="745"/>
        <v>6011</v>
      </c>
      <c r="G1273" s="318">
        <v>28.3</v>
      </c>
      <c r="H1273" s="318"/>
      <c r="I1273" s="294">
        <f t="shared" si="746"/>
        <v>176185</v>
      </c>
      <c r="J1273" s="294">
        <f t="shared" si="746"/>
        <v>170111</v>
      </c>
      <c r="L1273" s="318"/>
      <c r="M1273" s="318"/>
      <c r="N1273" s="318"/>
      <c r="O1273" s="318"/>
      <c r="P1273" s="318"/>
      <c r="Q1273" s="318"/>
      <c r="R1273" s="318"/>
      <c r="S1273" s="318"/>
      <c r="T1273" s="319"/>
      <c r="U1273" s="319"/>
      <c r="V1273" s="319"/>
      <c r="W1273" s="319"/>
      <c r="X1273" s="319"/>
      <c r="Y1273" s="319"/>
    </row>
    <row r="1274" spans="2:25">
      <c r="B1274" s="317" t="s">
        <v>1145</v>
      </c>
      <c r="C1274" s="292">
        <v>19</v>
      </c>
      <c r="D1274" s="293">
        <f>SUMIFS('[7]7'!$M$2:$M$85,'[7]7'!$C$2:$C$85,C1274,'[7]7'!$A$2:$A$85,$D$1251)</f>
        <v>7943.3012697191298</v>
      </c>
      <c r="E1274" s="293">
        <f t="shared" si="745"/>
        <v>7669</v>
      </c>
      <c r="G1274" s="318">
        <v>25.99</v>
      </c>
      <c r="H1274" s="318"/>
      <c r="I1274" s="294">
        <f t="shared" si="746"/>
        <v>206446</v>
      </c>
      <c r="J1274" s="294">
        <f t="shared" si="746"/>
        <v>199317</v>
      </c>
      <c r="L1274" s="318"/>
      <c r="M1274" s="318"/>
      <c r="N1274" s="318"/>
      <c r="O1274" s="318"/>
      <c r="P1274" s="318"/>
      <c r="Q1274" s="318"/>
      <c r="R1274" s="318"/>
      <c r="S1274" s="318"/>
      <c r="T1274" s="319"/>
      <c r="U1274" s="319"/>
      <c r="V1274" s="319"/>
      <c r="W1274" s="319"/>
      <c r="X1274" s="319"/>
      <c r="Y1274" s="319"/>
    </row>
    <row r="1275" spans="2:25">
      <c r="B1275" s="391" t="s">
        <v>1147</v>
      </c>
      <c r="L1275" s="318"/>
      <c r="N1275" s="318"/>
      <c r="P1275" s="318"/>
      <c r="R1275" s="318"/>
    </row>
    <row r="1276" spans="2:25">
      <c r="B1276" s="317" t="s">
        <v>1148</v>
      </c>
      <c r="C1276" s="292">
        <v>20</v>
      </c>
      <c r="D1276" s="293">
        <f>SUMIFS('[7]7'!$M$2:$M$85,'[7]7'!$C$2:$C$85,C1276,'[7]7'!$A$2:$A$85,$D$1251)</f>
        <v>0</v>
      </c>
      <c r="E1276" s="293">
        <f t="shared" ref="E1276:E1283" si="747">ROUND(D1276/$D$1285*$E$1285,0)</f>
        <v>0</v>
      </c>
      <c r="G1276" s="318">
        <v>29.4</v>
      </c>
      <c r="H1276" s="318"/>
      <c r="I1276" s="294">
        <f t="shared" ref="I1276:J1283" si="748">ROUND($G1276*D1276,0)</f>
        <v>0</v>
      </c>
      <c r="J1276" s="294">
        <f t="shared" si="748"/>
        <v>0</v>
      </c>
      <c r="L1276" s="318"/>
      <c r="M1276" s="318"/>
      <c r="N1276" s="318"/>
      <c r="O1276" s="318"/>
      <c r="P1276" s="318"/>
      <c r="Q1276" s="318"/>
      <c r="R1276" s="318"/>
      <c r="S1276" s="318"/>
      <c r="T1276" s="319"/>
      <c r="U1276" s="319"/>
      <c r="V1276" s="319"/>
      <c r="W1276" s="319"/>
      <c r="X1276" s="319"/>
      <c r="Y1276" s="319"/>
    </row>
    <row r="1277" spans="2:25">
      <c r="B1277" s="317" t="s">
        <v>1149</v>
      </c>
      <c r="C1277" s="292">
        <v>21</v>
      </c>
      <c r="D1277" s="293">
        <f>SUMIFS('[7]7'!$M$2:$M$85,'[7]7'!$C$2:$C$85,C1277,'[7]7'!$A$2:$A$85,$D$1251)</f>
        <v>264</v>
      </c>
      <c r="E1277" s="293">
        <f t="shared" si="747"/>
        <v>255</v>
      </c>
      <c r="G1277" s="318">
        <v>21.79</v>
      </c>
      <c r="H1277" s="318"/>
      <c r="I1277" s="294">
        <f t="shared" si="748"/>
        <v>5753</v>
      </c>
      <c r="J1277" s="294">
        <f t="shared" si="748"/>
        <v>5556</v>
      </c>
      <c r="L1277" s="318"/>
      <c r="M1277" s="318"/>
      <c r="N1277" s="318"/>
      <c r="O1277" s="318"/>
      <c r="P1277" s="318"/>
      <c r="Q1277" s="318"/>
      <c r="R1277" s="318"/>
      <c r="S1277" s="318"/>
      <c r="T1277" s="319"/>
      <c r="U1277" s="319"/>
      <c r="V1277" s="319"/>
      <c r="W1277" s="319"/>
      <c r="X1277" s="319"/>
      <c r="Y1277" s="319"/>
    </row>
    <row r="1278" spans="2:25">
      <c r="B1278" s="317" t="s">
        <v>1150</v>
      </c>
      <c r="C1278" s="292">
        <v>22</v>
      </c>
      <c r="D1278" s="293">
        <f>SUMIFS('[7]7'!$M$2:$M$85,'[7]7'!$C$2:$C$85,C1278,'[7]7'!$A$2:$A$85,$D$1251)</f>
        <v>72</v>
      </c>
      <c r="E1278" s="293">
        <f t="shared" si="747"/>
        <v>70</v>
      </c>
      <c r="G1278" s="318">
        <v>34.340000000000003</v>
      </c>
      <c r="H1278" s="318"/>
      <c r="I1278" s="294">
        <f t="shared" si="748"/>
        <v>2472</v>
      </c>
      <c r="J1278" s="294">
        <f t="shared" si="748"/>
        <v>2404</v>
      </c>
      <c r="L1278" s="318"/>
      <c r="M1278" s="318"/>
      <c r="N1278" s="318"/>
      <c r="O1278" s="318"/>
      <c r="P1278" s="318"/>
      <c r="Q1278" s="318"/>
      <c r="R1278" s="318"/>
      <c r="S1278" s="318"/>
      <c r="T1278" s="319"/>
      <c r="U1278" s="319"/>
      <c r="V1278" s="319"/>
      <c r="W1278" s="319"/>
      <c r="X1278" s="319"/>
      <c r="Y1278" s="319"/>
    </row>
    <row r="1279" spans="2:25">
      <c r="B1279" s="317" t="s">
        <v>1151</v>
      </c>
      <c r="C1279" s="292">
        <v>23</v>
      </c>
      <c r="D1279" s="293">
        <f>SUMIFS('[7]7'!$M$2:$M$85,'[7]7'!$C$2:$C$85,C1279,'[7]7'!$A$2:$A$85,$D$1251)</f>
        <v>84</v>
      </c>
      <c r="E1279" s="293">
        <f t="shared" si="747"/>
        <v>81</v>
      </c>
      <c r="G1279" s="318">
        <v>27.43</v>
      </c>
      <c r="H1279" s="318"/>
      <c r="I1279" s="294">
        <f t="shared" si="748"/>
        <v>2304</v>
      </c>
      <c r="J1279" s="294">
        <f t="shared" si="748"/>
        <v>2222</v>
      </c>
      <c r="L1279" s="318"/>
      <c r="M1279" s="318"/>
      <c r="N1279" s="318"/>
      <c r="O1279" s="318"/>
      <c r="P1279" s="318"/>
      <c r="Q1279" s="318"/>
      <c r="R1279" s="318"/>
      <c r="S1279" s="318"/>
      <c r="T1279" s="319"/>
      <c r="U1279" s="319"/>
      <c r="V1279" s="319"/>
      <c r="W1279" s="319"/>
      <c r="X1279" s="319"/>
      <c r="Y1279" s="319"/>
    </row>
    <row r="1280" spans="2:25">
      <c r="B1280" s="317" t="s">
        <v>1152</v>
      </c>
      <c r="C1280" s="292">
        <v>24</v>
      </c>
      <c r="D1280" s="293">
        <f>SUMIFS('[7]7'!$M$2:$M$85,'[7]7'!$C$2:$C$85,C1280,'[7]7'!$A$2:$A$85,$D$1251)</f>
        <v>252</v>
      </c>
      <c r="E1280" s="293">
        <f t="shared" si="747"/>
        <v>243</v>
      </c>
      <c r="G1280" s="318">
        <v>36.69</v>
      </c>
      <c r="H1280" s="318"/>
      <c r="I1280" s="294">
        <f t="shared" si="748"/>
        <v>9246</v>
      </c>
      <c r="J1280" s="294">
        <f t="shared" si="748"/>
        <v>8916</v>
      </c>
      <c r="L1280" s="318"/>
      <c r="M1280" s="318"/>
      <c r="N1280" s="318"/>
      <c r="O1280" s="318"/>
      <c r="P1280" s="318"/>
      <c r="Q1280" s="318"/>
      <c r="R1280" s="318"/>
      <c r="S1280" s="318"/>
      <c r="T1280" s="319"/>
      <c r="U1280" s="319"/>
      <c r="V1280" s="319"/>
      <c r="W1280" s="319"/>
      <c r="X1280" s="319"/>
      <c r="Y1280" s="319"/>
    </row>
    <row r="1281" spans="2:29">
      <c r="B1281" s="317" t="s">
        <v>1153</v>
      </c>
      <c r="C1281" s="292">
        <v>25</v>
      </c>
      <c r="D1281" s="293">
        <f>SUMIFS('[7]7'!$M$2:$M$85,'[7]7'!$C$2:$C$85,C1281,'[7]7'!$A$2:$A$85,$D$1251)</f>
        <v>563.06628532974401</v>
      </c>
      <c r="E1281" s="293">
        <f t="shared" si="747"/>
        <v>544</v>
      </c>
      <c r="G1281" s="318">
        <v>29.72</v>
      </c>
      <c r="H1281" s="318"/>
      <c r="I1281" s="294">
        <f t="shared" si="748"/>
        <v>16734</v>
      </c>
      <c r="J1281" s="294">
        <f t="shared" si="748"/>
        <v>16168</v>
      </c>
      <c r="L1281" s="318"/>
      <c r="M1281" s="318"/>
      <c r="N1281" s="318"/>
      <c r="O1281" s="318"/>
      <c r="P1281" s="318"/>
      <c r="Q1281" s="318"/>
      <c r="R1281" s="318"/>
      <c r="S1281" s="318"/>
      <c r="T1281" s="319"/>
      <c r="U1281" s="319"/>
      <c r="V1281" s="319"/>
      <c r="W1281" s="319"/>
      <c r="X1281" s="319"/>
      <c r="Y1281" s="319"/>
    </row>
    <row r="1282" spans="2:29">
      <c r="B1282" s="317" t="s">
        <v>1154</v>
      </c>
      <c r="C1282" s="292">
        <v>26</v>
      </c>
      <c r="D1282" s="293">
        <f>SUMIFS('[7]7'!$M$2:$M$85,'[7]7'!$C$2:$C$85,C1282,'[7]7'!$A$2:$A$85,$D$1251)</f>
        <v>12</v>
      </c>
      <c r="E1282" s="293">
        <f t="shared" si="747"/>
        <v>12</v>
      </c>
      <c r="G1282" s="318">
        <v>57.58</v>
      </c>
      <c r="H1282" s="318"/>
      <c r="I1282" s="294">
        <f t="shared" si="748"/>
        <v>691</v>
      </c>
      <c r="J1282" s="294">
        <f t="shared" si="748"/>
        <v>691</v>
      </c>
      <c r="L1282" s="318"/>
      <c r="M1282" s="318"/>
      <c r="N1282" s="318"/>
      <c r="O1282" s="318"/>
      <c r="P1282" s="318"/>
      <c r="Q1282" s="318"/>
      <c r="R1282" s="318"/>
      <c r="S1282" s="318"/>
      <c r="T1282" s="319"/>
      <c r="U1282" s="319"/>
      <c r="V1282" s="319"/>
      <c r="W1282" s="319"/>
      <c r="X1282" s="319"/>
      <c r="Y1282" s="319"/>
    </row>
    <row r="1283" spans="2:29">
      <c r="B1283" s="317" t="s">
        <v>1155</v>
      </c>
      <c r="C1283" s="292">
        <v>27</v>
      </c>
      <c r="D1283" s="293">
        <f>SUMIFS('[7]7'!$M$2:$M$85,'[7]7'!$C$2:$C$85,C1283,'[7]7'!$A$2:$A$85,$D$1251)</f>
        <v>33.733401221995898</v>
      </c>
      <c r="E1283" s="293">
        <f t="shared" si="747"/>
        <v>33</v>
      </c>
      <c r="G1283" s="318">
        <v>49.1</v>
      </c>
      <c r="H1283" s="318"/>
      <c r="I1283" s="294">
        <f t="shared" si="748"/>
        <v>1656</v>
      </c>
      <c r="J1283" s="294">
        <f t="shared" si="748"/>
        <v>1620</v>
      </c>
      <c r="L1283" s="318"/>
      <c r="M1283" s="318"/>
      <c r="N1283" s="318"/>
      <c r="O1283" s="318"/>
      <c r="P1283" s="318"/>
      <c r="Q1283" s="318"/>
      <c r="R1283" s="318"/>
      <c r="S1283" s="318"/>
      <c r="T1283" s="319"/>
      <c r="U1283" s="319"/>
      <c r="V1283" s="319"/>
      <c r="W1283" s="319"/>
      <c r="X1283" s="319"/>
      <c r="Y1283" s="319"/>
    </row>
    <row r="1284" spans="2:29">
      <c r="B1284" s="317" t="s">
        <v>1156</v>
      </c>
      <c r="D1284" s="293">
        <f>SUM(D1252:D1283)</f>
        <v>85763.472006293101</v>
      </c>
      <c r="E1284" s="293">
        <f>SUM(E1252:E1283)</f>
        <v>82807</v>
      </c>
      <c r="I1284" s="294">
        <f>SUM(I1252:I1283)</f>
        <v>1685159</v>
      </c>
      <c r="J1284" s="294">
        <f>SUM(J1252:J1283)</f>
        <v>1627103</v>
      </c>
    </row>
    <row r="1285" spans="2:29">
      <c r="B1285" s="317" t="s">
        <v>1157</v>
      </c>
      <c r="D1285" s="392">
        <f>'[7]7'!N88</f>
        <v>7238624.0497356383</v>
      </c>
      <c r="E1285" s="392">
        <f>E1290</f>
        <v>6988898.6263882052</v>
      </c>
    </row>
    <row r="1286" spans="2:29">
      <c r="B1286" s="317" t="s">
        <v>1158</v>
      </c>
      <c r="D1286" s="393">
        <f>'[7]Table 2'!J52</f>
        <v>38396</v>
      </c>
      <c r="E1286" s="393">
        <v>0</v>
      </c>
      <c r="G1286" s="394"/>
      <c r="I1286" s="358">
        <f>'[7]Table 3'!F52</f>
        <v>9758</v>
      </c>
      <c r="J1286" s="358">
        <v>0</v>
      </c>
      <c r="L1286" s="394"/>
      <c r="N1286" s="394"/>
      <c r="P1286" s="394"/>
      <c r="R1286" s="394"/>
      <c r="Z1286" s="358"/>
    </row>
    <row r="1287" spans="2:29">
      <c r="B1287" s="317" t="s">
        <v>1079</v>
      </c>
      <c r="G1287" s="338">
        <v>-1.9800000000000002E-2</v>
      </c>
      <c r="H1287" s="339"/>
      <c r="I1287" s="294">
        <f>I1284*$G1287</f>
        <v>-33366.148200000003</v>
      </c>
      <c r="J1287" s="294">
        <f>J1284*$G1287</f>
        <v>-32216.639400000004</v>
      </c>
      <c r="L1287" s="338"/>
      <c r="M1287" s="339"/>
      <c r="N1287" s="338"/>
      <c r="O1287" s="339"/>
      <c r="P1287" s="359" t="str">
        <f>$P$43</f>
        <v>Tax Year 1</v>
      </c>
      <c r="Q1287" s="339"/>
      <c r="R1287" s="338">
        <f>$AD$1203</f>
        <v>-1.7000000000000001E-2</v>
      </c>
      <c r="S1287" s="339"/>
      <c r="Z1287" s="294">
        <f>R1287*Z1290</f>
        <v>-15252.762735241206</v>
      </c>
    </row>
    <row r="1288" spans="2:29">
      <c r="B1288" s="317"/>
      <c r="G1288" s="338"/>
      <c r="H1288" s="339"/>
      <c r="L1288" s="338"/>
      <c r="M1288" s="339"/>
      <c r="N1288" s="338"/>
      <c r="O1288" s="339"/>
      <c r="P1288" s="359" t="str">
        <f>$P$44</f>
        <v>Tax Year 2</v>
      </c>
      <c r="Q1288" s="339"/>
      <c r="R1288" s="338">
        <f>$AD$1204</f>
        <v>-8.5000000000000006E-3</v>
      </c>
      <c r="S1288" s="339"/>
      <c r="Z1288" s="294">
        <f>R1288*Z1290</f>
        <v>-7626.3813676206028</v>
      </c>
    </row>
    <row r="1289" spans="2:29">
      <c r="B1289" s="317" t="s">
        <v>1159</v>
      </c>
      <c r="D1289" s="293">
        <f>'[7]Table 2'!F52</f>
        <v>3860.5833333333298</v>
      </c>
      <c r="E1289" s="293">
        <f>ROUND([7]Bill!P34/12,0)</f>
        <v>3720</v>
      </c>
    </row>
    <row r="1290" spans="2:29" ht="16.5" thickBot="1">
      <c r="B1290" s="317" t="s">
        <v>983</v>
      </c>
      <c r="D1290" s="396">
        <f>D1285+D1286</f>
        <v>7277020.0497356383</v>
      </c>
      <c r="E1290" s="396">
        <f>[7]Energy!P34</f>
        <v>6988898.6263882052</v>
      </c>
      <c r="G1290" s="363"/>
      <c r="I1290" s="364">
        <f>SUM(I1284:I1287)</f>
        <v>1661550.8518000001</v>
      </c>
      <c r="J1290" s="364">
        <f>SUM(J1284:J1287)</f>
        <v>1594886.3606</v>
      </c>
      <c r="L1290" s="363"/>
      <c r="N1290" s="363"/>
      <c r="P1290" s="363"/>
      <c r="R1290" s="363"/>
      <c r="T1290" s="294">
        <f>$Z1290/$Z$1206*T1248</f>
        <v>151015.46851626702</v>
      </c>
      <c r="V1290" s="294">
        <f>$Z1290/$Z$1206*V1248</f>
        <v>35853.550605819226</v>
      </c>
      <c r="X1290" s="294">
        <f>Z1290-T1290-V1290</f>
        <v>710352.3182450434</v>
      </c>
      <c r="Z1290" s="364">
        <f>$Z$1206/$J$1206*J1290</f>
        <v>897221.33736712963</v>
      </c>
      <c r="AB1290" s="305" t="s">
        <v>939</v>
      </c>
      <c r="AC1290" s="304">
        <f>Z1290/J1290-1</f>
        <v>-0.43743870439170796</v>
      </c>
    </row>
    <row r="1291" spans="2:29" ht="16.5" thickTop="1">
      <c r="F1291" s="339"/>
      <c r="K1291" s="339"/>
    </row>
    <row r="1292" spans="2:29">
      <c r="B1292" s="314" t="s">
        <v>986</v>
      </c>
    </row>
    <row r="1293" spans="2:29">
      <c r="B1293" s="391" t="s">
        <v>1129</v>
      </c>
      <c r="D1293" s="293" t="s">
        <v>1162</v>
      </c>
    </row>
    <row r="1294" spans="2:29">
      <c r="B1294" s="317" t="s">
        <v>1130</v>
      </c>
      <c r="C1294" s="292">
        <v>29</v>
      </c>
      <c r="D1294" s="293">
        <f>SUMIFS('[7]7'!$M$2:$M$85,'[7]7'!$C$2:$C$85,C1294,'[7]7'!$A$2:$A$85,$D$1293)</f>
        <v>0</v>
      </c>
      <c r="E1294" s="293">
        <f>ROUND(D1294/$D$1327*$E$1327,0)</f>
        <v>0</v>
      </c>
      <c r="G1294" s="318">
        <v>5.68</v>
      </c>
      <c r="H1294" s="318"/>
      <c r="I1294" s="294">
        <f t="shared" ref="I1294:J1297" si="749">ROUND($G1294*D1294,0)</f>
        <v>0</v>
      </c>
      <c r="J1294" s="294">
        <f t="shared" si="749"/>
        <v>0</v>
      </c>
      <c r="L1294" s="318"/>
      <c r="M1294" s="318"/>
      <c r="N1294" s="318"/>
      <c r="O1294" s="318"/>
      <c r="P1294" s="318"/>
      <c r="Q1294" s="318"/>
      <c r="R1294" s="318"/>
      <c r="S1294" s="318"/>
      <c r="T1294" s="319"/>
      <c r="U1294" s="319"/>
      <c r="V1294" s="319"/>
      <c r="W1294" s="319"/>
      <c r="X1294" s="319"/>
      <c r="Y1294" s="319"/>
    </row>
    <row r="1295" spans="2:29">
      <c r="B1295" s="317" t="s">
        <v>1131</v>
      </c>
      <c r="C1295" s="292">
        <v>1</v>
      </c>
      <c r="D1295" s="293">
        <f>SUMIFS('[7]7'!$M$2:$M$85,'[7]7'!$C$2:$C$85,C1295,'[7]7'!$A$2:$A$85,$D$1293)+SUMIFS('[7]7'!$M$2:$M$85,'[7]7'!$C$2:$C$85,28,'[7]7'!$A$2:$A$85,$D$1293)</f>
        <v>2928.8315018315002</v>
      </c>
      <c r="E1295" s="293">
        <f t="shared" ref="E1295:E1297" si="750">ROUND(D1295/$D$1327*$E$1327,0)</f>
        <v>3072</v>
      </c>
      <c r="G1295" s="318">
        <v>16.38</v>
      </c>
      <c r="H1295" s="318"/>
      <c r="I1295" s="294">
        <f t="shared" si="749"/>
        <v>47974</v>
      </c>
      <c r="J1295" s="294">
        <f t="shared" si="749"/>
        <v>50319</v>
      </c>
      <c r="L1295" s="318"/>
      <c r="M1295" s="318"/>
      <c r="N1295" s="318"/>
      <c r="O1295" s="318"/>
      <c r="P1295" s="318"/>
      <c r="Q1295" s="318"/>
      <c r="R1295" s="318"/>
      <c r="S1295" s="318"/>
      <c r="T1295" s="319"/>
      <c r="U1295" s="319"/>
      <c r="V1295" s="319"/>
      <c r="W1295" s="319"/>
      <c r="X1295" s="319"/>
      <c r="Y1295" s="319"/>
    </row>
    <row r="1296" spans="2:29">
      <c r="B1296" s="317" t="s">
        <v>1132</v>
      </c>
      <c r="C1296" s="292">
        <v>40</v>
      </c>
      <c r="D1296" s="293">
        <f>SUMIFS('[7]7'!$M$2:$M$85,'[7]7'!$C$2:$C$85,C1296,'[7]7'!$A$2:$A$85,$D$1293)</f>
        <v>0</v>
      </c>
      <c r="E1296" s="293">
        <f t="shared" si="750"/>
        <v>0</v>
      </c>
      <c r="G1296" s="318">
        <v>8.0500000000000007</v>
      </c>
      <c r="H1296" s="318"/>
      <c r="I1296" s="294">
        <f t="shared" si="749"/>
        <v>0</v>
      </c>
      <c r="J1296" s="294">
        <f t="shared" si="749"/>
        <v>0</v>
      </c>
      <c r="L1296" s="318"/>
      <c r="M1296" s="318"/>
      <c r="N1296" s="318"/>
      <c r="O1296" s="318"/>
      <c r="P1296" s="318"/>
      <c r="Q1296" s="318"/>
      <c r="R1296" s="318"/>
      <c r="S1296" s="318"/>
      <c r="T1296" s="319"/>
      <c r="U1296" s="319"/>
      <c r="V1296" s="319"/>
      <c r="W1296" s="319"/>
      <c r="X1296" s="319"/>
      <c r="Y1296" s="319"/>
    </row>
    <row r="1297" spans="2:25">
      <c r="B1297" s="317" t="s">
        <v>1133</v>
      </c>
      <c r="C1297" s="292">
        <v>2</v>
      </c>
      <c r="D1297" s="293">
        <f>SUMIFS('[7]7'!$M$2:$M$85,'[7]7'!$C$2:$C$85,C1297,'[7]7'!$A$2:$A$85,$D$1293)</f>
        <v>1525.76624346527</v>
      </c>
      <c r="E1297" s="293">
        <f t="shared" si="750"/>
        <v>1600</v>
      </c>
      <c r="G1297" s="318">
        <v>26.78</v>
      </c>
      <c r="H1297" s="318"/>
      <c r="I1297" s="294">
        <f t="shared" si="749"/>
        <v>40860</v>
      </c>
      <c r="J1297" s="294">
        <f t="shared" si="749"/>
        <v>42848</v>
      </c>
      <c r="L1297" s="318"/>
      <c r="M1297" s="318"/>
      <c r="N1297" s="318"/>
      <c r="O1297" s="318"/>
      <c r="P1297" s="318"/>
      <c r="Q1297" s="318"/>
      <c r="R1297" s="318"/>
      <c r="S1297" s="318"/>
      <c r="T1297" s="319"/>
      <c r="U1297" s="319"/>
      <c r="V1297" s="319"/>
      <c r="W1297" s="319"/>
      <c r="X1297" s="319"/>
      <c r="Y1297" s="319"/>
    </row>
    <row r="1298" spans="2:25">
      <c r="B1298" s="391" t="s">
        <v>1134</v>
      </c>
      <c r="L1298" s="318"/>
      <c r="N1298" s="318"/>
      <c r="P1298" s="318"/>
      <c r="R1298" s="318"/>
    </row>
    <row r="1299" spans="2:25">
      <c r="B1299" s="317" t="s">
        <v>1135</v>
      </c>
      <c r="C1299" s="292">
        <v>3</v>
      </c>
      <c r="D1299" s="293">
        <f>SUMIFS('[7]7'!$M$2:$M$85,'[7]7'!$C$2:$C$85,C1299,'[7]7'!$A$2:$A$85,$D$1293)</f>
        <v>0</v>
      </c>
      <c r="E1299" s="293">
        <f t="shared" ref="E1299:E1309" si="751">ROUND(D1299/$D$1327*$E$1327,0)</f>
        <v>0</v>
      </c>
      <c r="G1299" s="318">
        <v>14.6</v>
      </c>
      <c r="H1299" s="318"/>
      <c r="I1299" s="294">
        <f t="shared" ref="I1299:J1309" si="752">ROUND($G1299*D1299,0)</f>
        <v>0</v>
      </c>
      <c r="J1299" s="294">
        <f t="shared" si="752"/>
        <v>0</v>
      </c>
      <c r="L1299" s="318"/>
      <c r="M1299" s="318"/>
      <c r="N1299" s="318"/>
      <c r="O1299" s="318"/>
      <c r="P1299" s="318"/>
      <c r="Q1299" s="318"/>
      <c r="R1299" s="318"/>
      <c r="S1299" s="318"/>
      <c r="T1299" s="319"/>
      <c r="U1299" s="319"/>
      <c r="V1299" s="319"/>
      <c r="W1299" s="319"/>
      <c r="X1299" s="319"/>
      <c r="Y1299" s="319"/>
    </row>
    <row r="1300" spans="2:25">
      <c r="B1300" s="317" t="s">
        <v>1136</v>
      </c>
      <c r="C1300" s="292">
        <v>4</v>
      </c>
      <c r="D1300" s="293">
        <f>SUMIFS('[7]7'!$M$2:$M$85,'[7]7'!$C$2:$C$85,C1300,'[7]7'!$A$2:$A$85,$D$1293)</f>
        <v>48</v>
      </c>
      <c r="E1300" s="293">
        <f t="shared" si="751"/>
        <v>50</v>
      </c>
      <c r="G1300" s="318">
        <v>12.23</v>
      </c>
      <c r="H1300" s="318"/>
      <c r="I1300" s="294">
        <f t="shared" si="752"/>
        <v>587</v>
      </c>
      <c r="J1300" s="294">
        <f t="shared" si="752"/>
        <v>612</v>
      </c>
      <c r="L1300" s="318"/>
      <c r="M1300" s="318"/>
      <c r="N1300" s="318"/>
      <c r="O1300" s="318"/>
      <c r="P1300" s="318"/>
      <c r="Q1300" s="318"/>
      <c r="R1300" s="318"/>
      <c r="S1300" s="318"/>
      <c r="T1300" s="319"/>
      <c r="U1300" s="319"/>
      <c r="V1300" s="319"/>
      <c r="W1300" s="319"/>
      <c r="X1300" s="319"/>
      <c r="Y1300" s="319"/>
    </row>
    <row r="1301" spans="2:25">
      <c r="B1301" s="317" t="s">
        <v>1137</v>
      </c>
      <c r="C1301" s="292">
        <v>5</v>
      </c>
      <c r="D1301" s="293">
        <f>SUMIFS('[7]7'!$M$2:$M$85,'[7]7'!$C$2:$C$85,C1301,'[7]7'!$A$2:$A$85,$D$1293)</f>
        <v>737.599870717518</v>
      </c>
      <c r="E1301" s="293">
        <f t="shared" si="751"/>
        <v>774</v>
      </c>
      <c r="G1301" s="318">
        <v>15.47</v>
      </c>
      <c r="H1301" s="318"/>
      <c r="I1301" s="294">
        <f t="shared" si="752"/>
        <v>11411</v>
      </c>
      <c r="J1301" s="294">
        <f t="shared" si="752"/>
        <v>11974</v>
      </c>
      <c r="L1301" s="318"/>
      <c r="M1301" s="318"/>
      <c r="N1301" s="318"/>
      <c r="O1301" s="318"/>
      <c r="P1301" s="318"/>
      <c r="Q1301" s="318"/>
      <c r="R1301" s="318"/>
      <c r="S1301" s="318"/>
      <c r="T1301" s="319"/>
      <c r="U1301" s="319"/>
      <c r="V1301" s="319"/>
      <c r="W1301" s="319"/>
      <c r="X1301" s="319"/>
      <c r="Y1301" s="319"/>
    </row>
    <row r="1302" spans="2:25">
      <c r="B1302" s="317" t="s">
        <v>1138</v>
      </c>
      <c r="C1302" s="292">
        <v>6</v>
      </c>
      <c r="D1302" s="293">
        <f>SUMIFS('[7]7'!$M$2:$M$85,'[7]7'!$C$2:$C$85,C1302,'[7]7'!$A$2:$A$85,$D$1293)</f>
        <v>563.13373403456001</v>
      </c>
      <c r="E1302" s="293">
        <f t="shared" si="751"/>
        <v>591</v>
      </c>
      <c r="G1302" s="318">
        <v>13.31</v>
      </c>
      <c r="H1302" s="318"/>
      <c r="I1302" s="294">
        <f t="shared" si="752"/>
        <v>7495</v>
      </c>
      <c r="J1302" s="294">
        <f t="shared" si="752"/>
        <v>7866</v>
      </c>
      <c r="L1302" s="318"/>
      <c r="M1302" s="318"/>
      <c r="N1302" s="318"/>
      <c r="O1302" s="318"/>
      <c r="P1302" s="318"/>
      <c r="Q1302" s="318"/>
      <c r="R1302" s="318"/>
      <c r="S1302" s="318"/>
      <c r="T1302" s="319"/>
      <c r="U1302" s="319"/>
      <c r="V1302" s="319"/>
      <c r="W1302" s="319"/>
      <c r="X1302" s="319"/>
      <c r="Y1302" s="319"/>
    </row>
    <row r="1303" spans="2:25">
      <c r="B1303" s="317" t="s">
        <v>1139</v>
      </c>
      <c r="C1303" s="292">
        <v>7</v>
      </c>
      <c r="D1303" s="293">
        <f>SUMIFS('[7]7'!$M$2:$M$85,'[7]7'!$C$2:$C$85,C1303,'[7]7'!$A$2:$A$85,$D$1293)</f>
        <v>156</v>
      </c>
      <c r="E1303" s="293">
        <f t="shared" si="751"/>
        <v>164</v>
      </c>
      <c r="G1303" s="318">
        <v>19.46</v>
      </c>
      <c r="H1303" s="318"/>
      <c r="I1303" s="294">
        <f t="shared" si="752"/>
        <v>3036</v>
      </c>
      <c r="J1303" s="294">
        <f t="shared" si="752"/>
        <v>3191</v>
      </c>
      <c r="L1303" s="318"/>
      <c r="M1303" s="318"/>
      <c r="N1303" s="318"/>
      <c r="O1303" s="318"/>
      <c r="P1303" s="318"/>
      <c r="Q1303" s="318"/>
      <c r="R1303" s="318"/>
      <c r="S1303" s="318"/>
      <c r="T1303" s="319"/>
      <c r="U1303" s="319"/>
      <c r="V1303" s="319"/>
      <c r="W1303" s="319"/>
      <c r="X1303" s="319"/>
      <c r="Y1303" s="319"/>
    </row>
    <row r="1304" spans="2:25">
      <c r="B1304" s="317" t="s">
        <v>1140</v>
      </c>
      <c r="C1304" s="292">
        <v>8</v>
      </c>
      <c r="D1304" s="293">
        <f>SUMIFS('[7]7'!$M$2:$M$85,'[7]7'!$C$2:$C$85,C1304,'[7]7'!$A$2:$A$85,$D$1293)</f>
        <v>108</v>
      </c>
      <c r="E1304" s="293">
        <f t="shared" si="751"/>
        <v>113</v>
      </c>
      <c r="G1304" s="318">
        <v>17.13</v>
      </c>
      <c r="H1304" s="318"/>
      <c r="I1304" s="294">
        <f t="shared" si="752"/>
        <v>1850</v>
      </c>
      <c r="J1304" s="294">
        <f t="shared" si="752"/>
        <v>1936</v>
      </c>
      <c r="L1304" s="318"/>
      <c r="M1304" s="318"/>
      <c r="N1304" s="318"/>
      <c r="O1304" s="318"/>
      <c r="P1304" s="318"/>
      <c r="Q1304" s="318"/>
      <c r="R1304" s="318"/>
      <c r="S1304" s="318"/>
      <c r="T1304" s="319"/>
      <c r="U1304" s="319"/>
      <c r="V1304" s="319"/>
      <c r="W1304" s="319"/>
      <c r="X1304" s="319"/>
      <c r="Y1304" s="319"/>
    </row>
    <row r="1305" spans="2:25">
      <c r="B1305" s="317" t="s">
        <v>1141</v>
      </c>
      <c r="C1305" s="292">
        <v>9</v>
      </c>
      <c r="D1305" s="293">
        <f>SUMIFS('[7]7'!$M$2:$M$85,'[7]7'!$C$2:$C$85,C1305,'[7]7'!$A$2:$A$85,$D$1293)</f>
        <v>0</v>
      </c>
      <c r="E1305" s="293">
        <f t="shared" si="751"/>
        <v>0</v>
      </c>
      <c r="G1305" s="318">
        <v>21.07</v>
      </c>
      <c r="H1305" s="318"/>
      <c r="I1305" s="294">
        <f t="shared" si="752"/>
        <v>0</v>
      </c>
      <c r="J1305" s="294">
        <f t="shared" si="752"/>
        <v>0</v>
      </c>
      <c r="L1305" s="318"/>
      <c r="M1305" s="318"/>
      <c r="N1305" s="318"/>
      <c r="O1305" s="318"/>
      <c r="P1305" s="318"/>
      <c r="Q1305" s="318"/>
      <c r="R1305" s="318"/>
      <c r="S1305" s="318"/>
      <c r="T1305" s="319"/>
      <c r="U1305" s="319"/>
      <c r="V1305" s="319"/>
      <c r="W1305" s="319"/>
      <c r="X1305" s="319"/>
      <c r="Y1305" s="319"/>
    </row>
    <row r="1306" spans="2:25">
      <c r="B1306" s="317" t="s">
        <v>1142</v>
      </c>
      <c r="C1306" s="292">
        <v>10</v>
      </c>
      <c r="D1306" s="293">
        <f>SUMIFS('[7]7'!$M$2:$M$85,'[7]7'!$C$2:$C$85,C1306,'[7]7'!$A$2:$A$85,$D$1293)</f>
        <v>256.199914929817</v>
      </c>
      <c r="E1306" s="293">
        <f t="shared" si="751"/>
        <v>269</v>
      </c>
      <c r="G1306" s="318">
        <v>23.51</v>
      </c>
      <c r="H1306" s="318"/>
      <c r="I1306" s="294">
        <f t="shared" si="752"/>
        <v>6023</v>
      </c>
      <c r="J1306" s="294">
        <f t="shared" si="752"/>
        <v>6324</v>
      </c>
      <c r="L1306" s="318"/>
      <c r="M1306" s="318"/>
      <c r="N1306" s="318"/>
      <c r="O1306" s="318"/>
      <c r="P1306" s="318"/>
      <c r="Q1306" s="318"/>
      <c r="R1306" s="318"/>
      <c r="S1306" s="318"/>
      <c r="T1306" s="319"/>
      <c r="U1306" s="319"/>
      <c r="V1306" s="319"/>
      <c r="W1306" s="319"/>
      <c r="X1306" s="319"/>
      <c r="Y1306" s="319"/>
    </row>
    <row r="1307" spans="2:25">
      <c r="B1307" s="317" t="s">
        <v>1143</v>
      </c>
      <c r="C1307" s="292">
        <v>11</v>
      </c>
      <c r="D1307" s="293">
        <f>SUMIFS('[7]7'!$M$2:$M$85,'[7]7'!$C$2:$C$85,C1307,'[7]7'!$A$2:$A$85,$D$1293)</f>
        <v>276</v>
      </c>
      <c r="E1307" s="293">
        <f t="shared" si="751"/>
        <v>290</v>
      </c>
      <c r="G1307" s="318">
        <v>21.23</v>
      </c>
      <c r="H1307" s="318"/>
      <c r="I1307" s="294">
        <f t="shared" si="752"/>
        <v>5859</v>
      </c>
      <c r="J1307" s="294">
        <f t="shared" si="752"/>
        <v>6157</v>
      </c>
      <c r="L1307" s="318"/>
      <c r="M1307" s="318"/>
      <c r="N1307" s="318"/>
      <c r="O1307" s="318"/>
      <c r="P1307" s="318"/>
      <c r="Q1307" s="318"/>
      <c r="R1307" s="318"/>
      <c r="S1307" s="318"/>
      <c r="T1307" s="319"/>
      <c r="U1307" s="319"/>
      <c r="V1307" s="319"/>
      <c r="W1307" s="319"/>
      <c r="X1307" s="319"/>
      <c r="Y1307" s="319"/>
    </row>
    <row r="1308" spans="2:25">
      <c r="B1308" s="317" t="s">
        <v>1144</v>
      </c>
      <c r="C1308" s="292">
        <v>12</v>
      </c>
      <c r="D1308" s="293">
        <f>SUMIFS('[7]7'!$M$2:$M$85,'[7]7'!$C$2:$C$85,C1308,'[7]7'!$A$2:$A$85,$D$1293)</f>
        <v>215.4</v>
      </c>
      <c r="E1308" s="293">
        <f t="shared" si="751"/>
        <v>226</v>
      </c>
      <c r="G1308" s="318">
        <v>28.3</v>
      </c>
      <c r="H1308" s="318"/>
      <c r="I1308" s="294">
        <f t="shared" si="752"/>
        <v>6096</v>
      </c>
      <c r="J1308" s="294">
        <f t="shared" si="752"/>
        <v>6396</v>
      </c>
      <c r="L1308" s="318"/>
      <c r="M1308" s="318"/>
      <c r="N1308" s="318"/>
      <c r="O1308" s="318"/>
      <c r="P1308" s="318"/>
      <c r="Q1308" s="318"/>
      <c r="R1308" s="318"/>
      <c r="S1308" s="318"/>
      <c r="T1308" s="319"/>
      <c r="U1308" s="319"/>
      <c r="V1308" s="319"/>
      <c r="W1308" s="319"/>
      <c r="X1308" s="319"/>
      <c r="Y1308" s="319"/>
    </row>
    <row r="1309" spans="2:25">
      <c r="B1309" s="317" t="s">
        <v>1145</v>
      </c>
      <c r="C1309" s="292">
        <v>13</v>
      </c>
      <c r="D1309" s="293">
        <f>SUMIFS('[7]7'!$M$2:$M$85,'[7]7'!$C$2:$C$85,C1309,'[7]7'!$A$2:$A$85,$D$1293)</f>
        <v>96</v>
      </c>
      <c r="E1309" s="293">
        <f t="shared" si="751"/>
        <v>101</v>
      </c>
      <c r="G1309" s="318">
        <v>25.99</v>
      </c>
      <c r="H1309" s="318"/>
      <c r="I1309" s="294">
        <f t="shared" si="752"/>
        <v>2495</v>
      </c>
      <c r="J1309" s="294">
        <f t="shared" si="752"/>
        <v>2625</v>
      </c>
      <c r="L1309" s="318"/>
      <c r="M1309" s="318"/>
      <c r="N1309" s="318"/>
      <c r="O1309" s="318"/>
      <c r="P1309" s="318"/>
      <c r="Q1309" s="318"/>
      <c r="R1309" s="318"/>
      <c r="S1309" s="318"/>
      <c r="T1309" s="319"/>
      <c r="U1309" s="319"/>
      <c r="V1309" s="319"/>
      <c r="W1309" s="319"/>
      <c r="X1309" s="319"/>
      <c r="Y1309" s="319"/>
    </row>
    <row r="1310" spans="2:25">
      <c r="B1310" s="391" t="s">
        <v>1146</v>
      </c>
      <c r="L1310" s="318"/>
      <c r="N1310" s="318"/>
      <c r="P1310" s="318"/>
      <c r="R1310" s="318"/>
    </row>
    <row r="1311" spans="2:25">
      <c r="B1311" s="317" t="s">
        <v>1139</v>
      </c>
      <c r="C1311" s="292">
        <v>14</v>
      </c>
      <c r="D1311" s="293">
        <f>SUMIFS('[7]7'!$M$2:$M$85,'[7]7'!$C$2:$C$85,C1311,'[7]7'!$A$2:$A$85,$D$1293)</f>
        <v>276.66649537512802</v>
      </c>
      <c r="E1311" s="293">
        <f t="shared" ref="E1311:E1316" si="753">ROUND(D1311/$D$1327*$E$1327,0)</f>
        <v>290</v>
      </c>
      <c r="G1311" s="318">
        <v>19.46</v>
      </c>
      <c r="H1311" s="318"/>
      <c r="I1311" s="294">
        <f t="shared" ref="I1311:J1316" si="754">ROUND($G1311*D1311,0)</f>
        <v>5384</v>
      </c>
      <c r="J1311" s="294">
        <f t="shared" si="754"/>
        <v>5643</v>
      </c>
      <c r="L1311" s="318"/>
      <c r="M1311" s="318"/>
      <c r="N1311" s="318"/>
      <c r="O1311" s="318"/>
      <c r="P1311" s="318"/>
      <c r="Q1311" s="318"/>
      <c r="R1311" s="318"/>
      <c r="S1311" s="318"/>
      <c r="T1311" s="319"/>
      <c r="U1311" s="319"/>
      <c r="V1311" s="319"/>
      <c r="W1311" s="319"/>
      <c r="X1311" s="319"/>
      <c r="Y1311" s="319"/>
    </row>
    <row r="1312" spans="2:25">
      <c r="B1312" s="317" t="s">
        <v>1140</v>
      </c>
      <c r="C1312" s="292">
        <v>15</v>
      </c>
      <c r="D1312" s="293">
        <f>SUMIFS('[7]7'!$M$2:$M$85,'[7]7'!$C$2:$C$85,C1312,'[7]7'!$A$2:$A$85,$D$1293)</f>
        <v>84.033274956217198</v>
      </c>
      <c r="E1312" s="293">
        <f t="shared" si="753"/>
        <v>88</v>
      </c>
      <c r="G1312" s="318">
        <v>17.13</v>
      </c>
      <c r="H1312" s="318"/>
      <c r="I1312" s="294">
        <f t="shared" si="754"/>
        <v>1439</v>
      </c>
      <c r="J1312" s="294">
        <f t="shared" si="754"/>
        <v>1507</v>
      </c>
      <c r="L1312" s="318"/>
      <c r="M1312" s="318"/>
      <c r="N1312" s="318"/>
      <c r="O1312" s="318"/>
      <c r="P1312" s="318"/>
      <c r="Q1312" s="318"/>
      <c r="R1312" s="318"/>
      <c r="S1312" s="318"/>
      <c r="T1312" s="319"/>
      <c r="U1312" s="319"/>
      <c r="V1312" s="319"/>
      <c r="W1312" s="319"/>
      <c r="X1312" s="319"/>
      <c r="Y1312" s="319"/>
    </row>
    <row r="1313" spans="2:26">
      <c r="B1313" s="317" t="s">
        <v>1142</v>
      </c>
      <c r="C1313" s="292">
        <v>16</v>
      </c>
      <c r="D1313" s="293">
        <f>SUMIFS('[7]7'!$M$2:$M$85,'[7]7'!$C$2:$C$85,C1313,'[7]7'!$A$2:$A$85,$D$1293)</f>
        <v>36</v>
      </c>
      <c r="E1313" s="293">
        <f t="shared" si="753"/>
        <v>38</v>
      </c>
      <c r="G1313" s="318">
        <v>23.51</v>
      </c>
      <c r="H1313" s="318"/>
      <c r="I1313" s="294">
        <f t="shared" si="754"/>
        <v>846</v>
      </c>
      <c r="J1313" s="294">
        <f t="shared" si="754"/>
        <v>893</v>
      </c>
      <c r="L1313" s="318"/>
      <c r="M1313" s="318"/>
      <c r="N1313" s="318"/>
      <c r="O1313" s="318"/>
      <c r="P1313" s="318"/>
      <c r="Q1313" s="318"/>
      <c r="R1313" s="318"/>
      <c r="S1313" s="318"/>
      <c r="T1313" s="319"/>
      <c r="U1313" s="319"/>
      <c r="V1313" s="319"/>
      <c r="W1313" s="319"/>
      <c r="X1313" s="319"/>
      <c r="Y1313" s="319"/>
    </row>
    <row r="1314" spans="2:26">
      <c r="B1314" s="317" t="s">
        <v>1143</v>
      </c>
      <c r="C1314" s="292">
        <v>17</v>
      </c>
      <c r="D1314" s="293">
        <f>SUMIFS('[7]7'!$M$2:$M$85,'[7]7'!$C$2:$C$85,C1314,'[7]7'!$A$2:$A$85,$D$1293)</f>
        <v>0</v>
      </c>
      <c r="E1314" s="293">
        <f t="shared" si="753"/>
        <v>0</v>
      </c>
      <c r="G1314" s="318">
        <v>21.23</v>
      </c>
      <c r="H1314" s="318"/>
      <c r="I1314" s="294">
        <f t="shared" si="754"/>
        <v>0</v>
      </c>
      <c r="J1314" s="294">
        <f t="shared" si="754"/>
        <v>0</v>
      </c>
      <c r="L1314" s="318"/>
      <c r="M1314" s="318"/>
      <c r="N1314" s="318"/>
      <c r="O1314" s="318"/>
      <c r="P1314" s="318"/>
      <c r="Q1314" s="318"/>
      <c r="R1314" s="318"/>
      <c r="S1314" s="318"/>
      <c r="T1314" s="319"/>
      <c r="U1314" s="319"/>
      <c r="V1314" s="319"/>
      <c r="W1314" s="319"/>
      <c r="X1314" s="319"/>
      <c r="Y1314" s="319"/>
    </row>
    <row r="1315" spans="2:26">
      <c r="B1315" s="317" t="s">
        <v>1144</v>
      </c>
      <c r="C1315" s="292">
        <v>18</v>
      </c>
      <c r="D1315" s="293">
        <f>SUMIFS('[7]7'!$M$2:$M$85,'[7]7'!$C$2:$C$85,C1315,'[7]7'!$A$2:$A$85,$D$1293)</f>
        <v>1450.7102473498201</v>
      </c>
      <c r="E1315" s="293">
        <f t="shared" si="753"/>
        <v>1522</v>
      </c>
      <c r="G1315" s="318">
        <v>28.3</v>
      </c>
      <c r="H1315" s="318"/>
      <c r="I1315" s="294">
        <f t="shared" si="754"/>
        <v>41055</v>
      </c>
      <c r="J1315" s="294">
        <f t="shared" si="754"/>
        <v>43073</v>
      </c>
      <c r="L1315" s="318"/>
      <c r="M1315" s="318"/>
      <c r="N1315" s="318"/>
      <c r="O1315" s="318"/>
      <c r="P1315" s="318"/>
      <c r="Q1315" s="318"/>
      <c r="R1315" s="318"/>
      <c r="S1315" s="318"/>
      <c r="T1315" s="319"/>
      <c r="U1315" s="319"/>
      <c r="V1315" s="319"/>
      <c r="W1315" s="319"/>
      <c r="X1315" s="319"/>
      <c r="Y1315" s="319"/>
    </row>
    <row r="1316" spans="2:26">
      <c r="B1316" s="317" t="s">
        <v>1145</v>
      </c>
      <c r="C1316" s="292">
        <v>19</v>
      </c>
      <c r="D1316" s="293">
        <f>SUMIFS('[7]7'!$M$2:$M$85,'[7]7'!$C$2:$C$85,C1316,'[7]7'!$A$2:$A$85,$D$1293)</f>
        <v>959.43401308195496</v>
      </c>
      <c r="E1316" s="293">
        <f t="shared" si="753"/>
        <v>1006</v>
      </c>
      <c r="G1316" s="318">
        <v>25.99</v>
      </c>
      <c r="H1316" s="318"/>
      <c r="I1316" s="294">
        <f t="shared" si="754"/>
        <v>24936</v>
      </c>
      <c r="J1316" s="294">
        <f t="shared" si="754"/>
        <v>26146</v>
      </c>
      <c r="L1316" s="318"/>
      <c r="M1316" s="318"/>
      <c r="N1316" s="318"/>
      <c r="O1316" s="318"/>
      <c r="P1316" s="318"/>
      <c r="Q1316" s="318"/>
      <c r="R1316" s="318"/>
      <c r="S1316" s="318"/>
      <c r="T1316" s="319"/>
      <c r="U1316" s="319"/>
      <c r="V1316" s="319"/>
      <c r="W1316" s="319"/>
      <c r="X1316" s="319"/>
      <c r="Y1316" s="319"/>
    </row>
    <row r="1317" spans="2:26">
      <c r="B1317" s="391" t="s">
        <v>1147</v>
      </c>
      <c r="L1317" s="318"/>
      <c r="N1317" s="318"/>
      <c r="P1317" s="318"/>
      <c r="R1317" s="318"/>
    </row>
    <row r="1318" spans="2:26">
      <c r="B1318" s="317" t="s">
        <v>1148</v>
      </c>
      <c r="C1318" s="292">
        <v>20</v>
      </c>
      <c r="D1318" s="293">
        <f>SUMIFS('[7]7'!$M$2:$M$85,'[7]7'!$C$2:$C$85,C1318,'[7]7'!$A$2:$A$85,$D$1293)</f>
        <v>0</v>
      </c>
      <c r="E1318" s="293">
        <f t="shared" ref="E1318:E1325" si="755">ROUND(D1318/$D$1327*$E$1327,0)</f>
        <v>0</v>
      </c>
      <c r="G1318" s="318">
        <v>29.4</v>
      </c>
      <c r="H1318" s="318"/>
      <c r="I1318" s="294">
        <f t="shared" ref="I1318:J1325" si="756">ROUND($G1318*D1318,0)</f>
        <v>0</v>
      </c>
      <c r="J1318" s="294">
        <f t="shared" si="756"/>
        <v>0</v>
      </c>
      <c r="L1318" s="318"/>
      <c r="M1318" s="318"/>
      <c r="N1318" s="318"/>
      <c r="O1318" s="318"/>
      <c r="P1318" s="318"/>
      <c r="Q1318" s="318"/>
      <c r="R1318" s="318"/>
      <c r="S1318" s="318"/>
      <c r="T1318" s="319"/>
      <c r="U1318" s="319"/>
      <c r="V1318" s="319"/>
      <c r="W1318" s="319"/>
      <c r="X1318" s="319"/>
      <c r="Y1318" s="319"/>
    </row>
    <row r="1319" spans="2:26">
      <c r="B1319" s="317" t="s">
        <v>1149</v>
      </c>
      <c r="C1319" s="292">
        <v>21</v>
      </c>
      <c r="D1319" s="293">
        <f>SUMIFS('[7]7'!$M$2:$M$85,'[7]7'!$C$2:$C$85,C1319,'[7]7'!$A$2:$A$85,$D$1293)</f>
        <v>0</v>
      </c>
      <c r="E1319" s="293">
        <f t="shared" si="755"/>
        <v>0</v>
      </c>
      <c r="G1319" s="318">
        <v>21.79</v>
      </c>
      <c r="H1319" s="318"/>
      <c r="I1319" s="294">
        <f t="shared" si="756"/>
        <v>0</v>
      </c>
      <c r="J1319" s="294">
        <f t="shared" si="756"/>
        <v>0</v>
      </c>
      <c r="L1319" s="318"/>
      <c r="M1319" s="318"/>
      <c r="N1319" s="318"/>
      <c r="O1319" s="318"/>
      <c r="P1319" s="318"/>
      <c r="Q1319" s="318"/>
      <c r="R1319" s="318"/>
      <c r="S1319" s="318"/>
      <c r="T1319" s="319"/>
      <c r="U1319" s="319"/>
      <c r="V1319" s="319"/>
      <c r="W1319" s="319"/>
      <c r="X1319" s="319"/>
      <c r="Y1319" s="319"/>
    </row>
    <row r="1320" spans="2:26">
      <c r="B1320" s="317" t="s">
        <v>1150</v>
      </c>
      <c r="C1320" s="292">
        <v>22</v>
      </c>
      <c r="D1320" s="293">
        <f>SUMIFS('[7]7'!$M$2:$M$85,'[7]7'!$C$2:$C$85,C1320,'[7]7'!$A$2:$A$85,$D$1293)</f>
        <v>36</v>
      </c>
      <c r="E1320" s="293">
        <f t="shared" si="755"/>
        <v>38</v>
      </c>
      <c r="G1320" s="318">
        <v>34.340000000000003</v>
      </c>
      <c r="H1320" s="318"/>
      <c r="I1320" s="294">
        <f t="shared" si="756"/>
        <v>1236</v>
      </c>
      <c r="J1320" s="294">
        <f t="shared" si="756"/>
        <v>1305</v>
      </c>
      <c r="L1320" s="318"/>
      <c r="M1320" s="318"/>
      <c r="N1320" s="318"/>
      <c r="O1320" s="318"/>
      <c r="P1320" s="318"/>
      <c r="Q1320" s="318"/>
      <c r="R1320" s="318"/>
      <c r="S1320" s="318"/>
      <c r="T1320" s="319"/>
      <c r="U1320" s="319"/>
      <c r="V1320" s="319"/>
      <c r="W1320" s="319"/>
      <c r="X1320" s="319"/>
      <c r="Y1320" s="319"/>
    </row>
    <row r="1321" spans="2:26">
      <c r="B1321" s="317" t="s">
        <v>1151</v>
      </c>
      <c r="C1321" s="292">
        <v>23</v>
      </c>
      <c r="D1321" s="293">
        <f>SUMIFS('[7]7'!$M$2:$M$85,'[7]7'!$C$2:$C$85,C1321,'[7]7'!$A$2:$A$85,$D$1293)</f>
        <v>12</v>
      </c>
      <c r="E1321" s="293">
        <f t="shared" si="755"/>
        <v>13</v>
      </c>
      <c r="G1321" s="318">
        <v>27.43</v>
      </c>
      <c r="H1321" s="318"/>
      <c r="I1321" s="294">
        <f t="shared" si="756"/>
        <v>329</v>
      </c>
      <c r="J1321" s="294">
        <f t="shared" si="756"/>
        <v>357</v>
      </c>
      <c r="L1321" s="318"/>
      <c r="M1321" s="318"/>
      <c r="N1321" s="318"/>
      <c r="O1321" s="318"/>
      <c r="P1321" s="318"/>
      <c r="Q1321" s="318"/>
      <c r="R1321" s="318"/>
      <c r="S1321" s="318"/>
      <c r="T1321" s="319"/>
      <c r="U1321" s="319"/>
      <c r="V1321" s="319"/>
      <c r="W1321" s="319"/>
      <c r="X1321" s="319"/>
      <c r="Y1321" s="319"/>
    </row>
    <row r="1322" spans="2:26">
      <c r="B1322" s="317" t="s">
        <v>1152</v>
      </c>
      <c r="C1322" s="292">
        <v>24</v>
      </c>
      <c r="D1322" s="293">
        <f>SUMIFS('[7]7'!$M$2:$M$85,'[7]7'!$C$2:$C$85,C1322,'[7]7'!$A$2:$A$85,$D$1293)</f>
        <v>0</v>
      </c>
      <c r="E1322" s="293">
        <f t="shared" si="755"/>
        <v>0</v>
      </c>
      <c r="G1322" s="318">
        <v>36.69</v>
      </c>
      <c r="H1322" s="318"/>
      <c r="I1322" s="294">
        <f t="shared" si="756"/>
        <v>0</v>
      </c>
      <c r="J1322" s="294">
        <f t="shared" si="756"/>
        <v>0</v>
      </c>
      <c r="L1322" s="318"/>
      <c r="M1322" s="318"/>
      <c r="N1322" s="318"/>
      <c r="O1322" s="318"/>
      <c r="P1322" s="318"/>
      <c r="Q1322" s="318"/>
      <c r="R1322" s="318"/>
      <c r="S1322" s="318"/>
      <c r="T1322" s="319"/>
      <c r="U1322" s="319"/>
      <c r="V1322" s="319"/>
      <c r="W1322" s="319"/>
      <c r="X1322" s="319"/>
      <c r="Y1322" s="319"/>
    </row>
    <row r="1323" spans="2:26">
      <c r="B1323" s="317" t="s">
        <v>1153</v>
      </c>
      <c r="C1323" s="292">
        <v>25</v>
      </c>
      <c r="D1323" s="293">
        <f>SUMIFS('[7]7'!$M$2:$M$85,'[7]7'!$C$2:$C$85,C1323,'[7]7'!$A$2:$A$85,$D$1293)</f>
        <v>0</v>
      </c>
      <c r="E1323" s="293">
        <f t="shared" si="755"/>
        <v>0</v>
      </c>
      <c r="G1323" s="318">
        <v>29.72</v>
      </c>
      <c r="H1323" s="318"/>
      <c r="I1323" s="294">
        <f t="shared" si="756"/>
        <v>0</v>
      </c>
      <c r="J1323" s="294">
        <f t="shared" si="756"/>
        <v>0</v>
      </c>
      <c r="L1323" s="318"/>
      <c r="M1323" s="318"/>
      <c r="N1323" s="318"/>
      <c r="O1323" s="318"/>
      <c r="P1323" s="318"/>
      <c r="Q1323" s="318"/>
      <c r="R1323" s="318"/>
      <c r="S1323" s="318"/>
      <c r="T1323" s="319"/>
      <c r="U1323" s="319"/>
      <c r="V1323" s="319"/>
      <c r="W1323" s="319"/>
      <c r="X1323" s="319"/>
      <c r="Y1323" s="319"/>
    </row>
    <row r="1324" spans="2:26">
      <c r="B1324" s="317" t="s">
        <v>1154</v>
      </c>
      <c r="C1324" s="292">
        <v>26</v>
      </c>
      <c r="D1324" s="293">
        <f>SUMIFS('[7]7'!$M$2:$M$85,'[7]7'!$C$2:$C$85,C1324,'[7]7'!$A$2:$A$85,$D$1293)</f>
        <v>0</v>
      </c>
      <c r="E1324" s="293">
        <f t="shared" si="755"/>
        <v>0</v>
      </c>
      <c r="G1324" s="318">
        <v>57.58</v>
      </c>
      <c r="H1324" s="318"/>
      <c r="I1324" s="294">
        <f t="shared" si="756"/>
        <v>0</v>
      </c>
      <c r="J1324" s="294">
        <f t="shared" si="756"/>
        <v>0</v>
      </c>
      <c r="L1324" s="318"/>
      <c r="M1324" s="318"/>
      <c r="N1324" s="318"/>
      <c r="O1324" s="318"/>
      <c r="P1324" s="318"/>
      <c r="Q1324" s="318"/>
      <c r="R1324" s="318"/>
      <c r="S1324" s="318"/>
      <c r="T1324" s="319"/>
      <c r="U1324" s="319"/>
      <c r="V1324" s="319"/>
      <c r="W1324" s="319"/>
      <c r="X1324" s="319"/>
      <c r="Y1324" s="319"/>
    </row>
    <row r="1325" spans="2:26">
      <c r="B1325" s="317" t="s">
        <v>1155</v>
      </c>
      <c r="C1325" s="292">
        <v>27</v>
      </c>
      <c r="D1325" s="293">
        <f>SUMIFS('[7]7'!$M$2:$M$85,'[7]7'!$C$2:$C$85,C1325,'[7]7'!$A$2:$A$85,$D$1293)</f>
        <v>0</v>
      </c>
      <c r="E1325" s="293">
        <f t="shared" si="755"/>
        <v>0</v>
      </c>
      <c r="G1325" s="318">
        <v>49.1</v>
      </c>
      <c r="H1325" s="318"/>
      <c r="I1325" s="294">
        <f t="shared" si="756"/>
        <v>0</v>
      </c>
      <c r="J1325" s="294">
        <f t="shared" si="756"/>
        <v>0</v>
      </c>
      <c r="L1325" s="318"/>
      <c r="M1325" s="318"/>
      <c r="N1325" s="318"/>
      <c r="O1325" s="318"/>
      <c r="P1325" s="318"/>
      <c r="Q1325" s="318"/>
      <c r="R1325" s="318"/>
      <c r="S1325" s="318"/>
      <c r="T1325" s="319"/>
      <c r="U1325" s="319"/>
      <c r="V1325" s="319"/>
      <c r="W1325" s="319"/>
      <c r="X1325" s="319"/>
      <c r="Y1325" s="319"/>
    </row>
    <row r="1326" spans="2:26">
      <c r="B1326" s="317" t="s">
        <v>1156</v>
      </c>
      <c r="D1326" s="293">
        <f>SUM(D1294:D1325)</f>
        <v>9765.7752957417852</v>
      </c>
      <c r="E1326" s="293">
        <f>SUM(E1294:E1325)</f>
        <v>10245</v>
      </c>
      <c r="I1326" s="294">
        <f>SUM(I1294:I1325)</f>
        <v>208911</v>
      </c>
      <c r="J1326" s="294">
        <f>SUM(J1294:J1325)</f>
        <v>219172</v>
      </c>
    </row>
    <row r="1327" spans="2:26">
      <c r="B1327" s="317" t="s">
        <v>1157</v>
      </c>
      <c r="D1327" s="392">
        <f>'[7]7'!N89</f>
        <v>974055.11834088468</v>
      </c>
      <c r="E1327" s="392">
        <f>E1332</f>
        <v>1021723.7132091596</v>
      </c>
    </row>
    <row r="1328" spans="2:26">
      <c r="B1328" s="317" t="s">
        <v>1158</v>
      </c>
      <c r="D1328" s="393">
        <f>'[7]Table 2'!J89</f>
        <v>-15790</v>
      </c>
      <c r="E1328" s="393">
        <v>0</v>
      </c>
      <c r="G1328" s="394"/>
      <c r="I1328" s="395">
        <f>'[7]Table 3'!F89</f>
        <v>-3114</v>
      </c>
      <c r="J1328" s="358">
        <v>0</v>
      </c>
      <c r="L1328" s="394"/>
      <c r="N1328" s="394"/>
      <c r="P1328" s="394"/>
      <c r="R1328" s="394"/>
      <c r="Z1328" s="358"/>
    </row>
    <row r="1329" spans="2:29">
      <c r="B1329" s="317" t="s">
        <v>1079</v>
      </c>
      <c r="G1329" s="338">
        <v>-1.9800000000000002E-2</v>
      </c>
      <c r="H1329" s="339"/>
      <c r="I1329" s="294">
        <f>I1326*$G1329</f>
        <v>-4136.4378000000006</v>
      </c>
      <c r="J1329" s="294">
        <f>J1326*$G1329</f>
        <v>-4339.6056000000008</v>
      </c>
      <c r="L1329" s="338"/>
      <c r="M1329" s="339"/>
      <c r="N1329" s="338"/>
      <c r="O1329" s="339"/>
      <c r="P1329" s="359" t="str">
        <f>$P$43</f>
        <v>Tax Year 1</v>
      </c>
      <c r="Q1329" s="339"/>
      <c r="R1329" s="338">
        <f>$AD$1203</f>
        <v>-1.7000000000000001E-2</v>
      </c>
      <c r="S1329" s="339"/>
      <c r="Z1329" s="294">
        <f>R1329*Z1332</f>
        <v>-2054.5586322490249</v>
      </c>
    </row>
    <row r="1330" spans="2:29">
      <c r="B1330" s="317"/>
      <c r="G1330" s="338"/>
      <c r="H1330" s="339"/>
      <c r="L1330" s="338"/>
      <c r="M1330" s="339"/>
      <c r="N1330" s="338"/>
      <c r="O1330" s="339"/>
      <c r="P1330" s="359" t="str">
        <f>$P$44</f>
        <v>Tax Year 2</v>
      </c>
      <c r="Q1330" s="339"/>
      <c r="R1330" s="338">
        <f>$AD$1204</f>
        <v>-8.5000000000000006E-3</v>
      </c>
      <c r="S1330" s="339"/>
      <c r="Z1330" s="294">
        <f>R1330*Z1332</f>
        <v>-1027.2793161245124</v>
      </c>
    </row>
    <row r="1331" spans="2:29">
      <c r="B1331" s="317" t="s">
        <v>1159</v>
      </c>
      <c r="D1331" s="293">
        <f>'[7]Table 2'!F89</f>
        <v>394</v>
      </c>
      <c r="E1331" s="293">
        <f>ROUND([7]Bill!P59/12,0)</f>
        <v>403</v>
      </c>
    </row>
    <row r="1332" spans="2:29" ht="16.5" thickBot="1">
      <c r="B1332" s="317" t="s">
        <v>983</v>
      </c>
      <c r="D1332" s="396">
        <f>D1327+D1328</f>
        <v>958265.11834088468</v>
      </c>
      <c r="E1332" s="396">
        <f>[7]Energy!P59</f>
        <v>1021723.7132091596</v>
      </c>
      <c r="G1332" s="363"/>
      <c r="I1332" s="364">
        <f>SUM(I1326:I1329)</f>
        <v>201660.56219999999</v>
      </c>
      <c r="J1332" s="364">
        <f>SUM(J1326:J1329)</f>
        <v>214832.39439999999</v>
      </c>
      <c r="L1332" s="363"/>
      <c r="N1332" s="363"/>
      <c r="P1332" s="363"/>
      <c r="R1332" s="363"/>
      <c r="T1332" s="294">
        <f>$Z1332/$Z$1206*T1290</f>
        <v>12998.922043707316</v>
      </c>
      <c r="V1332" s="294">
        <f>$Z1332/$Z$1206*V1290</f>
        <v>3086.1574240982918</v>
      </c>
      <c r="X1332" s="294">
        <f>Z1332-T1332-V1332</f>
        <v>104771.31066448998</v>
      </c>
      <c r="Z1332" s="364">
        <f>$Z$1206/$J$1206*J1332</f>
        <v>120856.39013229558</v>
      </c>
      <c r="AB1332" s="305" t="s">
        <v>939</v>
      </c>
      <c r="AC1332" s="304">
        <f>Z1332/J1332-1</f>
        <v>-0.43743870439170796</v>
      </c>
    </row>
    <row r="1333" spans="2:29" ht="16.5" thickTop="1">
      <c r="F1333" s="339"/>
      <c r="K1333" s="339"/>
    </row>
    <row r="1334" spans="2:29">
      <c r="B1334" s="314" t="s">
        <v>987</v>
      </c>
    </row>
    <row r="1335" spans="2:29">
      <c r="B1335" s="391" t="s">
        <v>1129</v>
      </c>
      <c r="D1335" s="293" t="s">
        <v>1163</v>
      </c>
    </row>
    <row r="1336" spans="2:29">
      <c r="B1336" s="317" t="s">
        <v>1130</v>
      </c>
      <c r="C1336" s="292">
        <v>29</v>
      </c>
      <c r="D1336" s="293">
        <f>SUMIFS('[7]7'!$M$2:$M$85,'[7]7'!$C$2:$C$85,C1336,'[7]7'!$A$2:$A$85,$D$1335)</f>
        <v>0</v>
      </c>
      <c r="E1336" s="293">
        <f>ROUND(D1336/$D$1369*$E$1369,0)</f>
        <v>0</v>
      </c>
      <c r="G1336" s="318">
        <v>5.68</v>
      </c>
      <c r="H1336" s="318"/>
      <c r="I1336" s="294">
        <f t="shared" ref="I1336:J1339" si="757">ROUND($G1336*D1336,0)</f>
        <v>0</v>
      </c>
      <c r="J1336" s="294">
        <f t="shared" si="757"/>
        <v>0</v>
      </c>
      <c r="L1336" s="318"/>
      <c r="M1336" s="318"/>
      <c r="N1336" s="318"/>
      <c r="O1336" s="318"/>
      <c r="P1336" s="318"/>
      <c r="Q1336" s="318"/>
      <c r="R1336" s="318"/>
      <c r="S1336" s="318"/>
      <c r="T1336" s="319"/>
      <c r="U1336" s="319"/>
      <c r="V1336" s="319"/>
      <c r="W1336" s="319"/>
      <c r="X1336" s="319"/>
      <c r="Y1336" s="319"/>
    </row>
    <row r="1337" spans="2:29">
      <c r="B1337" s="317" t="s">
        <v>1131</v>
      </c>
      <c r="C1337" s="292">
        <v>1</v>
      </c>
      <c r="D1337" s="293">
        <f>SUMIFS('[7]7'!$M$2:$M$85,'[7]7'!$C$2:$C$85,C1337,'[7]7'!$A$2:$A$85,$D$1335)+SUMIFS('[7]7'!$M$2:$M$85,'[7]7'!$C$2:$C$85,28,'[7]7'!$A$2:$A$85,$D$1335)</f>
        <v>178.26678876678901</v>
      </c>
      <c r="E1337" s="293">
        <f t="shared" ref="E1337:E1339" si="758">ROUND(D1337/$D$1369*$E$1369,0)</f>
        <v>146</v>
      </c>
      <c r="G1337" s="318">
        <v>16.38</v>
      </c>
      <c r="H1337" s="318"/>
      <c r="I1337" s="294">
        <f t="shared" si="757"/>
        <v>2920</v>
      </c>
      <c r="J1337" s="294">
        <f t="shared" si="757"/>
        <v>2391</v>
      </c>
      <c r="L1337" s="318"/>
      <c r="M1337" s="318"/>
      <c r="N1337" s="318"/>
      <c r="O1337" s="318"/>
      <c r="P1337" s="318"/>
      <c r="Q1337" s="318"/>
      <c r="R1337" s="318"/>
      <c r="S1337" s="318"/>
      <c r="T1337" s="319"/>
      <c r="U1337" s="319"/>
      <c r="V1337" s="319"/>
      <c r="W1337" s="319"/>
      <c r="X1337" s="319"/>
      <c r="Y1337" s="319"/>
    </row>
    <row r="1338" spans="2:29">
      <c r="B1338" s="317" t="s">
        <v>1132</v>
      </c>
      <c r="C1338" s="292">
        <v>40</v>
      </c>
      <c r="D1338" s="293">
        <f>SUMIFS('[7]7'!$M$2:$M$85,'[7]7'!$C$2:$C$85,C1338,'[7]7'!$A$2:$A$85,$D$1335)</f>
        <v>0</v>
      </c>
      <c r="E1338" s="293">
        <f t="shared" si="758"/>
        <v>0</v>
      </c>
      <c r="G1338" s="318">
        <v>8.0500000000000007</v>
      </c>
      <c r="H1338" s="318"/>
      <c r="I1338" s="294">
        <f t="shared" si="757"/>
        <v>0</v>
      </c>
      <c r="J1338" s="294">
        <f t="shared" si="757"/>
        <v>0</v>
      </c>
      <c r="L1338" s="318"/>
      <c r="M1338" s="318"/>
      <c r="N1338" s="318"/>
      <c r="O1338" s="318"/>
      <c r="P1338" s="318"/>
      <c r="Q1338" s="318"/>
      <c r="R1338" s="318"/>
      <c r="S1338" s="318"/>
      <c r="T1338" s="319"/>
      <c r="U1338" s="319"/>
      <c r="V1338" s="319"/>
      <c r="W1338" s="319"/>
      <c r="X1338" s="319"/>
      <c r="Y1338" s="319"/>
    </row>
    <row r="1339" spans="2:29">
      <c r="B1339" s="317" t="s">
        <v>1133</v>
      </c>
      <c r="C1339" s="292">
        <v>2</v>
      </c>
      <c r="D1339" s="293">
        <f>SUMIFS('[7]7'!$M$2:$M$85,'[7]7'!$C$2:$C$85,C1339,'[7]7'!$A$2:$A$85,$D$1335)</f>
        <v>106.03286034353999</v>
      </c>
      <c r="E1339" s="293">
        <f t="shared" si="758"/>
        <v>87</v>
      </c>
      <c r="G1339" s="318">
        <v>26.78</v>
      </c>
      <c r="H1339" s="318"/>
      <c r="I1339" s="294">
        <f t="shared" si="757"/>
        <v>2840</v>
      </c>
      <c r="J1339" s="294">
        <f t="shared" si="757"/>
        <v>2330</v>
      </c>
      <c r="L1339" s="318"/>
      <c r="M1339" s="318"/>
      <c r="N1339" s="318"/>
      <c r="O1339" s="318"/>
      <c r="P1339" s="318"/>
      <c r="Q1339" s="318"/>
      <c r="R1339" s="318"/>
      <c r="S1339" s="318"/>
      <c r="T1339" s="319"/>
      <c r="U1339" s="319"/>
      <c r="V1339" s="319"/>
      <c r="W1339" s="319"/>
      <c r="X1339" s="319"/>
      <c r="Y1339" s="319"/>
    </row>
    <row r="1340" spans="2:29">
      <c r="B1340" s="391" t="s">
        <v>1134</v>
      </c>
      <c r="L1340" s="318"/>
      <c r="N1340" s="318"/>
      <c r="P1340" s="318"/>
      <c r="R1340" s="318"/>
    </row>
    <row r="1341" spans="2:29">
      <c r="B1341" s="317" t="s">
        <v>1135</v>
      </c>
      <c r="C1341" s="292">
        <v>3</v>
      </c>
      <c r="D1341" s="293">
        <f>SUMIFS('[7]7'!$M$2:$M$85,'[7]7'!$C$2:$C$85,C1341,'[7]7'!$A$2:$A$85,$D$1335)</f>
        <v>250.50068493150701</v>
      </c>
      <c r="E1341" s="293">
        <f t="shared" ref="E1341:E1351" si="759">ROUND(D1341/$D$1369*$E$1369,0)</f>
        <v>206</v>
      </c>
      <c r="G1341" s="318">
        <v>14.6</v>
      </c>
      <c r="H1341" s="318"/>
      <c r="I1341" s="294">
        <f t="shared" ref="I1341:J1351" si="760">ROUND($G1341*D1341,0)</f>
        <v>3657</v>
      </c>
      <c r="J1341" s="294">
        <f t="shared" si="760"/>
        <v>3008</v>
      </c>
      <c r="L1341" s="318"/>
      <c r="M1341" s="318"/>
      <c r="N1341" s="318"/>
      <c r="O1341" s="318"/>
      <c r="P1341" s="318"/>
      <c r="Q1341" s="318"/>
      <c r="R1341" s="318"/>
      <c r="S1341" s="318"/>
      <c r="T1341" s="319"/>
      <c r="U1341" s="319"/>
      <c r="V1341" s="319"/>
      <c r="W1341" s="319"/>
      <c r="X1341" s="319"/>
      <c r="Y1341" s="319"/>
    </row>
    <row r="1342" spans="2:29">
      <c r="B1342" s="317" t="s">
        <v>1136</v>
      </c>
      <c r="C1342" s="292">
        <v>4</v>
      </c>
      <c r="D1342" s="293">
        <f>SUMIFS('[7]7'!$M$2:$M$85,'[7]7'!$C$2:$C$85,C1342,'[7]7'!$A$2:$A$85,$D$1335)</f>
        <v>12</v>
      </c>
      <c r="E1342" s="293">
        <f t="shared" si="759"/>
        <v>10</v>
      </c>
      <c r="G1342" s="318">
        <v>12.23</v>
      </c>
      <c r="H1342" s="318"/>
      <c r="I1342" s="294">
        <f t="shared" si="760"/>
        <v>147</v>
      </c>
      <c r="J1342" s="294">
        <f t="shared" si="760"/>
        <v>122</v>
      </c>
      <c r="L1342" s="318"/>
      <c r="M1342" s="318"/>
      <c r="N1342" s="318"/>
      <c r="O1342" s="318"/>
      <c r="P1342" s="318"/>
      <c r="Q1342" s="318"/>
      <c r="R1342" s="318"/>
      <c r="S1342" s="318"/>
      <c r="T1342" s="319"/>
      <c r="U1342" s="319"/>
      <c r="V1342" s="319"/>
      <c r="W1342" s="319"/>
      <c r="X1342" s="319"/>
      <c r="Y1342" s="319"/>
    </row>
    <row r="1343" spans="2:29">
      <c r="B1343" s="317" t="s">
        <v>1137</v>
      </c>
      <c r="C1343" s="292">
        <v>5</v>
      </c>
      <c r="D1343" s="293">
        <f>SUMIFS('[7]7'!$M$2:$M$85,'[7]7'!$C$2:$C$85,C1343,'[7]7'!$A$2:$A$85,$D$1335)</f>
        <v>1650.56819650937</v>
      </c>
      <c r="E1343" s="293">
        <f t="shared" si="759"/>
        <v>1355</v>
      </c>
      <c r="G1343" s="318">
        <v>15.47</v>
      </c>
      <c r="H1343" s="318"/>
      <c r="I1343" s="294">
        <f t="shared" si="760"/>
        <v>25534</v>
      </c>
      <c r="J1343" s="294">
        <f t="shared" si="760"/>
        <v>20962</v>
      </c>
      <c r="L1343" s="318"/>
      <c r="M1343" s="318"/>
      <c r="N1343" s="318"/>
      <c r="O1343" s="318"/>
      <c r="P1343" s="318"/>
      <c r="Q1343" s="318"/>
      <c r="R1343" s="318"/>
      <c r="S1343" s="318"/>
      <c r="T1343" s="319"/>
      <c r="U1343" s="319"/>
      <c r="V1343" s="319"/>
      <c r="W1343" s="319"/>
      <c r="X1343" s="319"/>
      <c r="Y1343" s="319"/>
    </row>
    <row r="1344" spans="2:29">
      <c r="B1344" s="317" t="s">
        <v>1138</v>
      </c>
      <c r="C1344" s="292">
        <v>6</v>
      </c>
      <c r="D1344" s="293">
        <f>SUMIFS('[7]7'!$M$2:$M$85,'[7]7'!$C$2:$C$85,C1344,'[7]7'!$A$2:$A$85,$D$1335)</f>
        <v>162.46656649136</v>
      </c>
      <c r="E1344" s="293">
        <f t="shared" si="759"/>
        <v>133</v>
      </c>
      <c r="G1344" s="318">
        <v>13.31</v>
      </c>
      <c r="H1344" s="318"/>
      <c r="I1344" s="294">
        <f t="shared" si="760"/>
        <v>2162</v>
      </c>
      <c r="J1344" s="294">
        <f t="shared" si="760"/>
        <v>1770</v>
      </c>
      <c r="L1344" s="318"/>
      <c r="M1344" s="318"/>
      <c r="N1344" s="318"/>
      <c r="O1344" s="318"/>
      <c r="P1344" s="318"/>
      <c r="Q1344" s="318"/>
      <c r="R1344" s="318"/>
      <c r="S1344" s="318"/>
      <c r="T1344" s="319"/>
      <c r="U1344" s="319"/>
      <c r="V1344" s="319"/>
      <c r="W1344" s="319"/>
      <c r="X1344" s="319"/>
      <c r="Y1344" s="319"/>
    </row>
    <row r="1345" spans="2:25">
      <c r="B1345" s="317" t="s">
        <v>1139</v>
      </c>
      <c r="C1345" s="292">
        <v>7</v>
      </c>
      <c r="D1345" s="293">
        <f>SUMIFS('[7]7'!$M$2:$M$85,'[7]7'!$C$2:$C$85,C1345,'[7]7'!$A$2:$A$85,$D$1335)</f>
        <v>569.49948612538503</v>
      </c>
      <c r="E1345" s="293">
        <f t="shared" si="759"/>
        <v>468</v>
      </c>
      <c r="G1345" s="318">
        <v>19.46</v>
      </c>
      <c r="H1345" s="318"/>
      <c r="I1345" s="294">
        <f t="shared" si="760"/>
        <v>11082</v>
      </c>
      <c r="J1345" s="294">
        <f t="shared" si="760"/>
        <v>9107</v>
      </c>
      <c r="L1345" s="318"/>
      <c r="M1345" s="318"/>
      <c r="N1345" s="318"/>
      <c r="O1345" s="318"/>
      <c r="P1345" s="318"/>
      <c r="Q1345" s="318"/>
      <c r="R1345" s="318"/>
      <c r="S1345" s="318"/>
      <c r="T1345" s="319"/>
      <c r="U1345" s="319"/>
      <c r="V1345" s="319"/>
      <c r="W1345" s="319"/>
      <c r="X1345" s="319"/>
      <c r="Y1345" s="319"/>
    </row>
    <row r="1346" spans="2:25">
      <c r="B1346" s="317" t="s">
        <v>1140</v>
      </c>
      <c r="C1346" s="292">
        <v>8</v>
      </c>
      <c r="D1346" s="293">
        <f>SUMIFS('[7]7'!$M$2:$M$85,'[7]7'!$C$2:$C$85,C1346,'[7]7'!$A$2:$A$85,$D$1335)</f>
        <v>72</v>
      </c>
      <c r="E1346" s="293">
        <f t="shared" si="759"/>
        <v>59</v>
      </c>
      <c r="G1346" s="318">
        <v>17.13</v>
      </c>
      <c r="H1346" s="318"/>
      <c r="I1346" s="294">
        <f t="shared" si="760"/>
        <v>1233</v>
      </c>
      <c r="J1346" s="294">
        <f t="shared" si="760"/>
        <v>1011</v>
      </c>
      <c r="L1346" s="318"/>
      <c r="M1346" s="318"/>
      <c r="N1346" s="318"/>
      <c r="O1346" s="318"/>
      <c r="P1346" s="318"/>
      <c r="Q1346" s="318"/>
      <c r="R1346" s="318"/>
      <c r="S1346" s="318"/>
      <c r="T1346" s="319"/>
      <c r="U1346" s="319"/>
      <c r="V1346" s="319"/>
      <c r="W1346" s="319"/>
      <c r="X1346" s="319"/>
      <c r="Y1346" s="319"/>
    </row>
    <row r="1347" spans="2:25">
      <c r="B1347" s="317" t="s">
        <v>1141</v>
      </c>
      <c r="C1347" s="292">
        <v>9</v>
      </c>
      <c r="D1347" s="293">
        <f>SUMIFS('[7]7'!$M$2:$M$85,'[7]7'!$C$2:$C$85,C1347,'[7]7'!$A$2:$A$85,$D$1335)</f>
        <v>24</v>
      </c>
      <c r="E1347" s="293">
        <f t="shared" si="759"/>
        <v>20</v>
      </c>
      <c r="G1347" s="318">
        <v>21.07</v>
      </c>
      <c r="H1347" s="318"/>
      <c r="I1347" s="294">
        <f t="shared" si="760"/>
        <v>506</v>
      </c>
      <c r="J1347" s="294">
        <f t="shared" si="760"/>
        <v>421</v>
      </c>
      <c r="L1347" s="318"/>
      <c r="M1347" s="318"/>
      <c r="N1347" s="318"/>
      <c r="O1347" s="318"/>
      <c r="P1347" s="318"/>
      <c r="Q1347" s="318"/>
      <c r="R1347" s="318"/>
      <c r="S1347" s="318"/>
      <c r="T1347" s="319"/>
      <c r="U1347" s="319"/>
      <c r="V1347" s="319"/>
      <c r="W1347" s="319"/>
      <c r="X1347" s="319"/>
      <c r="Y1347" s="319"/>
    </row>
    <row r="1348" spans="2:25">
      <c r="B1348" s="317" t="s">
        <v>1142</v>
      </c>
      <c r="C1348" s="292">
        <v>10</v>
      </c>
      <c r="D1348" s="293">
        <f>SUMIFS('[7]7'!$M$2:$M$85,'[7]7'!$C$2:$C$85,C1348,'[7]7'!$A$2:$A$85,$D$1335)</f>
        <v>587.43215652913602</v>
      </c>
      <c r="E1348" s="293">
        <f t="shared" si="759"/>
        <v>482</v>
      </c>
      <c r="G1348" s="318">
        <v>23.51</v>
      </c>
      <c r="H1348" s="318"/>
      <c r="I1348" s="294">
        <f t="shared" si="760"/>
        <v>13811</v>
      </c>
      <c r="J1348" s="294">
        <f t="shared" si="760"/>
        <v>11332</v>
      </c>
      <c r="L1348" s="318"/>
      <c r="M1348" s="318"/>
      <c r="N1348" s="318"/>
      <c r="O1348" s="318"/>
      <c r="P1348" s="318"/>
      <c r="Q1348" s="318"/>
      <c r="R1348" s="318"/>
      <c r="S1348" s="318"/>
      <c r="T1348" s="319"/>
      <c r="U1348" s="319"/>
      <c r="V1348" s="319"/>
      <c r="W1348" s="319"/>
      <c r="X1348" s="319"/>
      <c r="Y1348" s="319"/>
    </row>
    <row r="1349" spans="2:25">
      <c r="B1349" s="317" t="s">
        <v>1143</v>
      </c>
      <c r="C1349" s="292">
        <v>11</v>
      </c>
      <c r="D1349" s="293">
        <f>SUMIFS('[7]7'!$M$2:$M$85,'[7]7'!$C$2:$C$85,C1349,'[7]7'!$A$2:$A$85,$D$1335)</f>
        <v>31.333490343853001</v>
      </c>
      <c r="E1349" s="293">
        <f t="shared" si="759"/>
        <v>26</v>
      </c>
      <c r="G1349" s="318">
        <v>21.23</v>
      </c>
      <c r="H1349" s="318"/>
      <c r="I1349" s="294">
        <f t="shared" si="760"/>
        <v>665</v>
      </c>
      <c r="J1349" s="294">
        <f t="shared" si="760"/>
        <v>552</v>
      </c>
      <c r="L1349" s="318"/>
      <c r="M1349" s="318"/>
      <c r="N1349" s="318"/>
      <c r="O1349" s="318"/>
      <c r="P1349" s="318"/>
      <c r="Q1349" s="318"/>
      <c r="R1349" s="318"/>
      <c r="S1349" s="318"/>
      <c r="T1349" s="319"/>
      <c r="U1349" s="319"/>
      <c r="V1349" s="319"/>
      <c r="W1349" s="319"/>
      <c r="X1349" s="319"/>
      <c r="Y1349" s="319"/>
    </row>
    <row r="1350" spans="2:25">
      <c r="B1350" s="317" t="s">
        <v>1144</v>
      </c>
      <c r="C1350" s="292">
        <v>12</v>
      </c>
      <c r="D1350" s="293">
        <f>SUMIFS('[7]7'!$M$2:$M$85,'[7]7'!$C$2:$C$85,C1350,'[7]7'!$A$2:$A$85,$D$1335)</f>
        <v>424.43816254416998</v>
      </c>
      <c r="E1350" s="293">
        <f t="shared" si="759"/>
        <v>348</v>
      </c>
      <c r="G1350" s="318">
        <v>28.3</v>
      </c>
      <c r="H1350" s="318"/>
      <c r="I1350" s="294">
        <f t="shared" si="760"/>
        <v>12012</v>
      </c>
      <c r="J1350" s="294">
        <f t="shared" si="760"/>
        <v>9848</v>
      </c>
      <c r="L1350" s="318"/>
      <c r="M1350" s="318"/>
      <c r="N1350" s="318"/>
      <c r="O1350" s="318"/>
      <c r="P1350" s="318"/>
      <c r="Q1350" s="318"/>
      <c r="R1350" s="318"/>
      <c r="S1350" s="318"/>
      <c r="T1350" s="319"/>
      <c r="U1350" s="319"/>
      <c r="V1350" s="319"/>
      <c r="W1350" s="319"/>
      <c r="X1350" s="319"/>
      <c r="Y1350" s="319"/>
    </row>
    <row r="1351" spans="2:25">
      <c r="B1351" s="317" t="s">
        <v>1145</v>
      </c>
      <c r="C1351" s="292">
        <v>13</v>
      </c>
      <c r="D1351" s="293">
        <f>SUMIFS('[7]7'!$M$2:$M$85,'[7]7'!$C$2:$C$85,C1351,'[7]7'!$A$2:$A$85,$D$1335)</f>
        <v>92.433243555213593</v>
      </c>
      <c r="E1351" s="293">
        <f t="shared" si="759"/>
        <v>76</v>
      </c>
      <c r="G1351" s="318">
        <v>25.99</v>
      </c>
      <c r="H1351" s="318"/>
      <c r="I1351" s="294">
        <f t="shared" si="760"/>
        <v>2402</v>
      </c>
      <c r="J1351" s="294">
        <f t="shared" si="760"/>
        <v>1975</v>
      </c>
      <c r="L1351" s="318"/>
      <c r="M1351" s="318"/>
      <c r="N1351" s="318"/>
      <c r="O1351" s="318"/>
      <c r="P1351" s="318"/>
      <c r="Q1351" s="318"/>
      <c r="R1351" s="318"/>
      <c r="S1351" s="318"/>
      <c r="T1351" s="319"/>
      <c r="U1351" s="319"/>
      <c r="V1351" s="319"/>
      <c r="W1351" s="319"/>
      <c r="X1351" s="319"/>
      <c r="Y1351" s="319"/>
    </row>
    <row r="1352" spans="2:25">
      <c r="B1352" s="391" t="s">
        <v>1146</v>
      </c>
      <c r="L1352" s="318"/>
      <c r="N1352" s="318"/>
      <c r="P1352" s="318"/>
      <c r="R1352" s="318"/>
    </row>
    <row r="1353" spans="2:25">
      <c r="B1353" s="317" t="s">
        <v>1139</v>
      </c>
      <c r="C1353" s="292">
        <v>14</v>
      </c>
      <c r="D1353" s="293">
        <f>SUMIFS('[7]7'!$M$2:$M$85,'[7]7'!$C$2:$C$85,C1353,'[7]7'!$A$2:$A$85,$D$1335)</f>
        <v>12</v>
      </c>
      <c r="E1353" s="293">
        <f t="shared" ref="E1353:E1358" si="761">ROUND(D1353/$D$1369*$E$1369,0)</f>
        <v>10</v>
      </c>
      <c r="G1353" s="318">
        <v>19.46</v>
      </c>
      <c r="H1353" s="318"/>
      <c r="I1353" s="294">
        <f t="shared" ref="I1353:J1358" si="762">ROUND($G1353*D1353,0)</f>
        <v>234</v>
      </c>
      <c r="J1353" s="294">
        <f t="shared" si="762"/>
        <v>195</v>
      </c>
      <c r="L1353" s="318"/>
      <c r="M1353" s="318"/>
      <c r="N1353" s="318"/>
      <c r="O1353" s="318"/>
      <c r="P1353" s="318"/>
      <c r="Q1353" s="318"/>
      <c r="R1353" s="318"/>
      <c r="S1353" s="318"/>
      <c r="T1353" s="319"/>
      <c r="U1353" s="319"/>
      <c r="V1353" s="319"/>
      <c r="W1353" s="319"/>
      <c r="X1353" s="319"/>
      <c r="Y1353" s="319"/>
    </row>
    <row r="1354" spans="2:25">
      <c r="B1354" s="317" t="s">
        <v>1140</v>
      </c>
      <c r="C1354" s="292">
        <v>15</v>
      </c>
      <c r="D1354" s="293">
        <f>SUMIFS('[7]7'!$M$2:$M$85,'[7]7'!$C$2:$C$85,C1354,'[7]7'!$A$2:$A$85,$D$1335)</f>
        <v>0</v>
      </c>
      <c r="E1354" s="293">
        <f t="shared" si="761"/>
        <v>0</v>
      </c>
      <c r="G1354" s="318">
        <v>17.13</v>
      </c>
      <c r="H1354" s="318"/>
      <c r="I1354" s="294">
        <f t="shared" si="762"/>
        <v>0</v>
      </c>
      <c r="J1354" s="294">
        <f t="shared" si="762"/>
        <v>0</v>
      </c>
      <c r="L1354" s="318"/>
      <c r="M1354" s="318"/>
      <c r="N1354" s="318"/>
      <c r="O1354" s="318"/>
      <c r="P1354" s="318"/>
      <c r="Q1354" s="318"/>
      <c r="R1354" s="318"/>
      <c r="S1354" s="318"/>
      <c r="T1354" s="319"/>
      <c r="U1354" s="319"/>
      <c r="V1354" s="319"/>
      <c r="W1354" s="319"/>
      <c r="X1354" s="319"/>
      <c r="Y1354" s="319"/>
    </row>
    <row r="1355" spans="2:25">
      <c r="B1355" s="317" t="s">
        <v>1142</v>
      </c>
      <c r="C1355" s="292">
        <v>16</v>
      </c>
      <c r="D1355" s="293">
        <f>SUMIFS('[7]7'!$M$2:$M$85,'[7]7'!$C$2:$C$85,C1355,'[7]7'!$A$2:$A$85,$D$1335)</f>
        <v>58.900042535091501</v>
      </c>
      <c r="E1355" s="293">
        <f t="shared" si="761"/>
        <v>48</v>
      </c>
      <c r="G1355" s="318">
        <v>23.51</v>
      </c>
      <c r="H1355" s="318"/>
      <c r="I1355" s="294">
        <f t="shared" si="762"/>
        <v>1385</v>
      </c>
      <c r="J1355" s="294">
        <f t="shared" si="762"/>
        <v>1128</v>
      </c>
      <c r="L1355" s="318"/>
      <c r="M1355" s="318"/>
      <c r="N1355" s="318"/>
      <c r="O1355" s="318"/>
      <c r="P1355" s="318"/>
      <c r="Q1355" s="318"/>
      <c r="R1355" s="318"/>
      <c r="S1355" s="318"/>
      <c r="T1355" s="319"/>
      <c r="U1355" s="319"/>
      <c r="V1355" s="319"/>
      <c r="W1355" s="319"/>
      <c r="X1355" s="319"/>
      <c r="Y1355" s="319"/>
    </row>
    <row r="1356" spans="2:25">
      <c r="B1356" s="317" t="s">
        <v>1143</v>
      </c>
      <c r="C1356" s="292">
        <v>17</v>
      </c>
      <c r="D1356" s="293">
        <f>SUMIFS('[7]7'!$M$2:$M$85,'[7]7'!$C$2:$C$85,C1356,'[7]7'!$A$2:$A$85,$D$1335)</f>
        <v>0</v>
      </c>
      <c r="E1356" s="293">
        <f t="shared" si="761"/>
        <v>0</v>
      </c>
      <c r="G1356" s="318">
        <v>21.23</v>
      </c>
      <c r="H1356" s="318"/>
      <c r="I1356" s="294">
        <f t="shared" si="762"/>
        <v>0</v>
      </c>
      <c r="J1356" s="294">
        <f t="shared" si="762"/>
        <v>0</v>
      </c>
      <c r="L1356" s="318"/>
      <c r="M1356" s="318"/>
      <c r="N1356" s="318"/>
      <c r="O1356" s="318"/>
      <c r="P1356" s="318"/>
      <c r="Q1356" s="318"/>
      <c r="R1356" s="318"/>
      <c r="S1356" s="318"/>
      <c r="T1356" s="319"/>
      <c r="U1356" s="319"/>
      <c r="V1356" s="319"/>
      <c r="W1356" s="319"/>
      <c r="X1356" s="319"/>
      <c r="Y1356" s="319"/>
    </row>
    <row r="1357" spans="2:25">
      <c r="B1357" s="317" t="s">
        <v>1144</v>
      </c>
      <c r="C1357" s="292">
        <v>18</v>
      </c>
      <c r="D1357" s="293">
        <f>SUMIFS('[7]7'!$M$2:$M$85,'[7]7'!$C$2:$C$85,C1357,'[7]7'!$A$2:$A$85,$D$1335)</f>
        <v>336.83321554770299</v>
      </c>
      <c r="E1357" s="293">
        <f t="shared" si="761"/>
        <v>277</v>
      </c>
      <c r="G1357" s="318">
        <v>28.3</v>
      </c>
      <c r="H1357" s="318"/>
      <c r="I1357" s="294">
        <f t="shared" si="762"/>
        <v>9532</v>
      </c>
      <c r="J1357" s="294">
        <f t="shared" si="762"/>
        <v>7839</v>
      </c>
      <c r="L1357" s="318"/>
      <c r="M1357" s="318"/>
      <c r="N1357" s="318"/>
      <c r="O1357" s="318"/>
      <c r="P1357" s="318"/>
      <c r="Q1357" s="318"/>
      <c r="R1357" s="318"/>
      <c r="S1357" s="318"/>
      <c r="T1357" s="319"/>
      <c r="U1357" s="319"/>
      <c r="V1357" s="319"/>
      <c r="W1357" s="319"/>
      <c r="X1357" s="319"/>
      <c r="Y1357" s="319"/>
    </row>
    <row r="1358" spans="2:25">
      <c r="B1358" s="317" t="s">
        <v>1145</v>
      </c>
      <c r="C1358" s="292">
        <v>19</v>
      </c>
      <c r="D1358" s="293">
        <f>SUMIFS('[7]7'!$M$2:$M$85,'[7]7'!$C$2:$C$85,C1358,'[7]7'!$A$2:$A$85,$D$1335)</f>
        <v>66.366679492112397</v>
      </c>
      <c r="E1358" s="293">
        <f t="shared" si="761"/>
        <v>54</v>
      </c>
      <c r="G1358" s="318">
        <v>25.99</v>
      </c>
      <c r="H1358" s="318"/>
      <c r="I1358" s="294">
        <f t="shared" si="762"/>
        <v>1725</v>
      </c>
      <c r="J1358" s="294">
        <f t="shared" si="762"/>
        <v>1403</v>
      </c>
      <c r="L1358" s="318"/>
      <c r="M1358" s="318"/>
      <c r="N1358" s="318"/>
      <c r="O1358" s="318"/>
      <c r="P1358" s="318"/>
      <c r="Q1358" s="318"/>
      <c r="R1358" s="318"/>
      <c r="S1358" s="318"/>
      <c r="T1358" s="319"/>
      <c r="U1358" s="319"/>
      <c r="V1358" s="319"/>
      <c r="W1358" s="319"/>
      <c r="X1358" s="319"/>
      <c r="Y1358" s="319"/>
    </row>
    <row r="1359" spans="2:25">
      <c r="B1359" s="391" t="s">
        <v>1147</v>
      </c>
      <c r="L1359" s="318"/>
      <c r="N1359" s="318"/>
      <c r="P1359" s="318"/>
      <c r="R1359" s="318"/>
    </row>
    <row r="1360" spans="2:25">
      <c r="B1360" s="317" t="s">
        <v>1148</v>
      </c>
      <c r="C1360" s="292">
        <v>20</v>
      </c>
      <c r="D1360" s="293">
        <f>SUMIFS('[7]7'!$M$2:$M$85,'[7]7'!$C$2:$C$85,C1360,'[7]7'!$A$2:$A$85,$D$1335)</f>
        <v>0</v>
      </c>
      <c r="E1360" s="293">
        <f t="shared" ref="E1360:E1367" si="763">ROUND(D1360/$D$1369*$E$1369,0)</f>
        <v>0</v>
      </c>
      <c r="G1360" s="318">
        <v>29.4</v>
      </c>
      <c r="H1360" s="318"/>
      <c r="I1360" s="294">
        <f t="shared" ref="I1360:J1367" si="764">ROUND($G1360*D1360,0)</f>
        <v>0</v>
      </c>
      <c r="J1360" s="294">
        <f t="shared" si="764"/>
        <v>0</v>
      </c>
      <c r="L1360" s="318"/>
      <c r="M1360" s="318"/>
      <c r="N1360" s="318"/>
      <c r="O1360" s="318"/>
      <c r="P1360" s="318"/>
      <c r="Q1360" s="318"/>
      <c r="R1360" s="318"/>
      <c r="S1360" s="318"/>
      <c r="T1360" s="319"/>
      <c r="U1360" s="319"/>
      <c r="V1360" s="319"/>
      <c r="W1360" s="319"/>
      <c r="X1360" s="319"/>
      <c r="Y1360" s="319"/>
    </row>
    <row r="1361" spans="1:29">
      <c r="B1361" s="317" t="s">
        <v>1149</v>
      </c>
      <c r="C1361" s="292">
        <v>21</v>
      </c>
      <c r="D1361" s="293">
        <f>SUMIFS('[7]7'!$M$2:$M$85,'[7]7'!$C$2:$C$85,C1361,'[7]7'!$A$2:$A$85,$D$1335)</f>
        <v>30.366223038090901</v>
      </c>
      <c r="E1361" s="293">
        <f t="shared" si="763"/>
        <v>25</v>
      </c>
      <c r="G1361" s="318">
        <v>21.79</v>
      </c>
      <c r="H1361" s="318"/>
      <c r="I1361" s="294">
        <f t="shared" si="764"/>
        <v>662</v>
      </c>
      <c r="J1361" s="294">
        <f t="shared" si="764"/>
        <v>545</v>
      </c>
      <c r="L1361" s="318"/>
      <c r="M1361" s="318"/>
      <c r="N1361" s="318"/>
      <c r="O1361" s="318"/>
      <c r="P1361" s="318"/>
      <c r="Q1361" s="318"/>
      <c r="R1361" s="318"/>
      <c r="S1361" s="318"/>
      <c r="T1361" s="319"/>
      <c r="U1361" s="319"/>
      <c r="V1361" s="319"/>
      <c r="W1361" s="319"/>
      <c r="X1361" s="319"/>
      <c r="Y1361" s="319"/>
    </row>
    <row r="1362" spans="1:29">
      <c r="B1362" s="317" t="s">
        <v>1150</v>
      </c>
      <c r="C1362" s="292">
        <v>22</v>
      </c>
      <c r="D1362" s="293">
        <f>SUMIFS('[7]7'!$M$2:$M$85,'[7]7'!$C$2:$C$85,C1362,'[7]7'!$A$2:$A$85,$D$1335)</f>
        <v>0</v>
      </c>
      <c r="E1362" s="293">
        <f t="shared" si="763"/>
        <v>0</v>
      </c>
      <c r="G1362" s="318">
        <v>34.340000000000003</v>
      </c>
      <c r="H1362" s="318"/>
      <c r="I1362" s="294">
        <f t="shared" si="764"/>
        <v>0</v>
      </c>
      <c r="J1362" s="294">
        <f t="shared" si="764"/>
        <v>0</v>
      </c>
      <c r="L1362" s="318"/>
      <c r="M1362" s="318"/>
      <c r="N1362" s="318"/>
      <c r="O1362" s="318"/>
      <c r="P1362" s="318"/>
      <c r="Q1362" s="318"/>
      <c r="R1362" s="318"/>
      <c r="S1362" s="318"/>
      <c r="T1362" s="319"/>
      <c r="U1362" s="319"/>
      <c r="V1362" s="319"/>
      <c r="W1362" s="319"/>
      <c r="X1362" s="319"/>
      <c r="Y1362" s="319"/>
    </row>
    <row r="1363" spans="1:29">
      <c r="B1363" s="317" t="s">
        <v>1151</v>
      </c>
      <c r="C1363" s="292">
        <v>23</v>
      </c>
      <c r="D1363" s="293">
        <f>SUMIFS('[7]7'!$M$2:$M$85,'[7]7'!$C$2:$C$85,C1363,'[7]7'!$A$2:$A$85,$D$1335)</f>
        <v>0</v>
      </c>
      <c r="E1363" s="293">
        <f t="shared" si="763"/>
        <v>0</v>
      </c>
      <c r="G1363" s="318">
        <v>27.43</v>
      </c>
      <c r="H1363" s="318"/>
      <c r="I1363" s="294">
        <f t="shared" si="764"/>
        <v>0</v>
      </c>
      <c r="J1363" s="294">
        <f t="shared" si="764"/>
        <v>0</v>
      </c>
      <c r="L1363" s="318"/>
      <c r="M1363" s="318"/>
      <c r="N1363" s="318"/>
      <c r="O1363" s="318"/>
      <c r="P1363" s="318"/>
      <c r="Q1363" s="318"/>
      <c r="R1363" s="318"/>
      <c r="S1363" s="318"/>
      <c r="T1363" s="319"/>
      <c r="U1363" s="319"/>
      <c r="V1363" s="319"/>
      <c r="W1363" s="319"/>
      <c r="X1363" s="319"/>
      <c r="Y1363" s="319"/>
    </row>
    <row r="1364" spans="1:29">
      <c r="B1364" s="317" t="s">
        <v>1152</v>
      </c>
      <c r="C1364" s="292">
        <v>24</v>
      </c>
      <c r="D1364" s="293">
        <f>SUMIFS('[7]7'!$M$2:$M$85,'[7]7'!$C$2:$C$85,C1364,'[7]7'!$A$2:$A$85,$D$1335)</f>
        <v>74.766693922049598</v>
      </c>
      <c r="E1364" s="293">
        <f>ROUND(D1364/$D$1369*$E$1369,0)</f>
        <v>61</v>
      </c>
      <c r="G1364" s="318">
        <v>36.69</v>
      </c>
      <c r="H1364" s="318"/>
      <c r="I1364" s="294">
        <f t="shared" si="764"/>
        <v>2743</v>
      </c>
      <c r="J1364" s="294">
        <f t="shared" si="764"/>
        <v>2238</v>
      </c>
      <c r="L1364" s="318"/>
      <c r="M1364" s="318"/>
      <c r="N1364" s="318"/>
      <c r="O1364" s="318"/>
      <c r="P1364" s="318"/>
      <c r="Q1364" s="318"/>
      <c r="R1364" s="318"/>
      <c r="S1364" s="318"/>
      <c r="T1364" s="319"/>
      <c r="U1364" s="319"/>
      <c r="V1364" s="319"/>
      <c r="W1364" s="319"/>
      <c r="X1364" s="319"/>
      <c r="Y1364" s="319"/>
    </row>
    <row r="1365" spans="1:29">
      <c r="B1365" s="317" t="s">
        <v>1153</v>
      </c>
      <c r="C1365" s="292">
        <v>25</v>
      </c>
      <c r="D1365" s="293">
        <f>SUMIFS('[7]7'!$M$2:$M$85,'[7]7'!$C$2:$C$85,C1365,'[7]7'!$A$2:$A$85,$D$1335)</f>
        <v>10.3667563930013</v>
      </c>
      <c r="E1365" s="293">
        <f t="shared" si="763"/>
        <v>9</v>
      </c>
      <c r="G1365" s="318">
        <v>29.72</v>
      </c>
      <c r="H1365" s="318"/>
      <c r="I1365" s="294">
        <f t="shared" si="764"/>
        <v>308</v>
      </c>
      <c r="J1365" s="294">
        <f t="shared" si="764"/>
        <v>267</v>
      </c>
      <c r="L1365" s="318"/>
      <c r="M1365" s="318"/>
      <c r="N1365" s="318"/>
      <c r="O1365" s="318"/>
      <c r="P1365" s="318"/>
      <c r="Q1365" s="318"/>
      <c r="R1365" s="318"/>
      <c r="S1365" s="318"/>
      <c r="T1365" s="319"/>
      <c r="U1365" s="319"/>
      <c r="V1365" s="319"/>
      <c r="W1365" s="319"/>
      <c r="X1365" s="319"/>
      <c r="Y1365" s="319"/>
    </row>
    <row r="1366" spans="1:29">
      <c r="B1366" s="317" t="s">
        <v>1154</v>
      </c>
      <c r="C1366" s="292">
        <v>26</v>
      </c>
      <c r="D1366" s="293">
        <f>SUMIFS('[7]7'!$M$2:$M$85,'[7]7'!$C$2:$C$85,C1366,'[7]7'!$A$2:$A$85,$D$1335)</f>
        <v>0</v>
      </c>
      <c r="E1366" s="293">
        <f t="shared" si="763"/>
        <v>0</v>
      </c>
      <c r="G1366" s="318">
        <v>57.58</v>
      </c>
      <c r="H1366" s="318"/>
      <c r="I1366" s="294">
        <f t="shared" si="764"/>
        <v>0</v>
      </c>
      <c r="J1366" s="294">
        <f t="shared" si="764"/>
        <v>0</v>
      </c>
      <c r="L1366" s="318"/>
      <c r="M1366" s="318"/>
      <c r="N1366" s="318"/>
      <c r="O1366" s="318"/>
      <c r="P1366" s="318"/>
      <c r="Q1366" s="318"/>
      <c r="R1366" s="318"/>
      <c r="S1366" s="318"/>
      <c r="T1366" s="319"/>
      <c r="U1366" s="319"/>
      <c r="V1366" s="319"/>
      <c r="W1366" s="319"/>
      <c r="X1366" s="319"/>
      <c r="Y1366" s="319"/>
    </row>
    <row r="1367" spans="1:29">
      <c r="B1367" s="317" t="s">
        <v>1155</v>
      </c>
      <c r="C1367" s="292">
        <v>27</v>
      </c>
      <c r="D1367" s="293">
        <f>SUMIFS('[7]7'!$M$2:$M$85,'[7]7'!$C$2:$C$85,C1367,'[7]7'!$A$2:$A$85,$D$1335)</f>
        <v>0</v>
      </c>
      <c r="E1367" s="293">
        <f t="shared" si="763"/>
        <v>0</v>
      </c>
      <c r="G1367" s="318">
        <v>49.1</v>
      </c>
      <c r="H1367" s="318"/>
      <c r="I1367" s="294">
        <f t="shared" si="764"/>
        <v>0</v>
      </c>
      <c r="J1367" s="294">
        <f t="shared" si="764"/>
        <v>0</v>
      </c>
      <c r="L1367" s="318"/>
      <c r="M1367" s="318"/>
      <c r="N1367" s="318"/>
      <c r="O1367" s="318"/>
      <c r="P1367" s="318"/>
      <c r="Q1367" s="318"/>
      <c r="R1367" s="318"/>
      <c r="S1367" s="318"/>
      <c r="T1367" s="319"/>
      <c r="U1367" s="319"/>
      <c r="V1367" s="319"/>
      <c r="W1367" s="319"/>
      <c r="X1367" s="319"/>
      <c r="Y1367" s="319"/>
    </row>
    <row r="1368" spans="1:29">
      <c r="B1368" s="317" t="s">
        <v>1156</v>
      </c>
      <c r="D1368" s="293">
        <f>SUM(D1336:D1367)</f>
        <v>4750.5712470683729</v>
      </c>
      <c r="E1368" s="293">
        <f>SUM(E1336:E1367)</f>
        <v>3900</v>
      </c>
      <c r="I1368" s="294">
        <f>SUM(I1336:I1367)</f>
        <v>95560</v>
      </c>
      <c r="J1368" s="294">
        <f>SUM(J1336:J1367)</f>
        <v>78444</v>
      </c>
    </row>
    <row r="1369" spans="1:29">
      <c r="B1369" s="317" t="s">
        <v>1157</v>
      </c>
      <c r="D1369" s="392">
        <f>'[7]7'!N90</f>
        <v>361780.09622831794</v>
      </c>
      <c r="E1369" s="392">
        <f>E1374</f>
        <v>297000</v>
      </c>
    </row>
    <row r="1370" spans="1:29">
      <c r="B1370" s="317" t="s">
        <v>1158</v>
      </c>
      <c r="D1370" s="393">
        <f>'[7]Table 2'!J136</f>
        <v>-13404</v>
      </c>
      <c r="E1370" s="393">
        <v>0</v>
      </c>
      <c r="G1370" s="394"/>
      <c r="I1370" s="395">
        <f>'[7]Table 3'!F136</f>
        <v>-3289</v>
      </c>
      <c r="J1370" s="358">
        <v>0</v>
      </c>
      <c r="L1370" s="394"/>
      <c r="N1370" s="394"/>
      <c r="P1370" s="394"/>
      <c r="R1370" s="394"/>
      <c r="Z1370" s="358"/>
    </row>
    <row r="1371" spans="1:29">
      <c r="B1371" s="317" t="s">
        <v>1079</v>
      </c>
      <c r="G1371" s="338">
        <v>-1.9800000000000002E-2</v>
      </c>
      <c r="H1371" s="339"/>
      <c r="I1371" s="294">
        <f>I1368*$G1371</f>
        <v>-1892.0880000000002</v>
      </c>
      <c r="J1371" s="294">
        <f>J1368*$G1371</f>
        <v>-1553.1912000000002</v>
      </c>
      <c r="L1371" s="338"/>
      <c r="M1371" s="339"/>
      <c r="N1371" s="338"/>
      <c r="O1371" s="339"/>
      <c r="P1371" s="359" t="str">
        <f>$P$43</f>
        <v>Tax Year 1</v>
      </c>
      <c r="Q1371" s="339"/>
      <c r="R1371" s="338">
        <f>$AD$1203</f>
        <v>-1.7000000000000001E-2</v>
      </c>
      <c r="S1371" s="339"/>
      <c r="Z1371" s="294">
        <f>R1371*Z1374</f>
        <v>-735.34848132125694</v>
      </c>
    </row>
    <row r="1372" spans="1:29">
      <c r="B1372" s="317"/>
      <c r="G1372" s="338"/>
      <c r="H1372" s="339"/>
      <c r="L1372" s="338"/>
      <c r="M1372" s="339"/>
      <c r="N1372" s="338"/>
      <c r="O1372" s="339"/>
      <c r="P1372" s="359" t="str">
        <f>$P$44</f>
        <v>Tax Year 2</v>
      </c>
      <c r="Q1372" s="339"/>
      <c r="R1372" s="338">
        <f>$AD$1204</f>
        <v>-8.5000000000000006E-3</v>
      </c>
      <c r="S1372" s="339"/>
      <c r="Z1372" s="294">
        <f>R1372*Z1374</f>
        <v>-367.67424066062847</v>
      </c>
    </row>
    <row r="1373" spans="1:29">
      <c r="B1373" s="317" t="s">
        <v>1159</v>
      </c>
      <c r="D1373" s="293">
        <f>'[7]Table 2'!F136</f>
        <v>193.916666666667</v>
      </c>
      <c r="E1373" s="293">
        <f>ROUND([7]Bill!P85/12,0)</f>
        <v>163</v>
      </c>
    </row>
    <row r="1374" spans="1:29" ht="16.5" thickBot="1">
      <c r="B1374" s="317" t="s">
        <v>983</v>
      </c>
      <c r="D1374" s="396">
        <f>D1369+D1370</f>
        <v>348376.09622831794</v>
      </c>
      <c r="E1374" s="396">
        <f>[7]Energy!P85</f>
        <v>297000</v>
      </c>
      <c r="G1374" s="363"/>
      <c r="I1374" s="364">
        <f>SUM(I1368:I1371)</f>
        <v>90378.911999999997</v>
      </c>
      <c r="J1374" s="364">
        <f>SUM(J1368:J1371)</f>
        <v>76890.808799999999</v>
      </c>
      <c r="L1374" s="363"/>
      <c r="N1374" s="363"/>
      <c r="P1374" s="363"/>
      <c r="R1374" s="363"/>
      <c r="T1374" s="294">
        <f>$Z1374/$Z$1206*T1332</f>
        <v>400.4680789181914</v>
      </c>
      <c r="V1374" s="294">
        <f>$Z1374/$Z$1206*V1332</f>
        <v>95.077694189730977</v>
      </c>
      <c r="X1374" s="294">
        <f>Z1374-T1374-V1374</f>
        <v>42760.247245789542</v>
      </c>
      <c r="Z1374" s="364">
        <f>$Z$1206/$J$1206*J1374</f>
        <v>43255.793018897464</v>
      </c>
      <c r="AB1374" s="305" t="s">
        <v>939</v>
      </c>
      <c r="AC1374" s="304">
        <f>Z1374/J1374-1</f>
        <v>-0.43743870439170796</v>
      </c>
    </row>
    <row r="1376" spans="1:29">
      <c r="A1376" s="292">
        <v>1</v>
      </c>
      <c r="B1376" s="314" t="s">
        <v>988</v>
      </c>
    </row>
    <row r="1377" spans="2:31">
      <c r="B1377" s="317" t="s">
        <v>1089</v>
      </c>
      <c r="D1377" s="293">
        <f t="shared" ref="D1377:E1391" si="765">D1399+D1419</f>
        <v>2791.4995714285697</v>
      </c>
      <c r="E1377" s="293">
        <f t="shared" si="765"/>
        <v>2823</v>
      </c>
      <c r="G1377" s="318">
        <v>70</v>
      </c>
      <c r="H1377" s="318"/>
      <c r="I1377" s="294">
        <f t="shared" ref="I1377:J1387" si="766">ROUND($G1377*D1377,0)</f>
        <v>195405</v>
      </c>
      <c r="J1377" s="294">
        <f t="shared" si="766"/>
        <v>197610</v>
      </c>
      <c r="L1377" s="318">
        <f>R1377</f>
        <v>73</v>
      </c>
      <c r="M1377" s="318"/>
      <c r="N1377" s="318"/>
      <c r="O1377" s="318"/>
      <c r="P1377" s="318"/>
      <c r="Q1377" s="318"/>
      <c r="R1377" s="318">
        <f>ROUND(G1377*(1+$AC$1381),0)</f>
        <v>73</v>
      </c>
      <c r="S1377" s="318"/>
      <c r="T1377" s="319">
        <f>Z1377</f>
        <v>206079</v>
      </c>
      <c r="U1377" s="319"/>
      <c r="V1377" s="319"/>
      <c r="W1377" s="319"/>
      <c r="X1377" s="319"/>
      <c r="Y1377" s="319"/>
      <c r="Z1377" s="294">
        <f>ROUND($E1377*R1377,0)</f>
        <v>206079</v>
      </c>
      <c r="AB1377" s="320" t="s">
        <v>1042</v>
      </c>
      <c r="AC1377" s="321">
        <f>Z1394+Z1456+Z1476</f>
        <v>152326855</v>
      </c>
    </row>
    <row r="1378" spans="2:31">
      <c r="B1378" s="317" t="s">
        <v>1101</v>
      </c>
      <c r="D1378" s="293">
        <f t="shared" si="765"/>
        <v>4200189.0693277307</v>
      </c>
      <c r="E1378" s="293">
        <f t="shared" si="765"/>
        <v>4249794</v>
      </c>
      <c r="G1378" s="318">
        <v>4.76</v>
      </c>
      <c r="H1378" s="318"/>
      <c r="I1378" s="294">
        <f>ROUND($G1378*D1378,0)</f>
        <v>19992900</v>
      </c>
      <c r="J1378" s="294">
        <f>ROUND($G1378*E1378,0)</f>
        <v>20229019</v>
      </c>
      <c r="L1378" s="318">
        <f>R1378</f>
        <v>4.95</v>
      </c>
      <c r="M1378" s="318"/>
      <c r="N1378" s="318"/>
      <c r="O1378" s="318"/>
      <c r="P1378" s="318"/>
      <c r="Q1378" s="318"/>
      <c r="R1378" s="318">
        <f>ROUND(G1378*(1+$AC$1381),2)</f>
        <v>4.95</v>
      </c>
      <c r="S1378" s="318"/>
      <c r="T1378" s="319">
        <f>MIN(T1394-T1377-T1387,Z1378)</f>
        <v>21036480</v>
      </c>
      <c r="U1378" s="319"/>
      <c r="V1378" s="319"/>
      <c r="W1378" s="319"/>
      <c r="X1378" s="319"/>
      <c r="Y1378" s="319"/>
      <c r="Z1378" s="294">
        <f t="shared" ref="Z1378:Z1380" si="767">ROUND($E1378*R1378,0)</f>
        <v>21036480</v>
      </c>
      <c r="AB1378" s="322" t="s">
        <v>1044</v>
      </c>
      <c r="AC1378" s="323">
        <f>[7]RateSpread!M34*1000</f>
        <v>152326855.47300002</v>
      </c>
    </row>
    <row r="1379" spans="2:31">
      <c r="B1379" s="317" t="s">
        <v>1164</v>
      </c>
      <c r="D1379" s="293">
        <f t="shared" si="765"/>
        <v>1435482.8070068136</v>
      </c>
      <c r="E1379" s="293">
        <f t="shared" si="765"/>
        <v>1452431</v>
      </c>
      <c r="G1379" s="339"/>
      <c r="H1379" s="339"/>
      <c r="L1379" s="339">
        <f>ROUND(T1379/$E1379,2)</f>
        <v>0.2</v>
      </c>
      <c r="M1379" s="339"/>
      <c r="N1379" s="339">
        <f>R1379-L1379</f>
        <v>15.970000000000002</v>
      </c>
      <c r="O1379" s="339"/>
      <c r="P1379" s="339"/>
      <c r="Q1379" s="339"/>
      <c r="R1379" s="339">
        <f>ROUND(G1385*(1+$AC$1381),2)</f>
        <v>16.170000000000002</v>
      </c>
      <c r="S1379" s="339"/>
      <c r="T1379" s="294">
        <f>MIN($T$1394-$T$1377-$T$1378-$T$1387,$Z$1379+$Z$1380)*$Z1379/SUM($Z$1379:$Z$1380)</f>
        <v>295035.16319171054</v>
      </c>
      <c r="V1379" s="294">
        <f>MIN($V$1394,SUM($Z$1379:$Z$1380,-$T$1379,-$T$1380))*$Z1379/SUM($Z$1379:$Z$1380)</f>
        <v>23190773.83680829</v>
      </c>
      <c r="X1379" s="294">
        <f>Z1379-T1379-V1379</f>
        <v>0</v>
      </c>
      <c r="Z1379" s="294">
        <f t="shared" si="767"/>
        <v>23485809</v>
      </c>
      <c r="AB1379" s="327" t="s">
        <v>789</v>
      </c>
      <c r="AC1379" s="328">
        <f>AC1378-AC1377</f>
        <v>0.47300001978874207</v>
      </c>
    </row>
    <row r="1380" spans="2:31">
      <c r="B1380" s="317" t="s">
        <v>1165</v>
      </c>
      <c r="D1380" s="293">
        <f t="shared" si="765"/>
        <v>2603517.5095501821</v>
      </c>
      <c r="E1380" s="293">
        <f t="shared" si="765"/>
        <v>2634373</v>
      </c>
      <c r="G1380" s="339"/>
      <c r="H1380" s="339"/>
      <c r="L1380" s="339">
        <f>ROUND(T1380/$E1380,2)</f>
        <v>0.18</v>
      </c>
      <c r="M1380" s="339"/>
      <c r="N1380" s="339">
        <f>R1380-L1380</f>
        <v>14.13</v>
      </c>
      <c r="O1380" s="339"/>
      <c r="P1380" s="339"/>
      <c r="Q1380" s="339"/>
      <c r="R1380" s="339">
        <f>ROUND(R1379/$AC$1385,2)</f>
        <v>14.31</v>
      </c>
      <c r="S1380" s="339"/>
      <c r="T1380" s="294">
        <f>MIN($T$1394-$T$1377-$T$1378-$T$1387,$Z$1379+$Z$1380)*$Z1380/SUM($Z$1379:$Z$1380)</f>
        <v>473571.0653063386</v>
      </c>
      <c r="V1380" s="294">
        <f>MIN($V$1394,SUM($Z$1379:$Z$1380,-$T$1379,-$T$1380))*$Z1380/SUM($Z$1379:$Z$1380)</f>
        <v>37224306.934693664</v>
      </c>
      <c r="X1380" s="294">
        <f>Z1380-T1380-V1380</f>
        <v>0</v>
      </c>
      <c r="Z1380" s="294">
        <f t="shared" si="767"/>
        <v>37697878</v>
      </c>
      <c r="AB1380" s="320" t="s">
        <v>939</v>
      </c>
      <c r="AC1380" s="389">
        <f>AC1377/(J1394+J1456+J1476)-1</f>
        <v>3.9369617043566452E-2</v>
      </c>
    </row>
    <row r="1381" spans="2:31">
      <c r="B1381" s="317" t="s">
        <v>1061</v>
      </c>
      <c r="D1381" s="293">
        <f t="shared" si="765"/>
        <v>227267835.66967729</v>
      </c>
      <c r="E1381" s="293">
        <f t="shared" si="765"/>
        <v>228534612.05356526</v>
      </c>
      <c r="G1381" s="377"/>
      <c r="H1381" s="343"/>
      <c r="L1381" s="347"/>
      <c r="M1381" s="343"/>
      <c r="N1381" s="347">
        <f>ROUND((V1394-V1379-V1380)/SUM(E1381:E1384)*100,4)</f>
        <v>1.4694</v>
      </c>
      <c r="O1381" s="343" t="s">
        <v>1062</v>
      </c>
      <c r="P1381" s="342">
        <f>R1381-N1381</f>
        <v>3.80394495015</v>
      </c>
      <c r="Q1381" s="343" t="s">
        <v>1062</v>
      </c>
      <c r="R1381" s="377">
        <f>ROUND((AC1378-SUM(Z1377:Z1380,Z1387,Z1439:Z1442,Z1449,Z1459:Z1462,Z1469))/(E1381+E1443+E1463+(E1383+E1445+E1465)*AC1384+1/AC1385*(E1382+E1444+E1464+(E1384+E1446+E1466)*AC1384))*100,$AC$8)</f>
        <v>5.2733449501500003</v>
      </c>
      <c r="S1381" s="343" t="s">
        <v>1062</v>
      </c>
      <c r="T1381" s="346"/>
      <c r="U1381" s="346"/>
      <c r="V1381" s="294">
        <f t="shared" ref="V1381:V1384" si="768">MIN($V$1394-$V$1379-$V$1380-$V$1387,SUM($Z$1381:$Z$1384))*$Z1381/SUM($Z$1381:$Z$1384)</f>
        <v>5169500.5312112803</v>
      </c>
      <c r="W1381" s="346"/>
      <c r="X1381" s="294">
        <f>Z1381-T1381-V1381</f>
        <v>6881917.4687887197</v>
      </c>
      <c r="Y1381" s="346"/>
      <c r="Z1381" s="294">
        <f>ROUND($E1381*R1381/100,0)</f>
        <v>12051418</v>
      </c>
      <c r="AB1381" s="322" t="s">
        <v>1048</v>
      </c>
      <c r="AC1381" s="384">
        <f>AC1378/(J1394+J1456+J1476)-1</f>
        <v>3.9369620270980787E-2</v>
      </c>
    </row>
    <row r="1382" spans="2:31">
      <c r="B1382" s="317" t="s">
        <v>1166</v>
      </c>
      <c r="D1382" s="293">
        <f t="shared" si="765"/>
        <v>381404133.96947843</v>
      </c>
      <c r="E1382" s="293">
        <f t="shared" si="765"/>
        <v>383537715</v>
      </c>
      <c r="G1382" s="377"/>
      <c r="H1382" s="343"/>
      <c r="L1382" s="347"/>
      <c r="M1382" s="343"/>
      <c r="N1382" s="347">
        <f>$N$1381</f>
        <v>1.4694</v>
      </c>
      <c r="O1382" s="343" t="s">
        <v>1062</v>
      </c>
      <c r="P1382" s="342">
        <f t="shared" ref="P1382:P1384" si="769">R1382-N1382</f>
        <v>3.1972769470349993</v>
      </c>
      <c r="Q1382" s="343" t="s">
        <v>1062</v>
      </c>
      <c r="R1382" s="377">
        <f>ROUND(R1381/$AC$1385,$AC$8)</f>
        <v>4.6666769470349996</v>
      </c>
      <c r="S1382" s="343" t="s">
        <v>1062</v>
      </c>
      <c r="T1382" s="346"/>
      <c r="U1382" s="346"/>
      <c r="V1382" s="294">
        <f t="shared" si="768"/>
        <v>7677613.4970064955</v>
      </c>
      <c r="W1382" s="346"/>
      <c r="X1382" s="294">
        <f t="shared" ref="X1382:X1384" si="770">Z1382-T1382-V1382</f>
        <v>10220852.502993505</v>
      </c>
      <c r="Y1382" s="346"/>
      <c r="Z1382" s="294">
        <f t="shared" ref="Z1382:Z1384" si="771">ROUND($E1382*R1382/100,0)</f>
        <v>17898466</v>
      </c>
      <c r="AB1382" s="322" t="s">
        <v>1125</v>
      </c>
      <c r="AC1382" s="384">
        <f>(AC1378-Z1377-Z1439-Z1459)/SUM(J1378:J1390,J1440:J1452,J1460:J1472)-1</f>
        <v>1.0421784395219236E-2</v>
      </c>
    </row>
    <row r="1383" spans="2:31">
      <c r="B1383" s="317" t="s">
        <v>1064</v>
      </c>
      <c r="D1383" s="293">
        <f t="shared" si="765"/>
        <v>481853738.47172999</v>
      </c>
      <c r="E1383" s="293">
        <f t="shared" si="765"/>
        <v>484602312</v>
      </c>
      <c r="G1383" s="377"/>
      <c r="H1383" s="343"/>
      <c r="L1383" s="347"/>
      <c r="M1383" s="343"/>
      <c r="N1383" s="347">
        <f t="shared" ref="N1383:N1384" si="772">$N$1381</f>
        <v>1.4694</v>
      </c>
      <c r="O1383" s="343" t="s">
        <v>1062</v>
      </c>
      <c r="P1383" s="342">
        <f t="shared" si="769"/>
        <v>1.5074530237289998</v>
      </c>
      <c r="Q1383" s="343" t="s">
        <v>1062</v>
      </c>
      <c r="R1383" s="377">
        <f>ROUND(R1381*$AC$1384,$AC$8)</f>
        <v>2.9768530237289998</v>
      </c>
      <c r="S1383" s="343" t="s">
        <v>1062</v>
      </c>
      <c r="T1383" s="346"/>
      <c r="U1383" s="346"/>
      <c r="V1383" s="294">
        <f t="shared" si="768"/>
        <v>6188042.9791498622</v>
      </c>
      <c r="W1383" s="346"/>
      <c r="X1383" s="294">
        <f t="shared" si="770"/>
        <v>8237856.0208501378</v>
      </c>
      <c r="Y1383" s="346"/>
      <c r="Z1383" s="294">
        <f t="shared" si="771"/>
        <v>14425899</v>
      </c>
      <c r="AB1383" s="335" t="s">
        <v>1055</v>
      </c>
      <c r="AC1383" s="397">
        <f>(Z1377+Z1439+Z1459)/(J1377+J1439+J1459)-1</f>
        <v>4.2857142857142927E-2</v>
      </c>
    </row>
    <row r="1384" spans="2:31">
      <c r="B1384" s="317" t="s">
        <v>1167</v>
      </c>
      <c r="D1384" s="293">
        <f t="shared" si="765"/>
        <v>855849666.88419592</v>
      </c>
      <c r="E1384" s="293">
        <f t="shared" si="765"/>
        <v>860803183</v>
      </c>
      <c r="G1384" s="377"/>
      <c r="H1384" s="343"/>
      <c r="L1384" s="347"/>
      <c r="M1384" s="343"/>
      <c r="N1384" s="347">
        <f t="shared" si="772"/>
        <v>1.4694</v>
      </c>
      <c r="O1384" s="343" t="s">
        <v>1062</v>
      </c>
      <c r="P1384" s="342">
        <f t="shared" si="769"/>
        <v>1.1649832068399999</v>
      </c>
      <c r="Q1384" s="343" t="s">
        <v>1062</v>
      </c>
      <c r="R1384" s="377">
        <f>ROUND(R1383/$AC$1385,$AC$8)</f>
        <v>2.6343832068399999</v>
      </c>
      <c r="S1384" s="343" t="s">
        <v>1062</v>
      </c>
      <c r="T1384" s="346"/>
      <c r="U1384" s="345"/>
      <c r="V1384" s="294">
        <f t="shared" si="768"/>
        <v>9727320.7849234529</v>
      </c>
      <c r="W1384" s="345"/>
      <c r="X1384" s="294">
        <f t="shared" si="770"/>
        <v>12949533.215076547</v>
      </c>
      <c r="Y1384" s="346"/>
      <c r="Z1384" s="294">
        <f t="shared" si="771"/>
        <v>22676854</v>
      </c>
      <c r="AB1384" s="315" t="s">
        <v>1168</v>
      </c>
      <c r="AC1384" s="386">
        <f>'[7]Large Profile'!C11/'[7]Large Profile'!C10</f>
        <v>0.56450944360165756</v>
      </c>
    </row>
    <row r="1385" spans="2:31">
      <c r="B1385" s="317" t="s">
        <v>1169</v>
      </c>
      <c r="D1385" s="293">
        <f t="shared" si="765"/>
        <v>1763929.8329048851</v>
      </c>
      <c r="E1385" s="293">
        <f t="shared" si="765"/>
        <v>1784756</v>
      </c>
      <c r="G1385" s="318">
        <v>15.56</v>
      </c>
      <c r="H1385" s="318"/>
      <c r="I1385" s="294">
        <f t="shared" si="766"/>
        <v>27446748</v>
      </c>
      <c r="J1385" s="294">
        <f t="shared" si="766"/>
        <v>27770803</v>
      </c>
      <c r="L1385" s="318"/>
      <c r="M1385" s="318"/>
      <c r="N1385" s="318"/>
      <c r="O1385" s="318"/>
      <c r="P1385" s="318"/>
      <c r="Q1385" s="318"/>
      <c r="R1385" s="318"/>
      <c r="S1385" s="318"/>
      <c r="T1385" s="319"/>
      <c r="U1385" s="319"/>
      <c r="V1385" s="319"/>
      <c r="W1385" s="319"/>
      <c r="X1385" s="319"/>
      <c r="Y1385" s="319"/>
      <c r="AB1385" s="315" t="s">
        <v>1170</v>
      </c>
      <c r="AC1385" s="316">
        <v>1.1299999999999999</v>
      </c>
    </row>
    <row r="1386" spans="2:31">
      <c r="B1386" s="317" t="s">
        <v>1171</v>
      </c>
      <c r="D1386" s="293">
        <f t="shared" si="765"/>
        <v>2327490.8087578244</v>
      </c>
      <c r="E1386" s="293">
        <f t="shared" si="765"/>
        <v>2355074</v>
      </c>
      <c r="G1386" s="318">
        <v>11.19</v>
      </c>
      <c r="H1386" s="318"/>
      <c r="I1386" s="294">
        <f t="shared" si="766"/>
        <v>26044622</v>
      </c>
      <c r="J1386" s="294">
        <f t="shared" si="766"/>
        <v>26353278</v>
      </c>
      <c r="L1386" s="318"/>
      <c r="M1386" s="318"/>
      <c r="N1386" s="318"/>
      <c r="O1386" s="318"/>
      <c r="P1386" s="318"/>
      <c r="Q1386" s="318"/>
      <c r="R1386" s="318"/>
      <c r="S1386" s="318"/>
      <c r="T1386" s="319"/>
      <c r="U1386" s="319"/>
      <c r="V1386" s="319"/>
      <c r="W1386" s="319"/>
      <c r="X1386" s="319"/>
      <c r="Y1386" s="319"/>
      <c r="AB1386" s="305" t="s">
        <v>1011</v>
      </c>
      <c r="AC1386" s="337">
        <f>[7]RateSpread!V34*1000</f>
        <v>-3087612.7386299507</v>
      </c>
      <c r="AD1386" s="338">
        <f>ROUND(AC1386/SUM(Z1379:Z1384,Z1441:Z1446,Z1461:Z1466),4)</f>
        <v>-2.3300000000000001E-2</v>
      </c>
    </row>
    <row r="1387" spans="2:31">
      <c r="B1387" s="317" t="s">
        <v>1098</v>
      </c>
      <c r="D1387" s="293">
        <f t="shared" si="765"/>
        <v>1864418.008849557</v>
      </c>
      <c r="E1387" s="293">
        <f t="shared" si="765"/>
        <v>1886120</v>
      </c>
      <c r="G1387" s="318">
        <v>-1.1299999999999999</v>
      </c>
      <c r="H1387" s="318"/>
      <c r="I1387" s="294">
        <f t="shared" si="766"/>
        <v>-2106792</v>
      </c>
      <c r="J1387" s="294">
        <f t="shared" si="766"/>
        <v>-2131316</v>
      </c>
      <c r="L1387" s="339">
        <f>R1387</f>
        <v>-1.1299999999999999</v>
      </c>
      <c r="M1387" s="339"/>
      <c r="N1387" s="339"/>
      <c r="O1387" s="339"/>
      <c r="P1387" s="339"/>
      <c r="Q1387" s="318"/>
      <c r="R1387" s="318">
        <f>G1387</f>
        <v>-1.1299999999999999</v>
      </c>
      <c r="S1387" s="318"/>
      <c r="T1387" s="319">
        <f>Z1387</f>
        <v>-2131316</v>
      </c>
      <c r="U1387" s="319"/>
      <c r="V1387" s="319"/>
      <c r="W1387" s="319"/>
      <c r="X1387" s="319"/>
      <c r="Y1387" s="319"/>
      <c r="Z1387" s="294">
        <f>ROUND($E1387*R1387,0)</f>
        <v>-2131316</v>
      </c>
      <c r="AB1387" s="305" t="s">
        <v>1057</v>
      </c>
      <c r="AC1387" s="337">
        <f>[7]RateSpread!W34*1000</f>
        <v>-1543806.3711665655</v>
      </c>
      <c r="AD1387" s="338">
        <f>ROUND(AC1387/SUM(Z1379:Z1384,Z1441:Z1446,Z1461:Z1466),4)</f>
        <v>-1.1599999999999999E-2</v>
      </c>
    </row>
    <row r="1388" spans="2:31">
      <c r="B1388" s="317" t="s">
        <v>1070</v>
      </c>
      <c r="D1388" s="293">
        <f t="shared" si="765"/>
        <v>232225090.33673632</v>
      </c>
      <c r="E1388" s="293">
        <f t="shared" si="765"/>
        <v>233519498.05356526</v>
      </c>
      <c r="G1388" s="398">
        <v>5.0473999999999997</v>
      </c>
      <c r="H1388" s="343" t="s">
        <v>1062</v>
      </c>
      <c r="I1388" s="294">
        <f t="shared" ref="I1388:J1390" si="773">ROUND($G1388*D1388/100,0)</f>
        <v>11721329</v>
      </c>
      <c r="J1388" s="294">
        <f t="shared" si="773"/>
        <v>11786663</v>
      </c>
      <c r="L1388" s="398"/>
      <c r="M1388" s="343"/>
      <c r="N1388" s="398"/>
      <c r="O1388" s="343"/>
      <c r="P1388" s="398"/>
      <c r="Q1388" s="343"/>
      <c r="R1388" s="398"/>
      <c r="S1388" s="343"/>
      <c r="T1388" s="346"/>
      <c r="U1388" s="346"/>
      <c r="V1388" s="346"/>
      <c r="W1388" s="346"/>
      <c r="X1388" s="346"/>
      <c r="Y1388" s="346"/>
      <c r="AB1388" s="335"/>
      <c r="AC1388" s="397"/>
    </row>
    <row r="1389" spans="2:31">
      <c r="B1389" s="317" t="s">
        <v>1126</v>
      </c>
      <c r="D1389" s="293">
        <f t="shared" si="765"/>
        <v>544895526.36305022</v>
      </c>
      <c r="E1389" s="293">
        <f t="shared" si="765"/>
        <v>547943680</v>
      </c>
      <c r="G1389" s="398">
        <v>3.9510999999999998</v>
      </c>
      <c r="H1389" s="343" t="s">
        <v>1062</v>
      </c>
      <c r="I1389" s="294">
        <f t="shared" si="773"/>
        <v>21529367</v>
      </c>
      <c r="J1389" s="294">
        <f t="shared" si="773"/>
        <v>21649803</v>
      </c>
      <c r="L1389" s="398"/>
      <c r="M1389" s="343"/>
      <c r="N1389" s="398"/>
      <c r="O1389" s="343"/>
      <c r="P1389" s="398"/>
      <c r="Q1389" s="343"/>
      <c r="R1389" s="398"/>
      <c r="S1389" s="343"/>
      <c r="T1389" s="346"/>
      <c r="U1389" s="346"/>
      <c r="V1389" s="346"/>
      <c r="W1389" s="346"/>
      <c r="X1389" s="346"/>
      <c r="Y1389" s="346"/>
    </row>
    <row r="1390" spans="2:31">
      <c r="B1390" s="317" t="s">
        <v>1086</v>
      </c>
      <c r="D1390" s="293">
        <f t="shared" si="765"/>
        <v>1169254758.2952952</v>
      </c>
      <c r="E1390" s="293">
        <f t="shared" si="765"/>
        <v>1176014644</v>
      </c>
      <c r="G1390" s="398">
        <v>3.4001999999999999</v>
      </c>
      <c r="H1390" s="343" t="s">
        <v>1062</v>
      </c>
      <c r="I1390" s="294">
        <f t="shared" si="773"/>
        <v>39757000</v>
      </c>
      <c r="J1390" s="294">
        <f t="shared" si="773"/>
        <v>39986850</v>
      </c>
      <c r="L1390" s="398"/>
      <c r="M1390" s="343"/>
      <c r="N1390" s="398"/>
      <c r="O1390" s="343"/>
      <c r="P1390" s="398"/>
      <c r="Q1390" s="343"/>
      <c r="R1390" s="398"/>
      <c r="S1390" s="343"/>
      <c r="T1390" s="346"/>
      <c r="U1390" s="346"/>
      <c r="V1390" s="346"/>
      <c r="W1390" s="346"/>
      <c r="X1390" s="346"/>
      <c r="Y1390" s="346"/>
      <c r="AB1390" s="305" t="s">
        <v>939</v>
      </c>
      <c r="AC1390" s="304">
        <f>Z1394/J1394-1</f>
        <v>3.9219927650118169E-2</v>
      </c>
    </row>
    <row r="1391" spans="2:31">
      <c r="B1391" s="317" t="s">
        <v>1078</v>
      </c>
      <c r="D1391" s="357">
        <f t="shared" si="765"/>
        <v>-11458760</v>
      </c>
      <c r="E1391" s="357">
        <f t="shared" si="765"/>
        <v>0</v>
      </c>
      <c r="I1391" s="358">
        <f>I1413+I1433</f>
        <v>-736380</v>
      </c>
      <c r="J1391" s="358">
        <f>J1413+J1433</f>
        <v>0</v>
      </c>
      <c r="V1391" s="346"/>
      <c r="X1391" s="346"/>
      <c r="Z1391" s="358">
        <f>Z1413+Z1433</f>
        <v>0</v>
      </c>
    </row>
    <row r="1392" spans="2:31">
      <c r="B1392" s="317" t="s">
        <v>1079</v>
      </c>
      <c r="G1392" s="338">
        <v>-3.1800000000000002E-2</v>
      </c>
      <c r="H1392" s="339"/>
      <c r="I1392" s="294">
        <f>SUM(I1385:I1386,I1388:I1390)*$G1392</f>
        <v>-4022670.2988000005</v>
      </c>
      <c r="J1392" s="294">
        <f>SUM(J1385:J1386,J1388:J1390)*$G1392</f>
        <v>-4056007.2246000003</v>
      </c>
      <c r="L1392" s="338"/>
      <c r="M1392" s="339"/>
      <c r="N1392" s="338"/>
      <c r="O1392" s="339"/>
      <c r="P1392" s="359" t="str">
        <f>$P$43</f>
        <v>Tax Year 1</v>
      </c>
      <c r="Q1392" s="339"/>
      <c r="R1392" s="338">
        <f>AD1386</f>
        <v>-2.3300000000000001E-2</v>
      </c>
      <c r="S1392" s="339"/>
      <c r="Z1392" s="294">
        <f>R1392*SUM(Z1379:Z1384)</f>
        <v>-2987906.3492000001</v>
      </c>
      <c r="AB1392" s="360" t="s">
        <v>1081</v>
      </c>
      <c r="AC1392" s="360"/>
      <c r="AD1392" s="360"/>
      <c r="AE1392" s="360"/>
    </row>
    <row r="1393" spans="1:32">
      <c r="B1393" s="317"/>
      <c r="G1393" s="338"/>
      <c r="H1393" s="339"/>
      <c r="L1393" s="338"/>
      <c r="M1393" s="339"/>
      <c r="N1393" s="338"/>
      <c r="O1393" s="339"/>
      <c r="P1393" s="359" t="str">
        <f>$P$44</f>
        <v>Tax Year 2</v>
      </c>
      <c r="Q1393" s="339"/>
      <c r="R1393" s="338">
        <f>AD1387</f>
        <v>-1.1599999999999999E-2</v>
      </c>
      <c r="S1393" s="339"/>
      <c r="Z1393" s="294">
        <f>R1393*SUM(Z1379:Z1384)</f>
        <v>-1487541.3583999998</v>
      </c>
      <c r="AB1393" s="361" t="s">
        <v>42</v>
      </c>
      <c r="AC1393" s="361" t="s">
        <v>43</v>
      </c>
      <c r="AD1393" s="361" t="s">
        <v>44</v>
      </c>
      <c r="AE1393" s="361" t="s">
        <v>45</v>
      </c>
    </row>
    <row r="1394" spans="1:32" ht="16.5" thickBot="1">
      <c r="A1394" s="292">
        <v>1</v>
      </c>
      <c r="B1394" s="317" t="s">
        <v>937</v>
      </c>
      <c r="D1394" s="381">
        <f>SUM(D1388:D1391)</f>
        <v>1934916614.9950819</v>
      </c>
      <c r="E1394" s="381">
        <f>SUM(E1388:E1391)</f>
        <v>1957477822.0535653</v>
      </c>
      <c r="G1394" s="368"/>
      <c r="I1394" s="369">
        <f>SUM(I1377:I1392)</f>
        <v>139821528.70120001</v>
      </c>
      <c r="J1394" s="369">
        <f>SUM(J1377:J1392)</f>
        <v>141786702.77540001</v>
      </c>
      <c r="L1394" s="368"/>
      <c r="N1394" s="368"/>
      <c r="P1394" s="363"/>
      <c r="R1394" s="363"/>
      <c r="T1394" s="364">
        <f>$Z1394*AB1394/$AE1394*$X$2683</f>
        <v>19879849.228498049</v>
      </c>
      <c r="U1394" s="364"/>
      <c r="V1394" s="364">
        <f>$Z1394*AC1394/$AE1394*$X$2683</f>
        <v>89177558.563793048</v>
      </c>
      <c r="W1394" s="364"/>
      <c r="X1394" s="364">
        <f>Z1394-T1394-V1394</f>
        <v>38290159.20770891</v>
      </c>
      <c r="Z1394" s="364">
        <f>SUM(Z1377:Z1391)</f>
        <v>147347567</v>
      </c>
      <c r="AB1394" s="366">
        <f>'[7]Unit Cost Target'!$F$87+'[7]Unit Cost Target'!$F$123+'[7]Unit Cost Target'!$F$129</f>
        <v>19255208.554059055</v>
      </c>
      <c r="AC1394" s="366">
        <f>'[7]Unit Cost Target'!$F$45+'[7]Unit Cost Target'!$F$51+'[7]Unit Cost Target'!$F$75+'[7]Unit Cost Target'!$F$81</f>
        <v>86375528.745264128</v>
      </c>
      <c r="AD1394" s="366">
        <f>'[7]Unit Cost Target'!$F$33+'[7]Unit Cost Target'!$F$39+'[7]Unit Cost Target'!$F$63+'[7]Unit Cost Target'!$F$69</f>
        <v>40058256.498633765</v>
      </c>
      <c r="AE1394" s="366">
        <f>SUM(AB1394:AD1394)</f>
        <v>145688993.79795694</v>
      </c>
      <c r="AF1394" s="366">
        <f>AE1394-'[7]Unit Cost Target'!$F$21</f>
        <v>0</v>
      </c>
    </row>
    <row r="1395" spans="1:32" ht="16.5" thickTop="1">
      <c r="A1395" s="292">
        <v>1</v>
      </c>
      <c r="N1395" s="399" t="s">
        <v>1172</v>
      </c>
      <c r="P1395" s="292">
        <f>ROUND(SUM(X1381,X1383)/SUM(E1381,E1383)*100,4)</f>
        <v>2.1202000000000001</v>
      </c>
      <c r="Q1395" s="343" t="s">
        <v>1062</v>
      </c>
      <c r="AB1395" s="366">
        <f>T1394-SUM(T1377:T1393)</f>
        <v>0</v>
      </c>
      <c r="AC1395" s="366">
        <f>V1394-SUM(V1377:V1393)</f>
        <v>0</v>
      </c>
      <c r="AD1395" s="366">
        <f>X1394-SUM(X1377:X1393)</f>
        <v>0</v>
      </c>
      <c r="AE1395" s="366">
        <f>SUM(AB1395:AD1395)</f>
        <v>0</v>
      </c>
      <c r="AF1395" s="366"/>
    </row>
    <row r="1396" spans="1:32">
      <c r="N1396" s="399" t="s">
        <v>1172</v>
      </c>
      <c r="P1396" s="292">
        <f>ROUND(SUM(X1382,X1384)/SUM(E1382,E1384)*100,4)</f>
        <v>1.8621000000000001</v>
      </c>
      <c r="Q1396" s="343" t="s">
        <v>1062</v>
      </c>
      <c r="AB1396" s="366"/>
      <c r="AC1396" s="366"/>
      <c r="AD1396" s="366"/>
      <c r="AE1396" s="366"/>
      <c r="AF1396" s="366"/>
    </row>
    <row r="1397" spans="1:32">
      <c r="AB1397" s="366"/>
      <c r="AC1397" s="366"/>
      <c r="AD1397" s="366"/>
      <c r="AE1397" s="366"/>
      <c r="AF1397" s="366"/>
    </row>
    <row r="1398" spans="1:32">
      <c r="B1398" s="314" t="s">
        <v>989</v>
      </c>
    </row>
    <row r="1399" spans="1:32">
      <c r="B1399" s="317" t="s">
        <v>1089</v>
      </c>
      <c r="D1399" s="293">
        <f>'[7]8'!G10</f>
        <v>1541.43314285714</v>
      </c>
      <c r="E1399" s="293">
        <f>[7]Bill!P35</f>
        <v>1587</v>
      </c>
      <c r="G1399" s="339">
        <v>70</v>
      </c>
      <c r="H1399" s="339"/>
      <c r="I1399" s="294">
        <f t="shared" ref="I1399:J1409" si="774">ROUND($G1399*D1399,0)</f>
        <v>107900</v>
      </c>
      <c r="J1399" s="294">
        <f t="shared" si="774"/>
        <v>111090</v>
      </c>
      <c r="L1399" s="339">
        <f t="shared" ref="L1399:L1406" si="775">L1377</f>
        <v>73</v>
      </c>
      <c r="M1399" s="339"/>
      <c r="N1399" s="339">
        <f t="shared" ref="N1399:N1406" si="776">N1377</f>
        <v>0</v>
      </c>
      <c r="O1399" s="339"/>
      <c r="P1399" s="339">
        <f t="shared" ref="P1399:P1406" si="777">P1377</f>
        <v>0</v>
      </c>
      <c r="Q1399" s="339"/>
      <c r="R1399" s="339">
        <f t="shared" ref="R1399:R1406" si="778">R1377</f>
        <v>73</v>
      </c>
      <c r="S1399" s="339"/>
      <c r="T1399" s="294">
        <f>Z1399</f>
        <v>115851</v>
      </c>
      <c r="Z1399" s="294">
        <f>ROUND($E1399*R1399,0)</f>
        <v>115851</v>
      </c>
      <c r="AA1399" s="291" t="s">
        <v>1173</v>
      </c>
    </row>
    <row r="1400" spans="1:32">
      <c r="B1400" s="317" t="s">
        <v>1101</v>
      </c>
      <c r="D1400" s="293">
        <f>'[7]8'!H10</f>
        <v>1960629.3991596601</v>
      </c>
      <c r="E1400" s="293">
        <f>ROUND(D1400/D1416*E1416,0)</f>
        <v>1975309</v>
      </c>
      <c r="G1400" s="339">
        <v>4.76</v>
      </c>
      <c r="H1400" s="339"/>
      <c r="I1400" s="294">
        <f>ROUND($G1400*D1400,0)</f>
        <v>9332596</v>
      </c>
      <c r="J1400" s="294">
        <f>ROUND($G1400*E1400,0)</f>
        <v>9402471</v>
      </c>
      <c r="L1400" s="339">
        <f t="shared" si="775"/>
        <v>4.95</v>
      </c>
      <c r="M1400" s="339"/>
      <c r="N1400" s="339">
        <f t="shared" si="776"/>
        <v>0</v>
      </c>
      <c r="O1400" s="339"/>
      <c r="P1400" s="339">
        <f t="shared" si="777"/>
        <v>0</v>
      </c>
      <c r="Q1400" s="339"/>
      <c r="R1400" s="339">
        <f t="shared" si="778"/>
        <v>4.95</v>
      </c>
      <c r="S1400" s="339"/>
      <c r="T1400" s="294">
        <f>Z1400</f>
        <v>9777780</v>
      </c>
      <c r="Z1400" s="294">
        <f t="shared" ref="Z1400:Z1402" si="779">ROUND($E1400*R1400,0)</f>
        <v>9777780</v>
      </c>
    </row>
    <row r="1401" spans="1:32">
      <c r="B1401" s="317" t="s">
        <v>1164</v>
      </c>
      <c r="D1401" s="293">
        <f>D1407*AA1401</f>
        <v>670727.60799301066</v>
      </c>
      <c r="E1401" s="293">
        <f>ROUND(D1401/D1416*E1416,0)</f>
        <v>675750</v>
      </c>
      <c r="G1401" s="339"/>
      <c r="H1401" s="339"/>
      <c r="L1401" s="339">
        <f t="shared" si="775"/>
        <v>0.2</v>
      </c>
      <c r="M1401" s="339"/>
      <c r="N1401" s="339">
        <f t="shared" si="776"/>
        <v>15.970000000000002</v>
      </c>
      <c r="O1401" s="339"/>
      <c r="P1401" s="339">
        <f t="shared" si="777"/>
        <v>0</v>
      </c>
      <c r="Q1401" s="339"/>
      <c r="R1401" s="339">
        <f t="shared" si="778"/>
        <v>16.170000000000002</v>
      </c>
      <c r="S1401" s="339"/>
      <c r="T1401" s="294">
        <f t="shared" ref="T1401:T1402" si="780">ROUND($E1401*L1401,0)</f>
        <v>135150</v>
      </c>
      <c r="V1401" s="294">
        <f t="shared" ref="V1401:V1402" si="781">ROUND($E1401*N1401,0)</f>
        <v>10791728</v>
      </c>
      <c r="X1401" s="294">
        <f t="shared" ref="X1401:X1402" si="782">ROUND($E1401*P1401,0)</f>
        <v>0</v>
      </c>
      <c r="Z1401" s="294">
        <f t="shared" si="779"/>
        <v>10926878</v>
      </c>
      <c r="AA1401" s="291">
        <f>'[7]Large Profile'!L9</f>
        <v>0.81379813427318903</v>
      </c>
    </row>
    <row r="1402" spans="1:32">
      <c r="B1402" s="317" t="s">
        <v>1165</v>
      </c>
      <c r="D1402" s="293">
        <f>D1408*AA1402</f>
        <v>1202115.0447271131</v>
      </c>
      <c r="E1402" s="293">
        <f>ROUND(D1402/D1416*E1416,0)</f>
        <v>1211116</v>
      </c>
      <c r="G1402" s="339"/>
      <c r="H1402" s="339"/>
      <c r="L1402" s="339">
        <f t="shared" si="775"/>
        <v>0.18</v>
      </c>
      <c r="M1402" s="339"/>
      <c r="N1402" s="339">
        <f t="shared" si="776"/>
        <v>14.13</v>
      </c>
      <c r="O1402" s="339"/>
      <c r="P1402" s="339">
        <f t="shared" si="777"/>
        <v>0</v>
      </c>
      <c r="Q1402" s="339"/>
      <c r="R1402" s="339">
        <f t="shared" si="778"/>
        <v>14.31</v>
      </c>
      <c r="S1402" s="339"/>
      <c r="T1402" s="294">
        <f t="shared" si="780"/>
        <v>218001</v>
      </c>
      <c r="V1402" s="294">
        <f t="shared" si="781"/>
        <v>17113069</v>
      </c>
      <c r="X1402" s="294">
        <f t="shared" si="782"/>
        <v>0</v>
      </c>
      <c r="Z1402" s="294">
        <f t="shared" si="779"/>
        <v>17331070</v>
      </c>
      <c r="AA1402" s="291">
        <f>'[7]Large Profile'!P9</f>
        <v>1.1185941099117263</v>
      </c>
    </row>
    <row r="1403" spans="1:32">
      <c r="B1403" s="317" t="s">
        <v>1061</v>
      </c>
      <c r="D1403" s="293">
        <f>D1410*AA1403</f>
        <v>106909947.85870345</v>
      </c>
      <c r="E1403" s="293">
        <f>E1416-SUM(E1404:E1406,E1413)</f>
        <v>108281234.27456832</v>
      </c>
      <c r="G1403" s="377"/>
      <c r="H1403" s="343"/>
      <c r="L1403" s="377">
        <f t="shared" si="775"/>
        <v>0</v>
      </c>
      <c r="M1403" s="343" t="s">
        <v>1062</v>
      </c>
      <c r="N1403" s="377">
        <f t="shared" si="776"/>
        <v>1.4694</v>
      </c>
      <c r="O1403" s="343" t="s">
        <v>1062</v>
      </c>
      <c r="P1403" s="377">
        <f t="shared" si="777"/>
        <v>3.80394495015</v>
      </c>
      <c r="Q1403" s="343" t="s">
        <v>1062</v>
      </c>
      <c r="R1403" s="377">
        <f t="shared" si="778"/>
        <v>5.2733449501500003</v>
      </c>
      <c r="S1403" s="343" t="s">
        <v>1062</v>
      </c>
      <c r="T1403" s="294">
        <f>ROUND($E1403*L1403/100,0)</f>
        <v>0</v>
      </c>
      <c r="V1403" s="294">
        <f>ROUND($E1403*N1403/100,0)</f>
        <v>1591084</v>
      </c>
      <c r="X1403" s="294">
        <f>ROUND($E1403*P1403/100,0)</f>
        <v>4118959</v>
      </c>
      <c r="Y1403" s="346"/>
      <c r="Z1403" s="294">
        <f>ROUND($E1403*R1403/100,0)</f>
        <v>5710043</v>
      </c>
      <c r="AA1403" s="291">
        <f>'[7]Large Profile'!M9</f>
        <v>0.97865323398143234</v>
      </c>
    </row>
    <row r="1404" spans="1:32">
      <c r="B1404" s="317" t="s">
        <v>1166</v>
      </c>
      <c r="D1404" s="293">
        <f>D1411*AA1404</f>
        <v>179976942.40791929</v>
      </c>
      <c r="E1404" s="293">
        <f>ROUND(D1404/(D1416-D1413)*E1416,0)</f>
        <v>182285427</v>
      </c>
      <c r="G1404" s="377"/>
      <c r="H1404" s="343"/>
      <c r="L1404" s="377">
        <f t="shared" si="775"/>
        <v>0</v>
      </c>
      <c r="M1404" s="343" t="s">
        <v>1062</v>
      </c>
      <c r="N1404" s="377">
        <f t="shared" si="776"/>
        <v>1.4694</v>
      </c>
      <c r="O1404" s="343" t="s">
        <v>1062</v>
      </c>
      <c r="P1404" s="377">
        <f t="shared" si="777"/>
        <v>3.1972769470349993</v>
      </c>
      <c r="Q1404" s="343" t="s">
        <v>1062</v>
      </c>
      <c r="R1404" s="377">
        <f t="shared" si="778"/>
        <v>4.6666769470349996</v>
      </c>
      <c r="S1404" s="343" t="s">
        <v>1062</v>
      </c>
      <c r="T1404" s="294">
        <f t="shared" ref="T1404:X1406" si="783">ROUND($E1404*L1404/100,0)</f>
        <v>0</v>
      </c>
      <c r="V1404" s="294">
        <f t="shared" si="783"/>
        <v>2678502</v>
      </c>
      <c r="X1404" s="294">
        <f t="shared" si="783"/>
        <v>5828170</v>
      </c>
      <c r="Y1404" s="346"/>
      <c r="Z1404" s="294">
        <f t="shared" ref="Z1404:Z1406" si="784">ROUND($E1404*R1404/100,0)</f>
        <v>8506672</v>
      </c>
      <c r="AA1404" s="291">
        <f>'[7]Large Profile'!Q9</f>
        <v>0.69995827735124105</v>
      </c>
    </row>
    <row r="1405" spans="1:32">
      <c r="B1405" s="317" t="s">
        <v>1064</v>
      </c>
      <c r="D1405" s="293">
        <f>SUM(D1410:D1412)*AA1405</f>
        <v>231252744.18784347</v>
      </c>
      <c r="E1405" s="293">
        <f>ROUND(D1405/(D1416-D1413)*E1416,0)</f>
        <v>234218920</v>
      </c>
      <c r="G1405" s="377"/>
      <c r="H1405" s="343"/>
      <c r="L1405" s="377">
        <f t="shared" si="775"/>
        <v>0</v>
      </c>
      <c r="M1405" s="343" t="s">
        <v>1062</v>
      </c>
      <c r="N1405" s="377">
        <f t="shared" si="776"/>
        <v>1.4694</v>
      </c>
      <c r="O1405" s="343" t="s">
        <v>1062</v>
      </c>
      <c r="P1405" s="377">
        <f t="shared" si="777"/>
        <v>1.5074530237289998</v>
      </c>
      <c r="Q1405" s="343" t="s">
        <v>1062</v>
      </c>
      <c r="R1405" s="377">
        <f t="shared" si="778"/>
        <v>2.9768530237289998</v>
      </c>
      <c r="S1405" s="343" t="s">
        <v>1062</v>
      </c>
      <c r="T1405" s="294">
        <f t="shared" si="783"/>
        <v>0</v>
      </c>
      <c r="V1405" s="294">
        <f t="shared" si="783"/>
        <v>3441613</v>
      </c>
      <c r="X1405" s="294">
        <f t="shared" si="783"/>
        <v>3530740</v>
      </c>
      <c r="Y1405" s="346"/>
      <c r="Z1405" s="294">
        <f t="shared" si="784"/>
        <v>6972353</v>
      </c>
      <c r="AA1405" s="291">
        <f>'[7]Large Profile'!O6/'[7]Large Profile'!C6</f>
        <v>0.24756464999612296</v>
      </c>
    </row>
    <row r="1406" spans="1:32">
      <c r="B1406" s="317" t="s">
        <v>1167</v>
      </c>
      <c r="D1406" s="293">
        <f>SUM(D1410:D1412)-SUM(D1403:D1405)</f>
        <v>415970886.54061544</v>
      </c>
      <c r="E1406" s="293">
        <f>ROUND(D1406/(D1416-D1413)*E1416,0)</f>
        <v>421306360</v>
      </c>
      <c r="G1406" s="377"/>
      <c r="H1406" s="343"/>
      <c r="L1406" s="377">
        <f t="shared" si="775"/>
        <v>0</v>
      </c>
      <c r="M1406" s="343" t="s">
        <v>1062</v>
      </c>
      <c r="N1406" s="377">
        <f t="shared" si="776"/>
        <v>1.4694</v>
      </c>
      <c r="O1406" s="343" t="s">
        <v>1062</v>
      </c>
      <c r="P1406" s="377">
        <f t="shared" si="777"/>
        <v>1.1649832068399999</v>
      </c>
      <c r="Q1406" s="343" t="s">
        <v>1062</v>
      </c>
      <c r="R1406" s="377">
        <f t="shared" si="778"/>
        <v>2.6343832068399999</v>
      </c>
      <c r="S1406" s="343" t="s">
        <v>1062</v>
      </c>
      <c r="T1406" s="294">
        <f t="shared" si="783"/>
        <v>0</v>
      </c>
      <c r="V1406" s="294">
        <f t="shared" si="783"/>
        <v>6190676</v>
      </c>
      <c r="X1406" s="294">
        <f t="shared" si="783"/>
        <v>4908148</v>
      </c>
      <c r="Y1406" s="346"/>
      <c r="Z1406" s="294">
        <f t="shared" si="784"/>
        <v>11098824</v>
      </c>
      <c r="AA1406" s="291">
        <f>E1406/E1416</f>
        <v>0.44531228057224448</v>
      </c>
    </row>
    <row r="1407" spans="1:32">
      <c r="B1407" s="317" t="s">
        <v>1169</v>
      </c>
      <c r="D1407" s="293">
        <f>'[7]8'!J10</f>
        <v>824194.08419023221</v>
      </c>
      <c r="E1407" s="293">
        <f>ROUND(D1407/D1416*E1416,0)</f>
        <v>830365</v>
      </c>
      <c r="G1407" s="339">
        <v>15.56</v>
      </c>
      <c r="H1407" s="339"/>
      <c r="I1407" s="294">
        <f t="shared" si="774"/>
        <v>12824460</v>
      </c>
      <c r="J1407" s="294">
        <f t="shared" si="774"/>
        <v>12920479</v>
      </c>
      <c r="L1407" s="339"/>
      <c r="M1407" s="339"/>
      <c r="N1407" s="339"/>
      <c r="O1407" s="339"/>
      <c r="P1407" s="339"/>
      <c r="Q1407" s="339"/>
      <c r="R1407" s="339"/>
      <c r="S1407" s="339"/>
    </row>
    <row r="1408" spans="1:32">
      <c r="B1408" s="317" t="s">
        <v>1171</v>
      </c>
      <c r="D1408" s="293">
        <f>'[7]8'!K10</f>
        <v>1074665.9883824866</v>
      </c>
      <c r="E1408" s="293">
        <f>ROUND(D1408/D1416*E1416,0)</f>
        <v>1082712</v>
      </c>
      <c r="G1408" s="339">
        <v>11.19</v>
      </c>
      <c r="H1408" s="339"/>
      <c r="I1408" s="294">
        <f t="shared" si="774"/>
        <v>12025512</v>
      </c>
      <c r="J1408" s="294">
        <f t="shared" si="774"/>
        <v>12115547</v>
      </c>
      <c r="L1408" s="339"/>
      <c r="M1408" s="339"/>
      <c r="N1408" s="339"/>
      <c r="O1408" s="339"/>
      <c r="P1408" s="339"/>
      <c r="Q1408" s="339"/>
      <c r="R1408" s="339"/>
      <c r="S1408" s="339"/>
    </row>
    <row r="1409" spans="2:29">
      <c r="B1409" s="317" t="s">
        <v>1098</v>
      </c>
      <c r="D1409" s="293">
        <f>'[7]8'!L10</f>
        <v>909425.07079646003</v>
      </c>
      <c r="E1409" s="293">
        <f>ROUND(D1409/D1416*E1416,0)</f>
        <v>916234</v>
      </c>
      <c r="G1409" s="339">
        <v>-1.1299999999999999</v>
      </c>
      <c r="H1409" s="339"/>
      <c r="I1409" s="294">
        <f t="shared" si="774"/>
        <v>-1027650</v>
      </c>
      <c r="J1409" s="294">
        <f t="shared" si="774"/>
        <v>-1035344</v>
      </c>
      <c r="L1409" s="339">
        <f>L1387</f>
        <v>-1.1299999999999999</v>
      </c>
      <c r="M1409" s="339"/>
      <c r="N1409" s="339">
        <f>N1387</f>
        <v>0</v>
      </c>
      <c r="O1409" s="339"/>
      <c r="P1409" s="339">
        <f>P1387</f>
        <v>0</v>
      </c>
      <c r="Q1409" s="339"/>
      <c r="R1409" s="339">
        <f>R1387</f>
        <v>-1.1299999999999999</v>
      </c>
      <c r="S1409" s="339"/>
      <c r="T1409" s="294">
        <f t="shared" ref="T1409" si="785">ROUND($E1409*L1409,0)</f>
        <v>-1035344</v>
      </c>
      <c r="V1409" s="294">
        <f t="shared" ref="V1409" si="786">ROUND($E1409*N1409,0)</f>
        <v>0</v>
      </c>
      <c r="X1409" s="294">
        <f t="shared" ref="X1409" si="787">ROUND($E1409*P1409,0)</f>
        <v>0</v>
      </c>
      <c r="Z1409" s="294">
        <f>ROUND($E1409*R1409,0)</f>
        <v>-1035344</v>
      </c>
    </row>
    <row r="1410" spans="2:29">
      <c r="B1410" s="317" t="s">
        <v>1070</v>
      </c>
      <c r="D1410" s="293">
        <f>'[7]8'!N10+[7]TempRev!C344-[7]TempRev!M344-[7]TempRev!W344</f>
        <v>109241909.33673634</v>
      </c>
      <c r="E1410" s="293">
        <f>E1416-SUM(E1411:E1413)</f>
        <v>110643106.27456832</v>
      </c>
      <c r="G1410" s="377">
        <v>5.0473999999999997</v>
      </c>
      <c r="H1410" s="343" t="s">
        <v>1062</v>
      </c>
      <c r="I1410" s="294">
        <f t="shared" ref="I1410:J1412" si="788">ROUND($G1410*D1410/100,0)</f>
        <v>5513876</v>
      </c>
      <c r="J1410" s="294">
        <f t="shared" si="788"/>
        <v>5584600</v>
      </c>
      <c r="L1410" s="377"/>
      <c r="M1410" s="343"/>
      <c r="N1410" s="377"/>
      <c r="O1410" s="343"/>
      <c r="P1410" s="377"/>
      <c r="Q1410" s="343"/>
      <c r="R1410" s="377"/>
      <c r="S1410" s="343"/>
      <c r="T1410" s="346"/>
      <c r="U1410" s="346"/>
      <c r="V1410" s="346"/>
      <c r="W1410" s="346"/>
      <c r="X1410" s="346"/>
      <c r="Y1410" s="346"/>
    </row>
    <row r="1411" spans="2:29">
      <c r="B1411" s="317" t="s">
        <v>1126</v>
      </c>
      <c r="D1411" s="293">
        <f>'[7]8'!O10+[7]TempRev!C345-[7]TempRev!M345-[7]TempRev!W345</f>
        <v>257125243.36305025</v>
      </c>
      <c r="E1411" s="293">
        <f>ROUND(D1411/(D1416-D1413)*E1416,0)</f>
        <v>260423275</v>
      </c>
      <c r="G1411" s="377">
        <v>3.9510999999999998</v>
      </c>
      <c r="H1411" s="343" t="s">
        <v>1062</v>
      </c>
      <c r="I1411" s="294">
        <f t="shared" si="788"/>
        <v>10159275</v>
      </c>
      <c r="J1411" s="294">
        <f t="shared" si="788"/>
        <v>10289584</v>
      </c>
      <c r="L1411" s="377"/>
      <c r="M1411" s="343"/>
      <c r="N1411" s="377"/>
      <c r="O1411" s="343"/>
      <c r="P1411" s="377"/>
      <c r="Q1411" s="343"/>
      <c r="R1411" s="377"/>
      <c r="S1411" s="343"/>
      <c r="T1411" s="346"/>
      <c r="U1411" s="346"/>
      <c r="V1411" s="346"/>
      <c r="W1411" s="346"/>
      <c r="X1411" s="346"/>
      <c r="Y1411" s="346"/>
    </row>
    <row r="1412" spans="2:29">
      <c r="B1412" s="317" t="s">
        <v>1086</v>
      </c>
      <c r="D1412" s="293">
        <f>'[7]8'!P10+[7]TempRev!C346-[7]TempRev!M346-[7]TempRev!W346</f>
        <v>567743368.29529512</v>
      </c>
      <c r="E1412" s="293">
        <f>ROUND(D1412/(D1416-D1413)*E1416,0)</f>
        <v>575025560</v>
      </c>
      <c r="G1412" s="377">
        <v>3.4001999999999999</v>
      </c>
      <c r="H1412" s="343" t="s">
        <v>1062</v>
      </c>
      <c r="I1412" s="294">
        <f t="shared" si="788"/>
        <v>19304410</v>
      </c>
      <c r="J1412" s="294">
        <f t="shared" si="788"/>
        <v>19552019</v>
      </c>
      <c r="L1412" s="377"/>
      <c r="M1412" s="343"/>
      <c r="N1412" s="377"/>
      <c r="O1412" s="343"/>
      <c r="P1412" s="377"/>
      <c r="Q1412" s="343"/>
      <c r="R1412" s="377"/>
      <c r="S1412" s="343"/>
      <c r="T1412" s="346"/>
      <c r="U1412" s="346"/>
      <c r="V1412" s="346"/>
      <c r="W1412" s="346"/>
      <c r="X1412" s="346"/>
      <c r="Y1412" s="346"/>
    </row>
    <row r="1413" spans="2:29">
      <c r="B1413" s="317" t="s">
        <v>1078</v>
      </c>
      <c r="D1413" s="357">
        <f>'[7]Table 2'!J53</f>
        <v>4950427</v>
      </c>
      <c r="E1413" s="357">
        <v>0</v>
      </c>
      <c r="I1413" s="358">
        <f>'[7]Table 3'!F53</f>
        <v>391601</v>
      </c>
      <c r="J1413" s="358">
        <v>0</v>
      </c>
      <c r="Z1413" s="358">
        <v>0</v>
      </c>
    </row>
    <row r="1414" spans="2:29">
      <c r="B1414" s="317" t="s">
        <v>1079</v>
      </c>
      <c r="G1414" s="338">
        <v>-3.1800000000000002E-2</v>
      </c>
      <c r="H1414" s="339"/>
      <c r="I1414" s="294">
        <f>SUM(I1407:I1408,I1410:I1412)*$G1414</f>
        <v>-1902515.5494000001</v>
      </c>
      <c r="J1414" s="294">
        <f>SUM(J1407:J1408,J1410:J1412)*$G1414</f>
        <v>-1922698.8822000001</v>
      </c>
      <c r="L1414" s="338"/>
      <c r="M1414" s="339"/>
      <c r="N1414" s="338"/>
      <c r="O1414" s="339"/>
      <c r="P1414" s="359" t="str">
        <f>$P$43</f>
        <v>Tax Year 1</v>
      </c>
      <c r="Q1414" s="339"/>
      <c r="R1414" s="338">
        <f>$R$1392</f>
        <v>-2.3300000000000001E-2</v>
      </c>
      <c r="S1414" s="339"/>
      <c r="Z1414" s="294">
        <f>R1414*SUM(Z1401:Z1406)</f>
        <v>-1410718.0720000002</v>
      </c>
    </row>
    <row r="1415" spans="2:29">
      <c r="B1415" s="317"/>
      <c r="G1415" s="338"/>
      <c r="H1415" s="339"/>
      <c r="L1415" s="338"/>
      <c r="M1415" s="339"/>
      <c r="N1415" s="338"/>
      <c r="O1415" s="339"/>
      <c r="P1415" s="359" t="str">
        <f>$P$44</f>
        <v>Tax Year 2</v>
      </c>
      <c r="Q1415" s="339"/>
      <c r="R1415" s="338">
        <f>$R$1393</f>
        <v>-1.1599999999999999E-2</v>
      </c>
      <c r="S1415" s="339"/>
      <c r="Z1415" s="294">
        <f>R1415*SUM(Z1401:Z1406)</f>
        <v>-702331.74399999995</v>
      </c>
    </row>
    <row r="1416" spans="2:29" ht="16.5" thickBot="1">
      <c r="B1416" s="317" t="s">
        <v>937</v>
      </c>
      <c r="D1416" s="381">
        <f>SUM(D1410:D1413)</f>
        <v>939060947.99508166</v>
      </c>
      <c r="E1416" s="381">
        <f>[7]Energy!P35</f>
        <v>946091941.27456832</v>
      </c>
      <c r="G1416" s="368"/>
      <c r="I1416" s="369">
        <f>SUM(I1399:I1414)</f>
        <v>66729464.450599998</v>
      </c>
      <c r="J1416" s="369">
        <f>SUM(J1399:J1414)</f>
        <v>67017747.117799997</v>
      </c>
      <c r="L1416" s="368"/>
      <c r="N1416" s="368"/>
      <c r="P1416" s="368"/>
      <c r="R1416" s="368"/>
      <c r="T1416" s="369">
        <f>SUM(T1399:T1413)</f>
        <v>9211438</v>
      </c>
      <c r="V1416" s="369">
        <f>SUM(V1399:V1413)</f>
        <v>41806672</v>
      </c>
      <c r="X1416" s="369">
        <f>SUM(X1399:X1413)</f>
        <v>18386017</v>
      </c>
      <c r="Z1416" s="369">
        <f>SUM(Z1399:Z1413)</f>
        <v>69404127</v>
      </c>
      <c r="AB1416" s="305" t="s">
        <v>939</v>
      </c>
      <c r="AC1416" s="304">
        <f>Z1416/J1416-1</f>
        <v>3.5608178203981655E-2</v>
      </c>
    </row>
    <row r="1417" spans="2:29" ht="16.5" thickTop="1"/>
    <row r="1418" spans="2:29">
      <c r="B1418" s="314" t="s">
        <v>990</v>
      </c>
    </row>
    <row r="1419" spans="2:29">
      <c r="B1419" s="317" t="s">
        <v>1089</v>
      </c>
      <c r="D1419" s="293">
        <f>'[7]8'!G11</f>
        <v>1250.0664285714299</v>
      </c>
      <c r="E1419" s="293">
        <f>[7]Bill!P60</f>
        <v>1236</v>
      </c>
      <c r="G1419" s="339">
        <v>70</v>
      </c>
      <c r="H1419" s="339"/>
      <c r="I1419" s="294">
        <f t="shared" ref="I1419:J1429" si="789">ROUND($G1419*D1419,0)</f>
        <v>87505</v>
      </c>
      <c r="J1419" s="294">
        <f t="shared" si="789"/>
        <v>86520</v>
      </c>
      <c r="L1419" s="339">
        <f t="shared" ref="L1419:L1426" si="790">L1377</f>
        <v>73</v>
      </c>
      <c r="M1419" s="339"/>
      <c r="N1419" s="339">
        <f t="shared" ref="N1419:N1426" si="791">N1377</f>
        <v>0</v>
      </c>
      <c r="O1419" s="339"/>
      <c r="P1419" s="339">
        <f t="shared" ref="P1419:P1426" si="792">P1377</f>
        <v>0</v>
      </c>
      <c r="Q1419" s="339"/>
      <c r="R1419" s="339">
        <f t="shared" ref="R1419:R1426" si="793">R1377</f>
        <v>73</v>
      </c>
      <c r="S1419" s="339"/>
      <c r="T1419" s="294">
        <f>Z1419</f>
        <v>90228</v>
      </c>
      <c r="Z1419" s="294">
        <f>ROUND($E1419*R1419,0)</f>
        <v>90228</v>
      </c>
      <c r="AA1419" s="291" t="s">
        <v>1173</v>
      </c>
    </row>
    <row r="1420" spans="2:29">
      <c r="B1420" s="317" t="s">
        <v>1101</v>
      </c>
      <c r="D1420" s="293">
        <f>'[7]8'!H11</f>
        <v>2239559.6701680701</v>
      </c>
      <c r="E1420" s="293">
        <f>ROUND(D1420/D1436*E1436,0)</f>
        <v>2274485</v>
      </c>
      <c r="G1420" s="339">
        <v>4.76</v>
      </c>
      <c r="H1420" s="339"/>
      <c r="I1420" s="294">
        <f>ROUND($G1420*D1420,0)</f>
        <v>10660304</v>
      </c>
      <c r="J1420" s="294">
        <f>ROUND($G1420*E1420,0)</f>
        <v>10826549</v>
      </c>
      <c r="L1420" s="339">
        <f t="shared" si="790"/>
        <v>4.95</v>
      </c>
      <c r="M1420" s="339"/>
      <c r="N1420" s="339">
        <f t="shared" si="791"/>
        <v>0</v>
      </c>
      <c r="O1420" s="339"/>
      <c r="P1420" s="339">
        <f t="shared" si="792"/>
        <v>0</v>
      </c>
      <c r="Q1420" s="339"/>
      <c r="R1420" s="339">
        <f t="shared" si="793"/>
        <v>4.95</v>
      </c>
      <c r="S1420" s="339"/>
      <c r="T1420" s="294">
        <f>Z1420</f>
        <v>11258701</v>
      </c>
      <c r="Z1420" s="294">
        <f t="shared" ref="Z1420:Z1422" si="794">ROUND($E1420*R1420,0)</f>
        <v>11258701</v>
      </c>
    </row>
    <row r="1421" spans="2:29">
      <c r="B1421" s="317" t="s">
        <v>1164</v>
      </c>
      <c r="D1421" s="293">
        <f>D1427*AA1421</f>
        <v>764755.19901380292</v>
      </c>
      <c r="E1421" s="293">
        <f>ROUND(D1421/D1436*E1436,0)</f>
        <v>776681</v>
      </c>
      <c r="G1421" s="339"/>
      <c r="H1421" s="339"/>
      <c r="L1421" s="339">
        <f t="shared" si="790"/>
        <v>0.2</v>
      </c>
      <c r="M1421" s="339"/>
      <c r="N1421" s="339">
        <f t="shared" si="791"/>
        <v>15.970000000000002</v>
      </c>
      <c r="O1421" s="339"/>
      <c r="P1421" s="339">
        <f t="shared" si="792"/>
        <v>0</v>
      </c>
      <c r="Q1421" s="339"/>
      <c r="R1421" s="339">
        <f t="shared" si="793"/>
        <v>16.170000000000002</v>
      </c>
      <c r="S1421" s="339"/>
      <c r="T1421" s="294">
        <f t="shared" ref="T1421:T1422" si="795">ROUND($E1421*L1421,0)</f>
        <v>155336</v>
      </c>
      <c r="V1421" s="294">
        <f t="shared" ref="V1421:V1422" si="796">ROUND($E1421*N1421,0)</f>
        <v>12403596</v>
      </c>
      <c r="X1421" s="294">
        <f t="shared" ref="X1421:X1422" si="797">ROUND($E1421*P1421,0)</f>
        <v>0</v>
      </c>
      <c r="Z1421" s="294">
        <f t="shared" si="794"/>
        <v>12558932</v>
      </c>
      <c r="AA1421" s="291">
        <f>AA1401</f>
        <v>0.81379813427318903</v>
      </c>
    </row>
    <row r="1422" spans="2:29">
      <c r="B1422" s="317" t="s">
        <v>1165</v>
      </c>
      <c r="D1422" s="293">
        <f>D1428*AA1422</f>
        <v>1401402.4648230693</v>
      </c>
      <c r="E1422" s="293">
        <f>ROUND(D1422/D1436*E1436,0)</f>
        <v>1423257</v>
      </c>
      <c r="G1422" s="339"/>
      <c r="H1422" s="339"/>
      <c r="L1422" s="339">
        <f t="shared" si="790"/>
        <v>0.18</v>
      </c>
      <c r="M1422" s="339"/>
      <c r="N1422" s="339">
        <f t="shared" si="791"/>
        <v>14.13</v>
      </c>
      <c r="O1422" s="339"/>
      <c r="P1422" s="339">
        <f t="shared" si="792"/>
        <v>0</v>
      </c>
      <c r="Q1422" s="339"/>
      <c r="R1422" s="339">
        <f t="shared" si="793"/>
        <v>14.31</v>
      </c>
      <c r="S1422" s="339"/>
      <c r="T1422" s="294">
        <f t="shared" si="795"/>
        <v>256186</v>
      </c>
      <c r="V1422" s="294">
        <f t="shared" si="796"/>
        <v>20110621</v>
      </c>
      <c r="X1422" s="294">
        <f t="shared" si="797"/>
        <v>0</v>
      </c>
      <c r="Z1422" s="294">
        <f t="shared" si="794"/>
        <v>20366808</v>
      </c>
      <c r="AA1422" s="291">
        <f>AA1402</f>
        <v>1.1185941099117263</v>
      </c>
    </row>
    <row r="1423" spans="2:29">
      <c r="B1423" s="317" t="s">
        <v>1061</v>
      </c>
      <c r="D1423" s="293">
        <f>D1430*AA1423</f>
        <v>120357887.81097384</v>
      </c>
      <c r="E1423" s="293">
        <f>E1436-SUM(E1424:E1426,E1433)</f>
        <v>120253377.77899694</v>
      </c>
      <c r="G1423" s="377"/>
      <c r="H1423" s="343"/>
      <c r="L1423" s="377">
        <f t="shared" si="790"/>
        <v>0</v>
      </c>
      <c r="M1423" s="343" t="s">
        <v>1062</v>
      </c>
      <c r="N1423" s="377">
        <f t="shared" si="791"/>
        <v>1.4694</v>
      </c>
      <c r="O1423" s="343" t="s">
        <v>1062</v>
      </c>
      <c r="P1423" s="377">
        <f t="shared" si="792"/>
        <v>3.80394495015</v>
      </c>
      <c r="Q1423" s="343" t="s">
        <v>1062</v>
      </c>
      <c r="R1423" s="377">
        <f t="shared" si="793"/>
        <v>5.2733449501500003</v>
      </c>
      <c r="S1423" s="343" t="s">
        <v>1062</v>
      </c>
      <c r="T1423" s="294">
        <f>ROUND($E1423*L1423/100,0)</f>
        <v>0</v>
      </c>
      <c r="V1423" s="294">
        <f>ROUND($E1423*N1423/100,0)</f>
        <v>1767003</v>
      </c>
      <c r="X1423" s="294">
        <f>ROUND($E1423*P1423/100,0)</f>
        <v>4574372</v>
      </c>
      <c r="Y1423" s="346"/>
      <c r="Z1423" s="294">
        <f>ROUND($E1423*R1423/100,0)</f>
        <v>6341375</v>
      </c>
      <c r="AA1423" s="291">
        <f>AA1403</f>
        <v>0.97865323398143234</v>
      </c>
    </row>
    <row r="1424" spans="2:29">
      <c r="B1424" s="317" t="s">
        <v>1166</v>
      </c>
      <c r="D1424" s="293">
        <f>D1431*AA1424</f>
        <v>201427191.56155914</v>
      </c>
      <c r="E1424" s="293">
        <f>ROUND(D1424/(D1436-D1433)*E1436,0)</f>
        <v>201252288</v>
      </c>
      <c r="G1424" s="377"/>
      <c r="H1424" s="343"/>
      <c r="L1424" s="377">
        <f t="shared" si="790"/>
        <v>0</v>
      </c>
      <c r="M1424" s="343" t="s">
        <v>1062</v>
      </c>
      <c r="N1424" s="377">
        <f t="shared" si="791"/>
        <v>1.4694</v>
      </c>
      <c r="O1424" s="343" t="s">
        <v>1062</v>
      </c>
      <c r="P1424" s="377">
        <f t="shared" si="792"/>
        <v>3.1972769470349993</v>
      </c>
      <c r="Q1424" s="343" t="s">
        <v>1062</v>
      </c>
      <c r="R1424" s="377">
        <f t="shared" si="793"/>
        <v>4.6666769470349996</v>
      </c>
      <c r="S1424" s="343" t="s">
        <v>1062</v>
      </c>
      <c r="T1424" s="294">
        <f t="shared" ref="T1424:T1426" si="798">ROUND($E1424*L1424/100,0)</f>
        <v>0</v>
      </c>
      <c r="V1424" s="294">
        <f t="shared" ref="V1424:V1426" si="799">ROUND($E1424*N1424/100,0)</f>
        <v>2957201</v>
      </c>
      <c r="X1424" s="294">
        <f t="shared" ref="X1424:X1426" si="800">ROUND($E1424*P1424/100,0)</f>
        <v>6434593</v>
      </c>
      <c r="Y1424" s="346"/>
      <c r="Z1424" s="294">
        <f t="shared" ref="Z1424:Z1426" si="801">ROUND($E1424*R1424/100,0)</f>
        <v>9391794</v>
      </c>
      <c r="AA1424" s="291">
        <f>AA1404</f>
        <v>0.69995827735124105</v>
      </c>
    </row>
    <row r="1425" spans="2:29">
      <c r="B1425" s="317" t="s">
        <v>1064</v>
      </c>
      <c r="D1425" s="293">
        <f>SUM(D1430:D1432)*AA1425</f>
        <v>250600994.28388652</v>
      </c>
      <c r="E1425" s="293">
        <f>ROUND(D1425/(D1436-D1433)*E1436,0)</f>
        <v>250383392</v>
      </c>
      <c r="G1425" s="377"/>
      <c r="H1425" s="343"/>
      <c r="L1425" s="377">
        <f t="shared" si="790"/>
        <v>0</v>
      </c>
      <c r="M1425" s="343" t="s">
        <v>1062</v>
      </c>
      <c r="N1425" s="377">
        <f t="shared" si="791"/>
        <v>1.4694</v>
      </c>
      <c r="O1425" s="343" t="s">
        <v>1062</v>
      </c>
      <c r="P1425" s="377">
        <f t="shared" si="792"/>
        <v>1.5074530237289998</v>
      </c>
      <c r="Q1425" s="343" t="s">
        <v>1062</v>
      </c>
      <c r="R1425" s="377">
        <f t="shared" si="793"/>
        <v>2.9768530237289998</v>
      </c>
      <c r="S1425" s="343" t="s">
        <v>1062</v>
      </c>
      <c r="T1425" s="294">
        <f t="shared" si="798"/>
        <v>0</v>
      </c>
      <c r="V1425" s="294">
        <f t="shared" si="799"/>
        <v>3679134</v>
      </c>
      <c r="X1425" s="294">
        <f t="shared" si="800"/>
        <v>3774412</v>
      </c>
      <c r="Y1425" s="346"/>
      <c r="Z1425" s="294">
        <f t="shared" si="801"/>
        <v>7453546</v>
      </c>
      <c r="AA1425" s="291">
        <f>AA1405</f>
        <v>0.24756464999612296</v>
      </c>
    </row>
    <row r="1426" spans="2:29">
      <c r="B1426" s="317" t="s">
        <v>1167</v>
      </c>
      <c r="D1426" s="293">
        <f>SUM(D1430:D1432)-SUM(D1423:D1425)</f>
        <v>439878780.34358048</v>
      </c>
      <c r="E1426" s="293">
        <f>ROUND(D1426/(D1436-D1433)*E1436,0)</f>
        <v>439496823</v>
      </c>
      <c r="G1426" s="377"/>
      <c r="H1426" s="343"/>
      <c r="L1426" s="377">
        <f t="shared" si="790"/>
        <v>0</v>
      </c>
      <c r="M1426" s="343" t="s">
        <v>1062</v>
      </c>
      <c r="N1426" s="377">
        <f t="shared" si="791"/>
        <v>1.4694</v>
      </c>
      <c r="O1426" s="343" t="s">
        <v>1062</v>
      </c>
      <c r="P1426" s="377">
        <f t="shared" si="792"/>
        <v>1.1649832068399999</v>
      </c>
      <c r="Q1426" s="343" t="s">
        <v>1062</v>
      </c>
      <c r="R1426" s="377">
        <f t="shared" si="793"/>
        <v>2.6343832068399999</v>
      </c>
      <c r="S1426" s="343" t="s">
        <v>1062</v>
      </c>
      <c r="T1426" s="294">
        <f t="shared" si="798"/>
        <v>0</v>
      </c>
      <c r="V1426" s="294">
        <f t="shared" si="799"/>
        <v>6457966</v>
      </c>
      <c r="X1426" s="294">
        <f t="shared" si="800"/>
        <v>5120064</v>
      </c>
      <c r="Y1426" s="346"/>
      <c r="Z1426" s="294">
        <f t="shared" si="801"/>
        <v>11578030</v>
      </c>
      <c r="AA1426" s="291">
        <f>E1426/E1436</f>
        <v>0.43454909876879788</v>
      </c>
    </row>
    <row r="1427" spans="2:29">
      <c r="B1427" s="317" t="s">
        <v>1169</v>
      </c>
      <c r="D1427" s="293">
        <f>'[7]8'!J11</f>
        <v>939735.74871465296</v>
      </c>
      <c r="E1427" s="293">
        <f>ROUND(D1427/D1436*E1436,0)</f>
        <v>954391</v>
      </c>
      <c r="G1427" s="339">
        <v>15.56</v>
      </c>
      <c r="H1427" s="339"/>
      <c r="I1427" s="294">
        <f t="shared" si="789"/>
        <v>14622288</v>
      </c>
      <c r="J1427" s="294">
        <f t="shared" si="789"/>
        <v>14850324</v>
      </c>
      <c r="L1427" s="339"/>
      <c r="M1427" s="339"/>
      <c r="N1427" s="339"/>
      <c r="O1427" s="339"/>
      <c r="P1427" s="339"/>
      <c r="Q1427" s="339"/>
      <c r="R1427" s="339"/>
      <c r="S1427" s="339"/>
    </row>
    <row r="1428" spans="2:29">
      <c r="B1428" s="317" t="s">
        <v>1171</v>
      </c>
      <c r="D1428" s="293">
        <f>'[7]8'!K11</f>
        <v>1252824.8203753377</v>
      </c>
      <c r="E1428" s="293">
        <f>ROUND(D1428/D1436*E1436,0)</f>
        <v>1272362</v>
      </c>
      <c r="G1428" s="339">
        <v>11.19</v>
      </c>
      <c r="H1428" s="339"/>
      <c r="I1428" s="294">
        <f t="shared" si="789"/>
        <v>14019110</v>
      </c>
      <c r="J1428" s="294">
        <f t="shared" si="789"/>
        <v>14237731</v>
      </c>
      <c r="L1428" s="339"/>
      <c r="M1428" s="339"/>
      <c r="N1428" s="339"/>
      <c r="O1428" s="339"/>
      <c r="P1428" s="339"/>
      <c r="Q1428" s="339"/>
      <c r="R1428" s="339"/>
      <c r="S1428" s="339"/>
    </row>
    <row r="1429" spans="2:29">
      <c r="B1429" s="317" t="s">
        <v>1098</v>
      </c>
      <c r="D1429" s="293">
        <f>'[7]8'!L11</f>
        <v>954992.93805309699</v>
      </c>
      <c r="E1429" s="293">
        <f>ROUND(D1429/D1436*E1436,0)</f>
        <v>969886</v>
      </c>
      <c r="G1429" s="339">
        <v>-1.1299999999999999</v>
      </c>
      <c r="H1429" s="339"/>
      <c r="I1429" s="294">
        <f t="shared" si="789"/>
        <v>-1079142</v>
      </c>
      <c r="J1429" s="294">
        <f t="shared" si="789"/>
        <v>-1095971</v>
      </c>
      <c r="L1429" s="339">
        <f>L1387</f>
        <v>-1.1299999999999999</v>
      </c>
      <c r="M1429" s="339"/>
      <c r="N1429" s="339">
        <f>N1387</f>
        <v>0</v>
      </c>
      <c r="O1429" s="339"/>
      <c r="P1429" s="339">
        <f>P1387</f>
        <v>0</v>
      </c>
      <c r="Q1429" s="339"/>
      <c r="R1429" s="339">
        <f>R1387</f>
        <v>-1.1299999999999999</v>
      </c>
      <c r="S1429" s="339"/>
      <c r="T1429" s="294">
        <f t="shared" ref="T1429" si="802">ROUND($E1429*L1429,0)</f>
        <v>-1095971</v>
      </c>
      <c r="V1429" s="294">
        <f t="shared" ref="V1429" si="803">ROUND($E1429*N1429,0)</f>
        <v>0</v>
      </c>
      <c r="X1429" s="294">
        <f t="shared" ref="X1429" si="804">ROUND($E1429*P1429,0)</f>
        <v>0</v>
      </c>
      <c r="Z1429" s="294">
        <f>ROUND($E1429*R1429,0)</f>
        <v>-1095971</v>
      </c>
    </row>
    <row r="1430" spans="2:29">
      <c r="B1430" s="317" t="s">
        <v>1070</v>
      </c>
      <c r="D1430" s="293">
        <f>'[7]8'!N11</f>
        <v>122983181</v>
      </c>
      <c r="E1430" s="293">
        <f>E1436-SUM(E1431:E1433)</f>
        <v>122876391.77899694</v>
      </c>
      <c r="G1430" s="377">
        <v>5.0473999999999997</v>
      </c>
      <c r="H1430" s="343" t="s">
        <v>1062</v>
      </c>
      <c r="I1430" s="294">
        <f t="shared" ref="I1430:J1432" si="805">ROUND($G1430*D1430/100,0)</f>
        <v>6207453</v>
      </c>
      <c r="J1430" s="294">
        <f t="shared" si="805"/>
        <v>6202063</v>
      </c>
      <c r="L1430" s="377"/>
      <c r="M1430" s="343"/>
      <c r="N1430" s="377"/>
      <c r="O1430" s="343"/>
      <c r="P1430" s="377"/>
      <c r="Q1430" s="343"/>
      <c r="R1430" s="377"/>
      <c r="S1430" s="343"/>
      <c r="T1430" s="346"/>
      <c r="U1430" s="346"/>
      <c r="V1430" s="346"/>
      <c r="W1430" s="346"/>
      <c r="X1430" s="346"/>
      <c r="Y1430" s="346"/>
    </row>
    <row r="1431" spans="2:29">
      <c r="B1431" s="317" t="s">
        <v>1126</v>
      </c>
      <c r="D1431" s="293">
        <f>'[7]8'!O11</f>
        <v>287770283</v>
      </c>
      <c r="E1431" s="293">
        <f>ROUND(D1431/(D1436-D1433)*E1436,0)</f>
        <v>287520405</v>
      </c>
      <c r="G1431" s="377">
        <v>3.9510999999999998</v>
      </c>
      <c r="H1431" s="343" t="s">
        <v>1062</v>
      </c>
      <c r="I1431" s="294">
        <f t="shared" si="805"/>
        <v>11370092</v>
      </c>
      <c r="J1431" s="294">
        <f t="shared" si="805"/>
        <v>11360219</v>
      </c>
      <c r="L1431" s="377"/>
      <c r="M1431" s="343"/>
      <c r="N1431" s="377"/>
      <c r="O1431" s="343"/>
      <c r="P1431" s="377"/>
      <c r="Q1431" s="343"/>
      <c r="R1431" s="377"/>
      <c r="S1431" s="343"/>
      <c r="T1431" s="346"/>
      <c r="U1431" s="346"/>
      <c r="V1431" s="346"/>
      <c r="W1431" s="346"/>
      <c r="X1431" s="346"/>
      <c r="Y1431" s="346"/>
    </row>
    <row r="1432" spans="2:29">
      <c r="B1432" s="317" t="s">
        <v>1086</v>
      </c>
      <c r="D1432" s="293">
        <f>'[7]8'!P11</f>
        <v>601511390</v>
      </c>
      <c r="E1432" s="293">
        <f>ROUND(D1432/(D1436-D1433)*E1436,0)</f>
        <v>600989084</v>
      </c>
      <c r="G1432" s="377">
        <v>3.4001999999999999</v>
      </c>
      <c r="H1432" s="343" t="s">
        <v>1062</v>
      </c>
      <c r="I1432" s="294">
        <f t="shared" si="805"/>
        <v>20452590</v>
      </c>
      <c r="J1432" s="294">
        <f t="shared" si="805"/>
        <v>20434831</v>
      </c>
      <c r="L1432" s="377"/>
      <c r="M1432" s="343"/>
      <c r="N1432" s="377"/>
      <c r="O1432" s="343"/>
      <c r="P1432" s="377"/>
      <c r="Q1432" s="343"/>
      <c r="R1432" s="377"/>
      <c r="S1432" s="343"/>
      <c r="T1432" s="346"/>
      <c r="U1432" s="346"/>
      <c r="V1432" s="346"/>
      <c r="W1432" s="346"/>
      <c r="X1432" s="346"/>
      <c r="Y1432" s="346"/>
    </row>
    <row r="1433" spans="2:29" s="401" customFormat="1">
      <c r="B1433" s="317" t="s">
        <v>1078</v>
      </c>
      <c r="C1433" s="292"/>
      <c r="D1433" s="357">
        <f>'[7]Table 2'!J90</f>
        <v>-16409187</v>
      </c>
      <c r="E1433" s="357">
        <v>0</v>
      </c>
      <c r="F1433" s="292"/>
      <c r="G1433" s="292"/>
      <c r="H1433" s="292"/>
      <c r="I1433" s="358">
        <f>'[7]Table 3'!F90</f>
        <v>-1127981</v>
      </c>
      <c r="J1433" s="358">
        <v>0</v>
      </c>
      <c r="K1433" s="292"/>
      <c r="L1433" s="292"/>
      <c r="M1433" s="292"/>
      <c r="N1433" s="292"/>
      <c r="O1433" s="292"/>
      <c r="P1433" s="292"/>
      <c r="Q1433" s="292"/>
      <c r="R1433" s="292"/>
      <c r="S1433" s="292"/>
      <c r="T1433" s="294"/>
      <c r="U1433" s="294"/>
      <c r="V1433" s="294"/>
      <c r="W1433" s="294"/>
      <c r="X1433" s="294"/>
      <c r="Y1433" s="294"/>
      <c r="Z1433" s="358">
        <v>0</v>
      </c>
      <c r="AA1433" s="400"/>
    </row>
    <row r="1434" spans="2:29">
      <c r="B1434" s="317" t="s">
        <v>1079</v>
      </c>
      <c r="G1434" s="338">
        <v>-3.1800000000000002E-2</v>
      </c>
      <c r="H1434" s="339"/>
      <c r="I1434" s="294">
        <f>SUM(I1427:I1428,I1430:I1432)*$G1434</f>
        <v>-2120154.7494000001</v>
      </c>
      <c r="J1434" s="294">
        <f>SUM(J1427:J1428,J1430:J1432)*$G1434</f>
        <v>-2133308.3424</v>
      </c>
      <c r="L1434" s="338"/>
      <c r="M1434" s="339"/>
      <c r="N1434" s="338"/>
      <c r="O1434" s="339"/>
      <c r="P1434" s="359" t="str">
        <f>$P$43</f>
        <v>Tax Year 1</v>
      </c>
      <c r="Q1434" s="339"/>
      <c r="R1434" s="338">
        <f>$R$1392</f>
        <v>-2.3300000000000001E-2</v>
      </c>
      <c r="S1434" s="339"/>
      <c r="Z1434" s="294">
        <f>R1434*SUM(Z1421:Z1426)</f>
        <v>-1577188.3005000001</v>
      </c>
    </row>
    <row r="1435" spans="2:29">
      <c r="B1435" s="317"/>
      <c r="G1435" s="338"/>
      <c r="H1435" s="339"/>
      <c r="L1435" s="338"/>
      <c r="M1435" s="339"/>
      <c r="N1435" s="338"/>
      <c r="O1435" s="339"/>
      <c r="P1435" s="359" t="str">
        <f>$P$44</f>
        <v>Tax Year 2</v>
      </c>
      <c r="Q1435" s="339"/>
      <c r="R1435" s="338">
        <f>$R$1393</f>
        <v>-1.1599999999999999E-2</v>
      </c>
      <c r="S1435" s="339"/>
      <c r="Z1435" s="294">
        <f>R1435*SUM(Z1421:Z1426)</f>
        <v>-785209.62599999993</v>
      </c>
    </row>
    <row r="1436" spans="2:29" ht="16.5" thickBot="1">
      <c r="B1436" s="317" t="s">
        <v>937</v>
      </c>
      <c r="D1436" s="381">
        <f>SUM(D1430:D1433)</f>
        <v>995855667</v>
      </c>
      <c r="E1436" s="381">
        <f>[7]Energy!P60</f>
        <v>1011385880.7789969</v>
      </c>
      <c r="G1436" s="368"/>
      <c r="I1436" s="369">
        <f>SUM(I1419:I1434)</f>
        <v>73092064.250599995</v>
      </c>
      <c r="J1436" s="369">
        <f>SUM(J1419:J1434)</f>
        <v>74768957.657600001</v>
      </c>
      <c r="L1436" s="368"/>
      <c r="N1436" s="368"/>
      <c r="P1436" s="368"/>
      <c r="R1436" s="368"/>
      <c r="T1436" s="369">
        <f>SUM(T1419:T1433)</f>
        <v>10664480</v>
      </c>
      <c r="V1436" s="369">
        <f>SUM(V1419:V1433)</f>
        <v>47375521</v>
      </c>
      <c r="X1436" s="369">
        <f>SUM(X1419:X1433)</f>
        <v>19903441</v>
      </c>
      <c r="Z1436" s="369">
        <f>SUM(Z1419:Z1433)</f>
        <v>77943443</v>
      </c>
      <c r="AB1436" s="305" t="s">
        <v>939</v>
      </c>
      <c r="AC1436" s="304">
        <f>Z1436/J1436-1</f>
        <v>4.2457263573706161E-2</v>
      </c>
    </row>
    <row r="1437" spans="2:29" ht="16.5" thickTop="1">
      <c r="B1437" s="401"/>
      <c r="C1437" s="401"/>
      <c r="D1437" s="402"/>
      <c r="E1437" s="402"/>
      <c r="F1437" s="401"/>
      <c r="G1437" s="401"/>
      <c r="H1437" s="401"/>
      <c r="I1437" s="403"/>
      <c r="J1437" s="403"/>
      <c r="K1437" s="401"/>
      <c r="L1437" s="401"/>
      <c r="M1437" s="401"/>
      <c r="N1437" s="401"/>
      <c r="O1437" s="401"/>
      <c r="P1437" s="401"/>
      <c r="Q1437" s="401"/>
      <c r="R1437" s="401"/>
      <c r="S1437" s="401"/>
      <c r="T1437" s="403"/>
      <c r="U1437" s="403"/>
      <c r="V1437" s="403"/>
      <c r="W1437" s="403"/>
      <c r="X1437" s="403"/>
      <c r="Y1437" s="403"/>
      <c r="Z1437" s="403"/>
    </row>
    <row r="1438" spans="2:29">
      <c r="B1438" s="314" t="s">
        <v>991</v>
      </c>
    </row>
    <row r="1439" spans="2:29">
      <c r="B1439" s="317" t="s">
        <v>1089</v>
      </c>
      <c r="D1439" s="293">
        <f>'[7]8'!G13</f>
        <v>135.63328571428599</v>
      </c>
      <c r="E1439" s="293">
        <f>[7]Bill!P48</f>
        <v>168</v>
      </c>
      <c r="G1439" s="339">
        <v>70</v>
      </c>
      <c r="H1439" s="339"/>
      <c r="I1439" s="294">
        <f t="shared" ref="I1439:J1449" si="806">ROUND($G1439*D1439,0)</f>
        <v>9494</v>
      </c>
      <c r="J1439" s="294">
        <f t="shared" si="806"/>
        <v>11760</v>
      </c>
      <c r="L1439" s="339">
        <f t="shared" ref="L1439:L1446" si="807">L1377</f>
        <v>73</v>
      </c>
      <c r="M1439" s="339"/>
      <c r="N1439" s="339">
        <f t="shared" ref="N1439:N1446" si="808">N1377</f>
        <v>0</v>
      </c>
      <c r="O1439" s="339"/>
      <c r="P1439" s="339">
        <f t="shared" ref="P1439:P1446" si="809">P1377</f>
        <v>0</v>
      </c>
      <c r="Q1439" s="339"/>
      <c r="R1439" s="339">
        <f t="shared" ref="R1439:R1446" si="810">R1377</f>
        <v>73</v>
      </c>
      <c r="S1439" s="339"/>
      <c r="T1439" s="294">
        <f>Z1439</f>
        <v>12264</v>
      </c>
      <c r="Z1439" s="294">
        <f>ROUND($E1439*R1439,0)</f>
        <v>12264</v>
      </c>
      <c r="AA1439" s="291" t="s">
        <v>1173</v>
      </c>
    </row>
    <row r="1440" spans="2:29">
      <c r="B1440" s="317" t="s">
        <v>1101</v>
      </c>
      <c r="D1440" s="293">
        <f>'[7]8'!H13</f>
        <v>137123.266806723</v>
      </c>
      <c r="E1440" s="293">
        <f>ROUND(D1440/D1456*E1456,0)</f>
        <v>150062</v>
      </c>
      <c r="G1440" s="339">
        <v>4.76</v>
      </c>
      <c r="H1440" s="339"/>
      <c r="I1440" s="294">
        <f>ROUND($G1440*D1440,0)</f>
        <v>652707</v>
      </c>
      <c r="J1440" s="294">
        <f>ROUND($G1440*E1440,0)</f>
        <v>714295</v>
      </c>
      <c r="L1440" s="339">
        <f t="shared" si="807"/>
        <v>4.95</v>
      </c>
      <c r="M1440" s="339"/>
      <c r="N1440" s="339">
        <f t="shared" si="808"/>
        <v>0</v>
      </c>
      <c r="O1440" s="339"/>
      <c r="P1440" s="339">
        <f t="shared" si="809"/>
        <v>0</v>
      </c>
      <c r="Q1440" s="339"/>
      <c r="R1440" s="339">
        <f t="shared" si="810"/>
        <v>4.95</v>
      </c>
      <c r="S1440" s="339"/>
      <c r="T1440" s="294">
        <f>Z1440</f>
        <v>742807</v>
      </c>
      <c r="Z1440" s="294">
        <f t="shared" ref="Z1440:Z1442" si="811">ROUND($E1440*R1440,0)</f>
        <v>742807</v>
      </c>
    </row>
    <row r="1441" spans="2:29">
      <c r="B1441" s="317" t="s">
        <v>1164</v>
      </c>
      <c r="D1441" s="293">
        <f>D1447*AA1441</f>
        <v>46662.924038974663</v>
      </c>
      <c r="E1441" s="293">
        <f>ROUND(D1441/D1456*E1456,0)</f>
        <v>51066</v>
      </c>
      <c r="G1441" s="339"/>
      <c r="H1441" s="339"/>
      <c r="L1441" s="339">
        <f t="shared" si="807"/>
        <v>0.2</v>
      </c>
      <c r="M1441" s="339"/>
      <c r="N1441" s="339">
        <f t="shared" si="808"/>
        <v>15.970000000000002</v>
      </c>
      <c r="O1441" s="339"/>
      <c r="P1441" s="339">
        <f t="shared" si="809"/>
        <v>0</v>
      </c>
      <c r="Q1441" s="339"/>
      <c r="R1441" s="339">
        <f t="shared" si="810"/>
        <v>16.170000000000002</v>
      </c>
      <c r="S1441" s="339"/>
      <c r="T1441" s="294">
        <f t="shared" ref="T1441:T1442" si="812">ROUND($E1441*L1441,0)</f>
        <v>10213</v>
      </c>
      <c r="V1441" s="294">
        <f t="shared" ref="V1441:V1442" si="813">ROUND($E1441*N1441,0)</f>
        <v>815524</v>
      </c>
      <c r="X1441" s="294">
        <f t="shared" ref="X1441:X1442" si="814">ROUND($E1441*P1441,0)</f>
        <v>0</v>
      </c>
      <c r="Z1441" s="294">
        <f t="shared" si="811"/>
        <v>825737</v>
      </c>
      <c r="AA1441" s="291">
        <f>AA1401</f>
        <v>0.81379813427318903</v>
      </c>
    </row>
    <row r="1442" spans="2:29">
      <c r="B1442" s="317" t="s">
        <v>1165</v>
      </c>
      <c r="D1442" s="293">
        <f>D1448*AA1442</f>
        <v>85099.268105557989</v>
      </c>
      <c r="E1442" s="293">
        <f>ROUND(D1442/D1456*E1456,0)</f>
        <v>93129</v>
      </c>
      <c r="G1442" s="339"/>
      <c r="H1442" s="339"/>
      <c r="L1442" s="339">
        <f t="shared" si="807"/>
        <v>0.18</v>
      </c>
      <c r="M1442" s="339"/>
      <c r="N1442" s="339">
        <f t="shared" si="808"/>
        <v>14.13</v>
      </c>
      <c r="O1442" s="339"/>
      <c r="P1442" s="339">
        <f t="shared" si="809"/>
        <v>0</v>
      </c>
      <c r="Q1442" s="339"/>
      <c r="R1442" s="339">
        <f t="shared" si="810"/>
        <v>14.31</v>
      </c>
      <c r="S1442" s="339"/>
      <c r="T1442" s="294">
        <f t="shared" si="812"/>
        <v>16763</v>
      </c>
      <c r="V1442" s="294">
        <f t="shared" si="813"/>
        <v>1315913</v>
      </c>
      <c r="X1442" s="294">
        <f t="shared" si="814"/>
        <v>0</v>
      </c>
      <c r="Z1442" s="294">
        <f t="shared" si="811"/>
        <v>1332676</v>
      </c>
      <c r="AA1442" s="291">
        <f>AA1402</f>
        <v>1.1185941099117263</v>
      </c>
    </row>
    <row r="1443" spans="2:29">
      <c r="B1443" s="317" t="s">
        <v>1061</v>
      </c>
      <c r="D1443" s="293">
        <f>D1450*AA1443</f>
        <v>6559607.4370459374</v>
      </c>
      <c r="E1443" s="293">
        <f>E1456-SUM(E1444:E1446,E1453)</f>
        <v>7216586.1969696805</v>
      </c>
      <c r="G1443" s="377"/>
      <c r="H1443" s="343"/>
      <c r="L1443" s="377">
        <f t="shared" si="807"/>
        <v>0</v>
      </c>
      <c r="M1443" s="343" t="s">
        <v>1062</v>
      </c>
      <c r="N1443" s="377">
        <f t="shared" si="808"/>
        <v>1.4694</v>
      </c>
      <c r="O1443" s="343" t="s">
        <v>1062</v>
      </c>
      <c r="P1443" s="377">
        <f t="shared" si="809"/>
        <v>3.80394495015</v>
      </c>
      <c r="Q1443" s="343" t="s">
        <v>1062</v>
      </c>
      <c r="R1443" s="377">
        <f t="shared" si="810"/>
        <v>5.2733449501500003</v>
      </c>
      <c r="S1443" s="343" t="s">
        <v>1062</v>
      </c>
      <c r="T1443" s="294">
        <f>ROUND($E1443*L1443/100,0)</f>
        <v>0</v>
      </c>
      <c r="V1443" s="294">
        <f>ROUND($E1443*N1443/100,0)</f>
        <v>106041</v>
      </c>
      <c r="X1443" s="294">
        <f>ROUND($E1443*P1443/100,0)</f>
        <v>274515</v>
      </c>
      <c r="Y1443" s="346"/>
      <c r="Z1443" s="294">
        <f>ROUND($E1443*R1443/100,0)</f>
        <v>380555</v>
      </c>
      <c r="AA1443" s="291">
        <f>AA1403</f>
        <v>0.97865323398143234</v>
      </c>
    </row>
    <row r="1444" spans="2:29">
      <c r="B1444" s="317" t="s">
        <v>1166</v>
      </c>
      <c r="D1444" s="293">
        <f>D1451*AA1444</f>
        <v>11328763.369490052</v>
      </c>
      <c r="E1444" s="293">
        <f>ROUND(D1444/(D1456-D1453)*E1456,0)</f>
        <v>12463399</v>
      </c>
      <c r="G1444" s="377"/>
      <c r="H1444" s="343"/>
      <c r="L1444" s="377">
        <f t="shared" si="807"/>
        <v>0</v>
      </c>
      <c r="M1444" s="343" t="s">
        <v>1062</v>
      </c>
      <c r="N1444" s="377">
        <f t="shared" si="808"/>
        <v>1.4694</v>
      </c>
      <c r="O1444" s="343" t="s">
        <v>1062</v>
      </c>
      <c r="P1444" s="377">
        <f t="shared" si="809"/>
        <v>3.1972769470349993</v>
      </c>
      <c r="Q1444" s="343" t="s">
        <v>1062</v>
      </c>
      <c r="R1444" s="377">
        <f t="shared" si="810"/>
        <v>4.6666769470349996</v>
      </c>
      <c r="S1444" s="343" t="s">
        <v>1062</v>
      </c>
      <c r="T1444" s="294">
        <f t="shared" ref="T1444:T1446" si="815">ROUND($E1444*L1444/100,0)</f>
        <v>0</v>
      </c>
      <c r="V1444" s="294">
        <f t="shared" ref="V1444:V1446" si="816">ROUND($E1444*N1444/100,0)</f>
        <v>183137</v>
      </c>
      <c r="X1444" s="294">
        <f t="shared" ref="X1444:X1446" si="817">ROUND($E1444*P1444/100,0)</f>
        <v>398489</v>
      </c>
      <c r="Y1444" s="346"/>
      <c r="Z1444" s="294">
        <f t="shared" ref="Z1444:Z1446" si="818">ROUND($E1444*R1444/100,0)</f>
        <v>581627</v>
      </c>
      <c r="AA1444" s="291">
        <f>AA1404</f>
        <v>0.69995827735124105</v>
      </c>
    </row>
    <row r="1445" spans="2:29">
      <c r="B1445" s="317" t="s">
        <v>1064</v>
      </c>
      <c r="D1445" s="293">
        <f>SUM(D1450:D1452)*AA1445</f>
        <v>14227472.729126329</v>
      </c>
      <c r="E1445" s="293">
        <f>ROUND(D1445/(D1456-D1453)*E1456,0)</f>
        <v>15652429</v>
      </c>
      <c r="G1445" s="377"/>
      <c r="H1445" s="343"/>
      <c r="L1445" s="377">
        <f t="shared" si="807"/>
        <v>0</v>
      </c>
      <c r="M1445" s="343" t="s">
        <v>1062</v>
      </c>
      <c r="N1445" s="377">
        <f t="shared" si="808"/>
        <v>1.4694</v>
      </c>
      <c r="O1445" s="343" t="s">
        <v>1062</v>
      </c>
      <c r="P1445" s="377">
        <f t="shared" si="809"/>
        <v>1.5074530237289998</v>
      </c>
      <c r="Q1445" s="343" t="s">
        <v>1062</v>
      </c>
      <c r="R1445" s="377">
        <f t="shared" si="810"/>
        <v>2.9768530237289998</v>
      </c>
      <c r="S1445" s="343" t="s">
        <v>1062</v>
      </c>
      <c r="T1445" s="294">
        <f t="shared" si="815"/>
        <v>0</v>
      </c>
      <c r="V1445" s="294">
        <f t="shared" si="816"/>
        <v>229997</v>
      </c>
      <c r="X1445" s="294">
        <f t="shared" si="817"/>
        <v>235953</v>
      </c>
      <c r="Y1445" s="346"/>
      <c r="Z1445" s="294">
        <f t="shared" si="818"/>
        <v>465950</v>
      </c>
      <c r="AA1445" s="291">
        <f>AA1405</f>
        <v>0.24756464999612296</v>
      </c>
    </row>
    <row r="1446" spans="2:29">
      <c r="B1446" s="317" t="s">
        <v>1167</v>
      </c>
      <c r="D1446" s="293">
        <f>SUM(D1450:D1452)-SUM(D1443:D1445)</f>
        <v>25353882.975570776</v>
      </c>
      <c r="E1446" s="293">
        <f>ROUND(D1446/(D1456-D1453)*E1456,0)</f>
        <v>27893208</v>
      </c>
      <c r="G1446" s="377"/>
      <c r="H1446" s="343"/>
      <c r="L1446" s="377">
        <f t="shared" si="807"/>
        <v>0</v>
      </c>
      <c r="M1446" s="343" t="s">
        <v>1062</v>
      </c>
      <c r="N1446" s="377">
        <f t="shared" si="808"/>
        <v>1.4694</v>
      </c>
      <c r="O1446" s="343" t="s">
        <v>1062</v>
      </c>
      <c r="P1446" s="377">
        <f t="shared" si="809"/>
        <v>1.1649832068399999</v>
      </c>
      <c r="Q1446" s="343" t="s">
        <v>1062</v>
      </c>
      <c r="R1446" s="377">
        <f t="shared" si="810"/>
        <v>2.6343832068399999</v>
      </c>
      <c r="S1446" s="343" t="s">
        <v>1062</v>
      </c>
      <c r="T1446" s="294">
        <f t="shared" si="815"/>
        <v>0</v>
      </c>
      <c r="V1446" s="294">
        <f t="shared" si="816"/>
        <v>409863</v>
      </c>
      <c r="X1446" s="294">
        <f t="shared" si="817"/>
        <v>324951</v>
      </c>
      <c r="Y1446" s="346"/>
      <c r="Z1446" s="294">
        <f t="shared" si="818"/>
        <v>734814</v>
      </c>
      <c r="AA1446" s="291">
        <f>E1446/E1456</f>
        <v>0.44116937138400963</v>
      </c>
    </row>
    <row r="1447" spans="2:29">
      <c r="B1447" s="317" t="s">
        <v>1169</v>
      </c>
      <c r="D1447" s="293">
        <f>'[7]8'!J13</f>
        <v>57339.679305912599</v>
      </c>
      <c r="E1447" s="293">
        <f>ROUND(D1447/D1456*E1456,0)</f>
        <v>62750</v>
      </c>
      <c r="G1447" s="339">
        <v>15.56</v>
      </c>
      <c r="H1447" s="339"/>
      <c r="I1447" s="294">
        <f t="shared" si="806"/>
        <v>892205</v>
      </c>
      <c r="J1447" s="294">
        <f t="shared" si="806"/>
        <v>976390</v>
      </c>
      <c r="L1447" s="339"/>
      <c r="M1447" s="339"/>
      <c r="N1447" s="339"/>
      <c r="O1447" s="339"/>
      <c r="P1447" s="339"/>
      <c r="Q1447" s="339"/>
      <c r="R1447" s="339"/>
      <c r="S1447" s="339"/>
    </row>
    <row r="1448" spans="2:29">
      <c r="B1448" s="317" t="s">
        <v>1171</v>
      </c>
      <c r="D1448" s="293">
        <f>'[7]8'!K13</f>
        <v>76076.985701519196</v>
      </c>
      <c r="E1448" s="293">
        <f>ROUND(D1448/D1456*E1456,0)</f>
        <v>83255</v>
      </c>
      <c r="G1448" s="339">
        <v>11.19</v>
      </c>
      <c r="H1448" s="339"/>
      <c r="I1448" s="294">
        <f t="shared" si="806"/>
        <v>851301</v>
      </c>
      <c r="J1448" s="294">
        <f t="shared" si="806"/>
        <v>931623</v>
      </c>
      <c r="L1448" s="339"/>
      <c r="M1448" s="339"/>
      <c r="N1448" s="339"/>
      <c r="O1448" s="339"/>
      <c r="P1448" s="339"/>
      <c r="Q1448" s="339"/>
      <c r="R1448" s="339"/>
      <c r="S1448" s="339"/>
    </row>
    <row r="1449" spans="2:29">
      <c r="B1449" s="317" t="s">
        <v>1098</v>
      </c>
      <c r="D1449" s="293">
        <f>'[7]8'!L13</f>
        <v>78554.203539822993</v>
      </c>
      <c r="E1449" s="293">
        <f>ROUND(D1449/D1456*E1456,0)</f>
        <v>85966</v>
      </c>
      <c r="G1449" s="339">
        <v>-1.1299999999999999</v>
      </c>
      <c r="H1449" s="339"/>
      <c r="I1449" s="294">
        <f t="shared" si="806"/>
        <v>-88766</v>
      </c>
      <c r="J1449" s="294">
        <f t="shared" si="806"/>
        <v>-97142</v>
      </c>
      <c r="L1449" s="339">
        <f>L1387</f>
        <v>-1.1299999999999999</v>
      </c>
      <c r="M1449" s="339"/>
      <c r="N1449" s="339">
        <f>N1387</f>
        <v>0</v>
      </c>
      <c r="O1449" s="339"/>
      <c r="P1449" s="339">
        <f>P1387</f>
        <v>0</v>
      </c>
      <c r="Q1449" s="339"/>
      <c r="R1449" s="339">
        <f>R1387</f>
        <v>-1.1299999999999999</v>
      </c>
      <c r="S1449" s="339"/>
      <c r="T1449" s="294">
        <f t="shared" ref="T1449" si="819">ROUND($E1449*L1449,0)</f>
        <v>-97142</v>
      </c>
      <c r="V1449" s="294">
        <f t="shared" ref="V1449" si="820">ROUND($E1449*N1449,0)</f>
        <v>0</v>
      </c>
      <c r="X1449" s="294">
        <f t="shared" ref="X1449" si="821">ROUND($E1449*P1449,0)</f>
        <v>0</v>
      </c>
      <c r="Z1449" s="294">
        <f>ROUND($E1449*R1449,0)</f>
        <v>-97142</v>
      </c>
    </row>
    <row r="1450" spans="2:29">
      <c r="B1450" s="317" t="s">
        <v>1070</v>
      </c>
      <c r="D1450" s="293">
        <f>'[7]8'!N13+[7]TempRev!M344</f>
        <v>6702688.1527378578</v>
      </c>
      <c r="E1450" s="293">
        <f>E1456-SUM(E1451:E1453)</f>
        <v>7373997.1969696805</v>
      </c>
      <c r="G1450" s="377">
        <v>5.0473999999999997</v>
      </c>
      <c r="H1450" s="343" t="s">
        <v>1062</v>
      </c>
      <c r="I1450" s="294">
        <f t="shared" ref="I1450:J1452" si="822">ROUND($G1450*D1450/100,0)</f>
        <v>338311</v>
      </c>
      <c r="J1450" s="294">
        <f t="shared" si="822"/>
        <v>372195</v>
      </c>
      <c r="L1450" s="377"/>
      <c r="M1450" s="343"/>
      <c r="N1450" s="377"/>
      <c r="O1450" s="343"/>
      <c r="P1450" s="377"/>
      <c r="Q1450" s="343"/>
      <c r="R1450" s="377"/>
      <c r="S1450" s="343"/>
      <c r="T1450" s="346"/>
      <c r="U1450" s="346"/>
      <c r="V1450" s="346"/>
      <c r="W1450" s="346"/>
      <c r="X1450" s="346"/>
      <c r="Y1450" s="346"/>
    </row>
    <row r="1451" spans="2:29">
      <c r="B1451" s="317" t="s">
        <v>1126</v>
      </c>
      <c r="D1451" s="293">
        <f>'[7]8'!O13+[7]TempRev!M345</f>
        <v>16184912.352719054</v>
      </c>
      <c r="E1451" s="293">
        <f>ROUND(D1451/(D1456-D1453)*E1456,0)</f>
        <v>17805917</v>
      </c>
      <c r="G1451" s="377">
        <v>3.9510999999999998</v>
      </c>
      <c r="H1451" s="343" t="s">
        <v>1062</v>
      </c>
      <c r="I1451" s="294">
        <f t="shared" si="822"/>
        <v>639482</v>
      </c>
      <c r="J1451" s="294">
        <f t="shared" si="822"/>
        <v>703530</v>
      </c>
      <c r="L1451" s="377"/>
      <c r="M1451" s="343"/>
      <c r="N1451" s="377"/>
      <c r="O1451" s="343"/>
      <c r="P1451" s="377"/>
      <c r="Q1451" s="343"/>
      <c r="R1451" s="377"/>
      <c r="S1451" s="343"/>
      <c r="T1451" s="346"/>
      <c r="U1451" s="346"/>
      <c r="V1451" s="346"/>
      <c r="W1451" s="346"/>
      <c r="X1451" s="346"/>
      <c r="Y1451" s="346"/>
    </row>
    <row r="1452" spans="2:29">
      <c r="B1452" s="317" t="s">
        <v>1086</v>
      </c>
      <c r="D1452" s="293">
        <f>'[7]8'!P13+[7]TempRev!M346</f>
        <v>34582126.005776182</v>
      </c>
      <c r="E1452" s="293">
        <f>ROUND(D1452/(D1456-D1453)*E1456,0)</f>
        <v>38045708</v>
      </c>
      <c r="G1452" s="377">
        <v>3.4001999999999999</v>
      </c>
      <c r="H1452" s="343" t="s">
        <v>1062</v>
      </c>
      <c r="I1452" s="294">
        <f t="shared" si="822"/>
        <v>1175861</v>
      </c>
      <c r="J1452" s="294">
        <f t="shared" si="822"/>
        <v>1293630</v>
      </c>
      <c r="L1452" s="377"/>
      <c r="M1452" s="343"/>
      <c r="N1452" s="377"/>
      <c r="O1452" s="343"/>
      <c r="P1452" s="377"/>
      <c r="Q1452" s="343"/>
      <c r="R1452" s="377"/>
      <c r="S1452" s="343"/>
      <c r="T1452" s="346"/>
      <c r="U1452" s="346"/>
      <c r="V1452" s="346"/>
      <c r="W1452" s="346"/>
      <c r="X1452" s="346"/>
      <c r="Y1452" s="346"/>
    </row>
    <row r="1453" spans="2:29">
      <c r="B1453" s="317" t="s">
        <v>1078</v>
      </c>
      <c r="D1453" s="357">
        <f>'[7]Table 2'!J54</f>
        <v>304568</v>
      </c>
      <c r="E1453" s="357">
        <v>0</v>
      </c>
      <c r="I1453" s="358">
        <f>'[7]Table 3'!F54</f>
        <v>25662</v>
      </c>
      <c r="J1453" s="358">
        <v>0</v>
      </c>
      <c r="Z1453" s="358">
        <v>0</v>
      </c>
    </row>
    <row r="1454" spans="2:29">
      <c r="B1454" s="317" t="s">
        <v>1079</v>
      </c>
      <c r="G1454" s="338">
        <v>-3.1800000000000002E-2</v>
      </c>
      <c r="H1454" s="339"/>
      <c r="I1454" s="294">
        <f>SUM(I1447:I1448,I1450:I1452)*$G1454</f>
        <v>-123929.68800000001</v>
      </c>
      <c r="J1454" s="294">
        <f>SUM(J1447:J1448,J1450:J1452)*$G1454</f>
        <v>-136020.30240000002</v>
      </c>
      <c r="L1454" s="338"/>
      <c r="M1454" s="339"/>
      <c r="N1454" s="338"/>
      <c r="O1454" s="339"/>
      <c r="P1454" s="359" t="str">
        <f>$P$43</f>
        <v>Tax Year 1</v>
      </c>
      <c r="Q1454" s="339"/>
      <c r="R1454" s="338">
        <f>$R$1392</f>
        <v>-2.3300000000000001E-2</v>
      </c>
      <c r="S1454" s="339"/>
      <c r="Z1454" s="294">
        <f>R1454*SUM(Z1441:Z1446)</f>
        <v>-100687.66470000001</v>
      </c>
    </row>
    <row r="1455" spans="2:29">
      <c r="B1455" s="317"/>
      <c r="G1455" s="338"/>
      <c r="H1455" s="339"/>
      <c r="L1455" s="338"/>
      <c r="M1455" s="339"/>
      <c r="N1455" s="338"/>
      <c r="O1455" s="339"/>
      <c r="P1455" s="359" t="str">
        <f>$P$44</f>
        <v>Tax Year 2</v>
      </c>
      <c r="Q1455" s="339"/>
      <c r="R1455" s="338">
        <f>$R$1393</f>
        <v>-1.1599999999999999E-2</v>
      </c>
      <c r="S1455" s="339"/>
      <c r="Z1455" s="294">
        <f>R1455*SUM(Z1441:Z1446)</f>
        <v>-50127.7644</v>
      </c>
    </row>
    <row r="1456" spans="2:29" ht="16.5" thickBot="1">
      <c r="B1456" s="317" t="s">
        <v>937</v>
      </c>
      <c r="D1456" s="381">
        <f>SUM(D1450:D1453)</f>
        <v>57774294.511233091</v>
      </c>
      <c r="E1456" s="381">
        <f>[7]Energy!P48</f>
        <v>63225622.19696968</v>
      </c>
      <c r="G1456" s="368"/>
      <c r="I1456" s="369">
        <f>SUM(I1439:I1454)</f>
        <v>4372327.3119999999</v>
      </c>
      <c r="J1456" s="369">
        <f>SUM(J1439:J1454)</f>
        <v>4770260.6975999996</v>
      </c>
      <c r="L1456" s="368"/>
      <c r="N1456" s="368"/>
      <c r="P1456" s="368"/>
      <c r="R1456" s="368"/>
      <c r="T1456" s="369">
        <f>SUM(T1439:T1453)</f>
        <v>684905</v>
      </c>
      <c r="V1456" s="369">
        <f>SUM(V1439:V1453)</f>
        <v>3060475</v>
      </c>
      <c r="X1456" s="369">
        <f>SUM(X1439:X1453)</f>
        <v>1233908</v>
      </c>
      <c r="Z1456" s="369">
        <f>SUM(Z1439:Z1453)</f>
        <v>4979288</v>
      </c>
      <c r="AB1456" s="305" t="s">
        <v>939</v>
      </c>
      <c r="AC1456" s="304">
        <f>Z1456/J1456-1</f>
        <v>4.3818842543587921E-2</v>
      </c>
    </row>
    <row r="1457" spans="2:27" ht="16.5" thickTop="1">
      <c r="B1457" s="401"/>
      <c r="C1457" s="401"/>
      <c r="D1457" s="402"/>
      <c r="E1457" s="402"/>
      <c r="F1457" s="401"/>
      <c r="G1457" s="401"/>
      <c r="H1457" s="401"/>
      <c r="I1457" s="403"/>
      <c r="J1457" s="403"/>
      <c r="K1457" s="401"/>
      <c r="L1457" s="401"/>
      <c r="M1457" s="401"/>
      <c r="N1457" s="401"/>
      <c r="O1457" s="401"/>
      <c r="P1457" s="401"/>
      <c r="Q1457" s="401"/>
      <c r="R1457" s="401"/>
      <c r="S1457" s="401"/>
      <c r="T1457" s="403"/>
      <c r="U1457" s="403"/>
      <c r="V1457" s="403"/>
      <c r="W1457" s="403"/>
      <c r="X1457" s="403"/>
      <c r="Y1457" s="403"/>
      <c r="Z1457" s="403"/>
    </row>
    <row r="1458" spans="2:27">
      <c r="B1458" s="314" t="s">
        <v>992</v>
      </c>
    </row>
    <row r="1459" spans="2:27">
      <c r="B1459" s="317" t="s">
        <v>1089</v>
      </c>
      <c r="D1459" s="293">
        <f>'[7]8'!G16</f>
        <v>6</v>
      </c>
      <c r="E1459" s="293">
        <v>0</v>
      </c>
      <c r="G1459" s="339">
        <v>70</v>
      </c>
      <c r="H1459" s="339"/>
      <c r="I1459" s="294">
        <f t="shared" ref="I1459:J1469" si="823">ROUND($G1459*D1459,0)</f>
        <v>420</v>
      </c>
      <c r="J1459" s="294">
        <f t="shared" si="823"/>
        <v>0</v>
      </c>
      <c r="L1459" s="339">
        <f t="shared" ref="L1459:L1466" si="824">L1377</f>
        <v>73</v>
      </c>
      <c r="M1459" s="339"/>
      <c r="N1459" s="339">
        <f t="shared" ref="N1459:N1466" si="825">N1377</f>
        <v>0</v>
      </c>
      <c r="O1459" s="339"/>
      <c r="P1459" s="339">
        <f t="shared" ref="P1459:P1466" si="826">P1377</f>
        <v>0</v>
      </c>
      <c r="Q1459" s="339"/>
      <c r="R1459" s="339">
        <f t="shared" ref="R1459:R1466" si="827">R1377</f>
        <v>73</v>
      </c>
      <c r="S1459" s="339"/>
      <c r="T1459" s="294">
        <f>Z1459</f>
        <v>0</v>
      </c>
      <c r="Z1459" s="294">
        <f>ROUND($E1459*R1459,0)</f>
        <v>0</v>
      </c>
      <c r="AA1459" s="291" t="s">
        <v>1173</v>
      </c>
    </row>
    <row r="1460" spans="2:27">
      <c r="B1460" s="317" t="s">
        <v>1101</v>
      </c>
      <c r="D1460" s="293">
        <f>'[7]8'!H16</f>
        <v>4549.6659663865503</v>
      </c>
      <c r="E1460" s="293">
        <f>ROUND(D1460/D1476*E1476,0)</f>
        <v>0</v>
      </c>
      <c r="G1460" s="339">
        <v>4.76</v>
      </c>
      <c r="H1460" s="339"/>
      <c r="I1460" s="294">
        <f>ROUND($G1460*D1460,0)</f>
        <v>21656</v>
      </c>
      <c r="J1460" s="294">
        <f>ROUND($G1460*E1460,0)</f>
        <v>0</v>
      </c>
      <c r="L1460" s="339">
        <f t="shared" si="824"/>
        <v>4.95</v>
      </c>
      <c r="M1460" s="339"/>
      <c r="N1460" s="339">
        <f t="shared" si="825"/>
        <v>0</v>
      </c>
      <c r="O1460" s="339"/>
      <c r="P1460" s="339">
        <f t="shared" si="826"/>
        <v>0</v>
      </c>
      <c r="Q1460" s="339"/>
      <c r="R1460" s="339">
        <f t="shared" si="827"/>
        <v>4.95</v>
      </c>
      <c r="S1460" s="339"/>
      <c r="T1460" s="294">
        <f>Z1460</f>
        <v>0</v>
      </c>
      <c r="Z1460" s="294">
        <f t="shared" ref="Z1460:Z1462" si="828">ROUND($E1460*R1460,0)</f>
        <v>0</v>
      </c>
    </row>
    <row r="1461" spans="2:27">
      <c r="B1461" s="317" t="s">
        <v>1164</v>
      </c>
      <c r="D1461" s="293">
        <f>D1467*AA1461</f>
        <v>2253.9305633220001</v>
      </c>
      <c r="E1461" s="293">
        <f>ROUND(D1461/D1476*E1476,0)</f>
        <v>0</v>
      </c>
      <c r="G1461" s="339"/>
      <c r="H1461" s="339"/>
      <c r="L1461" s="339">
        <f t="shared" si="824"/>
        <v>0.2</v>
      </c>
      <c r="M1461" s="339"/>
      <c r="N1461" s="339">
        <f t="shared" si="825"/>
        <v>15.970000000000002</v>
      </c>
      <c r="O1461" s="339"/>
      <c r="P1461" s="339">
        <f t="shared" si="826"/>
        <v>0</v>
      </c>
      <c r="Q1461" s="339"/>
      <c r="R1461" s="339">
        <f t="shared" si="827"/>
        <v>16.170000000000002</v>
      </c>
      <c r="S1461" s="339"/>
      <c r="T1461" s="294">
        <f t="shared" ref="T1461:T1462" si="829">ROUND($E1461*L1461,0)</f>
        <v>0</v>
      </c>
      <c r="V1461" s="294">
        <f t="shared" ref="V1461:V1462" si="830">ROUND($E1461*N1461,0)</f>
        <v>0</v>
      </c>
      <c r="X1461" s="294">
        <f t="shared" ref="X1461:X1462" si="831">ROUND($E1461*P1461,0)</f>
        <v>0</v>
      </c>
      <c r="Z1461" s="294">
        <f t="shared" si="828"/>
        <v>0</v>
      </c>
      <c r="AA1461" s="291">
        <f>AA1401</f>
        <v>0.81379813427318903</v>
      </c>
    </row>
    <row r="1462" spans="2:27">
      <c r="B1462" s="317" t="s">
        <v>1165</v>
      </c>
      <c r="D1462" s="293">
        <f>D1468*AA1462</f>
        <v>1862.1123188688464</v>
      </c>
      <c r="E1462" s="293">
        <f>ROUND(D1462/D1476*E1476,0)</f>
        <v>0</v>
      </c>
      <c r="G1462" s="339"/>
      <c r="H1462" s="339"/>
      <c r="L1462" s="339">
        <f t="shared" si="824"/>
        <v>0.18</v>
      </c>
      <c r="M1462" s="339"/>
      <c r="N1462" s="339">
        <f t="shared" si="825"/>
        <v>14.13</v>
      </c>
      <c r="O1462" s="339"/>
      <c r="P1462" s="339">
        <f t="shared" si="826"/>
        <v>0</v>
      </c>
      <c r="Q1462" s="339"/>
      <c r="R1462" s="339">
        <f t="shared" si="827"/>
        <v>14.31</v>
      </c>
      <c r="S1462" s="339"/>
      <c r="T1462" s="294">
        <f t="shared" si="829"/>
        <v>0</v>
      </c>
      <c r="V1462" s="294">
        <f t="shared" si="830"/>
        <v>0</v>
      </c>
      <c r="X1462" s="294">
        <f t="shared" si="831"/>
        <v>0</v>
      </c>
      <c r="Z1462" s="294">
        <f t="shared" si="828"/>
        <v>0</v>
      </c>
      <c r="AA1462" s="291">
        <f>AA1402</f>
        <v>1.1185941099117263</v>
      </c>
    </row>
    <row r="1463" spans="2:27">
      <c r="B1463" s="317" t="s">
        <v>1061</v>
      </c>
      <c r="D1463" s="293">
        <f>D1470*AA1463</f>
        <v>283499.70440717909</v>
      </c>
      <c r="E1463" s="293">
        <f>E1476-SUM(E1464:E1466,E1473)</f>
        <v>0</v>
      </c>
      <c r="G1463" s="377"/>
      <c r="H1463" s="343"/>
      <c r="L1463" s="377">
        <f t="shared" si="824"/>
        <v>0</v>
      </c>
      <c r="M1463" s="343" t="s">
        <v>1062</v>
      </c>
      <c r="N1463" s="377">
        <f t="shared" si="825"/>
        <v>1.4694</v>
      </c>
      <c r="O1463" s="343" t="s">
        <v>1062</v>
      </c>
      <c r="P1463" s="377">
        <f t="shared" si="826"/>
        <v>3.80394495015</v>
      </c>
      <c r="Q1463" s="343" t="s">
        <v>1062</v>
      </c>
      <c r="R1463" s="377">
        <f t="shared" si="827"/>
        <v>5.2733449501500003</v>
      </c>
      <c r="S1463" s="343" t="s">
        <v>1062</v>
      </c>
      <c r="T1463" s="294">
        <f>ROUND($E1463*L1463/100,0)</f>
        <v>0</v>
      </c>
      <c r="V1463" s="294">
        <f>ROUND($E1463*N1463/100,0)</f>
        <v>0</v>
      </c>
      <c r="X1463" s="294">
        <f>ROUND($E1463*P1463/100,0)</f>
        <v>0</v>
      </c>
      <c r="Y1463" s="346"/>
      <c r="Z1463" s="294">
        <f>ROUND($E1463*R1463/100,0)</f>
        <v>0</v>
      </c>
      <c r="AA1463" s="291">
        <f>AA1403</f>
        <v>0.97865323398143234</v>
      </c>
    </row>
    <row r="1464" spans="2:27">
      <c r="B1464" s="317" t="s">
        <v>1166</v>
      </c>
      <c r="D1464" s="293">
        <f>D1471*AA1464</f>
        <v>268781.37761937996</v>
      </c>
      <c r="E1464" s="293">
        <f>ROUND(D1464/(D1476-D1473)*E1476,0)</f>
        <v>0</v>
      </c>
      <c r="G1464" s="377"/>
      <c r="H1464" s="343"/>
      <c r="L1464" s="377">
        <f t="shared" si="824"/>
        <v>0</v>
      </c>
      <c r="M1464" s="343" t="s">
        <v>1062</v>
      </c>
      <c r="N1464" s="377">
        <f t="shared" si="825"/>
        <v>1.4694</v>
      </c>
      <c r="O1464" s="343" t="s">
        <v>1062</v>
      </c>
      <c r="P1464" s="377">
        <f t="shared" si="826"/>
        <v>3.1972769470349993</v>
      </c>
      <c r="Q1464" s="343" t="s">
        <v>1062</v>
      </c>
      <c r="R1464" s="377">
        <f t="shared" si="827"/>
        <v>4.6666769470349996</v>
      </c>
      <c r="S1464" s="343" t="s">
        <v>1062</v>
      </c>
      <c r="T1464" s="294">
        <f t="shared" ref="T1464:T1466" si="832">ROUND($E1464*L1464/100,0)</f>
        <v>0</v>
      </c>
      <c r="V1464" s="294">
        <f t="shared" ref="V1464:V1466" si="833">ROUND($E1464*N1464/100,0)</f>
        <v>0</v>
      </c>
      <c r="X1464" s="294">
        <f t="shared" ref="X1464:X1466" si="834">ROUND($E1464*P1464/100,0)</f>
        <v>0</v>
      </c>
      <c r="Y1464" s="346"/>
      <c r="Z1464" s="294">
        <f t="shared" ref="Z1464:Z1466" si="835">ROUND($E1464*R1464/100,0)</f>
        <v>0</v>
      </c>
      <c r="AA1464" s="291">
        <f>AA1404</f>
        <v>0.69995827735124105</v>
      </c>
    </row>
    <row r="1465" spans="2:27">
      <c r="B1465" s="317" t="s">
        <v>1064</v>
      </c>
      <c r="D1465" s="293">
        <f>SUM(D1470:D1472)*AA1465</f>
        <v>398131.31804141257</v>
      </c>
      <c r="E1465" s="293">
        <f>ROUND(D1465/(D1476-D1473)*E1476,0)</f>
        <v>0</v>
      </c>
      <c r="G1465" s="377"/>
      <c r="H1465" s="343"/>
      <c r="L1465" s="377">
        <f t="shared" si="824"/>
        <v>0</v>
      </c>
      <c r="M1465" s="343" t="s">
        <v>1062</v>
      </c>
      <c r="N1465" s="377">
        <f t="shared" si="825"/>
        <v>1.4694</v>
      </c>
      <c r="O1465" s="343" t="s">
        <v>1062</v>
      </c>
      <c r="P1465" s="377">
        <f t="shared" si="826"/>
        <v>1.5074530237289998</v>
      </c>
      <c r="Q1465" s="343" t="s">
        <v>1062</v>
      </c>
      <c r="R1465" s="377">
        <f t="shared" si="827"/>
        <v>2.9768530237289998</v>
      </c>
      <c r="S1465" s="343" t="s">
        <v>1062</v>
      </c>
      <c r="T1465" s="294">
        <f t="shared" si="832"/>
        <v>0</v>
      </c>
      <c r="V1465" s="294">
        <f t="shared" si="833"/>
        <v>0</v>
      </c>
      <c r="X1465" s="294">
        <f t="shared" si="834"/>
        <v>0</v>
      </c>
      <c r="Y1465" s="346"/>
      <c r="Z1465" s="294">
        <f t="shared" si="835"/>
        <v>0</v>
      </c>
      <c r="AA1465" s="291">
        <f>AA1405</f>
        <v>0.24756464999612296</v>
      </c>
    </row>
    <row r="1466" spans="2:27">
      <c r="B1466" s="317" t="s">
        <v>1167</v>
      </c>
      <c r="D1466" s="293">
        <f>SUM(D1470:D1472)-SUM(D1463:D1465)</f>
        <v>657778.9069205164</v>
      </c>
      <c r="E1466" s="293">
        <f>ROUND(D1466/(D1476-D1473)*E1476,0)</f>
        <v>0</v>
      </c>
      <c r="G1466" s="377"/>
      <c r="H1466" s="343"/>
      <c r="L1466" s="377">
        <f t="shared" si="824"/>
        <v>0</v>
      </c>
      <c r="M1466" s="343" t="s">
        <v>1062</v>
      </c>
      <c r="N1466" s="377">
        <f t="shared" si="825"/>
        <v>1.4694</v>
      </c>
      <c r="O1466" s="343" t="s">
        <v>1062</v>
      </c>
      <c r="P1466" s="377">
        <f t="shared" si="826"/>
        <v>1.1649832068399999</v>
      </c>
      <c r="Q1466" s="343" t="s">
        <v>1062</v>
      </c>
      <c r="R1466" s="377">
        <f t="shared" si="827"/>
        <v>2.6343832068399999</v>
      </c>
      <c r="S1466" s="343" t="s">
        <v>1062</v>
      </c>
      <c r="T1466" s="294">
        <f t="shared" si="832"/>
        <v>0</v>
      </c>
      <c r="V1466" s="294">
        <f t="shared" si="833"/>
        <v>0</v>
      </c>
      <c r="X1466" s="294">
        <f t="shared" si="834"/>
        <v>0</v>
      </c>
      <c r="Y1466" s="346"/>
      <c r="Z1466" s="294">
        <f t="shared" si="835"/>
        <v>0</v>
      </c>
      <c r="AA1466" s="291" t="e">
        <f>E1466/E1476</f>
        <v>#DIV/0!</v>
      </c>
    </row>
    <row r="1467" spans="2:27">
      <c r="B1467" s="317" t="s">
        <v>1169</v>
      </c>
      <c r="D1467" s="293">
        <f>'[7]8'!J16</f>
        <v>2769.6433161953701</v>
      </c>
      <c r="E1467" s="293">
        <f>ROUND(D1467/D1476*E1476,0)</f>
        <v>0</v>
      </c>
      <c r="G1467" s="339">
        <v>15.56</v>
      </c>
      <c r="H1467" s="339"/>
      <c r="I1467" s="294">
        <f t="shared" si="823"/>
        <v>43096</v>
      </c>
      <c r="J1467" s="294">
        <f t="shared" si="823"/>
        <v>0</v>
      </c>
      <c r="L1467" s="339"/>
      <c r="M1467" s="339"/>
      <c r="N1467" s="339"/>
      <c r="O1467" s="339"/>
      <c r="P1467" s="339"/>
      <c r="Q1467" s="339"/>
      <c r="R1467" s="339"/>
      <c r="S1467" s="339"/>
    </row>
    <row r="1468" spans="2:27">
      <c r="B1468" s="317" t="s">
        <v>1171</v>
      </c>
      <c r="D1468" s="293">
        <f>'[7]8'!K16</f>
        <v>1664.6899016979401</v>
      </c>
      <c r="E1468" s="293">
        <f>ROUND(D1468/D1476*E1476,0)</f>
        <v>0</v>
      </c>
      <c r="G1468" s="339">
        <v>11.19</v>
      </c>
      <c r="H1468" s="339"/>
      <c r="I1468" s="294">
        <f t="shared" si="823"/>
        <v>18628</v>
      </c>
      <c r="J1468" s="294">
        <f t="shared" si="823"/>
        <v>0</v>
      </c>
      <c r="L1468" s="339"/>
      <c r="M1468" s="339"/>
      <c r="N1468" s="339"/>
      <c r="O1468" s="339"/>
      <c r="P1468" s="339"/>
      <c r="Q1468" s="339"/>
      <c r="R1468" s="339"/>
      <c r="S1468" s="339"/>
    </row>
    <row r="1469" spans="2:27">
      <c r="B1469" s="317" t="s">
        <v>1098</v>
      </c>
      <c r="D1469" s="293">
        <f>'[7]8'!L16</f>
        <v>4434.3274336283203</v>
      </c>
      <c r="E1469" s="293">
        <f>ROUND(D1469/D1476*E1476,0)</f>
        <v>0</v>
      </c>
      <c r="G1469" s="339">
        <v>-1.1299999999999999</v>
      </c>
      <c r="H1469" s="339"/>
      <c r="I1469" s="294">
        <f t="shared" si="823"/>
        <v>-5011</v>
      </c>
      <c r="J1469" s="294">
        <f t="shared" si="823"/>
        <v>0</v>
      </c>
      <c r="L1469" s="339">
        <f>L1387</f>
        <v>-1.1299999999999999</v>
      </c>
      <c r="M1469" s="339"/>
      <c r="N1469" s="339">
        <f>N1387</f>
        <v>0</v>
      </c>
      <c r="O1469" s="339"/>
      <c r="P1469" s="339">
        <f>P1387</f>
        <v>0</v>
      </c>
      <c r="Q1469" s="339"/>
      <c r="R1469" s="339">
        <f>R1387</f>
        <v>-1.1299999999999999</v>
      </c>
      <c r="S1469" s="339"/>
      <c r="T1469" s="294">
        <f t="shared" ref="T1469" si="836">ROUND($E1469*L1469,0)</f>
        <v>0</v>
      </c>
      <c r="V1469" s="294">
        <f t="shared" ref="V1469" si="837">ROUND($E1469*N1469,0)</f>
        <v>0</v>
      </c>
      <c r="X1469" s="294">
        <f t="shared" ref="X1469" si="838">ROUND($E1469*P1469,0)</f>
        <v>0</v>
      </c>
      <c r="Z1469" s="294">
        <f>ROUND($E1469*R1469,0)</f>
        <v>0</v>
      </c>
    </row>
    <row r="1470" spans="2:27">
      <c r="B1470" s="317" t="s">
        <v>1070</v>
      </c>
      <c r="D1470" s="293">
        <f>'[7]8'!N16+[7]TempRev!W344</f>
        <v>289683.51052581088</v>
      </c>
      <c r="E1470" s="293">
        <f>E1476-SUM(E1471:E1473)</f>
        <v>0</v>
      </c>
      <c r="G1470" s="377">
        <v>5.0473999999999997</v>
      </c>
      <c r="H1470" s="343" t="s">
        <v>1062</v>
      </c>
      <c r="I1470" s="294">
        <f t="shared" ref="I1470:J1472" si="839">ROUND($G1470*D1470/100,0)</f>
        <v>14621</v>
      </c>
      <c r="J1470" s="294">
        <f t="shared" si="839"/>
        <v>0</v>
      </c>
      <c r="L1470" s="377"/>
      <c r="M1470" s="343"/>
      <c r="N1470" s="377"/>
      <c r="O1470" s="343"/>
      <c r="P1470" s="377"/>
      <c r="Q1470" s="343"/>
      <c r="R1470" s="377"/>
      <c r="S1470" s="343"/>
      <c r="T1470" s="346"/>
      <c r="U1470" s="346"/>
      <c r="V1470" s="346"/>
      <c r="W1470" s="346"/>
      <c r="X1470" s="346"/>
      <c r="Y1470" s="346"/>
    </row>
    <row r="1471" spans="2:27">
      <c r="B1471" s="317" t="s">
        <v>1126</v>
      </c>
      <c r="D1471" s="293">
        <f>'[7]8'!O16+[7]TempRev!W345</f>
        <v>383996.2842306738</v>
      </c>
      <c r="E1471" s="293">
        <f>ROUND(D1471/(D1476-D1473)*E1476,0)</f>
        <v>0</v>
      </c>
      <c r="G1471" s="377">
        <v>3.9510999999999998</v>
      </c>
      <c r="H1471" s="343" t="s">
        <v>1062</v>
      </c>
      <c r="I1471" s="294">
        <f t="shared" si="839"/>
        <v>15172</v>
      </c>
      <c r="J1471" s="294">
        <f t="shared" si="839"/>
        <v>0</v>
      </c>
      <c r="L1471" s="377"/>
      <c r="M1471" s="343"/>
      <c r="N1471" s="377"/>
      <c r="O1471" s="343"/>
      <c r="P1471" s="377"/>
      <c r="Q1471" s="343"/>
      <c r="R1471" s="377"/>
      <c r="S1471" s="343"/>
      <c r="T1471" s="346"/>
      <c r="U1471" s="346"/>
      <c r="V1471" s="346"/>
      <c r="W1471" s="346"/>
      <c r="X1471" s="346"/>
      <c r="Y1471" s="346"/>
    </row>
    <row r="1472" spans="2:27">
      <c r="B1472" s="317" t="s">
        <v>1086</v>
      </c>
      <c r="D1472" s="293">
        <f>'[7]8'!P16+[7]TempRev!W346</f>
        <v>934511.51223200338</v>
      </c>
      <c r="E1472" s="293">
        <f>ROUND(D1472/(D1476-D1473)*E1476,0)</f>
        <v>0</v>
      </c>
      <c r="G1472" s="377">
        <v>3.4001999999999999</v>
      </c>
      <c r="H1472" s="343" t="s">
        <v>1062</v>
      </c>
      <c r="I1472" s="294">
        <f t="shared" si="839"/>
        <v>31775</v>
      </c>
      <c r="J1472" s="294">
        <f t="shared" si="839"/>
        <v>0</v>
      </c>
      <c r="L1472" s="377"/>
      <c r="M1472" s="343"/>
      <c r="N1472" s="377"/>
      <c r="O1472" s="343"/>
      <c r="P1472" s="377"/>
      <c r="Q1472" s="343"/>
      <c r="R1472" s="377"/>
      <c r="S1472" s="343"/>
      <c r="T1472" s="346"/>
      <c r="U1472" s="346"/>
      <c r="V1472" s="346"/>
      <c r="W1472" s="346"/>
      <c r="X1472" s="346"/>
      <c r="Y1472" s="346"/>
    </row>
    <row r="1473" spans="1:30">
      <c r="B1473" s="317" t="s">
        <v>1078</v>
      </c>
      <c r="D1473" s="357">
        <f>'[7]Table 2'!J55</f>
        <v>8531</v>
      </c>
      <c r="E1473" s="357">
        <v>0</v>
      </c>
      <c r="I1473" s="358">
        <f>'[7]Table 3'!F55</f>
        <v>806</v>
      </c>
      <c r="J1473" s="358">
        <v>0</v>
      </c>
      <c r="Z1473" s="358"/>
    </row>
    <row r="1474" spans="1:30">
      <c r="B1474" s="317" t="s">
        <v>1079</v>
      </c>
      <c r="G1474" s="338">
        <v>-3.1800000000000002E-2</v>
      </c>
      <c r="H1474" s="339"/>
      <c r="I1474" s="294">
        <f>SUM(I1467:I1468,I1470:I1472)*$G1474</f>
        <v>-3920.6856000000002</v>
      </c>
      <c r="J1474" s="294">
        <f>SUM(J1467:J1468,J1470:J1472)*$G1474</f>
        <v>0</v>
      </c>
      <c r="L1474" s="338"/>
      <c r="M1474" s="339"/>
      <c r="N1474" s="338"/>
      <c r="O1474" s="339"/>
      <c r="P1474" s="359" t="str">
        <f>$P$43</f>
        <v>Tax Year 1</v>
      </c>
      <c r="Q1474" s="339"/>
      <c r="R1474" s="338">
        <f>$R$1392</f>
        <v>-2.3300000000000001E-2</v>
      </c>
      <c r="S1474" s="339"/>
      <c r="Z1474" s="294">
        <f>R1474*SUM(Z1461:Z1466)</f>
        <v>0</v>
      </c>
    </row>
    <row r="1475" spans="1:30">
      <c r="B1475" s="317"/>
      <c r="G1475" s="338"/>
      <c r="H1475" s="339"/>
      <c r="L1475" s="338"/>
      <c r="M1475" s="339"/>
      <c r="N1475" s="338"/>
      <c r="O1475" s="339"/>
      <c r="P1475" s="359" t="str">
        <f>$P$44</f>
        <v>Tax Year 2</v>
      </c>
      <c r="Q1475" s="339"/>
      <c r="R1475" s="338">
        <f>$R$1393</f>
        <v>-1.1599999999999999E-2</v>
      </c>
      <c r="S1475" s="339"/>
      <c r="Z1475" s="294">
        <f>R1475*SUM(Z1461:Z1466)</f>
        <v>0</v>
      </c>
    </row>
    <row r="1476" spans="1:30" ht="16.5" thickBot="1">
      <c r="B1476" s="317" t="s">
        <v>937</v>
      </c>
      <c r="D1476" s="381">
        <f>SUM(D1470:D1473)</f>
        <v>1616722.306988488</v>
      </c>
      <c r="E1476" s="381">
        <v>0</v>
      </c>
      <c r="G1476" s="368"/>
      <c r="I1476" s="369">
        <f>SUM(I1459:I1474)</f>
        <v>137242.3144</v>
      </c>
      <c r="J1476" s="369">
        <f>SUM(J1459:J1474)</f>
        <v>0</v>
      </c>
      <c r="L1476" s="368"/>
      <c r="N1476" s="368"/>
      <c r="P1476" s="368"/>
      <c r="R1476" s="368"/>
      <c r="T1476" s="369">
        <f>SUM(T1459:T1473)</f>
        <v>0</v>
      </c>
      <c r="V1476" s="369">
        <f>SUM(V1459:V1473)</f>
        <v>0</v>
      </c>
      <c r="X1476" s="369">
        <f>SUM(X1459:X1473)</f>
        <v>0</v>
      </c>
      <c r="Z1476" s="369">
        <f>SUM(Z1459:Z1473)</f>
        <v>0</v>
      </c>
      <c r="AB1476" s="305" t="s">
        <v>939</v>
      </c>
      <c r="AC1476" s="304"/>
    </row>
    <row r="1478" spans="1:30">
      <c r="A1478" s="292">
        <v>1</v>
      </c>
      <c r="B1478" s="314" t="s">
        <v>993</v>
      </c>
      <c r="AB1478" s="305" t="s">
        <v>994</v>
      </c>
      <c r="AC1478" s="305"/>
    </row>
    <row r="1479" spans="1:30">
      <c r="B1479" s="317" t="s">
        <v>1089</v>
      </c>
      <c r="D1479" s="293">
        <f t="shared" ref="D1479:E1492" si="840">D1500+D1519</f>
        <v>1822.5331274131279</v>
      </c>
      <c r="E1479" s="293">
        <f t="shared" si="840"/>
        <v>1872</v>
      </c>
      <c r="G1479" s="318">
        <v>259</v>
      </c>
      <c r="H1479" s="318"/>
      <c r="I1479" s="294">
        <f t="shared" ref="I1479:J1488" si="841">ROUND($G1479*D1479,0)</f>
        <v>472036</v>
      </c>
      <c r="J1479" s="294">
        <f t="shared" si="841"/>
        <v>484848</v>
      </c>
      <c r="L1479" s="318">
        <f>ROUND(T1479/$E1479,2)</f>
        <v>268.31</v>
      </c>
      <c r="M1479" s="318"/>
      <c r="N1479" s="318">
        <f>R1479-L1479</f>
        <v>3.6899999999999977</v>
      </c>
      <c r="O1479" s="318"/>
      <c r="P1479" s="318"/>
      <c r="Q1479" s="318"/>
      <c r="R1479" s="318">
        <f>ROUND(G1479*(1+$AC$1483),0)</f>
        <v>272</v>
      </c>
      <c r="S1479" s="318"/>
      <c r="T1479" s="319">
        <f>MIN(T1495,Z1479)</f>
        <v>502283.9538811954</v>
      </c>
      <c r="U1479" s="319"/>
      <c r="V1479" s="319">
        <f>MIN(V1495,Z1479-T1479)</f>
        <v>6900.0461188046029</v>
      </c>
      <c r="W1479" s="319"/>
      <c r="X1479" s="319">
        <f>Z1479-T1479-V1479</f>
        <v>0</v>
      </c>
      <c r="Y1479" s="319"/>
      <c r="Z1479" s="294">
        <f>ROUND($E1479*R1479,0)</f>
        <v>509184</v>
      </c>
      <c r="AB1479" s="320" t="s">
        <v>1042</v>
      </c>
      <c r="AC1479" s="321">
        <f>Z1495+Z1557+Z1917+Z2331+Z2606</f>
        <v>309010981</v>
      </c>
    </row>
    <row r="1480" spans="1:30">
      <c r="B1480" s="317" t="s">
        <v>1101</v>
      </c>
      <c r="D1480" s="293">
        <f t="shared" si="840"/>
        <v>8204516.3288288303</v>
      </c>
      <c r="E1480" s="293">
        <f t="shared" si="840"/>
        <v>8792631</v>
      </c>
      <c r="G1480" s="318">
        <v>2.2200000000000002</v>
      </c>
      <c r="H1480" s="318"/>
      <c r="I1480" s="294">
        <f>ROUND($G1480*D1480,0)</f>
        <v>18214026</v>
      </c>
      <c r="J1480" s="294">
        <f>ROUND($G1480*E1480,0)</f>
        <v>19519641</v>
      </c>
      <c r="L1480" s="318">
        <f>ROUND(T1480/$E1480,2)</f>
        <v>0</v>
      </c>
      <c r="M1480" s="318"/>
      <c r="N1480" s="318">
        <f>ROUND(V1480/$E1480,2)</f>
        <v>2.33</v>
      </c>
      <c r="O1480" s="318"/>
      <c r="P1480" s="318"/>
      <c r="Q1480" s="318"/>
      <c r="R1480" s="318">
        <f>ROUND(G1480*(1+$AC$1483),2)</f>
        <v>2.33</v>
      </c>
      <c r="S1480" s="318"/>
      <c r="T1480" s="319"/>
      <c r="U1480" s="319"/>
      <c r="V1480" s="319">
        <f>MIN(V1495-V1479,Z1480)</f>
        <v>20486830</v>
      </c>
      <c r="W1480" s="319"/>
      <c r="X1480" s="319">
        <f>Z1480-T1480-V1480</f>
        <v>0</v>
      </c>
      <c r="Y1480" s="319"/>
      <c r="Z1480" s="294">
        <f t="shared" ref="Z1480:Z1482" si="842">ROUND($E1480*R1480,0)</f>
        <v>20486830</v>
      </c>
      <c r="AB1480" s="322" t="s">
        <v>1044</v>
      </c>
      <c r="AC1480" s="323">
        <f>([7]RateSpread!M37+[7]RateSpread!M42*Blocking!J1933/(Blocking!J1925+Blocking!J1933)+[7]RateSpread!M47+[7]RateSpread!M48)*1000</f>
        <v>309010980.73640668</v>
      </c>
    </row>
    <row r="1481" spans="1:30">
      <c r="B1481" s="317" t="s">
        <v>1164</v>
      </c>
      <c r="D1481" s="293">
        <f t="shared" si="840"/>
        <v>2684999.2747860854</v>
      </c>
      <c r="E1481" s="293">
        <f t="shared" si="840"/>
        <v>2871416</v>
      </c>
      <c r="G1481" s="339"/>
      <c r="H1481" s="339"/>
      <c r="L1481" s="339">
        <f>ROUND(T1481/$E1481,2)</f>
        <v>0</v>
      </c>
      <c r="M1481" s="339"/>
      <c r="N1481" s="339">
        <f>ROUND(V1481/$E1481,2)</f>
        <v>14.65</v>
      </c>
      <c r="O1481" s="339"/>
      <c r="P1481" s="339"/>
      <c r="Q1481" s="339"/>
      <c r="R1481" s="339">
        <f>ROUND(G1487*(1+$AC$1483),2)</f>
        <v>14.65</v>
      </c>
      <c r="S1481" s="339"/>
      <c r="V1481" s="294">
        <f>MIN($V$1495-$V$1479-$V$1480,SUM($Z$1481:$Z$1482,-$T$1481,-$T$1482))*$Z1481/SUM($Z$1481:$Z$1482)</f>
        <v>42066244</v>
      </c>
      <c r="X1481" s="294">
        <f>Z1481-T1481-V1481</f>
        <v>0</v>
      </c>
      <c r="Z1481" s="294">
        <f t="shared" si="842"/>
        <v>42066244</v>
      </c>
      <c r="AB1481" s="404" t="s">
        <v>789</v>
      </c>
      <c r="AC1481" s="323">
        <f>AC1480-AC1479</f>
        <v>-0.26359331607818604</v>
      </c>
    </row>
    <row r="1482" spans="1:30">
      <c r="B1482" s="317" t="s">
        <v>1165</v>
      </c>
      <c r="D1482" s="293">
        <f t="shared" si="840"/>
        <v>5236719.2952050623</v>
      </c>
      <c r="E1482" s="293">
        <f t="shared" si="840"/>
        <v>5606843</v>
      </c>
      <c r="G1482" s="339"/>
      <c r="H1482" s="339"/>
      <c r="L1482" s="339">
        <f>ROUND(T1482/$E1482,2)</f>
        <v>0</v>
      </c>
      <c r="M1482" s="339"/>
      <c r="N1482" s="339">
        <f>ROUND(V1482/$E1482,2)</f>
        <v>12.96</v>
      </c>
      <c r="O1482" s="339"/>
      <c r="P1482" s="339"/>
      <c r="Q1482" s="339"/>
      <c r="R1482" s="339">
        <f>ROUND(R1481/$AC$1489,2)</f>
        <v>12.96</v>
      </c>
      <c r="S1482" s="339"/>
      <c r="V1482" s="294">
        <f>MIN($V$1495-$V$1479-$V$1480,SUM($Z$1481:$Z$1482,-$T$1481,-$T$1482))*$Z1482/SUM($Z$1481:$Z$1482)</f>
        <v>72664685</v>
      </c>
      <c r="X1482" s="294">
        <f>Z1482-T1482-V1482</f>
        <v>0</v>
      </c>
      <c r="Z1482" s="294">
        <f t="shared" si="842"/>
        <v>72664685</v>
      </c>
      <c r="AB1482" s="322" t="s">
        <v>939</v>
      </c>
      <c r="AC1482" s="384">
        <f>AC1479/(J1495+J1557+J1933+J2331+J2606)-1</f>
        <v>4.9369622072767294E-2</v>
      </c>
    </row>
    <row r="1483" spans="1:30">
      <c r="B1483" s="317" t="s">
        <v>1061</v>
      </c>
      <c r="D1483" s="293">
        <f t="shared" si="840"/>
        <v>364265438.09799004</v>
      </c>
      <c r="E1483" s="293">
        <f t="shared" si="840"/>
        <v>384819229</v>
      </c>
      <c r="G1483" s="377"/>
      <c r="H1483" s="343"/>
      <c r="L1483" s="347"/>
      <c r="M1483" s="343"/>
      <c r="N1483" s="347">
        <f>ROUND((V1495-V1479-V1480-V1481-V1482)/SUM(E1483:E1486)*100,4)</f>
        <v>1.1506000000000001</v>
      </c>
      <c r="O1483" s="343" t="s">
        <v>1062</v>
      </c>
      <c r="P1483" s="342">
        <f>R1483-N1483</f>
        <v>3.8523835124000003</v>
      </c>
      <c r="Q1483" s="343" t="s">
        <v>1062</v>
      </c>
      <c r="R1483" s="377">
        <f>ROUND((AC1480-SUM(Z1479:Z1482,Z1538:Z1541,Z1901:Z1904,Z2296:Z2308,Z2315:Z2317,Z2587:Z2592))/(E1483+E1542+E1905+E2318+E2593+$AC$1488*(E1485+E1544+E1907+E2320+E2595)+1/$AC$1489*(E1484+E1543+E1906+E2319+E2594+$AC$1488*(E1486+E1545+E1908+E2321+E2596)))*100,10)</f>
        <v>5.0029835124000002</v>
      </c>
      <c r="S1483" s="343" t="s">
        <v>1062</v>
      </c>
      <c r="T1483" s="346"/>
      <c r="U1483" s="346"/>
      <c r="V1483" s="294">
        <f>MIN($V$1495-SUM($V$1479:$V$1482),SUM($Z$1483:$Z$1486))*$Z1483/SUM($Z$1483:$Z$1486)</f>
        <v>7491943.1284912489</v>
      </c>
      <c r="W1483" s="346"/>
      <c r="X1483" s="294">
        <f>Z1483-T1483-V1483</f>
        <v>11760499.871508751</v>
      </c>
      <c r="Y1483" s="346"/>
      <c r="Z1483" s="294">
        <f>ROUND($E1483*R1483/100,0)</f>
        <v>19252443</v>
      </c>
      <c r="AB1483" s="322" t="s">
        <v>1048</v>
      </c>
      <c r="AC1483" s="384">
        <f>AC1480/(J1495+J1557+J1933+J2331+J2606)-1</f>
        <v>4.9369621177631329E-2</v>
      </c>
      <c r="AD1483" s="384"/>
    </row>
    <row r="1484" spans="1:30">
      <c r="B1484" s="317" t="s">
        <v>1166</v>
      </c>
      <c r="D1484" s="293">
        <f t="shared" si="840"/>
        <v>704500620.30611467</v>
      </c>
      <c r="E1484" s="293">
        <f t="shared" si="840"/>
        <v>744878515</v>
      </c>
      <c r="G1484" s="377"/>
      <c r="H1484" s="343"/>
      <c r="L1484" s="347"/>
      <c r="M1484" s="343"/>
      <c r="N1484" s="347">
        <f>$N$1483</f>
        <v>1.1506000000000001</v>
      </c>
      <c r="O1484" s="343" t="s">
        <v>1062</v>
      </c>
      <c r="P1484" s="342">
        <f t="shared" ref="P1484:P1486" si="843">R1484-N1484</f>
        <v>3.2768190375220003</v>
      </c>
      <c r="Q1484" s="343" t="s">
        <v>1062</v>
      </c>
      <c r="R1484" s="377">
        <f>ROUND(R1483/$AC$1489,$AC$8)</f>
        <v>4.4274190375220002</v>
      </c>
      <c r="S1484" s="343" t="s">
        <v>1062</v>
      </c>
      <c r="T1484" s="346"/>
      <c r="U1484" s="346"/>
      <c r="V1484" s="294">
        <f t="shared" ref="V1484:V1485" si="844">MIN($V$1495-SUM($V$1479:$V$1482),SUM($Z$1483:$Z$1486))*$Z1484/SUM($Z$1483:$Z$1486)</f>
        <v>12833487.718758505</v>
      </c>
      <c r="W1484" s="346"/>
      <c r="X1484" s="294">
        <f t="shared" ref="X1484:X1486" si="845">Z1484-T1484-V1484</f>
        <v>20145405.281241495</v>
      </c>
      <c r="Y1484" s="346"/>
      <c r="Z1484" s="294">
        <f t="shared" ref="Z1484:Z1486" si="846">ROUND($E1484*R1484/100,0)</f>
        <v>32978893</v>
      </c>
      <c r="AB1484" s="322" t="s">
        <v>1055</v>
      </c>
      <c r="AC1484" s="384">
        <f>SUM(Z1479,Z1538,Z1901,Z2231,Z2253,Z2543:Z2548)/SUM(J1479,J1538,J1927,J2231,J2253,J2543:J2548)-1</f>
        <v>5.5447922416408613E-2</v>
      </c>
    </row>
    <row r="1485" spans="1:30">
      <c r="B1485" s="317" t="s">
        <v>1064</v>
      </c>
      <c r="D1485" s="293">
        <f t="shared" si="840"/>
        <v>1205194932.1686056</v>
      </c>
      <c r="E1485" s="293">
        <f t="shared" si="840"/>
        <v>1271311693</v>
      </c>
      <c r="G1485" s="377"/>
      <c r="H1485" s="343"/>
      <c r="L1485" s="347"/>
      <c r="M1485" s="343"/>
      <c r="N1485" s="347">
        <f t="shared" ref="N1485:N1486" si="847">$N$1483</f>
        <v>1.1506000000000001</v>
      </c>
      <c r="O1485" s="343" t="s">
        <v>1062</v>
      </c>
      <c r="P1485" s="342">
        <f t="shared" si="843"/>
        <v>1.5002843230069998</v>
      </c>
      <c r="Q1485" s="343" t="s">
        <v>1062</v>
      </c>
      <c r="R1485" s="377">
        <f>ROUND(R1483*AC1488,$AC$8)</f>
        <v>2.6508843230069998</v>
      </c>
      <c r="S1485" s="343" t="s">
        <v>1062</v>
      </c>
      <c r="T1485" s="346"/>
      <c r="U1485" s="346"/>
      <c r="V1485" s="294">
        <f t="shared" si="844"/>
        <v>13114490.995099679</v>
      </c>
      <c r="W1485" s="346"/>
      <c r="X1485" s="294">
        <f t="shared" si="845"/>
        <v>20586511.004900321</v>
      </c>
      <c r="Y1485" s="346"/>
      <c r="Z1485" s="294">
        <f t="shared" si="846"/>
        <v>33701002</v>
      </c>
      <c r="AB1485" s="322" t="s">
        <v>1174</v>
      </c>
      <c r="AC1485" s="384">
        <f>SUM(Z1480,Z1539,Z1902,Z2232,Z2254,Z2276,Z2299,Z2315,Z2550:Z2554,Z2590)/SUM(J1480,J1539,J1928,J2232,J2254,J2276,J2299,J2315,J2550:J2554,J2590)-1</f>
        <v>6.0820790786096257E-2</v>
      </c>
    </row>
    <row r="1486" spans="1:30">
      <c r="B1486" s="317" t="s">
        <v>1167</v>
      </c>
      <c r="D1486" s="293">
        <f t="shared" si="840"/>
        <v>2321277093.42729</v>
      </c>
      <c r="E1486" s="293">
        <f t="shared" si="840"/>
        <v>2446322517.3051271</v>
      </c>
      <c r="G1486" s="377"/>
      <c r="H1486" s="343"/>
      <c r="L1486" s="347"/>
      <c r="M1486" s="343"/>
      <c r="N1486" s="347">
        <f t="shared" si="847"/>
        <v>1.1506000000000001</v>
      </c>
      <c r="O1486" s="343" t="s">
        <v>1062</v>
      </c>
      <c r="P1486" s="342">
        <f t="shared" si="843"/>
        <v>1.1953153300949999</v>
      </c>
      <c r="Q1486" s="343" t="s">
        <v>1062</v>
      </c>
      <c r="R1486" s="377">
        <f>ROUND(R1485/$AC$1489,$AC$8)</f>
        <v>2.345915330095</v>
      </c>
      <c r="S1486" s="343" t="s">
        <v>1062</v>
      </c>
      <c r="T1486" s="346"/>
      <c r="U1486" s="345"/>
      <c r="V1486" s="294">
        <f>MIN($V$1495-SUM($V$1479:$V$1482),SUM($Z$1483:$Z$1486))*$Z1486/SUM($Z$1483:$Z$1486)</f>
        <v>22332362.676290222</v>
      </c>
      <c r="W1486" s="345"/>
      <c r="X1486" s="294">
        <f t="shared" si="845"/>
        <v>35056292.323709778</v>
      </c>
      <c r="Y1486" s="346"/>
      <c r="Z1486" s="294">
        <f t="shared" si="846"/>
        <v>57388655</v>
      </c>
      <c r="AB1486" s="322" t="s">
        <v>1175</v>
      </c>
      <c r="AC1486" s="384">
        <f>SUM(Z1481:Z1482,Z1540:Z1541,Z1903:Z1904,Z2235:Z2242,Z2257:Z2264,Z2279:Z2286,Z2300:Z2301,Z2316:Z2317,Z2557:Z2570,Z2591:Z2592)/SUM(J1487:J1488,J1928,J2244:J2251,J2266:J2273,J2288:J2295,J2306:J2307,J2322:J2323,J2572:J2585,J2597:J2598)-1</f>
        <v>0.20696503609108752</v>
      </c>
    </row>
    <row r="1487" spans="1:30">
      <c r="B1487" s="317" t="s">
        <v>1169</v>
      </c>
      <c r="D1487" s="293">
        <f t="shared" si="840"/>
        <v>3292870.7134670513</v>
      </c>
      <c r="E1487" s="293">
        <f t="shared" si="840"/>
        <v>3521492</v>
      </c>
      <c r="G1487" s="318">
        <v>13.96</v>
      </c>
      <c r="H1487" s="318"/>
      <c r="I1487" s="294">
        <f t="shared" si="841"/>
        <v>45968475</v>
      </c>
      <c r="J1487" s="294">
        <f t="shared" si="841"/>
        <v>49160028</v>
      </c>
      <c r="L1487" s="318"/>
      <c r="M1487" s="318"/>
      <c r="N1487" s="318"/>
      <c r="O1487" s="318"/>
      <c r="P1487" s="318"/>
      <c r="Q1487" s="318"/>
      <c r="R1487" s="318"/>
      <c r="S1487" s="318"/>
      <c r="T1487" s="319"/>
      <c r="U1487" s="319"/>
      <c r="V1487" s="319"/>
      <c r="W1487" s="319"/>
      <c r="X1487" s="319"/>
      <c r="Y1487" s="319"/>
      <c r="AB1487" s="322" t="s">
        <v>1176</v>
      </c>
      <c r="AC1487" s="384">
        <f>SUM(Z1483:Z1486,Z1542:Z1545,Z1905:Z1908,Z2302:Z2305,Z2318:Z2321,Z2593:Z2596)/SUM(J1489:J1491,J1552:J1553,J1929:J1930,J2309:J2311,J2324:J2326,J2599:J2601)-1</f>
        <v>-9.7341746788141892E-2</v>
      </c>
    </row>
    <row r="1488" spans="1:30">
      <c r="B1488" s="317" t="s">
        <v>1171</v>
      </c>
      <c r="D1488" s="293">
        <f t="shared" si="840"/>
        <v>4604756.4213305144</v>
      </c>
      <c r="E1488" s="293">
        <f t="shared" si="840"/>
        <v>4930214</v>
      </c>
      <c r="G1488" s="318">
        <v>9.4700000000000006</v>
      </c>
      <c r="H1488" s="318"/>
      <c r="I1488" s="294">
        <f t="shared" si="841"/>
        <v>43607043</v>
      </c>
      <c r="J1488" s="294">
        <f t="shared" si="841"/>
        <v>46689127</v>
      </c>
      <c r="L1488" s="318"/>
      <c r="M1488" s="318"/>
      <c r="N1488" s="318"/>
      <c r="O1488" s="318"/>
      <c r="P1488" s="318"/>
      <c r="Q1488" s="318"/>
      <c r="R1488" s="318"/>
      <c r="S1488" s="318"/>
      <c r="T1488" s="319"/>
      <c r="U1488" s="319"/>
      <c r="V1488" s="319"/>
      <c r="W1488" s="319"/>
      <c r="X1488" s="319"/>
      <c r="Y1488" s="319"/>
      <c r="AB1488" s="322" t="s">
        <v>1128</v>
      </c>
      <c r="AC1488" s="384">
        <f>'[7]Large Profile'!C20/'[7]Large Profile'!C19</f>
        <v>0.52986069541046177</v>
      </c>
    </row>
    <row r="1489" spans="1:32">
      <c r="B1489" s="317" t="s">
        <v>1177</v>
      </c>
      <c r="D1489" s="293">
        <f t="shared" si="840"/>
        <v>461574942</v>
      </c>
      <c r="E1489" s="293">
        <f t="shared" si="840"/>
        <v>487619452.30512714</v>
      </c>
      <c r="G1489" s="405">
        <v>4.6531000000000002</v>
      </c>
      <c r="H1489" s="343" t="s">
        <v>1062</v>
      </c>
      <c r="I1489" s="294">
        <f t="shared" ref="I1489:J1491" si="848">ROUND($G1489*D1489/100,0)</f>
        <v>21477544</v>
      </c>
      <c r="J1489" s="294">
        <f t="shared" si="848"/>
        <v>22689421</v>
      </c>
      <c r="L1489" s="405"/>
      <c r="M1489" s="343"/>
      <c r="N1489" s="405"/>
      <c r="O1489" s="343"/>
      <c r="P1489" s="405"/>
      <c r="Q1489" s="343"/>
      <c r="R1489" s="405"/>
      <c r="S1489" s="343"/>
      <c r="T1489" s="346"/>
      <c r="U1489" s="346"/>
      <c r="V1489" s="346"/>
      <c r="W1489" s="346"/>
      <c r="X1489" s="346"/>
      <c r="Y1489" s="346"/>
      <c r="AB1489" s="335" t="s">
        <v>1178</v>
      </c>
      <c r="AC1489" s="406">
        <v>1.1299999999999999</v>
      </c>
    </row>
    <row r="1490" spans="1:32">
      <c r="B1490" s="317" t="s">
        <v>1179</v>
      </c>
      <c r="D1490" s="293">
        <f t="shared" si="840"/>
        <v>1236552267</v>
      </c>
      <c r="E1490" s="293">
        <f t="shared" si="840"/>
        <v>1307424280</v>
      </c>
      <c r="G1490" s="405">
        <v>3.4988999999999999</v>
      </c>
      <c r="H1490" s="343" t="s">
        <v>1062</v>
      </c>
      <c r="I1490" s="294">
        <f t="shared" si="848"/>
        <v>43265727</v>
      </c>
      <c r="J1490" s="294">
        <f t="shared" si="848"/>
        <v>45745468</v>
      </c>
      <c r="L1490" s="405"/>
      <c r="M1490" s="343"/>
      <c r="N1490" s="405"/>
      <c r="O1490" s="343"/>
      <c r="P1490" s="405"/>
      <c r="Q1490" s="343"/>
      <c r="R1490" s="405"/>
      <c r="S1490" s="343"/>
      <c r="T1490" s="346"/>
      <c r="U1490" s="346"/>
      <c r="V1490" s="346"/>
      <c r="W1490" s="346"/>
      <c r="X1490" s="346"/>
      <c r="Y1490" s="346"/>
      <c r="AB1490" s="305" t="s">
        <v>1180</v>
      </c>
      <c r="AC1490" s="304">
        <f>(Z1495)/(J1495)-1</f>
        <v>5.0198924044333904E-2</v>
      </c>
    </row>
    <row r="1491" spans="1:32">
      <c r="B1491" s="317" t="s">
        <v>1086</v>
      </c>
      <c r="D1491" s="293">
        <f t="shared" si="840"/>
        <v>2897110875</v>
      </c>
      <c r="E1491" s="293">
        <f t="shared" si="840"/>
        <v>3052288222</v>
      </c>
      <c r="G1491" s="407">
        <v>2.9224999999999999</v>
      </c>
      <c r="H1491" s="343" t="s">
        <v>1062</v>
      </c>
      <c r="I1491" s="294">
        <f t="shared" si="848"/>
        <v>84668065</v>
      </c>
      <c r="J1491" s="294">
        <f t="shared" si="848"/>
        <v>89203123</v>
      </c>
      <c r="L1491" s="407"/>
      <c r="M1491" s="343"/>
      <c r="N1491" s="407"/>
      <c r="O1491" s="343"/>
      <c r="P1491" s="407"/>
      <c r="Q1491" s="343"/>
      <c r="R1491" s="407"/>
      <c r="S1491" s="343"/>
      <c r="T1491" s="346"/>
      <c r="U1491" s="346"/>
      <c r="V1491" s="346"/>
      <c r="W1491" s="346"/>
      <c r="X1491" s="346"/>
      <c r="Y1491" s="346"/>
      <c r="AB1491" s="305" t="s">
        <v>1011</v>
      </c>
      <c r="AC1491" s="337">
        <f>([7]RateSpread!V37+[7]RateSpread!V42*Blocking!Z1917/(Blocking!Z1917+Blocking!Z1899)+[7]RateSpread!V47+[7]RateSpread!V48)*1000</f>
        <v>-6141042.2408647006</v>
      </c>
      <c r="AD1491" s="338">
        <f>ROUND((AC1491)/SUM(Z1481:Z1486,Z1540:Z1545,Z1903:Z1908,Z2301:Z2305,Z2316:Z2321,Z2591:Z2596),4)</f>
        <v>-2.2599999999999999E-2</v>
      </c>
    </row>
    <row r="1492" spans="1:32">
      <c r="B1492" s="317" t="s">
        <v>1078</v>
      </c>
      <c r="D1492" s="357">
        <f t="shared" si="840"/>
        <v>-53797825</v>
      </c>
      <c r="E1492" s="357">
        <f t="shared" si="840"/>
        <v>0</v>
      </c>
      <c r="I1492" s="358">
        <f>I1513+I1532</f>
        <v>-2671415</v>
      </c>
      <c r="J1492" s="358">
        <f>J1513+J1532</f>
        <v>0</v>
      </c>
      <c r="Z1492" s="358">
        <f>Z1513+Z1532</f>
        <v>0</v>
      </c>
      <c r="AB1492" s="305" t="s">
        <v>1057</v>
      </c>
      <c r="AC1492" s="337">
        <f>([7]RateSpread!W37+[7]RateSpread!W42*Blocking!Z1917/(Blocking!Z1917+Blocking!Z1899)+[7]RateSpread!W47+[7]RateSpread!W48)*1000</f>
        <v>-3070521.5692668441</v>
      </c>
      <c r="AD1492" s="338">
        <f>ROUND((AC1492)/SUM(Z1481:Z1486,Z1540:Z1545,Z1903:Z1908,Z2301:Z2305,Z2316:Z2321,Z2591:Z2596),4)</f>
        <v>-1.1299999999999999E-2</v>
      </c>
    </row>
    <row r="1493" spans="1:32">
      <c r="B1493" s="317" t="s">
        <v>1079</v>
      </c>
      <c r="G1493" s="338">
        <v>-3.0700000000000002E-2</v>
      </c>
      <c r="H1493" s="339"/>
      <c r="I1493" s="294">
        <f>SUM(I1487:I1491)*$G1493</f>
        <v>-7336896.4177999999</v>
      </c>
      <c r="J1493" s="294">
        <f>SUM(J1487:J1491)*$G1493</f>
        <v>-7782056.0268999999</v>
      </c>
      <c r="L1493" s="338"/>
      <c r="M1493" s="339"/>
      <c r="N1493" s="338"/>
      <c r="O1493" s="339"/>
      <c r="P1493" s="359" t="str">
        <f>$P$43</f>
        <v>Tax Year 1</v>
      </c>
      <c r="Q1493" s="339"/>
      <c r="R1493" s="338">
        <f>$AD$1491</f>
        <v>-2.2599999999999999E-2</v>
      </c>
      <c r="S1493" s="339"/>
      <c r="Z1493" s="294">
        <f>R1493*SUM(Z1481:Z1486)</f>
        <v>-5831973.4371999996</v>
      </c>
      <c r="AB1493" s="360" t="s">
        <v>1081</v>
      </c>
      <c r="AC1493" s="360"/>
      <c r="AD1493" s="360"/>
      <c r="AE1493" s="360"/>
    </row>
    <row r="1494" spans="1:32">
      <c r="B1494" s="317"/>
      <c r="G1494" s="338"/>
      <c r="H1494" s="339"/>
      <c r="L1494" s="338"/>
      <c r="M1494" s="339"/>
      <c r="N1494" s="338"/>
      <c r="O1494" s="339"/>
      <c r="P1494" s="359" t="str">
        <f>$P$44</f>
        <v>Tax Year 2</v>
      </c>
      <c r="Q1494" s="339"/>
      <c r="R1494" s="338">
        <f>$AD$1492</f>
        <v>-1.1299999999999999E-2</v>
      </c>
      <c r="S1494" s="339"/>
      <c r="Z1494" s="294">
        <f>R1494*SUM(Z1481:Z1486)</f>
        <v>-2915986.7185999998</v>
      </c>
      <c r="AB1494" s="361" t="s">
        <v>42</v>
      </c>
      <c r="AC1494" s="361" t="s">
        <v>43</v>
      </c>
      <c r="AD1494" s="361" t="s">
        <v>44</v>
      </c>
      <c r="AE1494" s="361" t="s">
        <v>45</v>
      </c>
    </row>
    <row r="1495" spans="1:32" ht="16.5" thickBot="1">
      <c r="A1495" s="292">
        <v>1</v>
      </c>
      <c r="B1495" s="317" t="s">
        <v>937</v>
      </c>
      <c r="D1495" s="381">
        <f>SUM(D1489:D1492)</f>
        <v>4541440259</v>
      </c>
      <c r="E1495" s="381">
        <f>SUM(E1489:E1492)</f>
        <v>4847331954.3051271</v>
      </c>
      <c r="G1495" s="368"/>
      <c r="I1495" s="369">
        <f>SUM(I1479:I1493)</f>
        <v>247664604.58219999</v>
      </c>
      <c r="J1495" s="369">
        <f>SUM(J1479:J1493)</f>
        <v>265709599.97310001</v>
      </c>
      <c r="L1495" s="368"/>
      <c r="N1495" s="368"/>
      <c r="P1495" s="368"/>
      <c r="R1495" s="368"/>
      <c r="T1495" s="364">
        <f>$Z1495*AB1495/$AE1495*$X$2683</f>
        <v>502283.9538811954</v>
      </c>
      <c r="U1495" s="364"/>
      <c r="V1495" s="364">
        <f>$Z1495*AC1495/$AE1495*$X$2683</f>
        <v>190996943.56475845</v>
      </c>
      <c r="W1495" s="364"/>
      <c r="X1495" s="364">
        <f>Z1495-T1495-V1495</f>
        <v>87548708.481360346</v>
      </c>
      <c r="Z1495" s="369">
        <f>SUM(Z1479:Z1492)</f>
        <v>279047936</v>
      </c>
      <c r="AB1495" s="366">
        <f>'[7]Unit Cost Target'!$H$87+'[7]Unit Cost Target'!$H$123+'[7]Unit Cost Target'!$H$129</f>
        <v>508101.95390149695</v>
      </c>
      <c r="AC1495" s="366">
        <f>'[7]Unit Cost Target'!$H$45+'[7]Unit Cost Target'!$H$51+'[7]Unit Cost Target'!$H$75+'[7]Unit Cost Target'!$H$81</f>
        <v>193209278.26697379</v>
      </c>
      <c r="AD1495" s="366">
        <f>'[7]Unit Cost Target'!$H$33+'[7]Unit Cost Target'!$H$39+'[7]Unit Cost Target'!$H$63+'[7]Unit Cost Target'!$H$69</f>
        <v>94439510.545898467</v>
      </c>
      <c r="AE1495" s="366">
        <f>SUM(AB1495:AD1495)</f>
        <v>288156890.76677376</v>
      </c>
      <c r="AF1495" s="366">
        <f>AE1495-'[7]Unit Cost Target'!$H$21</f>
        <v>0</v>
      </c>
    </row>
    <row r="1496" spans="1:32" ht="16.5" thickTop="1">
      <c r="A1496" s="292">
        <v>1</v>
      </c>
      <c r="N1496" s="399" t="s">
        <v>1172</v>
      </c>
      <c r="P1496" s="292">
        <f>ROUND(SUM(X1483,X1485)/SUM(E1483,E1485)*100,4)</f>
        <v>1.9532</v>
      </c>
      <c r="Q1496" s="343" t="s">
        <v>1062</v>
      </c>
      <c r="AB1496" s="366">
        <f>T1495-SUM(T1479:T1494)</f>
        <v>0</v>
      </c>
      <c r="AC1496" s="366">
        <f>V1495-SUM(V1479:V1494)</f>
        <v>0</v>
      </c>
      <c r="AD1496" s="366">
        <f>X1495-SUM(X1479:X1494)</f>
        <v>0</v>
      </c>
      <c r="AE1496" s="366">
        <f>SUM(AB1496:AD1496)</f>
        <v>0</v>
      </c>
      <c r="AF1496" s="366"/>
    </row>
    <row r="1497" spans="1:32">
      <c r="A1497" s="292">
        <v>1</v>
      </c>
      <c r="N1497" s="399" t="s">
        <v>1172</v>
      </c>
      <c r="P1497" s="292">
        <f>ROUND(SUM(X1484,X1486)/SUM(E1484,E1486)*100,4)</f>
        <v>1.7298</v>
      </c>
      <c r="Q1497" s="343" t="s">
        <v>1062</v>
      </c>
      <c r="AB1497" s="366"/>
      <c r="AC1497" s="366"/>
      <c r="AD1497" s="366"/>
      <c r="AE1497" s="366"/>
      <c r="AF1497" s="366"/>
    </row>
    <row r="1498" spans="1:32">
      <c r="AB1498" s="366"/>
      <c r="AC1498" s="366"/>
      <c r="AD1498" s="366"/>
      <c r="AE1498" s="366"/>
      <c r="AF1498" s="366"/>
    </row>
    <row r="1499" spans="1:32">
      <c r="B1499" s="314" t="s">
        <v>995</v>
      </c>
    </row>
    <row r="1500" spans="1:32">
      <c r="B1500" s="317" t="s">
        <v>1089</v>
      </c>
      <c r="D1500" s="293">
        <f>'[7]9'!G8</f>
        <v>469.39992277992297</v>
      </c>
      <c r="E1500" s="293">
        <f>[7]Bill!P36</f>
        <v>492</v>
      </c>
      <c r="G1500" s="339">
        <v>259</v>
      </c>
      <c r="H1500" s="339"/>
      <c r="I1500" s="294">
        <f t="shared" ref="I1500:J1509" si="849">ROUND($G1500*D1500,0)</f>
        <v>121575</v>
      </c>
      <c r="J1500" s="294">
        <f t="shared" si="849"/>
        <v>127428</v>
      </c>
      <c r="L1500" s="339">
        <f>L1479</f>
        <v>268.31</v>
      </c>
      <c r="M1500" s="339"/>
      <c r="N1500" s="339">
        <f>N1479</f>
        <v>3.6899999999999977</v>
      </c>
      <c r="O1500" s="339"/>
      <c r="P1500" s="339">
        <f>P1479</f>
        <v>0</v>
      </c>
      <c r="Q1500" s="339"/>
      <c r="R1500" s="339">
        <f t="shared" ref="R1500:R1507" si="850">R1479</f>
        <v>272</v>
      </c>
      <c r="S1500" s="339"/>
      <c r="T1500" s="294">
        <f>Z1500</f>
        <v>133824</v>
      </c>
      <c r="Z1500" s="294">
        <f>ROUND($E1500*R1500,0)</f>
        <v>133824</v>
      </c>
      <c r="AA1500" s="291" t="s">
        <v>1173</v>
      </c>
    </row>
    <row r="1501" spans="1:32">
      <c r="B1501" s="317" t="s">
        <v>1101</v>
      </c>
      <c r="D1501" s="293">
        <f>'[7]9'!H8</f>
        <v>1842774.7972973001</v>
      </c>
      <c r="E1501" s="293">
        <f>ROUND(D1501/D1516*E1516,0)</f>
        <v>2502776</v>
      </c>
      <c r="G1501" s="339">
        <v>2.2200000000000002</v>
      </c>
      <c r="H1501" s="339"/>
      <c r="I1501" s="294">
        <f>ROUND($G1501*D1501,0)</f>
        <v>4090960</v>
      </c>
      <c r="J1501" s="294">
        <f>ROUND($G1501*E1501,0)</f>
        <v>5556163</v>
      </c>
      <c r="L1501" s="339">
        <f t="shared" ref="L1501:L1507" si="851">L1480</f>
        <v>0</v>
      </c>
      <c r="M1501" s="339"/>
      <c r="N1501" s="339">
        <f t="shared" ref="N1501:N1507" si="852">N1480</f>
        <v>2.33</v>
      </c>
      <c r="O1501" s="339"/>
      <c r="P1501" s="339">
        <f t="shared" ref="P1501:P1507" si="853">P1480</f>
        <v>0</v>
      </c>
      <c r="Q1501" s="339"/>
      <c r="R1501" s="339">
        <f t="shared" si="850"/>
        <v>2.33</v>
      </c>
      <c r="S1501" s="339"/>
      <c r="T1501" s="294">
        <f>Z1501</f>
        <v>5831468</v>
      </c>
      <c r="Z1501" s="294">
        <f t="shared" ref="Z1501:Z1503" si="854">ROUND($E1501*R1501,0)</f>
        <v>5831468</v>
      </c>
    </row>
    <row r="1502" spans="1:32">
      <c r="B1502" s="317" t="s">
        <v>1164</v>
      </c>
      <c r="D1502" s="293">
        <f>D1508*AA1502</f>
        <v>586693.34314524557</v>
      </c>
      <c r="E1502" s="293">
        <f>ROUND(D1502/D1516*E1516,0)</f>
        <v>796821</v>
      </c>
      <c r="G1502" s="339"/>
      <c r="H1502" s="339"/>
      <c r="L1502" s="339">
        <f t="shared" si="851"/>
        <v>0</v>
      </c>
      <c r="M1502" s="339"/>
      <c r="N1502" s="339">
        <f t="shared" si="852"/>
        <v>14.65</v>
      </c>
      <c r="O1502" s="339"/>
      <c r="P1502" s="339">
        <f t="shared" si="853"/>
        <v>0</v>
      </c>
      <c r="Q1502" s="339"/>
      <c r="R1502" s="339">
        <f t="shared" si="850"/>
        <v>14.65</v>
      </c>
      <c r="S1502" s="339"/>
      <c r="T1502" s="294">
        <f t="shared" ref="T1502:T1503" si="855">ROUND($E1502*L1502,0)</f>
        <v>0</v>
      </c>
      <c r="V1502" s="294">
        <f t="shared" ref="V1502:V1503" si="856">ROUND($E1502*N1502,0)</f>
        <v>11673428</v>
      </c>
      <c r="X1502" s="294">
        <f t="shared" ref="X1502:X1503" si="857">ROUND($E1502*P1502,0)</f>
        <v>0</v>
      </c>
      <c r="Z1502" s="294">
        <f t="shared" si="854"/>
        <v>11673428</v>
      </c>
      <c r="AA1502" s="291">
        <f>'[7]Large Profile'!L10</f>
        <v>0.8153977208412958</v>
      </c>
    </row>
    <row r="1503" spans="1:32">
      <c r="B1503" s="317" t="s">
        <v>1165</v>
      </c>
      <c r="D1503" s="293">
        <f>D1509*AA1503</f>
        <v>1161974.7641551334</v>
      </c>
      <c r="E1503" s="293">
        <f>ROUND(D1503/D1516*E1516,0)</f>
        <v>1578143</v>
      </c>
      <c r="G1503" s="339"/>
      <c r="H1503" s="339"/>
      <c r="L1503" s="339">
        <f t="shared" si="851"/>
        <v>0</v>
      </c>
      <c r="M1503" s="339"/>
      <c r="N1503" s="339">
        <f t="shared" si="852"/>
        <v>12.96</v>
      </c>
      <c r="O1503" s="339"/>
      <c r="P1503" s="339">
        <f t="shared" si="853"/>
        <v>0</v>
      </c>
      <c r="Q1503" s="339"/>
      <c r="R1503" s="339">
        <f t="shared" si="850"/>
        <v>12.96</v>
      </c>
      <c r="S1503" s="339"/>
      <c r="T1503" s="294">
        <f t="shared" si="855"/>
        <v>0</v>
      </c>
      <c r="V1503" s="294">
        <f t="shared" si="856"/>
        <v>20452733</v>
      </c>
      <c r="X1503" s="294">
        <f t="shared" si="857"/>
        <v>0</v>
      </c>
      <c r="Z1503" s="294">
        <f t="shared" si="854"/>
        <v>20452733</v>
      </c>
      <c r="AA1503" s="291">
        <f>'[7]Large Profile'!P10</f>
        <v>1.1372413252842475</v>
      </c>
    </row>
    <row r="1504" spans="1:32">
      <c r="B1504" s="317" t="s">
        <v>1061</v>
      </c>
      <c r="D1504" s="293">
        <f>D1510*AA1504</f>
        <v>77690320.64046514</v>
      </c>
      <c r="E1504" s="293">
        <f>ROUND(D1504/($D$1516-$D$1513)*$E$1516,0)</f>
        <v>106075374</v>
      </c>
      <c r="G1504" s="377"/>
      <c r="H1504" s="343"/>
      <c r="L1504" s="377">
        <f t="shared" si="851"/>
        <v>0</v>
      </c>
      <c r="M1504" s="343" t="s">
        <v>1062</v>
      </c>
      <c r="N1504" s="377">
        <f t="shared" si="852"/>
        <v>1.1506000000000001</v>
      </c>
      <c r="O1504" s="343" t="s">
        <v>1062</v>
      </c>
      <c r="P1504" s="377">
        <f t="shared" si="853"/>
        <v>3.8523835124000003</v>
      </c>
      <c r="Q1504" s="343" t="s">
        <v>1062</v>
      </c>
      <c r="R1504" s="377">
        <f t="shared" si="850"/>
        <v>5.0029835124000002</v>
      </c>
      <c r="S1504" s="343" t="s">
        <v>1062</v>
      </c>
      <c r="T1504" s="294">
        <f>ROUND($E1504*L1504/100,0)</f>
        <v>0</v>
      </c>
      <c r="V1504" s="294">
        <f>ROUND($E1504*N1504/100,0)</f>
        <v>1220503</v>
      </c>
      <c r="X1504" s="294">
        <f>ROUND($E1504*P1504/100,0)</f>
        <v>4086430</v>
      </c>
      <c r="Y1504" s="346"/>
      <c r="Z1504" s="294">
        <f>ROUND($E1504*R1504/100,0)</f>
        <v>5306933</v>
      </c>
      <c r="AA1504" s="291">
        <f>'[7]Large Profile'!M10</f>
        <v>0.78917940501629313</v>
      </c>
    </row>
    <row r="1505" spans="2:29">
      <c r="B1505" s="317" t="s">
        <v>1166</v>
      </c>
      <c r="D1505" s="293">
        <f>D1511*AA1505</f>
        <v>151850198.11970994</v>
      </c>
      <c r="E1505" s="293">
        <f>ROUND(D1505/($D$1516-$D$1513)*$E$1516,0)</f>
        <v>207330417</v>
      </c>
      <c r="G1505" s="377"/>
      <c r="H1505" s="343"/>
      <c r="L1505" s="377">
        <f t="shared" si="851"/>
        <v>0</v>
      </c>
      <c r="M1505" s="343" t="s">
        <v>1062</v>
      </c>
      <c r="N1505" s="377">
        <f t="shared" si="852"/>
        <v>1.1506000000000001</v>
      </c>
      <c r="O1505" s="343" t="s">
        <v>1062</v>
      </c>
      <c r="P1505" s="377">
        <f t="shared" si="853"/>
        <v>3.2768190375220003</v>
      </c>
      <c r="Q1505" s="343" t="s">
        <v>1062</v>
      </c>
      <c r="R1505" s="377">
        <f t="shared" si="850"/>
        <v>4.4274190375220002</v>
      </c>
      <c r="S1505" s="343" t="s">
        <v>1062</v>
      </c>
      <c r="T1505" s="294">
        <f t="shared" ref="T1505:T1507" si="858">ROUND($E1505*L1505/100,0)</f>
        <v>0</v>
      </c>
      <c r="V1505" s="294">
        <f t="shared" ref="V1505:V1507" si="859">ROUND($E1505*N1505/100,0)</f>
        <v>2385544</v>
      </c>
      <c r="X1505" s="294">
        <f t="shared" ref="X1505:X1507" si="860">ROUND($E1505*P1505/100,0)</f>
        <v>6793843</v>
      </c>
      <c r="Y1505" s="346"/>
      <c r="Z1505" s="294">
        <f t="shared" ref="Z1505:Z1507" si="861">ROUND($E1505*R1505/100,0)</f>
        <v>9179386</v>
      </c>
      <c r="AA1505" s="291">
        <f>'[7]Large Profile'!Q10</f>
        <v>0.56972975514840463</v>
      </c>
    </row>
    <row r="1506" spans="2:29">
      <c r="B1506" s="317" t="s">
        <v>1064</v>
      </c>
      <c r="D1506" s="293">
        <f>SUM(D1510:D1512)*AA1506</f>
        <v>252238599.01182774</v>
      </c>
      <c r="E1506" s="293">
        <f>ROUND(D1506/($D$1516-$D$1513)*$E$1516,0)</f>
        <v>344396877</v>
      </c>
      <c r="G1506" s="377"/>
      <c r="H1506" s="343"/>
      <c r="L1506" s="377">
        <f t="shared" si="851"/>
        <v>0</v>
      </c>
      <c r="M1506" s="343" t="s">
        <v>1062</v>
      </c>
      <c r="N1506" s="377">
        <f t="shared" si="852"/>
        <v>1.1506000000000001</v>
      </c>
      <c r="O1506" s="343" t="s">
        <v>1062</v>
      </c>
      <c r="P1506" s="377">
        <f t="shared" si="853"/>
        <v>1.5002843230069998</v>
      </c>
      <c r="Q1506" s="343" t="s">
        <v>1062</v>
      </c>
      <c r="R1506" s="377">
        <f t="shared" si="850"/>
        <v>2.6508843230069998</v>
      </c>
      <c r="S1506" s="343" t="s">
        <v>1062</v>
      </c>
      <c r="T1506" s="294">
        <f t="shared" si="858"/>
        <v>0</v>
      </c>
      <c r="V1506" s="294">
        <f t="shared" si="859"/>
        <v>3962630</v>
      </c>
      <c r="X1506" s="294">
        <f t="shared" si="860"/>
        <v>5166932</v>
      </c>
      <c r="Y1506" s="346"/>
      <c r="Z1506" s="294">
        <f t="shared" si="861"/>
        <v>9129563</v>
      </c>
      <c r="AA1506" s="291">
        <f>'[7]Large Profile'!O7/'[7]Large Profile'!C7</f>
        <v>0.2622704003879433</v>
      </c>
    </row>
    <row r="1507" spans="2:29">
      <c r="B1507" s="317" t="s">
        <v>1167</v>
      </c>
      <c r="D1507" s="293">
        <f>SUM(D1510:D1512)-SUM(D1504:D1506)</f>
        <v>479971040.22799718</v>
      </c>
      <c r="E1507" s="293">
        <f>E1516-SUM(E1504:E1506)</f>
        <v>655333988.90915966</v>
      </c>
      <c r="G1507" s="377"/>
      <c r="H1507" s="343"/>
      <c r="L1507" s="377">
        <f t="shared" si="851"/>
        <v>0</v>
      </c>
      <c r="M1507" s="343" t="s">
        <v>1062</v>
      </c>
      <c r="N1507" s="377">
        <f t="shared" si="852"/>
        <v>1.1506000000000001</v>
      </c>
      <c r="O1507" s="343" t="s">
        <v>1062</v>
      </c>
      <c r="P1507" s="377">
        <f t="shared" si="853"/>
        <v>1.1953153300949999</v>
      </c>
      <c r="Q1507" s="343" t="s">
        <v>1062</v>
      </c>
      <c r="R1507" s="377">
        <f t="shared" si="850"/>
        <v>2.345915330095</v>
      </c>
      <c r="S1507" s="343" t="s">
        <v>1062</v>
      </c>
      <c r="T1507" s="294">
        <f t="shared" si="858"/>
        <v>0</v>
      </c>
      <c r="V1507" s="294">
        <f t="shared" si="859"/>
        <v>7540273</v>
      </c>
      <c r="X1507" s="294">
        <f t="shared" si="860"/>
        <v>7833308</v>
      </c>
      <c r="Y1507" s="346"/>
      <c r="Z1507" s="294">
        <f t="shared" si="861"/>
        <v>15373581</v>
      </c>
    </row>
    <row r="1508" spans="2:29">
      <c r="B1508" s="317" t="s">
        <v>1169</v>
      </c>
      <c r="D1508" s="293">
        <f>'[7]9'!J8</f>
        <v>719518.00716332404</v>
      </c>
      <c r="E1508" s="293">
        <f>ROUND(D1508/D1516*E1516,0)</f>
        <v>977218</v>
      </c>
      <c r="G1508" s="339">
        <v>13.96</v>
      </c>
      <c r="H1508" s="339"/>
      <c r="I1508" s="294">
        <f t="shared" si="849"/>
        <v>10044471</v>
      </c>
      <c r="J1508" s="294">
        <f t="shared" si="849"/>
        <v>13641963</v>
      </c>
      <c r="L1508" s="339"/>
      <c r="M1508" s="339"/>
      <c r="N1508" s="339"/>
      <c r="O1508" s="339"/>
      <c r="P1508" s="339"/>
      <c r="Q1508" s="339"/>
      <c r="R1508" s="339"/>
      <c r="S1508" s="339"/>
    </row>
    <row r="1509" spans="2:29">
      <c r="B1509" s="317" t="s">
        <v>1171</v>
      </c>
      <c r="D1509" s="293">
        <f>'[7]9'!K8</f>
        <v>1021748.628299894</v>
      </c>
      <c r="E1509" s="293">
        <f>ROUND(D1509/D1516*E1516,0)</f>
        <v>1387694</v>
      </c>
      <c r="G1509" s="339">
        <v>9.4700000000000006</v>
      </c>
      <c r="H1509" s="339"/>
      <c r="I1509" s="294">
        <f t="shared" si="849"/>
        <v>9675960</v>
      </c>
      <c r="J1509" s="294">
        <f t="shared" si="849"/>
        <v>13141462</v>
      </c>
      <c r="L1509" s="339"/>
      <c r="M1509" s="339"/>
      <c r="N1509" s="339"/>
      <c r="O1509" s="339"/>
      <c r="P1509" s="339"/>
      <c r="Q1509" s="339"/>
      <c r="R1509" s="339"/>
      <c r="S1509" s="339"/>
    </row>
    <row r="1510" spans="2:29">
      <c r="B1510" s="317" t="s">
        <v>1177</v>
      </c>
      <c r="D1510" s="293">
        <f>'[7]9'!M8</f>
        <v>98444435</v>
      </c>
      <c r="E1510" s="293">
        <f>E1516-SUM(E1511:E1513)</f>
        <v>134412242.90915966</v>
      </c>
      <c r="G1510" s="376">
        <v>4.6531000000000002</v>
      </c>
      <c r="H1510" s="343" t="s">
        <v>1062</v>
      </c>
      <c r="I1510" s="294">
        <f t="shared" ref="I1510:J1512" si="862">ROUND($G1510*D1510/100,0)</f>
        <v>4580718</v>
      </c>
      <c r="J1510" s="294">
        <f t="shared" si="862"/>
        <v>6254336</v>
      </c>
      <c r="L1510" s="376"/>
      <c r="M1510" s="343"/>
      <c r="N1510" s="376"/>
      <c r="O1510" s="343"/>
      <c r="P1510" s="376"/>
      <c r="Q1510" s="343"/>
      <c r="R1510" s="376"/>
      <c r="S1510" s="343"/>
      <c r="T1510" s="346"/>
      <c r="U1510" s="346"/>
      <c r="V1510" s="346"/>
      <c r="W1510" s="346"/>
      <c r="X1510" s="346"/>
      <c r="Y1510" s="346"/>
    </row>
    <row r="1511" spans="2:29">
      <c r="B1511" s="317" t="s">
        <v>1179</v>
      </c>
      <c r="D1511" s="293">
        <f>'[7]9'!N8</f>
        <v>266530222</v>
      </c>
      <c r="E1511" s="293">
        <f>ROUND(D1511/(D1516-D1513)*E1516,0)</f>
        <v>363910109</v>
      </c>
      <c r="G1511" s="376">
        <v>3.4988999999999999</v>
      </c>
      <c r="H1511" s="343" t="s">
        <v>1062</v>
      </c>
      <c r="I1511" s="294">
        <f t="shared" si="862"/>
        <v>9325626</v>
      </c>
      <c r="J1511" s="294">
        <f t="shared" si="862"/>
        <v>12732851</v>
      </c>
      <c r="L1511" s="376"/>
      <c r="M1511" s="343"/>
      <c r="N1511" s="376"/>
      <c r="O1511" s="343"/>
      <c r="P1511" s="376"/>
      <c r="Q1511" s="343"/>
      <c r="R1511" s="376"/>
      <c r="S1511" s="343"/>
      <c r="T1511" s="346"/>
      <c r="U1511" s="346"/>
      <c r="V1511" s="346"/>
      <c r="W1511" s="346"/>
      <c r="X1511" s="346"/>
      <c r="Y1511" s="346"/>
    </row>
    <row r="1512" spans="2:29">
      <c r="B1512" s="317" t="s">
        <v>1086</v>
      </c>
      <c r="D1512" s="293">
        <f>'[7]9'!O8</f>
        <v>596775501</v>
      </c>
      <c r="E1512" s="293">
        <f>ROUND(D1512/(D1516-D1513)*E1516,0)</f>
        <v>814814305</v>
      </c>
      <c r="G1512" s="376">
        <v>2.9224999999999999</v>
      </c>
      <c r="H1512" s="343" t="s">
        <v>1062</v>
      </c>
      <c r="I1512" s="294">
        <f t="shared" si="862"/>
        <v>17440764</v>
      </c>
      <c r="J1512" s="294">
        <f t="shared" si="862"/>
        <v>23812948</v>
      </c>
      <c r="L1512" s="376"/>
      <c r="M1512" s="343"/>
      <c r="N1512" s="376"/>
      <c r="O1512" s="343"/>
      <c r="P1512" s="376"/>
      <c r="Q1512" s="343"/>
      <c r="R1512" s="376"/>
      <c r="S1512" s="343"/>
      <c r="T1512" s="346"/>
      <c r="U1512" s="346"/>
      <c r="V1512" s="346"/>
      <c r="W1512" s="346"/>
      <c r="X1512" s="346"/>
      <c r="Y1512" s="346"/>
    </row>
    <row r="1513" spans="2:29">
      <c r="B1513" s="317" t="s">
        <v>1078</v>
      </c>
      <c r="D1513" s="357">
        <f>'[7]Table 2'!J56</f>
        <v>5102355</v>
      </c>
      <c r="E1513" s="357">
        <v>0</v>
      </c>
      <c r="I1513" s="358">
        <f>'[7]Table 3'!F56</f>
        <v>317097</v>
      </c>
      <c r="J1513" s="358">
        <v>0</v>
      </c>
      <c r="Z1513" s="358">
        <f>Z1532+Z1551</f>
        <v>0</v>
      </c>
    </row>
    <row r="1514" spans="2:29">
      <c r="B1514" s="317" t="s">
        <v>1079</v>
      </c>
      <c r="G1514" s="338">
        <v>-3.0700000000000002E-2</v>
      </c>
      <c r="H1514" s="339"/>
      <c r="I1514" s="294">
        <f>SUM(I1508:I1512)*$G1514</f>
        <v>-1567773.4473000001</v>
      </c>
      <c r="J1514" s="294">
        <f>SUM(J1508:J1512)*$G1514</f>
        <v>-2136215.2919999999</v>
      </c>
      <c r="L1514" s="338"/>
      <c r="M1514" s="339"/>
      <c r="N1514" s="338"/>
      <c r="O1514" s="339"/>
      <c r="P1514" s="359" t="str">
        <f>$P$43</f>
        <v>Tax Year 1</v>
      </c>
      <c r="Q1514" s="339"/>
      <c r="R1514" s="338">
        <f>$AD$1491</f>
        <v>-2.2599999999999999E-2</v>
      </c>
      <c r="S1514" s="339"/>
      <c r="Z1514" s="294">
        <f>R1514*SUM(Z1502:Z1507)</f>
        <v>-1607213.1024</v>
      </c>
    </row>
    <row r="1515" spans="2:29">
      <c r="B1515" s="317"/>
      <c r="G1515" s="338"/>
      <c r="H1515" s="339"/>
      <c r="L1515" s="338"/>
      <c r="M1515" s="339"/>
      <c r="N1515" s="338"/>
      <c r="O1515" s="339"/>
      <c r="P1515" s="359" t="str">
        <f>$P$44</f>
        <v>Tax Year 2</v>
      </c>
      <c r="Q1515" s="339"/>
      <c r="R1515" s="338">
        <f>$AD$1492</f>
        <v>-1.1299999999999999E-2</v>
      </c>
      <c r="S1515" s="339"/>
      <c r="Z1515" s="294">
        <f>R1515*SUM(Z1502:Z1507)</f>
        <v>-803606.55119999999</v>
      </c>
    </row>
    <row r="1516" spans="2:29" ht="16.5" thickBot="1">
      <c r="B1516" s="317" t="s">
        <v>937</v>
      </c>
      <c r="D1516" s="381">
        <f>SUM(D1510:D1513)</f>
        <v>966852513</v>
      </c>
      <c r="E1516" s="381">
        <f>[7]Energy!P36</f>
        <v>1313136656.9091597</v>
      </c>
      <c r="G1516" s="368"/>
      <c r="I1516" s="369">
        <f>SUM(I1500:I1514)</f>
        <v>54029397.552699998</v>
      </c>
      <c r="J1516" s="369">
        <f>SUM(J1500:J1514)</f>
        <v>73130935.708000004</v>
      </c>
      <c r="L1516" s="368"/>
      <c r="N1516" s="368"/>
      <c r="P1516" s="368"/>
      <c r="R1516" s="368"/>
      <c r="T1516" s="369">
        <f>SUM(T1500:T1513)</f>
        <v>5965292</v>
      </c>
      <c r="V1516" s="369">
        <f>SUM(V1500:V1513)</f>
        <v>47235111</v>
      </c>
      <c r="X1516" s="369">
        <f>SUM(X1500:X1513)</f>
        <v>23880513</v>
      </c>
      <c r="Z1516" s="369">
        <f>SUM(Z1500:Z1513)</f>
        <v>77080916</v>
      </c>
      <c r="AB1516" s="305" t="s">
        <v>939</v>
      </c>
      <c r="AC1516" s="304">
        <f>Z1516/J1516-1</f>
        <v>5.4012440204124212E-2</v>
      </c>
    </row>
    <row r="1517" spans="2:29" ht="16.5" thickTop="1"/>
    <row r="1518" spans="2:29">
      <c r="B1518" s="314" t="s">
        <v>996</v>
      </c>
    </row>
    <row r="1519" spans="2:29">
      <c r="B1519" s="317" t="s">
        <v>1089</v>
      </c>
      <c r="D1519" s="293">
        <f>'[7]9'!G9</f>
        <v>1353.133204633205</v>
      </c>
      <c r="E1519" s="293">
        <f>[7]Bill!P61</f>
        <v>1380</v>
      </c>
      <c r="G1519" s="339">
        <v>259</v>
      </c>
      <c r="H1519" s="339"/>
      <c r="I1519" s="294">
        <f t="shared" ref="I1519:J1528" si="863">ROUND($G1519*D1519,0)</f>
        <v>350462</v>
      </c>
      <c r="J1519" s="294">
        <f t="shared" si="863"/>
        <v>357420</v>
      </c>
      <c r="L1519" s="339">
        <f>L1479</f>
        <v>268.31</v>
      </c>
      <c r="M1519" s="339"/>
      <c r="N1519" s="339">
        <f>N1479</f>
        <v>3.6899999999999977</v>
      </c>
      <c r="O1519" s="339"/>
      <c r="P1519" s="339">
        <f>P1479</f>
        <v>0</v>
      </c>
      <c r="Q1519" s="339"/>
      <c r="R1519" s="339">
        <f t="shared" ref="R1519:R1526" si="864">R1479</f>
        <v>272</v>
      </c>
      <c r="S1519" s="339"/>
      <c r="T1519" s="294">
        <f>Z1519</f>
        <v>375360</v>
      </c>
      <c r="Z1519" s="294">
        <f>ROUND($E1519*R1519,0)</f>
        <v>375360</v>
      </c>
      <c r="AA1519" s="291" t="s">
        <v>1173</v>
      </c>
    </row>
    <row r="1520" spans="2:29">
      <c r="B1520" s="317" t="s">
        <v>1101</v>
      </c>
      <c r="D1520" s="293">
        <f>'[7]9'!H9</f>
        <v>6361741.5315315304</v>
      </c>
      <c r="E1520" s="293">
        <f>ROUND(D1520/D1535*E1535,0)</f>
        <v>6289855</v>
      </c>
      <c r="G1520" s="339">
        <v>2.2200000000000002</v>
      </c>
      <c r="H1520" s="339"/>
      <c r="I1520" s="294">
        <f>ROUND($G1520*D1520,0)</f>
        <v>14123066</v>
      </c>
      <c r="J1520" s="294">
        <f>ROUND($G1520*E1520,0)</f>
        <v>13963478</v>
      </c>
      <c r="L1520" s="339">
        <f t="shared" ref="L1520:L1526" si="865">L1480</f>
        <v>0</v>
      </c>
      <c r="M1520" s="339"/>
      <c r="N1520" s="339">
        <f t="shared" ref="N1520:N1526" si="866">N1480</f>
        <v>2.33</v>
      </c>
      <c r="O1520" s="339"/>
      <c r="P1520" s="339">
        <f t="shared" ref="P1520:P1526" si="867">P1480</f>
        <v>0</v>
      </c>
      <c r="Q1520" s="339"/>
      <c r="R1520" s="339">
        <f t="shared" si="864"/>
        <v>2.33</v>
      </c>
      <c r="S1520" s="339"/>
      <c r="T1520" s="294">
        <f>Z1520</f>
        <v>14655362</v>
      </c>
      <c r="Z1520" s="294">
        <f t="shared" ref="Z1520:Z1522" si="868">ROUND($E1520*R1520,0)</f>
        <v>14655362</v>
      </c>
    </row>
    <row r="1521" spans="2:29">
      <c r="B1521" s="317" t="s">
        <v>1164</v>
      </c>
      <c r="D1521" s="293">
        <f>D1527*AA1521</f>
        <v>2098305.9316408397</v>
      </c>
      <c r="E1521" s="293">
        <f>ROUND(D1521/D1535*E1535,0)</f>
        <v>2074595</v>
      </c>
      <c r="G1521" s="339"/>
      <c r="H1521" s="339"/>
      <c r="L1521" s="339">
        <f t="shared" si="865"/>
        <v>0</v>
      </c>
      <c r="M1521" s="339"/>
      <c r="N1521" s="339">
        <f t="shared" si="866"/>
        <v>14.65</v>
      </c>
      <c r="O1521" s="339"/>
      <c r="P1521" s="339">
        <f t="shared" si="867"/>
        <v>0</v>
      </c>
      <c r="Q1521" s="339"/>
      <c r="R1521" s="339">
        <f t="shared" si="864"/>
        <v>14.65</v>
      </c>
      <c r="S1521" s="339"/>
      <c r="T1521" s="294">
        <f t="shared" ref="T1521:T1522" si="869">ROUND($E1521*L1521,0)</f>
        <v>0</v>
      </c>
      <c r="V1521" s="294">
        <f t="shared" ref="V1521:V1522" si="870">ROUND($E1521*N1521,0)</f>
        <v>30392817</v>
      </c>
      <c r="X1521" s="294">
        <f t="shared" ref="X1521:X1522" si="871">ROUND($E1521*P1521,0)</f>
        <v>0</v>
      </c>
      <c r="Z1521" s="294">
        <f t="shared" si="868"/>
        <v>30392817</v>
      </c>
      <c r="AA1521" s="291">
        <f>AA1502</f>
        <v>0.8153977208412958</v>
      </c>
    </row>
    <row r="1522" spans="2:29">
      <c r="B1522" s="317" t="s">
        <v>1165</v>
      </c>
      <c r="D1522" s="293">
        <f>D1528*AA1522</f>
        <v>4074744.5310499291</v>
      </c>
      <c r="E1522" s="293">
        <f>ROUND(D1522/D1535*E1535,0)</f>
        <v>4028700</v>
      </c>
      <c r="G1522" s="339"/>
      <c r="H1522" s="339"/>
      <c r="L1522" s="339">
        <f t="shared" si="865"/>
        <v>0</v>
      </c>
      <c r="M1522" s="339"/>
      <c r="N1522" s="339">
        <f t="shared" si="866"/>
        <v>12.96</v>
      </c>
      <c r="O1522" s="339"/>
      <c r="P1522" s="339">
        <f t="shared" si="867"/>
        <v>0</v>
      </c>
      <c r="Q1522" s="339"/>
      <c r="R1522" s="339">
        <f t="shared" si="864"/>
        <v>12.96</v>
      </c>
      <c r="S1522" s="339"/>
      <c r="T1522" s="294">
        <f t="shared" si="869"/>
        <v>0</v>
      </c>
      <c r="V1522" s="294">
        <f t="shared" si="870"/>
        <v>52211952</v>
      </c>
      <c r="X1522" s="294">
        <f t="shared" si="871"/>
        <v>0</v>
      </c>
      <c r="Z1522" s="294">
        <f t="shared" si="868"/>
        <v>52211952</v>
      </c>
      <c r="AA1522" s="291">
        <f>AA1503</f>
        <v>1.1372413252842475</v>
      </c>
    </row>
    <row r="1523" spans="2:29">
      <c r="B1523" s="317" t="s">
        <v>1061</v>
      </c>
      <c r="D1523" s="293">
        <f>D1529*AA1523</f>
        <v>286575117.4575249</v>
      </c>
      <c r="E1523" s="293">
        <f>ROUND(D1523/($D$1535-$D$1532)*$E$1535,0)</f>
        <v>278743855</v>
      </c>
      <c r="G1523" s="377"/>
      <c r="H1523" s="343"/>
      <c r="L1523" s="377">
        <f t="shared" si="865"/>
        <v>0</v>
      </c>
      <c r="M1523" s="343" t="s">
        <v>1062</v>
      </c>
      <c r="N1523" s="377">
        <f t="shared" si="866"/>
        <v>1.1506000000000001</v>
      </c>
      <c r="O1523" s="343" t="s">
        <v>1062</v>
      </c>
      <c r="P1523" s="377">
        <f t="shared" si="867"/>
        <v>3.8523835124000003</v>
      </c>
      <c r="Q1523" s="343" t="s">
        <v>1062</v>
      </c>
      <c r="R1523" s="377">
        <f t="shared" si="864"/>
        <v>5.0029835124000002</v>
      </c>
      <c r="S1523" s="343" t="s">
        <v>1062</v>
      </c>
      <c r="T1523" s="294">
        <f>ROUND($E1523*L1523/100,0)</f>
        <v>0</v>
      </c>
      <c r="V1523" s="294">
        <f>ROUND($E1523*N1523/100,0)</f>
        <v>3207227</v>
      </c>
      <c r="X1523" s="294">
        <f>ROUND($E1523*P1523/100,0)</f>
        <v>10738282</v>
      </c>
      <c r="Y1523" s="346"/>
      <c r="Z1523" s="294">
        <f>ROUND($E1523*R1523/100,0)</f>
        <v>13945509</v>
      </c>
      <c r="AA1523" s="291">
        <f>AA1504</f>
        <v>0.78917940501629313</v>
      </c>
    </row>
    <row r="1524" spans="2:29">
      <c r="B1524" s="317" t="s">
        <v>1166</v>
      </c>
      <c r="D1524" s="293">
        <f>D1530*AA1524</f>
        <v>552650422.18640471</v>
      </c>
      <c r="E1524" s="293">
        <f t="shared" ref="E1524:E1525" si="872">ROUND(D1524/($D$1535-$D$1532)*$E$1535,0)</f>
        <v>537548098</v>
      </c>
      <c r="G1524" s="377"/>
      <c r="H1524" s="343"/>
      <c r="L1524" s="377">
        <f t="shared" si="865"/>
        <v>0</v>
      </c>
      <c r="M1524" s="343" t="s">
        <v>1062</v>
      </c>
      <c r="N1524" s="377">
        <f t="shared" si="866"/>
        <v>1.1506000000000001</v>
      </c>
      <c r="O1524" s="343" t="s">
        <v>1062</v>
      </c>
      <c r="P1524" s="377">
        <f t="shared" si="867"/>
        <v>3.2768190375220003</v>
      </c>
      <c r="Q1524" s="343" t="s">
        <v>1062</v>
      </c>
      <c r="R1524" s="377">
        <f t="shared" si="864"/>
        <v>4.4274190375220002</v>
      </c>
      <c r="S1524" s="343" t="s">
        <v>1062</v>
      </c>
      <c r="T1524" s="294">
        <f t="shared" ref="T1524:T1526" si="873">ROUND($E1524*L1524/100,0)</f>
        <v>0</v>
      </c>
      <c r="V1524" s="294">
        <f t="shared" ref="V1524:V1526" si="874">ROUND($E1524*N1524/100,0)</f>
        <v>6185028</v>
      </c>
      <c r="X1524" s="294">
        <f t="shared" ref="X1524:X1526" si="875">ROUND($E1524*P1524/100,0)</f>
        <v>17614478</v>
      </c>
      <c r="Y1524" s="346"/>
      <c r="Z1524" s="294">
        <f t="shared" ref="Z1524:Z1526" si="876">ROUND($E1524*R1524/100,0)</f>
        <v>23799507</v>
      </c>
      <c r="AA1524" s="291">
        <f>AA1505</f>
        <v>0.56972975514840463</v>
      </c>
    </row>
    <row r="1525" spans="2:29">
      <c r="B1525" s="317" t="s">
        <v>1064</v>
      </c>
      <c r="D1525" s="293">
        <f>SUM(D1529:D1531)*AA1525</f>
        <v>952956333.15677774</v>
      </c>
      <c r="E1525" s="293">
        <f t="shared" si="872"/>
        <v>926914816</v>
      </c>
      <c r="G1525" s="377"/>
      <c r="H1525" s="343"/>
      <c r="L1525" s="377">
        <f t="shared" si="865"/>
        <v>0</v>
      </c>
      <c r="M1525" s="343" t="s">
        <v>1062</v>
      </c>
      <c r="N1525" s="377">
        <f t="shared" si="866"/>
        <v>1.1506000000000001</v>
      </c>
      <c r="O1525" s="343" t="s">
        <v>1062</v>
      </c>
      <c r="P1525" s="377">
        <f t="shared" si="867"/>
        <v>1.5002843230069998</v>
      </c>
      <c r="Q1525" s="343" t="s">
        <v>1062</v>
      </c>
      <c r="R1525" s="377">
        <f t="shared" si="864"/>
        <v>2.6508843230069998</v>
      </c>
      <c r="S1525" s="343" t="s">
        <v>1062</v>
      </c>
      <c r="T1525" s="294">
        <f t="shared" si="873"/>
        <v>0</v>
      </c>
      <c r="V1525" s="294">
        <f t="shared" si="874"/>
        <v>10665082</v>
      </c>
      <c r="X1525" s="294">
        <f t="shared" si="875"/>
        <v>13906358</v>
      </c>
      <c r="Y1525" s="346"/>
      <c r="Z1525" s="294">
        <f t="shared" si="876"/>
        <v>24571440</v>
      </c>
      <c r="AA1525" s="291">
        <f>AA1506</f>
        <v>0.2622704003879433</v>
      </c>
    </row>
    <row r="1526" spans="2:29">
      <c r="B1526" s="317" t="s">
        <v>1167</v>
      </c>
      <c r="D1526" s="293">
        <f>SUM(D1529:D1531)-SUM(D1523:D1525)</f>
        <v>1841306053.1992927</v>
      </c>
      <c r="E1526" s="293">
        <f>E1535-SUM(E1523:E1525)</f>
        <v>1790988528.3959675</v>
      </c>
      <c r="G1526" s="377"/>
      <c r="H1526" s="343"/>
      <c r="L1526" s="377">
        <f t="shared" si="865"/>
        <v>0</v>
      </c>
      <c r="M1526" s="343" t="s">
        <v>1062</v>
      </c>
      <c r="N1526" s="377">
        <f t="shared" si="866"/>
        <v>1.1506000000000001</v>
      </c>
      <c r="O1526" s="343" t="s">
        <v>1062</v>
      </c>
      <c r="P1526" s="377">
        <f t="shared" si="867"/>
        <v>1.1953153300949999</v>
      </c>
      <c r="Q1526" s="343" t="s">
        <v>1062</v>
      </c>
      <c r="R1526" s="377">
        <f t="shared" si="864"/>
        <v>2.345915330095</v>
      </c>
      <c r="S1526" s="343" t="s">
        <v>1062</v>
      </c>
      <c r="T1526" s="294">
        <f t="shared" si="873"/>
        <v>0</v>
      </c>
      <c r="V1526" s="294">
        <f t="shared" si="874"/>
        <v>20607114</v>
      </c>
      <c r="X1526" s="294">
        <f t="shared" si="875"/>
        <v>21407960</v>
      </c>
      <c r="Y1526" s="346"/>
      <c r="Z1526" s="294">
        <f t="shared" si="876"/>
        <v>42015074</v>
      </c>
    </row>
    <row r="1527" spans="2:29">
      <c r="B1527" s="317" t="s">
        <v>1169</v>
      </c>
      <c r="D1527" s="293">
        <f>'[7]9'!J9</f>
        <v>2573352.7063037273</v>
      </c>
      <c r="E1527" s="293">
        <f>ROUND(D1527/D1535*E1535,0)</f>
        <v>2544274</v>
      </c>
      <c r="G1527" s="339">
        <v>13.96</v>
      </c>
      <c r="H1527" s="339"/>
      <c r="I1527" s="294">
        <f t="shared" si="863"/>
        <v>35924004</v>
      </c>
      <c r="J1527" s="294">
        <f t="shared" si="863"/>
        <v>35518065</v>
      </c>
      <c r="L1527" s="339"/>
      <c r="M1527" s="339"/>
      <c r="N1527" s="339"/>
      <c r="O1527" s="339"/>
      <c r="P1527" s="339"/>
      <c r="Q1527" s="339"/>
      <c r="R1527" s="339"/>
      <c r="S1527" s="339"/>
    </row>
    <row r="1528" spans="2:29">
      <c r="B1528" s="317" t="s">
        <v>1171</v>
      </c>
      <c r="D1528" s="293">
        <f>'[7]9'!K9</f>
        <v>3583007.7930306201</v>
      </c>
      <c r="E1528" s="293">
        <f>ROUND(D1528/D1535*E1535,0)</f>
        <v>3542520</v>
      </c>
      <c r="G1528" s="339">
        <v>9.4700000000000006</v>
      </c>
      <c r="H1528" s="339"/>
      <c r="I1528" s="294">
        <f t="shared" si="863"/>
        <v>33931084</v>
      </c>
      <c r="J1528" s="294">
        <f t="shared" si="863"/>
        <v>33547664</v>
      </c>
      <c r="L1528" s="339"/>
      <c r="M1528" s="339"/>
      <c r="N1528" s="339"/>
      <c r="O1528" s="339"/>
      <c r="P1528" s="339"/>
      <c r="Q1528" s="339"/>
      <c r="R1528" s="339"/>
      <c r="S1528" s="339"/>
    </row>
    <row r="1529" spans="2:29">
      <c r="B1529" s="317" t="s">
        <v>1177</v>
      </c>
      <c r="D1529" s="293">
        <f>'[7]9'!M9</f>
        <v>363130507</v>
      </c>
      <c r="E1529" s="293">
        <f>E1535-SUM(E1530:E1532)</f>
        <v>353207209.39596748</v>
      </c>
      <c r="G1529" s="376">
        <v>4.6531000000000002</v>
      </c>
      <c r="H1529" s="343" t="s">
        <v>1062</v>
      </c>
      <c r="I1529" s="294">
        <f t="shared" ref="I1529:J1531" si="877">ROUND($G1529*D1529/100,0)</f>
        <v>16896826</v>
      </c>
      <c r="J1529" s="294">
        <f t="shared" si="877"/>
        <v>16435085</v>
      </c>
      <c r="L1529" s="376"/>
      <c r="M1529" s="343"/>
      <c r="N1529" s="376"/>
      <c r="O1529" s="343"/>
      <c r="P1529" s="376"/>
      <c r="Q1529" s="343"/>
      <c r="R1529" s="376"/>
      <c r="S1529" s="343"/>
      <c r="T1529" s="346"/>
      <c r="U1529" s="346"/>
      <c r="V1529" s="346"/>
      <c r="W1529" s="346"/>
      <c r="X1529" s="346"/>
      <c r="Y1529" s="346"/>
    </row>
    <row r="1530" spans="2:29">
      <c r="B1530" s="317" t="s">
        <v>1179</v>
      </c>
      <c r="D1530" s="293">
        <f>'[7]9'!N9</f>
        <v>970022045</v>
      </c>
      <c r="E1530" s="293">
        <f>ROUND(D1530/(D1535-D1532)*E1535,0)</f>
        <v>943514171</v>
      </c>
      <c r="G1530" s="376">
        <v>3.4988999999999999</v>
      </c>
      <c r="H1530" s="343" t="s">
        <v>1062</v>
      </c>
      <c r="I1530" s="294">
        <f t="shared" si="877"/>
        <v>33940101</v>
      </c>
      <c r="J1530" s="294">
        <f t="shared" si="877"/>
        <v>33012617</v>
      </c>
      <c r="L1530" s="376"/>
      <c r="M1530" s="343"/>
      <c r="N1530" s="376"/>
      <c r="O1530" s="343"/>
      <c r="P1530" s="376"/>
      <c r="Q1530" s="343"/>
      <c r="R1530" s="376"/>
      <c r="S1530" s="343"/>
      <c r="T1530" s="346"/>
      <c r="U1530" s="346"/>
      <c r="V1530" s="346"/>
      <c r="W1530" s="346"/>
      <c r="X1530" s="346"/>
      <c r="Y1530" s="346"/>
    </row>
    <row r="1531" spans="2:29">
      <c r="B1531" s="317" t="s">
        <v>1086</v>
      </c>
      <c r="D1531" s="293">
        <f>'[7]9'!O9</f>
        <v>2300335374</v>
      </c>
      <c r="E1531" s="293">
        <f>ROUND(D1531/(D1535-D1532)*E1535,0)</f>
        <v>2237473917</v>
      </c>
      <c r="G1531" s="376">
        <v>2.9224999999999999</v>
      </c>
      <c r="H1531" s="343" t="s">
        <v>1062</v>
      </c>
      <c r="I1531" s="294">
        <f t="shared" si="877"/>
        <v>67227301</v>
      </c>
      <c r="J1531" s="294">
        <f t="shared" si="877"/>
        <v>65390175</v>
      </c>
      <c r="L1531" s="376"/>
      <c r="M1531" s="343"/>
      <c r="N1531" s="376"/>
      <c r="O1531" s="343"/>
      <c r="P1531" s="376"/>
      <c r="Q1531" s="343"/>
      <c r="R1531" s="376"/>
      <c r="S1531" s="343"/>
      <c r="T1531" s="346"/>
      <c r="U1531" s="346"/>
      <c r="V1531" s="346"/>
      <c r="W1531" s="346"/>
      <c r="X1531" s="346"/>
      <c r="Y1531" s="346"/>
    </row>
    <row r="1532" spans="2:29">
      <c r="B1532" s="317" t="s">
        <v>1078</v>
      </c>
      <c r="D1532" s="357">
        <f>'[7]Table 2'!J91</f>
        <v>-58900180</v>
      </c>
      <c r="E1532" s="357">
        <v>0</v>
      </c>
      <c r="I1532" s="358">
        <f>'[7]Table 3'!F91</f>
        <v>-2988512</v>
      </c>
      <c r="J1532" s="358">
        <v>0</v>
      </c>
      <c r="Z1532" s="358">
        <f>Z1551+Z1570</f>
        <v>0</v>
      </c>
    </row>
    <row r="1533" spans="2:29">
      <c r="B1533" s="317" t="s">
        <v>1079</v>
      </c>
      <c r="G1533" s="338">
        <v>-3.0700000000000002E-2</v>
      </c>
      <c r="H1533" s="339"/>
      <c r="I1533" s="294">
        <f>SUM(I1527:I1531)*$G1533</f>
        <v>-5769123.0012000008</v>
      </c>
      <c r="J1533" s="294">
        <f>SUM(J1527:J1531)*$G1533</f>
        <v>-5645840.7042000005</v>
      </c>
      <c r="L1533" s="338"/>
      <c r="M1533" s="339"/>
      <c r="N1533" s="338"/>
      <c r="O1533" s="339"/>
      <c r="P1533" s="359" t="str">
        <f>$P$43</f>
        <v>Tax Year 1</v>
      </c>
      <c r="Q1533" s="339"/>
      <c r="R1533" s="338">
        <f>$AD$1491</f>
        <v>-2.2599999999999999E-2</v>
      </c>
      <c r="S1533" s="339"/>
      <c r="Z1533" s="294">
        <f>R1533*SUM(Z1521:Z1526)</f>
        <v>-4224760.3574000001</v>
      </c>
    </row>
    <row r="1534" spans="2:29">
      <c r="B1534" s="317"/>
      <c r="G1534" s="338"/>
      <c r="H1534" s="339"/>
      <c r="L1534" s="338"/>
      <c r="M1534" s="339"/>
      <c r="N1534" s="338"/>
      <c r="O1534" s="339"/>
      <c r="P1534" s="359" t="str">
        <f>$P$44</f>
        <v>Tax Year 2</v>
      </c>
      <c r="Q1534" s="339"/>
      <c r="R1534" s="338">
        <f>$AD$1492</f>
        <v>-1.1299999999999999E-2</v>
      </c>
      <c r="S1534" s="339"/>
      <c r="Z1534" s="294">
        <f>R1534*SUM(Z1521:Z1526)</f>
        <v>-2112380.1787</v>
      </c>
    </row>
    <row r="1535" spans="2:29" ht="16.5" thickBot="1">
      <c r="B1535" s="317" t="s">
        <v>937</v>
      </c>
      <c r="D1535" s="381">
        <f>SUM(D1529:D1532)</f>
        <v>3574587746</v>
      </c>
      <c r="E1535" s="381">
        <f>[7]Energy!P61</f>
        <v>3534195297.3959675</v>
      </c>
      <c r="G1535" s="368"/>
      <c r="I1535" s="369">
        <f>SUM(I1519:I1533)</f>
        <v>193635208.99880001</v>
      </c>
      <c r="J1535" s="369">
        <f>SUM(J1519:J1533)</f>
        <v>192578663.2958</v>
      </c>
      <c r="L1535" s="368"/>
      <c r="N1535" s="368"/>
      <c r="P1535" s="368"/>
      <c r="R1535" s="368"/>
      <c r="T1535" s="369">
        <f>SUM(T1519:T1532)</f>
        <v>15030722</v>
      </c>
      <c r="V1535" s="369">
        <f>SUM(V1519:V1532)</f>
        <v>123269220</v>
      </c>
      <c r="X1535" s="369">
        <f>SUM(X1519:X1532)</f>
        <v>63667078</v>
      </c>
      <c r="Z1535" s="369">
        <f>SUM(Z1519:Z1532)</f>
        <v>201967021</v>
      </c>
      <c r="AB1535" s="305" t="s">
        <v>939</v>
      </c>
      <c r="AC1535" s="304">
        <f>Z1535/J1535-1</f>
        <v>4.8750767834438324E-2</v>
      </c>
    </row>
    <row r="1537" spans="1:29">
      <c r="A1537" s="292">
        <v>1</v>
      </c>
      <c r="B1537" s="314" t="s">
        <v>997</v>
      </c>
      <c r="G1537" s="377"/>
      <c r="H1537" s="377"/>
      <c r="L1537" s="377"/>
      <c r="M1537" s="377"/>
      <c r="N1537" s="377"/>
      <c r="O1537" s="377"/>
      <c r="P1537" s="377"/>
      <c r="Q1537" s="377"/>
      <c r="R1537" s="377"/>
      <c r="S1537" s="377"/>
    </row>
    <row r="1538" spans="1:29">
      <c r="B1538" s="317" t="s">
        <v>1089</v>
      </c>
      <c r="D1538" s="293">
        <f>D1560+D1582</f>
        <v>108</v>
      </c>
      <c r="E1538" s="293">
        <f>E1560+E1582</f>
        <v>108</v>
      </c>
      <c r="G1538" s="318">
        <v>259</v>
      </c>
      <c r="H1538" s="318"/>
      <c r="I1538" s="294">
        <f>ROUND($G1538*D1538,0)</f>
        <v>27972</v>
      </c>
      <c r="J1538" s="294">
        <f>ROUND($G1538*E1538,0)</f>
        <v>27972</v>
      </c>
      <c r="L1538" s="318">
        <f>L1479</f>
        <v>268.31</v>
      </c>
      <c r="M1538" s="318"/>
      <c r="N1538" s="318">
        <f>N1479</f>
        <v>3.6899999999999977</v>
      </c>
      <c r="O1538" s="318"/>
      <c r="P1538" s="318">
        <f>P1479</f>
        <v>0</v>
      </c>
      <c r="Q1538" s="318"/>
      <c r="R1538" s="318">
        <f>R1479</f>
        <v>272</v>
      </c>
      <c r="S1538" s="318"/>
      <c r="T1538" s="294">
        <f>Z1538</f>
        <v>29376</v>
      </c>
      <c r="Y1538" s="319"/>
      <c r="Z1538" s="294">
        <f>ROUND($E1538*R1538,0)</f>
        <v>29376</v>
      </c>
      <c r="AB1538" s="305"/>
      <c r="AC1538" s="325"/>
    </row>
    <row r="1539" spans="1:29">
      <c r="B1539" s="317" t="s">
        <v>1181</v>
      </c>
      <c r="D1539" s="293">
        <f>D1561+D1583</f>
        <v>234406</v>
      </c>
      <c r="E1539" s="293">
        <f>E1561+E1583</f>
        <v>243087</v>
      </c>
      <c r="G1539" s="318">
        <v>2.2200000000000002</v>
      </c>
      <c r="H1539" s="318"/>
      <c r="I1539" s="294">
        <f>ROUND($G1539*D1539,0)</f>
        <v>520381</v>
      </c>
      <c r="J1539" s="294">
        <f>ROUND($G1539*E1539,0)</f>
        <v>539653</v>
      </c>
      <c r="L1539" s="318">
        <f t="shared" ref="L1539" si="878">L1480</f>
        <v>0</v>
      </c>
      <c r="M1539" s="318"/>
      <c r="N1539" s="318">
        <f t="shared" ref="N1539" si="879">N1480</f>
        <v>2.33</v>
      </c>
      <c r="O1539" s="318"/>
      <c r="P1539" s="318">
        <f t="shared" ref="P1539" si="880">P1480</f>
        <v>0</v>
      </c>
      <c r="Q1539" s="318"/>
      <c r="R1539" s="318">
        <f>R1480</f>
        <v>2.33</v>
      </c>
      <c r="S1539" s="318"/>
      <c r="T1539" s="294">
        <f>Z1539</f>
        <v>566393</v>
      </c>
      <c r="Y1539" s="319"/>
      <c r="Z1539" s="294">
        <f t="shared" ref="Z1539:Z1541" si="881">ROUND($E1539*R1539,0)</f>
        <v>566393</v>
      </c>
      <c r="AB1539" s="305"/>
      <c r="AC1539" s="305"/>
    </row>
    <row r="1540" spans="1:29">
      <c r="B1540" s="317" t="s">
        <v>1164</v>
      </c>
      <c r="D1540" s="293">
        <f t="shared" ref="D1540:E1554" si="882">D1562+D1584</f>
        <v>73725.815725307446</v>
      </c>
      <c r="E1540" s="293">
        <f t="shared" si="882"/>
        <v>76434</v>
      </c>
      <c r="G1540" s="339"/>
      <c r="H1540" s="339"/>
      <c r="L1540" s="339">
        <f>L1481*$AC1540</f>
        <v>0</v>
      </c>
      <c r="M1540" s="339"/>
      <c r="N1540" s="339">
        <f>N1481*$AC1540</f>
        <v>4.8345000000000002</v>
      </c>
      <c r="O1540" s="339"/>
      <c r="P1540" s="339">
        <f>P1481*$AC1540</f>
        <v>0</v>
      </c>
      <c r="Q1540" s="339"/>
      <c r="R1540" s="339">
        <f>R1481*$AC1540</f>
        <v>4.8345000000000002</v>
      </c>
      <c r="S1540" s="339"/>
      <c r="T1540" s="294">
        <f t="shared" ref="T1540:T1541" si="883">ROUND($E1540*L1540,0)</f>
        <v>0</v>
      </c>
      <c r="V1540" s="294">
        <f t="shared" ref="V1540:V1541" si="884">ROUND($E1540*N1540,0)</f>
        <v>369520</v>
      </c>
      <c r="X1540" s="294">
        <f t="shared" ref="X1540:X1541" si="885">ROUND($E1540*P1540,0)</f>
        <v>0</v>
      </c>
      <c r="Z1540" s="294">
        <f t="shared" si="881"/>
        <v>369520</v>
      </c>
      <c r="AB1540" s="292" t="s">
        <v>1182</v>
      </c>
      <c r="AC1540" s="292">
        <v>0.33</v>
      </c>
    </row>
    <row r="1541" spans="1:29">
      <c r="B1541" s="317" t="s">
        <v>1165</v>
      </c>
      <c r="D1541" s="293">
        <f t="shared" si="882"/>
        <v>163750.24118635349</v>
      </c>
      <c r="E1541" s="293">
        <f t="shared" si="882"/>
        <v>169846</v>
      </c>
      <c r="G1541" s="339"/>
      <c r="H1541" s="339"/>
      <c r="L1541" s="339">
        <f>L1482*$AC1541</f>
        <v>0</v>
      </c>
      <c r="M1541" s="339"/>
      <c r="N1541" s="339">
        <f>N1482*$AC1541</f>
        <v>4.2768000000000006</v>
      </c>
      <c r="O1541" s="339"/>
      <c r="P1541" s="339">
        <f>P1482*$AC1541</f>
        <v>0</v>
      </c>
      <c r="Q1541" s="339"/>
      <c r="R1541" s="339">
        <f>R1482*$AC1541</f>
        <v>4.2768000000000006</v>
      </c>
      <c r="S1541" s="339"/>
      <c r="T1541" s="294">
        <f t="shared" si="883"/>
        <v>0</v>
      </c>
      <c r="V1541" s="294">
        <f t="shared" si="884"/>
        <v>726397</v>
      </c>
      <c r="X1541" s="294">
        <f t="shared" si="885"/>
        <v>0</v>
      </c>
      <c r="Z1541" s="294">
        <f t="shared" si="881"/>
        <v>726397</v>
      </c>
      <c r="AC1541" s="292">
        <f>AC1540</f>
        <v>0.33</v>
      </c>
    </row>
    <row r="1542" spans="1:29">
      <c r="B1542" s="317" t="s">
        <v>1061</v>
      </c>
      <c r="D1542" s="293">
        <f t="shared" si="882"/>
        <v>7449548.1709240656</v>
      </c>
      <c r="E1542" s="293">
        <f t="shared" si="882"/>
        <v>7779851</v>
      </c>
      <c r="G1542" s="377"/>
      <c r="H1542" s="343"/>
      <c r="L1542" s="377">
        <f t="shared" ref="L1542:L1545" si="886">L1483</f>
        <v>0</v>
      </c>
      <c r="M1542" s="343" t="s">
        <v>1062</v>
      </c>
      <c r="N1542" s="377">
        <f t="shared" ref="N1542:N1545" si="887">N1483</f>
        <v>1.1506000000000001</v>
      </c>
      <c r="O1542" s="343" t="s">
        <v>1062</v>
      </c>
      <c r="P1542" s="377">
        <f t="shared" ref="P1542:P1545" si="888">P1483</f>
        <v>3.8523835124000003</v>
      </c>
      <c r="Q1542" s="343" t="s">
        <v>1062</v>
      </c>
      <c r="R1542" s="377">
        <f>R1483</f>
        <v>5.0029835124000002</v>
      </c>
      <c r="S1542" s="343" t="s">
        <v>1062</v>
      </c>
      <c r="T1542" s="294">
        <f>ROUND($E1542*L1542/100,0)</f>
        <v>0</v>
      </c>
      <c r="V1542" s="294">
        <f>ROUND($E1542*N1542/100,0)</f>
        <v>89515</v>
      </c>
      <c r="X1542" s="294">
        <f>ROUND($E1542*P1542/100,0)</f>
        <v>299710</v>
      </c>
      <c r="Y1542" s="346"/>
      <c r="Z1542" s="294">
        <f>ROUND($E1542*R1542/100,0)</f>
        <v>389225</v>
      </c>
    </row>
    <row r="1543" spans="1:29">
      <c r="B1543" s="317" t="s">
        <v>1166</v>
      </c>
      <c r="D1543" s="293">
        <f t="shared" si="882"/>
        <v>7791046.4254378611</v>
      </c>
      <c r="E1543" s="293">
        <f t="shared" si="882"/>
        <v>8139685</v>
      </c>
      <c r="G1543" s="377"/>
      <c r="H1543" s="343"/>
      <c r="L1543" s="377">
        <f t="shared" si="886"/>
        <v>0</v>
      </c>
      <c r="M1543" s="343" t="s">
        <v>1062</v>
      </c>
      <c r="N1543" s="377">
        <f t="shared" si="887"/>
        <v>1.1506000000000001</v>
      </c>
      <c r="O1543" s="343" t="s">
        <v>1062</v>
      </c>
      <c r="P1543" s="377">
        <f t="shared" si="888"/>
        <v>3.2768190375220003</v>
      </c>
      <c r="Q1543" s="343" t="s">
        <v>1062</v>
      </c>
      <c r="R1543" s="377">
        <f>R1484</f>
        <v>4.4274190375220002</v>
      </c>
      <c r="S1543" s="343" t="s">
        <v>1062</v>
      </c>
      <c r="T1543" s="294">
        <f t="shared" ref="T1543:T1545" si="889">ROUND($E1543*L1543/100,0)</f>
        <v>0</v>
      </c>
      <c r="V1543" s="294">
        <f t="shared" ref="V1543:V1545" si="890">ROUND($E1543*N1543/100,0)</f>
        <v>93655</v>
      </c>
      <c r="X1543" s="294">
        <f t="shared" ref="X1543:X1545" si="891">ROUND($E1543*P1543/100,0)</f>
        <v>266723</v>
      </c>
      <c r="Y1543" s="346"/>
      <c r="Z1543" s="294">
        <f t="shared" ref="Z1543:Z1545" si="892">ROUND($E1543*R1543/100,0)</f>
        <v>360378</v>
      </c>
    </row>
    <row r="1544" spans="1:29">
      <c r="B1544" s="317" t="s">
        <v>1064</v>
      </c>
      <c r="D1544" s="293">
        <f t="shared" si="882"/>
        <v>5267493.131027936</v>
      </c>
      <c r="E1544" s="293">
        <f t="shared" si="882"/>
        <v>5505374</v>
      </c>
      <c r="G1544" s="377"/>
      <c r="H1544" s="343"/>
      <c r="L1544" s="377">
        <f t="shared" si="886"/>
        <v>0</v>
      </c>
      <c r="M1544" s="343" t="s">
        <v>1062</v>
      </c>
      <c r="N1544" s="377">
        <f t="shared" si="887"/>
        <v>1.1506000000000001</v>
      </c>
      <c r="O1544" s="343" t="s">
        <v>1062</v>
      </c>
      <c r="P1544" s="377">
        <f t="shared" si="888"/>
        <v>1.5002843230069998</v>
      </c>
      <c r="Q1544" s="343" t="s">
        <v>1062</v>
      </c>
      <c r="R1544" s="377">
        <f>R1485</f>
        <v>2.6508843230069998</v>
      </c>
      <c r="S1544" s="343" t="s">
        <v>1062</v>
      </c>
      <c r="T1544" s="294">
        <f t="shared" si="889"/>
        <v>0</v>
      </c>
      <c r="V1544" s="294">
        <f t="shared" si="890"/>
        <v>63345</v>
      </c>
      <c r="X1544" s="294">
        <f t="shared" si="891"/>
        <v>82596</v>
      </c>
      <c r="Y1544" s="346"/>
      <c r="Z1544" s="294">
        <f t="shared" si="892"/>
        <v>145941</v>
      </c>
    </row>
    <row r="1545" spans="1:29">
      <c r="B1545" s="317" t="s">
        <v>1167</v>
      </c>
      <c r="D1545" s="293">
        <f t="shared" si="882"/>
        <v>20032863.272610135</v>
      </c>
      <c r="E1545" s="293">
        <f t="shared" si="882"/>
        <v>20515377.423445866</v>
      </c>
      <c r="G1545" s="377"/>
      <c r="H1545" s="343"/>
      <c r="L1545" s="377">
        <f t="shared" si="886"/>
        <v>0</v>
      </c>
      <c r="M1545" s="343" t="s">
        <v>1062</v>
      </c>
      <c r="N1545" s="377">
        <f t="shared" si="887"/>
        <v>1.1506000000000001</v>
      </c>
      <c r="O1545" s="343" t="s">
        <v>1062</v>
      </c>
      <c r="P1545" s="377">
        <f t="shared" si="888"/>
        <v>1.1953153300949999</v>
      </c>
      <c r="Q1545" s="343" t="s">
        <v>1062</v>
      </c>
      <c r="R1545" s="377">
        <f>R1486</f>
        <v>2.345915330095</v>
      </c>
      <c r="S1545" s="343" t="s">
        <v>1062</v>
      </c>
      <c r="T1545" s="294">
        <f t="shared" si="889"/>
        <v>0</v>
      </c>
      <c r="V1545" s="294">
        <f t="shared" si="890"/>
        <v>236050</v>
      </c>
      <c r="X1545" s="294">
        <f t="shared" si="891"/>
        <v>245223</v>
      </c>
      <c r="Y1545" s="346"/>
      <c r="Z1545" s="294">
        <f t="shared" si="892"/>
        <v>481273</v>
      </c>
    </row>
    <row r="1546" spans="1:29">
      <c r="B1546" s="317" t="s">
        <v>1183</v>
      </c>
      <c r="D1546" s="293">
        <f t="shared" si="882"/>
        <v>90417</v>
      </c>
      <c r="E1546" s="293">
        <f t="shared" si="882"/>
        <v>0</v>
      </c>
      <c r="G1546" s="377"/>
      <c r="H1546" s="343"/>
      <c r="L1546" s="377"/>
      <c r="M1546" s="343"/>
      <c r="N1546" s="377"/>
      <c r="O1546" s="343"/>
      <c r="P1546" s="377"/>
      <c r="Q1546" s="343"/>
      <c r="R1546" s="377"/>
      <c r="S1546" s="343"/>
      <c r="T1546" s="346"/>
      <c r="U1546" s="346"/>
      <c r="V1546" s="346"/>
      <c r="W1546" s="346"/>
      <c r="X1546" s="346"/>
      <c r="Y1546" s="346"/>
    </row>
    <row r="1547" spans="1:29">
      <c r="B1547" s="317" t="s">
        <v>1184</v>
      </c>
      <c r="D1547" s="293">
        <f t="shared" si="882"/>
        <v>143989</v>
      </c>
      <c r="E1547" s="293">
        <f t="shared" si="882"/>
        <v>0</v>
      </c>
      <c r="G1547" s="377"/>
      <c r="H1547" s="343"/>
      <c r="L1547" s="377"/>
      <c r="M1547" s="343"/>
      <c r="N1547" s="377"/>
      <c r="O1547" s="343"/>
      <c r="P1547" s="377"/>
      <c r="Q1547" s="343"/>
      <c r="R1547" s="377"/>
      <c r="S1547" s="343"/>
      <c r="T1547" s="346"/>
      <c r="U1547" s="346"/>
      <c r="V1547" s="346"/>
      <c r="W1547" s="346"/>
      <c r="X1547" s="346"/>
      <c r="Y1547" s="346"/>
    </row>
    <row r="1548" spans="1:29">
      <c r="B1548" s="317" t="s">
        <v>1185</v>
      </c>
      <c r="D1548" s="293">
        <f t="shared" si="882"/>
        <v>9439613</v>
      </c>
      <c r="E1548" s="293">
        <f t="shared" si="882"/>
        <v>0</v>
      </c>
      <c r="G1548" s="377"/>
      <c r="H1548" s="343"/>
      <c r="L1548" s="377"/>
      <c r="M1548" s="343"/>
      <c r="N1548" s="377"/>
      <c r="O1548" s="343"/>
      <c r="P1548" s="377"/>
      <c r="Q1548" s="343"/>
      <c r="R1548" s="377"/>
      <c r="S1548" s="343"/>
      <c r="T1548" s="346"/>
      <c r="U1548" s="346"/>
      <c r="V1548" s="346"/>
      <c r="W1548" s="346"/>
      <c r="X1548" s="346"/>
      <c r="Y1548" s="346"/>
    </row>
    <row r="1549" spans="1:29">
      <c r="B1549" s="317" t="s">
        <v>1186</v>
      </c>
      <c r="D1549" s="293">
        <f t="shared" si="882"/>
        <v>13674986</v>
      </c>
      <c r="E1549" s="293">
        <f t="shared" si="882"/>
        <v>0</v>
      </c>
      <c r="G1549" s="377"/>
      <c r="H1549" s="343"/>
      <c r="L1549" s="377"/>
      <c r="M1549" s="343"/>
      <c r="N1549" s="377"/>
      <c r="O1549" s="343"/>
      <c r="P1549" s="377"/>
      <c r="Q1549" s="343"/>
      <c r="R1549" s="377"/>
      <c r="S1549" s="343"/>
      <c r="T1549" s="346"/>
      <c r="U1549" s="346"/>
      <c r="V1549" s="346"/>
      <c r="W1549" s="346"/>
      <c r="X1549" s="346"/>
      <c r="Y1549" s="346"/>
    </row>
    <row r="1550" spans="1:29">
      <c r="B1550" s="317" t="s">
        <v>1187</v>
      </c>
      <c r="D1550" s="293">
        <f t="shared" si="882"/>
        <v>6528100</v>
      </c>
      <c r="E1550" s="293">
        <f t="shared" si="882"/>
        <v>0</v>
      </c>
      <c r="G1550" s="377"/>
      <c r="H1550" s="343"/>
      <c r="L1550" s="377"/>
      <c r="M1550" s="343"/>
      <c r="N1550" s="377"/>
      <c r="O1550" s="343"/>
      <c r="P1550" s="377"/>
      <c r="Q1550" s="343"/>
      <c r="R1550" s="377"/>
      <c r="S1550" s="343"/>
      <c r="T1550" s="346"/>
      <c r="U1550" s="346"/>
      <c r="V1550" s="346"/>
      <c r="W1550" s="346"/>
      <c r="X1550" s="346"/>
      <c r="Y1550" s="346"/>
    </row>
    <row r="1551" spans="1:29">
      <c r="B1551" s="317" t="s">
        <v>1188</v>
      </c>
      <c r="D1551" s="293">
        <f t="shared" si="882"/>
        <v>10898252</v>
      </c>
      <c r="E1551" s="293">
        <f t="shared" si="882"/>
        <v>0</v>
      </c>
      <c r="G1551" s="377"/>
      <c r="H1551" s="343"/>
      <c r="L1551" s="377"/>
      <c r="M1551" s="343"/>
      <c r="N1551" s="377"/>
      <c r="O1551" s="343"/>
      <c r="P1551" s="377"/>
      <c r="Q1551" s="343"/>
      <c r="R1551" s="377"/>
      <c r="S1551" s="343"/>
      <c r="T1551" s="346"/>
      <c r="U1551" s="346"/>
      <c r="V1551" s="346"/>
      <c r="W1551" s="346"/>
      <c r="X1551" s="346"/>
      <c r="Y1551" s="346"/>
    </row>
    <row r="1552" spans="1:29">
      <c r="B1552" s="317" t="s">
        <v>1085</v>
      </c>
      <c r="D1552" s="293">
        <f t="shared" si="882"/>
        <v>23114599</v>
      </c>
      <c r="E1552" s="293">
        <f t="shared" si="882"/>
        <v>23854513</v>
      </c>
      <c r="G1552" s="342">
        <v>8.6029</v>
      </c>
      <c r="H1552" s="343" t="s">
        <v>1062</v>
      </c>
      <c r="I1552" s="294">
        <f>ROUND($G1552*D1552/100,0)</f>
        <v>1988526</v>
      </c>
      <c r="J1552" s="294">
        <f>ROUND($G1552*E1552/100,0)</f>
        <v>2052180</v>
      </c>
      <c r="L1552" s="342"/>
      <c r="M1552" s="343"/>
      <c r="N1552" s="342"/>
      <c r="O1552" s="343"/>
      <c r="P1552" s="342"/>
      <c r="Q1552" s="343"/>
      <c r="R1552" s="342"/>
      <c r="S1552" s="343"/>
      <c r="T1552" s="346"/>
      <c r="U1552" s="346"/>
      <c r="V1552" s="346"/>
      <c r="W1552" s="346"/>
      <c r="X1552" s="346"/>
      <c r="Y1552" s="346"/>
      <c r="AB1552" s="378"/>
      <c r="AC1552" s="305"/>
    </row>
    <row r="1553" spans="1:30">
      <c r="B1553" s="317" t="s">
        <v>1086</v>
      </c>
      <c r="D1553" s="293">
        <f t="shared" si="882"/>
        <v>17426352</v>
      </c>
      <c r="E1553" s="293">
        <f t="shared" si="882"/>
        <v>18085775</v>
      </c>
      <c r="G1553" s="342">
        <v>3.6981000000000002</v>
      </c>
      <c r="H1553" s="343" t="s">
        <v>1062</v>
      </c>
      <c r="I1553" s="294">
        <f>ROUND($G1553*D1553/100,0)</f>
        <v>644444</v>
      </c>
      <c r="J1553" s="294">
        <f>ROUND($G1553*E1553/100,0)</f>
        <v>668830</v>
      </c>
      <c r="L1553" s="342"/>
      <c r="M1553" s="343"/>
      <c r="N1553" s="342"/>
      <c r="O1553" s="343"/>
      <c r="P1553" s="342"/>
      <c r="Q1553" s="343"/>
      <c r="R1553" s="342"/>
      <c r="S1553" s="343"/>
      <c r="T1553" s="346"/>
      <c r="U1553" s="346"/>
      <c r="V1553" s="346"/>
      <c r="W1553" s="346"/>
      <c r="X1553" s="346"/>
      <c r="Y1553" s="346"/>
      <c r="AB1553" s="305"/>
      <c r="AC1553" s="304"/>
    </row>
    <row r="1554" spans="1:30">
      <c r="B1554" s="317" t="s">
        <v>1078</v>
      </c>
      <c r="D1554" s="357">
        <f t="shared" si="882"/>
        <v>-164095</v>
      </c>
      <c r="E1554" s="357">
        <f t="shared" si="882"/>
        <v>0</v>
      </c>
      <c r="I1554" s="358">
        <f>I1576+I1598</f>
        <v>-14979</v>
      </c>
      <c r="J1554" s="358">
        <f>J1576+J1598</f>
        <v>0</v>
      </c>
      <c r="Z1554" s="358"/>
      <c r="AB1554" s="305"/>
      <c r="AC1554" s="304"/>
    </row>
    <row r="1555" spans="1:30">
      <c r="B1555" s="317" t="s">
        <v>1079</v>
      </c>
      <c r="G1555" s="338">
        <v>-3.4099999999999998E-2</v>
      </c>
      <c r="H1555" s="339"/>
      <c r="I1555" s="294">
        <f>SUM(I1552:I1553)*$G1555</f>
        <v>-89784.277000000002</v>
      </c>
      <c r="J1555" s="294">
        <f>SUM(J1552:J1553)*$G1555</f>
        <v>-92786.440999999992</v>
      </c>
      <c r="L1555" s="338"/>
      <c r="M1555" s="339"/>
      <c r="N1555" s="338"/>
      <c r="O1555" s="339"/>
      <c r="P1555" s="359" t="str">
        <f>$P$43</f>
        <v>Tax Year 1</v>
      </c>
      <c r="Q1555" s="339"/>
      <c r="R1555" s="338">
        <f>$AD$1491</f>
        <v>-2.2599999999999999E-2</v>
      </c>
      <c r="S1555" s="339"/>
      <c r="Z1555" s="294">
        <f>R1555*SUM(Z1540:Z1545)</f>
        <v>-55883.788399999998</v>
      </c>
      <c r="AB1555" s="305"/>
      <c r="AC1555" s="304"/>
    </row>
    <row r="1556" spans="1:30">
      <c r="B1556" s="317"/>
      <c r="G1556" s="338"/>
      <c r="H1556" s="339"/>
      <c r="L1556" s="338"/>
      <c r="M1556" s="339"/>
      <c r="N1556" s="338"/>
      <c r="O1556" s="339"/>
      <c r="P1556" s="359" t="str">
        <f>$P$44</f>
        <v>Tax Year 2</v>
      </c>
      <c r="Q1556" s="339"/>
      <c r="R1556" s="338">
        <f>$AD$1492</f>
        <v>-1.1299999999999999E-2</v>
      </c>
      <c r="S1556" s="339"/>
      <c r="Z1556" s="294">
        <f>R1556*SUM(Z1540:Z1545)</f>
        <v>-27941.894199999999</v>
      </c>
      <c r="AB1556" s="305"/>
      <c r="AC1556" s="304"/>
      <c r="AD1556" s="292">
        <f>AD1557/3</f>
        <v>0.21522791238953279</v>
      </c>
    </row>
    <row r="1557" spans="1:30" ht="16.5" thickBot="1">
      <c r="A1557" s="292">
        <v>1</v>
      </c>
      <c r="B1557" s="317" t="s">
        <v>937</v>
      </c>
      <c r="D1557" s="381">
        <f>SUM(D1552:D1554)</f>
        <v>40376856</v>
      </c>
      <c r="E1557" s="381">
        <f>SUM(E1552:E1554)</f>
        <v>41940288</v>
      </c>
      <c r="G1557" s="368"/>
      <c r="I1557" s="369">
        <f>SUM(I1538:I1555)</f>
        <v>3076559.7230000002</v>
      </c>
      <c r="J1557" s="369">
        <f>SUM(J1538:J1555)</f>
        <v>3195848.5589999999</v>
      </c>
      <c r="L1557" s="368"/>
      <c r="N1557" s="368"/>
      <c r="P1557" s="368"/>
      <c r="R1557" s="368"/>
      <c r="T1557" s="369">
        <f>SUM(T1538:T1545)</f>
        <v>595769</v>
      </c>
      <c r="V1557" s="369">
        <f>SUM(V1538:V1545)</f>
        <v>1578482</v>
      </c>
      <c r="X1557" s="369">
        <f>SUM(X1538:X1545)</f>
        <v>894252</v>
      </c>
      <c r="Z1557" s="369">
        <f>SUM(Z1538:Z1545)</f>
        <v>3068503</v>
      </c>
      <c r="AB1557" s="305" t="s">
        <v>939</v>
      </c>
      <c r="AC1557" s="304">
        <f>Z1557/J1557-1</f>
        <v>-3.9847181945269372E-2</v>
      </c>
      <c r="AD1557" s="292">
        <v>0.64568373716859839</v>
      </c>
    </row>
    <row r="1558" spans="1:30" ht="16.5" thickTop="1">
      <c r="A1558" s="292">
        <v>1</v>
      </c>
    </row>
    <row r="1559" spans="1:30">
      <c r="B1559" s="314" t="s">
        <v>998</v>
      </c>
      <c r="G1559" s="377"/>
      <c r="H1559" s="377"/>
      <c r="L1559" s="377"/>
      <c r="M1559" s="377"/>
      <c r="N1559" s="377"/>
      <c r="O1559" s="377"/>
      <c r="P1559" s="377"/>
      <c r="Q1559" s="377"/>
      <c r="R1559" s="377"/>
      <c r="S1559" s="377"/>
      <c r="AB1559" s="305"/>
      <c r="AC1559" s="337"/>
      <c r="AD1559" s="338"/>
    </row>
    <row r="1560" spans="1:30">
      <c r="B1560" s="317" t="s">
        <v>1089</v>
      </c>
      <c r="D1560" s="293">
        <f>'[7]9A'!G6</f>
        <v>24</v>
      </c>
      <c r="E1560" s="293">
        <f>[7]Bill!P37</f>
        <v>24</v>
      </c>
      <c r="G1560" s="318">
        <v>259</v>
      </c>
      <c r="H1560" s="318"/>
      <c r="I1560" s="294">
        <f>ROUND($G1560*D1560,0)</f>
        <v>6216</v>
      </c>
      <c r="J1560" s="294">
        <f>ROUND($G1560*E1560,0)</f>
        <v>6216</v>
      </c>
      <c r="L1560" s="318">
        <f>L1538</f>
        <v>268.31</v>
      </c>
      <c r="M1560" s="318"/>
      <c r="N1560" s="318">
        <f>N1538</f>
        <v>3.6899999999999977</v>
      </c>
      <c r="O1560" s="318"/>
      <c r="P1560" s="318">
        <f>P1538</f>
        <v>0</v>
      </c>
      <c r="Q1560" s="318"/>
      <c r="R1560" s="318">
        <f>R1538</f>
        <v>272</v>
      </c>
      <c r="S1560" s="318"/>
      <c r="T1560" s="294">
        <f>Z1560</f>
        <v>6528</v>
      </c>
      <c r="Y1560" s="319"/>
      <c r="Z1560" s="294">
        <f>ROUND($E1560*R1560,0)</f>
        <v>6528</v>
      </c>
      <c r="AB1560" s="305"/>
      <c r="AC1560" s="337"/>
      <c r="AD1560" s="338"/>
    </row>
    <row r="1561" spans="1:30">
      <c r="B1561" s="317" t="s">
        <v>1181</v>
      </c>
      <c r="D1561" s="293">
        <f>'[7]9A'!H6</f>
        <v>72449</v>
      </c>
      <c r="E1561" s="293">
        <f>ROUND(D1561/D1579*E1579,0)</f>
        <v>75455</v>
      </c>
      <c r="G1561" s="318">
        <v>2.2200000000000002</v>
      </c>
      <c r="H1561" s="318"/>
      <c r="I1561" s="294">
        <f>ROUND($G1561*D1561,0)</f>
        <v>160837</v>
      </c>
      <c r="J1561" s="294">
        <f>ROUND($G1561*E1561,0)</f>
        <v>167510</v>
      </c>
      <c r="L1561" s="318">
        <f t="shared" ref="L1561:L1567" si="893">L1539</f>
        <v>0</v>
      </c>
      <c r="M1561" s="318"/>
      <c r="N1561" s="318">
        <f t="shared" ref="N1561:N1567" si="894">N1539</f>
        <v>2.33</v>
      </c>
      <c r="O1561" s="318"/>
      <c r="P1561" s="318">
        <f t="shared" ref="P1561:P1567" si="895">P1539</f>
        <v>0</v>
      </c>
      <c r="Q1561" s="318"/>
      <c r="R1561" s="318">
        <f t="shared" ref="R1561:R1567" si="896">R1539</f>
        <v>2.33</v>
      </c>
      <c r="S1561" s="318"/>
      <c r="T1561" s="294">
        <f>Z1561</f>
        <v>175810</v>
      </c>
      <c r="Y1561" s="319"/>
      <c r="Z1561" s="294">
        <f t="shared" ref="Z1561:Z1563" si="897">ROUND($E1561*R1561,0)</f>
        <v>175810</v>
      </c>
    </row>
    <row r="1562" spans="1:30">
      <c r="B1562" s="317" t="s">
        <v>1164</v>
      </c>
      <c r="D1562" s="293">
        <f>D1568*AA1562</f>
        <v>19351.018711005632</v>
      </c>
      <c r="E1562" s="293">
        <f>ROUND(D1562/D1579*E1579,0)</f>
        <v>20154</v>
      </c>
      <c r="G1562" s="339"/>
      <c r="H1562" s="339"/>
      <c r="L1562" s="339">
        <f t="shared" si="893"/>
        <v>0</v>
      </c>
      <c r="M1562" s="339"/>
      <c r="N1562" s="339">
        <f t="shared" si="894"/>
        <v>4.8345000000000002</v>
      </c>
      <c r="O1562" s="339"/>
      <c r="P1562" s="339">
        <f t="shared" si="895"/>
        <v>0</v>
      </c>
      <c r="Q1562" s="339"/>
      <c r="R1562" s="339">
        <f t="shared" si="896"/>
        <v>4.8345000000000002</v>
      </c>
      <c r="S1562" s="339"/>
      <c r="T1562" s="294">
        <f t="shared" ref="T1562:T1563" si="898">ROUND($E1562*L1562,0)</f>
        <v>0</v>
      </c>
      <c r="V1562" s="294">
        <f t="shared" ref="V1562:V1563" si="899">ROUND($E1562*N1562,0)</f>
        <v>97435</v>
      </c>
      <c r="X1562" s="294">
        <f t="shared" ref="X1562:X1563" si="900">ROUND($E1562*P1562,0)</f>
        <v>0</v>
      </c>
      <c r="Z1562" s="294">
        <f t="shared" si="897"/>
        <v>97435</v>
      </c>
      <c r="AA1562" s="291">
        <f>'[7]Large Profile'!L11</f>
        <v>0.8153977208412958</v>
      </c>
    </row>
    <row r="1563" spans="1:30">
      <c r="B1563" s="317" t="s">
        <v>1165</v>
      </c>
      <c r="D1563" s="293">
        <f>D1569*AA1563</f>
        <v>55402.985643872686</v>
      </c>
      <c r="E1563" s="293">
        <f>ROUND(D1563/D1579*E1579,0)</f>
        <v>57702</v>
      </c>
      <c r="G1563" s="339"/>
      <c r="H1563" s="339"/>
      <c r="L1563" s="339">
        <f t="shared" si="893"/>
        <v>0</v>
      </c>
      <c r="M1563" s="339"/>
      <c r="N1563" s="339">
        <f t="shared" si="894"/>
        <v>4.2768000000000006</v>
      </c>
      <c r="O1563" s="339"/>
      <c r="P1563" s="339">
        <f t="shared" si="895"/>
        <v>0</v>
      </c>
      <c r="Q1563" s="339"/>
      <c r="R1563" s="339">
        <f t="shared" si="896"/>
        <v>4.2768000000000006</v>
      </c>
      <c r="S1563" s="339"/>
      <c r="T1563" s="294">
        <f t="shared" si="898"/>
        <v>0</v>
      </c>
      <c r="V1563" s="294">
        <f t="shared" si="899"/>
        <v>246780</v>
      </c>
      <c r="X1563" s="294">
        <f t="shared" si="900"/>
        <v>0</v>
      </c>
      <c r="Z1563" s="294">
        <f t="shared" si="897"/>
        <v>246780</v>
      </c>
      <c r="AA1563" s="291">
        <f>'[7]Large Profile'!P11</f>
        <v>1.1372413252842475</v>
      </c>
    </row>
    <row r="1564" spans="1:30">
      <c r="B1564" s="317" t="s">
        <v>1061</v>
      </c>
      <c r="D1564" s="293">
        <f>D1570*AA1564</f>
        <v>3174673.8190675084</v>
      </c>
      <c r="E1564" s="293">
        <f>ROUND(D1564/($D$1579-$D$1576)*$E$1579,0)</f>
        <v>3323934</v>
      </c>
      <c r="G1564" s="377"/>
      <c r="H1564" s="343"/>
      <c r="L1564" s="377">
        <f t="shared" si="893"/>
        <v>0</v>
      </c>
      <c r="M1564" s="343" t="s">
        <v>1062</v>
      </c>
      <c r="N1564" s="377">
        <f t="shared" si="894"/>
        <v>1.1506000000000001</v>
      </c>
      <c r="O1564" s="343" t="s">
        <v>1062</v>
      </c>
      <c r="P1564" s="377">
        <f t="shared" si="895"/>
        <v>3.8523835124000003</v>
      </c>
      <c r="Q1564" s="343" t="s">
        <v>1062</v>
      </c>
      <c r="R1564" s="377">
        <f t="shared" si="896"/>
        <v>5.0029835124000002</v>
      </c>
      <c r="S1564" s="343" t="s">
        <v>1062</v>
      </c>
      <c r="T1564" s="294">
        <f>ROUND($E1564*L1564/100,0)</f>
        <v>0</v>
      </c>
      <c r="V1564" s="294">
        <f>ROUND($E1564*N1564/100,0)</f>
        <v>38245</v>
      </c>
      <c r="X1564" s="294">
        <f>ROUND($E1564*P1564/100,0)</f>
        <v>128051</v>
      </c>
      <c r="Y1564" s="346"/>
      <c r="Z1564" s="294">
        <f>ROUND($E1564*R1564/100,0)</f>
        <v>166296</v>
      </c>
      <c r="AA1564" s="291">
        <f>'[7]Large Profile'!M11</f>
        <v>0.78917940501629313</v>
      </c>
    </row>
    <row r="1565" spans="1:30">
      <c r="B1565" s="317" t="s">
        <v>1166</v>
      </c>
      <c r="D1565" s="293">
        <f>D1571*AA1565</f>
        <v>4004838.9700285206</v>
      </c>
      <c r="E1565" s="293">
        <f t="shared" ref="E1565:E1566" si="901">ROUND(D1565/($D$1579-$D$1576)*$E$1579,0)</f>
        <v>4193130</v>
      </c>
      <c r="G1565" s="377"/>
      <c r="H1565" s="343"/>
      <c r="L1565" s="377">
        <f t="shared" si="893"/>
        <v>0</v>
      </c>
      <c r="M1565" s="343" t="s">
        <v>1062</v>
      </c>
      <c r="N1565" s="377">
        <f t="shared" si="894"/>
        <v>1.1506000000000001</v>
      </c>
      <c r="O1565" s="343" t="s">
        <v>1062</v>
      </c>
      <c r="P1565" s="377">
        <f t="shared" si="895"/>
        <v>3.2768190375220003</v>
      </c>
      <c r="Q1565" s="343" t="s">
        <v>1062</v>
      </c>
      <c r="R1565" s="377">
        <f t="shared" si="896"/>
        <v>4.4274190375220002</v>
      </c>
      <c r="S1565" s="343" t="s">
        <v>1062</v>
      </c>
      <c r="T1565" s="294">
        <f t="shared" ref="T1565:T1567" si="902">ROUND($E1565*L1565/100,0)</f>
        <v>0</v>
      </c>
      <c r="V1565" s="294">
        <f t="shared" ref="V1565:V1567" si="903">ROUND($E1565*N1565/100,0)</f>
        <v>48246</v>
      </c>
      <c r="X1565" s="294">
        <f t="shared" ref="X1565:X1567" si="904">ROUND($E1565*P1565/100,0)</f>
        <v>137401</v>
      </c>
      <c r="Y1565" s="346"/>
      <c r="Z1565" s="294">
        <f t="shared" ref="Z1565:Z1567" si="905">ROUND($E1565*R1565/100,0)</f>
        <v>185647</v>
      </c>
      <c r="AA1565" s="291">
        <f>'[7]Large Profile'!Q11</f>
        <v>0.56972975514840463</v>
      </c>
    </row>
    <row r="1566" spans="1:30">
      <c r="B1566" s="317" t="s">
        <v>1064</v>
      </c>
      <c r="D1566" s="293">
        <f>D1572*AA1566</f>
        <v>3172195.8602959495</v>
      </c>
      <c r="E1566" s="293">
        <f t="shared" si="901"/>
        <v>3321340</v>
      </c>
      <c r="G1566" s="377"/>
      <c r="H1566" s="343"/>
      <c r="L1566" s="377">
        <f t="shared" si="893"/>
        <v>0</v>
      </c>
      <c r="M1566" s="343" t="s">
        <v>1062</v>
      </c>
      <c r="N1566" s="377">
        <f t="shared" si="894"/>
        <v>1.1506000000000001</v>
      </c>
      <c r="O1566" s="343" t="s">
        <v>1062</v>
      </c>
      <c r="P1566" s="377">
        <f t="shared" si="895"/>
        <v>1.5002843230069998</v>
      </c>
      <c r="Q1566" s="343" t="s">
        <v>1062</v>
      </c>
      <c r="R1566" s="377">
        <f t="shared" si="896"/>
        <v>2.6508843230069998</v>
      </c>
      <c r="S1566" s="343" t="s">
        <v>1062</v>
      </c>
      <c r="T1566" s="294">
        <f t="shared" si="902"/>
        <v>0</v>
      </c>
      <c r="V1566" s="294">
        <f t="shared" si="903"/>
        <v>38215</v>
      </c>
      <c r="X1566" s="294">
        <f t="shared" si="904"/>
        <v>49830</v>
      </c>
      <c r="Y1566" s="346"/>
      <c r="Z1566" s="294">
        <f t="shared" si="905"/>
        <v>88045</v>
      </c>
      <c r="AA1566" s="291">
        <f>'[7]Large Profile'!O11</f>
        <v>0.8068952882198398</v>
      </c>
    </row>
    <row r="1567" spans="1:30">
      <c r="B1567" s="317" t="s">
        <v>1167</v>
      </c>
      <c r="D1567" s="293">
        <f>SUM(D1570:D1573)-SUM(D1564:D1566)</f>
        <v>12565982.350608021</v>
      </c>
      <c r="E1567" s="293">
        <f>E1579-SUM(E1564:E1566)</f>
        <v>13156783.423445866</v>
      </c>
      <c r="G1567" s="377"/>
      <c r="H1567" s="343"/>
      <c r="L1567" s="377">
        <f t="shared" si="893"/>
        <v>0</v>
      </c>
      <c r="M1567" s="343" t="s">
        <v>1062</v>
      </c>
      <c r="N1567" s="377">
        <f t="shared" si="894"/>
        <v>1.1506000000000001</v>
      </c>
      <c r="O1567" s="343" t="s">
        <v>1062</v>
      </c>
      <c r="P1567" s="377">
        <f t="shared" si="895"/>
        <v>1.1953153300949999</v>
      </c>
      <c r="Q1567" s="343" t="s">
        <v>1062</v>
      </c>
      <c r="R1567" s="377">
        <f t="shared" si="896"/>
        <v>2.345915330095</v>
      </c>
      <c r="S1567" s="343" t="s">
        <v>1062</v>
      </c>
      <c r="T1567" s="294">
        <f t="shared" si="902"/>
        <v>0</v>
      </c>
      <c r="V1567" s="294">
        <f t="shared" si="903"/>
        <v>151382</v>
      </c>
      <c r="X1567" s="294">
        <f t="shared" si="904"/>
        <v>157265</v>
      </c>
      <c r="Y1567" s="346"/>
      <c r="Z1567" s="294">
        <f t="shared" si="905"/>
        <v>308647</v>
      </c>
    </row>
    <row r="1568" spans="1:30">
      <c r="B1568" s="317" t="s">
        <v>1183</v>
      </c>
      <c r="D1568" s="293">
        <f>'[7]9A'!S6</f>
        <v>23732</v>
      </c>
      <c r="G1568" s="377"/>
      <c r="H1568" s="343"/>
      <c r="L1568" s="377"/>
      <c r="M1568" s="343"/>
      <c r="N1568" s="377"/>
      <c r="O1568" s="343"/>
      <c r="P1568" s="377"/>
      <c r="Q1568" s="343"/>
      <c r="R1568" s="377"/>
      <c r="S1568" s="343"/>
      <c r="T1568" s="346"/>
      <c r="U1568" s="346"/>
      <c r="V1568" s="346"/>
      <c r="W1568" s="346"/>
      <c r="X1568" s="346"/>
      <c r="Y1568" s="346"/>
    </row>
    <row r="1569" spans="2:29">
      <c r="B1569" s="317" t="s">
        <v>1184</v>
      </c>
      <c r="D1569" s="293">
        <f>D1561-D1568</f>
        <v>48717</v>
      </c>
      <c r="G1569" s="377"/>
      <c r="H1569" s="343"/>
      <c r="L1569" s="377"/>
      <c r="M1569" s="343"/>
      <c r="N1569" s="377"/>
      <c r="O1569" s="343"/>
      <c r="P1569" s="377"/>
      <c r="Q1569" s="343"/>
      <c r="R1569" s="377"/>
      <c r="S1569" s="343"/>
      <c r="T1569" s="346"/>
      <c r="U1569" s="346"/>
      <c r="V1569" s="346"/>
      <c r="W1569" s="346"/>
      <c r="X1569" s="346"/>
      <c r="Y1569" s="346"/>
    </row>
    <row r="1570" spans="2:29">
      <c r="B1570" s="317" t="s">
        <v>1185</v>
      </c>
      <c r="D1570" s="293">
        <f>'[7]9A'!Q6</f>
        <v>4022753</v>
      </c>
      <c r="G1570" s="377"/>
      <c r="H1570" s="343"/>
      <c r="L1570" s="377"/>
      <c r="M1570" s="343"/>
      <c r="N1570" s="377"/>
      <c r="O1570" s="343"/>
      <c r="P1570" s="377"/>
      <c r="Q1570" s="343"/>
      <c r="R1570" s="377"/>
      <c r="S1570" s="343"/>
      <c r="T1570" s="346"/>
      <c r="U1570" s="346"/>
      <c r="V1570" s="346"/>
      <c r="W1570" s="346"/>
      <c r="X1570" s="346"/>
      <c r="Y1570" s="346"/>
    </row>
    <row r="1571" spans="2:29">
      <c r="B1571" s="317" t="s">
        <v>1186</v>
      </c>
      <c r="D1571" s="293">
        <f>D1574-D1570</f>
        <v>7029366</v>
      </c>
      <c r="G1571" s="377"/>
      <c r="H1571" s="343"/>
      <c r="L1571" s="377"/>
      <c r="M1571" s="343"/>
      <c r="N1571" s="377"/>
      <c r="O1571" s="343"/>
      <c r="P1571" s="377"/>
      <c r="Q1571" s="343"/>
      <c r="R1571" s="377"/>
      <c r="S1571" s="343"/>
      <c r="T1571" s="346"/>
      <c r="U1571" s="346"/>
      <c r="V1571" s="346"/>
      <c r="W1571" s="346"/>
      <c r="X1571" s="346"/>
      <c r="Y1571" s="346"/>
    </row>
    <row r="1572" spans="2:29">
      <c r="B1572" s="317" t="s">
        <v>1187</v>
      </c>
      <c r="D1572" s="293">
        <f>'[7]9A'!R6</f>
        <v>3931360</v>
      </c>
      <c r="G1572" s="377"/>
      <c r="H1572" s="343"/>
      <c r="L1572" s="377"/>
      <c r="M1572" s="343"/>
      <c r="N1572" s="377"/>
      <c r="O1572" s="343"/>
      <c r="P1572" s="377"/>
      <c r="Q1572" s="343"/>
      <c r="R1572" s="377"/>
      <c r="S1572" s="343"/>
      <c r="T1572" s="346"/>
      <c r="U1572" s="346"/>
      <c r="V1572" s="346"/>
      <c r="W1572" s="346"/>
      <c r="X1572" s="346"/>
      <c r="Y1572" s="346"/>
    </row>
    <row r="1573" spans="2:29">
      <c r="B1573" s="317" t="s">
        <v>1188</v>
      </c>
      <c r="D1573" s="293">
        <f>D1575-D1572</f>
        <v>7934212</v>
      </c>
      <c r="G1573" s="377"/>
      <c r="H1573" s="343"/>
      <c r="L1573" s="377"/>
      <c r="M1573" s="343"/>
      <c r="N1573" s="377"/>
      <c r="O1573" s="343"/>
      <c r="P1573" s="377"/>
      <c r="Q1573" s="343"/>
      <c r="R1573" s="377"/>
      <c r="S1573" s="343"/>
      <c r="T1573" s="346"/>
      <c r="U1573" s="346"/>
      <c r="V1573" s="346"/>
      <c r="W1573" s="346"/>
      <c r="X1573" s="346"/>
      <c r="Y1573" s="346"/>
    </row>
    <row r="1574" spans="2:29">
      <c r="B1574" s="317" t="s">
        <v>1085</v>
      </c>
      <c r="D1574" s="293">
        <f>'[7]9A'!J6</f>
        <v>11052119</v>
      </c>
      <c r="E1574" s="293">
        <f>ROUND(D1574/(D1579-D1576)*E1579,0)</f>
        <v>11571745</v>
      </c>
      <c r="G1574" s="342">
        <v>8.6029</v>
      </c>
      <c r="H1574" s="343" t="s">
        <v>1062</v>
      </c>
      <c r="I1574" s="294">
        <f>ROUND($G1574*D1574/100,0)</f>
        <v>950803</v>
      </c>
      <c r="J1574" s="294">
        <f>ROUND($G1574*E1574/100,0)</f>
        <v>995506</v>
      </c>
      <c r="L1574" s="342"/>
      <c r="M1574" s="343"/>
      <c r="N1574" s="342"/>
      <c r="O1574" s="343"/>
      <c r="P1574" s="342"/>
      <c r="Q1574" s="343"/>
      <c r="R1574" s="342"/>
      <c r="S1574" s="343"/>
      <c r="T1574" s="346"/>
      <c r="U1574" s="346"/>
      <c r="V1574" s="346"/>
      <c r="W1574" s="346"/>
      <c r="X1574" s="346"/>
      <c r="Y1574" s="346"/>
    </row>
    <row r="1575" spans="2:29">
      <c r="B1575" s="317" t="s">
        <v>1086</v>
      </c>
      <c r="D1575" s="293">
        <f>'[7]9A'!K6</f>
        <v>11865572</v>
      </c>
      <c r="E1575" s="293">
        <f>ROUND(D1575/(D1579-D1576)*E1579,0)</f>
        <v>12423443</v>
      </c>
      <c r="G1575" s="342">
        <v>3.6981000000000002</v>
      </c>
      <c r="H1575" s="343" t="s">
        <v>1062</v>
      </c>
      <c r="I1575" s="294">
        <f>ROUND($G1575*D1575/100,0)</f>
        <v>438801</v>
      </c>
      <c r="J1575" s="294">
        <f>ROUND($G1575*E1575/100,0)</f>
        <v>459431</v>
      </c>
      <c r="L1575" s="342"/>
      <c r="M1575" s="343"/>
      <c r="N1575" s="342"/>
      <c r="O1575" s="343"/>
      <c r="P1575" s="342"/>
      <c r="Q1575" s="343"/>
      <c r="R1575" s="342"/>
      <c r="S1575" s="343"/>
      <c r="T1575" s="346"/>
      <c r="U1575" s="346"/>
      <c r="V1575" s="346"/>
      <c r="W1575" s="346"/>
      <c r="X1575" s="346"/>
      <c r="Y1575" s="346"/>
    </row>
    <row r="1576" spans="2:29">
      <c r="B1576" s="317" t="s">
        <v>1078</v>
      </c>
      <c r="D1576" s="357">
        <f>'[7]Table 2'!J57</f>
        <v>121585</v>
      </c>
      <c r="E1576" s="357">
        <v>0</v>
      </c>
      <c r="I1576" s="358">
        <f>'[7]Table 3'!F57</f>
        <v>8886</v>
      </c>
      <c r="J1576" s="358">
        <v>0</v>
      </c>
      <c r="Z1576" s="358"/>
    </row>
    <row r="1577" spans="2:29">
      <c r="B1577" s="317" t="s">
        <v>1079</v>
      </c>
      <c r="G1577" s="338">
        <v>-3.4099999999999998E-2</v>
      </c>
      <c r="H1577" s="339"/>
      <c r="I1577" s="294">
        <f>SUM(I1574:I1575)*$G1577</f>
        <v>-47385.496399999996</v>
      </c>
      <c r="J1577" s="294">
        <f>SUM(J1574:J1575)*$G1577</f>
        <v>-49613.351699999999</v>
      </c>
      <c r="L1577" s="338"/>
      <c r="M1577" s="339"/>
      <c r="N1577" s="338"/>
      <c r="O1577" s="339"/>
      <c r="P1577" s="359" t="str">
        <f>$P$43</f>
        <v>Tax Year 1</v>
      </c>
      <c r="Q1577" s="339"/>
      <c r="R1577" s="338">
        <f>$AD$1491</f>
        <v>-2.2599999999999999E-2</v>
      </c>
      <c r="S1577" s="339"/>
      <c r="Z1577" s="294">
        <f>R1577*SUM(Z1562:Z1567)</f>
        <v>-24698.41</v>
      </c>
    </row>
    <row r="1578" spans="2:29">
      <c r="B1578" s="317"/>
      <c r="G1578" s="338"/>
      <c r="H1578" s="339"/>
      <c r="L1578" s="338"/>
      <c r="M1578" s="339"/>
      <c r="N1578" s="338"/>
      <c r="O1578" s="339"/>
      <c r="P1578" s="359" t="str">
        <f>$P$44</f>
        <v>Tax Year 2</v>
      </c>
      <c r="Q1578" s="339"/>
      <c r="R1578" s="338">
        <f>$AD$1492</f>
        <v>-1.1299999999999999E-2</v>
      </c>
      <c r="S1578" s="339"/>
      <c r="Z1578" s="294">
        <f>R1578*SUM(Z1562:Z1567)</f>
        <v>-12349.205</v>
      </c>
    </row>
    <row r="1579" spans="2:29" ht="16.5" thickBot="1">
      <c r="B1579" s="317" t="s">
        <v>937</v>
      </c>
      <c r="D1579" s="381">
        <f>SUM(D1574:D1576)</f>
        <v>23039276</v>
      </c>
      <c r="E1579" s="381">
        <f>[7]Energy!P37</f>
        <v>23995187.423445866</v>
      </c>
      <c r="G1579" s="368"/>
      <c r="I1579" s="369">
        <f>SUM(I1560:I1577)</f>
        <v>1518157.5035999999</v>
      </c>
      <c r="J1579" s="369">
        <f>SUM(J1560:J1577)</f>
        <v>1579049.6483</v>
      </c>
      <c r="L1579" s="368"/>
      <c r="N1579" s="368"/>
      <c r="P1579" s="368"/>
      <c r="R1579" s="368"/>
      <c r="T1579" s="369">
        <f>SUM(T1560:T1567)</f>
        <v>182338</v>
      </c>
      <c r="V1579" s="369">
        <f>SUM(V1560:V1567)</f>
        <v>620303</v>
      </c>
      <c r="X1579" s="369">
        <f>SUM(X1560:X1567)</f>
        <v>472547</v>
      </c>
      <c r="Z1579" s="369">
        <f>SUM(Z1560:Z1567)</f>
        <v>1275188</v>
      </c>
      <c r="AB1579" s="305" t="s">
        <v>939</v>
      </c>
      <c r="AC1579" s="304">
        <f>Z1579/J1579-1</f>
        <v>-0.19243324529227845</v>
      </c>
    </row>
    <row r="1580" spans="2:29" ht="16.5" thickTop="1"/>
    <row r="1581" spans="2:29">
      <c r="B1581" s="314" t="s">
        <v>999</v>
      </c>
      <c r="G1581" s="377"/>
      <c r="H1581" s="377"/>
      <c r="L1581" s="377"/>
      <c r="M1581" s="377"/>
      <c r="N1581" s="377"/>
      <c r="O1581" s="377"/>
      <c r="P1581" s="377"/>
      <c r="Q1581" s="377"/>
      <c r="R1581" s="377"/>
      <c r="S1581" s="377"/>
    </row>
    <row r="1582" spans="2:29">
      <c r="B1582" s="317" t="s">
        <v>1089</v>
      </c>
      <c r="D1582" s="293">
        <f>'[7]9A'!G7</f>
        <v>84</v>
      </c>
      <c r="E1582" s="293">
        <f>[7]Bill!P62</f>
        <v>84</v>
      </c>
      <c r="G1582" s="339">
        <v>259</v>
      </c>
      <c r="H1582" s="339"/>
      <c r="I1582" s="294">
        <f>ROUND($G1582*D1582,0)</f>
        <v>21756</v>
      </c>
      <c r="J1582" s="294">
        <f>ROUND($G1582*E1582,0)</f>
        <v>21756</v>
      </c>
      <c r="L1582" s="339">
        <f>L1538</f>
        <v>268.31</v>
      </c>
      <c r="M1582" s="339"/>
      <c r="N1582" s="339">
        <f>N1538</f>
        <v>3.6899999999999977</v>
      </c>
      <c r="O1582" s="339"/>
      <c r="P1582" s="339">
        <f>P1538</f>
        <v>0</v>
      </c>
      <c r="Q1582" s="339"/>
      <c r="R1582" s="339">
        <f>R1538</f>
        <v>272</v>
      </c>
      <c r="S1582" s="339"/>
      <c r="T1582" s="294">
        <f>Z1582</f>
        <v>22848</v>
      </c>
      <c r="Z1582" s="294">
        <f>ROUND($E1582*R1582,0)</f>
        <v>22848</v>
      </c>
    </row>
    <row r="1583" spans="2:29">
      <c r="B1583" s="317" t="s">
        <v>1181</v>
      </c>
      <c r="D1583" s="293">
        <f>'[7]9A'!H7</f>
        <v>161957</v>
      </c>
      <c r="E1583" s="293">
        <f>ROUND(D1583/D1601*E1601,0)</f>
        <v>167632</v>
      </c>
      <c r="G1583" s="339">
        <v>2.2200000000000002</v>
      </c>
      <c r="H1583" s="339"/>
      <c r="I1583" s="294">
        <f>ROUND($G1583*D1583,0)</f>
        <v>359545</v>
      </c>
      <c r="J1583" s="294">
        <f>ROUND($G1583*E1583,0)</f>
        <v>372143</v>
      </c>
      <c r="L1583" s="339">
        <f t="shared" ref="L1583:L1589" si="906">L1539</f>
        <v>0</v>
      </c>
      <c r="M1583" s="339"/>
      <c r="N1583" s="339">
        <f t="shared" ref="N1583:N1589" si="907">N1539</f>
        <v>2.33</v>
      </c>
      <c r="O1583" s="339"/>
      <c r="P1583" s="339">
        <f t="shared" ref="P1583:P1589" si="908">P1539</f>
        <v>0</v>
      </c>
      <c r="Q1583" s="339"/>
      <c r="R1583" s="339">
        <f t="shared" ref="R1583:R1589" si="909">R1539</f>
        <v>2.33</v>
      </c>
      <c r="S1583" s="339"/>
      <c r="T1583" s="294">
        <f>Z1583</f>
        <v>390583</v>
      </c>
      <c r="Z1583" s="294">
        <f t="shared" ref="Z1583:Z1585" si="910">ROUND($E1583*R1583,0)</f>
        <v>390583</v>
      </c>
    </row>
    <row r="1584" spans="2:29">
      <c r="B1584" s="317" t="s">
        <v>1164</v>
      </c>
      <c r="D1584" s="293">
        <f>D1590*AA1584</f>
        <v>54374.79701430181</v>
      </c>
      <c r="E1584" s="293">
        <f>ROUND(D1584/D1601*E1601,0)</f>
        <v>56280</v>
      </c>
      <c r="G1584" s="339"/>
      <c r="H1584" s="339"/>
      <c r="L1584" s="339">
        <f t="shared" si="906"/>
        <v>0</v>
      </c>
      <c r="M1584" s="339"/>
      <c r="N1584" s="339">
        <f t="shared" si="907"/>
        <v>4.8345000000000002</v>
      </c>
      <c r="O1584" s="339"/>
      <c r="P1584" s="339">
        <f t="shared" si="908"/>
        <v>0</v>
      </c>
      <c r="Q1584" s="339"/>
      <c r="R1584" s="339">
        <f t="shared" si="909"/>
        <v>4.8345000000000002</v>
      </c>
      <c r="S1584" s="339"/>
      <c r="T1584" s="294">
        <f t="shared" ref="T1584:T1585" si="911">ROUND($E1584*L1584,0)</f>
        <v>0</v>
      </c>
      <c r="V1584" s="294">
        <f t="shared" ref="V1584:V1585" si="912">ROUND($E1584*N1584,0)</f>
        <v>272086</v>
      </c>
      <c r="X1584" s="294">
        <f t="shared" ref="X1584:X1585" si="913">ROUND($E1584*P1584,0)</f>
        <v>0</v>
      </c>
      <c r="Z1584" s="294">
        <f t="shared" si="910"/>
        <v>272086</v>
      </c>
      <c r="AA1584" s="291">
        <f>AA1562</f>
        <v>0.8153977208412958</v>
      </c>
    </row>
    <row r="1585" spans="2:27">
      <c r="B1585" s="317" t="s">
        <v>1165</v>
      </c>
      <c r="D1585" s="293">
        <f>D1591*AA1585</f>
        <v>108347.25554248082</v>
      </c>
      <c r="E1585" s="293">
        <f>ROUND(D1585/D1601*E1601,0)</f>
        <v>112144</v>
      </c>
      <c r="G1585" s="339"/>
      <c r="H1585" s="339"/>
      <c r="L1585" s="339">
        <f t="shared" si="906"/>
        <v>0</v>
      </c>
      <c r="M1585" s="339"/>
      <c r="N1585" s="339">
        <f t="shared" si="907"/>
        <v>4.2768000000000006</v>
      </c>
      <c r="O1585" s="339"/>
      <c r="P1585" s="339">
        <f t="shared" si="908"/>
        <v>0</v>
      </c>
      <c r="Q1585" s="339"/>
      <c r="R1585" s="339">
        <f t="shared" si="909"/>
        <v>4.2768000000000006</v>
      </c>
      <c r="S1585" s="339"/>
      <c r="T1585" s="294">
        <f t="shared" si="911"/>
        <v>0</v>
      </c>
      <c r="V1585" s="294">
        <f t="shared" si="912"/>
        <v>479617</v>
      </c>
      <c r="X1585" s="294">
        <f t="shared" si="913"/>
        <v>0</v>
      </c>
      <c r="Z1585" s="294">
        <f t="shared" si="910"/>
        <v>479617</v>
      </c>
      <c r="AA1585" s="291">
        <f t="shared" ref="AA1585:AA1588" si="914">AA1563</f>
        <v>1.1372413252842475</v>
      </c>
    </row>
    <row r="1586" spans="2:27">
      <c r="B1586" s="317" t="s">
        <v>1061</v>
      </c>
      <c r="D1586" s="293">
        <f>D1592*AA1586</f>
        <v>4274874.3518565577</v>
      </c>
      <c r="E1586" s="293">
        <f>ROUND(D1586/($D$1601-$D$1576)*$E$1601,0)</f>
        <v>4455917</v>
      </c>
      <c r="G1586" s="377"/>
      <c r="H1586" s="343"/>
      <c r="L1586" s="377">
        <f t="shared" si="906"/>
        <v>0</v>
      </c>
      <c r="M1586" s="343" t="s">
        <v>1062</v>
      </c>
      <c r="N1586" s="377">
        <f t="shared" si="907"/>
        <v>1.1506000000000001</v>
      </c>
      <c r="O1586" s="343" t="s">
        <v>1062</v>
      </c>
      <c r="P1586" s="377">
        <f t="shared" si="908"/>
        <v>3.8523835124000003</v>
      </c>
      <c r="Q1586" s="343" t="s">
        <v>1062</v>
      </c>
      <c r="R1586" s="377">
        <f t="shared" si="909"/>
        <v>5.0029835124000002</v>
      </c>
      <c r="S1586" s="343" t="s">
        <v>1062</v>
      </c>
      <c r="T1586" s="294">
        <f>ROUND($E1586*L1586/100,0)</f>
        <v>0</v>
      </c>
      <c r="V1586" s="294">
        <f>ROUND($E1586*N1586/100,0)</f>
        <v>51270</v>
      </c>
      <c r="X1586" s="294">
        <f>ROUND($E1586*P1586/100,0)</f>
        <v>171659</v>
      </c>
      <c r="Y1586" s="346"/>
      <c r="Z1586" s="294">
        <f>ROUND($E1586*R1586/100,0)</f>
        <v>222929</v>
      </c>
      <c r="AA1586" s="291">
        <f t="shared" si="914"/>
        <v>0.78917940501629313</v>
      </c>
    </row>
    <row r="1587" spans="2:27">
      <c r="B1587" s="317" t="s">
        <v>1166</v>
      </c>
      <c r="D1587" s="293">
        <f>D1593*AA1587</f>
        <v>3786207.4554093406</v>
      </c>
      <c r="E1587" s="293">
        <f t="shared" ref="E1587:E1588" si="915">ROUND(D1587/($D$1601-$D$1576)*$E$1601,0)</f>
        <v>3946555</v>
      </c>
      <c r="G1587" s="377"/>
      <c r="H1587" s="343"/>
      <c r="L1587" s="377">
        <f t="shared" si="906"/>
        <v>0</v>
      </c>
      <c r="M1587" s="343" t="s">
        <v>1062</v>
      </c>
      <c r="N1587" s="377">
        <f t="shared" si="907"/>
        <v>1.1506000000000001</v>
      </c>
      <c r="O1587" s="343" t="s">
        <v>1062</v>
      </c>
      <c r="P1587" s="377">
        <f t="shared" si="908"/>
        <v>3.2768190375220003</v>
      </c>
      <c r="Q1587" s="343" t="s">
        <v>1062</v>
      </c>
      <c r="R1587" s="377">
        <f t="shared" si="909"/>
        <v>4.4274190375220002</v>
      </c>
      <c r="S1587" s="343" t="s">
        <v>1062</v>
      </c>
      <c r="T1587" s="294">
        <f t="shared" ref="T1587:T1589" si="916">ROUND($E1587*L1587/100,0)</f>
        <v>0</v>
      </c>
      <c r="V1587" s="294">
        <f t="shared" ref="V1587:V1589" si="917">ROUND($E1587*N1587/100,0)</f>
        <v>45409</v>
      </c>
      <c r="X1587" s="294">
        <f t="shared" ref="X1587:X1589" si="918">ROUND($E1587*P1587/100,0)</f>
        <v>129321</v>
      </c>
      <c r="Y1587" s="346"/>
      <c r="Z1587" s="294">
        <f t="shared" ref="Z1587:Z1589" si="919">ROUND($E1587*R1587/100,0)</f>
        <v>174731</v>
      </c>
      <c r="AA1587" s="291">
        <f t="shared" si="914"/>
        <v>0.56972975514840463</v>
      </c>
    </row>
    <row r="1588" spans="2:27">
      <c r="B1588" s="317" t="s">
        <v>1064</v>
      </c>
      <c r="D1588" s="293">
        <f>D1594*AA1588</f>
        <v>2095297.2707319867</v>
      </c>
      <c r="E1588" s="293">
        <f t="shared" si="915"/>
        <v>2184034</v>
      </c>
      <c r="G1588" s="377"/>
      <c r="H1588" s="343"/>
      <c r="L1588" s="377">
        <f t="shared" si="906"/>
        <v>0</v>
      </c>
      <c r="M1588" s="343" t="s">
        <v>1062</v>
      </c>
      <c r="N1588" s="377">
        <f t="shared" si="907"/>
        <v>1.1506000000000001</v>
      </c>
      <c r="O1588" s="343" t="s">
        <v>1062</v>
      </c>
      <c r="P1588" s="377">
        <f t="shared" si="908"/>
        <v>1.5002843230069998</v>
      </c>
      <c r="Q1588" s="343" t="s">
        <v>1062</v>
      </c>
      <c r="R1588" s="377">
        <f t="shared" si="909"/>
        <v>2.6508843230069998</v>
      </c>
      <c r="S1588" s="343" t="s">
        <v>1062</v>
      </c>
      <c r="T1588" s="294">
        <f t="shared" si="916"/>
        <v>0</v>
      </c>
      <c r="V1588" s="294">
        <f t="shared" si="917"/>
        <v>25129</v>
      </c>
      <c r="X1588" s="294">
        <f t="shared" si="918"/>
        <v>32767</v>
      </c>
      <c r="Y1588" s="346"/>
      <c r="Z1588" s="294">
        <f t="shared" si="919"/>
        <v>57896</v>
      </c>
      <c r="AA1588" s="291">
        <f t="shared" si="914"/>
        <v>0.8068952882198398</v>
      </c>
    </row>
    <row r="1589" spans="2:27">
      <c r="B1589" s="317" t="s">
        <v>1167</v>
      </c>
      <c r="D1589" s="293">
        <f>SUM(D1592:D1595)-SUM(D1586:D1588)</f>
        <v>7466880.9220021144</v>
      </c>
      <c r="E1589" s="293">
        <f>E1601-SUM(E1586:E1588)</f>
        <v>7358594</v>
      </c>
      <c r="G1589" s="377"/>
      <c r="H1589" s="343"/>
      <c r="L1589" s="377">
        <f t="shared" si="906"/>
        <v>0</v>
      </c>
      <c r="M1589" s="343" t="s">
        <v>1062</v>
      </c>
      <c r="N1589" s="377">
        <f t="shared" si="907"/>
        <v>1.1506000000000001</v>
      </c>
      <c r="O1589" s="343" t="s">
        <v>1062</v>
      </c>
      <c r="P1589" s="377">
        <f t="shared" si="908"/>
        <v>1.1953153300949999</v>
      </c>
      <c r="Q1589" s="343" t="s">
        <v>1062</v>
      </c>
      <c r="R1589" s="377">
        <f t="shared" si="909"/>
        <v>2.345915330095</v>
      </c>
      <c r="S1589" s="343" t="s">
        <v>1062</v>
      </c>
      <c r="T1589" s="294">
        <f t="shared" si="916"/>
        <v>0</v>
      </c>
      <c r="V1589" s="294">
        <f t="shared" si="917"/>
        <v>84668</v>
      </c>
      <c r="X1589" s="294">
        <f t="shared" si="918"/>
        <v>87958</v>
      </c>
      <c r="Y1589" s="346"/>
      <c r="Z1589" s="294">
        <f t="shared" si="919"/>
        <v>172626</v>
      </c>
    </row>
    <row r="1590" spans="2:27">
      <c r="B1590" s="317" t="s">
        <v>1183</v>
      </c>
      <c r="D1590" s="293">
        <f>'[7]9A'!S7</f>
        <v>66685</v>
      </c>
      <c r="G1590" s="377"/>
      <c r="H1590" s="343"/>
      <c r="L1590" s="377"/>
      <c r="M1590" s="343"/>
      <c r="N1590" s="377"/>
      <c r="O1590" s="343"/>
      <c r="P1590" s="377"/>
      <c r="Q1590" s="343"/>
      <c r="R1590" s="377"/>
      <c r="S1590" s="343"/>
      <c r="T1590" s="346"/>
      <c r="U1590" s="346"/>
      <c r="V1590" s="346"/>
      <c r="W1590" s="346"/>
      <c r="X1590" s="346"/>
      <c r="Y1590" s="346"/>
    </row>
    <row r="1591" spans="2:27">
      <c r="B1591" s="317" t="s">
        <v>1184</v>
      </c>
      <c r="D1591" s="293">
        <f>D1583-D1590</f>
        <v>95272</v>
      </c>
      <c r="G1591" s="377"/>
      <c r="H1591" s="343"/>
      <c r="L1591" s="377"/>
      <c r="M1591" s="343"/>
      <c r="N1591" s="377"/>
      <c r="O1591" s="343"/>
      <c r="P1591" s="377"/>
      <c r="Q1591" s="343"/>
      <c r="R1591" s="377"/>
      <c r="S1591" s="343"/>
      <c r="T1591" s="346"/>
      <c r="U1591" s="346"/>
      <c r="V1591" s="346"/>
      <c r="W1591" s="346"/>
      <c r="X1591" s="346"/>
      <c r="Y1591" s="346"/>
    </row>
    <row r="1592" spans="2:27">
      <c r="B1592" s="317" t="s">
        <v>1185</v>
      </c>
      <c r="D1592" s="293">
        <f>'[7]9A'!Q7</f>
        <v>5416860</v>
      </c>
      <c r="G1592" s="377"/>
      <c r="H1592" s="343"/>
      <c r="L1592" s="377"/>
      <c r="M1592" s="343"/>
      <c r="N1592" s="377"/>
      <c r="O1592" s="343"/>
      <c r="P1592" s="377"/>
      <c r="Q1592" s="343"/>
      <c r="R1592" s="377"/>
      <c r="S1592" s="343"/>
      <c r="T1592" s="346"/>
      <c r="U1592" s="346"/>
      <c r="V1592" s="346"/>
      <c r="W1592" s="346"/>
      <c r="X1592" s="346"/>
      <c r="Y1592" s="346"/>
    </row>
    <row r="1593" spans="2:27">
      <c r="B1593" s="317" t="s">
        <v>1186</v>
      </c>
      <c r="D1593" s="293">
        <f>D1596-D1592</f>
        <v>6645620</v>
      </c>
      <c r="G1593" s="377"/>
      <c r="H1593" s="343"/>
      <c r="L1593" s="377"/>
      <c r="M1593" s="343"/>
      <c r="N1593" s="377"/>
      <c r="O1593" s="343"/>
      <c r="P1593" s="377"/>
      <c r="Q1593" s="343"/>
      <c r="R1593" s="377"/>
      <c r="S1593" s="343"/>
      <c r="T1593" s="346"/>
      <c r="U1593" s="346"/>
      <c r="V1593" s="346"/>
      <c r="W1593" s="346"/>
      <c r="X1593" s="346"/>
      <c r="Y1593" s="346"/>
    </row>
    <row r="1594" spans="2:27">
      <c r="B1594" s="317" t="s">
        <v>1187</v>
      </c>
      <c r="D1594" s="293">
        <f>'[7]9A'!R7</f>
        <v>2596740</v>
      </c>
      <c r="G1594" s="377"/>
      <c r="H1594" s="343"/>
      <c r="L1594" s="377"/>
      <c r="M1594" s="343"/>
      <c r="N1594" s="377"/>
      <c r="O1594" s="343"/>
      <c r="P1594" s="377"/>
      <c r="Q1594" s="343"/>
      <c r="R1594" s="377"/>
      <c r="S1594" s="343"/>
      <c r="T1594" s="346"/>
      <c r="U1594" s="346"/>
      <c r="V1594" s="346"/>
      <c r="W1594" s="346"/>
      <c r="X1594" s="346"/>
      <c r="Y1594" s="346"/>
    </row>
    <row r="1595" spans="2:27">
      <c r="B1595" s="317" t="s">
        <v>1188</v>
      </c>
      <c r="D1595" s="293">
        <f>D1597-D1594</f>
        <v>2964040</v>
      </c>
      <c r="G1595" s="377"/>
      <c r="H1595" s="343"/>
      <c r="L1595" s="377"/>
      <c r="M1595" s="343"/>
      <c r="N1595" s="377"/>
      <c r="O1595" s="343"/>
      <c r="P1595" s="377"/>
      <c r="Q1595" s="343"/>
      <c r="R1595" s="377"/>
      <c r="S1595" s="343"/>
      <c r="T1595" s="346"/>
      <c r="U1595" s="346"/>
      <c r="V1595" s="346"/>
      <c r="W1595" s="346"/>
      <c r="X1595" s="346"/>
      <c r="Y1595" s="346"/>
    </row>
    <row r="1596" spans="2:27">
      <c r="B1596" s="317" t="s">
        <v>1085</v>
      </c>
      <c r="D1596" s="293">
        <f>'[7]9A'!J7</f>
        <v>12062480</v>
      </c>
      <c r="E1596" s="293">
        <f>ROUND(D1596/(D1601-D1598)*E1601,0)</f>
        <v>12282768</v>
      </c>
      <c r="G1596" s="376">
        <v>8.6029</v>
      </c>
      <c r="H1596" s="343" t="s">
        <v>1062</v>
      </c>
      <c r="I1596" s="294">
        <f>ROUND($G1596*D1596/100,0)</f>
        <v>1037723</v>
      </c>
      <c r="J1596" s="294">
        <f>ROUND($G1596*E1596/100,0)</f>
        <v>1056674</v>
      </c>
      <c r="L1596" s="342"/>
      <c r="M1596" s="343"/>
      <c r="N1596" s="342"/>
      <c r="O1596" s="343"/>
      <c r="P1596" s="342"/>
      <c r="Q1596" s="343"/>
      <c r="R1596" s="342"/>
      <c r="S1596" s="343"/>
      <c r="T1596" s="346"/>
      <c r="U1596" s="346"/>
      <c r="V1596" s="346"/>
      <c r="W1596" s="346"/>
      <c r="X1596" s="346"/>
      <c r="Y1596" s="346"/>
    </row>
    <row r="1597" spans="2:27">
      <c r="B1597" s="317" t="s">
        <v>1086</v>
      </c>
      <c r="D1597" s="293">
        <f>'[7]9A'!K7</f>
        <v>5560780</v>
      </c>
      <c r="E1597" s="293">
        <f>ROUND(D1597/(D1601-D1598)*E1601,0)</f>
        <v>5662332</v>
      </c>
      <c r="G1597" s="376">
        <v>3.6981000000000002</v>
      </c>
      <c r="H1597" s="343" t="s">
        <v>1062</v>
      </c>
      <c r="I1597" s="294">
        <f>ROUND($G1597*D1597/100,0)</f>
        <v>205643</v>
      </c>
      <c r="J1597" s="294">
        <f>ROUND($G1597*E1597/100,0)</f>
        <v>209399</v>
      </c>
      <c r="L1597" s="342"/>
      <c r="M1597" s="343"/>
      <c r="N1597" s="342"/>
      <c r="O1597" s="343"/>
      <c r="P1597" s="342"/>
      <c r="Q1597" s="343"/>
      <c r="R1597" s="342"/>
      <c r="S1597" s="343"/>
      <c r="T1597" s="346"/>
      <c r="U1597" s="346"/>
      <c r="V1597" s="346"/>
      <c r="W1597" s="346"/>
      <c r="X1597" s="346"/>
      <c r="Y1597" s="346"/>
    </row>
    <row r="1598" spans="2:27">
      <c r="B1598" s="317" t="s">
        <v>1078</v>
      </c>
      <c r="D1598" s="357">
        <f>'[7]Table 2'!J92</f>
        <v>-285680</v>
      </c>
      <c r="E1598" s="357">
        <v>0</v>
      </c>
      <c r="I1598" s="358">
        <f>'[7]Table 3'!F92</f>
        <v>-23865</v>
      </c>
      <c r="J1598" s="358">
        <v>0</v>
      </c>
      <c r="Z1598" s="358"/>
    </row>
    <row r="1599" spans="2:27">
      <c r="B1599" s="317" t="s">
        <v>1079</v>
      </c>
      <c r="G1599" s="338">
        <v>-3.4099999999999998E-2</v>
      </c>
      <c r="H1599" s="339"/>
      <c r="I1599" s="294">
        <f>SUM(I1596:I1597)*$G1599</f>
        <v>-42398.780599999998</v>
      </c>
      <c r="J1599" s="294">
        <f>SUM(J1596:J1597)*$G1599</f>
        <v>-43173.0893</v>
      </c>
      <c r="L1599" s="338"/>
      <c r="M1599" s="339"/>
      <c r="N1599" s="338"/>
      <c r="O1599" s="339"/>
      <c r="P1599" s="359" t="str">
        <f>$P$43</f>
        <v>Tax Year 1</v>
      </c>
      <c r="Q1599" s="339"/>
      <c r="R1599" s="338">
        <f>$AD$1491</f>
        <v>-2.2599999999999999E-2</v>
      </c>
      <c r="S1599" s="339"/>
      <c r="Z1599" s="294">
        <f>R1599*SUM(Z1584:Z1589)</f>
        <v>-31185.400999999998</v>
      </c>
    </row>
    <row r="1600" spans="2:27">
      <c r="B1600" s="317"/>
      <c r="G1600" s="338"/>
      <c r="H1600" s="339"/>
      <c r="L1600" s="338"/>
      <c r="M1600" s="339"/>
      <c r="N1600" s="338"/>
      <c r="O1600" s="339"/>
      <c r="P1600" s="359" t="str">
        <f>$P$44</f>
        <v>Tax Year 2</v>
      </c>
      <c r="Q1600" s="339"/>
      <c r="R1600" s="338">
        <f>$AD$1492</f>
        <v>-1.1299999999999999E-2</v>
      </c>
      <c r="S1600" s="339"/>
      <c r="Z1600" s="294">
        <f>R1600*SUM(Z1584:Z1589)</f>
        <v>-15592.700499999999</v>
      </c>
    </row>
    <row r="1601" spans="1:30" ht="16.5" thickBot="1">
      <c r="B1601" s="317" t="s">
        <v>937</v>
      </c>
      <c r="D1601" s="381">
        <f>SUM(D1596:D1598)</f>
        <v>17337580</v>
      </c>
      <c r="E1601" s="381">
        <f>[7]Energy!P62</f>
        <v>17945100</v>
      </c>
      <c r="G1601" s="368"/>
      <c r="I1601" s="369">
        <f>SUM(I1582:I1599)</f>
        <v>1558403.2194000001</v>
      </c>
      <c r="J1601" s="369">
        <f>SUM(J1582:J1599)</f>
        <v>1616798.9106999999</v>
      </c>
      <c r="L1601" s="368"/>
      <c r="N1601" s="368"/>
      <c r="P1601" s="368"/>
      <c r="R1601" s="368"/>
      <c r="T1601" s="369">
        <f>SUM(T1582:T1589)</f>
        <v>413431</v>
      </c>
      <c r="V1601" s="369">
        <f>SUM(V1582:V1589)</f>
        <v>958179</v>
      </c>
      <c r="X1601" s="369">
        <f>SUM(X1582:X1589)</f>
        <v>421705</v>
      </c>
      <c r="Z1601" s="369">
        <f>SUM(Z1582:Z1589)</f>
        <v>1793316</v>
      </c>
      <c r="AB1601" s="305" t="s">
        <v>939</v>
      </c>
      <c r="AC1601" s="304">
        <f>Z1601/J1601-1</f>
        <v>0.10917689771548411</v>
      </c>
    </row>
    <row r="1603" spans="1:30">
      <c r="A1603" s="292">
        <v>1</v>
      </c>
      <c r="B1603" s="314" t="s">
        <v>1000</v>
      </c>
    </row>
    <row r="1604" spans="1:30">
      <c r="B1604" s="317" t="s">
        <v>1189</v>
      </c>
      <c r="D1604" s="293">
        <f>'[7]10'!J17</f>
        <v>9.5836800000000011</v>
      </c>
      <c r="E1604" s="293">
        <f>ROUND(D1604/SUM($D$1604:$D$1605,$D$1642:$D$1643)*[7]Bill!$P$80/12,0)</f>
        <v>10</v>
      </c>
      <c r="G1604" s="339">
        <v>125</v>
      </c>
      <c r="H1604" s="339"/>
      <c r="I1604" s="294">
        <f t="shared" ref="I1604:J1608" si="920">ROUND($G1604*D1604,0)</f>
        <v>1198</v>
      </c>
      <c r="J1604" s="294">
        <f t="shared" si="920"/>
        <v>1250</v>
      </c>
      <c r="L1604" s="339">
        <f>R1604</f>
        <v>126</v>
      </c>
      <c r="M1604" s="339"/>
      <c r="N1604" s="339"/>
      <c r="O1604" s="339"/>
      <c r="P1604" s="339"/>
      <c r="Q1604" s="339"/>
      <c r="R1604" s="339">
        <f>ROUND(G1604*(1+$AC$1609),0)</f>
        <v>126</v>
      </c>
      <c r="S1604" s="339"/>
      <c r="T1604" s="294">
        <f>MIN($T$1619,Z1604)</f>
        <v>1260</v>
      </c>
      <c r="Z1604" s="294">
        <f>ROUND($E1604*R1604,0)</f>
        <v>1260</v>
      </c>
      <c r="AB1604" s="305" t="s">
        <v>1190</v>
      </c>
      <c r="AC1604" s="305"/>
    </row>
    <row r="1605" spans="1:30">
      <c r="B1605" s="317" t="s">
        <v>1191</v>
      </c>
      <c r="D1605" s="293">
        <f>'[7]10'!J18</f>
        <v>3100.0205263157914</v>
      </c>
      <c r="E1605" s="293">
        <f>ROUND(D1605/SUM($D$1604:$D$1605,$D$1642:$D$1643)*[7]Bill!$P$80/12,0)</f>
        <v>3273</v>
      </c>
      <c r="G1605" s="339">
        <v>38</v>
      </c>
      <c r="H1605" s="339"/>
      <c r="I1605" s="294">
        <f t="shared" si="920"/>
        <v>117801</v>
      </c>
      <c r="J1605" s="294">
        <f t="shared" si="920"/>
        <v>124374</v>
      </c>
      <c r="L1605" s="339">
        <f t="shared" ref="L1605:L1608" si="921">R1605</f>
        <v>38</v>
      </c>
      <c r="M1605" s="339"/>
      <c r="N1605" s="339"/>
      <c r="O1605" s="339"/>
      <c r="P1605" s="339"/>
      <c r="Q1605" s="339"/>
      <c r="R1605" s="339">
        <f>ROUND(G1605*(1+$AC$1609),0)</f>
        <v>38</v>
      </c>
      <c r="S1605" s="339"/>
      <c r="T1605" s="294">
        <f>MIN($T$1619-$T$1604,Z1605)</f>
        <v>124374</v>
      </c>
      <c r="Z1605" s="294">
        <f t="shared" ref="Z1605:Z1608" si="922">ROUND($E1605*R1605,0)</f>
        <v>124374</v>
      </c>
      <c r="AB1605" s="320" t="s">
        <v>1042</v>
      </c>
      <c r="AC1605" s="321">
        <f>Z1619+Z1639+Z1657</f>
        <v>18573374</v>
      </c>
    </row>
    <row r="1606" spans="1:30">
      <c r="B1606" s="317" t="s">
        <v>1192</v>
      </c>
      <c r="D1606" s="293">
        <f>'[7]10'!L19</f>
        <v>14065.268571428629</v>
      </c>
      <c r="E1606" s="293">
        <f>ROUND(D1606/($D$1604+$D$1605)*($E$1604+$E$1605),0)</f>
        <v>14850</v>
      </c>
      <c r="G1606" s="339">
        <v>14</v>
      </c>
      <c r="H1606" s="339"/>
      <c r="I1606" s="294">
        <f t="shared" si="920"/>
        <v>196914</v>
      </c>
      <c r="J1606" s="294">
        <f t="shared" si="920"/>
        <v>207900</v>
      </c>
      <c r="L1606" s="339">
        <f t="shared" si="921"/>
        <v>14</v>
      </c>
      <c r="M1606" s="339"/>
      <c r="N1606" s="339"/>
      <c r="O1606" s="339"/>
      <c r="P1606" s="339"/>
      <c r="Q1606" s="339"/>
      <c r="R1606" s="339">
        <f>ROUND(G1606*(1+$AC$1609),0)</f>
        <v>14</v>
      </c>
      <c r="S1606" s="339"/>
      <c r="T1606" s="294">
        <f>MIN($T$1619-$T$1604-$T$1605,Z1606+Z1613)*Z1606/(Z1606+Z1613)</f>
        <v>207900</v>
      </c>
      <c r="Z1606" s="294">
        <f t="shared" si="922"/>
        <v>207900</v>
      </c>
      <c r="AB1606" s="322" t="s">
        <v>1044</v>
      </c>
      <c r="AC1606" s="323">
        <f>[7]RateSpread!M41*1000</f>
        <v>18573374.453499999</v>
      </c>
    </row>
    <row r="1607" spans="1:30">
      <c r="B1607" s="317" t="s">
        <v>1193</v>
      </c>
      <c r="D1607" s="293">
        <f>'[7]10'!N19</f>
        <v>382160.32605729927</v>
      </c>
      <c r="E1607" s="293">
        <f>ROUND(D1607/$D$1611*$E$1611,0)</f>
        <v>425282</v>
      </c>
      <c r="G1607" s="339">
        <v>7.33</v>
      </c>
      <c r="H1607" s="339"/>
      <c r="I1607" s="294">
        <f t="shared" si="920"/>
        <v>2801235</v>
      </c>
      <c r="J1607" s="294">
        <f t="shared" si="920"/>
        <v>3117317</v>
      </c>
      <c r="L1607" s="339">
        <f t="shared" si="921"/>
        <v>7.38</v>
      </c>
      <c r="M1607" s="339"/>
      <c r="N1607" s="339"/>
      <c r="O1607" s="339"/>
      <c r="P1607" s="339"/>
      <c r="Q1607" s="339"/>
      <c r="R1607" s="339">
        <f>ROUND(G1607*(1+$AC$1609),2)</f>
        <v>7.38</v>
      </c>
      <c r="S1607" s="339"/>
      <c r="T1607" s="294">
        <f>MIN($T$1619-$T$1604-$T$1605-$T$1606-$T$1613,Z1607+Z1608)*Z1607/(Z1607+Z1608)</f>
        <v>3138581</v>
      </c>
      <c r="Z1607" s="294">
        <f t="shared" si="922"/>
        <v>3138581</v>
      </c>
      <c r="AB1607" s="327" t="s">
        <v>789</v>
      </c>
      <c r="AC1607" s="408">
        <f>AC1606-AC1605</f>
        <v>0.45349999889731407</v>
      </c>
    </row>
    <row r="1608" spans="1:30">
      <c r="B1608" s="317" t="s">
        <v>1098</v>
      </c>
      <c r="D1608" s="293">
        <f>'[7]10'!O19</f>
        <v>4222.9317073170741</v>
      </c>
      <c r="E1608" s="293">
        <f t="shared" ref="E1608:E1610" si="923">ROUND(D1608/$D$1611*$E$1611,0)</f>
        <v>4699</v>
      </c>
      <c r="G1608" s="339">
        <v>-2.0499999999999998</v>
      </c>
      <c r="H1608" s="339"/>
      <c r="I1608" s="294">
        <f t="shared" si="920"/>
        <v>-8657</v>
      </c>
      <c r="J1608" s="294">
        <f t="shared" si="920"/>
        <v>-9633</v>
      </c>
      <c r="L1608" s="339">
        <f t="shared" si="921"/>
        <v>-2.0499999999999998</v>
      </c>
      <c r="M1608" s="339"/>
      <c r="N1608" s="339"/>
      <c r="O1608" s="339"/>
      <c r="P1608" s="339"/>
      <c r="Q1608" s="339"/>
      <c r="R1608" s="339">
        <f>G1608</f>
        <v>-2.0499999999999998</v>
      </c>
      <c r="S1608" s="339"/>
      <c r="T1608" s="294">
        <f>MIN($T$1619-$T$1604-$T$1605-$T$1606-$T$1613,Z1607+Z1608)*Z1608/(Z1607+Z1608)</f>
        <v>-9633</v>
      </c>
      <c r="Z1608" s="294">
        <f t="shared" si="922"/>
        <v>-9633</v>
      </c>
      <c r="AB1608" s="320" t="s">
        <v>939</v>
      </c>
      <c r="AC1608" s="389">
        <f>AC1605/(J1619+J1639+J1657)-1</f>
        <v>4.9369578697344485E-2</v>
      </c>
    </row>
    <row r="1609" spans="1:30">
      <c r="B1609" s="317" t="s">
        <v>1194</v>
      </c>
      <c r="D1609" s="293">
        <f>'[7]10'!T19+[7]TempRev!C354-[7]TempRev!M354</f>
        <v>81533915.261207223</v>
      </c>
      <c r="E1609" s="293">
        <f t="shared" si="923"/>
        <v>90734008</v>
      </c>
      <c r="G1609" s="342">
        <v>7.2971000000000004</v>
      </c>
      <c r="H1609" s="343" t="s">
        <v>1062</v>
      </c>
      <c r="I1609" s="294">
        <f>ROUND($G1609*D1609/100,0)</f>
        <v>5949611</v>
      </c>
      <c r="J1609" s="294">
        <f>ROUND($G1609*E1609/100,0)</f>
        <v>6620951</v>
      </c>
      <c r="L1609" s="342">
        <f>ROUND((T1609+T1610)/($E$1609+$E$1610)*100,4)</f>
        <v>0.38550000000000001</v>
      </c>
      <c r="M1609" s="343" t="s">
        <v>1062</v>
      </c>
      <c r="N1609" s="342">
        <f>R1609-L1609-P1609</f>
        <v>4.9406965930259998</v>
      </c>
      <c r="O1609" s="343" t="s">
        <v>1062</v>
      </c>
      <c r="P1609" s="342">
        <f>ROUND((X1609+X1610+X1614)/($E$1609+$E$1610+$E$1614/AD1610)*100,4)</f>
        <v>2.0167999999999999</v>
      </c>
      <c r="Q1609" s="343" t="s">
        <v>1062</v>
      </c>
      <c r="R1609" s="342">
        <f>ROUND(G1609*(1+$AC$1609),$AC$8)</f>
        <v>7.3429965930260002</v>
      </c>
      <c r="S1609" s="343" t="s">
        <v>1062</v>
      </c>
      <c r="T1609" s="294">
        <f>MIN($T$1619-$T$1604-$T$1605-$T$1606-$T$1613-$T$1607-$T$1608,Z1609+Z1610+Z1614)*Z1609/(Z1609+Z1610+Z1614)</f>
        <v>387872.88519684988</v>
      </c>
      <c r="U1609" s="346"/>
      <c r="V1609" s="346">
        <f>MIN($V$1619,SUM($Z$1609:$Z$1610,$Z$1614,-$T$1609,-$T$1610,-$T$1614))*Z1609/($Z$1609+$Z$1610+$Z$1614)</f>
        <v>4176308.823963427</v>
      </c>
      <c r="W1609" s="346"/>
      <c r="X1609" s="346">
        <f>Z1609-T1609-V1609</f>
        <v>2098413.2908397233</v>
      </c>
      <c r="Y1609" s="346"/>
      <c r="Z1609" s="294">
        <f>ROUND($E1609*R1609/100,0)</f>
        <v>6662595</v>
      </c>
      <c r="AB1609" s="335" t="s">
        <v>1048</v>
      </c>
      <c r="AC1609" s="385">
        <f>(AC1606-J1608-J1626-J1646)/SUM(J1604:J1607,J1609:J1610,J1613:J1614,J1622:J1625,J1627:J1630,J1633:J1634,J1642:J1645,J1647:J1648,J1651:J1652)-1</f>
        <v>6.2897031733586406E-3</v>
      </c>
      <c r="AD1609" s="385">
        <f>AC1606/(J1619+J1639+J1657)-1</f>
        <v>4.9369604319458249E-2</v>
      </c>
    </row>
    <row r="1610" spans="1:30">
      <c r="B1610" s="317" t="s">
        <v>1195</v>
      </c>
      <c r="D1610" s="357">
        <f>'[7]10'!U19+[7]TempRev!C355-[7]TempRev!M355</f>
        <v>49286217.0382604</v>
      </c>
      <c r="E1610" s="357">
        <f t="shared" si="923"/>
        <v>54847557</v>
      </c>
      <c r="G1610" s="342">
        <v>5.3936000000000002</v>
      </c>
      <c r="H1610" s="343" t="s">
        <v>1062</v>
      </c>
      <c r="I1610" s="358">
        <f>ROUND($G1610*D1610/100,0)</f>
        <v>2658301</v>
      </c>
      <c r="J1610" s="358">
        <f>ROUND($G1610*E1610/100,0)</f>
        <v>2958258</v>
      </c>
      <c r="L1610" s="342">
        <f>L1609</f>
        <v>0.38550000000000001</v>
      </c>
      <c r="M1610" s="343" t="s">
        <v>1062</v>
      </c>
      <c r="N1610" s="342">
        <f>R1610-L1610-P1610</f>
        <v>3.0252241430359996</v>
      </c>
      <c r="O1610" s="343" t="s">
        <v>1062</v>
      </c>
      <c r="P1610" s="342">
        <f>P1609</f>
        <v>2.0167999999999999</v>
      </c>
      <c r="Q1610" s="343" t="s">
        <v>1062</v>
      </c>
      <c r="R1610" s="342">
        <f>ROUND(G1610*(1+$AC$1609),$AC$8)</f>
        <v>5.4275241430359999</v>
      </c>
      <c r="S1610" s="343" t="s">
        <v>1062</v>
      </c>
      <c r="T1610" s="346">
        <f>MIN($T$1619-$T$1604-$T$1605-$T$1606-$T$1613-$T$1607-$T$1608,Z1609+Z1610+Z1614)*Z1610/(Z1609+Z1610+Z1614)</f>
        <v>173302.56882170314</v>
      </c>
      <c r="U1610" s="346"/>
      <c r="V1610" s="346">
        <f>MIN($V$1619,SUM($Z$1609:$Z$1610,$Z$1614,-$T$1609,-$T$1610,-$T$1614))*Z1610/($Z$1609+$Z$1610+$Z$1614)</f>
        <v>1865985.1590767654</v>
      </c>
      <c r="W1610" s="346"/>
      <c r="X1610" s="346">
        <f>Z1610-T1610-V1610</f>
        <v>937576.2721015315</v>
      </c>
      <c r="Y1610" s="346"/>
      <c r="Z1610" s="294">
        <f>ROUND($E1610*R1610/100,0)</f>
        <v>2976864</v>
      </c>
      <c r="AB1610" s="322" t="s">
        <v>1125</v>
      </c>
      <c r="AC1610" s="384">
        <f>(AC1606-SUM(Z1604:Z1606,Z1613,Z1622:Z1624,Z1633,Z1642:Z1644,Z1651))/SUM(J1607:J1610,J1614,J1625:J1630,J1634,J1645:J1648,J1652)-1</f>
        <v>7.0214543234505822E-3</v>
      </c>
      <c r="AD1610" s="292">
        <v>1.1299999999999999</v>
      </c>
    </row>
    <row r="1611" spans="1:30">
      <c r="B1611" s="317" t="s">
        <v>1196</v>
      </c>
      <c r="D1611" s="357">
        <f>D1610+D1609</f>
        <v>130820132.29946762</v>
      </c>
      <c r="E1611" s="357">
        <f>ROUND(D1611/($D$1611+$D$1615+$D$1649+$D$1653)*[7]Energy!$P$80,0)</f>
        <v>145581565</v>
      </c>
      <c r="G1611" s="409"/>
      <c r="I1611" s="358">
        <f>SUM(I1604:I1610)</f>
        <v>11716403</v>
      </c>
      <c r="J1611" s="358">
        <f>SUM(J1604:J1610)</f>
        <v>13020417</v>
      </c>
      <c r="L1611" s="409"/>
      <c r="N1611" s="409"/>
      <c r="P1611" s="409"/>
      <c r="R1611" s="409"/>
      <c r="Z1611" s="358">
        <f>SUM(Z1604:Z1610)</f>
        <v>13101941</v>
      </c>
      <c r="AB1611" s="335"/>
      <c r="AC1611" s="385"/>
    </row>
    <row r="1612" spans="1:30">
      <c r="B1612" s="317" t="s">
        <v>1197</v>
      </c>
      <c r="AB1612" s="305" t="s">
        <v>1011</v>
      </c>
      <c r="AC1612" s="337">
        <f>[7]RateSpread!V41*1000</f>
        <v>-434370.6979077328</v>
      </c>
      <c r="AD1612" s="338">
        <f>ROUND(AC1612/SUM(Z1607,Z1609:Z1610,Z1614,Z1625,Z1627:Z1630,Z1634,Z1645,Z1647:Z1648,Z1652),4)</f>
        <v>-2.4E-2</v>
      </c>
    </row>
    <row r="1613" spans="1:30">
      <c r="B1613" s="317" t="s">
        <v>1198</v>
      </c>
      <c r="D1613" s="293">
        <f>'[7]10'!M19</f>
        <v>6655.8378571428157</v>
      </c>
      <c r="E1613" s="293">
        <f>ROUND(D1613/($D$1604+$D$1605)*($E$1604+$E$1605),0)</f>
        <v>7027</v>
      </c>
      <c r="G1613" s="339">
        <v>14</v>
      </c>
      <c r="H1613" s="339"/>
      <c r="I1613" s="294">
        <f>ROUND($G1613*D1613,0)</f>
        <v>93182</v>
      </c>
      <c r="J1613" s="294">
        <f>ROUND($G1613*E1613,0)</f>
        <v>98378</v>
      </c>
      <c r="L1613" s="339">
        <f>R1613</f>
        <v>14</v>
      </c>
      <c r="M1613" s="339"/>
      <c r="N1613" s="339"/>
      <c r="O1613" s="339"/>
      <c r="P1613" s="339"/>
      <c r="Q1613" s="339"/>
      <c r="R1613" s="339">
        <f>R1606</f>
        <v>14</v>
      </c>
      <c r="S1613" s="339"/>
      <c r="T1613" s="294">
        <f>MIN($T$1619-$T$1604-$T$1605,Z1606+Z1613)*Z1613/(Z1606+Z1613)</f>
        <v>98378</v>
      </c>
      <c r="Z1613" s="294">
        <f>ROUND($E1613*R1613,0)</f>
        <v>98378</v>
      </c>
      <c r="AB1613" s="305" t="s">
        <v>1057</v>
      </c>
      <c r="AC1613" s="337">
        <f>[7]RateSpread!W41*1000</f>
        <v>-217185.34921435127</v>
      </c>
      <c r="AD1613" s="338">
        <f>ROUND(AC1613/SUM(Z1607,Z1609:Z1610,Z1614,Z1625,Z1627:Z1630,Z1634,Z1645,Z1647:Z1648,Z1652),4)</f>
        <v>-1.2E-2</v>
      </c>
    </row>
    <row r="1614" spans="1:30">
      <c r="B1614" s="317" t="s">
        <v>1199</v>
      </c>
      <c r="D1614" s="357">
        <f>'[7]10'!Q19+[7]TempRev!C358-[7]TempRev!M358</f>
        <v>46055318.353969723</v>
      </c>
      <c r="E1614" s="357">
        <f>E1615</f>
        <v>51252091</v>
      </c>
      <c r="G1614" s="377">
        <v>4.9983000000000004</v>
      </c>
      <c r="H1614" s="343" t="s">
        <v>1062</v>
      </c>
      <c r="I1614" s="395">
        <f>ROUND($G1614*D1614/100,0)</f>
        <v>2301983</v>
      </c>
      <c r="J1614" s="395">
        <f>ROUND($G1614*E1614/100,0)</f>
        <v>2561733</v>
      </c>
      <c r="L1614" s="342">
        <f>ROUND(T1614/$E1614*100,4)</f>
        <v>0.29389999999999999</v>
      </c>
      <c r="M1614" s="343" t="s">
        <v>1062</v>
      </c>
      <c r="N1614" s="342">
        <f>R1614-L1614-P1614</f>
        <v>2.9696875137090535</v>
      </c>
      <c r="O1614" s="343" t="s">
        <v>1062</v>
      </c>
      <c r="P1614" s="342">
        <f>P1609/AD1610</f>
        <v>1.784778761061947</v>
      </c>
      <c r="Q1614" s="343" t="s">
        <v>1062</v>
      </c>
      <c r="R1614" s="342">
        <f>ROUND((AC1606-SUM(Z1611:Z1613,Z1631:Z1633,Z1649:Z1651))/(E1614+E1634+E1652)*100,$AC$8)</f>
        <v>5.0483662747710003</v>
      </c>
      <c r="S1614" s="343" t="s">
        <v>1062</v>
      </c>
      <c r="T1614" s="346">
        <f>MIN($T$1619-$T$1604-$T$1605-$T$1606-$T$1613-$T$1607-$T$1608,Z1609+Z1610+Z1614)*Z1614/(Z1609+Z1610+Z1614)</f>
        <v>150628.93482916686</v>
      </c>
      <c r="U1614" s="346"/>
      <c r="V1614" s="346">
        <f>MIN($V$1619,SUM($Z$1609:$Z$1610,$Z$1614,-$T$1609,-$T$1610,-$T$1614))*Z1614/($Z$1609+$Z$1610+$Z$1614)</f>
        <v>1621853.3794957073</v>
      </c>
      <c r="W1614" s="346"/>
      <c r="X1614" s="346">
        <f>Z1614-T1614-V1614</f>
        <v>814910.68567512557</v>
      </c>
      <c r="Y1614" s="346"/>
      <c r="Z1614" s="294">
        <f>ROUND($E1614*R1614/100,0)</f>
        <v>2587393</v>
      </c>
      <c r="AB1614" s="305" t="s">
        <v>939</v>
      </c>
      <c r="AC1614" s="304">
        <f>Z1619/J1619-1</f>
        <v>4.9843660285539881E-2</v>
      </c>
    </row>
    <row r="1615" spans="1:30">
      <c r="B1615" s="317" t="s">
        <v>1200</v>
      </c>
      <c r="D1615" s="357">
        <f>D1614</f>
        <v>46055318.353969723</v>
      </c>
      <c r="E1615" s="357">
        <f>ROUND(D1615/($D$1611+$D$1615+$D$1649+$D$1653)*[7]Energy!$P$80,0)</f>
        <v>51252091</v>
      </c>
      <c r="G1615" s="409"/>
      <c r="I1615" s="358">
        <f>I1613+I1614</f>
        <v>2395165</v>
      </c>
      <c r="J1615" s="358">
        <f>J1613+J1614</f>
        <v>2660111</v>
      </c>
      <c r="L1615" s="409"/>
      <c r="N1615" s="409"/>
      <c r="P1615" s="409"/>
      <c r="R1615" s="409"/>
      <c r="Z1615" s="358">
        <f>Z1613+Z1614</f>
        <v>2685771</v>
      </c>
    </row>
    <row r="1616" spans="1:30">
      <c r="B1616" s="317" t="s">
        <v>1078</v>
      </c>
      <c r="D1616" s="357">
        <f>'[7]Table 2'!J118-Blocking!D1654</f>
        <v>335950</v>
      </c>
      <c r="E1616" s="357">
        <v>0</v>
      </c>
      <c r="I1616" s="358">
        <f>-I1654+'[7]Table 3'!F118</f>
        <v>20486.63</v>
      </c>
      <c r="J1616" s="358">
        <v>0</v>
      </c>
      <c r="Z1616" s="358">
        <v>0</v>
      </c>
    </row>
    <row r="1617" spans="1:32">
      <c r="B1617" s="317" t="s">
        <v>1079</v>
      </c>
      <c r="G1617" s="338">
        <v>-4.2099999999999999E-2</v>
      </c>
      <c r="H1617" s="339"/>
      <c r="I1617" s="294">
        <f>SUM(I1607,I1609:I1610,I1614)*$G1617</f>
        <v>-577238.57299999997</v>
      </c>
      <c r="J1617" s="294">
        <f>SUM(J1607,J1609:J1610,J1614)*$G1617</f>
        <v>-642372.70389999996</v>
      </c>
      <c r="L1617" s="338"/>
      <c r="M1617" s="339"/>
      <c r="N1617" s="338"/>
      <c r="O1617" s="339"/>
      <c r="P1617" s="359" t="str">
        <f>$P$43</f>
        <v>Tax Year 1</v>
      </c>
      <c r="Q1617" s="339"/>
      <c r="R1617" s="338">
        <f>$AD$1612</f>
        <v>-2.4E-2</v>
      </c>
      <c r="S1617" s="339"/>
      <c r="Z1617" s="294">
        <f>R1617*SUM(Z1607,Z1609:Z1610,Z1614)</f>
        <v>-368770.39199999999</v>
      </c>
    </row>
    <row r="1618" spans="1:32">
      <c r="B1618" s="317"/>
      <c r="G1618" s="338"/>
      <c r="H1618" s="339"/>
      <c r="L1618" s="338"/>
      <c r="M1618" s="339"/>
      <c r="N1618" s="338"/>
      <c r="O1618" s="339"/>
      <c r="P1618" s="359" t="str">
        <f>$P$44</f>
        <v>Tax Year 2</v>
      </c>
      <c r="Q1618" s="339"/>
      <c r="R1618" s="338">
        <f>$AD$1613</f>
        <v>-1.2E-2</v>
      </c>
      <c r="S1618" s="339"/>
      <c r="Z1618" s="294">
        <f>R1618*SUM(Z1607,Z1609:Z1610,Z1614)</f>
        <v>-184385.196</v>
      </c>
      <c r="AB1618" s="361" t="s">
        <v>42</v>
      </c>
      <c r="AC1618" s="361" t="s">
        <v>43</v>
      </c>
      <c r="AD1618" s="361" t="s">
        <v>44</v>
      </c>
      <c r="AE1618" s="361" t="s">
        <v>45</v>
      </c>
    </row>
    <row r="1619" spans="1:32" ht="16.5" thickBot="1">
      <c r="A1619" s="292">
        <v>1</v>
      </c>
      <c r="B1619" s="317" t="s">
        <v>1201</v>
      </c>
      <c r="D1619" s="381">
        <f>D1614+D1611+D1616</f>
        <v>177211400.65343735</v>
      </c>
      <c r="E1619" s="381">
        <f>E1615+E1611+E1616</f>
        <v>196833656</v>
      </c>
      <c r="G1619" s="368"/>
      <c r="I1619" s="369">
        <f>SUM(I1611,I1615:I1617)</f>
        <v>13554816.057</v>
      </c>
      <c r="J1619" s="369">
        <f>SUM(J1611,J1615:J1617)</f>
        <v>15038155.2961</v>
      </c>
      <c r="L1619" s="368"/>
      <c r="N1619" s="368"/>
      <c r="P1619" s="368"/>
      <c r="R1619" s="368"/>
      <c r="T1619" s="364">
        <f>$Z1619*AB1619/$AE1619</f>
        <v>4272664.3888477199</v>
      </c>
      <c r="U1619" s="364"/>
      <c r="V1619" s="364">
        <f>$Z1619*AC1619/$AE1619</f>
        <v>7664147.3625358995</v>
      </c>
      <c r="W1619" s="364"/>
      <c r="X1619" s="364">
        <f>Z1619-T1619-V1619</f>
        <v>3850900.2486163806</v>
      </c>
      <c r="Z1619" s="369">
        <f>SUM(Z1611,Z1615:Z1616)</f>
        <v>15787712</v>
      </c>
      <c r="AB1619" s="366">
        <f>'[7]Unit Cost Target'!$I$87+'[7]Unit Cost Target'!$I$123+'[7]Unit Cost Target'!$I$129</f>
        <v>5060838.8935923399</v>
      </c>
      <c r="AC1619" s="366">
        <f>'[7]Unit Cost Target'!$I$45+'[7]Unit Cost Target'!$I$51+'[7]Unit Cost Target'!$I$75+'[7]Unit Cost Target'!$I$81</f>
        <v>9077945.6396773458</v>
      </c>
      <c r="AD1619" s="366">
        <f>'[7]Unit Cost Target'!$I$33+'[7]Unit Cost Target'!$I$39+'[7]Unit Cost Target'!$I$63+'[7]Unit Cost Target'!$I$69</f>
        <v>4561272.306903109</v>
      </c>
      <c r="AE1619" s="366">
        <f>SUM(AB1619:AD1619)</f>
        <v>18700056.840172794</v>
      </c>
      <c r="AF1619" s="366">
        <f>AE1619-'[7]Unit Cost Target'!$I$21</f>
        <v>0</v>
      </c>
    </row>
    <row r="1620" spans="1:32" ht="16.5" thickTop="1">
      <c r="A1620" s="292">
        <v>1</v>
      </c>
      <c r="AB1620" s="366">
        <f>T1619-SUM(T1604:T1618)</f>
        <v>0</v>
      </c>
      <c r="AC1620" s="366">
        <f>V1619-SUM(V1604:V1618)</f>
        <v>0</v>
      </c>
      <c r="AD1620" s="366">
        <f>X1619-SUM(X1604:X1618)</f>
        <v>0</v>
      </c>
      <c r="AE1620" s="366">
        <f>SUM(AB1620:AD1620)</f>
        <v>0</v>
      </c>
      <c r="AF1620" s="366"/>
    </row>
    <row r="1621" spans="1:32">
      <c r="B1621" s="314" t="s">
        <v>1001</v>
      </c>
    </row>
    <row r="1622" spans="1:32">
      <c r="A1622" s="292">
        <v>1</v>
      </c>
      <c r="B1622" s="317" t="s">
        <v>1189</v>
      </c>
      <c r="D1622" s="293">
        <f>'[7]10'!J23</f>
        <v>1</v>
      </c>
      <c r="E1622" s="293">
        <f>ROUND(D1622/(D1622+D1623)*[7]Bill!P81/12,0)</f>
        <v>1</v>
      </c>
      <c r="G1622" s="339">
        <v>125</v>
      </c>
      <c r="H1622" s="339"/>
      <c r="I1622" s="294">
        <f t="shared" ref="I1622:J1626" si="924">ROUND($G1622*D1622,0)</f>
        <v>125</v>
      </c>
      <c r="J1622" s="294">
        <f t="shared" si="924"/>
        <v>125</v>
      </c>
      <c r="L1622" s="339">
        <f t="shared" ref="L1622:L1628" si="925">L1604</f>
        <v>126</v>
      </c>
      <c r="M1622" s="339"/>
      <c r="N1622" s="339">
        <f>N1604</f>
        <v>0</v>
      </c>
      <c r="O1622" s="339"/>
      <c r="P1622" s="339">
        <f>P1604</f>
        <v>0</v>
      </c>
      <c r="Q1622" s="339"/>
      <c r="R1622" s="339">
        <f>R1604</f>
        <v>126</v>
      </c>
      <c r="S1622" s="339"/>
      <c r="T1622" s="294">
        <f>ROUND($E1622*L1622,0)</f>
        <v>126</v>
      </c>
      <c r="V1622" s="294">
        <f>ROUND($E1622*N1622,0)</f>
        <v>0</v>
      </c>
      <c r="X1622" s="294">
        <f>ROUND($E1622*P1622,0)</f>
        <v>0</v>
      </c>
      <c r="Z1622" s="294">
        <f>ROUND($E1622*R1622,0)</f>
        <v>126</v>
      </c>
    </row>
    <row r="1623" spans="1:32">
      <c r="B1623" s="317" t="s">
        <v>1191</v>
      </c>
      <c r="D1623" s="293">
        <f>'[7]10'!J24</f>
        <v>60.7226315789474</v>
      </c>
      <c r="E1623" s="293">
        <f>ROUND([7]Bill!P81/12-Blocking!E1622,0)</f>
        <v>55</v>
      </c>
      <c r="G1623" s="339">
        <v>38</v>
      </c>
      <c r="H1623" s="339"/>
      <c r="I1623" s="294">
        <f t="shared" si="924"/>
        <v>2307</v>
      </c>
      <c r="J1623" s="294">
        <f t="shared" si="924"/>
        <v>2090</v>
      </c>
      <c r="L1623" s="339">
        <f t="shared" si="925"/>
        <v>38</v>
      </c>
      <c r="M1623" s="339"/>
      <c r="N1623" s="339">
        <f t="shared" ref="N1623:N1628" si="926">N1605</f>
        <v>0</v>
      </c>
      <c r="O1623" s="339"/>
      <c r="P1623" s="339">
        <f t="shared" ref="P1623:P1628" si="927">P1605</f>
        <v>0</v>
      </c>
      <c r="Q1623" s="339"/>
      <c r="R1623" s="339">
        <f t="shared" ref="R1623:R1628" si="928">R1605</f>
        <v>38</v>
      </c>
      <c r="S1623" s="339"/>
      <c r="T1623" s="294">
        <f t="shared" ref="T1623:T1626" si="929">ROUND($E1623*L1623,0)</f>
        <v>2090</v>
      </c>
      <c r="V1623" s="294">
        <f t="shared" ref="V1623:V1626" si="930">ROUND($E1623*N1623,0)</f>
        <v>0</v>
      </c>
      <c r="X1623" s="294">
        <f t="shared" ref="X1623:Z1626" si="931">ROUND($E1623*P1623,0)</f>
        <v>0</v>
      </c>
      <c r="Z1623" s="294">
        <f t="shared" si="931"/>
        <v>2090</v>
      </c>
    </row>
    <row r="1624" spans="1:32">
      <c r="B1624" s="317" t="s">
        <v>1192</v>
      </c>
      <c r="D1624" s="293">
        <f>'[7]10'!L25</f>
        <v>314.37</v>
      </c>
      <c r="E1624" s="293">
        <f>ROUND(D1624/($D$1622+$D$1623)*($E$1622+$E$1623),0)</f>
        <v>285</v>
      </c>
      <c r="G1624" s="339">
        <v>14</v>
      </c>
      <c r="H1624" s="339"/>
      <c r="I1624" s="294">
        <f t="shared" si="924"/>
        <v>4401</v>
      </c>
      <c r="J1624" s="294">
        <f t="shared" si="924"/>
        <v>3990</v>
      </c>
      <c r="L1624" s="339">
        <f t="shared" si="925"/>
        <v>14</v>
      </c>
      <c r="M1624" s="339"/>
      <c r="N1624" s="339">
        <f t="shared" si="926"/>
        <v>0</v>
      </c>
      <c r="O1624" s="339"/>
      <c r="P1624" s="339">
        <f t="shared" si="927"/>
        <v>0</v>
      </c>
      <c r="Q1624" s="339"/>
      <c r="R1624" s="339">
        <f t="shared" si="928"/>
        <v>14</v>
      </c>
      <c r="S1624" s="339"/>
      <c r="T1624" s="294">
        <f t="shared" si="929"/>
        <v>3990</v>
      </c>
      <c r="V1624" s="294">
        <f t="shared" si="930"/>
        <v>0</v>
      </c>
      <c r="X1624" s="294">
        <f t="shared" si="931"/>
        <v>0</v>
      </c>
      <c r="Z1624" s="294">
        <f t="shared" si="931"/>
        <v>3990</v>
      </c>
    </row>
    <row r="1625" spans="1:32">
      <c r="B1625" s="317" t="s">
        <v>1193</v>
      </c>
      <c r="D1625" s="293">
        <f>'[7]10'!N25</f>
        <v>23200.406548431107</v>
      </c>
      <c r="E1625" s="293">
        <f>ROUND(D1625/$D$1631*$E$1631,0)</f>
        <v>26155</v>
      </c>
      <c r="G1625" s="339">
        <v>7.33</v>
      </c>
      <c r="H1625" s="339"/>
      <c r="I1625" s="294">
        <f t="shared" si="924"/>
        <v>170059</v>
      </c>
      <c r="J1625" s="294">
        <f t="shared" si="924"/>
        <v>191716</v>
      </c>
      <c r="L1625" s="339">
        <f t="shared" si="925"/>
        <v>7.38</v>
      </c>
      <c r="M1625" s="339"/>
      <c r="N1625" s="339">
        <f t="shared" si="926"/>
        <v>0</v>
      </c>
      <c r="O1625" s="339"/>
      <c r="P1625" s="339">
        <f t="shared" si="927"/>
        <v>0</v>
      </c>
      <c r="Q1625" s="339"/>
      <c r="R1625" s="339">
        <f t="shared" si="928"/>
        <v>7.38</v>
      </c>
      <c r="S1625" s="339"/>
      <c r="T1625" s="294">
        <f t="shared" si="929"/>
        <v>193024</v>
      </c>
      <c r="V1625" s="294">
        <f t="shared" si="930"/>
        <v>0</v>
      </c>
      <c r="X1625" s="294">
        <f t="shared" si="931"/>
        <v>0</v>
      </c>
      <c r="Z1625" s="294">
        <f t="shared" si="931"/>
        <v>193024</v>
      </c>
    </row>
    <row r="1626" spans="1:32">
      <c r="B1626" s="317" t="s">
        <v>1098</v>
      </c>
      <c r="D1626" s="293">
        <f>'[7]10'!O25</f>
        <v>8.4536585365853707</v>
      </c>
      <c r="E1626" s="293">
        <f t="shared" ref="E1626:E1630" si="932">ROUND(D1626/$D$1631*$E$1631,0)</f>
        <v>10</v>
      </c>
      <c r="G1626" s="339">
        <v>-2.0499999999999998</v>
      </c>
      <c r="H1626" s="339"/>
      <c r="I1626" s="294">
        <f t="shared" si="924"/>
        <v>-17</v>
      </c>
      <c r="J1626" s="294">
        <f t="shared" si="924"/>
        <v>-21</v>
      </c>
      <c r="L1626" s="339">
        <f t="shared" si="925"/>
        <v>-2.0499999999999998</v>
      </c>
      <c r="M1626" s="339"/>
      <c r="N1626" s="339">
        <f t="shared" si="926"/>
        <v>0</v>
      </c>
      <c r="O1626" s="339"/>
      <c r="P1626" s="339">
        <f t="shared" si="927"/>
        <v>0</v>
      </c>
      <c r="Q1626" s="339"/>
      <c r="R1626" s="339">
        <f t="shared" si="928"/>
        <v>-2.0499999999999998</v>
      </c>
      <c r="S1626" s="339"/>
      <c r="T1626" s="294">
        <f t="shared" si="929"/>
        <v>-21</v>
      </c>
      <c r="V1626" s="294">
        <f t="shared" si="930"/>
        <v>0</v>
      </c>
      <c r="X1626" s="294">
        <f t="shared" si="931"/>
        <v>0</v>
      </c>
      <c r="Z1626" s="294">
        <f t="shared" si="931"/>
        <v>-21</v>
      </c>
    </row>
    <row r="1627" spans="1:32">
      <c r="B1627" s="317" t="s">
        <v>1194</v>
      </c>
      <c r="D1627" s="293">
        <f>'[7]10'!T25+[7]TempRev!M354</f>
        <v>3285476.7387927799</v>
      </c>
      <c r="E1627" s="293">
        <f t="shared" si="932"/>
        <v>3703888</v>
      </c>
      <c r="G1627" s="342">
        <v>7.2971000000000004</v>
      </c>
      <c r="H1627" s="343" t="s">
        <v>1062</v>
      </c>
      <c r="I1627" s="294">
        <f t="shared" ref="I1627:J1630" si="933">ROUND($G1627*D1627/100,0)</f>
        <v>239745</v>
      </c>
      <c r="J1627" s="294">
        <f t="shared" si="933"/>
        <v>270276</v>
      </c>
      <c r="L1627" s="342">
        <f t="shared" si="925"/>
        <v>0.38550000000000001</v>
      </c>
      <c r="M1627" s="343" t="s">
        <v>1062</v>
      </c>
      <c r="N1627" s="342">
        <f t="shared" si="926"/>
        <v>4.9406965930259998</v>
      </c>
      <c r="O1627" s="343" t="s">
        <v>1062</v>
      </c>
      <c r="P1627" s="342">
        <f t="shared" si="927"/>
        <v>2.0167999999999999</v>
      </c>
      <c r="Q1627" s="343" t="s">
        <v>1062</v>
      </c>
      <c r="R1627" s="342">
        <f t="shared" si="928"/>
        <v>7.3429965930260002</v>
      </c>
      <c r="S1627" s="343" t="s">
        <v>1062</v>
      </c>
      <c r="T1627" s="294">
        <f>ROUND($E1627*L1627/100,0)</f>
        <v>14278</v>
      </c>
      <c r="U1627" s="346"/>
      <c r="V1627" s="294">
        <f>ROUND($E1627*N1627/100,0)</f>
        <v>182998</v>
      </c>
      <c r="W1627" s="346"/>
      <c r="X1627" s="294">
        <f>ROUND($E1627*P1627/100,0)</f>
        <v>74700</v>
      </c>
      <c r="Y1627" s="346"/>
      <c r="Z1627" s="294">
        <f>ROUND($E1627*R1627/100,0)</f>
        <v>271976</v>
      </c>
    </row>
    <row r="1628" spans="1:32">
      <c r="B1628" s="317" t="s">
        <v>1195</v>
      </c>
      <c r="D1628" s="357">
        <f>'[7]10'!U25+[7]TempRev!M355</f>
        <v>2902041.7617576825</v>
      </c>
      <c r="E1628" s="357">
        <f t="shared" si="932"/>
        <v>3271622</v>
      </c>
      <c r="G1628" s="342">
        <v>5.3936000000000002</v>
      </c>
      <c r="H1628" s="343" t="s">
        <v>1062</v>
      </c>
      <c r="I1628" s="358">
        <f t="shared" si="933"/>
        <v>156525</v>
      </c>
      <c r="J1628" s="358">
        <f t="shared" si="933"/>
        <v>176458</v>
      </c>
      <c r="L1628" s="342">
        <f t="shared" si="925"/>
        <v>0.38550000000000001</v>
      </c>
      <c r="M1628" s="343" t="s">
        <v>1062</v>
      </c>
      <c r="N1628" s="342">
        <f t="shared" si="926"/>
        <v>3.0252241430359996</v>
      </c>
      <c r="O1628" s="343" t="s">
        <v>1062</v>
      </c>
      <c r="P1628" s="342">
        <f t="shared" si="927"/>
        <v>2.0167999999999999</v>
      </c>
      <c r="Q1628" s="343" t="s">
        <v>1062</v>
      </c>
      <c r="R1628" s="342">
        <f t="shared" si="928"/>
        <v>5.4275241430359999</v>
      </c>
      <c r="S1628" s="343" t="s">
        <v>1062</v>
      </c>
      <c r="T1628" s="294">
        <f>ROUND($E1628*L1628/100,0)</f>
        <v>12612</v>
      </c>
      <c r="U1628" s="346"/>
      <c r="V1628" s="294">
        <f>ROUND($E1628*N1628/100,0)</f>
        <v>98974</v>
      </c>
      <c r="W1628" s="346"/>
      <c r="X1628" s="294">
        <f>ROUND($E1628*P1628/100,0)</f>
        <v>65982</v>
      </c>
      <c r="Y1628" s="346"/>
      <c r="Z1628" s="294">
        <f>ROUND($E1628*R1628/100,0)</f>
        <v>177568</v>
      </c>
    </row>
    <row r="1629" spans="1:32">
      <c r="B1629" s="317" t="s">
        <v>1085</v>
      </c>
      <c r="D1629" s="293">
        <f>'[7]10'!R25</f>
        <v>117281</v>
      </c>
      <c r="E1629" s="293">
        <f t="shared" si="932"/>
        <v>132217</v>
      </c>
      <c r="G1629" s="342">
        <v>14.416399999999999</v>
      </c>
      <c r="H1629" s="343" t="s">
        <v>1062</v>
      </c>
      <c r="I1629" s="294">
        <f t="shared" si="933"/>
        <v>16908</v>
      </c>
      <c r="J1629" s="294">
        <f t="shared" si="933"/>
        <v>19061</v>
      </c>
      <c r="L1629" s="342">
        <f>L1647</f>
        <v>0.21310000000000001</v>
      </c>
      <c r="M1629" s="343" t="s">
        <v>1062</v>
      </c>
      <c r="N1629" s="342">
        <f>N1647</f>
        <v>7.4194000000000004</v>
      </c>
      <c r="O1629" s="343" t="s">
        <v>1062</v>
      </c>
      <c r="P1629" s="342">
        <f>P1647</f>
        <v>6.8746</v>
      </c>
      <c r="Q1629" s="343" t="s">
        <v>1062</v>
      </c>
      <c r="R1629" s="342">
        <f>R1647</f>
        <v>14.507074876828</v>
      </c>
      <c r="S1629" s="343" t="s">
        <v>1062</v>
      </c>
      <c r="T1629" s="294">
        <f t="shared" ref="T1629:T1630" si="934">ROUND($E1629*L1629/100,0)</f>
        <v>282</v>
      </c>
      <c r="U1629" s="346"/>
      <c r="V1629" s="294">
        <f t="shared" ref="V1629:V1630" si="935">ROUND($E1629*N1629/100,0)</f>
        <v>9810</v>
      </c>
      <c r="W1629" s="346"/>
      <c r="X1629" s="294">
        <f t="shared" ref="X1629:Z1630" si="936">ROUND($E1629*P1629/100,0)</f>
        <v>9089</v>
      </c>
      <c r="Y1629" s="346"/>
      <c r="Z1629" s="294">
        <f t="shared" si="936"/>
        <v>19181</v>
      </c>
    </row>
    <row r="1630" spans="1:32">
      <c r="B1630" s="317" t="s">
        <v>1086</v>
      </c>
      <c r="D1630" s="357">
        <f>'[7]10'!S25</f>
        <v>438822</v>
      </c>
      <c r="E1630" s="357">
        <f t="shared" si="932"/>
        <v>494707</v>
      </c>
      <c r="G1630" s="377">
        <v>4.1542000000000003</v>
      </c>
      <c r="H1630" s="343" t="s">
        <v>1062</v>
      </c>
      <c r="I1630" s="395">
        <f t="shared" si="933"/>
        <v>18230</v>
      </c>
      <c r="J1630" s="395">
        <f t="shared" si="933"/>
        <v>20551</v>
      </c>
      <c r="L1630" s="342">
        <f>L1648</f>
        <v>0.21310000000000001</v>
      </c>
      <c r="M1630" s="343" t="s">
        <v>1062</v>
      </c>
      <c r="N1630" s="342">
        <f>N1648</f>
        <v>3.4194000000000004</v>
      </c>
      <c r="O1630" s="343" t="s">
        <v>1062</v>
      </c>
      <c r="P1630" s="342">
        <f>P1648</f>
        <v>0.54779999999999995</v>
      </c>
      <c r="Q1630" s="343" t="s">
        <v>1062</v>
      </c>
      <c r="R1630" s="342">
        <f>R1648</f>
        <v>4.1803286849230004</v>
      </c>
      <c r="S1630" s="343" t="s">
        <v>1062</v>
      </c>
      <c r="T1630" s="294">
        <f t="shared" si="934"/>
        <v>1054</v>
      </c>
      <c r="U1630" s="346"/>
      <c r="V1630" s="294">
        <f t="shared" si="935"/>
        <v>16916</v>
      </c>
      <c r="W1630" s="346"/>
      <c r="X1630" s="294">
        <f t="shared" si="936"/>
        <v>2710</v>
      </c>
      <c r="Y1630" s="346"/>
      <c r="Z1630" s="294">
        <f t="shared" si="936"/>
        <v>20680</v>
      </c>
    </row>
    <row r="1631" spans="1:32">
      <c r="B1631" s="317" t="s">
        <v>1196</v>
      </c>
      <c r="D1631" s="357">
        <f>SUM(D1627:D1630)</f>
        <v>6743621.5005504619</v>
      </c>
      <c r="E1631" s="357">
        <f>ROUND(D1631/(D1631+D1635)*E1639,0)</f>
        <v>7602434</v>
      </c>
      <c r="G1631" s="409"/>
      <c r="I1631" s="358">
        <f>SUM(I1622:I1630)</f>
        <v>608283</v>
      </c>
      <c r="J1631" s="358">
        <f>SUM(J1622:J1630)</f>
        <v>684246</v>
      </c>
      <c r="L1631" s="409"/>
      <c r="N1631" s="409"/>
      <c r="P1631" s="409"/>
      <c r="R1631" s="409"/>
      <c r="T1631" s="358">
        <f>SUM(T1622:T1630)</f>
        <v>227435</v>
      </c>
      <c r="V1631" s="358">
        <f>SUM(V1622:V1630)</f>
        <v>308698</v>
      </c>
      <c r="X1631" s="358">
        <f>SUM(X1622:X1630)</f>
        <v>152481</v>
      </c>
      <c r="Z1631" s="358">
        <f>SUM(Z1622:Z1630)</f>
        <v>688614</v>
      </c>
    </row>
    <row r="1632" spans="1:32">
      <c r="B1632" s="317" t="s">
        <v>1197</v>
      </c>
    </row>
    <row r="1633" spans="1:29">
      <c r="B1633" s="317" t="s">
        <v>1198</v>
      </c>
      <c r="D1633" s="293">
        <f>'[7]10'!M25</f>
        <v>135.45857142857102</v>
      </c>
      <c r="E1633" s="293">
        <f>ROUND(D1633/($D$1622+$D$1623)*($E$1622+$E$1623),0)</f>
        <v>123</v>
      </c>
      <c r="G1633" s="339">
        <v>14</v>
      </c>
      <c r="H1633" s="339"/>
      <c r="I1633" s="294">
        <f>ROUND($G1633*D1633,0)</f>
        <v>1896</v>
      </c>
      <c r="J1633" s="294">
        <f>ROUND($G1633*E1633,0)</f>
        <v>1722</v>
      </c>
      <c r="L1633" s="339">
        <f>L1613</f>
        <v>14</v>
      </c>
      <c r="M1633" s="339"/>
      <c r="N1633" s="339">
        <f>N1613</f>
        <v>0</v>
      </c>
      <c r="O1633" s="339"/>
      <c r="P1633" s="339">
        <f>P1613</f>
        <v>0</v>
      </c>
      <c r="Q1633" s="339"/>
      <c r="R1633" s="339">
        <f>R1613</f>
        <v>14</v>
      </c>
      <c r="S1633" s="339"/>
      <c r="T1633" s="294">
        <f t="shared" ref="T1633" si="937">ROUND($E1633*L1633/100,0)</f>
        <v>17</v>
      </c>
      <c r="V1633" s="294">
        <f t="shared" ref="V1633" si="938">ROUND($E1633*N1633/100,0)</f>
        <v>0</v>
      </c>
      <c r="X1633" s="294">
        <f t="shared" ref="X1633:Z1633" si="939">ROUND($E1633*P1633/100,0)</f>
        <v>0</v>
      </c>
      <c r="Z1633" s="294">
        <f t="shared" si="939"/>
        <v>17</v>
      </c>
    </row>
    <row r="1634" spans="1:29">
      <c r="B1634" s="317" t="s">
        <v>1199</v>
      </c>
      <c r="D1634" s="357">
        <f>'[7]10'!Q25+[7]TempRev!M358</f>
        <v>1506180.9657492132</v>
      </c>
      <c r="E1634" s="357">
        <f>E1635</f>
        <v>1697995.5822001491</v>
      </c>
      <c r="G1634" s="377">
        <v>4.9983000000000004</v>
      </c>
      <c r="H1634" s="343" t="s">
        <v>1062</v>
      </c>
      <c r="I1634" s="395">
        <f>ROUND($G1634*D1634/100,0)</f>
        <v>75283</v>
      </c>
      <c r="J1634" s="395">
        <f>ROUND($G1634*E1634/100,0)</f>
        <v>84871</v>
      </c>
      <c r="L1634" s="377">
        <f>L1614</f>
        <v>0.29389999999999999</v>
      </c>
      <c r="M1634" s="343" t="s">
        <v>1062</v>
      </c>
      <c r="N1634" s="377">
        <f>N1614</f>
        <v>2.9696875137090535</v>
      </c>
      <c r="O1634" s="343" t="s">
        <v>1062</v>
      </c>
      <c r="P1634" s="377">
        <f>P1614</f>
        <v>1.784778761061947</v>
      </c>
      <c r="Q1634" s="343" t="s">
        <v>1062</v>
      </c>
      <c r="R1634" s="377">
        <f>R1614</f>
        <v>5.0483662747710003</v>
      </c>
      <c r="S1634" s="343" t="s">
        <v>1062</v>
      </c>
      <c r="T1634" s="294">
        <f>ROUND($E1634*L1634/100,0)</f>
        <v>4990</v>
      </c>
      <c r="U1634" s="346"/>
      <c r="V1634" s="294">
        <f>ROUND($E1634*N1634/100,0)</f>
        <v>50425</v>
      </c>
      <c r="W1634" s="346"/>
      <c r="X1634" s="294">
        <f>ROUND($E1634*P1634/100,0)</f>
        <v>30305</v>
      </c>
      <c r="Y1634" s="346"/>
      <c r="Z1634" s="294">
        <f>ROUND($E1634*R1634/100,0)</f>
        <v>85721</v>
      </c>
    </row>
    <row r="1635" spans="1:29">
      <c r="B1635" s="317" t="s">
        <v>1200</v>
      </c>
      <c r="D1635" s="357">
        <f>D1634</f>
        <v>1506180.9657492132</v>
      </c>
      <c r="E1635" s="357">
        <f>E1639-E1631</f>
        <v>1697995.5822001491</v>
      </c>
      <c r="G1635" s="409"/>
      <c r="I1635" s="358">
        <f>I1633+I1634</f>
        <v>77179</v>
      </c>
      <c r="J1635" s="358">
        <f>J1633+J1634</f>
        <v>86593</v>
      </c>
      <c r="L1635" s="409"/>
      <c r="N1635" s="409"/>
      <c r="P1635" s="409"/>
      <c r="R1635" s="409"/>
      <c r="T1635" s="358">
        <f>T1633+T1634</f>
        <v>5007</v>
      </c>
      <c r="V1635" s="358">
        <f>V1633+V1634</f>
        <v>50425</v>
      </c>
      <c r="X1635" s="358">
        <f>X1633+X1634</f>
        <v>30305</v>
      </c>
      <c r="Z1635" s="358">
        <f>Z1633+Z1634</f>
        <v>85738</v>
      </c>
    </row>
    <row r="1636" spans="1:29">
      <c r="B1636" s="317" t="s">
        <v>1078</v>
      </c>
      <c r="D1636" s="357">
        <f>'[7]Table 2'!J119</f>
        <v>15646</v>
      </c>
      <c r="E1636" s="357">
        <v>0</v>
      </c>
      <c r="I1636" s="358">
        <f>'[7]Table 3'!F119</f>
        <v>988.36999999999898</v>
      </c>
      <c r="J1636" s="358">
        <v>0</v>
      </c>
      <c r="Z1636" s="358">
        <v>0</v>
      </c>
    </row>
    <row r="1637" spans="1:29">
      <c r="B1637" s="317" t="s">
        <v>1079</v>
      </c>
      <c r="G1637" s="338">
        <v>-4.2099999999999999E-2</v>
      </c>
      <c r="H1637" s="339"/>
      <c r="I1637" s="294">
        <f>SUM(I1625,I1627:I1630,I1634)*$G1637</f>
        <v>-28491.174999999999</v>
      </c>
      <c r="J1637" s="294">
        <f>SUM(J1625,J1627:J1630,J1634)*$G1637</f>
        <v>-32119.479299999999</v>
      </c>
      <c r="L1637" s="338"/>
      <c r="M1637" s="339"/>
      <c r="N1637" s="338"/>
      <c r="O1637" s="339"/>
      <c r="P1637" s="359" t="str">
        <f>$P$43</f>
        <v>Tax Year 1</v>
      </c>
      <c r="Q1637" s="339"/>
      <c r="R1637" s="338">
        <f>$AD$1612</f>
        <v>-2.4E-2</v>
      </c>
      <c r="S1637" s="339"/>
      <c r="Z1637" s="294">
        <f>R1637*SUM(Z1625,Z1627:Z1630,Z1634)</f>
        <v>-18435.600000000002</v>
      </c>
    </row>
    <row r="1638" spans="1:29">
      <c r="B1638" s="317"/>
      <c r="G1638" s="338"/>
      <c r="H1638" s="339"/>
      <c r="L1638" s="338"/>
      <c r="M1638" s="339"/>
      <c r="N1638" s="338"/>
      <c r="O1638" s="339"/>
      <c r="P1638" s="359" t="str">
        <f>$P$44</f>
        <v>Tax Year 2</v>
      </c>
      <c r="Q1638" s="339"/>
      <c r="R1638" s="338">
        <f>$AD$1613</f>
        <v>-1.2E-2</v>
      </c>
      <c r="S1638" s="339"/>
      <c r="Z1638" s="294">
        <f>R1638*SUM(Z1625,Z1627:Z1630,Z1634)</f>
        <v>-9217.8000000000011</v>
      </c>
    </row>
    <row r="1639" spans="1:29" ht="16.5" thickBot="1">
      <c r="A1639" s="292">
        <v>1</v>
      </c>
      <c r="B1639" s="317" t="s">
        <v>1202</v>
      </c>
      <c r="D1639" s="381">
        <f>D1634+D1631+D1636</f>
        <v>8265448.4662996754</v>
      </c>
      <c r="E1639" s="381">
        <f>[7]Energy!P81</f>
        <v>9300429.5822001491</v>
      </c>
      <c r="G1639" s="368"/>
      <c r="I1639" s="369">
        <f>SUM(I1631,I1635:I1637)</f>
        <v>657959.19499999995</v>
      </c>
      <c r="J1639" s="369">
        <f>SUM(J1631,J1635:J1637)</f>
        <v>738719.52069999999</v>
      </c>
      <c r="L1639" s="368"/>
      <c r="N1639" s="368"/>
      <c r="P1639" s="368"/>
      <c r="R1639" s="368"/>
      <c r="T1639" s="369">
        <f>SUM(T1631,T1635:T1636)</f>
        <v>232442</v>
      </c>
      <c r="V1639" s="369">
        <f>SUM(V1631,V1635:V1636)</f>
        <v>359123</v>
      </c>
      <c r="X1639" s="369">
        <f>SUM(X1631,X1635:X1636)</f>
        <v>182786</v>
      </c>
      <c r="Z1639" s="369">
        <f>SUM(Z1631,Z1635:Z1636)</f>
        <v>774352</v>
      </c>
      <c r="AB1639" s="305" t="s">
        <v>939</v>
      </c>
      <c r="AC1639" s="304">
        <f>Z1639/J1639-1</f>
        <v>4.8235464613464174E-2</v>
      </c>
    </row>
    <row r="1640" spans="1:29" ht="16.5" thickTop="1">
      <c r="A1640" s="292">
        <v>1</v>
      </c>
    </row>
    <row r="1641" spans="1:29">
      <c r="A1641" s="292">
        <v>1</v>
      </c>
      <c r="B1641" s="314" t="s">
        <v>1002</v>
      </c>
    </row>
    <row r="1642" spans="1:29">
      <c r="B1642" s="317" t="s">
        <v>1189</v>
      </c>
      <c r="D1642" s="293">
        <f>'[7]10'!J20</f>
        <v>3</v>
      </c>
      <c r="E1642" s="293">
        <f>ROUND(D1642/SUM($D$1604:$D$1605,$D$1642:$D$1643)*[7]Bill!$P$80/12,0)</f>
        <v>3</v>
      </c>
      <c r="G1642" s="339">
        <v>125</v>
      </c>
      <c r="H1642" s="339"/>
      <c r="I1642" s="294">
        <f t="shared" ref="I1642:J1646" si="940">ROUND($G1642*D1642,0)</f>
        <v>375</v>
      </c>
      <c r="J1642" s="294">
        <f t="shared" si="940"/>
        <v>375</v>
      </c>
      <c r="L1642" s="339">
        <f>L1604</f>
        <v>126</v>
      </c>
      <c r="M1642" s="339"/>
      <c r="N1642" s="339">
        <f>N1604</f>
        <v>0</v>
      </c>
      <c r="O1642" s="339"/>
      <c r="P1642" s="339">
        <f>P1604</f>
        <v>0</v>
      </c>
      <c r="Q1642" s="339"/>
      <c r="R1642" s="339">
        <f>R1604</f>
        <v>126</v>
      </c>
      <c r="S1642" s="339"/>
      <c r="T1642" s="294">
        <f>ROUND($E1642*L1642,0)</f>
        <v>378</v>
      </c>
      <c r="V1642" s="294">
        <f>ROUND($E1642*N1642,0)</f>
        <v>0</v>
      </c>
      <c r="X1642" s="294">
        <f>ROUND($E1642*P1642,0)</f>
        <v>0</v>
      </c>
      <c r="Z1642" s="294">
        <f>ROUND($E1642*R1642,0)</f>
        <v>378</v>
      </c>
    </row>
    <row r="1643" spans="1:29">
      <c r="B1643" s="317" t="s">
        <v>1191</v>
      </c>
      <c r="D1643" s="293">
        <f>'[7]10'!J21</f>
        <v>251.37552631578899</v>
      </c>
      <c r="E1643" s="293">
        <f>ROUND([7]Bill!P80/12-Blocking!E1604-Blocking!E1605-Blocking!E1642,0)</f>
        <v>266</v>
      </c>
      <c r="G1643" s="339">
        <v>38</v>
      </c>
      <c r="H1643" s="339"/>
      <c r="I1643" s="294">
        <f t="shared" si="940"/>
        <v>9552</v>
      </c>
      <c r="J1643" s="294">
        <f t="shared" si="940"/>
        <v>10108</v>
      </c>
      <c r="L1643" s="339">
        <f t="shared" ref="L1643:L1645" si="941">L1605</f>
        <v>38</v>
      </c>
      <c r="M1643" s="339"/>
      <c r="N1643" s="339">
        <f t="shared" ref="N1643:N1645" si="942">N1605</f>
        <v>0</v>
      </c>
      <c r="O1643" s="339"/>
      <c r="P1643" s="339">
        <f t="shared" ref="P1643:P1645" si="943">P1605</f>
        <v>0</v>
      </c>
      <c r="Q1643" s="339"/>
      <c r="R1643" s="339">
        <f>R1605</f>
        <v>38</v>
      </c>
      <c r="S1643" s="339"/>
      <c r="T1643" s="294">
        <f t="shared" ref="T1643:T1645" si="944">ROUND($E1643*L1643,0)</f>
        <v>10108</v>
      </c>
      <c r="V1643" s="294">
        <f t="shared" ref="V1643:Z1646" si="945">ROUND($E1643*N1643,0)</f>
        <v>0</v>
      </c>
      <c r="X1643" s="294">
        <f t="shared" si="945"/>
        <v>0</v>
      </c>
      <c r="Z1643" s="294">
        <f t="shared" si="945"/>
        <v>10108</v>
      </c>
    </row>
    <row r="1644" spans="1:29">
      <c r="B1644" s="317" t="s">
        <v>1203</v>
      </c>
      <c r="D1644" s="293">
        <f>'[7]10'!L22</f>
        <v>1131.199285714287</v>
      </c>
      <c r="E1644" s="293">
        <f>ROUND(D1644/($D$1642+$D$1643)*($E$1642+$E$1643),0)</f>
        <v>1196</v>
      </c>
      <c r="G1644" s="339">
        <v>14</v>
      </c>
      <c r="H1644" s="339"/>
      <c r="I1644" s="294">
        <f t="shared" si="940"/>
        <v>15837</v>
      </c>
      <c r="J1644" s="294">
        <f t="shared" si="940"/>
        <v>16744</v>
      </c>
      <c r="L1644" s="339">
        <f t="shared" si="941"/>
        <v>14</v>
      </c>
      <c r="M1644" s="339"/>
      <c r="N1644" s="339">
        <f t="shared" si="942"/>
        <v>0</v>
      </c>
      <c r="O1644" s="339"/>
      <c r="P1644" s="339">
        <f t="shared" si="943"/>
        <v>0</v>
      </c>
      <c r="Q1644" s="339"/>
      <c r="R1644" s="339">
        <f>R1606</f>
        <v>14</v>
      </c>
      <c r="S1644" s="339"/>
      <c r="T1644" s="294">
        <f t="shared" si="944"/>
        <v>16744</v>
      </c>
      <c r="V1644" s="294">
        <f t="shared" si="945"/>
        <v>0</v>
      </c>
      <c r="X1644" s="294">
        <f t="shared" si="945"/>
        <v>0</v>
      </c>
      <c r="Z1644" s="294">
        <f t="shared" si="945"/>
        <v>16744</v>
      </c>
    </row>
    <row r="1645" spans="1:29">
      <c r="B1645" s="317" t="s">
        <v>1193</v>
      </c>
      <c r="D1645" s="293">
        <f>'[7]10'!N22</f>
        <v>56614.135061391513</v>
      </c>
      <c r="E1645" s="293">
        <f>ROUND(D1645/$D$1649*$E$1649,0)</f>
        <v>63002</v>
      </c>
      <c r="G1645" s="339">
        <v>7.33</v>
      </c>
      <c r="H1645" s="339"/>
      <c r="I1645" s="294">
        <f t="shared" si="940"/>
        <v>414982</v>
      </c>
      <c r="J1645" s="294">
        <f t="shared" si="940"/>
        <v>461805</v>
      </c>
      <c r="L1645" s="339">
        <f t="shared" si="941"/>
        <v>7.38</v>
      </c>
      <c r="M1645" s="339"/>
      <c r="N1645" s="339">
        <f t="shared" si="942"/>
        <v>0</v>
      </c>
      <c r="O1645" s="339"/>
      <c r="P1645" s="339">
        <f t="shared" si="943"/>
        <v>0</v>
      </c>
      <c r="Q1645" s="339"/>
      <c r="R1645" s="339">
        <f>R1607</f>
        <v>7.38</v>
      </c>
      <c r="S1645" s="339"/>
      <c r="T1645" s="294">
        <f t="shared" si="944"/>
        <v>464955</v>
      </c>
      <c r="V1645" s="294">
        <f t="shared" si="945"/>
        <v>0</v>
      </c>
      <c r="X1645" s="294">
        <f t="shared" si="945"/>
        <v>0</v>
      </c>
      <c r="Z1645" s="294">
        <f t="shared" si="945"/>
        <v>464955</v>
      </c>
    </row>
    <row r="1646" spans="1:29">
      <c r="B1646" s="317" t="s">
        <v>1204</v>
      </c>
      <c r="D1646" s="293">
        <f>'[7]10'!O22</f>
        <v>2123.3268292682901</v>
      </c>
      <c r="E1646" s="293">
        <f t="shared" ref="E1646:E1648" si="946">ROUND(D1646/$D$1649*$E$1649,0)</f>
        <v>2363</v>
      </c>
      <c r="G1646" s="339">
        <v>-2.0499999999999998</v>
      </c>
      <c r="H1646" s="339"/>
      <c r="I1646" s="294">
        <f t="shared" si="940"/>
        <v>-4353</v>
      </c>
      <c r="J1646" s="294">
        <f t="shared" si="940"/>
        <v>-4844</v>
      </c>
      <c r="L1646" s="339">
        <f>L1608</f>
        <v>-2.0499999999999998</v>
      </c>
      <c r="M1646" s="339"/>
      <c r="N1646" s="339">
        <f>N1608</f>
        <v>0</v>
      </c>
      <c r="O1646" s="339"/>
      <c r="P1646" s="339">
        <f>P1608</f>
        <v>0</v>
      </c>
      <c r="Q1646" s="339"/>
      <c r="R1646" s="339">
        <f>R1608</f>
        <v>-2.0499999999999998</v>
      </c>
      <c r="S1646" s="339"/>
      <c r="T1646" s="294">
        <f>ROUND($E1646*L1646,0)</f>
        <v>-4844</v>
      </c>
      <c r="V1646" s="294">
        <f t="shared" si="945"/>
        <v>0</v>
      </c>
      <c r="X1646" s="294">
        <f t="shared" si="945"/>
        <v>0</v>
      </c>
      <c r="Z1646" s="294">
        <f t="shared" si="945"/>
        <v>-4844</v>
      </c>
    </row>
    <row r="1647" spans="1:29">
      <c r="B1647" s="317" t="s">
        <v>1085</v>
      </c>
      <c r="D1647" s="293">
        <f>'[7]10'!R22+[7]TempRev!C356</f>
        <v>3950193</v>
      </c>
      <c r="E1647" s="293">
        <f t="shared" si="946"/>
        <v>4395923</v>
      </c>
      <c r="G1647" s="342">
        <v>14.416399999999999</v>
      </c>
      <c r="H1647" s="343" t="s">
        <v>1062</v>
      </c>
      <c r="I1647" s="294">
        <f>ROUND($G1647*D1647/100,0)</f>
        <v>569476</v>
      </c>
      <c r="J1647" s="294">
        <f>ROUND($G1647*E1647/100,0)</f>
        <v>633734</v>
      </c>
      <c r="L1647" s="342">
        <f>ROUND((T1647+T1648)/($E$1647+$E$1648)*100,4)</f>
        <v>0.21310000000000001</v>
      </c>
      <c r="M1647" s="343" t="s">
        <v>1062</v>
      </c>
      <c r="N1647" s="342">
        <f>ROUND((V1647+V1648+0.04*E1648)/($E$1647+$E$1648)*100,4)</f>
        <v>7.4194000000000004</v>
      </c>
      <c r="O1647" s="343" t="s">
        <v>1062</v>
      </c>
      <c r="P1647" s="342">
        <f>ROUND(R1647-L1647-N1647,4)</f>
        <v>6.8746</v>
      </c>
      <c r="Q1647" s="343" t="s">
        <v>1062</v>
      </c>
      <c r="R1647" s="342">
        <f>ROUND(G1647*(1+$AC$1609),$AC$8)</f>
        <v>14.507074876828</v>
      </c>
      <c r="S1647" s="343" t="s">
        <v>1062</v>
      </c>
      <c r="T1647" s="294">
        <f>MIN($T$1657-SUM($T$1642:$T$1646,$T$1653),SUM($Z$1647:$Z$1648))*Z1647/($Z$1647+$Z$1648)</f>
        <v>20204.803479964296</v>
      </c>
      <c r="U1647" s="346"/>
      <c r="V1647" s="294">
        <f>MIN($V$1657-SUM($V$1642:$V$1646,$V$1653),SUM($Z$1647:$Z$1648,-$T$1647,-$T$1648))*Z1647/($Z$1647+$Z$1648)</f>
        <v>417668.52143500891</v>
      </c>
      <c r="W1647" s="346"/>
      <c r="X1647" s="346">
        <f>Z1647-T1647-V1647</f>
        <v>199846.67508502683</v>
      </c>
      <c r="Y1647" s="346"/>
      <c r="Z1647" s="294">
        <f>ROUND($E1647*R1647/100,0)</f>
        <v>637720</v>
      </c>
    </row>
    <row r="1648" spans="1:29">
      <c r="B1648" s="317" t="s">
        <v>1086</v>
      </c>
      <c r="D1648" s="357">
        <f>'[7]10'!S22+[7]TempRev!C357</f>
        <v>12067058.279081918</v>
      </c>
      <c r="E1648" s="357">
        <f t="shared" si="946"/>
        <v>13428677</v>
      </c>
      <c r="G1648" s="377">
        <v>4.1542000000000003</v>
      </c>
      <c r="H1648" s="343" t="s">
        <v>1062</v>
      </c>
      <c r="I1648" s="395">
        <f>ROUND($G1648*D1648/100,0)</f>
        <v>501290</v>
      </c>
      <c r="J1648" s="395">
        <f>ROUND($G1648*E1648/100,0)</f>
        <v>557854</v>
      </c>
      <c r="L1648" s="342">
        <f>L1647</f>
        <v>0.21310000000000001</v>
      </c>
      <c r="M1648" s="343" t="s">
        <v>1062</v>
      </c>
      <c r="N1648" s="342">
        <f>N1647-4</f>
        <v>3.4194000000000004</v>
      </c>
      <c r="O1648" s="343" t="s">
        <v>1062</v>
      </c>
      <c r="P1648" s="342">
        <f>ROUND(R1648-L1648-N1648,4)</f>
        <v>0.54779999999999995</v>
      </c>
      <c r="Q1648" s="343" t="s">
        <v>1062</v>
      </c>
      <c r="R1648" s="342">
        <f>ROUND(G1648*(1+$AC$1609),$AC$8)</f>
        <v>4.1803286849230004</v>
      </c>
      <c r="S1648" s="343" t="s">
        <v>1062</v>
      </c>
      <c r="T1648" s="294">
        <f>MIN($T$1657-SUM($T$1642:$T$1646,$T$1653),SUM($Z$1647:$Z$1648))*Z1648/($Z$1647+$Z$1648)</f>
        <v>17785.594141509122</v>
      </c>
      <c r="U1648" s="346"/>
      <c r="V1648" s="294">
        <f>MIN($V$1657-SUM($V$1642:$V$1646,$V$1653),SUM($Z$1647:$Z$1648,-$T$1647,-$T$1648))*Z1648/($Z$1647+$Z$1648)</f>
        <v>367659.24574785313</v>
      </c>
      <c r="W1648" s="346"/>
      <c r="X1648" s="346">
        <f>Z1648-T1648-V1648</f>
        <v>175918.16011063772</v>
      </c>
      <c r="Y1648" s="346"/>
      <c r="Z1648" s="294">
        <f>ROUND($E1648*R1648/100,0)</f>
        <v>561363</v>
      </c>
    </row>
    <row r="1649" spans="1:32">
      <c r="B1649" s="317" t="s">
        <v>1196</v>
      </c>
      <c r="D1649" s="357">
        <f>D1648+D1647</f>
        <v>16017251.279081918</v>
      </c>
      <c r="E1649" s="357">
        <f>ROUND(D1649/($D$1611+$D$1615+$D$1649+$D$1653)*[7]Energy!$P$80,0)</f>
        <v>17824600</v>
      </c>
      <c r="G1649" s="409"/>
      <c r="I1649" s="358">
        <f>SUM(I1642:I1648)</f>
        <v>1507159</v>
      </c>
      <c r="J1649" s="358">
        <f>SUM(J1642:J1648)</f>
        <v>1675776</v>
      </c>
      <c r="L1649" s="409"/>
      <c r="N1649" s="409"/>
      <c r="P1649" s="409"/>
      <c r="R1649" s="409"/>
      <c r="Z1649" s="358">
        <f>SUM(Z1642:Z1648)</f>
        <v>1686424</v>
      </c>
    </row>
    <row r="1650" spans="1:32">
      <c r="B1650" s="317" t="s">
        <v>1197</v>
      </c>
    </row>
    <row r="1651" spans="1:32">
      <c r="B1651" s="317" t="s">
        <v>1198</v>
      </c>
      <c r="D1651" s="293">
        <f>'[7]10'!M22</f>
        <v>572.07357142857097</v>
      </c>
      <c r="E1651" s="293">
        <f>ROUND(D1651/($D$1642+$D$1643)*($E$1642+$E$1643),0)</f>
        <v>605</v>
      </c>
      <c r="G1651" s="339">
        <v>14</v>
      </c>
      <c r="H1651" s="339"/>
      <c r="I1651" s="294">
        <f>ROUND($G1651*D1651,0)</f>
        <v>8009</v>
      </c>
      <c r="J1651" s="294">
        <f>ROUND($G1651*E1651,0)</f>
        <v>8470</v>
      </c>
      <c r="L1651" s="339">
        <f>L1613</f>
        <v>14</v>
      </c>
      <c r="M1651" s="339"/>
      <c r="N1651" s="339">
        <f>N1613</f>
        <v>0</v>
      </c>
      <c r="O1651" s="339"/>
      <c r="P1651" s="339">
        <f>P1613</f>
        <v>0</v>
      </c>
      <c r="Q1651" s="339"/>
      <c r="R1651" s="339">
        <f>R1613</f>
        <v>14</v>
      </c>
      <c r="S1651" s="339"/>
      <c r="T1651" s="294">
        <f t="shared" ref="T1651" si="947">ROUND($E1651*L1651/100,0)</f>
        <v>85</v>
      </c>
      <c r="V1651" s="294">
        <f t="shared" ref="V1651:Z1651" si="948">ROUND($E1651*N1651/100,0)</f>
        <v>0</v>
      </c>
      <c r="X1651" s="294">
        <f t="shared" si="948"/>
        <v>0</v>
      </c>
      <c r="Z1651" s="294">
        <f t="shared" si="948"/>
        <v>85</v>
      </c>
    </row>
    <row r="1652" spans="1:32">
      <c r="B1652" s="317" t="s">
        <v>1199</v>
      </c>
      <c r="D1652" s="357">
        <f>'[7]10'!Q22+[7]TempRev!C359</f>
        <v>5781425.1723810686</v>
      </c>
      <c r="E1652" s="357">
        <f>E1653</f>
        <v>6433787.1371411681</v>
      </c>
      <c r="G1652" s="377">
        <v>4.9983000000000004</v>
      </c>
      <c r="H1652" s="343" t="s">
        <v>1062</v>
      </c>
      <c r="I1652" s="395">
        <f>ROUND($G1652*D1652/100,0)</f>
        <v>288973</v>
      </c>
      <c r="J1652" s="395">
        <f>ROUND($G1652*E1652/100,0)</f>
        <v>321580</v>
      </c>
      <c r="L1652" s="377">
        <f>L1614</f>
        <v>0.29389999999999999</v>
      </c>
      <c r="M1652" s="343" t="s">
        <v>1062</v>
      </c>
      <c r="N1652" s="377">
        <f>N1614</f>
        <v>2.9696875137090535</v>
      </c>
      <c r="O1652" s="343" t="s">
        <v>1062</v>
      </c>
      <c r="P1652" s="377">
        <f>P1614</f>
        <v>1.784778761061947</v>
      </c>
      <c r="Q1652" s="343" t="s">
        <v>1062</v>
      </c>
      <c r="R1652" s="377">
        <f>R1614</f>
        <v>5.0483662747710003</v>
      </c>
      <c r="S1652" s="343" t="s">
        <v>1062</v>
      </c>
      <c r="T1652" s="294">
        <f>ROUND($E1652*L1652/100,0)</f>
        <v>18909</v>
      </c>
      <c r="U1652" s="346"/>
      <c r="V1652" s="294">
        <f>ROUND($E1652*N1652/100,0)</f>
        <v>191063</v>
      </c>
      <c r="W1652" s="346"/>
      <c r="X1652" s="294">
        <f>ROUND($E1652*P1652/100,0)</f>
        <v>114829</v>
      </c>
      <c r="Y1652" s="346"/>
      <c r="Z1652" s="294">
        <f>ROUND($E1652*R1652/100,0)</f>
        <v>324801</v>
      </c>
    </row>
    <row r="1653" spans="1:32">
      <c r="B1653" s="317" t="s">
        <v>1200</v>
      </c>
      <c r="D1653" s="357">
        <f>D1652</f>
        <v>5781425.1723810686</v>
      </c>
      <c r="E1653" s="357">
        <f>[7]Energy!P80-Blocking!E1611-Blocking!E1615-Blocking!E1649</f>
        <v>6433787.1371411681</v>
      </c>
      <c r="G1653" s="409"/>
      <c r="I1653" s="358">
        <f>I1651+I1652</f>
        <v>296982</v>
      </c>
      <c r="J1653" s="358">
        <f>J1651+J1652</f>
        <v>330050</v>
      </c>
      <c r="L1653" s="409"/>
      <c r="N1653" s="409"/>
      <c r="P1653" s="409"/>
      <c r="R1653" s="409"/>
      <c r="T1653" s="358">
        <f>T1651+T1652</f>
        <v>18994</v>
      </c>
      <c r="V1653" s="358">
        <f>V1651+V1652</f>
        <v>191063</v>
      </c>
      <c r="X1653" s="358">
        <f>X1651+X1652</f>
        <v>114829</v>
      </c>
      <c r="Z1653" s="358">
        <f>Z1651+Z1652</f>
        <v>324886</v>
      </c>
      <c r="AB1653" s="305" t="s">
        <v>939</v>
      </c>
      <c r="AC1653" s="304">
        <f>Z1657/J1657-1</f>
        <v>4.6097312109739219E-2</v>
      </c>
    </row>
    <row r="1654" spans="1:32">
      <c r="B1654" s="317" t="s">
        <v>1078</v>
      </c>
      <c r="D1654" s="357">
        <f>ROUND((D1649+D1653)/(D1649+D1653+D1611+D1615)*'[7]Table 2'!J118,0)</f>
        <v>41404</v>
      </c>
      <c r="E1654" s="357">
        <v>0</v>
      </c>
      <c r="I1654" s="358">
        <f>ROUND(D1654/'[7]Table 2'!J118*'[7]Table 3'!F118,0)</f>
        <v>2525</v>
      </c>
      <c r="J1654" s="358">
        <v>0</v>
      </c>
      <c r="Z1654" s="358">
        <v>0</v>
      </c>
    </row>
    <row r="1655" spans="1:32">
      <c r="B1655" s="317" t="s">
        <v>1079</v>
      </c>
      <c r="G1655" s="338">
        <v>-4.2099999999999999E-2</v>
      </c>
      <c r="H1655" s="339"/>
      <c r="I1655" s="294">
        <f>SUM(I1645,I1647:I1648,I1652)*$G1655</f>
        <v>-74715.754099999991</v>
      </c>
      <c r="J1655" s="294">
        <f>SUM(J1645,J1647:J1648,J1652)*$G1655</f>
        <v>-83146.363299999997</v>
      </c>
      <c r="L1655" s="338"/>
      <c r="M1655" s="339"/>
      <c r="N1655" s="338"/>
      <c r="O1655" s="339"/>
      <c r="P1655" s="359" t="str">
        <f>$P$43</f>
        <v>Tax Year 1</v>
      </c>
      <c r="Q1655" s="339"/>
      <c r="R1655" s="338">
        <f>$AD$1612</f>
        <v>-2.4E-2</v>
      </c>
      <c r="S1655" s="339"/>
      <c r="Z1655" s="294">
        <f>R1655*SUM(Z1645,Z1647:Z1648,Z1652)</f>
        <v>-47732.135999999999</v>
      </c>
    </row>
    <row r="1656" spans="1:32">
      <c r="B1656" s="317"/>
      <c r="G1656" s="338"/>
      <c r="H1656" s="339"/>
      <c r="L1656" s="338"/>
      <c r="M1656" s="339"/>
      <c r="N1656" s="338"/>
      <c r="O1656" s="339"/>
      <c r="P1656" s="359" t="str">
        <f>$P$44</f>
        <v>Tax Year 2</v>
      </c>
      <c r="Q1656" s="339"/>
      <c r="R1656" s="338">
        <f>$AD$1613</f>
        <v>-1.2E-2</v>
      </c>
      <c r="S1656" s="339"/>
      <c r="Z1656" s="294">
        <f>R1656*SUM(Z1645,Z1647:Z1648,Z1652)</f>
        <v>-23866.067999999999</v>
      </c>
      <c r="AB1656" s="361" t="s">
        <v>42</v>
      </c>
      <c r="AC1656" s="361" t="s">
        <v>43</v>
      </c>
      <c r="AD1656" s="361" t="s">
        <v>44</v>
      </c>
      <c r="AE1656" s="361" t="s">
        <v>45</v>
      </c>
    </row>
    <row r="1657" spans="1:32" ht="16.5" thickBot="1">
      <c r="A1657" s="292">
        <v>1</v>
      </c>
      <c r="B1657" s="317" t="s">
        <v>1205</v>
      </c>
      <c r="D1657" s="381">
        <f>D1652+D1649+D1654</f>
        <v>21840080.451462988</v>
      </c>
      <c r="E1657" s="381">
        <f>E1653+E1649+E1654</f>
        <v>24258387.137141168</v>
      </c>
      <c r="G1657" s="368"/>
      <c r="I1657" s="369">
        <f>SUM(I1649,I1653:I1655)</f>
        <v>1731950.2459</v>
      </c>
      <c r="J1657" s="369">
        <f>SUM(J1649,J1653:J1655)</f>
        <v>1922679.6366999999</v>
      </c>
      <c r="L1657" s="368"/>
      <c r="N1657" s="368"/>
      <c r="P1657" s="368"/>
      <c r="R1657" s="368"/>
      <c r="T1657" s="364">
        <f>$Z1657*AB1657/$AE1657</f>
        <v>544325.39762147341</v>
      </c>
      <c r="U1657" s="364"/>
      <c r="V1657" s="364">
        <f>$Z1657*AC1657/$AE1657</f>
        <v>976390.76718286204</v>
      </c>
      <c r="W1657" s="364"/>
      <c r="X1657" s="364">
        <f>Z1657-T1657-V1657</f>
        <v>490593.83519566467</v>
      </c>
      <c r="Z1657" s="369">
        <f>SUM(Z1649,Z1653:Z1654)</f>
        <v>2011310</v>
      </c>
      <c r="AB1657" s="366">
        <f>'[7]Unit Cost Target'!$I$87+'[7]Unit Cost Target'!$I$123+'[7]Unit Cost Target'!$I$129</f>
        <v>5060838.8935923399</v>
      </c>
      <c r="AC1657" s="366">
        <f>'[7]Unit Cost Target'!$I$45+'[7]Unit Cost Target'!$I$51+'[7]Unit Cost Target'!$I$75+'[7]Unit Cost Target'!$I$81</f>
        <v>9077945.6396773458</v>
      </c>
      <c r="AD1657" s="366">
        <f>'[7]Unit Cost Target'!$I$33+'[7]Unit Cost Target'!$I$39+'[7]Unit Cost Target'!$I$63+'[7]Unit Cost Target'!$I$69</f>
        <v>4561272.306903109</v>
      </c>
      <c r="AE1657" s="366">
        <f>SUM(AB1657:AD1657)</f>
        <v>18700056.840172794</v>
      </c>
      <c r="AF1657" s="366">
        <f>AE1657-'[7]Unit Cost Target'!$I$21</f>
        <v>0</v>
      </c>
    </row>
    <row r="1658" spans="1:32" ht="16.5" thickTop="1">
      <c r="A1658" s="292">
        <v>1</v>
      </c>
      <c r="D1658" s="293" t="s">
        <v>141</v>
      </c>
      <c r="E1658" s="293" t="s">
        <v>141</v>
      </c>
      <c r="AB1658" s="366">
        <f>T1657+T1653-SUM(T1642:T1656)</f>
        <v>0</v>
      </c>
      <c r="AC1658" s="366">
        <f>V1657+V1653-SUM(V1642:V1656)</f>
        <v>0</v>
      </c>
      <c r="AD1658" s="366">
        <f>X1657+X1653-SUM(X1642:X1656)</f>
        <v>0</v>
      </c>
      <c r="AE1658" s="366">
        <f>SUM(AB1658:AD1658)</f>
        <v>0</v>
      </c>
      <c r="AF1658" s="366"/>
    </row>
    <row r="1659" spans="1:32">
      <c r="A1659" s="292">
        <v>1</v>
      </c>
      <c r="B1659" s="314" t="s">
        <v>1003</v>
      </c>
    </row>
    <row r="1660" spans="1:32">
      <c r="B1660" s="410" t="s">
        <v>1206</v>
      </c>
      <c r="G1660" s="318"/>
      <c r="H1660" s="318"/>
      <c r="L1660" s="318"/>
      <c r="M1660" s="318"/>
      <c r="N1660" s="318"/>
      <c r="O1660" s="318"/>
      <c r="P1660" s="318"/>
      <c r="Q1660" s="318"/>
      <c r="R1660" s="318"/>
      <c r="S1660" s="318"/>
      <c r="T1660" s="319"/>
      <c r="U1660" s="319"/>
      <c r="V1660" s="319"/>
      <c r="W1660" s="319"/>
      <c r="X1660" s="319"/>
      <c r="Y1660" s="319"/>
      <c r="AB1660" s="305"/>
      <c r="AC1660" s="325"/>
    </row>
    <row r="1661" spans="1:32">
      <c r="B1661" s="353" t="s">
        <v>1207</v>
      </c>
      <c r="D1661" s="293">
        <f>SUMIF('[7]11'!$B$2:$B$31,83,'[7]11'!$L$2:$L$31)</f>
        <v>2738.8798586572402</v>
      </c>
      <c r="E1661" s="293">
        <f>ROUND(D1661/$D$1711*$E$1711,0)</f>
        <v>2745</v>
      </c>
      <c r="G1661" s="324">
        <v>11.32</v>
      </c>
      <c r="H1661" s="318"/>
      <c r="I1661" s="294">
        <f t="shared" ref="I1661:J1664" si="949">ROUND(D1661*$G1661,0)</f>
        <v>31004</v>
      </c>
      <c r="J1661" s="294">
        <f t="shared" si="949"/>
        <v>31073</v>
      </c>
      <c r="L1661" s="324"/>
      <c r="M1661" s="318"/>
      <c r="N1661" s="324"/>
      <c r="O1661" s="318"/>
      <c r="P1661" s="324"/>
      <c r="Q1661" s="318"/>
      <c r="R1661" s="324"/>
      <c r="S1661" s="318"/>
      <c r="T1661" s="319"/>
      <c r="U1661" s="319"/>
      <c r="V1661" s="319"/>
      <c r="W1661" s="319"/>
      <c r="X1661" s="319"/>
      <c r="Y1661" s="319"/>
      <c r="AB1661" s="305"/>
      <c r="AC1661" s="325"/>
    </row>
    <row r="1662" spans="1:32">
      <c r="B1662" s="353" t="s">
        <v>1208</v>
      </c>
      <c r="D1662" s="293">
        <f>SUMIF('[7]11'!$B$2:$B$31,84,'[7]11'!$L$2:$L$31)</f>
        <v>1171.24449035813</v>
      </c>
      <c r="E1662" s="293">
        <f t="shared" ref="E1662:E1664" si="950">ROUND(D1662/$D$1711*$E$1711,0)</f>
        <v>1174</v>
      </c>
      <c r="G1662" s="324">
        <v>14.52</v>
      </c>
      <c r="H1662" s="318"/>
      <c r="I1662" s="294">
        <f t="shared" si="949"/>
        <v>17006</v>
      </c>
      <c r="J1662" s="294">
        <f t="shared" si="949"/>
        <v>17046</v>
      </c>
      <c r="L1662" s="324"/>
      <c r="M1662" s="318"/>
      <c r="N1662" s="324"/>
      <c r="O1662" s="318"/>
      <c r="P1662" s="324"/>
      <c r="Q1662" s="318"/>
      <c r="R1662" s="324"/>
      <c r="S1662" s="318"/>
      <c r="T1662" s="319"/>
      <c r="U1662" s="319"/>
      <c r="V1662" s="319"/>
      <c r="W1662" s="319"/>
      <c r="X1662" s="319"/>
      <c r="Y1662" s="319"/>
      <c r="AB1662" s="378"/>
      <c r="AC1662" s="325"/>
    </row>
    <row r="1663" spans="1:32">
      <c r="B1663" s="353" t="s">
        <v>1209</v>
      </c>
      <c r="D1663" s="293">
        <f>SUMIF('[7]11'!$B$2:$B$31,81,'[7]11'!$L$2:$L$31)</f>
        <v>62.466666666666697</v>
      </c>
      <c r="E1663" s="293">
        <f t="shared" si="950"/>
        <v>63</v>
      </c>
      <c r="G1663" s="324">
        <v>19.8</v>
      </c>
      <c r="H1663" s="318"/>
      <c r="I1663" s="294">
        <f t="shared" si="949"/>
        <v>1237</v>
      </c>
      <c r="J1663" s="294">
        <f t="shared" si="949"/>
        <v>1247</v>
      </c>
      <c r="L1663" s="324"/>
      <c r="M1663" s="318"/>
      <c r="N1663" s="324"/>
      <c r="O1663" s="318"/>
      <c r="P1663" s="324"/>
      <c r="Q1663" s="318"/>
      <c r="R1663" s="324"/>
      <c r="S1663" s="318"/>
      <c r="T1663" s="319"/>
      <c r="U1663" s="319"/>
      <c r="V1663" s="319"/>
      <c r="W1663" s="319"/>
      <c r="X1663" s="319"/>
      <c r="Y1663" s="319"/>
      <c r="AB1663" s="305"/>
      <c r="AC1663" s="304"/>
    </row>
    <row r="1664" spans="1:32">
      <c r="B1664" s="353" t="s">
        <v>1210</v>
      </c>
      <c r="D1664" s="293">
        <f>SUMIF('[7]11'!$B$2:$B$31,85,'[7]11'!$L$2:$L$31)</f>
        <v>114.133333333333</v>
      </c>
      <c r="E1664" s="293">
        <f t="shared" si="950"/>
        <v>114</v>
      </c>
      <c r="G1664" s="324">
        <v>22.95</v>
      </c>
      <c r="H1664" s="318"/>
      <c r="I1664" s="294">
        <f t="shared" si="949"/>
        <v>2619</v>
      </c>
      <c r="J1664" s="294">
        <f t="shared" si="949"/>
        <v>2616</v>
      </c>
      <c r="L1664" s="324"/>
      <c r="M1664" s="318"/>
      <c r="N1664" s="324"/>
      <c r="O1664" s="318"/>
      <c r="P1664" s="324"/>
      <c r="Q1664" s="318"/>
      <c r="R1664" s="324"/>
      <c r="S1664" s="318"/>
      <c r="T1664" s="319"/>
      <c r="U1664" s="319"/>
      <c r="V1664" s="319"/>
      <c r="W1664" s="319"/>
      <c r="X1664" s="319"/>
      <c r="Y1664" s="319"/>
      <c r="AB1664" s="305"/>
      <c r="AC1664" s="304"/>
    </row>
    <row r="1665" spans="2:30">
      <c r="B1665" s="391" t="s">
        <v>1211</v>
      </c>
      <c r="G1665" s="318"/>
      <c r="H1665" s="318"/>
      <c r="L1665" s="318"/>
      <c r="M1665" s="318"/>
      <c r="N1665" s="318"/>
      <c r="O1665" s="318"/>
      <c r="P1665" s="318"/>
      <c r="Q1665" s="318"/>
      <c r="R1665" s="318"/>
      <c r="S1665" s="318"/>
      <c r="T1665" s="319"/>
      <c r="U1665" s="319"/>
      <c r="V1665" s="319"/>
      <c r="W1665" s="319"/>
      <c r="X1665" s="319"/>
      <c r="Y1665" s="319"/>
      <c r="AB1665" s="305"/>
      <c r="AC1665" s="304"/>
    </row>
    <row r="1666" spans="2:30">
      <c r="B1666" s="317" t="s">
        <v>1212</v>
      </c>
      <c r="D1666" s="293">
        <f>SUMIF('[7]11'!$B$2:$B$31,42,'[7]11'!$L$2:$L$31)</f>
        <v>28619.111016949199</v>
      </c>
      <c r="E1666" s="293">
        <f t="shared" ref="E1666:E1680" si="951">ROUND(D1666/$D$1711*$E$1711,0)</f>
        <v>28679</v>
      </c>
      <c r="G1666" s="318">
        <v>11.8</v>
      </c>
      <c r="H1666" s="318"/>
      <c r="I1666" s="294">
        <f t="shared" ref="I1666:J1680" si="952">ROUND(D1666*$G1666,0)</f>
        <v>337706</v>
      </c>
      <c r="J1666" s="294">
        <f t="shared" si="952"/>
        <v>338412</v>
      </c>
      <c r="L1666" s="318"/>
      <c r="M1666" s="318"/>
      <c r="N1666" s="318"/>
      <c r="O1666" s="318"/>
      <c r="P1666" s="318"/>
      <c r="Q1666" s="318"/>
      <c r="R1666" s="318"/>
      <c r="S1666" s="318"/>
      <c r="T1666" s="319"/>
      <c r="U1666" s="319"/>
      <c r="V1666" s="319"/>
      <c r="W1666" s="319"/>
      <c r="X1666" s="319"/>
      <c r="Y1666" s="319"/>
      <c r="AB1666" s="305"/>
      <c r="AC1666" s="337"/>
      <c r="AD1666" s="338"/>
    </row>
    <row r="1667" spans="2:30">
      <c r="B1667" s="317" t="s">
        <v>1213</v>
      </c>
      <c r="D1667" s="293">
        <f>SUMIF('[7]11'!$B$2:$B$31,43,'[7]11'!$L$2:$L$31)</f>
        <v>194114.982785603</v>
      </c>
      <c r="E1667" s="293">
        <f t="shared" si="951"/>
        <v>194524</v>
      </c>
      <c r="G1667" s="318">
        <v>12.78</v>
      </c>
      <c r="H1667" s="318"/>
      <c r="I1667" s="294">
        <f t="shared" si="952"/>
        <v>2480789</v>
      </c>
      <c r="J1667" s="294">
        <f t="shared" si="952"/>
        <v>2486017</v>
      </c>
      <c r="L1667" s="318"/>
      <c r="M1667" s="318"/>
      <c r="N1667" s="318"/>
      <c r="O1667" s="318"/>
      <c r="P1667" s="318"/>
      <c r="Q1667" s="318"/>
      <c r="R1667" s="318"/>
      <c r="S1667" s="318"/>
      <c r="T1667" s="319"/>
      <c r="U1667" s="319"/>
      <c r="V1667" s="319"/>
      <c r="W1667" s="319"/>
      <c r="X1667" s="319"/>
      <c r="Y1667" s="319"/>
      <c r="AB1667" s="305"/>
      <c r="AC1667" s="337"/>
      <c r="AD1667" s="338"/>
    </row>
    <row r="1668" spans="2:30">
      <c r="B1668" s="317" t="s">
        <v>1214</v>
      </c>
      <c r="D1668" s="293">
        <f>SUMIF('[7]11'!$B$2:$B$31,44,'[7]11'!$L$2:$L$31)</f>
        <v>144</v>
      </c>
      <c r="E1668" s="293">
        <f t="shared" si="951"/>
        <v>144</v>
      </c>
      <c r="G1668" s="318">
        <v>11.5</v>
      </c>
      <c r="H1668" s="318"/>
      <c r="I1668" s="294">
        <f t="shared" si="952"/>
        <v>1656</v>
      </c>
      <c r="J1668" s="294">
        <f t="shared" si="952"/>
        <v>1656</v>
      </c>
      <c r="L1668" s="318"/>
      <c r="M1668" s="318"/>
      <c r="N1668" s="318"/>
      <c r="O1668" s="318"/>
      <c r="P1668" s="318"/>
      <c r="Q1668" s="318"/>
      <c r="R1668" s="318"/>
      <c r="S1668" s="318"/>
      <c r="T1668" s="319"/>
      <c r="U1668" s="319"/>
      <c r="V1668" s="319"/>
      <c r="W1668" s="319"/>
      <c r="X1668" s="319"/>
      <c r="Y1668" s="319"/>
    </row>
    <row r="1669" spans="2:30">
      <c r="B1669" s="317" t="s">
        <v>1215</v>
      </c>
      <c r="D1669" s="293">
        <f>SUMIF('[7]11'!$B$2:$B$31,51,'[7]11'!$L$2:$L$31)</f>
        <v>432</v>
      </c>
      <c r="E1669" s="293">
        <f t="shared" si="951"/>
        <v>433</v>
      </c>
      <c r="G1669" s="318">
        <v>46.54</v>
      </c>
      <c r="H1669" s="318"/>
      <c r="I1669" s="294">
        <f t="shared" si="952"/>
        <v>20105</v>
      </c>
      <c r="J1669" s="294">
        <f t="shared" si="952"/>
        <v>20152</v>
      </c>
      <c r="L1669" s="318"/>
      <c r="M1669" s="318"/>
      <c r="N1669" s="318"/>
      <c r="O1669" s="318"/>
      <c r="P1669" s="318"/>
      <c r="Q1669" s="318"/>
      <c r="R1669" s="318"/>
      <c r="S1669" s="318"/>
      <c r="T1669" s="319"/>
      <c r="U1669" s="319"/>
      <c r="V1669" s="319"/>
      <c r="W1669" s="319"/>
      <c r="X1669" s="319"/>
      <c r="Y1669" s="319"/>
    </row>
    <row r="1670" spans="2:30">
      <c r="B1670" s="317" t="s">
        <v>1216</v>
      </c>
      <c r="D1670" s="293">
        <f>SUMIF('[7]11'!$B$2:$B$31,54,'[7]11'!$L$2:$L$31)</f>
        <v>49.735348226018402</v>
      </c>
      <c r="E1670" s="293">
        <f t="shared" si="951"/>
        <v>50</v>
      </c>
      <c r="G1670" s="318">
        <v>38.049999999999997</v>
      </c>
      <c r="H1670" s="318"/>
      <c r="I1670" s="294">
        <f t="shared" si="952"/>
        <v>1892</v>
      </c>
      <c r="J1670" s="294">
        <f t="shared" si="952"/>
        <v>1903</v>
      </c>
      <c r="L1670" s="318"/>
      <c r="M1670" s="318"/>
      <c r="N1670" s="318"/>
      <c r="O1670" s="318"/>
      <c r="P1670" s="318"/>
      <c r="Q1670" s="318"/>
      <c r="R1670" s="318"/>
      <c r="S1670" s="318"/>
      <c r="T1670" s="319"/>
      <c r="U1670" s="319"/>
      <c r="V1670" s="319"/>
      <c r="W1670" s="319"/>
      <c r="X1670" s="319"/>
      <c r="Y1670" s="319"/>
    </row>
    <row r="1671" spans="2:30">
      <c r="B1671" s="317" t="s">
        <v>1217</v>
      </c>
      <c r="D1671" s="293">
        <f>SUMIF('[7]11'!$B$2:$B$31,45,'[7]11'!$L$2:$L$31)</f>
        <v>19332.8754427391</v>
      </c>
      <c r="E1671" s="293">
        <f t="shared" si="951"/>
        <v>19374</v>
      </c>
      <c r="G1671" s="318">
        <v>16.940000000000001</v>
      </c>
      <c r="H1671" s="318"/>
      <c r="I1671" s="294">
        <f t="shared" si="952"/>
        <v>327499</v>
      </c>
      <c r="J1671" s="294">
        <f t="shared" si="952"/>
        <v>328196</v>
      </c>
      <c r="L1671" s="318"/>
      <c r="M1671" s="318"/>
      <c r="N1671" s="318"/>
      <c r="O1671" s="318"/>
      <c r="P1671" s="318"/>
      <c r="Q1671" s="318"/>
      <c r="R1671" s="318"/>
      <c r="S1671" s="318"/>
      <c r="T1671" s="319"/>
      <c r="U1671" s="319"/>
      <c r="V1671" s="319"/>
      <c r="W1671" s="319"/>
      <c r="X1671" s="319"/>
      <c r="Y1671" s="319"/>
    </row>
    <row r="1672" spans="2:30">
      <c r="B1672" s="317" t="s">
        <v>1218</v>
      </c>
      <c r="D1672" s="293">
        <f>SUMIF('[7]11'!$B$2:$B$31,46,'[7]11'!$L$2:$L$31)</f>
        <v>48</v>
      </c>
      <c r="E1672" s="293">
        <f t="shared" si="951"/>
        <v>48</v>
      </c>
      <c r="G1672" s="318">
        <v>15.25</v>
      </c>
      <c r="H1672" s="318"/>
      <c r="I1672" s="294">
        <f t="shared" si="952"/>
        <v>732</v>
      </c>
      <c r="J1672" s="294">
        <f t="shared" si="952"/>
        <v>732</v>
      </c>
      <c r="L1672" s="318"/>
      <c r="M1672" s="318"/>
      <c r="N1672" s="318"/>
      <c r="O1672" s="318"/>
      <c r="P1672" s="318"/>
      <c r="Q1672" s="318"/>
      <c r="R1672" s="318"/>
      <c r="S1672" s="318"/>
      <c r="T1672" s="319"/>
      <c r="U1672" s="319"/>
      <c r="V1672" s="319"/>
      <c r="W1672" s="319"/>
      <c r="X1672" s="319"/>
      <c r="Y1672" s="319"/>
    </row>
    <row r="1673" spans="2:30">
      <c r="B1673" s="317" t="s">
        <v>1219</v>
      </c>
      <c r="D1673" s="293">
        <f>SUMIF('[7]11'!$B$2:$B$31,52,'[7]11'!$L$2:$L$31)</f>
        <v>2376</v>
      </c>
      <c r="E1673" s="293">
        <f t="shared" si="951"/>
        <v>2381</v>
      </c>
      <c r="G1673" s="318">
        <v>47.83</v>
      </c>
      <c r="H1673" s="318"/>
      <c r="I1673" s="294">
        <f t="shared" si="952"/>
        <v>113644</v>
      </c>
      <c r="J1673" s="294">
        <f t="shared" si="952"/>
        <v>113883</v>
      </c>
      <c r="L1673" s="318"/>
      <c r="M1673" s="318"/>
      <c r="N1673" s="318"/>
      <c r="O1673" s="318"/>
      <c r="P1673" s="318"/>
      <c r="Q1673" s="318"/>
      <c r="R1673" s="318"/>
      <c r="S1673" s="318"/>
      <c r="T1673" s="319"/>
      <c r="U1673" s="319"/>
      <c r="V1673" s="319"/>
      <c r="W1673" s="319"/>
      <c r="X1673" s="319"/>
      <c r="Y1673" s="319"/>
    </row>
    <row r="1674" spans="2:30">
      <c r="B1674" s="317" t="s">
        <v>1220</v>
      </c>
      <c r="D1674" s="293">
        <f>SUMIF('[7]11'!$B$2:$B$31,55,'[7]11'!$L$2:$L$31)</f>
        <v>396</v>
      </c>
      <c r="E1674" s="293">
        <f t="shared" si="951"/>
        <v>397</v>
      </c>
      <c r="G1674" s="318">
        <v>39.340000000000003</v>
      </c>
      <c r="H1674" s="318"/>
      <c r="I1674" s="294">
        <f t="shared" si="952"/>
        <v>15579</v>
      </c>
      <c r="J1674" s="294">
        <f t="shared" si="952"/>
        <v>15618</v>
      </c>
      <c r="L1674" s="318"/>
      <c r="M1674" s="318"/>
      <c r="N1674" s="318"/>
      <c r="O1674" s="318"/>
      <c r="P1674" s="318"/>
      <c r="Q1674" s="318"/>
      <c r="R1674" s="318"/>
      <c r="S1674" s="318"/>
      <c r="T1674" s="319"/>
      <c r="U1674" s="319"/>
      <c r="V1674" s="319"/>
      <c r="W1674" s="319"/>
      <c r="X1674" s="319"/>
      <c r="Y1674" s="319"/>
    </row>
    <row r="1675" spans="2:30">
      <c r="B1675" s="317" t="s">
        <v>1221</v>
      </c>
      <c r="D1675" s="293">
        <f>SUMIF('[7]11'!$B$2:$B$31,47,'[7]11'!$L$2:$L$31)</f>
        <v>22425.718543046401</v>
      </c>
      <c r="E1675" s="293">
        <f t="shared" si="951"/>
        <v>22473</v>
      </c>
      <c r="G1675" s="318">
        <v>21.14</v>
      </c>
      <c r="H1675" s="318"/>
      <c r="I1675" s="294">
        <f t="shared" si="952"/>
        <v>474080</v>
      </c>
      <c r="J1675" s="294">
        <f t="shared" si="952"/>
        <v>475079</v>
      </c>
      <c r="L1675" s="318"/>
      <c r="M1675" s="318"/>
      <c r="N1675" s="318"/>
      <c r="O1675" s="318"/>
      <c r="P1675" s="318"/>
      <c r="Q1675" s="318"/>
      <c r="R1675" s="318"/>
      <c r="S1675" s="318"/>
      <c r="T1675" s="319"/>
      <c r="U1675" s="319"/>
      <c r="V1675" s="319"/>
      <c r="W1675" s="319"/>
      <c r="X1675" s="319"/>
      <c r="Y1675" s="319"/>
    </row>
    <row r="1676" spans="2:30">
      <c r="B1676" s="317" t="s">
        <v>1222</v>
      </c>
      <c r="D1676" s="293">
        <f>SUMIF('[7]11'!$B$2:$B$31,48,'[7]11'!$L$2:$L$31)</f>
        <v>12</v>
      </c>
      <c r="E1676" s="293">
        <f t="shared" si="951"/>
        <v>12</v>
      </c>
      <c r="G1676" s="318">
        <v>19.03</v>
      </c>
      <c r="H1676" s="318"/>
      <c r="I1676" s="294">
        <f t="shared" si="952"/>
        <v>228</v>
      </c>
      <c r="J1676" s="294">
        <f t="shared" si="952"/>
        <v>228</v>
      </c>
      <c r="L1676" s="318"/>
      <c r="M1676" s="318"/>
      <c r="N1676" s="318"/>
      <c r="O1676" s="318"/>
      <c r="P1676" s="318"/>
      <c r="Q1676" s="318"/>
      <c r="R1676" s="318"/>
      <c r="S1676" s="318"/>
      <c r="T1676" s="319"/>
      <c r="U1676" s="319"/>
      <c r="V1676" s="319"/>
      <c r="W1676" s="319"/>
      <c r="X1676" s="319"/>
      <c r="Y1676" s="319"/>
    </row>
    <row r="1677" spans="2:30">
      <c r="B1677" s="317" t="s">
        <v>1223</v>
      </c>
      <c r="D1677" s="293">
        <f>SUMIF('[7]11'!$B$2:$B$31,53,'[7]11'!$L$2:$L$31)</f>
        <v>1248</v>
      </c>
      <c r="E1677" s="293">
        <f t="shared" si="951"/>
        <v>1251</v>
      </c>
      <c r="G1677" s="318">
        <v>51.48</v>
      </c>
      <c r="H1677" s="318"/>
      <c r="I1677" s="294">
        <f t="shared" si="952"/>
        <v>64247</v>
      </c>
      <c r="J1677" s="294">
        <f t="shared" si="952"/>
        <v>64401</v>
      </c>
      <c r="L1677" s="318"/>
      <c r="M1677" s="318"/>
      <c r="N1677" s="318"/>
      <c r="O1677" s="318"/>
      <c r="P1677" s="318"/>
      <c r="Q1677" s="318"/>
      <c r="R1677" s="318"/>
      <c r="S1677" s="318"/>
      <c r="T1677" s="319"/>
      <c r="U1677" s="319"/>
      <c r="V1677" s="319"/>
      <c r="W1677" s="319"/>
      <c r="X1677" s="319"/>
      <c r="Y1677" s="319"/>
    </row>
    <row r="1678" spans="2:30">
      <c r="B1678" s="317" t="s">
        <v>1224</v>
      </c>
      <c r="D1678" s="293">
        <f>SUMIF('[7]11'!$B$2:$B$31,56,'[7]11'!$L$2:$L$31)</f>
        <v>0</v>
      </c>
      <c r="E1678" s="293">
        <f t="shared" si="951"/>
        <v>0</v>
      </c>
      <c r="G1678" s="318">
        <v>43.01</v>
      </c>
      <c r="H1678" s="318"/>
      <c r="I1678" s="294">
        <f t="shared" si="952"/>
        <v>0</v>
      </c>
      <c r="J1678" s="294">
        <f t="shared" si="952"/>
        <v>0</v>
      </c>
      <c r="L1678" s="318"/>
      <c r="M1678" s="318"/>
      <c r="N1678" s="318"/>
      <c r="O1678" s="318"/>
      <c r="P1678" s="318"/>
      <c r="Q1678" s="318"/>
      <c r="R1678" s="318"/>
      <c r="S1678" s="318"/>
      <c r="T1678" s="319"/>
      <c r="U1678" s="319"/>
      <c r="V1678" s="319"/>
      <c r="W1678" s="319"/>
      <c r="X1678" s="319"/>
      <c r="Y1678" s="319"/>
    </row>
    <row r="1679" spans="2:30">
      <c r="B1679" s="317" t="s">
        <v>1225</v>
      </c>
      <c r="D1679" s="293">
        <f>SUMIF('[7]11'!$B$2:$B$31,49,'[7]11'!$L$2:$L$31)</f>
        <v>7669.15680245965</v>
      </c>
      <c r="E1679" s="293">
        <f t="shared" si="951"/>
        <v>7685</v>
      </c>
      <c r="G1679" s="318">
        <v>26.02</v>
      </c>
      <c r="H1679" s="318"/>
      <c r="I1679" s="294">
        <f t="shared" si="952"/>
        <v>199551</v>
      </c>
      <c r="J1679" s="294">
        <f t="shared" si="952"/>
        <v>199964</v>
      </c>
      <c r="L1679" s="318"/>
      <c r="M1679" s="318"/>
      <c r="N1679" s="318"/>
      <c r="O1679" s="318"/>
      <c r="P1679" s="318"/>
      <c r="Q1679" s="318"/>
      <c r="R1679" s="318"/>
      <c r="S1679" s="318"/>
      <c r="T1679" s="319"/>
      <c r="U1679" s="319"/>
      <c r="V1679" s="319"/>
      <c r="W1679" s="319"/>
      <c r="X1679" s="319"/>
      <c r="Y1679" s="319"/>
    </row>
    <row r="1680" spans="2:30">
      <c r="B1680" s="317" t="s">
        <v>1226</v>
      </c>
      <c r="D1680" s="293">
        <v>0</v>
      </c>
      <c r="E1680" s="293">
        <f t="shared" si="951"/>
        <v>0</v>
      </c>
      <c r="G1680" s="318">
        <v>51.54</v>
      </c>
      <c r="H1680" s="318"/>
      <c r="I1680" s="294">
        <f t="shared" si="952"/>
        <v>0</v>
      </c>
      <c r="J1680" s="294">
        <f t="shared" si="952"/>
        <v>0</v>
      </c>
      <c r="L1680" s="318"/>
      <c r="M1680" s="318"/>
      <c r="N1680" s="318"/>
      <c r="O1680" s="318"/>
      <c r="P1680" s="318"/>
      <c r="Q1680" s="318"/>
      <c r="R1680" s="318"/>
      <c r="S1680" s="318"/>
      <c r="T1680" s="319"/>
      <c r="U1680" s="319"/>
      <c r="V1680" s="319"/>
      <c r="W1680" s="319"/>
      <c r="X1680" s="319"/>
      <c r="Y1680" s="319"/>
    </row>
    <row r="1681" spans="2:25">
      <c r="B1681" s="391" t="s">
        <v>1227</v>
      </c>
      <c r="G1681" s="339"/>
      <c r="H1681" s="339"/>
      <c r="L1681" s="339"/>
      <c r="M1681" s="339"/>
      <c r="N1681" s="339"/>
      <c r="O1681" s="339"/>
      <c r="P1681" s="339"/>
      <c r="Q1681" s="339"/>
      <c r="R1681" s="339"/>
      <c r="S1681" s="339"/>
    </row>
    <row r="1682" spans="2:25">
      <c r="B1682" s="317" t="s">
        <v>1228</v>
      </c>
      <c r="D1682" s="293">
        <f>SUMIF('[7]11'!$B$2:$B$31,59,'[7]11'!$L$2:$L$31)</f>
        <v>27.862125564218299</v>
      </c>
      <c r="E1682" s="293">
        <f t="shared" ref="E1682:E1692" si="953">ROUND(D1682/$D$1711*$E$1711,0)</f>
        <v>28</v>
      </c>
      <c r="G1682" s="318">
        <v>48.74</v>
      </c>
      <c r="H1682" s="318"/>
      <c r="I1682" s="294">
        <f t="shared" ref="I1682:J1692" si="954">ROUND(D1682*$G1682,0)</f>
        <v>1358</v>
      </c>
      <c r="J1682" s="294">
        <f t="shared" si="954"/>
        <v>1365</v>
      </c>
      <c r="L1682" s="318"/>
      <c r="M1682" s="318"/>
      <c r="N1682" s="318"/>
      <c r="O1682" s="318"/>
      <c r="P1682" s="318"/>
      <c r="Q1682" s="318"/>
      <c r="R1682" s="318"/>
      <c r="S1682" s="318"/>
      <c r="T1682" s="319"/>
      <c r="U1682" s="319"/>
      <c r="V1682" s="319"/>
      <c r="W1682" s="319"/>
      <c r="X1682" s="319"/>
      <c r="Y1682" s="319"/>
    </row>
    <row r="1683" spans="2:25">
      <c r="B1683" s="317" t="s">
        <v>1229</v>
      </c>
      <c r="D1683" s="293">
        <f>SUMIF('[7]11'!$B$2:$B$31,63,'[7]11'!$L$2:$L$31)</f>
        <v>36</v>
      </c>
      <c r="E1683" s="293">
        <f t="shared" si="953"/>
        <v>36</v>
      </c>
      <c r="G1683" s="318">
        <v>40.270000000000003</v>
      </c>
      <c r="H1683" s="318"/>
      <c r="I1683" s="294">
        <f t="shared" si="954"/>
        <v>1450</v>
      </c>
      <c r="J1683" s="294">
        <f t="shared" si="954"/>
        <v>1450</v>
      </c>
      <c r="L1683" s="318"/>
      <c r="M1683" s="318"/>
      <c r="N1683" s="318"/>
      <c r="O1683" s="318"/>
      <c r="P1683" s="318"/>
      <c r="Q1683" s="318"/>
      <c r="R1683" s="318"/>
      <c r="S1683" s="318"/>
      <c r="T1683" s="319"/>
      <c r="U1683" s="319"/>
      <c r="V1683" s="319"/>
      <c r="W1683" s="319"/>
      <c r="X1683" s="319"/>
      <c r="Y1683" s="319"/>
    </row>
    <row r="1684" spans="2:25">
      <c r="B1684" s="317" t="s">
        <v>1230</v>
      </c>
      <c r="D1684" s="293">
        <f>SUMIF('[7]11'!$B$2:$B$31,57,'[7]11'!$L$2:$L$31)</f>
        <v>48.0998509687034</v>
      </c>
      <c r="E1684" s="293">
        <f t="shared" si="953"/>
        <v>48</v>
      </c>
      <c r="G1684" s="318">
        <v>20.13</v>
      </c>
      <c r="H1684" s="318"/>
      <c r="I1684" s="294">
        <f t="shared" si="954"/>
        <v>968</v>
      </c>
      <c r="J1684" s="294">
        <f t="shared" si="954"/>
        <v>966</v>
      </c>
      <c r="L1684" s="318"/>
      <c r="M1684" s="318"/>
      <c r="N1684" s="318"/>
      <c r="O1684" s="318"/>
      <c r="P1684" s="318"/>
      <c r="Q1684" s="318"/>
      <c r="R1684" s="318"/>
      <c r="S1684" s="318"/>
      <c r="T1684" s="319"/>
      <c r="U1684" s="319"/>
      <c r="V1684" s="319"/>
      <c r="W1684" s="319"/>
      <c r="X1684" s="319"/>
      <c r="Y1684" s="319"/>
    </row>
    <row r="1685" spans="2:25">
      <c r="B1685" s="317" t="s">
        <v>1231</v>
      </c>
      <c r="D1685" s="293">
        <f>SUMIF('[7]11'!$B$2:$B$31,60,'[7]11'!$L$2:$L$31)</f>
        <v>0</v>
      </c>
      <c r="E1685" s="293">
        <f t="shared" si="953"/>
        <v>0</v>
      </c>
      <c r="G1685" s="318">
        <v>50.65</v>
      </c>
      <c r="H1685" s="318"/>
      <c r="I1685" s="294">
        <f t="shared" si="954"/>
        <v>0</v>
      </c>
      <c r="J1685" s="294">
        <f t="shared" si="954"/>
        <v>0</v>
      </c>
      <c r="L1685" s="318"/>
      <c r="M1685" s="318"/>
      <c r="N1685" s="318"/>
      <c r="O1685" s="318"/>
      <c r="P1685" s="318"/>
      <c r="Q1685" s="318"/>
      <c r="R1685" s="318"/>
      <c r="S1685" s="318"/>
      <c r="T1685" s="319"/>
      <c r="U1685" s="319"/>
      <c r="V1685" s="319"/>
      <c r="W1685" s="319"/>
      <c r="X1685" s="319"/>
      <c r="Y1685" s="319"/>
    </row>
    <row r="1686" spans="2:25">
      <c r="B1686" s="317" t="s">
        <v>1232</v>
      </c>
      <c r="D1686" s="293">
        <f>SUMIF('[7]11'!$B$2:$B$31,64,'[7]11'!$L$2:$L$31)</f>
        <v>12</v>
      </c>
      <c r="E1686" s="293">
        <f t="shared" si="953"/>
        <v>12</v>
      </c>
      <c r="G1686" s="318">
        <v>42.17</v>
      </c>
      <c r="H1686" s="318"/>
      <c r="I1686" s="294">
        <f t="shared" si="954"/>
        <v>506</v>
      </c>
      <c r="J1686" s="294">
        <f t="shared" si="954"/>
        <v>506</v>
      </c>
      <c r="L1686" s="318"/>
      <c r="M1686" s="318"/>
      <c r="N1686" s="318"/>
      <c r="O1686" s="318"/>
      <c r="P1686" s="318"/>
      <c r="Q1686" s="318"/>
      <c r="R1686" s="318"/>
      <c r="S1686" s="318"/>
      <c r="T1686" s="319"/>
      <c r="U1686" s="319"/>
      <c r="V1686" s="319"/>
      <c r="W1686" s="319"/>
      <c r="X1686" s="319"/>
      <c r="Y1686" s="319"/>
    </row>
    <row r="1687" spans="2:25">
      <c r="B1687" s="317" t="s">
        <v>1233</v>
      </c>
      <c r="D1687" s="293">
        <f>SUMIF('[7]11'!$B$2:$B$31,58,'[7]11'!$L$2:$L$31)</f>
        <v>312</v>
      </c>
      <c r="E1687" s="293">
        <f t="shared" si="953"/>
        <v>313</v>
      </c>
      <c r="G1687" s="318">
        <v>22.13</v>
      </c>
      <c r="H1687" s="318"/>
      <c r="I1687" s="294">
        <f t="shared" si="954"/>
        <v>6905</v>
      </c>
      <c r="J1687" s="294">
        <f t="shared" si="954"/>
        <v>6927</v>
      </c>
      <c r="L1687" s="318"/>
      <c r="M1687" s="318"/>
      <c r="N1687" s="318"/>
      <c r="O1687" s="318"/>
      <c r="P1687" s="318"/>
      <c r="Q1687" s="318"/>
      <c r="R1687" s="318"/>
      <c r="S1687" s="318"/>
      <c r="T1687" s="319"/>
      <c r="U1687" s="319"/>
      <c r="V1687" s="319"/>
      <c r="W1687" s="319"/>
      <c r="X1687" s="319"/>
      <c r="Y1687" s="319"/>
    </row>
    <row r="1688" spans="2:25">
      <c r="B1688" s="317" t="s">
        <v>1234</v>
      </c>
      <c r="D1688" s="293">
        <f>SUMIF('[7]11'!$B$2:$B$31,61,'[7]11'!$L$2:$L$31)</f>
        <v>0</v>
      </c>
      <c r="E1688" s="293">
        <f t="shared" si="953"/>
        <v>0</v>
      </c>
      <c r="G1688" s="318">
        <v>53.69</v>
      </c>
      <c r="H1688" s="318"/>
      <c r="I1688" s="294">
        <f t="shared" si="954"/>
        <v>0</v>
      </c>
      <c r="J1688" s="294">
        <f t="shared" si="954"/>
        <v>0</v>
      </c>
      <c r="L1688" s="318"/>
      <c r="M1688" s="318"/>
      <c r="N1688" s="318"/>
      <c r="O1688" s="318"/>
      <c r="P1688" s="318"/>
      <c r="Q1688" s="318"/>
      <c r="R1688" s="318"/>
      <c r="S1688" s="318"/>
      <c r="T1688" s="319"/>
      <c r="U1688" s="319"/>
      <c r="V1688" s="319"/>
      <c r="W1688" s="319"/>
      <c r="X1688" s="319"/>
      <c r="Y1688" s="319"/>
    </row>
    <row r="1689" spans="2:25">
      <c r="B1689" s="317" t="s">
        <v>1235</v>
      </c>
      <c r="D1689" s="293">
        <f>SUMIF('[7]11'!$B$2:$B$31,65,'[7]11'!$L$2:$L$31)</f>
        <v>516</v>
      </c>
      <c r="E1689" s="293">
        <f t="shared" si="953"/>
        <v>517</v>
      </c>
      <c r="G1689" s="318">
        <v>45.2</v>
      </c>
      <c r="H1689" s="318"/>
      <c r="I1689" s="294">
        <f t="shared" si="954"/>
        <v>23323</v>
      </c>
      <c r="J1689" s="294">
        <f t="shared" si="954"/>
        <v>23368</v>
      </c>
      <c r="L1689" s="318"/>
      <c r="M1689" s="318"/>
      <c r="N1689" s="318"/>
      <c r="O1689" s="318"/>
      <c r="P1689" s="318"/>
      <c r="Q1689" s="318"/>
      <c r="R1689" s="318"/>
      <c r="S1689" s="318"/>
      <c r="T1689" s="319"/>
      <c r="U1689" s="319"/>
      <c r="V1689" s="319"/>
      <c r="W1689" s="319"/>
      <c r="X1689" s="319"/>
      <c r="Y1689" s="319"/>
    </row>
    <row r="1690" spans="2:25">
      <c r="B1690" s="317" t="s">
        <v>1236</v>
      </c>
      <c r="D1690" s="293">
        <f>SUMIF('[7]11'!$B$2:$B$31,77,'[7]11'!$L$2:$L$31)</f>
        <v>0</v>
      </c>
      <c r="E1690" s="293">
        <f t="shared" si="953"/>
        <v>0</v>
      </c>
      <c r="G1690" s="318">
        <v>25.78</v>
      </c>
      <c r="H1690" s="318"/>
      <c r="I1690" s="294">
        <f t="shared" si="954"/>
        <v>0</v>
      </c>
      <c r="J1690" s="294">
        <f t="shared" si="954"/>
        <v>0</v>
      </c>
      <c r="L1690" s="318"/>
      <c r="M1690" s="318"/>
      <c r="N1690" s="318"/>
      <c r="O1690" s="318"/>
      <c r="P1690" s="318"/>
      <c r="Q1690" s="318"/>
      <c r="R1690" s="318"/>
      <c r="S1690" s="318"/>
      <c r="T1690" s="319"/>
      <c r="U1690" s="319"/>
      <c r="V1690" s="319"/>
      <c r="W1690" s="319"/>
      <c r="X1690" s="319"/>
      <c r="Y1690" s="319"/>
    </row>
    <row r="1691" spans="2:25">
      <c r="B1691" s="317" t="s">
        <v>1237</v>
      </c>
      <c r="D1691" s="293">
        <f>SUMIF('[7]11'!$B$2:$B$31,62,'[7]11'!$L$2:$L$31)</f>
        <v>0</v>
      </c>
      <c r="E1691" s="293">
        <f t="shared" si="953"/>
        <v>0</v>
      </c>
      <c r="G1691" s="318">
        <v>55.33</v>
      </c>
      <c r="H1691" s="318"/>
      <c r="I1691" s="294">
        <f t="shared" si="954"/>
        <v>0</v>
      </c>
      <c r="J1691" s="294">
        <f t="shared" si="954"/>
        <v>0</v>
      </c>
      <c r="L1691" s="318"/>
      <c r="M1691" s="318"/>
      <c r="N1691" s="318"/>
      <c r="O1691" s="318"/>
      <c r="P1691" s="318"/>
      <c r="Q1691" s="318"/>
      <c r="R1691" s="318"/>
      <c r="S1691" s="318"/>
      <c r="T1691" s="319"/>
      <c r="U1691" s="319"/>
      <c r="V1691" s="319"/>
      <c r="W1691" s="319"/>
      <c r="X1691" s="319"/>
      <c r="Y1691" s="319"/>
    </row>
    <row r="1692" spans="2:25">
      <c r="B1692" s="317" t="s">
        <v>1238</v>
      </c>
      <c r="D1692" s="293">
        <f>SUMIF('[7]11'!$B$2:$B$31,78,'[7]11'!$L$2:$L$31)</f>
        <v>0</v>
      </c>
      <c r="E1692" s="293">
        <f t="shared" si="953"/>
        <v>0</v>
      </c>
      <c r="G1692" s="318">
        <v>46.86</v>
      </c>
      <c r="H1692" s="318"/>
      <c r="I1692" s="294">
        <f t="shared" si="954"/>
        <v>0</v>
      </c>
      <c r="J1692" s="294">
        <f t="shared" si="954"/>
        <v>0</v>
      </c>
      <c r="L1692" s="318"/>
      <c r="M1692" s="318"/>
      <c r="N1692" s="318"/>
      <c r="O1692" s="318"/>
      <c r="P1692" s="318"/>
      <c r="Q1692" s="318"/>
      <c r="R1692" s="318"/>
      <c r="S1692" s="318"/>
      <c r="T1692" s="319"/>
      <c r="U1692" s="319"/>
      <c r="V1692" s="319"/>
      <c r="W1692" s="319"/>
      <c r="X1692" s="319"/>
      <c r="Y1692" s="319"/>
    </row>
    <row r="1693" spans="2:25">
      <c r="B1693" s="391" t="s">
        <v>1239</v>
      </c>
      <c r="G1693" s="318"/>
      <c r="H1693" s="318"/>
      <c r="L1693" s="318"/>
      <c r="M1693" s="318"/>
      <c r="N1693" s="318"/>
      <c r="O1693" s="318"/>
      <c r="P1693" s="318"/>
      <c r="Q1693" s="318"/>
      <c r="R1693" s="318"/>
      <c r="S1693" s="318"/>
      <c r="T1693" s="319"/>
      <c r="U1693" s="319"/>
      <c r="V1693" s="319"/>
      <c r="W1693" s="319"/>
      <c r="X1693" s="319"/>
      <c r="Y1693" s="319"/>
    </row>
    <row r="1694" spans="2:25">
      <c r="B1694" s="317" t="s">
        <v>1240</v>
      </c>
      <c r="D1694" s="293">
        <f>SUMIF('[7]11'!$B$2:$B$31,66,'[7]11'!$L$2:$L$31)</f>
        <v>276</v>
      </c>
      <c r="E1694" s="293">
        <f t="shared" ref="E1694:E1698" si="955">ROUND(D1694/$D$1711*$E$1711,0)</f>
        <v>277</v>
      </c>
      <c r="G1694" s="318">
        <v>11.09</v>
      </c>
      <c r="H1694" s="318"/>
      <c r="I1694" s="294">
        <f t="shared" ref="I1694:J1698" si="956">ROUND(D1694*$G1694,0)</f>
        <v>3061</v>
      </c>
      <c r="J1694" s="294">
        <f t="shared" si="956"/>
        <v>3072</v>
      </c>
      <c r="L1694" s="318"/>
      <c r="M1694" s="318"/>
      <c r="N1694" s="318"/>
      <c r="O1694" s="318"/>
      <c r="P1694" s="318"/>
      <c r="Q1694" s="318"/>
      <c r="R1694" s="318"/>
      <c r="S1694" s="318"/>
      <c r="T1694" s="319"/>
      <c r="U1694" s="319"/>
      <c r="V1694" s="319"/>
      <c r="W1694" s="319"/>
      <c r="X1694" s="319"/>
      <c r="Y1694" s="319"/>
    </row>
    <row r="1695" spans="2:25">
      <c r="B1695" s="317" t="s">
        <v>1131</v>
      </c>
      <c r="D1695" s="293">
        <f>SUMIF('[7]11'!$B$2:$B$31,67,'[7]11'!$L$2:$L$31)</f>
        <v>2900.0853217642798</v>
      </c>
      <c r="E1695" s="293">
        <f t="shared" si="955"/>
        <v>2906</v>
      </c>
      <c r="G1695" s="318">
        <v>13.83</v>
      </c>
      <c r="H1695" s="318"/>
      <c r="I1695" s="294">
        <f t="shared" si="956"/>
        <v>40108</v>
      </c>
      <c r="J1695" s="294">
        <f t="shared" si="956"/>
        <v>40190</v>
      </c>
      <c r="L1695" s="318"/>
      <c r="M1695" s="318"/>
      <c r="N1695" s="318"/>
      <c r="O1695" s="318"/>
      <c r="P1695" s="318"/>
      <c r="Q1695" s="318"/>
      <c r="R1695" s="318"/>
      <c r="S1695" s="318"/>
      <c r="T1695" s="319"/>
      <c r="U1695" s="319"/>
      <c r="V1695" s="319"/>
      <c r="W1695" s="319"/>
      <c r="X1695" s="319"/>
      <c r="Y1695" s="319"/>
    </row>
    <row r="1696" spans="2:25">
      <c r="B1696" s="317" t="s">
        <v>1241</v>
      </c>
      <c r="D1696" s="293">
        <f>SUMIF('[7]11'!$B$2:$B$31,68,'[7]11'!$L$2:$L$31)</f>
        <v>96</v>
      </c>
      <c r="E1696" s="293">
        <f t="shared" si="955"/>
        <v>96</v>
      </c>
      <c r="G1696" s="318">
        <v>19.399999999999999</v>
      </c>
      <c r="H1696" s="318"/>
      <c r="I1696" s="294">
        <f t="shared" si="956"/>
        <v>1862</v>
      </c>
      <c r="J1696" s="294">
        <f t="shared" si="956"/>
        <v>1862</v>
      </c>
      <c r="L1696" s="318"/>
      <c r="M1696" s="318"/>
      <c r="N1696" s="318"/>
      <c r="O1696" s="318"/>
      <c r="P1696" s="318"/>
      <c r="Q1696" s="318"/>
      <c r="R1696" s="318"/>
      <c r="S1696" s="318"/>
      <c r="T1696" s="319"/>
      <c r="U1696" s="319"/>
      <c r="V1696" s="319"/>
      <c r="W1696" s="319"/>
      <c r="X1696" s="319"/>
      <c r="Y1696" s="319"/>
    </row>
    <row r="1697" spans="2:25">
      <c r="B1697" s="317" t="s">
        <v>1242</v>
      </c>
      <c r="D1697" s="293">
        <v>0</v>
      </c>
      <c r="E1697" s="293">
        <f t="shared" si="955"/>
        <v>0</v>
      </c>
      <c r="G1697" s="318">
        <v>17.46</v>
      </c>
      <c r="H1697" s="318"/>
      <c r="I1697" s="294">
        <f t="shared" si="956"/>
        <v>0</v>
      </c>
      <c r="J1697" s="294">
        <f t="shared" si="956"/>
        <v>0</v>
      </c>
      <c r="L1697" s="318"/>
      <c r="M1697" s="318"/>
      <c r="N1697" s="318"/>
      <c r="O1697" s="318"/>
      <c r="P1697" s="318"/>
      <c r="Q1697" s="318"/>
      <c r="R1697" s="318"/>
      <c r="S1697" s="318"/>
      <c r="T1697" s="319"/>
      <c r="U1697" s="319"/>
      <c r="V1697" s="319"/>
      <c r="W1697" s="319"/>
      <c r="X1697" s="319"/>
      <c r="Y1697" s="319"/>
    </row>
    <row r="1698" spans="2:25">
      <c r="B1698" s="317" t="s">
        <v>1133</v>
      </c>
      <c r="D1698" s="293">
        <f>SUMIF('[7]11'!$B$2:$B$31,69,'[7]11'!$L$2:$L$31)</f>
        <v>245.900122799836</v>
      </c>
      <c r="E1698" s="293">
        <f t="shared" si="955"/>
        <v>246</v>
      </c>
      <c r="G1698" s="318">
        <v>24.43</v>
      </c>
      <c r="H1698" s="318"/>
      <c r="I1698" s="294">
        <f t="shared" si="956"/>
        <v>6007</v>
      </c>
      <c r="J1698" s="294">
        <f t="shared" si="956"/>
        <v>6010</v>
      </c>
      <c r="L1698" s="318"/>
      <c r="M1698" s="318"/>
      <c r="N1698" s="318"/>
      <c r="O1698" s="318"/>
      <c r="P1698" s="318"/>
      <c r="Q1698" s="318"/>
      <c r="R1698" s="318"/>
      <c r="S1698" s="318"/>
      <c r="T1698" s="319"/>
      <c r="U1698" s="319"/>
      <c r="V1698" s="319"/>
      <c r="W1698" s="319"/>
      <c r="X1698" s="319"/>
      <c r="Y1698" s="319"/>
    </row>
    <row r="1699" spans="2:25">
      <c r="B1699" s="391" t="s">
        <v>1243</v>
      </c>
    </row>
    <row r="1700" spans="2:25">
      <c r="B1700" s="317" t="s">
        <v>1244</v>
      </c>
      <c r="D1700" s="293">
        <f>SUMIF('[7]11'!$B$2:$B$31,70,'[7]11'!$L$2:$L$31)</f>
        <v>0</v>
      </c>
      <c r="E1700" s="293">
        <f t="shared" ref="E1700:E1705" si="957">ROUND(D1700/$D$1711*$E$1711,0)</f>
        <v>0</v>
      </c>
      <c r="G1700" s="318">
        <v>11.99</v>
      </c>
      <c r="H1700" s="318"/>
      <c r="I1700" s="294">
        <f t="shared" ref="I1700:J1705" si="958">ROUND(D1700*$G1700,0)</f>
        <v>0</v>
      </c>
      <c r="J1700" s="294">
        <f t="shared" si="958"/>
        <v>0</v>
      </c>
      <c r="L1700" s="318"/>
      <c r="M1700" s="318"/>
      <c r="N1700" s="318"/>
      <c r="O1700" s="318"/>
      <c r="P1700" s="318"/>
      <c r="Q1700" s="318"/>
      <c r="R1700" s="318"/>
      <c r="S1700" s="318"/>
      <c r="T1700" s="319"/>
      <c r="U1700" s="319"/>
      <c r="V1700" s="319"/>
      <c r="W1700" s="319"/>
      <c r="X1700" s="319"/>
      <c r="Y1700" s="319"/>
    </row>
    <row r="1701" spans="2:25">
      <c r="B1701" s="317" t="s">
        <v>1245</v>
      </c>
      <c r="D1701" s="293">
        <f>SUMIF('[7]11'!$B$2:$B$31,71,'[7]11'!$L$2:$L$31)</f>
        <v>144</v>
      </c>
      <c r="E1701" s="293">
        <f t="shared" si="957"/>
        <v>144</v>
      </c>
      <c r="G1701" s="318">
        <v>4.24</v>
      </c>
      <c r="H1701" s="318"/>
      <c r="I1701" s="294">
        <f t="shared" si="958"/>
        <v>611</v>
      </c>
      <c r="J1701" s="294">
        <f t="shared" si="958"/>
        <v>611</v>
      </c>
      <c r="L1701" s="318"/>
      <c r="M1701" s="318"/>
      <c r="N1701" s="318"/>
      <c r="O1701" s="318"/>
      <c r="P1701" s="318"/>
      <c r="Q1701" s="318"/>
      <c r="R1701" s="318"/>
      <c r="S1701" s="318"/>
      <c r="T1701" s="319"/>
      <c r="U1701" s="319"/>
      <c r="V1701" s="319"/>
      <c r="W1701" s="319"/>
      <c r="X1701" s="319"/>
      <c r="Y1701" s="319"/>
    </row>
    <row r="1702" spans="2:25">
      <c r="B1702" s="317" t="s">
        <v>1246</v>
      </c>
      <c r="D1702" s="293">
        <f>SUMIF('[7]11'!$B$2:$B$31,72,'[7]11'!$L$2:$L$31)</f>
        <v>0</v>
      </c>
      <c r="E1702" s="293">
        <f t="shared" si="957"/>
        <v>0</v>
      </c>
      <c r="G1702" s="318">
        <v>17.11</v>
      </c>
      <c r="H1702" s="318"/>
      <c r="I1702" s="294">
        <f t="shared" si="958"/>
        <v>0</v>
      </c>
      <c r="J1702" s="294">
        <f t="shared" si="958"/>
        <v>0</v>
      </c>
      <c r="L1702" s="318"/>
      <c r="M1702" s="318"/>
      <c r="N1702" s="318"/>
      <c r="O1702" s="318"/>
      <c r="P1702" s="318"/>
      <c r="Q1702" s="318"/>
      <c r="R1702" s="318"/>
      <c r="S1702" s="318"/>
      <c r="T1702" s="319"/>
      <c r="U1702" s="319"/>
      <c r="V1702" s="319"/>
      <c r="W1702" s="319"/>
      <c r="X1702" s="319"/>
      <c r="Y1702" s="319"/>
    </row>
    <row r="1703" spans="2:25">
      <c r="B1703" s="317" t="s">
        <v>1240</v>
      </c>
      <c r="D1703" s="293">
        <f>SUMIF('[7]11'!$B$2:$B$31,73,'[7]11'!$L$2:$L$31)</f>
        <v>53.645129711209002</v>
      </c>
      <c r="E1703" s="293">
        <f t="shared" si="957"/>
        <v>54</v>
      </c>
      <c r="G1703" s="318">
        <v>20.43</v>
      </c>
      <c r="H1703" s="318"/>
      <c r="I1703" s="294">
        <f t="shared" si="958"/>
        <v>1096</v>
      </c>
      <c r="J1703" s="294">
        <f t="shared" si="958"/>
        <v>1103</v>
      </c>
      <c r="L1703" s="318"/>
      <c r="M1703" s="318"/>
      <c r="N1703" s="318"/>
      <c r="O1703" s="318"/>
      <c r="P1703" s="318"/>
      <c r="Q1703" s="318"/>
      <c r="R1703" s="318"/>
      <c r="S1703" s="318"/>
      <c r="T1703" s="319"/>
      <c r="U1703" s="319"/>
      <c r="V1703" s="319"/>
      <c r="W1703" s="319"/>
      <c r="X1703" s="319"/>
      <c r="Y1703" s="319"/>
    </row>
    <row r="1704" spans="2:25">
      <c r="B1704" s="317" t="s">
        <v>1247</v>
      </c>
      <c r="D1704" s="293">
        <f>SUMIF('[7]11'!$B$2:$B$31,74,'[7]11'!$L$2:$L$31)</f>
        <v>0</v>
      </c>
      <c r="E1704" s="293">
        <f t="shared" si="957"/>
        <v>0</v>
      </c>
      <c r="G1704" s="318">
        <v>23.82</v>
      </c>
      <c r="H1704" s="318"/>
      <c r="I1704" s="294">
        <f t="shared" si="958"/>
        <v>0</v>
      </c>
      <c r="J1704" s="294">
        <f t="shared" si="958"/>
        <v>0</v>
      </c>
      <c r="L1704" s="318"/>
      <c r="M1704" s="318"/>
      <c r="N1704" s="318"/>
      <c r="O1704" s="318"/>
      <c r="P1704" s="318"/>
      <c r="Q1704" s="318"/>
      <c r="R1704" s="318"/>
      <c r="S1704" s="318"/>
      <c r="T1704" s="319"/>
      <c r="U1704" s="319"/>
      <c r="V1704" s="319"/>
      <c r="W1704" s="319"/>
      <c r="X1704" s="319"/>
      <c r="Y1704" s="319"/>
    </row>
    <row r="1705" spans="2:25">
      <c r="B1705" s="317" t="s">
        <v>1241</v>
      </c>
      <c r="D1705" s="293">
        <f>SUMIF('[7]11'!$B$2:$B$31,75,'[7]11'!$L$2:$L$31)</f>
        <v>0</v>
      </c>
      <c r="E1705" s="293">
        <f t="shared" si="957"/>
        <v>0</v>
      </c>
      <c r="G1705" s="318">
        <v>31.47</v>
      </c>
      <c r="H1705" s="318"/>
      <c r="I1705" s="294">
        <f t="shared" si="958"/>
        <v>0</v>
      </c>
      <c r="J1705" s="294">
        <f t="shared" si="958"/>
        <v>0</v>
      </c>
      <c r="L1705" s="318"/>
      <c r="M1705" s="318"/>
      <c r="N1705" s="318"/>
      <c r="O1705" s="318"/>
      <c r="P1705" s="318"/>
      <c r="Q1705" s="318"/>
      <c r="R1705" s="318"/>
      <c r="S1705" s="318"/>
      <c r="T1705" s="319"/>
      <c r="U1705" s="319"/>
      <c r="V1705" s="319"/>
      <c r="W1705" s="319"/>
      <c r="X1705" s="319"/>
      <c r="Y1705" s="319"/>
    </row>
    <row r="1706" spans="2:25">
      <c r="B1706" s="391" t="s">
        <v>1248</v>
      </c>
      <c r="G1706" s="318"/>
      <c r="H1706" s="318"/>
      <c r="L1706" s="318"/>
      <c r="M1706" s="318"/>
      <c r="N1706" s="318"/>
      <c r="O1706" s="318"/>
      <c r="P1706" s="318"/>
      <c r="Q1706" s="318"/>
      <c r="R1706" s="318"/>
      <c r="S1706" s="318"/>
      <c r="T1706" s="319"/>
      <c r="U1706" s="319"/>
      <c r="V1706" s="319"/>
      <c r="W1706" s="319"/>
      <c r="X1706" s="319"/>
      <c r="Y1706" s="319"/>
    </row>
    <row r="1707" spans="2:25">
      <c r="B1707" s="317" t="s">
        <v>1249</v>
      </c>
      <c r="D1707" s="293">
        <f>SUMIF('[7]11'!$B$2:$B$31,76,'[7]11'!$L$2:$L$31)</f>
        <v>15</v>
      </c>
      <c r="E1707" s="293">
        <f>ROUND(D1707/$D$1711*$E$1711,0)</f>
        <v>15</v>
      </c>
      <c r="G1707" s="318">
        <v>27.85</v>
      </c>
      <c r="H1707" s="318"/>
      <c r="I1707" s="294">
        <f>ROUND(D1707*$G1707,0)</f>
        <v>418</v>
      </c>
      <c r="J1707" s="294">
        <f>ROUND(E1707*$G1707,0)</f>
        <v>418</v>
      </c>
      <c r="L1707" s="318"/>
      <c r="M1707" s="318"/>
      <c r="N1707" s="318"/>
      <c r="O1707" s="318"/>
      <c r="P1707" s="318"/>
      <c r="Q1707" s="318"/>
      <c r="R1707" s="318"/>
      <c r="S1707" s="318"/>
      <c r="T1707" s="319"/>
      <c r="U1707" s="319"/>
      <c r="V1707" s="319"/>
      <c r="W1707" s="319"/>
      <c r="X1707" s="319"/>
      <c r="Y1707" s="319"/>
    </row>
    <row r="1708" spans="2:25">
      <c r="B1708" s="391" t="s">
        <v>1250</v>
      </c>
      <c r="G1708" s="318"/>
      <c r="H1708" s="318"/>
      <c r="L1708" s="318"/>
      <c r="M1708" s="318"/>
      <c r="N1708" s="318"/>
      <c r="O1708" s="318"/>
      <c r="P1708" s="318"/>
      <c r="Q1708" s="318"/>
      <c r="R1708" s="318"/>
      <c r="S1708" s="318"/>
      <c r="T1708" s="319"/>
      <c r="U1708" s="319"/>
      <c r="V1708" s="319"/>
      <c r="W1708" s="319"/>
      <c r="X1708" s="319"/>
      <c r="Y1708" s="319"/>
    </row>
    <row r="1709" spans="2:25">
      <c r="B1709" s="317" t="s">
        <v>1251</v>
      </c>
      <c r="D1709" s="293">
        <f>SUMIF('[7]11'!$B$2:$B$31,50,'[7]11'!$L$2:$L$31)</f>
        <v>0</v>
      </c>
      <c r="E1709" s="293">
        <f>ROUND(D1709/$D$1711*$E$1711,0)</f>
        <v>0</v>
      </c>
      <c r="G1709" s="318">
        <v>39.04</v>
      </c>
      <c r="H1709" s="318"/>
      <c r="I1709" s="294">
        <f>ROUND(D1709*$G1709,0)</f>
        <v>0</v>
      </c>
      <c r="J1709" s="294">
        <f>ROUND(E1709*$G1709,0)</f>
        <v>0</v>
      </c>
      <c r="L1709" s="318"/>
      <c r="M1709" s="318"/>
      <c r="N1709" s="318"/>
      <c r="O1709" s="318"/>
      <c r="P1709" s="318"/>
      <c r="Q1709" s="318"/>
      <c r="R1709" s="318"/>
      <c r="S1709" s="318"/>
      <c r="T1709" s="319"/>
      <c r="U1709" s="319"/>
      <c r="V1709" s="319"/>
      <c r="W1709" s="319"/>
      <c r="X1709" s="319"/>
      <c r="Y1709" s="319"/>
    </row>
    <row r="1710" spans="2:25">
      <c r="B1710" s="317" t="s">
        <v>1252</v>
      </c>
      <c r="D1710" s="357">
        <f>SUM(D1661:D1709)</f>
        <v>285636.89683884697</v>
      </c>
      <c r="E1710" s="357">
        <f>SUM(E1661:E1709)</f>
        <v>286239</v>
      </c>
      <c r="G1710" s="409"/>
      <c r="I1710" s="358">
        <f>SUM(I1661:I1709)</f>
        <v>4177247</v>
      </c>
      <c r="J1710" s="358">
        <f>SUM(J1661:J1709)</f>
        <v>4186071</v>
      </c>
      <c r="L1710" s="409"/>
      <c r="N1710" s="409"/>
      <c r="P1710" s="409"/>
      <c r="R1710" s="409"/>
    </row>
    <row r="1711" spans="2:25" ht="16.5" thickBot="1">
      <c r="B1711" s="317" t="s">
        <v>1157</v>
      </c>
      <c r="D1711" s="411">
        <f>'[7]11'!M33</f>
        <v>13543958.85338369</v>
      </c>
      <c r="E1711" s="411">
        <f>[7]Energy!P86</f>
        <v>13572508.23362934</v>
      </c>
      <c r="G1711" s="368"/>
      <c r="I1711" s="369"/>
      <c r="J1711" s="369"/>
      <c r="L1711" s="368"/>
      <c r="N1711" s="368"/>
      <c r="P1711" s="368"/>
      <c r="R1711" s="368"/>
    </row>
    <row r="1712" spans="2:25" ht="16.5" thickTop="1">
      <c r="B1712" s="317" t="s">
        <v>1159</v>
      </c>
      <c r="D1712" s="392">
        <f>'[7]Table 2'!F137</f>
        <v>717.16666666666697</v>
      </c>
      <c r="E1712" s="392">
        <f>ROUND([7]Bill!P86/12,0)</f>
        <v>715</v>
      </c>
    </row>
    <row r="1713" spans="1:30">
      <c r="B1713" s="317" t="s">
        <v>1158</v>
      </c>
      <c r="D1713" s="412">
        <f>'[7]Table 2'!J137</f>
        <v>-501829</v>
      </c>
      <c r="E1713" s="412">
        <v>0</v>
      </c>
      <c r="G1713" s="409"/>
      <c r="I1713" s="358">
        <f>'[7]Table 3'!F137</f>
        <v>-143813</v>
      </c>
      <c r="J1713" s="358">
        <v>0</v>
      </c>
      <c r="L1713" s="409"/>
      <c r="N1713" s="409"/>
      <c r="P1713" s="409"/>
      <c r="R1713" s="409"/>
    </row>
    <row r="1714" spans="1:30">
      <c r="B1714" s="317" t="s">
        <v>1079</v>
      </c>
      <c r="G1714" s="338">
        <v>-1.9800000000000002E-2</v>
      </c>
      <c r="H1714" s="339"/>
      <c r="I1714" s="294">
        <f>I1710*$G1714</f>
        <v>-82709.490600000005</v>
      </c>
      <c r="J1714" s="294">
        <f>J1710*$G1714</f>
        <v>-82884.205800000011</v>
      </c>
      <c r="L1714" s="338"/>
      <c r="M1714" s="339"/>
      <c r="N1714" s="338"/>
      <c r="O1714" s="339"/>
      <c r="P1714" s="359" t="str">
        <f>$P$43</f>
        <v>Tax Year 1</v>
      </c>
      <c r="Q1714" s="339"/>
      <c r="R1714" s="338">
        <f>AD1714</f>
        <v>-1.7000000000000001E-2</v>
      </c>
      <c r="S1714" s="339"/>
      <c r="Z1714" s="294">
        <f>R1714*Z1716</f>
        <v>-65023.864418145633</v>
      </c>
      <c r="AB1714" s="305" t="s">
        <v>1011</v>
      </c>
      <c r="AC1714" s="337">
        <f>[7]RateSpread!V57*1000</f>
        <v>-64932.20791858124</v>
      </c>
      <c r="AD1714" s="338">
        <f>ROUND(AC1714/Z1716,4)</f>
        <v>-1.7000000000000001E-2</v>
      </c>
    </row>
    <row r="1715" spans="1:30">
      <c r="B1715" s="317"/>
      <c r="G1715" s="338"/>
      <c r="H1715" s="339"/>
      <c r="L1715" s="338"/>
      <c r="M1715" s="339"/>
      <c r="N1715" s="338"/>
      <c r="O1715" s="339"/>
      <c r="P1715" s="359" t="str">
        <f>$P$44</f>
        <v>Tax Year 2</v>
      </c>
      <c r="Q1715" s="339"/>
      <c r="R1715" s="338">
        <f>AD1715</f>
        <v>-8.5000000000000006E-3</v>
      </c>
      <c r="S1715" s="339"/>
      <c r="Z1715" s="294">
        <f>R1715*Z1716</f>
        <v>-32511.932209072816</v>
      </c>
      <c r="AB1715" s="305" t="s">
        <v>1057</v>
      </c>
      <c r="AC1715" s="337">
        <f>[7]RateSpread!W57*1000</f>
        <v>-32466.103998229399</v>
      </c>
      <c r="AD1715" s="338">
        <f>ROUND(AC1715/Z1716,4)</f>
        <v>-8.5000000000000006E-3</v>
      </c>
    </row>
    <row r="1716" spans="1:30" ht="16.5" thickBot="1">
      <c r="A1716" s="292">
        <v>1</v>
      </c>
      <c r="B1716" s="317" t="s">
        <v>45</v>
      </c>
      <c r="D1716" s="411">
        <f>D1713+D1711</f>
        <v>13042129.85338369</v>
      </c>
      <c r="E1716" s="411">
        <f>E1713+E1711</f>
        <v>13572508.23362934</v>
      </c>
      <c r="G1716" s="413"/>
      <c r="H1716" s="414"/>
      <c r="I1716" s="415">
        <f>I1713+I1710+I1714</f>
        <v>3950724.5093999999</v>
      </c>
      <c r="J1716" s="415">
        <f>J1713+J1710+J1714</f>
        <v>4103186.7941999999</v>
      </c>
      <c r="L1716" s="413"/>
      <c r="M1716" s="414"/>
      <c r="N1716" s="413"/>
      <c r="O1716" s="414"/>
      <c r="P1716" s="413"/>
      <c r="Q1716" s="414"/>
      <c r="R1716" s="413"/>
      <c r="S1716" s="414"/>
      <c r="T1716" s="415">
        <f>$Z1716*AB$1797/$AE$1797</f>
        <v>2637470.7820226862</v>
      </c>
      <c r="V1716" s="415">
        <f>$Z1716*AC$1797/$AE$1797</f>
        <v>626178.8483239644</v>
      </c>
      <c r="X1716" s="415">
        <f>Z1716-T1716-V1716</f>
        <v>561283.57072073931</v>
      </c>
      <c r="Y1716" s="416"/>
      <c r="Z1716" s="415">
        <f>[7]RateSpread!M57*1000</f>
        <v>3824933.2010673899</v>
      </c>
      <c r="AB1716" s="305" t="s">
        <v>939</v>
      </c>
      <c r="AC1716" s="304">
        <f>Z1716/J1716-1</f>
        <v>-6.7814020440388312E-2</v>
      </c>
    </row>
    <row r="1717" spans="1:30" ht="16.5" thickTop="1">
      <c r="A1717" s="292">
        <v>1</v>
      </c>
    </row>
    <row r="1718" spans="1:30">
      <c r="A1718" s="292">
        <v>1</v>
      </c>
      <c r="B1718" s="314" t="s">
        <v>1004</v>
      </c>
    </row>
    <row r="1719" spans="1:30">
      <c r="A1719" s="292">
        <v>1</v>
      </c>
      <c r="B1719" s="417" t="s">
        <v>1253</v>
      </c>
    </row>
    <row r="1720" spans="1:30">
      <c r="B1720" s="391" t="s">
        <v>1254</v>
      </c>
      <c r="AB1720" s="305"/>
      <c r="AC1720" s="325"/>
    </row>
    <row r="1721" spans="1:30">
      <c r="B1721" s="317" t="s">
        <v>1255</v>
      </c>
      <c r="D1721" s="293">
        <f>SUMIF('[7]12E'!$C$2:$C$94,26,'[7]12E'!$M$2:$M$94)</f>
        <v>88517.224043715803</v>
      </c>
      <c r="E1721" s="293">
        <f>ROUND(D1721/$D$1732*$E$1732,0)</f>
        <v>51176</v>
      </c>
      <c r="G1721" s="318">
        <v>1.83</v>
      </c>
      <c r="H1721" s="318"/>
      <c r="I1721" s="294">
        <f t="shared" ref="I1721:J1725" si="959">ROUND(D1721*$G1721,0)</f>
        <v>161987</v>
      </c>
      <c r="J1721" s="294">
        <f t="shared" si="959"/>
        <v>93652</v>
      </c>
      <c r="L1721" s="318"/>
      <c r="M1721" s="318"/>
      <c r="N1721" s="318"/>
      <c r="O1721" s="318"/>
      <c r="P1721" s="318"/>
      <c r="Q1721" s="318"/>
      <c r="R1721" s="318"/>
      <c r="S1721" s="318"/>
      <c r="T1721" s="319"/>
      <c r="U1721" s="319"/>
      <c r="V1721" s="319"/>
      <c r="W1721" s="319"/>
      <c r="X1721" s="319"/>
      <c r="Y1721" s="319"/>
      <c r="AB1721" s="305"/>
      <c r="AC1721" s="325"/>
    </row>
    <row r="1722" spans="1:30">
      <c r="B1722" s="317" t="s">
        <v>1256</v>
      </c>
      <c r="D1722" s="293">
        <f>SUMIF('[7]12E'!$C$2:$C$94,27,'[7]12E'!$M$2:$M$94)</f>
        <v>139165.98000000001</v>
      </c>
      <c r="E1722" s="293">
        <f t="shared" ref="E1722:E1725" si="960">ROUND(D1722/$D$1732*$E$1732,0)</f>
        <v>80459</v>
      </c>
      <c r="G1722" s="318">
        <v>2.5</v>
      </c>
      <c r="H1722" s="318"/>
      <c r="I1722" s="294">
        <f t="shared" si="959"/>
        <v>347915</v>
      </c>
      <c r="J1722" s="294">
        <f t="shared" si="959"/>
        <v>201148</v>
      </c>
      <c r="L1722" s="318"/>
      <c r="M1722" s="318"/>
      <c r="N1722" s="318"/>
      <c r="O1722" s="318"/>
      <c r="P1722" s="318"/>
      <c r="Q1722" s="318"/>
      <c r="R1722" s="318"/>
      <c r="S1722" s="318"/>
      <c r="T1722" s="319"/>
      <c r="U1722" s="319"/>
      <c r="V1722" s="319"/>
      <c r="W1722" s="319"/>
      <c r="X1722" s="319"/>
      <c r="Y1722" s="319"/>
      <c r="AB1722" s="378"/>
      <c r="AC1722" s="325"/>
    </row>
    <row r="1723" spans="1:30">
      <c r="B1723" s="317" t="s">
        <v>1257</v>
      </c>
      <c r="D1723" s="293">
        <f>SUMIF('[7]12E'!$C$2:$C$94,28,'[7]12E'!$M$2:$M$94)</f>
        <v>116720.612021858</v>
      </c>
      <c r="E1723" s="293">
        <f t="shared" si="960"/>
        <v>67482</v>
      </c>
      <c r="G1723" s="318">
        <v>3.66</v>
      </c>
      <c r="H1723" s="318"/>
      <c r="I1723" s="294">
        <f t="shared" si="959"/>
        <v>427197</v>
      </c>
      <c r="J1723" s="294">
        <f t="shared" si="959"/>
        <v>246984</v>
      </c>
      <c r="L1723" s="318"/>
      <c r="M1723" s="318"/>
      <c r="N1723" s="318"/>
      <c r="O1723" s="318"/>
      <c r="P1723" s="318"/>
      <c r="Q1723" s="318"/>
      <c r="R1723" s="318"/>
      <c r="S1723" s="318"/>
      <c r="T1723" s="319"/>
      <c r="U1723" s="319"/>
      <c r="V1723" s="319"/>
      <c r="W1723" s="319"/>
      <c r="X1723" s="319"/>
      <c r="Y1723" s="319"/>
      <c r="AB1723" s="305"/>
      <c r="AC1723" s="304"/>
    </row>
    <row r="1724" spans="1:30">
      <c r="B1724" s="317" t="s">
        <v>1258</v>
      </c>
      <c r="D1724" s="293">
        <f>SUMIF('[7]12E'!$C$2:$C$94,29,'[7]12E'!$M$2:$M$94)</f>
        <v>29670.9739263804</v>
      </c>
      <c r="E1724" s="293">
        <f t="shared" si="960"/>
        <v>17154</v>
      </c>
      <c r="G1724" s="318">
        <v>6.52</v>
      </c>
      <c r="H1724" s="318"/>
      <c r="I1724" s="294">
        <f t="shared" si="959"/>
        <v>193455</v>
      </c>
      <c r="J1724" s="294">
        <f t="shared" si="959"/>
        <v>111844</v>
      </c>
      <c r="L1724" s="318"/>
      <c r="M1724" s="318"/>
      <c r="N1724" s="318"/>
      <c r="O1724" s="318"/>
      <c r="P1724" s="318"/>
      <c r="Q1724" s="318"/>
      <c r="R1724" s="318"/>
      <c r="S1724" s="318"/>
      <c r="T1724" s="319"/>
      <c r="U1724" s="319"/>
      <c r="V1724" s="319"/>
      <c r="W1724" s="319"/>
      <c r="X1724" s="319"/>
      <c r="Y1724" s="319"/>
      <c r="AB1724" s="305"/>
      <c r="AC1724" s="304"/>
    </row>
    <row r="1725" spans="1:30">
      <c r="B1725" s="317" t="s">
        <v>1259</v>
      </c>
      <c r="D1725" s="293">
        <f>SUMIF('[7]12E'!$C$2:$C$94,30,'[7]12E'!$M$2:$M$94)</f>
        <v>17455.575848303401</v>
      </c>
      <c r="E1725" s="293">
        <f t="shared" si="960"/>
        <v>10092</v>
      </c>
      <c r="G1725" s="318">
        <v>10.02</v>
      </c>
      <c r="H1725" s="318"/>
      <c r="I1725" s="294">
        <f t="shared" si="959"/>
        <v>174905</v>
      </c>
      <c r="J1725" s="294">
        <f t="shared" si="959"/>
        <v>101122</v>
      </c>
      <c r="L1725" s="318"/>
      <c r="M1725" s="318"/>
      <c r="N1725" s="318"/>
      <c r="O1725" s="318"/>
      <c r="P1725" s="318"/>
      <c r="Q1725" s="318"/>
      <c r="R1725" s="318"/>
      <c r="S1725" s="318"/>
      <c r="T1725" s="319"/>
      <c r="U1725" s="319"/>
      <c r="V1725" s="319"/>
      <c r="W1725" s="319"/>
      <c r="X1725" s="319"/>
      <c r="Y1725" s="319"/>
      <c r="AB1725" s="305"/>
      <c r="AC1725" s="379"/>
    </row>
    <row r="1726" spans="1:30">
      <c r="B1726" s="391" t="s">
        <v>1260</v>
      </c>
      <c r="G1726" s="339"/>
      <c r="H1726" s="339"/>
      <c r="L1726" s="339"/>
      <c r="M1726" s="339"/>
      <c r="N1726" s="339"/>
      <c r="O1726" s="339"/>
      <c r="P1726" s="339"/>
      <c r="Q1726" s="339"/>
      <c r="R1726" s="339"/>
      <c r="S1726" s="339"/>
      <c r="X1726" s="319"/>
    </row>
    <row r="1727" spans="1:30">
      <c r="B1727" s="317" t="s">
        <v>1261</v>
      </c>
      <c r="D1727" s="293">
        <f>SUMIF('[7]12E'!$C$2:$C$94,34,'[7]12E'!$M$2:$M$94)</f>
        <v>7556.2588235294097</v>
      </c>
      <c r="E1727" s="293">
        <f t="shared" ref="E1727:E1731" si="961">ROUND(D1727/$D$1732*$E$1732,0)</f>
        <v>4369</v>
      </c>
      <c r="G1727" s="318">
        <v>2.5499999999999998</v>
      </c>
      <c r="H1727" s="318"/>
      <c r="I1727" s="294">
        <f t="shared" ref="I1727:J1730" si="962">ROUND(D1727*$G1727,0)</f>
        <v>19268</v>
      </c>
      <c r="J1727" s="294">
        <f t="shared" si="962"/>
        <v>11141</v>
      </c>
      <c r="L1727" s="318"/>
      <c r="M1727" s="318"/>
      <c r="N1727" s="318"/>
      <c r="O1727" s="318"/>
      <c r="P1727" s="318"/>
      <c r="Q1727" s="318"/>
      <c r="R1727" s="318"/>
      <c r="S1727" s="318"/>
      <c r="T1727" s="319"/>
      <c r="U1727" s="319"/>
      <c r="V1727" s="319"/>
      <c r="W1727" s="319"/>
      <c r="X1727" s="319"/>
      <c r="Y1727" s="319"/>
      <c r="AB1727" s="305"/>
      <c r="AC1727" s="337"/>
      <c r="AD1727" s="338"/>
    </row>
    <row r="1728" spans="1:30">
      <c r="B1728" s="317" t="s">
        <v>1262</v>
      </c>
      <c r="D1728" s="293">
        <f>SUMIF('[7]12E'!$C$2:$C$94,36,'[7]12E'!$M$2:$M$94)</f>
        <v>16145.838565022401</v>
      </c>
      <c r="E1728" s="293">
        <f t="shared" si="961"/>
        <v>9335</v>
      </c>
      <c r="G1728" s="318">
        <v>4.46</v>
      </c>
      <c r="H1728" s="318"/>
      <c r="I1728" s="294">
        <f t="shared" si="962"/>
        <v>72010</v>
      </c>
      <c r="J1728" s="294">
        <f t="shared" si="962"/>
        <v>41634</v>
      </c>
      <c r="L1728" s="318"/>
      <c r="M1728" s="318"/>
      <c r="N1728" s="318"/>
      <c r="O1728" s="318"/>
      <c r="P1728" s="318"/>
      <c r="Q1728" s="318"/>
      <c r="R1728" s="318"/>
      <c r="S1728" s="318"/>
      <c r="T1728" s="319"/>
      <c r="U1728" s="319"/>
      <c r="V1728" s="319"/>
      <c r="W1728" s="319"/>
      <c r="X1728" s="319"/>
      <c r="Y1728" s="319"/>
      <c r="AB1728" s="305"/>
      <c r="AC1728" s="337"/>
      <c r="AD1728" s="338"/>
    </row>
    <row r="1729" spans="1:26">
      <c r="B1729" s="317" t="s">
        <v>1263</v>
      </c>
      <c r="D1729" s="293">
        <f>SUMIF('[7]12E'!$C$2:$C$94,37,'[7]12E'!$M$2:$M$94)</f>
        <v>17533.513776337099</v>
      </c>
      <c r="E1729" s="293">
        <f t="shared" si="961"/>
        <v>10137</v>
      </c>
      <c r="G1729" s="318">
        <v>6.17</v>
      </c>
      <c r="H1729" s="318"/>
      <c r="I1729" s="294">
        <f t="shared" si="962"/>
        <v>108182</v>
      </c>
      <c r="J1729" s="294">
        <f t="shared" si="962"/>
        <v>62545</v>
      </c>
      <c r="L1729" s="318"/>
      <c r="M1729" s="318"/>
      <c r="N1729" s="318"/>
      <c r="O1729" s="318"/>
      <c r="P1729" s="318"/>
      <c r="Q1729" s="318"/>
      <c r="R1729" s="318"/>
      <c r="S1729" s="318"/>
      <c r="T1729" s="319"/>
      <c r="U1729" s="319"/>
      <c r="V1729" s="319"/>
      <c r="W1729" s="319"/>
      <c r="X1729" s="319"/>
      <c r="Y1729" s="319"/>
    </row>
    <row r="1730" spans="1:26">
      <c r="B1730" s="317" t="s">
        <v>1264</v>
      </c>
      <c r="D1730" s="293">
        <f>SUMIF('[7]12E'!$C$2:$C$94,38,'[7]12E'!$M$2:$M$94)</f>
        <v>10677.115660184199</v>
      </c>
      <c r="E1730" s="293">
        <f t="shared" si="961"/>
        <v>6173</v>
      </c>
      <c r="G1730" s="318">
        <v>9.77</v>
      </c>
      <c r="H1730" s="318"/>
      <c r="I1730" s="294">
        <f t="shared" si="962"/>
        <v>104315</v>
      </c>
      <c r="J1730" s="294">
        <f t="shared" si="962"/>
        <v>60310</v>
      </c>
      <c r="L1730" s="318"/>
      <c r="M1730" s="318"/>
      <c r="N1730" s="318"/>
      <c r="O1730" s="318"/>
      <c r="P1730" s="318"/>
      <c r="Q1730" s="318"/>
      <c r="R1730" s="318"/>
      <c r="S1730" s="318"/>
      <c r="T1730" s="319"/>
      <c r="U1730" s="319"/>
      <c r="V1730" s="319"/>
      <c r="W1730" s="319"/>
      <c r="X1730" s="319"/>
      <c r="Y1730" s="319"/>
    </row>
    <row r="1731" spans="1:26">
      <c r="B1731" s="391" t="s">
        <v>1265</v>
      </c>
      <c r="D1731" s="293">
        <f>'[7]12E'!N97</f>
        <v>16618873.277816664</v>
      </c>
      <c r="E1731" s="293">
        <f t="shared" si="961"/>
        <v>9608182</v>
      </c>
      <c r="G1731" s="418">
        <v>6.5278999999999998</v>
      </c>
      <c r="H1731" s="343" t="s">
        <v>1062</v>
      </c>
      <c r="I1731" s="294">
        <f>ROUND(D1731*$G1731/100,0)</f>
        <v>1084863</v>
      </c>
      <c r="J1731" s="294">
        <f>ROUND(E1731*$G1731/100,0)</f>
        <v>627213</v>
      </c>
      <c r="L1731" s="418"/>
      <c r="M1731" s="343"/>
      <c r="N1731" s="418"/>
      <c r="O1731" s="343"/>
      <c r="P1731" s="418"/>
      <c r="Q1731" s="343"/>
      <c r="R1731" s="418"/>
      <c r="S1731" s="343"/>
      <c r="T1731" s="319"/>
      <c r="U1731" s="319"/>
      <c r="V1731" s="319"/>
      <c r="W1731" s="319"/>
      <c r="X1731" s="319"/>
      <c r="Y1731" s="346"/>
    </row>
    <row r="1732" spans="1:26">
      <c r="B1732" s="391" t="s">
        <v>1266</v>
      </c>
      <c r="D1732" s="357">
        <f>'[7]12E'!N96</f>
        <v>41430739.109842025</v>
      </c>
      <c r="E1732" s="357">
        <f>[7]Energy!P87</f>
        <v>23953132.664302297</v>
      </c>
      <c r="G1732" s="409"/>
      <c r="I1732" s="358">
        <f>SUM(I1721:I1731)</f>
        <v>2694097</v>
      </c>
      <c r="J1732" s="358">
        <f>SUM(J1721:J1731)</f>
        <v>1557593</v>
      </c>
      <c r="L1732" s="409"/>
      <c r="N1732" s="409"/>
      <c r="P1732" s="409"/>
      <c r="R1732" s="409"/>
      <c r="T1732" s="358"/>
      <c r="V1732" s="358"/>
      <c r="X1732" s="358"/>
      <c r="Z1732" s="358"/>
    </row>
    <row r="1733" spans="1:26">
      <c r="B1733" s="391" t="s">
        <v>1158</v>
      </c>
      <c r="D1733" s="293">
        <f>'[7]Table 2'!J138</f>
        <v>-1535086</v>
      </c>
      <c r="E1733" s="293">
        <v>0</v>
      </c>
      <c r="G1733" s="418"/>
      <c r="H1733" s="343"/>
      <c r="I1733" s="294">
        <f>'[7]Table 3'!F138</f>
        <v>-92739</v>
      </c>
      <c r="J1733" s="358">
        <v>0</v>
      </c>
      <c r="L1733" s="418"/>
      <c r="M1733" s="343"/>
      <c r="N1733" s="418"/>
      <c r="O1733" s="343"/>
      <c r="P1733" s="418"/>
      <c r="Q1733" s="343"/>
      <c r="R1733" s="418"/>
      <c r="S1733" s="343"/>
      <c r="T1733" s="358"/>
      <c r="U1733" s="346"/>
      <c r="V1733" s="358"/>
      <c r="W1733" s="346"/>
      <c r="X1733" s="358"/>
      <c r="Y1733" s="346"/>
      <c r="Z1733" s="358"/>
    </row>
    <row r="1734" spans="1:26">
      <c r="B1734" s="317" t="s">
        <v>1079</v>
      </c>
      <c r="G1734" s="338">
        <v>-1.9800000000000002E-2</v>
      </c>
      <c r="H1734" s="339"/>
      <c r="I1734" s="294">
        <f>I1732*$G1734</f>
        <v>-53343.120600000002</v>
      </c>
      <c r="J1734" s="294">
        <f>J1732*$G1734</f>
        <v>-30840.341400000001</v>
      </c>
      <c r="L1734" s="338"/>
      <c r="M1734" s="339"/>
      <c r="N1734" s="338"/>
      <c r="O1734" s="339"/>
      <c r="P1734" s="338"/>
      <c r="Q1734" s="339"/>
      <c r="R1734" s="338"/>
      <c r="S1734" s="339"/>
    </row>
    <row r="1735" spans="1:26">
      <c r="B1735" s="317"/>
      <c r="G1735" s="338"/>
      <c r="H1735" s="339"/>
      <c r="L1735" s="338"/>
      <c r="M1735" s="339"/>
      <c r="N1735" s="338"/>
      <c r="O1735" s="339"/>
      <c r="P1735" s="338"/>
      <c r="Q1735" s="339"/>
      <c r="R1735" s="338"/>
      <c r="S1735" s="339"/>
    </row>
    <row r="1736" spans="1:26">
      <c r="A1736" s="292">
        <v>1</v>
      </c>
      <c r="B1736" s="391" t="s">
        <v>45</v>
      </c>
      <c r="D1736" s="293">
        <f>SUM(D1732:D1733)</f>
        <v>39895653.109842025</v>
      </c>
      <c r="E1736" s="293">
        <f>SUM(E1732:E1733)</f>
        <v>23953132.664302297</v>
      </c>
      <c r="G1736" s="418"/>
      <c r="H1736" s="343"/>
      <c r="I1736" s="294">
        <f>SUM(I1732:I1734)</f>
        <v>2548014.8794</v>
      </c>
      <c r="J1736" s="294">
        <f>SUM(J1732:J1734)</f>
        <v>1526752.6586</v>
      </c>
      <c r="L1736" s="418"/>
      <c r="M1736" s="343"/>
      <c r="N1736" s="418"/>
      <c r="O1736" s="343"/>
      <c r="P1736" s="418"/>
      <c r="Q1736" s="343"/>
      <c r="R1736" s="418"/>
      <c r="S1736" s="343"/>
      <c r="U1736" s="346"/>
      <c r="W1736" s="346"/>
      <c r="Y1736" s="346"/>
    </row>
    <row r="1737" spans="1:26">
      <c r="B1737" s="391" t="s">
        <v>1267</v>
      </c>
      <c r="D1737" s="357">
        <f>'[7]Table 2'!F138</f>
        <v>1005.41666666667</v>
      </c>
      <c r="E1737" s="357">
        <f>ROUND([7]Bill!P87/12,0)</f>
        <v>990</v>
      </c>
      <c r="G1737" s="409"/>
      <c r="I1737" s="358"/>
      <c r="J1737" s="358"/>
      <c r="L1737" s="409"/>
      <c r="N1737" s="409"/>
      <c r="P1737" s="409"/>
      <c r="R1737" s="409"/>
      <c r="T1737" s="358"/>
      <c r="V1737" s="358"/>
      <c r="X1737" s="358"/>
      <c r="Z1737" s="358"/>
    </row>
    <row r="1738" spans="1:26">
      <c r="A1738" s="292">
        <v>1</v>
      </c>
      <c r="B1738" s="419" t="s">
        <v>1268</v>
      </c>
      <c r="X1738" s="319"/>
    </row>
    <row r="1739" spans="1:26">
      <c r="B1739" s="391" t="s">
        <v>1269</v>
      </c>
      <c r="X1739" s="319"/>
    </row>
    <row r="1740" spans="1:26">
      <c r="B1740" s="317" t="s">
        <v>1270</v>
      </c>
      <c r="D1740" s="293">
        <f>SUMIF('[7]12P'!$B$2:$B$22,1,'[7]12P'!$L$2:$L$22)</f>
        <v>72</v>
      </c>
      <c r="E1740" s="293">
        <f>ROUND(D1740/$D$1769*$E$1769,0)</f>
        <v>46</v>
      </c>
      <c r="G1740" s="318">
        <v>8.9600000000000009</v>
      </c>
      <c r="H1740" s="318"/>
      <c r="I1740" s="294">
        <f>ROUND(D1740*$G1740,0)</f>
        <v>645</v>
      </c>
      <c r="J1740" s="294">
        <f>ROUND(E1740*$G1740,0)</f>
        <v>412</v>
      </c>
      <c r="L1740" s="318"/>
      <c r="M1740" s="318"/>
      <c r="N1740" s="318"/>
      <c r="O1740" s="318"/>
      <c r="P1740" s="318"/>
      <c r="Q1740" s="318"/>
      <c r="R1740" s="318"/>
      <c r="S1740" s="318"/>
      <c r="T1740" s="319"/>
      <c r="U1740" s="319"/>
      <c r="V1740" s="319"/>
      <c r="W1740" s="319"/>
      <c r="X1740" s="319"/>
      <c r="Y1740" s="319"/>
    </row>
    <row r="1741" spans="1:26">
      <c r="B1741" s="317" t="s">
        <v>1240</v>
      </c>
      <c r="D1741" s="293">
        <f>SUMIF('[7]12P'!$B$2:$B$22,3,'[7]12P'!$L$2:$L$22)</f>
        <v>36</v>
      </c>
      <c r="E1741" s="293">
        <f>ROUND(D1741/$D$1769*$E$1769,0)</f>
        <v>23</v>
      </c>
      <c r="G1741" s="318">
        <v>12.19</v>
      </c>
      <c r="H1741" s="318"/>
      <c r="I1741" s="294">
        <f>ROUND(D1741*$G1741,0)</f>
        <v>439</v>
      </c>
      <c r="J1741" s="294">
        <f>ROUND(E1741*$G1741,0)</f>
        <v>280</v>
      </c>
      <c r="L1741" s="318"/>
      <c r="M1741" s="318"/>
      <c r="N1741" s="318"/>
      <c r="O1741" s="318"/>
      <c r="P1741" s="318"/>
      <c r="Q1741" s="318"/>
      <c r="R1741" s="318"/>
      <c r="S1741" s="318"/>
      <c r="T1741" s="319"/>
      <c r="U1741" s="319"/>
      <c r="V1741" s="319"/>
      <c r="W1741" s="319"/>
      <c r="X1741" s="319"/>
      <c r="Y1741" s="319"/>
    </row>
    <row r="1742" spans="1:26">
      <c r="B1742" s="391" t="s">
        <v>1271</v>
      </c>
      <c r="G1742" s="318"/>
      <c r="H1742" s="318"/>
      <c r="L1742" s="318"/>
      <c r="M1742" s="318"/>
      <c r="N1742" s="318"/>
      <c r="O1742" s="318"/>
      <c r="P1742" s="318"/>
      <c r="Q1742" s="318"/>
      <c r="R1742" s="318"/>
      <c r="S1742" s="318"/>
      <c r="T1742" s="319"/>
      <c r="U1742" s="319"/>
      <c r="V1742" s="319"/>
      <c r="W1742" s="319"/>
      <c r="X1742" s="319"/>
      <c r="Y1742" s="319"/>
    </row>
    <row r="1743" spans="1:26">
      <c r="B1743" s="317" t="s">
        <v>1240</v>
      </c>
      <c r="D1743" s="293">
        <f>SUMIF('[7]12P'!$B$2:$B$22,9,'[7]12P'!$L$2:$L$22)</f>
        <v>0</v>
      </c>
      <c r="E1743" s="293">
        <f t="shared" ref="E1743:E1746" si="963">ROUND(D1743/$D$1769*$E$1769,0)</f>
        <v>0</v>
      </c>
      <c r="G1743" s="318">
        <v>4.6399999999999997</v>
      </c>
      <c r="H1743" s="318"/>
      <c r="I1743" s="294">
        <f t="shared" ref="I1743:J1746" si="964">ROUND(D1743*$G1743,0)</f>
        <v>0</v>
      </c>
      <c r="J1743" s="294">
        <f t="shared" si="964"/>
        <v>0</v>
      </c>
      <c r="L1743" s="318"/>
      <c r="M1743" s="318"/>
      <c r="N1743" s="318"/>
      <c r="O1743" s="318"/>
      <c r="P1743" s="318"/>
      <c r="Q1743" s="318"/>
      <c r="R1743" s="318"/>
      <c r="S1743" s="318"/>
      <c r="T1743" s="319"/>
      <c r="U1743" s="319"/>
      <c r="V1743" s="319"/>
      <c r="W1743" s="319"/>
      <c r="X1743" s="319"/>
      <c r="Y1743" s="319"/>
    </row>
    <row r="1744" spans="1:26">
      <c r="B1744" s="317" t="s">
        <v>1131</v>
      </c>
      <c r="D1744" s="293">
        <f>SUMIF('[7]12P'!$B$2:$B$22,11,'[7]12P'!$L$2:$L$22)</f>
        <v>636</v>
      </c>
      <c r="E1744" s="293">
        <f t="shared" si="963"/>
        <v>404</v>
      </c>
      <c r="G1744" s="318">
        <v>7</v>
      </c>
      <c r="I1744" s="294">
        <f t="shared" si="964"/>
        <v>4452</v>
      </c>
      <c r="J1744" s="294">
        <f t="shared" si="964"/>
        <v>2828</v>
      </c>
      <c r="L1744" s="318"/>
      <c r="M1744" s="318"/>
      <c r="N1744" s="318"/>
      <c r="O1744" s="318"/>
      <c r="P1744" s="318"/>
      <c r="R1744" s="318"/>
      <c r="T1744" s="319"/>
      <c r="U1744" s="319"/>
      <c r="V1744" s="319"/>
      <c r="W1744" s="319"/>
      <c r="X1744" s="319"/>
    </row>
    <row r="1745" spans="2:25">
      <c r="B1745" s="317" t="s">
        <v>1133</v>
      </c>
      <c r="D1745" s="293">
        <f>SUMIF('[7]12P'!$B$2:$B$22,15,'[7]12P'!$L$2:$L$22)</f>
        <v>84</v>
      </c>
      <c r="E1745" s="293">
        <f t="shared" si="963"/>
        <v>53</v>
      </c>
      <c r="G1745" s="318">
        <v>13.33</v>
      </c>
      <c r="H1745" s="318"/>
      <c r="I1745" s="294">
        <f t="shared" si="964"/>
        <v>1120</v>
      </c>
      <c r="J1745" s="294">
        <f t="shared" si="964"/>
        <v>706</v>
      </c>
      <c r="L1745" s="318"/>
      <c r="M1745" s="318"/>
      <c r="N1745" s="318"/>
      <c r="O1745" s="318"/>
      <c r="P1745" s="318"/>
      <c r="Q1745" s="318"/>
      <c r="R1745" s="318"/>
      <c r="S1745" s="318"/>
      <c r="T1745" s="319"/>
      <c r="U1745" s="319"/>
      <c r="V1745" s="319"/>
      <c r="W1745" s="319"/>
      <c r="X1745" s="319"/>
      <c r="Y1745" s="319"/>
    </row>
    <row r="1746" spans="2:25">
      <c r="B1746" s="317" t="s">
        <v>1272</v>
      </c>
      <c r="D1746" s="293">
        <f>SUMIF('[7]12P'!$B$2:$B$22,19,'[7]12P'!$L$2:$L$22)</f>
        <v>0</v>
      </c>
      <c r="E1746" s="293">
        <f t="shared" si="963"/>
        <v>0</v>
      </c>
      <c r="G1746" s="318">
        <v>28.38</v>
      </c>
      <c r="H1746" s="318"/>
      <c r="I1746" s="294">
        <f t="shared" si="964"/>
        <v>0</v>
      </c>
      <c r="J1746" s="294">
        <f t="shared" si="964"/>
        <v>0</v>
      </c>
      <c r="L1746" s="318"/>
      <c r="M1746" s="318"/>
      <c r="N1746" s="318"/>
      <c r="O1746" s="318"/>
      <c r="P1746" s="318"/>
      <c r="Q1746" s="318"/>
      <c r="R1746" s="318"/>
      <c r="S1746" s="318"/>
      <c r="T1746" s="319"/>
      <c r="U1746" s="319"/>
      <c r="V1746" s="319"/>
      <c r="W1746" s="319"/>
      <c r="X1746" s="319"/>
      <c r="Y1746" s="319"/>
    </row>
    <row r="1747" spans="2:25">
      <c r="B1747" s="391" t="s">
        <v>1273</v>
      </c>
      <c r="G1747" s="318"/>
      <c r="H1747" s="318"/>
      <c r="L1747" s="318"/>
      <c r="M1747" s="318"/>
      <c r="N1747" s="318"/>
      <c r="O1747" s="318"/>
      <c r="P1747" s="318"/>
      <c r="Q1747" s="318"/>
      <c r="R1747" s="318"/>
      <c r="S1747" s="318"/>
      <c r="T1747" s="319"/>
      <c r="U1747" s="319"/>
      <c r="V1747" s="319"/>
      <c r="W1747" s="319"/>
      <c r="X1747" s="319"/>
      <c r="Y1747" s="319"/>
    </row>
    <row r="1748" spans="2:25">
      <c r="B1748" s="317" t="s">
        <v>1255</v>
      </c>
      <c r="D1748" s="293">
        <f>SUMIF('[7]12P'!$B$2:$B$22,22,'[7]12P'!$L$2:$L$22)</f>
        <v>2228.4779411764698</v>
      </c>
      <c r="E1748" s="293">
        <f t="shared" ref="E1748:E1757" si="965">ROUND(D1748/$D$1769*$E$1769,0)</f>
        <v>1416</v>
      </c>
      <c r="G1748" s="318">
        <v>4.08</v>
      </c>
      <c r="H1748" s="318"/>
      <c r="I1748" s="294">
        <f t="shared" ref="I1748:J1757" si="966">ROUND(D1748*$G1748,0)</f>
        <v>9092</v>
      </c>
      <c r="J1748" s="294">
        <f t="shared" si="966"/>
        <v>5777</v>
      </c>
      <c r="L1748" s="318"/>
      <c r="M1748" s="318"/>
      <c r="N1748" s="318"/>
      <c r="O1748" s="318"/>
      <c r="P1748" s="318"/>
      <c r="Q1748" s="318"/>
      <c r="R1748" s="318"/>
      <c r="S1748" s="318"/>
      <c r="T1748" s="319"/>
      <c r="U1748" s="319"/>
      <c r="V1748" s="319"/>
      <c r="W1748" s="319"/>
      <c r="X1748" s="319"/>
      <c r="Y1748" s="319"/>
    </row>
    <row r="1749" spans="2:25">
      <c r="B1749" s="317" t="s">
        <v>1256</v>
      </c>
      <c r="D1749" s="293">
        <f>SUMIF('[7]12P'!$B$2:$B$22,25,'[7]12P'!$L$2:$L$22)</f>
        <v>10538.737430167601</v>
      </c>
      <c r="E1749" s="293">
        <f t="shared" si="965"/>
        <v>6699</v>
      </c>
      <c r="G1749" s="318">
        <v>5.37</v>
      </c>
      <c r="H1749" s="318"/>
      <c r="I1749" s="294">
        <f t="shared" si="966"/>
        <v>56593</v>
      </c>
      <c r="J1749" s="294">
        <f t="shared" si="966"/>
        <v>35974</v>
      </c>
      <c r="L1749" s="318"/>
      <c r="M1749" s="318"/>
      <c r="N1749" s="318"/>
      <c r="O1749" s="318"/>
      <c r="P1749" s="318"/>
      <c r="Q1749" s="318"/>
      <c r="R1749" s="318"/>
      <c r="S1749" s="318"/>
      <c r="T1749" s="319"/>
      <c r="U1749" s="319"/>
      <c r="V1749" s="319"/>
      <c r="W1749" s="319"/>
      <c r="X1749" s="319"/>
      <c r="Y1749" s="319"/>
    </row>
    <row r="1750" spans="2:25">
      <c r="B1750" s="317" t="s">
        <v>1274</v>
      </c>
      <c r="D1750" s="293">
        <f>SUMIF('[7]12P'!$B$2:$B$22,65,'[7]12P'!$L$2:$L$22)</f>
        <v>6086.2600574712596</v>
      </c>
      <c r="E1750" s="293">
        <f t="shared" si="965"/>
        <v>3869</v>
      </c>
      <c r="G1750" s="318">
        <v>6.96</v>
      </c>
      <c r="H1750" s="318"/>
      <c r="I1750" s="294">
        <f t="shared" si="966"/>
        <v>42360</v>
      </c>
      <c r="J1750" s="294">
        <f t="shared" si="966"/>
        <v>26928</v>
      </c>
      <c r="L1750" s="318"/>
      <c r="M1750" s="318"/>
      <c r="N1750" s="318"/>
      <c r="O1750" s="318"/>
      <c r="P1750" s="318"/>
      <c r="Q1750" s="318"/>
      <c r="R1750" s="318"/>
      <c r="S1750" s="318"/>
      <c r="T1750" s="319"/>
      <c r="U1750" s="319"/>
      <c r="V1750" s="319"/>
      <c r="W1750" s="319"/>
      <c r="X1750" s="319"/>
      <c r="Y1750" s="319"/>
    </row>
    <row r="1751" spans="2:25">
      <c r="B1751" s="317" t="s">
        <v>1257</v>
      </c>
      <c r="D1751" s="293">
        <f>SUMIF('[7]12P'!$B$2:$B$22,27,'[7]12P'!$L$2:$L$22)</f>
        <v>921.29294478527595</v>
      </c>
      <c r="E1751" s="293">
        <f t="shared" si="965"/>
        <v>586</v>
      </c>
      <c r="G1751" s="318">
        <v>6.52</v>
      </c>
      <c r="H1751" s="318"/>
      <c r="I1751" s="294">
        <f t="shared" si="966"/>
        <v>6007</v>
      </c>
      <c r="J1751" s="294">
        <f t="shared" si="966"/>
        <v>3821</v>
      </c>
      <c r="L1751" s="318"/>
      <c r="M1751" s="318"/>
      <c r="N1751" s="318"/>
      <c r="O1751" s="318"/>
      <c r="P1751" s="318"/>
      <c r="Q1751" s="318"/>
      <c r="R1751" s="318"/>
      <c r="S1751" s="318"/>
      <c r="T1751" s="319"/>
      <c r="U1751" s="319"/>
      <c r="V1751" s="319"/>
      <c r="W1751" s="319"/>
      <c r="X1751" s="319"/>
      <c r="Y1751" s="319"/>
    </row>
    <row r="1752" spans="2:25">
      <c r="B1752" s="317" t="s">
        <v>1275</v>
      </c>
      <c r="D1752" s="293">
        <f>SUMIF('[7]12P'!$B$2:$B$22,66,'[7]12P'!$L$2:$L$22)</f>
        <v>422.75937122128198</v>
      </c>
      <c r="E1752" s="293">
        <f t="shared" si="965"/>
        <v>269</v>
      </c>
      <c r="G1752" s="318">
        <v>8.27</v>
      </c>
      <c r="H1752" s="318"/>
      <c r="I1752" s="294">
        <f t="shared" si="966"/>
        <v>3496</v>
      </c>
      <c r="J1752" s="294">
        <f t="shared" si="966"/>
        <v>2225</v>
      </c>
      <c r="L1752" s="318"/>
      <c r="M1752" s="318"/>
      <c r="N1752" s="318"/>
      <c r="O1752" s="318"/>
      <c r="P1752" s="318"/>
      <c r="Q1752" s="318"/>
      <c r="R1752" s="318"/>
      <c r="S1752" s="318"/>
      <c r="T1752" s="319"/>
      <c r="U1752" s="319"/>
      <c r="V1752" s="319"/>
      <c r="W1752" s="319"/>
      <c r="X1752" s="319"/>
      <c r="Y1752" s="319"/>
    </row>
    <row r="1753" spans="2:25">
      <c r="B1753" s="317" t="s">
        <v>1276</v>
      </c>
      <c r="D1753" s="293">
        <f>SUMIF('[7]12P'!$B$2:$B$22,29,'[7]12P'!$L$2:$L$22)</f>
        <v>0</v>
      </c>
      <c r="E1753" s="293">
        <f t="shared" si="965"/>
        <v>0</v>
      </c>
      <c r="G1753" s="318">
        <v>8.26</v>
      </c>
      <c r="H1753" s="318"/>
      <c r="I1753" s="294">
        <f t="shared" si="966"/>
        <v>0</v>
      </c>
      <c r="J1753" s="294">
        <f t="shared" si="966"/>
        <v>0</v>
      </c>
      <c r="L1753" s="318"/>
      <c r="M1753" s="318"/>
      <c r="N1753" s="318"/>
      <c r="O1753" s="318"/>
      <c r="P1753" s="318"/>
      <c r="Q1753" s="318"/>
      <c r="R1753" s="318"/>
      <c r="S1753" s="318"/>
      <c r="T1753" s="319"/>
      <c r="U1753" s="319"/>
      <c r="V1753" s="319"/>
      <c r="W1753" s="319"/>
      <c r="X1753" s="319"/>
      <c r="Y1753" s="319"/>
    </row>
    <row r="1754" spans="2:25">
      <c r="B1754" s="317" t="s">
        <v>1258</v>
      </c>
      <c r="D1754" s="293">
        <f>SUMIF('[7]12P'!$B$2:$B$22,31,'[7]12P'!$L$2:$L$22)</f>
        <v>2737.1355578727798</v>
      </c>
      <c r="E1754" s="293">
        <f t="shared" si="965"/>
        <v>1740</v>
      </c>
      <c r="G1754" s="318">
        <v>9.59</v>
      </c>
      <c r="H1754" s="318"/>
      <c r="I1754" s="294">
        <f t="shared" si="966"/>
        <v>26249</v>
      </c>
      <c r="J1754" s="294">
        <f t="shared" si="966"/>
        <v>16687</v>
      </c>
      <c r="L1754" s="318"/>
      <c r="M1754" s="318"/>
      <c r="N1754" s="318"/>
      <c r="O1754" s="318"/>
      <c r="P1754" s="318"/>
      <c r="Q1754" s="318"/>
      <c r="R1754" s="318"/>
      <c r="S1754" s="318"/>
      <c r="T1754" s="319"/>
      <c r="U1754" s="319"/>
      <c r="V1754" s="319"/>
      <c r="W1754" s="319"/>
      <c r="X1754" s="319"/>
      <c r="Y1754" s="319"/>
    </row>
    <row r="1755" spans="2:25">
      <c r="B1755" s="317" t="s">
        <v>1277</v>
      </c>
      <c r="D1755" s="293">
        <f>SUMIF('[7]12P'!$B$2:$B$22,67,'[7]12P'!$L$2:$L$22)</f>
        <v>120.699916177703</v>
      </c>
      <c r="E1755" s="293">
        <f t="shared" si="965"/>
        <v>77</v>
      </c>
      <c r="G1755" s="318">
        <v>11.93</v>
      </c>
      <c r="H1755" s="318"/>
      <c r="I1755" s="294">
        <f t="shared" si="966"/>
        <v>1440</v>
      </c>
      <c r="J1755" s="294">
        <f t="shared" si="966"/>
        <v>919</v>
      </c>
      <c r="L1755" s="318"/>
      <c r="M1755" s="318"/>
      <c r="N1755" s="318"/>
      <c r="O1755" s="318"/>
      <c r="P1755" s="318"/>
      <c r="Q1755" s="318"/>
      <c r="R1755" s="318"/>
      <c r="S1755" s="318"/>
      <c r="T1755" s="319"/>
      <c r="U1755" s="319"/>
      <c r="V1755" s="319"/>
      <c r="W1755" s="319"/>
      <c r="X1755" s="319"/>
      <c r="Y1755" s="319"/>
    </row>
    <row r="1756" spans="2:25">
      <c r="B1756" s="317" t="s">
        <v>1259</v>
      </c>
      <c r="D1756" s="293">
        <f>SUMIF('[7]12P'!$B$2:$B$22,33,'[7]12P'!$L$2:$L$22)</f>
        <v>7177.3864285714299</v>
      </c>
      <c r="E1756" s="293">
        <f t="shared" si="965"/>
        <v>4562</v>
      </c>
      <c r="G1756" s="318">
        <v>14</v>
      </c>
      <c r="H1756" s="318"/>
      <c r="I1756" s="294">
        <f t="shared" si="966"/>
        <v>100483</v>
      </c>
      <c r="J1756" s="294">
        <f t="shared" si="966"/>
        <v>63868</v>
      </c>
      <c r="L1756" s="318"/>
      <c r="M1756" s="318"/>
      <c r="N1756" s="318"/>
      <c r="O1756" s="318"/>
      <c r="P1756" s="318"/>
      <c r="Q1756" s="318"/>
      <c r="R1756" s="318"/>
      <c r="S1756" s="318"/>
      <c r="T1756" s="319"/>
      <c r="U1756" s="319"/>
      <c r="V1756" s="319"/>
      <c r="W1756" s="319"/>
      <c r="X1756" s="319"/>
      <c r="Y1756" s="319"/>
    </row>
    <row r="1757" spans="2:25">
      <c r="B1757" s="317" t="s">
        <v>1278</v>
      </c>
      <c r="D1757" s="293">
        <f>SUMIF('[7]12P'!$B$2:$B$22,68,'[7]12P'!$L$2:$L$22)</f>
        <v>120</v>
      </c>
      <c r="E1757" s="293">
        <f t="shared" si="965"/>
        <v>76</v>
      </c>
      <c r="G1757" s="318">
        <v>15.56</v>
      </c>
      <c r="H1757" s="318"/>
      <c r="I1757" s="294">
        <f t="shared" si="966"/>
        <v>1867</v>
      </c>
      <c r="J1757" s="294">
        <f t="shared" si="966"/>
        <v>1183</v>
      </c>
      <c r="L1757" s="318"/>
      <c r="M1757" s="318"/>
      <c r="N1757" s="318"/>
      <c r="O1757" s="318"/>
      <c r="P1757" s="318"/>
      <c r="Q1757" s="318"/>
      <c r="R1757" s="318"/>
      <c r="S1757" s="318"/>
      <c r="T1757" s="319"/>
      <c r="U1757" s="319"/>
      <c r="V1757" s="319"/>
      <c r="W1757" s="319"/>
      <c r="X1757" s="319"/>
      <c r="Y1757" s="319"/>
    </row>
    <row r="1758" spans="2:25">
      <c r="B1758" s="391" t="s">
        <v>1260</v>
      </c>
      <c r="G1758" s="318"/>
      <c r="H1758" s="318"/>
      <c r="L1758" s="318"/>
      <c r="M1758" s="318"/>
      <c r="N1758" s="318"/>
      <c r="O1758" s="318"/>
      <c r="P1758" s="318"/>
      <c r="Q1758" s="318"/>
      <c r="R1758" s="318"/>
      <c r="S1758" s="318"/>
      <c r="T1758" s="319"/>
      <c r="U1758" s="319"/>
      <c r="V1758" s="319"/>
      <c r="W1758" s="319"/>
      <c r="X1758" s="319"/>
      <c r="Y1758" s="319"/>
    </row>
    <row r="1759" spans="2:25">
      <c r="B1759" s="317" t="s">
        <v>1279</v>
      </c>
      <c r="D1759" s="293">
        <f>SUMIF('[7]12P'!$B$2:$B$22,69,'[7]12P'!$L$2:$L$22)</f>
        <v>924.09031556039201</v>
      </c>
      <c r="E1759" s="293">
        <f t="shared" ref="E1759:E1765" si="967">ROUND(D1759/$D$1769*$E$1769,0)</f>
        <v>587</v>
      </c>
      <c r="G1759" s="318">
        <v>9.19</v>
      </c>
      <c r="H1759" s="318"/>
      <c r="I1759" s="294">
        <f t="shared" ref="I1759:J1765" si="968">ROUND(D1759*$G1759,0)</f>
        <v>8492</v>
      </c>
      <c r="J1759" s="294">
        <f t="shared" si="968"/>
        <v>5395</v>
      </c>
      <c r="L1759" s="318"/>
      <c r="M1759" s="318"/>
      <c r="N1759" s="318"/>
      <c r="O1759" s="318"/>
      <c r="P1759" s="318"/>
      <c r="Q1759" s="318"/>
      <c r="R1759" s="318"/>
      <c r="S1759" s="318"/>
      <c r="T1759" s="319"/>
      <c r="U1759" s="319"/>
      <c r="V1759" s="319"/>
      <c r="W1759" s="319"/>
      <c r="X1759" s="319"/>
      <c r="Y1759" s="319"/>
    </row>
    <row r="1760" spans="2:25">
      <c r="B1760" s="317" t="s">
        <v>1262</v>
      </c>
      <c r="D1760" s="293">
        <f>SUMIF('[7]12P'!$B$2:$B$22,37,'[7]12P'!$L$2:$L$22)</f>
        <v>1332</v>
      </c>
      <c r="E1760" s="293">
        <f t="shared" si="967"/>
        <v>847</v>
      </c>
      <c r="G1760" s="318">
        <v>13.57</v>
      </c>
      <c r="H1760" s="318"/>
      <c r="I1760" s="294">
        <f t="shared" si="968"/>
        <v>18075</v>
      </c>
      <c r="J1760" s="294">
        <f t="shared" si="968"/>
        <v>11494</v>
      </c>
      <c r="L1760" s="318"/>
      <c r="M1760" s="318"/>
      <c r="N1760" s="318"/>
      <c r="O1760" s="318"/>
      <c r="P1760" s="318"/>
      <c r="Q1760" s="318"/>
      <c r="R1760" s="318"/>
      <c r="S1760" s="318"/>
      <c r="T1760" s="319"/>
      <c r="U1760" s="319"/>
      <c r="V1760" s="319"/>
      <c r="W1760" s="319"/>
      <c r="X1760" s="319"/>
      <c r="Y1760" s="319"/>
    </row>
    <row r="1761" spans="1:26">
      <c r="B1761" s="317" t="s">
        <v>1280</v>
      </c>
      <c r="D1761" s="293">
        <f>SUMIF('[7]12P'!$B$2:$B$22,70,'[7]12P'!$L$2:$L$22)</f>
        <v>204</v>
      </c>
      <c r="E1761" s="293">
        <f t="shared" si="967"/>
        <v>130</v>
      </c>
      <c r="G1761" s="318">
        <v>11.09</v>
      </c>
      <c r="H1761" s="318"/>
      <c r="I1761" s="294">
        <f t="shared" si="968"/>
        <v>2262</v>
      </c>
      <c r="J1761" s="294">
        <f t="shared" si="968"/>
        <v>1442</v>
      </c>
      <c r="L1761" s="318"/>
      <c r="M1761" s="318"/>
      <c r="N1761" s="318"/>
      <c r="O1761" s="318"/>
      <c r="P1761" s="318"/>
      <c r="Q1761" s="318"/>
      <c r="R1761" s="318"/>
      <c r="S1761" s="318"/>
      <c r="T1761" s="319"/>
      <c r="U1761" s="319"/>
      <c r="V1761" s="319"/>
      <c r="W1761" s="319"/>
      <c r="X1761" s="319"/>
      <c r="Y1761" s="319"/>
    </row>
    <row r="1762" spans="1:26">
      <c r="B1762" s="317" t="s">
        <v>1263</v>
      </c>
      <c r="D1762" s="293">
        <f>SUMIF('[7]12P'!$B$2:$B$22,39,'[7]12P'!$L$2:$L$22)</f>
        <v>384</v>
      </c>
      <c r="E1762" s="293">
        <f t="shared" si="967"/>
        <v>244</v>
      </c>
      <c r="G1762" s="318">
        <v>13.71</v>
      </c>
      <c r="H1762" s="318"/>
      <c r="I1762" s="294">
        <f t="shared" si="968"/>
        <v>5265</v>
      </c>
      <c r="J1762" s="294">
        <f t="shared" si="968"/>
        <v>3345</v>
      </c>
      <c r="L1762" s="318"/>
      <c r="M1762" s="318"/>
      <c r="N1762" s="318"/>
      <c r="O1762" s="318"/>
      <c r="P1762" s="318"/>
      <c r="Q1762" s="318"/>
      <c r="R1762" s="318"/>
      <c r="S1762" s="318"/>
      <c r="T1762" s="319"/>
      <c r="U1762" s="319"/>
      <c r="V1762" s="319"/>
      <c r="W1762" s="319"/>
      <c r="X1762" s="319"/>
      <c r="Y1762" s="319"/>
    </row>
    <row r="1763" spans="1:26">
      <c r="B1763" s="317" t="s">
        <v>1281</v>
      </c>
      <c r="D1763" s="293">
        <f>SUMIF('[7]12P'!$B$2:$B$22,71,'[7]12P'!$L$2:$L$22)</f>
        <v>5784</v>
      </c>
      <c r="E1763" s="293">
        <f t="shared" si="967"/>
        <v>3676</v>
      </c>
      <c r="G1763" s="318">
        <v>14.13</v>
      </c>
      <c r="H1763" s="318"/>
      <c r="I1763" s="294">
        <f t="shared" si="968"/>
        <v>81728</v>
      </c>
      <c r="J1763" s="294">
        <f t="shared" si="968"/>
        <v>51942</v>
      </c>
      <c r="L1763" s="318"/>
      <c r="M1763" s="318"/>
      <c r="N1763" s="318"/>
      <c r="O1763" s="318"/>
      <c r="P1763" s="318"/>
      <c r="Q1763" s="318"/>
      <c r="R1763" s="318"/>
      <c r="S1763" s="318"/>
      <c r="T1763" s="319"/>
      <c r="U1763" s="319"/>
      <c r="V1763" s="319"/>
      <c r="W1763" s="319"/>
      <c r="X1763" s="319"/>
      <c r="Y1763" s="319"/>
    </row>
    <row r="1764" spans="1:26">
      <c r="B1764" s="317" t="s">
        <v>1264</v>
      </c>
      <c r="D1764" s="293">
        <f>SUMIF('[7]12P'!$B$2:$B$22,41,'[7]12P'!$L$2:$L$22)</f>
        <v>192</v>
      </c>
      <c r="E1764" s="293">
        <f t="shared" si="967"/>
        <v>122</v>
      </c>
      <c r="G1764" s="318">
        <v>14.58</v>
      </c>
      <c r="H1764" s="318"/>
      <c r="I1764" s="294">
        <f t="shared" si="968"/>
        <v>2799</v>
      </c>
      <c r="J1764" s="294">
        <f t="shared" si="968"/>
        <v>1779</v>
      </c>
      <c r="L1764" s="318"/>
      <c r="M1764" s="318"/>
      <c r="N1764" s="318"/>
      <c r="O1764" s="318"/>
      <c r="P1764" s="318"/>
      <c r="Q1764" s="318"/>
      <c r="R1764" s="318"/>
      <c r="S1764" s="318"/>
      <c r="T1764" s="319"/>
      <c r="U1764" s="319"/>
      <c r="V1764" s="319"/>
      <c r="W1764" s="319"/>
      <c r="X1764" s="319"/>
      <c r="Y1764" s="319"/>
    </row>
    <row r="1765" spans="1:26">
      <c r="B1765" s="317" t="s">
        <v>1282</v>
      </c>
      <c r="D1765" s="293">
        <f>SUMIF('[7]12P'!$B$2:$B$22,72,'[7]12P'!$L$2:$L$22)</f>
        <v>553.65484483850503</v>
      </c>
      <c r="E1765" s="293">
        <f t="shared" si="967"/>
        <v>352</v>
      </c>
      <c r="G1765" s="318">
        <v>15.79</v>
      </c>
      <c r="H1765" s="318"/>
      <c r="I1765" s="294">
        <f t="shared" si="968"/>
        <v>8742</v>
      </c>
      <c r="J1765" s="294">
        <f t="shared" si="968"/>
        <v>5558</v>
      </c>
      <c r="L1765" s="318"/>
      <c r="M1765" s="318"/>
      <c r="N1765" s="318"/>
      <c r="O1765" s="318"/>
      <c r="P1765" s="318"/>
      <c r="Q1765" s="318"/>
      <c r="R1765" s="318"/>
      <c r="S1765" s="318"/>
      <c r="T1765" s="319"/>
      <c r="U1765" s="319"/>
      <c r="V1765" s="319"/>
      <c r="W1765" s="319"/>
      <c r="X1765" s="319"/>
      <c r="Y1765" s="319"/>
    </row>
    <row r="1766" spans="1:26">
      <c r="B1766" s="391" t="s">
        <v>1283</v>
      </c>
      <c r="G1766" s="318"/>
      <c r="H1766" s="318"/>
      <c r="L1766" s="318"/>
      <c r="M1766" s="318"/>
      <c r="N1766" s="318"/>
      <c r="O1766" s="318"/>
      <c r="P1766" s="318"/>
      <c r="Q1766" s="318"/>
      <c r="R1766" s="318"/>
      <c r="S1766" s="318"/>
      <c r="T1766" s="319"/>
      <c r="U1766" s="319"/>
      <c r="V1766" s="319"/>
      <c r="W1766" s="319"/>
      <c r="X1766" s="319"/>
      <c r="Y1766" s="319"/>
    </row>
    <row r="1767" spans="1:26">
      <c r="B1767" s="317" t="s">
        <v>1284</v>
      </c>
      <c r="D1767" s="293">
        <f>SUMIF('[7]12P'!$B$2:$B$22,51,'[7]12P'!$L$2:$L$22)</f>
        <v>0</v>
      </c>
      <c r="E1767" s="293">
        <f t="shared" ref="E1767:E1768" si="969">ROUND(D1767/$D$1769*$E$1769,0)</f>
        <v>0</v>
      </c>
      <c r="G1767" s="318">
        <v>3.75</v>
      </c>
      <c r="H1767" s="318"/>
      <c r="I1767" s="294">
        <f>ROUND(D1767*$G1767,0)</f>
        <v>0</v>
      </c>
      <c r="J1767" s="294">
        <f>ROUND(E1767*$G1767,0)</f>
        <v>0</v>
      </c>
      <c r="L1767" s="318"/>
      <c r="M1767" s="318"/>
      <c r="N1767" s="318"/>
      <c r="O1767" s="318"/>
      <c r="P1767" s="318"/>
      <c r="Q1767" s="318"/>
      <c r="R1767" s="318"/>
      <c r="S1767" s="318"/>
      <c r="T1767" s="319"/>
      <c r="U1767" s="319"/>
      <c r="V1767" s="319"/>
      <c r="W1767" s="319"/>
      <c r="X1767" s="319"/>
      <c r="Y1767" s="319"/>
    </row>
    <row r="1768" spans="1:26">
      <c r="B1768" s="317" t="s">
        <v>1285</v>
      </c>
      <c r="D1768" s="293">
        <f>SUMIF('[7]12P'!$B$2:$B$22,47,'[7]12P'!$L$2:$L$22)</f>
        <v>84</v>
      </c>
      <c r="E1768" s="293">
        <f t="shared" si="969"/>
        <v>53</v>
      </c>
      <c r="G1768" s="318">
        <v>13.92</v>
      </c>
      <c r="H1768" s="318"/>
      <c r="I1768" s="294">
        <f>ROUND(D1768*$G1768,0)</f>
        <v>1169</v>
      </c>
      <c r="J1768" s="294">
        <f>ROUND(E1768*$G1768,0)</f>
        <v>738</v>
      </c>
      <c r="L1768" s="318"/>
      <c r="M1768" s="318"/>
      <c r="N1768" s="318"/>
      <c r="O1768" s="318"/>
      <c r="P1768" s="318"/>
      <c r="Q1768" s="318"/>
      <c r="R1768" s="318"/>
      <c r="S1768" s="318"/>
      <c r="T1768" s="319"/>
      <c r="U1768" s="319"/>
      <c r="V1768" s="319"/>
      <c r="W1768" s="319"/>
      <c r="X1768" s="319"/>
      <c r="Y1768" s="319"/>
    </row>
    <row r="1769" spans="1:26">
      <c r="B1769" s="391" t="s">
        <v>1266</v>
      </c>
      <c r="D1769" s="357">
        <f>'[7]12P'!M24</f>
        <v>3043780.2427610983</v>
      </c>
      <c r="E1769" s="357">
        <f>[7]Energy!P89</f>
        <v>1934664</v>
      </c>
      <c r="G1769" s="409"/>
      <c r="I1769" s="358">
        <f>SUM(I1740:I1768)</f>
        <v>382775</v>
      </c>
      <c r="J1769" s="358">
        <f>SUM(J1740:J1768)</f>
        <v>243301</v>
      </c>
      <c r="L1769" s="409"/>
      <c r="N1769" s="409"/>
      <c r="P1769" s="409"/>
      <c r="R1769" s="409"/>
      <c r="T1769" s="358"/>
      <c r="V1769" s="358"/>
      <c r="X1769" s="358"/>
      <c r="Z1769" s="358"/>
    </row>
    <row r="1770" spans="1:26">
      <c r="B1770" s="391" t="s">
        <v>1158</v>
      </c>
      <c r="D1770" s="293">
        <f>'[7]Table 2'!J140</f>
        <v>-112778</v>
      </c>
      <c r="E1770" s="293">
        <v>0</v>
      </c>
      <c r="G1770" s="318"/>
      <c r="H1770" s="343"/>
      <c r="I1770" s="294">
        <f>'[7]Table 3'!F140</f>
        <v>-13175</v>
      </c>
      <c r="J1770" s="358">
        <v>0</v>
      </c>
      <c r="L1770" s="318"/>
      <c r="M1770" s="343"/>
      <c r="N1770" s="318"/>
      <c r="O1770" s="343"/>
      <c r="P1770" s="318"/>
      <c r="Q1770" s="343"/>
      <c r="R1770" s="318"/>
      <c r="S1770" s="343"/>
      <c r="T1770" s="358"/>
      <c r="U1770" s="346"/>
      <c r="V1770" s="358"/>
      <c r="W1770" s="346"/>
      <c r="X1770" s="358"/>
      <c r="Y1770" s="346"/>
      <c r="Z1770" s="358"/>
    </row>
    <row r="1771" spans="1:26">
      <c r="B1771" s="317" t="s">
        <v>1079</v>
      </c>
      <c r="G1771" s="338">
        <v>-1.9800000000000002E-2</v>
      </c>
      <c r="H1771" s="339"/>
      <c r="I1771" s="294">
        <f>I1769*$G1771</f>
        <v>-7578.9450000000006</v>
      </c>
      <c r="J1771" s="294">
        <f>J1769*$G1771</f>
        <v>-4817.3598000000002</v>
      </c>
      <c r="L1771" s="338"/>
      <c r="M1771" s="339"/>
      <c r="N1771" s="338"/>
      <c r="O1771" s="339"/>
      <c r="P1771" s="338"/>
      <c r="Q1771" s="339"/>
      <c r="R1771" s="338"/>
      <c r="S1771" s="339"/>
    </row>
    <row r="1772" spans="1:26">
      <c r="B1772" s="317"/>
      <c r="G1772" s="338"/>
      <c r="H1772" s="339"/>
      <c r="L1772" s="338"/>
      <c r="M1772" s="339"/>
      <c r="N1772" s="338"/>
      <c r="O1772" s="339"/>
      <c r="P1772" s="338"/>
      <c r="Q1772" s="339"/>
      <c r="R1772" s="338"/>
      <c r="S1772" s="339"/>
    </row>
    <row r="1773" spans="1:26">
      <c r="A1773" s="292">
        <v>1</v>
      </c>
      <c r="B1773" s="391" t="s">
        <v>45</v>
      </c>
      <c r="D1773" s="293">
        <f>SUM(D1769:D1770)</f>
        <v>2931002.2427610983</v>
      </c>
      <c r="E1773" s="293">
        <f>SUM(E1769:E1770)</f>
        <v>1934664</v>
      </c>
      <c r="G1773" s="318"/>
      <c r="H1773" s="343"/>
      <c r="I1773" s="294">
        <f>SUM(I1769:I1771)</f>
        <v>362021.05499999999</v>
      </c>
      <c r="J1773" s="294">
        <f>SUM(J1769:J1771)</f>
        <v>238483.64019999999</v>
      </c>
      <c r="L1773" s="318"/>
      <c r="M1773" s="343"/>
      <c r="N1773" s="318"/>
      <c r="O1773" s="343"/>
      <c r="P1773" s="318"/>
      <c r="Q1773" s="343"/>
      <c r="R1773" s="318"/>
      <c r="S1773" s="343"/>
      <c r="U1773" s="346"/>
      <c r="W1773" s="346"/>
      <c r="Y1773" s="346"/>
    </row>
    <row r="1774" spans="1:26">
      <c r="B1774" s="391" t="s">
        <v>1267</v>
      </c>
      <c r="D1774" s="357">
        <f>'[7]Table 2'!F140</f>
        <v>169.5</v>
      </c>
      <c r="E1774" s="357">
        <f>ROUND([7]Bill!P89/12,0)</f>
        <v>170</v>
      </c>
      <c r="G1774" s="409"/>
      <c r="I1774" s="358"/>
      <c r="J1774" s="358"/>
      <c r="L1774" s="409"/>
      <c r="N1774" s="409"/>
      <c r="P1774" s="409"/>
      <c r="R1774" s="409"/>
      <c r="T1774" s="358"/>
      <c r="V1774" s="358"/>
      <c r="X1774" s="358"/>
      <c r="Z1774" s="358"/>
    </row>
    <row r="1775" spans="1:26">
      <c r="A1775" s="292">
        <v>1</v>
      </c>
      <c r="B1775" s="419" t="s">
        <v>1286</v>
      </c>
      <c r="G1775" s="318"/>
      <c r="H1775" s="318"/>
      <c r="L1775" s="318"/>
      <c r="M1775" s="318"/>
      <c r="N1775" s="318"/>
      <c r="O1775" s="318"/>
      <c r="P1775" s="318"/>
      <c r="Q1775" s="318"/>
      <c r="R1775" s="318"/>
      <c r="S1775" s="318"/>
      <c r="T1775" s="319"/>
      <c r="U1775" s="319"/>
      <c r="V1775" s="319"/>
      <c r="W1775" s="319"/>
      <c r="X1775" s="319"/>
      <c r="Y1775" s="319"/>
    </row>
    <row r="1776" spans="1:26">
      <c r="B1776" s="391" t="s">
        <v>1269</v>
      </c>
      <c r="G1776" s="318"/>
      <c r="H1776" s="318"/>
      <c r="L1776" s="318"/>
      <c r="M1776" s="318"/>
      <c r="N1776" s="318"/>
      <c r="O1776" s="318"/>
      <c r="P1776" s="318"/>
      <c r="Q1776" s="318"/>
      <c r="R1776" s="318"/>
      <c r="S1776" s="318"/>
      <c r="T1776" s="319"/>
      <c r="U1776" s="319"/>
      <c r="V1776" s="319"/>
      <c r="W1776" s="319"/>
      <c r="X1776" s="319"/>
      <c r="Y1776" s="319"/>
    </row>
    <row r="1777" spans="2:25">
      <c r="B1777" s="317" t="s">
        <v>1247</v>
      </c>
      <c r="D1777" s="293">
        <f>SUMIF('[7]12F'!$B$2:$B$12,5,'[7]12F'!$L$2:$L$12)</f>
        <v>36</v>
      </c>
      <c r="E1777" s="293">
        <f>ROUND(D1777/$D$1795*$E$1795,0)</f>
        <v>37</v>
      </c>
      <c r="G1777" s="318">
        <v>17.73</v>
      </c>
      <c r="H1777" s="318"/>
      <c r="I1777" s="294">
        <f>ROUND(D1777*$G1777,0)</f>
        <v>638</v>
      </c>
      <c r="J1777" s="294">
        <f>ROUND(E1777*$G1777,0)</f>
        <v>656</v>
      </c>
      <c r="L1777" s="318"/>
      <c r="M1777" s="318"/>
      <c r="N1777" s="318"/>
      <c r="O1777" s="318"/>
      <c r="P1777" s="318"/>
      <c r="Q1777" s="318"/>
      <c r="R1777" s="318"/>
      <c r="S1777" s="318"/>
      <c r="T1777" s="319"/>
      <c r="U1777" s="319"/>
      <c r="V1777" s="319"/>
      <c r="W1777" s="319"/>
      <c r="X1777" s="319"/>
      <c r="Y1777" s="319"/>
    </row>
    <row r="1778" spans="2:25">
      <c r="B1778" s="317" t="s">
        <v>1241</v>
      </c>
      <c r="D1778" s="293">
        <f>SUMIF('[7]12F'!$B$2:$B$12,7,'[7]12F'!$L$2:$L$12)</f>
        <v>12</v>
      </c>
      <c r="E1778" s="293">
        <f>ROUND(D1778/$D$1795*$E$1795,0)</f>
        <v>12</v>
      </c>
      <c r="G1778" s="318">
        <v>23.4</v>
      </c>
      <c r="H1778" s="318"/>
      <c r="I1778" s="294">
        <f>ROUND(D1778*$G1778,0)</f>
        <v>281</v>
      </c>
      <c r="J1778" s="294">
        <f>ROUND(E1778*$G1778,0)</f>
        <v>281</v>
      </c>
      <c r="L1778" s="318"/>
      <c r="M1778" s="318"/>
      <c r="N1778" s="318"/>
      <c r="O1778" s="318"/>
      <c r="P1778" s="318"/>
      <c r="Q1778" s="318"/>
      <c r="R1778" s="318"/>
      <c r="S1778" s="318"/>
      <c r="T1778" s="319"/>
      <c r="U1778" s="319"/>
      <c r="V1778" s="319"/>
      <c r="W1778" s="319"/>
      <c r="X1778" s="319"/>
      <c r="Y1778" s="319"/>
    </row>
    <row r="1779" spans="2:25">
      <c r="B1779" s="391" t="s">
        <v>1271</v>
      </c>
      <c r="X1779" s="319"/>
    </row>
    <row r="1780" spans="2:25">
      <c r="B1780" s="317" t="s">
        <v>1131</v>
      </c>
      <c r="D1780" s="293">
        <f>SUMIF('[7]12F'!$B$2:$B$12,11,'[7]12F'!$L$2:$L$12)</f>
        <v>24</v>
      </c>
      <c r="E1780" s="293">
        <f t="shared" ref="E1780:E1782" si="970">ROUND(D1780/$D$1795*$E$1795,0)</f>
        <v>25</v>
      </c>
      <c r="G1780" s="318">
        <v>8.0299999999999994</v>
      </c>
      <c r="H1780" s="318"/>
      <c r="I1780" s="294">
        <f t="shared" ref="I1780:J1782" si="971">ROUND(D1780*$G1780,0)</f>
        <v>193</v>
      </c>
      <c r="J1780" s="294">
        <f t="shared" si="971"/>
        <v>201</v>
      </c>
      <c r="L1780" s="318"/>
      <c r="M1780" s="318"/>
      <c r="N1780" s="318"/>
      <c r="O1780" s="318"/>
      <c r="P1780" s="318"/>
      <c r="Q1780" s="318"/>
      <c r="R1780" s="318"/>
      <c r="S1780" s="318"/>
      <c r="T1780" s="319"/>
      <c r="U1780" s="319"/>
      <c r="V1780" s="319"/>
      <c r="W1780" s="319"/>
      <c r="X1780" s="319"/>
      <c r="Y1780" s="319"/>
    </row>
    <row r="1781" spans="2:25">
      <c r="B1781" s="317" t="s">
        <v>1133</v>
      </c>
      <c r="D1781" s="293">
        <f>SUMIF('[7]12F'!$B$2:$B$12,15,'[7]12F'!$L$2:$L$12)</f>
        <v>0</v>
      </c>
      <c r="E1781" s="293">
        <f t="shared" si="970"/>
        <v>0</v>
      </c>
      <c r="G1781" s="318">
        <v>15.3</v>
      </c>
      <c r="H1781" s="318"/>
      <c r="I1781" s="294">
        <f t="shared" si="971"/>
        <v>0</v>
      </c>
      <c r="J1781" s="294">
        <f t="shared" si="971"/>
        <v>0</v>
      </c>
      <c r="L1781" s="318"/>
      <c r="M1781" s="318"/>
      <c r="N1781" s="318"/>
      <c r="O1781" s="318"/>
      <c r="P1781" s="318"/>
      <c r="Q1781" s="318"/>
      <c r="R1781" s="318"/>
      <c r="S1781" s="318"/>
      <c r="T1781" s="319"/>
      <c r="U1781" s="319"/>
      <c r="V1781" s="319"/>
      <c r="W1781" s="319"/>
      <c r="X1781" s="319"/>
      <c r="Y1781" s="319"/>
    </row>
    <row r="1782" spans="2:25">
      <c r="B1782" s="317" t="s">
        <v>1272</v>
      </c>
      <c r="D1782" s="293">
        <f>SUMIF('[7]12F'!$B$2:$B$12,19,'[7]12F'!$L$2:$L$12)</f>
        <v>0</v>
      </c>
      <c r="E1782" s="293">
        <f t="shared" si="970"/>
        <v>0</v>
      </c>
      <c r="G1782" s="318">
        <v>32.479999999999997</v>
      </c>
      <c r="H1782" s="318"/>
      <c r="I1782" s="294">
        <f t="shared" si="971"/>
        <v>0</v>
      </c>
      <c r="J1782" s="294">
        <f t="shared" si="971"/>
        <v>0</v>
      </c>
      <c r="L1782" s="318"/>
      <c r="M1782" s="318"/>
      <c r="N1782" s="318"/>
      <c r="O1782" s="318"/>
      <c r="P1782" s="318"/>
      <c r="Q1782" s="318"/>
      <c r="R1782" s="318"/>
      <c r="S1782" s="318"/>
      <c r="T1782" s="319"/>
      <c r="U1782" s="319"/>
      <c r="V1782" s="319"/>
      <c r="W1782" s="319"/>
      <c r="X1782" s="319"/>
      <c r="Y1782" s="319"/>
    </row>
    <row r="1783" spans="2:25" ht="14.25" customHeight="1">
      <c r="B1783" s="391" t="s">
        <v>1287</v>
      </c>
      <c r="G1783" s="339"/>
      <c r="H1783" s="339"/>
      <c r="L1783" s="339"/>
      <c r="M1783" s="339"/>
      <c r="N1783" s="339"/>
      <c r="O1783" s="339"/>
      <c r="P1783" s="339"/>
      <c r="Q1783" s="339"/>
      <c r="R1783" s="339"/>
      <c r="S1783" s="339"/>
      <c r="X1783" s="319"/>
    </row>
    <row r="1784" spans="2:25">
      <c r="B1784" s="317" t="s">
        <v>1255</v>
      </c>
      <c r="D1784" s="293">
        <f>SUMIF('[7]12F'!$B$2:$B$12,21,'[7]12F'!$L$2:$L$12)</f>
        <v>4038.05982905983</v>
      </c>
      <c r="E1784" s="293">
        <f t="shared" ref="E1784:E1789" si="972">ROUND(D1784/$D$1795*$E$1795,0)</f>
        <v>4183</v>
      </c>
      <c r="G1784" s="318">
        <v>4.68</v>
      </c>
      <c r="H1784" s="318"/>
      <c r="I1784" s="294">
        <f t="shared" ref="I1784:J1789" si="973">ROUND(D1784*$G1784,0)</f>
        <v>18898</v>
      </c>
      <c r="J1784" s="294">
        <f t="shared" si="973"/>
        <v>19576</v>
      </c>
      <c r="L1784" s="318"/>
      <c r="M1784" s="318"/>
      <c r="N1784" s="318"/>
      <c r="O1784" s="318"/>
      <c r="P1784" s="318"/>
      <c r="Q1784" s="318"/>
      <c r="R1784" s="318"/>
      <c r="S1784" s="318"/>
      <c r="T1784" s="319"/>
      <c r="U1784" s="319"/>
      <c r="V1784" s="319"/>
      <c r="W1784" s="319"/>
      <c r="X1784" s="319"/>
      <c r="Y1784" s="319"/>
    </row>
    <row r="1785" spans="2:25">
      <c r="B1785" s="317" t="s">
        <v>1256</v>
      </c>
      <c r="D1785" s="293">
        <f>SUMIF('[7]12F'!$B$2:$B$12,23,'[7]12F'!$L$2:$L$12)</f>
        <v>6914.6444805194797</v>
      </c>
      <c r="E1785" s="293">
        <f t="shared" si="972"/>
        <v>7164</v>
      </c>
      <c r="G1785" s="318">
        <v>6.16</v>
      </c>
      <c r="H1785" s="318"/>
      <c r="I1785" s="294">
        <f t="shared" si="973"/>
        <v>42594</v>
      </c>
      <c r="J1785" s="294">
        <f t="shared" si="973"/>
        <v>44130</v>
      </c>
      <c r="L1785" s="318"/>
      <c r="M1785" s="318"/>
      <c r="N1785" s="318"/>
      <c r="O1785" s="318"/>
      <c r="P1785" s="318"/>
      <c r="Q1785" s="318"/>
      <c r="R1785" s="318"/>
      <c r="S1785" s="318"/>
      <c r="T1785" s="319"/>
      <c r="U1785" s="319"/>
      <c r="V1785" s="319"/>
      <c r="W1785" s="319"/>
      <c r="X1785" s="319"/>
      <c r="Y1785" s="319"/>
    </row>
    <row r="1786" spans="2:25">
      <c r="B1786" s="317" t="s">
        <v>1257</v>
      </c>
      <c r="D1786" s="293">
        <f>SUMIF('[7]12F'!$B$2:$B$12,25,'[7]12F'!$L$2:$L$12)</f>
        <v>576</v>
      </c>
      <c r="E1786" s="293">
        <f t="shared" si="972"/>
        <v>597</v>
      </c>
      <c r="G1786" s="318">
        <v>7.47</v>
      </c>
      <c r="H1786" s="318"/>
      <c r="I1786" s="294">
        <f t="shared" si="973"/>
        <v>4303</v>
      </c>
      <c r="J1786" s="294">
        <f t="shared" si="973"/>
        <v>4460</v>
      </c>
      <c r="L1786" s="318"/>
      <c r="M1786" s="318"/>
      <c r="N1786" s="318"/>
      <c r="O1786" s="318"/>
      <c r="P1786" s="318"/>
      <c r="Q1786" s="318"/>
      <c r="R1786" s="318"/>
      <c r="S1786" s="318"/>
      <c r="T1786" s="319"/>
      <c r="U1786" s="319"/>
      <c r="V1786" s="319"/>
      <c r="W1786" s="319"/>
      <c r="X1786" s="319"/>
      <c r="Y1786" s="319"/>
    </row>
    <row r="1787" spans="2:25">
      <c r="B1787" s="317" t="s">
        <v>1141</v>
      </c>
      <c r="D1787" s="293">
        <f>SUMIF('[7]12F'!$B$2:$B$12,45,'[7]12F'!$L$2:$L$12)</f>
        <v>0</v>
      </c>
      <c r="E1787" s="293">
        <f t="shared" si="972"/>
        <v>0</v>
      </c>
      <c r="G1787" s="318">
        <v>9.44</v>
      </c>
      <c r="H1787" s="318"/>
      <c r="I1787" s="294">
        <f t="shared" si="973"/>
        <v>0</v>
      </c>
      <c r="J1787" s="294">
        <f t="shared" si="973"/>
        <v>0</v>
      </c>
      <c r="L1787" s="318"/>
      <c r="M1787" s="318"/>
      <c r="N1787" s="318"/>
      <c r="O1787" s="318"/>
      <c r="P1787" s="318"/>
      <c r="Q1787" s="318"/>
      <c r="R1787" s="318"/>
      <c r="S1787" s="318"/>
      <c r="T1787" s="319"/>
      <c r="U1787" s="319"/>
      <c r="V1787" s="319"/>
      <c r="W1787" s="319"/>
      <c r="X1787" s="319"/>
      <c r="Y1787" s="319"/>
    </row>
    <row r="1788" spans="2:25">
      <c r="B1788" s="317" t="s">
        <v>1258</v>
      </c>
      <c r="D1788" s="293">
        <f>SUMIF('[7]12F'!$B$2:$B$12,27,'[7]12F'!$L$2:$L$12)</f>
        <v>1223.2984531392201</v>
      </c>
      <c r="E1788" s="293">
        <f t="shared" si="972"/>
        <v>1267</v>
      </c>
      <c r="G1788" s="318">
        <v>10.99</v>
      </c>
      <c r="H1788" s="318"/>
      <c r="I1788" s="294">
        <f t="shared" si="973"/>
        <v>13444</v>
      </c>
      <c r="J1788" s="294">
        <f t="shared" si="973"/>
        <v>13924</v>
      </c>
      <c r="L1788" s="318"/>
      <c r="M1788" s="318"/>
      <c r="N1788" s="318"/>
      <c r="O1788" s="318"/>
      <c r="P1788" s="318"/>
      <c r="Q1788" s="318"/>
      <c r="R1788" s="318"/>
      <c r="S1788" s="318"/>
      <c r="T1788" s="319"/>
      <c r="U1788" s="319"/>
      <c r="V1788" s="319"/>
      <c r="W1788" s="319"/>
      <c r="X1788" s="319"/>
      <c r="Y1788" s="319"/>
    </row>
    <row r="1789" spans="2:25">
      <c r="B1789" s="317" t="s">
        <v>1259</v>
      </c>
      <c r="D1789" s="293">
        <f>SUMIF('[7]12F'!$B$2:$B$12,29,'[7]12F'!$L$2:$L$12)</f>
        <v>1599.822721598</v>
      </c>
      <c r="E1789" s="293">
        <f t="shared" si="972"/>
        <v>1657</v>
      </c>
      <c r="G1789" s="318">
        <v>16.02</v>
      </c>
      <c r="H1789" s="318"/>
      <c r="I1789" s="294">
        <f t="shared" si="973"/>
        <v>25629</v>
      </c>
      <c r="J1789" s="294">
        <f t="shared" si="973"/>
        <v>26545</v>
      </c>
      <c r="L1789" s="318"/>
      <c r="M1789" s="318"/>
      <c r="N1789" s="318"/>
      <c r="O1789" s="318"/>
      <c r="P1789" s="318"/>
      <c r="Q1789" s="318"/>
      <c r="R1789" s="318"/>
      <c r="S1789" s="318"/>
      <c r="T1789" s="319"/>
      <c r="U1789" s="319"/>
      <c r="V1789" s="319"/>
      <c r="W1789" s="319"/>
      <c r="X1789" s="319"/>
      <c r="Y1789" s="319"/>
    </row>
    <row r="1790" spans="2:25">
      <c r="B1790" s="391" t="s">
        <v>1260</v>
      </c>
      <c r="X1790" s="319"/>
    </row>
    <row r="1791" spans="2:25">
      <c r="B1791" s="317" t="s">
        <v>1262</v>
      </c>
      <c r="D1791" s="293">
        <f>SUMIF('[7]12F'!$B$2:$B$12,31,'[7]12F'!$L$2:$L$12)</f>
        <v>33.533376123234902</v>
      </c>
      <c r="E1791" s="293">
        <f t="shared" ref="E1791:E1794" si="974">ROUND(D1791/$D$1795*$E$1795,0)</f>
        <v>35</v>
      </c>
      <c r="G1791" s="318">
        <v>15.58</v>
      </c>
      <c r="H1791" s="318"/>
      <c r="I1791" s="294">
        <f t="shared" ref="I1791:J1794" si="975">ROUND(D1791*$G1791,0)</f>
        <v>522</v>
      </c>
      <c r="J1791" s="294">
        <f t="shared" si="975"/>
        <v>545</v>
      </c>
      <c r="L1791" s="318"/>
      <c r="M1791" s="318"/>
      <c r="N1791" s="318"/>
      <c r="O1791" s="318"/>
      <c r="P1791" s="318"/>
      <c r="Q1791" s="318"/>
      <c r="R1791" s="318"/>
      <c r="S1791" s="318"/>
      <c r="T1791" s="319"/>
      <c r="U1791" s="319"/>
      <c r="V1791" s="319"/>
      <c r="W1791" s="319"/>
      <c r="X1791" s="319"/>
      <c r="Y1791" s="319"/>
    </row>
    <row r="1792" spans="2:25">
      <c r="B1792" s="317" t="s">
        <v>1263</v>
      </c>
      <c r="D1792" s="293">
        <f>SUMIF('[7]12F'!$B$2:$B$12,33,'[7]12F'!$L$2:$L$12)</f>
        <v>722.34392879847405</v>
      </c>
      <c r="E1792" s="293">
        <f t="shared" si="974"/>
        <v>748</v>
      </c>
      <c r="G1792" s="318">
        <v>15.73</v>
      </c>
      <c r="H1792" s="318"/>
      <c r="I1792" s="294">
        <f t="shared" si="975"/>
        <v>11362</v>
      </c>
      <c r="J1792" s="294">
        <f t="shared" si="975"/>
        <v>11766</v>
      </c>
      <c r="L1792" s="318"/>
      <c r="M1792" s="318"/>
      <c r="N1792" s="318"/>
      <c r="O1792" s="318"/>
      <c r="P1792" s="318"/>
      <c r="Q1792" s="318"/>
      <c r="R1792" s="318"/>
      <c r="S1792" s="318"/>
      <c r="T1792" s="319"/>
      <c r="U1792" s="319"/>
      <c r="V1792" s="319"/>
      <c r="W1792" s="319"/>
      <c r="X1792" s="319"/>
      <c r="Y1792" s="319"/>
    </row>
    <row r="1793" spans="1:32">
      <c r="B1793" s="317" t="s">
        <v>1264</v>
      </c>
      <c r="D1793" s="293">
        <f>SUMIF('[7]12F'!$B$2:$B$12,35,'[7]12F'!$L$2:$L$12)</f>
        <v>672.36662679425797</v>
      </c>
      <c r="E1793" s="293">
        <f t="shared" si="974"/>
        <v>697</v>
      </c>
      <c r="G1793" s="318">
        <v>16.72</v>
      </c>
      <c r="H1793" s="318"/>
      <c r="I1793" s="294">
        <f t="shared" si="975"/>
        <v>11242</v>
      </c>
      <c r="J1793" s="294">
        <f t="shared" si="975"/>
        <v>11654</v>
      </c>
      <c r="L1793" s="318"/>
      <c r="M1793" s="318"/>
      <c r="N1793" s="318"/>
      <c r="O1793" s="318"/>
      <c r="P1793" s="318"/>
      <c r="Q1793" s="318"/>
      <c r="R1793" s="318"/>
      <c r="S1793" s="318"/>
      <c r="T1793" s="319"/>
      <c r="U1793" s="319"/>
      <c r="V1793" s="319"/>
      <c r="W1793" s="319"/>
      <c r="X1793" s="319"/>
      <c r="Y1793" s="319"/>
    </row>
    <row r="1794" spans="1:32">
      <c r="B1794" s="317" t="s">
        <v>1288</v>
      </c>
      <c r="D1794" s="293">
        <f>SUMIF('[7]12F'!$B$2:$B$12,37,'[7]12F'!$L$2:$L$12)</f>
        <v>0</v>
      </c>
      <c r="E1794" s="293">
        <f t="shared" si="974"/>
        <v>0</v>
      </c>
      <c r="G1794" s="318">
        <v>33.049999999999997</v>
      </c>
      <c r="H1794" s="318"/>
      <c r="I1794" s="294">
        <f t="shared" si="975"/>
        <v>0</v>
      </c>
      <c r="J1794" s="294">
        <f t="shared" si="975"/>
        <v>0</v>
      </c>
      <c r="L1794" s="318"/>
      <c r="M1794" s="318"/>
      <c r="N1794" s="318"/>
      <c r="O1794" s="318"/>
      <c r="P1794" s="318"/>
      <c r="Q1794" s="318"/>
      <c r="R1794" s="318"/>
      <c r="S1794" s="318"/>
      <c r="T1794" s="319"/>
      <c r="U1794" s="319"/>
      <c r="V1794" s="319"/>
      <c r="W1794" s="319"/>
      <c r="X1794" s="319"/>
      <c r="Y1794" s="319"/>
    </row>
    <row r="1795" spans="1:32">
      <c r="B1795" s="391" t="s">
        <v>1266</v>
      </c>
      <c r="D1795" s="357">
        <f>'[7]12F'!M14</f>
        <v>946976.17346773273</v>
      </c>
      <c r="E1795" s="357">
        <f>[7]Energy!P88</f>
        <v>981077.54006849322</v>
      </c>
      <c r="G1795" s="409"/>
      <c r="I1795" s="358">
        <f>SUM(I1777:I1794)</f>
        <v>129106</v>
      </c>
      <c r="J1795" s="358">
        <f>SUM(J1777:J1794)</f>
        <v>133738</v>
      </c>
      <c r="L1795" s="409"/>
      <c r="N1795" s="409"/>
      <c r="P1795" s="409"/>
      <c r="R1795" s="409"/>
      <c r="T1795" s="358"/>
      <c r="V1795" s="358"/>
      <c r="X1795" s="358"/>
      <c r="Z1795" s="358"/>
      <c r="AB1795" s="360" t="s">
        <v>1081</v>
      </c>
      <c r="AC1795" s="360"/>
      <c r="AD1795" s="360"/>
      <c r="AE1795" s="360"/>
    </row>
    <row r="1796" spans="1:32">
      <c r="B1796" s="391" t="s">
        <v>1158</v>
      </c>
      <c r="D1796" s="293">
        <f>'[7]Table 2'!J139</f>
        <v>-35087</v>
      </c>
      <c r="E1796" s="293">
        <v>0</v>
      </c>
      <c r="G1796" s="318"/>
      <c r="H1796" s="343"/>
      <c r="I1796" s="294">
        <f>'[7]Table 3'!F139</f>
        <v>-4439</v>
      </c>
      <c r="J1796" s="358">
        <v>0</v>
      </c>
      <c r="L1796" s="318"/>
      <c r="M1796" s="343"/>
      <c r="N1796" s="318"/>
      <c r="O1796" s="343"/>
      <c r="P1796" s="318"/>
      <c r="Q1796" s="343"/>
      <c r="R1796" s="318"/>
      <c r="S1796" s="343"/>
      <c r="T1796" s="358"/>
      <c r="U1796" s="346"/>
      <c r="V1796" s="358"/>
      <c r="W1796" s="346"/>
      <c r="X1796" s="358"/>
      <c r="Y1796" s="346"/>
      <c r="Z1796" s="358"/>
      <c r="AB1796" s="361" t="s">
        <v>42</v>
      </c>
      <c r="AC1796" s="361" t="s">
        <v>43</v>
      </c>
      <c r="AD1796" s="361" t="s">
        <v>44</v>
      </c>
      <c r="AE1796" s="361" t="s">
        <v>45</v>
      </c>
    </row>
    <row r="1797" spans="1:32">
      <c r="B1797" s="317" t="s">
        <v>1079</v>
      </c>
      <c r="G1797" s="338">
        <v>-1.9800000000000002E-2</v>
      </c>
      <c r="H1797" s="339"/>
      <c r="I1797" s="294">
        <f>I1795*$G1797</f>
        <v>-2556.2988</v>
      </c>
      <c r="J1797" s="294">
        <f>J1795*$G1797</f>
        <v>-2648.0124000000001</v>
      </c>
      <c r="L1797" s="338"/>
      <c r="M1797" s="339"/>
      <c r="N1797" s="338"/>
      <c r="O1797" s="339"/>
      <c r="P1797" s="359"/>
      <c r="Q1797" s="339"/>
      <c r="R1797" s="338"/>
      <c r="S1797" s="339"/>
      <c r="AB1797" s="366">
        <f>'[7]Unit Cost Target'!$G$87+'[7]Unit Cost Target'!$G$123+'[7]Unit Cost Target'!$G$129</f>
        <v>4553069.0067482051</v>
      </c>
      <c r="AC1797" s="366">
        <f>'[7]Unit Cost Target'!$G$45+'[7]Unit Cost Target'!$G$51+'[7]Unit Cost Target'!$G$75+'[7]Unit Cost Target'!$G$81</f>
        <v>1080973.3045833621</v>
      </c>
      <c r="AD1797" s="366">
        <f>'[7]Unit Cost Target'!$G$33+'[7]Unit Cost Target'!$G$39+'[7]Unit Cost Target'!$G$63+'[7]Unit Cost Target'!$G$69</f>
        <v>968944.50822529709</v>
      </c>
      <c r="AE1797" s="366">
        <f>SUM(AB1797:AD1797)</f>
        <v>6602986.819556864</v>
      </c>
      <c r="AF1797" s="366">
        <f>AE1797-'[7]Unit Cost Target'!$G$21</f>
        <v>0</v>
      </c>
    </row>
    <row r="1798" spans="1:32">
      <c r="B1798" s="317"/>
      <c r="G1798" s="338"/>
      <c r="H1798" s="339"/>
      <c r="L1798" s="338"/>
      <c r="M1798" s="339"/>
      <c r="N1798" s="338"/>
      <c r="O1798" s="339"/>
      <c r="P1798" s="359"/>
      <c r="Q1798" s="339"/>
      <c r="R1798" s="338"/>
      <c r="S1798" s="339"/>
      <c r="AB1798" s="366">
        <f>T1807-SUM(T1721:T1806)</f>
        <v>947919.81118977303</v>
      </c>
      <c r="AC1798" s="366">
        <f>V1807-SUM(V1721:V1806)</f>
        <v>225051.71989775478</v>
      </c>
      <c r="AD1798" s="366">
        <f>X1807-SUM(X1721:X1806)</f>
        <v>201728.04188317567</v>
      </c>
      <c r="AE1798" s="366">
        <f>SUM(AB1798:AD1798)</f>
        <v>1374699.5729707035</v>
      </c>
      <c r="AF1798" s="366"/>
    </row>
    <row r="1799" spans="1:32">
      <c r="B1799" s="391" t="s">
        <v>45</v>
      </c>
      <c r="D1799" s="293">
        <f>SUM(D1795:D1796)</f>
        <v>911889.17346773273</v>
      </c>
      <c r="E1799" s="293">
        <f>SUM(E1795:E1796)</f>
        <v>981077.54006849322</v>
      </c>
      <c r="G1799" s="318"/>
      <c r="H1799" s="343"/>
      <c r="I1799" s="294">
        <f>SUM(I1795:I1797)</f>
        <v>122110.7012</v>
      </c>
      <c r="J1799" s="294">
        <f>SUM(J1795:J1797)</f>
        <v>131089.98759999999</v>
      </c>
      <c r="L1799" s="318"/>
      <c r="M1799" s="343"/>
      <c r="N1799" s="318"/>
      <c r="O1799" s="343"/>
      <c r="P1799" s="318"/>
      <c r="Q1799" s="343"/>
      <c r="R1799" s="318"/>
      <c r="S1799" s="343"/>
      <c r="U1799" s="346"/>
      <c r="W1799" s="346"/>
      <c r="Y1799" s="346"/>
    </row>
    <row r="1800" spans="1:32">
      <c r="B1800" s="391" t="s">
        <v>1267</v>
      </c>
      <c r="D1800" s="357">
        <f>'[7]Table 2'!F139</f>
        <v>67</v>
      </c>
      <c r="E1800" s="357">
        <f>ROUND([7]Bill!P88/12,0)</f>
        <v>69</v>
      </c>
      <c r="G1800" s="409"/>
      <c r="I1800" s="358"/>
      <c r="J1800" s="358"/>
      <c r="L1800" s="409"/>
      <c r="N1800" s="409"/>
      <c r="P1800" s="409"/>
      <c r="R1800" s="409"/>
      <c r="T1800" s="358"/>
      <c r="V1800" s="358"/>
      <c r="X1800" s="358"/>
      <c r="Z1800" s="358"/>
    </row>
    <row r="1801" spans="1:32">
      <c r="B1801" s="317"/>
      <c r="G1801" s="318"/>
      <c r="H1801" s="318"/>
      <c r="L1801" s="318"/>
      <c r="M1801" s="318"/>
      <c r="N1801" s="318"/>
      <c r="O1801" s="318"/>
      <c r="P1801" s="318"/>
      <c r="Q1801" s="318"/>
      <c r="R1801" s="318"/>
      <c r="S1801" s="318"/>
      <c r="U1801" s="319"/>
      <c r="W1801" s="319"/>
      <c r="Y1801" s="319"/>
    </row>
    <row r="1802" spans="1:32">
      <c r="B1802" s="317" t="s">
        <v>1289</v>
      </c>
      <c r="D1802" s="412">
        <f>D1732+D1769+D1795</f>
        <v>45421495.526070856</v>
      </c>
      <c r="E1802" s="412">
        <f>E1732+E1769+E1795</f>
        <v>26868874.204370789</v>
      </c>
      <c r="G1802" s="409"/>
      <c r="I1802" s="358">
        <f>I1732+I1769+I1795</f>
        <v>3205978</v>
      </c>
      <c r="J1802" s="358">
        <f>J1732+J1769+J1795</f>
        <v>1934632</v>
      </c>
      <c r="L1802" s="409"/>
      <c r="N1802" s="409"/>
      <c r="P1802" s="409"/>
      <c r="R1802" s="409"/>
      <c r="T1802" s="358"/>
      <c r="V1802" s="358"/>
      <c r="X1802" s="358"/>
      <c r="Z1802" s="358"/>
      <c r="AB1802" s="305"/>
      <c r="AC1802" s="304"/>
    </row>
    <row r="1803" spans="1:32">
      <c r="B1803" s="317" t="s">
        <v>1159</v>
      </c>
      <c r="D1803" s="392">
        <f>D1737+D1774+D1800</f>
        <v>1241.9166666666702</v>
      </c>
      <c r="E1803" s="392">
        <f>E1737+E1774+E1800</f>
        <v>1229</v>
      </c>
    </row>
    <row r="1804" spans="1:32">
      <c r="B1804" s="317" t="s">
        <v>1158</v>
      </c>
      <c r="D1804" s="412">
        <f>D1733+D1770+D1796</f>
        <v>-1682951</v>
      </c>
      <c r="E1804" s="412">
        <f>E1733+E1770+E1796</f>
        <v>0</v>
      </c>
      <c r="G1804" s="409"/>
      <c r="I1804" s="358">
        <f>I1733+I1770+I1796</f>
        <v>-110353</v>
      </c>
      <c r="J1804" s="358">
        <f>J1733+J1770+J1796</f>
        <v>0</v>
      </c>
      <c r="L1804" s="409"/>
      <c r="N1804" s="409"/>
      <c r="P1804" s="409"/>
      <c r="R1804" s="409"/>
      <c r="Z1804" s="358"/>
    </row>
    <row r="1805" spans="1:32">
      <c r="B1805" s="317" t="s">
        <v>1079</v>
      </c>
      <c r="G1805" s="338"/>
      <c r="H1805" s="339"/>
      <c r="I1805" s="294">
        <f>I1734+I1771+I1797</f>
        <v>-63478.364399999999</v>
      </c>
      <c r="J1805" s="294">
        <f>J1734+J1771+J1797</f>
        <v>-38305.713600000003</v>
      </c>
      <c r="L1805" s="338"/>
      <c r="M1805" s="339"/>
      <c r="N1805" s="338"/>
      <c r="O1805" s="339"/>
      <c r="P1805" s="359" t="str">
        <f>$P$43</f>
        <v>Tax Year 1</v>
      </c>
      <c r="Q1805" s="339"/>
      <c r="R1805" s="338">
        <f>AD1805</f>
        <v>-1.7000000000000001E-2</v>
      </c>
      <c r="S1805" s="339"/>
      <c r="Z1805" s="294">
        <f>R1805*Z1807</f>
        <v>-23369.89274050196</v>
      </c>
      <c r="AB1805" s="305" t="s">
        <v>1011</v>
      </c>
      <c r="AC1805" s="337">
        <f>[7]RateSpread!V58*1000</f>
        <v>-23336.950949315651</v>
      </c>
      <c r="AD1805" s="338">
        <f>ROUND(AC1805/Z1807,4)</f>
        <v>-1.7000000000000001E-2</v>
      </c>
    </row>
    <row r="1806" spans="1:32">
      <c r="B1806" s="317"/>
      <c r="G1806" s="338"/>
      <c r="H1806" s="339"/>
      <c r="L1806" s="338"/>
      <c r="M1806" s="339"/>
      <c r="N1806" s="338"/>
      <c r="O1806" s="339"/>
      <c r="P1806" s="359" t="str">
        <f>$P$44</f>
        <v>Tax Year 2</v>
      </c>
      <c r="Q1806" s="339"/>
      <c r="R1806" s="338">
        <f>AD1806</f>
        <v>-8.5000000000000006E-3</v>
      </c>
      <c r="S1806" s="339"/>
      <c r="Z1806" s="294">
        <f>R1806*Z1807</f>
        <v>-11684.94637025098</v>
      </c>
      <c r="AB1806" s="305" t="s">
        <v>1057</v>
      </c>
      <c r="AC1806" s="337">
        <f>[7]RateSpread!W58*1000</f>
        <v>-11668.47548865261</v>
      </c>
      <c r="AD1806" s="338">
        <f>ROUND(AC1806/Z1807,4)</f>
        <v>-8.5000000000000006E-3</v>
      </c>
    </row>
    <row r="1807" spans="1:32" ht="16.5" thickBot="1">
      <c r="A1807" s="292">
        <v>1</v>
      </c>
      <c r="B1807" s="317" t="s">
        <v>45</v>
      </c>
      <c r="D1807" s="411">
        <f>D1804+D1802</f>
        <v>43738544.526070856</v>
      </c>
      <c r="E1807" s="411">
        <f>E1804+E1802</f>
        <v>26868874.204370789</v>
      </c>
      <c r="G1807" s="413"/>
      <c r="H1807" s="414"/>
      <c r="I1807" s="415">
        <f>I1804+I1802+I1805</f>
        <v>3032146.6356000002</v>
      </c>
      <c r="J1807" s="415">
        <f>J1804+J1802+J1805</f>
        <v>1896326.2864000001</v>
      </c>
      <c r="L1807" s="413"/>
      <c r="M1807" s="414"/>
      <c r="N1807" s="413"/>
      <c r="O1807" s="414"/>
      <c r="P1807" s="413"/>
      <c r="Q1807" s="414"/>
      <c r="R1807" s="413"/>
      <c r="S1807" s="414"/>
      <c r="T1807" s="415">
        <f>$Z1807*AB$1797/$AE$1797</f>
        <v>947919.81118977303</v>
      </c>
      <c r="V1807" s="415">
        <f>$Z1807*AC$1797/$AE$1797</f>
        <v>225051.71989775478</v>
      </c>
      <c r="X1807" s="415">
        <f>Z1807-T1807-V1807</f>
        <v>201728.04188317567</v>
      </c>
      <c r="Y1807" s="416"/>
      <c r="Z1807" s="420">
        <f>[7]RateSpread!M58*1000</f>
        <v>1374699.5729707035</v>
      </c>
      <c r="AB1807" s="305" t="s">
        <v>939</v>
      </c>
      <c r="AC1807" s="304">
        <f>Z1807/J1807-1</f>
        <v>-0.27507223686676652</v>
      </c>
    </row>
    <row r="1808" spans="1:32" ht="16.5" thickTop="1">
      <c r="A1808" s="292">
        <v>1</v>
      </c>
      <c r="B1808" s="317"/>
      <c r="D1808" s="392"/>
      <c r="E1808" s="392"/>
    </row>
    <row r="1809" spans="1:32">
      <c r="A1809" s="292">
        <v>1</v>
      </c>
      <c r="B1809" s="419" t="s">
        <v>1005</v>
      </c>
    </row>
    <row r="1810" spans="1:32">
      <c r="B1810" s="317" t="s">
        <v>1290</v>
      </c>
      <c r="D1810" s="293">
        <f t="shared" ref="D1810:E1815" si="976">D1821+D1832+D1843</f>
        <v>20676.121453473177</v>
      </c>
      <c r="E1810" s="293">
        <f t="shared" si="976"/>
        <v>21139</v>
      </c>
      <c r="G1810" s="318">
        <v>11</v>
      </c>
      <c r="H1810" s="318"/>
      <c r="I1810" s="294">
        <f t="shared" ref="I1810:J1813" si="977">ROUND(D1810*$G1810,0)</f>
        <v>227437</v>
      </c>
      <c r="J1810" s="294">
        <f t="shared" si="977"/>
        <v>232529</v>
      </c>
      <c r="L1810" s="339">
        <f t="shared" ref="L1810:L1811" si="978">ROUND(T1810/$E1810,2)</f>
        <v>5.42</v>
      </c>
      <c r="M1810" s="339"/>
      <c r="N1810" s="339">
        <f t="shared" ref="N1810:N1811" si="979">ROUND(V1810/$E1810,2)</f>
        <v>2.58</v>
      </c>
      <c r="O1810" s="339"/>
      <c r="P1810" s="339">
        <f t="shared" ref="P1810:P1812" si="980">ROUND(R1810-L1810-N1810,2)</f>
        <v>0</v>
      </c>
      <c r="Q1810" s="318"/>
      <c r="R1810" s="318">
        <f>ROUND(G1810*(1+$AC$1825),0)</f>
        <v>8</v>
      </c>
      <c r="S1810" s="318"/>
      <c r="T1810" s="319">
        <f>MIN($T$1818,Z1810)</f>
        <v>114537.08365780802</v>
      </c>
      <c r="U1810" s="319"/>
      <c r="V1810" s="319">
        <f>MIN($V$1818,Z1810-T1810)</f>
        <v>54574.91634219198</v>
      </c>
      <c r="W1810" s="319"/>
      <c r="X1810" s="319">
        <f>Z1810-T1810-V1810</f>
        <v>0</v>
      </c>
      <c r="Y1810" s="319"/>
      <c r="Z1810" s="294">
        <f>ROUND($E1810*R1810,0)</f>
        <v>169112</v>
      </c>
    </row>
    <row r="1811" spans="1:32">
      <c r="B1811" s="317" t="s">
        <v>1291</v>
      </c>
      <c r="D1811" s="293">
        <f t="shared" si="976"/>
        <v>637.03274499027054</v>
      </c>
      <c r="E1811" s="293">
        <f t="shared" si="976"/>
        <v>638</v>
      </c>
      <c r="G1811" s="318">
        <v>72.5</v>
      </c>
      <c r="H1811" s="318"/>
      <c r="I1811" s="294">
        <f t="shared" si="977"/>
        <v>46185</v>
      </c>
      <c r="J1811" s="294">
        <f t="shared" si="977"/>
        <v>46255</v>
      </c>
      <c r="L1811" s="339">
        <f t="shared" si="978"/>
        <v>0</v>
      </c>
      <c r="M1811" s="339"/>
      <c r="N1811" s="339">
        <f t="shared" si="979"/>
        <v>49.63</v>
      </c>
      <c r="O1811" s="339"/>
      <c r="P1811" s="339">
        <f t="shared" si="980"/>
        <v>0</v>
      </c>
      <c r="Q1811" s="318"/>
      <c r="R1811" s="318">
        <f>ROUND(G1811*(1+$AC$1825),2)</f>
        <v>49.63</v>
      </c>
      <c r="S1811" s="318"/>
      <c r="T1811" s="319"/>
      <c r="U1811" s="319"/>
      <c r="V1811" s="319">
        <f>MIN($V$1818-$V$1810,Z1811)</f>
        <v>31664</v>
      </c>
      <c r="W1811" s="319"/>
      <c r="X1811" s="319">
        <f t="shared" ref="X1811:X1814" si="981">Z1811-T1811-V1811</f>
        <v>0</v>
      </c>
      <c r="Y1811" s="319"/>
      <c r="Z1811" s="294">
        <f t="shared" ref="Z1811:Z1813" si="982">ROUND($E1811*R1811,0)</f>
        <v>31664</v>
      </c>
    </row>
    <row r="1812" spans="1:32">
      <c r="B1812" s="317" t="s">
        <v>1292</v>
      </c>
      <c r="D1812" s="293">
        <f t="shared" si="976"/>
        <v>0</v>
      </c>
      <c r="E1812" s="293">
        <f t="shared" si="976"/>
        <v>0</v>
      </c>
      <c r="G1812" s="318">
        <v>127.5</v>
      </c>
      <c r="H1812" s="318"/>
      <c r="I1812" s="294">
        <f t="shared" si="977"/>
        <v>0</v>
      </c>
      <c r="J1812" s="294">
        <f t="shared" si="977"/>
        <v>0</v>
      </c>
      <c r="L1812" s="339">
        <f>$R$1812/$R$1811*L1811</f>
        <v>0</v>
      </c>
      <c r="M1812" s="339"/>
      <c r="N1812" s="339">
        <f>$R$1812/$R$1811*N1811</f>
        <v>87.28</v>
      </c>
      <c r="O1812" s="339"/>
      <c r="P1812" s="339">
        <f t="shared" si="980"/>
        <v>0</v>
      </c>
      <c r="Q1812" s="318"/>
      <c r="R1812" s="318">
        <f>ROUND(G1812*(1+$AC$1825),2)</f>
        <v>87.28</v>
      </c>
      <c r="S1812" s="318"/>
      <c r="T1812" s="319"/>
      <c r="U1812" s="319"/>
      <c r="V1812" s="319">
        <f>MIN($V$1818-$V$1810-$V$1811,Z1812)</f>
        <v>0</v>
      </c>
      <c r="W1812" s="319"/>
      <c r="X1812" s="319">
        <f t="shared" si="981"/>
        <v>0</v>
      </c>
      <c r="Y1812" s="319"/>
      <c r="Z1812" s="294">
        <f t="shared" si="982"/>
        <v>0</v>
      </c>
    </row>
    <row r="1813" spans="1:32">
      <c r="B1813" s="317" t="s">
        <v>1293</v>
      </c>
      <c r="D1813" s="293">
        <f t="shared" si="976"/>
        <v>7631.8661290322598</v>
      </c>
      <c r="E1813" s="293">
        <f t="shared" si="976"/>
        <v>7644</v>
      </c>
      <c r="G1813" s="318">
        <v>6.2</v>
      </c>
      <c r="H1813" s="318"/>
      <c r="I1813" s="294">
        <f t="shared" si="977"/>
        <v>47318</v>
      </c>
      <c r="J1813" s="294">
        <f t="shared" si="977"/>
        <v>47393</v>
      </c>
      <c r="L1813" s="339">
        <f>ROUND(T1813/$E1813,2)</f>
        <v>0</v>
      </c>
      <c r="M1813" s="339"/>
      <c r="N1813" s="339">
        <f>ROUND(V1813/$E1813,2)</f>
        <v>4.24</v>
      </c>
      <c r="O1813" s="339"/>
      <c r="P1813" s="339">
        <f>ROUND(R1813-L1813-N1813,2)</f>
        <v>0</v>
      </c>
      <c r="Q1813" s="339"/>
      <c r="R1813" s="318">
        <f>ROUND(G1813*(1+$AC$1825),2)</f>
        <v>4.24</v>
      </c>
      <c r="S1813" s="318"/>
      <c r="T1813" s="319"/>
      <c r="U1813" s="319"/>
      <c r="V1813" s="319">
        <f>MIN($V$1818-$V$1810-$V$1811-$V$1812,Z1813)</f>
        <v>32411</v>
      </c>
      <c r="W1813" s="319"/>
      <c r="X1813" s="319">
        <f t="shared" si="981"/>
        <v>0</v>
      </c>
      <c r="Y1813" s="319"/>
      <c r="Z1813" s="294">
        <f t="shared" si="982"/>
        <v>32411</v>
      </c>
    </row>
    <row r="1814" spans="1:32">
      <c r="B1814" s="317" t="s">
        <v>1294</v>
      </c>
      <c r="D1814" s="293">
        <f t="shared" si="976"/>
        <v>15565767</v>
      </c>
      <c r="E1814" s="293">
        <f t="shared" si="976"/>
        <v>15963151.062719233</v>
      </c>
      <c r="G1814" s="405">
        <v>5.3437000000000001</v>
      </c>
      <c r="H1814" s="343" t="s">
        <v>1062</v>
      </c>
      <c r="I1814" s="294">
        <f>ROUND(D1814*$G1814/100,0)</f>
        <v>831788</v>
      </c>
      <c r="J1814" s="294">
        <f>ROUND(E1814*$G1814/100,0)</f>
        <v>853023</v>
      </c>
      <c r="L1814" s="342"/>
      <c r="M1814" s="343" t="s">
        <v>1062</v>
      </c>
      <c r="N1814" s="342">
        <f>ROUND(V1814/$E1814*100,4)</f>
        <v>1.583</v>
      </c>
      <c r="O1814" s="343" t="s">
        <v>1062</v>
      </c>
      <c r="P1814" s="342">
        <f>R1814-N1814</f>
        <v>1.9105919218509999</v>
      </c>
      <c r="Q1814" s="343" t="s">
        <v>1062</v>
      </c>
      <c r="R1814" s="407">
        <f>ROUND((AC1822-SUM(Z1810:Z1813))/E1814*100,$AC$8)</f>
        <v>3.4935919218509999</v>
      </c>
      <c r="S1814" s="343" t="s">
        <v>1062</v>
      </c>
      <c r="T1814" s="346"/>
      <c r="U1814" s="346"/>
      <c r="V1814" s="319">
        <f>MIN($V$1818-$V$1810-$V$1811-$V$1812-$V$1813,Z1814)</f>
        <v>252698.80588183849</v>
      </c>
      <c r="W1814" s="346"/>
      <c r="X1814" s="319">
        <f t="shared" si="981"/>
        <v>304988.19411816151</v>
      </c>
      <c r="Y1814" s="346"/>
      <c r="Z1814" s="294">
        <f>ROUND($E1814*R1814/100,0)</f>
        <v>557687</v>
      </c>
    </row>
    <row r="1815" spans="1:32">
      <c r="B1815" s="317" t="s">
        <v>1295</v>
      </c>
      <c r="D1815" s="357">
        <f t="shared" si="976"/>
        <v>45517</v>
      </c>
      <c r="E1815" s="357">
        <f t="shared" si="976"/>
        <v>0</v>
      </c>
      <c r="I1815" s="358">
        <f>I1826+I1837+I1848</f>
        <v>3753</v>
      </c>
      <c r="J1815" s="358">
        <f t="shared" ref="J1815" si="983">J1826+J1837+J1848</f>
        <v>0</v>
      </c>
      <c r="Z1815" s="358"/>
    </row>
    <row r="1816" spans="1:32">
      <c r="B1816" s="317" t="s">
        <v>1079</v>
      </c>
      <c r="G1816" s="338">
        <v>-2.8000000000000001E-2</v>
      </c>
      <c r="H1816" s="339"/>
      <c r="I1816" s="294">
        <f>SUM(I1814)*$G1816</f>
        <v>-23290.064000000002</v>
      </c>
      <c r="J1816" s="294">
        <f>SUM(J1814)*$G1816</f>
        <v>-23884.644</v>
      </c>
      <c r="L1816" s="338">
        <v>-2.8000000000000001E-2</v>
      </c>
      <c r="M1816" s="339"/>
      <c r="N1816" s="338">
        <v>-2.8000000000000001E-2</v>
      </c>
      <c r="O1816" s="339"/>
      <c r="P1816" s="359" t="str">
        <f>$P$43</f>
        <v>Tax Year 1</v>
      </c>
      <c r="Q1816" s="339"/>
      <c r="R1816" s="338">
        <f>$AD$1827</f>
        <v>-2.4899999999999999E-2</v>
      </c>
      <c r="S1816" s="339"/>
      <c r="Z1816" s="294">
        <f>R1816*Z1814</f>
        <v>-13886.406299999999</v>
      </c>
      <c r="AB1816" s="360" t="s">
        <v>1081</v>
      </c>
      <c r="AC1816" s="360"/>
      <c r="AD1816" s="360"/>
      <c r="AE1816" s="360"/>
    </row>
    <row r="1817" spans="1:32">
      <c r="B1817" s="317"/>
      <c r="G1817" s="338"/>
      <c r="H1817" s="339"/>
      <c r="L1817" s="338"/>
      <c r="M1817" s="339"/>
      <c r="N1817" s="338"/>
      <c r="O1817" s="339"/>
      <c r="P1817" s="359" t="str">
        <f>$P$44</f>
        <v>Tax Year 2</v>
      </c>
      <c r="Q1817" s="339"/>
      <c r="R1817" s="338">
        <f>$AD$1828</f>
        <v>-1.2500000000000001E-2</v>
      </c>
      <c r="S1817" s="339"/>
      <c r="Z1817" s="294">
        <f>R1817*Z1814</f>
        <v>-6971.0875000000005</v>
      </c>
      <c r="AB1817" s="361" t="s">
        <v>42</v>
      </c>
      <c r="AC1817" s="361" t="s">
        <v>43</v>
      </c>
      <c r="AD1817" s="361" t="s">
        <v>44</v>
      </c>
      <c r="AE1817" s="361" t="s">
        <v>45</v>
      </c>
    </row>
    <row r="1818" spans="1:32" ht="16.5" thickBot="1">
      <c r="A1818" s="292">
        <v>1</v>
      </c>
      <c r="B1818" s="292" t="s">
        <v>45</v>
      </c>
      <c r="D1818" s="381">
        <f>D1814+D1815</f>
        <v>15611284</v>
      </c>
      <c r="E1818" s="381">
        <f>E1814+E1815</f>
        <v>15963151.062719233</v>
      </c>
      <c r="G1818" s="368"/>
      <c r="I1818" s="369">
        <f>SUM(I1810:I1816)</f>
        <v>1133190.936</v>
      </c>
      <c r="J1818" s="369">
        <f>SUM(J1810:J1816)</f>
        <v>1155315.3559999999</v>
      </c>
      <c r="L1818" s="368"/>
      <c r="N1818" s="368"/>
      <c r="P1818" s="368"/>
      <c r="R1818" s="368"/>
      <c r="T1818" s="364">
        <f>$Z1818*AB1818/$AE1818</f>
        <v>114537.08365780802</v>
      </c>
      <c r="U1818" s="364"/>
      <c r="V1818" s="364">
        <f>$Z1818*AC1818/$AE1818</f>
        <v>371348.72222403047</v>
      </c>
      <c r="W1818" s="364"/>
      <c r="X1818" s="364">
        <f>Z1818-T1818-V1818</f>
        <v>304988.19411816151</v>
      </c>
      <c r="Z1818" s="369">
        <f>SUM(Z1810:Z1815)</f>
        <v>790874</v>
      </c>
      <c r="AB1818" s="366">
        <f>'[7]Unit Cost Target'!$K$87+'[7]Unit Cost Target'!$K$123+'[7]Unit Cost Target'!$K$129</f>
        <v>114537.20656589125</v>
      </c>
      <c r="AC1818" s="366">
        <f>'[7]Unit Cost Target'!$K$45+'[7]Unit Cost Target'!$K$51+'[7]Unit Cost Target'!$K$75+'[7]Unit Cost Target'!$K$81</f>
        <v>371349.12071295822</v>
      </c>
      <c r="AD1818" s="366">
        <f>'[7]Unit Cost Target'!$K$33+'[7]Unit Cost Target'!$K$39+'[7]Unit Cost Target'!$K$63+'[7]Unit Cost Target'!$K$69</f>
        <v>304988.52139656909</v>
      </c>
      <c r="AE1818" s="366">
        <f>SUM(AB1818:AD1818)</f>
        <v>790874.84867541853</v>
      </c>
      <c r="AF1818" s="366">
        <f>AE1818-'[7]Unit Cost Target'!$K$21</f>
        <v>0</v>
      </c>
    </row>
    <row r="1819" spans="1:32" ht="16.5" thickTop="1">
      <c r="A1819" s="292">
        <v>1</v>
      </c>
      <c r="B1819" s="317"/>
      <c r="D1819" s="392"/>
      <c r="E1819" s="392"/>
      <c r="AB1819" s="366">
        <f>T1818-SUM(T1810:T1817)</f>
        <v>0</v>
      </c>
      <c r="AC1819" s="366">
        <f>V1818-SUM(V1810:V1817)</f>
        <v>0</v>
      </c>
      <c r="AD1819" s="366">
        <f>X1818-SUM(X1810:X1817)</f>
        <v>0</v>
      </c>
      <c r="AE1819" s="366">
        <f>SUM(AB1819:AD1819)</f>
        <v>0</v>
      </c>
      <c r="AF1819" s="366"/>
    </row>
    <row r="1820" spans="1:32">
      <c r="B1820" s="419" t="s">
        <v>1006</v>
      </c>
    </row>
    <row r="1821" spans="1:32">
      <c r="B1821" s="317" t="s">
        <v>1290</v>
      </c>
      <c r="D1821" s="293">
        <f>'[7]15M'!J2</f>
        <v>19597.669688767299</v>
      </c>
      <c r="E1821" s="293">
        <f>ROUND(D1821/D1829*E1829,0)</f>
        <v>19971</v>
      </c>
      <c r="G1821" s="318">
        <v>11</v>
      </c>
      <c r="H1821" s="318"/>
      <c r="I1821" s="294">
        <f t="shared" ref="I1821:J1824" si="984">ROUND(D1821*$G1821,0)</f>
        <v>215574</v>
      </c>
      <c r="J1821" s="294">
        <f t="shared" si="984"/>
        <v>219681</v>
      </c>
      <c r="L1821" s="318">
        <f>L1810</f>
        <v>5.42</v>
      </c>
      <c r="M1821" s="318"/>
      <c r="N1821" s="318">
        <f>N1810</f>
        <v>2.58</v>
      </c>
      <c r="O1821" s="318"/>
      <c r="P1821" s="318">
        <f>P1810</f>
        <v>0</v>
      </c>
      <c r="Q1821" s="318"/>
      <c r="R1821" s="318">
        <f>R1810</f>
        <v>8</v>
      </c>
      <c r="S1821" s="318"/>
      <c r="T1821" s="294">
        <f t="shared" ref="T1821:T1824" si="985">ROUND($E1821*L1821,0)</f>
        <v>108243</v>
      </c>
      <c r="V1821" s="294">
        <f t="shared" ref="V1821:V1824" si="986">ROUND($E1821*N1821,0)</f>
        <v>51525</v>
      </c>
      <c r="X1821" s="294">
        <f t="shared" ref="X1821:X1824" si="987">ROUND($E1821*P1821,0)</f>
        <v>0</v>
      </c>
      <c r="Y1821" s="319"/>
      <c r="Z1821" s="294">
        <f>ROUND($E1821*R1821,0)</f>
        <v>159768</v>
      </c>
      <c r="AB1821" s="320" t="s">
        <v>1042</v>
      </c>
      <c r="AC1821" s="321">
        <f>Z1818</f>
        <v>790874</v>
      </c>
    </row>
    <row r="1822" spans="1:32">
      <c r="B1822" s="317" t="s">
        <v>1291</v>
      </c>
      <c r="D1822" s="293">
        <f>'[7]15M'!G2</f>
        <v>537.54239204909402</v>
      </c>
      <c r="E1822" s="293">
        <f>ROUND(D1822/D1824*E1824,0)</f>
        <v>538</v>
      </c>
      <c r="G1822" s="318">
        <v>72.5</v>
      </c>
      <c r="H1822" s="318"/>
      <c r="I1822" s="294">
        <f t="shared" si="984"/>
        <v>38972</v>
      </c>
      <c r="J1822" s="294">
        <f t="shared" si="984"/>
        <v>39005</v>
      </c>
      <c r="L1822" s="318">
        <f t="shared" ref="L1822:L1825" si="988">L1811</f>
        <v>0</v>
      </c>
      <c r="M1822" s="318"/>
      <c r="N1822" s="318">
        <f t="shared" ref="N1822:N1825" si="989">N1811</f>
        <v>49.63</v>
      </c>
      <c r="O1822" s="318"/>
      <c r="P1822" s="318">
        <f t="shared" ref="P1822:P1825" si="990">P1811</f>
        <v>0</v>
      </c>
      <c r="Q1822" s="318"/>
      <c r="R1822" s="318">
        <f>R1811</f>
        <v>49.63</v>
      </c>
      <c r="S1822" s="318"/>
      <c r="T1822" s="294">
        <f t="shared" si="985"/>
        <v>0</v>
      </c>
      <c r="V1822" s="294">
        <f t="shared" si="986"/>
        <v>26701</v>
      </c>
      <c r="X1822" s="294">
        <f t="shared" si="987"/>
        <v>0</v>
      </c>
      <c r="Y1822" s="319"/>
      <c r="Z1822" s="294">
        <f t="shared" ref="Z1822:Z1824" si="991">ROUND($E1822*R1822,0)</f>
        <v>26701</v>
      </c>
      <c r="AB1822" s="322" t="s">
        <v>1044</v>
      </c>
      <c r="AC1822" s="421">
        <f>[7]RateSpread!M59*1000</f>
        <v>790874.3559999998</v>
      </c>
    </row>
    <row r="1823" spans="1:32">
      <c r="B1823" s="317" t="s">
        <v>1292</v>
      </c>
      <c r="D1823" s="293">
        <f>'[7]15M'!H2</f>
        <v>0</v>
      </c>
      <c r="E1823" s="293">
        <f>ROUND(D1823/D1824*E1824,0)</f>
        <v>0</v>
      </c>
      <c r="G1823" s="318">
        <v>127.5</v>
      </c>
      <c r="H1823" s="318"/>
      <c r="I1823" s="294">
        <f t="shared" si="984"/>
        <v>0</v>
      </c>
      <c r="J1823" s="294">
        <f t="shared" si="984"/>
        <v>0</v>
      </c>
      <c r="L1823" s="318">
        <f t="shared" si="988"/>
        <v>0</v>
      </c>
      <c r="M1823" s="318"/>
      <c r="N1823" s="318">
        <f t="shared" si="989"/>
        <v>87.28</v>
      </c>
      <c r="O1823" s="318"/>
      <c r="P1823" s="318">
        <f t="shared" si="990"/>
        <v>0</v>
      </c>
      <c r="Q1823" s="318"/>
      <c r="R1823" s="318">
        <f>R1812</f>
        <v>87.28</v>
      </c>
      <c r="S1823" s="318"/>
      <c r="T1823" s="294">
        <f t="shared" si="985"/>
        <v>0</v>
      </c>
      <c r="V1823" s="294">
        <f t="shared" si="986"/>
        <v>0</v>
      </c>
      <c r="X1823" s="294">
        <f t="shared" si="987"/>
        <v>0</v>
      </c>
      <c r="Y1823" s="319"/>
      <c r="Z1823" s="294">
        <f t="shared" si="991"/>
        <v>0</v>
      </c>
      <c r="AB1823" s="327" t="s">
        <v>789</v>
      </c>
      <c r="AC1823" s="328">
        <f>AC1822-AC1821</f>
        <v>0.35599999979604036</v>
      </c>
    </row>
    <row r="1824" spans="1:32">
      <c r="B1824" s="317" t="s">
        <v>1293</v>
      </c>
      <c r="D1824" s="293">
        <f>'[7]15M'!I2</f>
        <v>6440.3306451612898</v>
      </c>
      <c r="E1824" s="293">
        <f>[7]Bill!P39</f>
        <v>6444</v>
      </c>
      <c r="G1824" s="318">
        <v>6.2</v>
      </c>
      <c r="H1824" s="318"/>
      <c r="I1824" s="294">
        <f t="shared" si="984"/>
        <v>39930</v>
      </c>
      <c r="J1824" s="294">
        <f t="shared" si="984"/>
        <v>39953</v>
      </c>
      <c r="L1824" s="318">
        <f t="shared" si="988"/>
        <v>0</v>
      </c>
      <c r="M1824" s="318"/>
      <c r="N1824" s="318">
        <f t="shared" si="989"/>
        <v>4.24</v>
      </c>
      <c r="O1824" s="318"/>
      <c r="P1824" s="318">
        <f t="shared" si="990"/>
        <v>0</v>
      </c>
      <c r="Q1824" s="318"/>
      <c r="R1824" s="318">
        <f>R1813</f>
        <v>4.24</v>
      </c>
      <c r="S1824" s="318"/>
      <c r="T1824" s="294">
        <f t="shared" si="985"/>
        <v>0</v>
      </c>
      <c r="V1824" s="294">
        <f t="shared" si="986"/>
        <v>27323</v>
      </c>
      <c r="X1824" s="294">
        <f t="shared" si="987"/>
        <v>0</v>
      </c>
      <c r="Y1824" s="319"/>
      <c r="Z1824" s="294">
        <f t="shared" si="991"/>
        <v>27323</v>
      </c>
      <c r="AB1824" s="320" t="s">
        <v>939</v>
      </c>
      <c r="AC1824" s="389">
        <f>AC1821/(J1818)-1</f>
        <v>-0.31544751318963682</v>
      </c>
    </row>
    <row r="1825" spans="2:30">
      <c r="B1825" s="317" t="s">
        <v>1294</v>
      </c>
      <c r="D1825" s="293">
        <f>'[7]15M'!K2</f>
        <v>14684579</v>
      </c>
      <c r="E1825" s="293">
        <f>E1829-E1826</f>
        <v>15043463.667792927</v>
      </c>
      <c r="G1825" s="405">
        <v>5.3437000000000001</v>
      </c>
      <c r="H1825" s="343" t="s">
        <v>1062</v>
      </c>
      <c r="I1825" s="294">
        <f>ROUND(D1825*$G1825/100,0)</f>
        <v>784700</v>
      </c>
      <c r="J1825" s="294">
        <f>ROUND(E1825*$G1825/100,0)</f>
        <v>803878</v>
      </c>
      <c r="L1825" s="405">
        <f t="shared" si="988"/>
        <v>0</v>
      </c>
      <c r="M1825" s="343" t="s">
        <v>1062</v>
      </c>
      <c r="N1825" s="405">
        <f t="shared" si="989"/>
        <v>1.583</v>
      </c>
      <c r="O1825" s="343" t="s">
        <v>1062</v>
      </c>
      <c r="P1825" s="407">
        <f t="shared" si="990"/>
        <v>1.9105919218509999</v>
      </c>
      <c r="Q1825" s="422" t="s">
        <v>1062</v>
      </c>
      <c r="R1825" s="407">
        <f>R1814</f>
        <v>3.4935919218509999</v>
      </c>
      <c r="S1825" s="343" t="s">
        <v>1062</v>
      </c>
      <c r="T1825" s="294">
        <f>ROUND($E1825*L1825/100,0)</f>
        <v>0</v>
      </c>
      <c r="U1825" s="346"/>
      <c r="V1825" s="294">
        <f>ROUND($E1825*N1825/100,0)</f>
        <v>238138</v>
      </c>
      <c r="W1825" s="346"/>
      <c r="X1825" s="294">
        <f>ROUND($E1825*P1825/100,0)</f>
        <v>287419</v>
      </c>
      <c r="Y1825" s="346"/>
      <c r="Z1825" s="294">
        <f>ROUND($E1825*R1825/100,0)</f>
        <v>525557</v>
      </c>
      <c r="AB1825" s="335" t="s">
        <v>1048</v>
      </c>
      <c r="AC1825" s="385">
        <f>AC1822/(J1818)-1</f>
        <v>-0.31544720504866219</v>
      </c>
    </row>
    <row r="1826" spans="2:30">
      <c r="B1826" s="317" t="s">
        <v>1295</v>
      </c>
      <c r="D1826" s="357">
        <f>'[7]Table 2'!J58</f>
        <v>77906</v>
      </c>
      <c r="E1826" s="357">
        <v>0</v>
      </c>
      <c r="I1826" s="358">
        <f>'[7]Table 3'!F58</f>
        <v>6244</v>
      </c>
      <c r="J1826" s="358">
        <v>0</v>
      </c>
      <c r="Z1826" s="358"/>
      <c r="AB1826" s="315"/>
      <c r="AC1826" s="386"/>
    </row>
    <row r="1827" spans="2:30">
      <c r="B1827" s="317" t="s">
        <v>1079</v>
      </c>
      <c r="G1827" s="338">
        <v>-2.8000000000000001E-2</v>
      </c>
      <c r="H1827" s="339"/>
      <c r="I1827" s="294">
        <f>SUM(I1825)*$G1827</f>
        <v>-21971.600000000002</v>
      </c>
      <c r="J1827" s="294">
        <f>SUM(J1825)*$G1827</f>
        <v>-22508.583999999999</v>
      </c>
      <c r="L1827" s="338"/>
      <c r="M1827" s="339"/>
      <c r="N1827" s="338"/>
      <c r="O1827" s="339"/>
      <c r="P1827" s="359" t="str">
        <f>$P$43</f>
        <v>Tax Year 1</v>
      </c>
      <c r="Q1827" s="339"/>
      <c r="R1827" s="338">
        <f>$AD$1827</f>
        <v>-2.4899999999999999E-2</v>
      </c>
      <c r="S1827" s="339"/>
      <c r="Z1827" s="294">
        <f>R1827*Z1825</f>
        <v>-13086.369299999998</v>
      </c>
      <c r="AB1827" s="305" t="s">
        <v>1011</v>
      </c>
      <c r="AC1827" s="337">
        <f>[7]RateSpread!V59*1000</f>
        <v>-13888.868830442107</v>
      </c>
      <c r="AD1827" s="338">
        <f>ROUND(AC1827/Z1814,4)</f>
        <v>-2.4899999999999999E-2</v>
      </c>
    </row>
    <row r="1828" spans="2:30">
      <c r="B1828" s="317"/>
      <c r="G1828" s="338"/>
      <c r="H1828" s="339"/>
      <c r="L1828" s="338"/>
      <c r="M1828" s="339"/>
      <c r="N1828" s="338"/>
      <c r="O1828" s="339"/>
      <c r="P1828" s="359" t="str">
        <f>$P$44</f>
        <v>Tax Year 2</v>
      </c>
      <c r="Q1828" s="339"/>
      <c r="R1828" s="338">
        <f>$AD$1828</f>
        <v>-1.2500000000000001E-2</v>
      </c>
      <c r="S1828" s="339"/>
      <c r="Z1828" s="294">
        <f>R1828*Z1825</f>
        <v>-6569.4625000000005</v>
      </c>
      <c r="AB1828" s="305" t="s">
        <v>1057</v>
      </c>
      <c r="AC1828" s="337">
        <f>[7]RateSpread!W59*1000</f>
        <v>-6944.4344235499775</v>
      </c>
      <c r="AD1828" s="338">
        <f>ROUND(AC1828/Z1814,4)</f>
        <v>-1.2500000000000001E-2</v>
      </c>
    </row>
    <row r="1829" spans="2:30" ht="16.5" thickBot="1">
      <c r="B1829" s="292" t="s">
        <v>45</v>
      </c>
      <c r="D1829" s="381">
        <f>D1825+D1826</f>
        <v>14762485</v>
      </c>
      <c r="E1829" s="381">
        <f>[7]Energy!P39</f>
        <v>15043463.667792927</v>
      </c>
      <c r="G1829" s="368"/>
      <c r="I1829" s="369">
        <f>SUM(I1821:I1827)</f>
        <v>1063448.3999999999</v>
      </c>
      <c r="J1829" s="369">
        <f>SUM(J1821:J1827)</f>
        <v>1080008.416</v>
      </c>
      <c r="L1829" s="368"/>
      <c r="N1829" s="368"/>
      <c r="P1829" s="368"/>
      <c r="R1829" s="368"/>
      <c r="T1829" s="369">
        <f>SUM(T1821:T1826)</f>
        <v>108243</v>
      </c>
      <c r="V1829" s="369">
        <f>SUM(V1821:V1826)</f>
        <v>343687</v>
      </c>
      <c r="X1829" s="369">
        <f>SUM(X1821:X1826)</f>
        <v>287419</v>
      </c>
      <c r="Z1829" s="369">
        <f>SUM(Z1821:Z1826)</f>
        <v>739349</v>
      </c>
      <c r="AB1829" s="305" t="s">
        <v>939</v>
      </c>
      <c r="AC1829" s="304">
        <f>Z1818/J1818-1</f>
        <v>-0.31544751318963682</v>
      </c>
    </row>
    <row r="1830" spans="2:30" ht="16.5" thickTop="1">
      <c r="B1830" s="317"/>
      <c r="D1830" s="392"/>
      <c r="E1830" s="392"/>
    </row>
    <row r="1831" spans="2:30">
      <c r="B1831" s="419" t="s">
        <v>1007</v>
      </c>
    </row>
    <row r="1832" spans="2:30">
      <c r="B1832" s="317" t="s">
        <v>1290</v>
      </c>
      <c r="D1832" s="293">
        <f>'[7]15M'!J3</f>
        <v>70</v>
      </c>
      <c r="E1832" s="293">
        <f>ROUND(D1832/D1840*E1840,0)</f>
        <v>75</v>
      </c>
      <c r="G1832" s="318">
        <v>11</v>
      </c>
      <c r="H1832" s="318"/>
      <c r="I1832" s="294">
        <f t="shared" ref="I1832:J1835" si="992">ROUND(D1832*$G1832,0)</f>
        <v>770</v>
      </c>
      <c r="J1832" s="294">
        <f t="shared" si="992"/>
        <v>825</v>
      </c>
      <c r="L1832" s="318">
        <f>L1810</f>
        <v>5.42</v>
      </c>
      <c r="M1832" s="318"/>
      <c r="N1832" s="318">
        <f>N1810</f>
        <v>2.58</v>
      </c>
      <c r="O1832" s="318"/>
      <c r="P1832" s="318">
        <f>P1810</f>
        <v>0</v>
      </c>
      <c r="Q1832" s="318"/>
      <c r="R1832" s="318">
        <f>R1810</f>
        <v>8</v>
      </c>
      <c r="S1832" s="318"/>
      <c r="T1832" s="294">
        <f t="shared" ref="T1832:T1835" si="993">ROUND($E1832*L1832,0)</f>
        <v>407</v>
      </c>
      <c r="V1832" s="294">
        <f t="shared" ref="V1832:V1835" si="994">ROUND($E1832*N1832,0)</f>
        <v>194</v>
      </c>
      <c r="X1832" s="294">
        <f t="shared" ref="X1832:X1835" si="995">ROUND($E1832*P1832,0)</f>
        <v>0</v>
      </c>
      <c r="Y1832" s="319"/>
      <c r="Z1832" s="294">
        <f>ROUND($E1832*R1832,0)</f>
        <v>600</v>
      </c>
    </row>
    <row r="1833" spans="2:30">
      <c r="B1833" s="317" t="s">
        <v>1291</v>
      </c>
      <c r="D1833" s="293">
        <f>'[7]15M'!G3</f>
        <v>6</v>
      </c>
      <c r="E1833" s="293">
        <f>ROUND(D1833/D1835*E1835,0)</f>
        <v>6</v>
      </c>
      <c r="G1833" s="318">
        <v>72.5</v>
      </c>
      <c r="H1833" s="318"/>
      <c r="I1833" s="294">
        <f t="shared" si="992"/>
        <v>435</v>
      </c>
      <c r="J1833" s="294">
        <f t="shared" si="992"/>
        <v>435</v>
      </c>
      <c r="L1833" s="318">
        <f>L1811</f>
        <v>0</v>
      </c>
      <c r="M1833" s="318"/>
      <c r="N1833" s="318">
        <f t="shared" ref="N1833:N1836" si="996">N1811</f>
        <v>49.63</v>
      </c>
      <c r="O1833" s="318"/>
      <c r="P1833" s="318">
        <f t="shared" ref="P1833:P1836" si="997">P1811</f>
        <v>0</v>
      </c>
      <c r="Q1833" s="318"/>
      <c r="R1833" s="318">
        <f>R1811</f>
        <v>49.63</v>
      </c>
      <c r="S1833" s="318"/>
      <c r="T1833" s="294">
        <f t="shared" si="993"/>
        <v>0</v>
      </c>
      <c r="V1833" s="294">
        <f t="shared" si="994"/>
        <v>298</v>
      </c>
      <c r="X1833" s="294">
        <f t="shared" si="995"/>
        <v>0</v>
      </c>
      <c r="Y1833" s="319"/>
      <c r="Z1833" s="294">
        <f t="shared" ref="Z1833:Z1835" si="998">ROUND($E1833*R1833,0)</f>
        <v>298</v>
      </c>
    </row>
    <row r="1834" spans="2:30">
      <c r="B1834" s="317" t="s">
        <v>1292</v>
      </c>
      <c r="D1834" s="293">
        <f>'[7]15M'!H3</f>
        <v>0</v>
      </c>
      <c r="E1834" s="293">
        <f>ROUND(D1834/D1835*E1835,0)</f>
        <v>0</v>
      </c>
      <c r="G1834" s="318">
        <v>127.5</v>
      </c>
      <c r="H1834" s="318"/>
      <c r="I1834" s="294">
        <f t="shared" si="992"/>
        <v>0</v>
      </c>
      <c r="J1834" s="294">
        <f t="shared" si="992"/>
        <v>0</v>
      </c>
      <c r="L1834" s="318">
        <f>L1812</f>
        <v>0</v>
      </c>
      <c r="M1834" s="318"/>
      <c r="N1834" s="318">
        <f t="shared" si="996"/>
        <v>87.28</v>
      </c>
      <c r="O1834" s="318"/>
      <c r="P1834" s="318">
        <f t="shared" si="997"/>
        <v>0</v>
      </c>
      <c r="Q1834" s="318"/>
      <c r="R1834" s="318">
        <f>R1812</f>
        <v>87.28</v>
      </c>
      <c r="S1834" s="318"/>
      <c r="T1834" s="294">
        <f t="shared" si="993"/>
        <v>0</v>
      </c>
      <c r="V1834" s="294">
        <f t="shared" si="994"/>
        <v>0</v>
      </c>
      <c r="X1834" s="294">
        <f t="shared" si="995"/>
        <v>0</v>
      </c>
      <c r="Y1834" s="319"/>
      <c r="Z1834" s="294">
        <f t="shared" si="998"/>
        <v>0</v>
      </c>
    </row>
    <row r="1835" spans="2:30">
      <c r="B1835" s="317" t="s">
        <v>1293</v>
      </c>
      <c r="D1835" s="293">
        <f>'[7]15M'!I3</f>
        <v>72</v>
      </c>
      <c r="E1835" s="293">
        <f>[7]Bill!P63</f>
        <v>72</v>
      </c>
      <c r="G1835" s="318">
        <v>6.2</v>
      </c>
      <c r="H1835" s="318"/>
      <c r="I1835" s="294">
        <f t="shared" si="992"/>
        <v>446</v>
      </c>
      <c r="J1835" s="294">
        <f t="shared" si="992"/>
        <v>446</v>
      </c>
      <c r="L1835" s="318">
        <f>L1813</f>
        <v>0</v>
      </c>
      <c r="M1835" s="318"/>
      <c r="N1835" s="318">
        <f t="shared" si="996"/>
        <v>4.24</v>
      </c>
      <c r="O1835" s="318"/>
      <c r="P1835" s="318">
        <f t="shared" si="997"/>
        <v>0</v>
      </c>
      <c r="Q1835" s="318"/>
      <c r="R1835" s="318">
        <f>R1813</f>
        <v>4.24</v>
      </c>
      <c r="S1835" s="318"/>
      <c r="T1835" s="294">
        <f t="shared" si="993"/>
        <v>0</v>
      </c>
      <c r="V1835" s="294">
        <f t="shared" si="994"/>
        <v>305</v>
      </c>
      <c r="X1835" s="294">
        <f t="shared" si="995"/>
        <v>0</v>
      </c>
      <c r="Y1835" s="319"/>
      <c r="Z1835" s="294">
        <f t="shared" si="998"/>
        <v>305</v>
      </c>
    </row>
    <row r="1836" spans="2:30">
      <c r="B1836" s="317" t="s">
        <v>1294</v>
      </c>
      <c r="D1836" s="293">
        <f>'[7]15M'!K3</f>
        <v>12527</v>
      </c>
      <c r="E1836" s="293">
        <f>E1840-E1837</f>
        <v>13122</v>
      </c>
      <c r="G1836" s="405">
        <v>5.3437000000000001</v>
      </c>
      <c r="H1836" s="343" t="s">
        <v>1062</v>
      </c>
      <c r="I1836" s="294">
        <f>ROUND(D1836*$G1836/100,0)</f>
        <v>669</v>
      </c>
      <c r="J1836" s="294">
        <f>ROUND(E1836*$G1836/100,0)</f>
        <v>701</v>
      </c>
      <c r="L1836" s="405">
        <f>L1814</f>
        <v>0</v>
      </c>
      <c r="M1836" s="343" t="s">
        <v>1062</v>
      </c>
      <c r="N1836" s="405">
        <f t="shared" si="996"/>
        <v>1.583</v>
      </c>
      <c r="O1836" s="343" t="s">
        <v>1062</v>
      </c>
      <c r="P1836" s="407">
        <f t="shared" si="997"/>
        <v>1.9105919218509999</v>
      </c>
      <c r="Q1836" s="422" t="s">
        <v>1062</v>
      </c>
      <c r="R1836" s="407">
        <f>R1814</f>
        <v>3.4935919218509999</v>
      </c>
      <c r="S1836" s="343" t="s">
        <v>1062</v>
      </c>
      <c r="T1836" s="294">
        <f>ROUND($E1836*L1836/100,0)</f>
        <v>0</v>
      </c>
      <c r="U1836" s="346"/>
      <c r="V1836" s="294">
        <f>ROUND($E1836*N1836/100,0)</f>
        <v>208</v>
      </c>
      <c r="W1836" s="346"/>
      <c r="X1836" s="294">
        <f>ROUND($E1836*P1836/100,0)</f>
        <v>251</v>
      </c>
      <c r="Y1836" s="346"/>
      <c r="Z1836" s="294">
        <f>ROUND($E1836*R1836/100,0)</f>
        <v>458</v>
      </c>
    </row>
    <row r="1837" spans="2:30">
      <c r="B1837" s="317" t="s">
        <v>1295</v>
      </c>
      <c r="D1837" s="357">
        <f>'[7]Table 2'!J93</f>
        <v>-203</v>
      </c>
      <c r="E1837" s="357">
        <v>0</v>
      </c>
      <c r="I1837" s="358">
        <f>'[7]Table 3'!F93</f>
        <v>-35</v>
      </c>
      <c r="J1837" s="358">
        <v>0</v>
      </c>
      <c r="Z1837" s="358"/>
    </row>
    <row r="1838" spans="2:30">
      <c r="B1838" s="317" t="s">
        <v>1079</v>
      </c>
      <c r="G1838" s="338">
        <v>-2.8000000000000001E-2</v>
      </c>
      <c r="H1838" s="339"/>
      <c r="I1838" s="294">
        <f>SUM(I1836)*$G1838</f>
        <v>-18.731999999999999</v>
      </c>
      <c r="J1838" s="294">
        <f>SUM(J1836)*$G1838</f>
        <v>-19.628</v>
      </c>
      <c r="L1838" s="338"/>
      <c r="M1838" s="339"/>
      <c r="N1838" s="338"/>
      <c r="O1838" s="339"/>
      <c r="P1838" s="359" t="str">
        <f>$P$43</f>
        <v>Tax Year 1</v>
      </c>
      <c r="Q1838" s="339"/>
      <c r="R1838" s="338">
        <f>$AD$1827</f>
        <v>-2.4899999999999999E-2</v>
      </c>
      <c r="S1838" s="339"/>
      <c r="Z1838" s="294">
        <f>R1838*Z1836</f>
        <v>-11.404199999999999</v>
      </c>
    </row>
    <row r="1839" spans="2:30">
      <c r="B1839" s="317"/>
      <c r="G1839" s="338"/>
      <c r="H1839" s="339"/>
      <c r="L1839" s="338"/>
      <c r="M1839" s="339"/>
      <c r="N1839" s="338"/>
      <c r="O1839" s="339"/>
      <c r="P1839" s="359" t="str">
        <f>$P$44</f>
        <v>Tax Year 2</v>
      </c>
      <c r="Q1839" s="339"/>
      <c r="R1839" s="338">
        <f>$AD$1828</f>
        <v>-1.2500000000000001E-2</v>
      </c>
      <c r="S1839" s="339"/>
      <c r="Z1839" s="294">
        <f>R1839*Z1836</f>
        <v>-5.7250000000000005</v>
      </c>
    </row>
    <row r="1840" spans="2:30" ht="16.5" thickBot="1">
      <c r="B1840" s="292" t="s">
        <v>45</v>
      </c>
      <c r="D1840" s="381">
        <f>D1836+D1837</f>
        <v>12324</v>
      </c>
      <c r="E1840" s="381">
        <f>[7]Energy!P63</f>
        <v>13122</v>
      </c>
      <c r="G1840" s="368"/>
      <c r="I1840" s="369">
        <f>SUM(I1832:I1838)</f>
        <v>2266.268</v>
      </c>
      <c r="J1840" s="369">
        <f>SUM(J1832:J1838)</f>
        <v>2387.3719999999998</v>
      </c>
      <c r="L1840" s="368"/>
      <c r="N1840" s="368"/>
      <c r="P1840" s="368"/>
      <c r="R1840" s="368"/>
      <c r="T1840" s="369">
        <f>SUM(T1832:T1837)</f>
        <v>407</v>
      </c>
      <c r="V1840" s="369">
        <f>SUM(V1832:V1837)</f>
        <v>1005</v>
      </c>
      <c r="X1840" s="369">
        <f>SUM(X1832:X1837)</f>
        <v>251</v>
      </c>
      <c r="Z1840" s="369">
        <f>SUM(Z1832:Z1837)</f>
        <v>1661</v>
      </c>
      <c r="AB1840" s="305" t="s">
        <v>939</v>
      </c>
      <c r="AC1840" s="304">
        <f>Z1840/J1840-1</f>
        <v>-0.3042558930908128</v>
      </c>
    </row>
    <row r="1841" spans="1:29" ht="16.5" thickTop="1">
      <c r="B1841" s="317"/>
      <c r="D1841" s="392"/>
      <c r="E1841" s="392"/>
    </row>
    <row r="1842" spans="1:29">
      <c r="B1842" s="419" t="s">
        <v>1008</v>
      </c>
    </row>
    <row r="1843" spans="1:29">
      <c r="B1843" s="317" t="s">
        <v>1290</v>
      </c>
      <c r="D1843" s="293">
        <f>'[7]15M'!J4</f>
        <v>1008.45176470588</v>
      </c>
      <c r="E1843" s="293">
        <f>ROUND(D1843/D1851*E1851,0)</f>
        <v>1093</v>
      </c>
      <c r="G1843" s="318">
        <v>11</v>
      </c>
      <c r="H1843" s="318"/>
      <c r="I1843" s="294">
        <f t="shared" ref="I1843:J1846" si="999">ROUND(D1843*$G1843,0)</f>
        <v>11093</v>
      </c>
      <c r="J1843" s="294">
        <f t="shared" si="999"/>
        <v>12023</v>
      </c>
      <c r="L1843" s="318">
        <f>L1810</f>
        <v>5.42</v>
      </c>
      <c r="M1843" s="318"/>
      <c r="N1843" s="318">
        <f>N1810</f>
        <v>2.58</v>
      </c>
      <c r="O1843" s="318"/>
      <c r="P1843" s="318">
        <f>P1810</f>
        <v>0</v>
      </c>
      <c r="Q1843" s="318"/>
      <c r="R1843" s="318">
        <f>R1810</f>
        <v>8</v>
      </c>
      <c r="S1843" s="318"/>
      <c r="T1843" s="294">
        <f t="shared" ref="T1843:T1846" si="1000">ROUND($E1843*L1843,0)</f>
        <v>5924</v>
      </c>
      <c r="V1843" s="294">
        <f t="shared" ref="V1843:V1846" si="1001">ROUND($E1843*N1843,0)</f>
        <v>2820</v>
      </c>
      <c r="X1843" s="294">
        <f t="shared" ref="X1843:X1846" si="1002">ROUND($E1843*P1843,0)</f>
        <v>0</v>
      </c>
      <c r="Y1843" s="319"/>
      <c r="Z1843" s="294">
        <f>ROUND($E1843*R1843,0)</f>
        <v>8744</v>
      </c>
    </row>
    <row r="1844" spans="1:29">
      <c r="B1844" s="317" t="s">
        <v>1291</v>
      </c>
      <c r="D1844" s="293">
        <f>'[7]15M'!G4</f>
        <v>93.490352941176496</v>
      </c>
      <c r="E1844" s="293">
        <f>ROUND(D1844/D1846*E1846,0)</f>
        <v>94</v>
      </c>
      <c r="G1844" s="318">
        <v>72.5</v>
      </c>
      <c r="H1844" s="318"/>
      <c r="I1844" s="294">
        <f t="shared" si="999"/>
        <v>6778</v>
      </c>
      <c r="J1844" s="294">
        <f t="shared" si="999"/>
        <v>6815</v>
      </c>
      <c r="L1844" s="318">
        <f t="shared" ref="L1844:L1847" si="1003">L1811</f>
        <v>0</v>
      </c>
      <c r="M1844" s="318"/>
      <c r="N1844" s="318">
        <f t="shared" ref="N1844:N1847" si="1004">N1811</f>
        <v>49.63</v>
      </c>
      <c r="O1844" s="318"/>
      <c r="P1844" s="318">
        <f t="shared" ref="P1844:P1847" si="1005">P1811</f>
        <v>0</v>
      </c>
      <c r="Q1844" s="318"/>
      <c r="R1844" s="318">
        <f>R1811</f>
        <v>49.63</v>
      </c>
      <c r="S1844" s="318"/>
      <c r="T1844" s="294">
        <f t="shared" si="1000"/>
        <v>0</v>
      </c>
      <c r="V1844" s="294">
        <f t="shared" si="1001"/>
        <v>4665</v>
      </c>
      <c r="X1844" s="294">
        <f t="shared" si="1002"/>
        <v>0</v>
      </c>
      <c r="Y1844" s="319"/>
      <c r="Z1844" s="294">
        <f t="shared" ref="Z1844:Z1846" si="1006">ROUND($E1844*R1844,0)</f>
        <v>4665</v>
      </c>
    </row>
    <row r="1845" spans="1:29">
      <c r="B1845" s="317" t="s">
        <v>1292</v>
      </c>
      <c r="D1845" s="293">
        <f>'[7]15M'!H4</f>
        <v>0</v>
      </c>
      <c r="E1845" s="293">
        <f>ROUND(D1845/D1846*E1846,0)</f>
        <v>0</v>
      </c>
      <c r="G1845" s="318">
        <v>127.5</v>
      </c>
      <c r="H1845" s="318"/>
      <c r="I1845" s="294">
        <f t="shared" si="999"/>
        <v>0</v>
      </c>
      <c r="J1845" s="294">
        <f t="shared" si="999"/>
        <v>0</v>
      </c>
      <c r="L1845" s="318">
        <f t="shared" si="1003"/>
        <v>0</v>
      </c>
      <c r="M1845" s="318"/>
      <c r="N1845" s="318">
        <f t="shared" si="1004"/>
        <v>87.28</v>
      </c>
      <c r="O1845" s="318"/>
      <c r="P1845" s="318">
        <f t="shared" si="1005"/>
        <v>0</v>
      </c>
      <c r="Q1845" s="318"/>
      <c r="R1845" s="318">
        <f>R1812</f>
        <v>87.28</v>
      </c>
      <c r="S1845" s="318"/>
      <c r="T1845" s="294">
        <f t="shared" si="1000"/>
        <v>0</v>
      </c>
      <c r="V1845" s="294">
        <f t="shared" si="1001"/>
        <v>0</v>
      </c>
      <c r="X1845" s="294">
        <f t="shared" si="1002"/>
        <v>0</v>
      </c>
      <c r="Y1845" s="319"/>
      <c r="Z1845" s="294">
        <f t="shared" si="1006"/>
        <v>0</v>
      </c>
    </row>
    <row r="1846" spans="1:29">
      <c r="B1846" s="317" t="s">
        <v>1293</v>
      </c>
      <c r="D1846" s="293">
        <f>'[7]15M'!I4</f>
        <v>1119.53548387097</v>
      </c>
      <c r="E1846" s="293">
        <f>[7]Bill!P92</f>
        <v>1128</v>
      </c>
      <c r="G1846" s="318">
        <v>6.2</v>
      </c>
      <c r="H1846" s="318"/>
      <c r="I1846" s="294">
        <f t="shared" si="999"/>
        <v>6941</v>
      </c>
      <c r="J1846" s="294">
        <f t="shared" si="999"/>
        <v>6994</v>
      </c>
      <c r="L1846" s="318">
        <f t="shared" si="1003"/>
        <v>0</v>
      </c>
      <c r="M1846" s="318"/>
      <c r="N1846" s="318">
        <f t="shared" si="1004"/>
        <v>4.24</v>
      </c>
      <c r="O1846" s="318"/>
      <c r="P1846" s="318">
        <f t="shared" si="1005"/>
        <v>0</v>
      </c>
      <c r="Q1846" s="318"/>
      <c r="R1846" s="318">
        <f>R1813</f>
        <v>4.24</v>
      </c>
      <c r="S1846" s="318"/>
      <c r="T1846" s="294">
        <f t="shared" si="1000"/>
        <v>0</v>
      </c>
      <c r="V1846" s="294">
        <f t="shared" si="1001"/>
        <v>4783</v>
      </c>
      <c r="X1846" s="294">
        <f t="shared" si="1002"/>
        <v>0</v>
      </c>
      <c r="Y1846" s="319"/>
      <c r="Z1846" s="294">
        <f t="shared" si="1006"/>
        <v>4783</v>
      </c>
    </row>
    <row r="1847" spans="1:29">
      <c r="B1847" s="317" t="s">
        <v>1294</v>
      </c>
      <c r="D1847" s="293">
        <f>'[7]15M'!K4</f>
        <v>868661</v>
      </c>
      <c r="E1847" s="293">
        <f>E1851-E1848</f>
        <v>906565.39492630609</v>
      </c>
      <c r="G1847" s="405">
        <v>5.3437000000000001</v>
      </c>
      <c r="H1847" s="343" t="s">
        <v>1062</v>
      </c>
      <c r="I1847" s="294">
        <f>ROUND(D1847*$G1847/100,0)</f>
        <v>46419</v>
      </c>
      <c r="J1847" s="294">
        <f>ROUND(E1847*$G1847/100,0)</f>
        <v>48444</v>
      </c>
      <c r="L1847" s="405">
        <f t="shared" si="1003"/>
        <v>0</v>
      </c>
      <c r="M1847" s="343" t="s">
        <v>1062</v>
      </c>
      <c r="N1847" s="405">
        <f t="shared" si="1004"/>
        <v>1.583</v>
      </c>
      <c r="O1847" s="343" t="s">
        <v>1062</v>
      </c>
      <c r="P1847" s="407">
        <f t="shared" si="1005"/>
        <v>1.9105919218509999</v>
      </c>
      <c r="Q1847" s="422" t="s">
        <v>1062</v>
      </c>
      <c r="R1847" s="407">
        <f>R1814</f>
        <v>3.4935919218509999</v>
      </c>
      <c r="S1847" s="343" t="s">
        <v>1062</v>
      </c>
      <c r="T1847" s="294">
        <f>ROUND($E1847*L1847/100,0)</f>
        <v>0</v>
      </c>
      <c r="U1847" s="346"/>
      <c r="V1847" s="294">
        <f>ROUND($E1847*N1847/100,0)</f>
        <v>14351</v>
      </c>
      <c r="W1847" s="346"/>
      <c r="X1847" s="294">
        <f>ROUND($E1847*P1847/100,0)</f>
        <v>17321</v>
      </c>
      <c r="Y1847" s="346"/>
      <c r="Z1847" s="294">
        <f>ROUND($E1847*R1847/100,0)</f>
        <v>31672</v>
      </c>
    </row>
    <row r="1848" spans="1:29">
      <c r="B1848" s="317" t="s">
        <v>1295</v>
      </c>
      <c r="D1848" s="357">
        <f>'[7]Table 2'!J141</f>
        <v>-32186</v>
      </c>
      <c r="E1848" s="357">
        <v>0</v>
      </c>
      <c r="I1848" s="358">
        <f>'[7]Table 3'!F141</f>
        <v>-2456</v>
      </c>
      <c r="J1848" s="358">
        <v>0</v>
      </c>
      <c r="Z1848" s="358"/>
    </row>
    <row r="1849" spans="1:29">
      <c r="B1849" s="317" t="s">
        <v>1079</v>
      </c>
      <c r="G1849" s="338">
        <v>-2.8000000000000001E-2</v>
      </c>
      <c r="H1849" s="339"/>
      <c r="I1849" s="294">
        <f>SUM(I1847)*$G1849</f>
        <v>-1299.732</v>
      </c>
      <c r="J1849" s="294">
        <f>SUM(J1847)*$G1849</f>
        <v>-1356.432</v>
      </c>
      <c r="L1849" s="338"/>
      <c r="M1849" s="339"/>
      <c r="N1849" s="338"/>
      <c r="O1849" s="339"/>
      <c r="P1849" s="359" t="str">
        <f>$P$43</f>
        <v>Tax Year 1</v>
      </c>
      <c r="Q1849" s="339"/>
      <c r="R1849" s="338">
        <f>$AD$1827</f>
        <v>-2.4899999999999999E-2</v>
      </c>
      <c r="S1849" s="339"/>
      <c r="Z1849" s="294">
        <f>R1849*Z1847</f>
        <v>-788.63279999999997</v>
      </c>
    </row>
    <row r="1850" spans="1:29">
      <c r="B1850" s="317"/>
      <c r="G1850" s="338"/>
      <c r="H1850" s="339"/>
      <c r="L1850" s="338"/>
      <c r="M1850" s="339"/>
      <c r="N1850" s="338"/>
      <c r="O1850" s="339"/>
      <c r="P1850" s="359" t="str">
        <f>$P$44</f>
        <v>Tax Year 2</v>
      </c>
      <c r="Q1850" s="339"/>
      <c r="R1850" s="338">
        <f>$AD$1828</f>
        <v>-1.2500000000000001E-2</v>
      </c>
      <c r="S1850" s="339"/>
      <c r="Z1850" s="294">
        <f>R1850*Z1847</f>
        <v>-395.90000000000003</v>
      </c>
    </row>
    <row r="1851" spans="1:29" ht="16.5" thickBot="1">
      <c r="B1851" s="292" t="s">
        <v>45</v>
      </c>
      <c r="D1851" s="381">
        <f>D1847+D1848</f>
        <v>836475</v>
      </c>
      <c r="E1851" s="381">
        <f>[7]Energy!P92</f>
        <v>906565.39492630609</v>
      </c>
      <c r="G1851" s="368"/>
      <c r="I1851" s="369">
        <f>SUM(I1843:I1849)</f>
        <v>67475.267999999996</v>
      </c>
      <c r="J1851" s="369">
        <f>SUM(J1843:J1849)</f>
        <v>72919.567999999999</v>
      </c>
      <c r="L1851" s="368"/>
      <c r="N1851" s="368"/>
      <c r="P1851" s="368"/>
      <c r="R1851" s="368"/>
      <c r="T1851" s="369">
        <f>SUM(T1843:T1848)</f>
        <v>5924</v>
      </c>
      <c r="V1851" s="369">
        <f>SUM(V1843:V1848)</f>
        <v>26619</v>
      </c>
      <c r="X1851" s="369">
        <f>SUM(X1843:X1848)</f>
        <v>17321</v>
      </c>
      <c r="Z1851" s="369">
        <f>SUM(Z1843:Z1848)</f>
        <v>49864</v>
      </c>
      <c r="AB1851" s="305" t="s">
        <v>939</v>
      </c>
      <c r="AC1851" s="304">
        <f>Z1851/J1851-1</f>
        <v>-0.31617806622222444</v>
      </c>
    </row>
    <row r="1853" spans="1:29">
      <c r="A1853" s="292">
        <v>1</v>
      </c>
      <c r="B1853" s="419" t="s">
        <v>1009</v>
      </c>
    </row>
    <row r="1854" spans="1:29">
      <c r="B1854" s="317" t="s">
        <v>1296</v>
      </c>
      <c r="D1854" s="293">
        <f t="shared" ref="D1854:E1856" si="1007">D1862+D1870+D1878</f>
        <v>32427.756363636341</v>
      </c>
      <c r="E1854" s="293">
        <f t="shared" si="1007"/>
        <v>32811</v>
      </c>
      <c r="G1854" s="318">
        <v>5.5</v>
      </c>
      <c r="H1854" s="318"/>
      <c r="I1854" s="294">
        <f>ROUND(D1854*$G1854,0)</f>
        <v>178353</v>
      </c>
      <c r="J1854" s="294">
        <f>ROUND(E1854*$G1854,0)</f>
        <v>180461</v>
      </c>
      <c r="L1854" s="339">
        <f>ROUND(T1854/$E1854,2)</f>
        <v>5.61</v>
      </c>
      <c r="M1854" s="339"/>
      <c r="N1854" s="339">
        <f>ROUND(V1854/$E1854,2)</f>
        <v>0</v>
      </c>
      <c r="O1854" s="339"/>
      <c r="P1854" s="339">
        <f>ROUND(R1854-L1854-N1854,2)</f>
        <v>0</v>
      </c>
      <c r="Q1854" s="318"/>
      <c r="R1854" s="318">
        <f>ROUND(G1854*(1+$AC$1866),2)</f>
        <v>5.61</v>
      </c>
      <c r="S1854" s="318"/>
      <c r="T1854" s="319">
        <f>MIN(T1859,Z1854)</f>
        <v>184070</v>
      </c>
      <c r="U1854" s="319"/>
      <c r="V1854" s="319"/>
      <c r="W1854" s="319"/>
      <c r="X1854" s="319"/>
      <c r="Y1854" s="319"/>
      <c r="Z1854" s="294">
        <f>ROUND($E1854*R1854,0)</f>
        <v>184070</v>
      </c>
    </row>
    <row r="1855" spans="1:29">
      <c r="B1855" s="317" t="s">
        <v>1294</v>
      </c>
      <c r="D1855" s="293">
        <f t="shared" si="1007"/>
        <v>7727417</v>
      </c>
      <c r="E1855" s="293">
        <f t="shared" si="1007"/>
        <v>7776370.4443165418</v>
      </c>
      <c r="G1855" s="407">
        <v>8.4048999999999996</v>
      </c>
      <c r="H1855" s="343" t="s">
        <v>1062</v>
      </c>
      <c r="I1855" s="294">
        <f>ROUND(D1855*$G1855/100,0)</f>
        <v>649482</v>
      </c>
      <c r="J1855" s="294">
        <f>ROUND(E1855*$G1855/100,0)</f>
        <v>653596</v>
      </c>
      <c r="L1855" s="342">
        <f>ROUND(T1855/$E1855*100,4)</f>
        <v>1.9947999999999999</v>
      </c>
      <c r="M1855" s="343" t="s">
        <v>1062</v>
      </c>
      <c r="N1855" s="342">
        <f>ROUND(V1855/$E1855*100,4)</f>
        <v>4.0438000000000001</v>
      </c>
      <c r="O1855" s="343" t="s">
        <v>1062</v>
      </c>
      <c r="P1855" s="342">
        <f>R1855-L1855-N1855</f>
        <v>2.1154489311879994</v>
      </c>
      <c r="Q1855" s="343" t="s">
        <v>1062</v>
      </c>
      <c r="R1855" s="407">
        <f>ROUND((AC1863-Z1854)/E1855*100,$AC$8)</f>
        <v>8.1540489311879991</v>
      </c>
      <c r="S1855" s="343" t="s">
        <v>1062</v>
      </c>
      <c r="T1855" s="346">
        <f>MIN(T1859-T1854,Z1855)</f>
        <v>155124.5553709325</v>
      </c>
      <c r="U1855" s="346"/>
      <c r="V1855" s="346">
        <f>MIN(V1859,Z1855-T1855)</f>
        <v>314458.78185821662</v>
      </c>
      <c r="W1855" s="346"/>
      <c r="X1855" s="346">
        <f>Z1855-T1855-V1855</f>
        <v>164505.66277085087</v>
      </c>
      <c r="Y1855" s="346"/>
      <c r="Z1855" s="294">
        <f>ROUND($E1855*R1855/100,0)</f>
        <v>634089</v>
      </c>
    </row>
    <row r="1856" spans="1:29">
      <c r="B1856" s="317" t="s">
        <v>1295</v>
      </c>
      <c r="D1856" s="423">
        <f t="shared" si="1007"/>
        <v>-144801</v>
      </c>
      <c r="E1856" s="423">
        <f t="shared" si="1007"/>
        <v>0</v>
      </c>
      <c r="I1856" s="358">
        <f>I1864+I1872+I1880</f>
        <v>-14152</v>
      </c>
      <c r="J1856" s="358">
        <f t="shared" ref="J1856" si="1008">J1864+J1872+J1880</f>
        <v>0</v>
      </c>
      <c r="Z1856" s="358"/>
    </row>
    <row r="1857" spans="1:32">
      <c r="B1857" s="317" t="s">
        <v>1079</v>
      </c>
      <c r="G1857" s="338">
        <v>-3.7699999999999997E-2</v>
      </c>
      <c r="H1857" s="339"/>
      <c r="I1857" s="294">
        <f>SUM(I1854:I1855)*$G1857</f>
        <v>-31209.379499999999</v>
      </c>
      <c r="J1857" s="294">
        <f>SUM(J1854:J1855)*$G1857</f>
        <v>-31443.948899999999</v>
      </c>
      <c r="L1857" s="338"/>
      <c r="M1857" s="339"/>
      <c r="N1857" s="338"/>
      <c r="O1857" s="339"/>
      <c r="P1857" s="359" t="str">
        <f>$P$43</f>
        <v>Tax Year 1</v>
      </c>
      <c r="Q1857" s="339"/>
      <c r="R1857" s="338">
        <f>$AD$1867</f>
        <v>-2.3599999999999999E-2</v>
      </c>
      <c r="S1857" s="339"/>
      <c r="Z1857" s="294">
        <f>R1857*Z1855</f>
        <v>-14964.500399999999</v>
      </c>
      <c r="AB1857" s="360" t="s">
        <v>1081</v>
      </c>
      <c r="AC1857" s="360"/>
      <c r="AD1857" s="360"/>
      <c r="AE1857" s="360"/>
    </row>
    <row r="1858" spans="1:32">
      <c r="B1858" s="317"/>
      <c r="G1858" s="338"/>
      <c r="H1858" s="339"/>
      <c r="L1858" s="338"/>
      <c r="M1858" s="339"/>
      <c r="N1858" s="338"/>
      <c r="O1858" s="339"/>
      <c r="P1858" s="359" t="str">
        <f>$P$44</f>
        <v>Tax Year 2</v>
      </c>
      <c r="Q1858" s="339"/>
      <c r="R1858" s="338">
        <f>$AD$1868</f>
        <v>-1.18E-2</v>
      </c>
      <c r="S1858" s="339"/>
      <c r="Z1858" s="294">
        <f>R1858*Z1855</f>
        <v>-7482.2501999999995</v>
      </c>
      <c r="AB1858" s="361" t="s">
        <v>42</v>
      </c>
      <c r="AC1858" s="361" t="s">
        <v>43</v>
      </c>
      <c r="AD1858" s="361" t="s">
        <v>44</v>
      </c>
      <c r="AE1858" s="361" t="s">
        <v>45</v>
      </c>
    </row>
    <row r="1859" spans="1:32" ht="16.5" thickBot="1">
      <c r="A1859" s="292">
        <v>1</v>
      </c>
      <c r="B1859" s="292" t="s">
        <v>45</v>
      </c>
      <c r="D1859" s="381">
        <f>D1855+D1856</f>
        <v>7582616</v>
      </c>
      <c r="E1859" s="381">
        <f>E1855+E1856</f>
        <v>7776370.4443165418</v>
      </c>
      <c r="G1859" s="368"/>
      <c r="I1859" s="369">
        <f>SUM(I1854:I1857)</f>
        <v>782473.62049999996</v>
      </c>
      <c r="J1859" s="369">
        <f>SUM(J1854:J1857)</f>
        <v>802613.05110000004</v>
      </c>
      <c r="L1859" s="368"/>
      <c r="N1859" s="368"/>
      <c r="P1859" s="368"/>
      <c r="R1859" s="368"/>
      <c r="T1859" s="364">
        <f>$Z1859*AB1859/$AE1859</f>
        <v>339194.5553709325</v>
      </c>
      <c r="U1859" s="364"/>
      <c r="V1859" s="364">
        <f>$Z1859*AC1859/$AE1859</f>
        <v>314458.78185821662</v>
      </c>
      <c r="W1859" s="364"/>
      <c r="X1859" s="364">
        <f>Z1859-T1859-V1859</f>
        <v>164505.66277085087</v>
      </c>
      <c r="Z1859" s="369">
        <f>SUM(Z1854:Z1856)</f>
        <v>818159</v>
      </c>
      <c r="AB1859" s="366">
        <f>'[7]Unit Cost Target'!$J$87+'[7]Unit Cost Target'!$J$123+'[7]Unit Cost Target'!$J$129</f>
        <v>317321.15709407593</v>
      </c>
      <c r="AC1859" s="366">
        <f>'[7]Unit Cost Target'!$J$45+'[7]Unit Cost Target'!$J$51+'[7]Unit Cost Target'!$J$75+'[7]Unit Cost Target'!$J$81</f>
        <v>294180.50183182274</v>
      </c>
      <c r="AD1859" s="366">
        <f>'[7]Unit Cost Target'!$J$33+'[7]Unit Cost Target'!$J$39+'[7]Unit Cost Target'!$J$63+'[7]Unit Cost Target'!$J$69</f>
        <v>153897.30298556457</v>
      </c>
      <c r="AE1859" s="366">
        <f>SUM(AB1859:AD1859)</f>
        <v>765398.96191146318</v>
      </c>
      <c r="AF1859" s="366">
        <f>AE1859-'[7]Unit Cost Target'!$J$21</f>
        <v>0</v>
      </c>
    </row>
    <row r="1860" spans="1:32" ht="16.5" thickTop="1">
      <c r="A1860" s="292">
        <v>1</v>
      </c>
      <c r="AB1860" s="366">
        <f>T1859-SUM(T1851:T1858)</f>
        <v>-5924</v>
      </c>
      <c r="AC1860" s="366">
        <f>V1859-SUM(V1851:V1858)</f>
        <v>-26619</v>
      </c>
      <c r="AD1860" s="366">
        <f>X1859-SUM(X1851:X1858)</f>
        <v>-17321</v>
      </c>
      <c r="AE1860" s="366">
        <f>SUM(AB1860:AD1860)</f>
        <v>-49864</v>
      </c>
      <c r="AF1860" s="366"/>
    </row>
    <row r="1861" spans="1:32">
      <c r="B1861" s="419" t="s">
        <v>1010</v>
      </c>
    </row>
    <row r="1862" spans="1:32">
      <c r="B1862" s="317" t="s">
        <v>1296</v>
      </c>
      <c r="D1862" s="293">
        <f>'[7]15T'!G13</f>
        <v>13053.365454545499</v>
      </c>
      <c r="E1862" s="293">
        <f>[7]Bill!P38+[7]Bill!P40</f>
        <v>13335</v>
      </c>
      <c r="G1862" s="318">
        <v>5.5</v>
      </c>
      <c r="H1862" s="318"/>
      <c r="I1862" s="294">
        <f>ROUND(D1862*$G1862,0)</f>
        <v>71794</v>
      </c>
      <c r="J1862" s="294">
        <f>ROUND(E1862*$G1862,0)</f>
        <v>73343</v>
      </c>
      <c r="L1862" s="318">
        <f>L1854</f>
        <v>5.61</v>
      </c>
      <c r="M1862" s="318"/>
      <c r="N1862" s="318">
        <f>N1854</f>
        <v>0</v>
      </c>
      <c r="O1862" s="318"/>
      <c r="P1862" s="318">
        <f>P1854</f>
        <v>0</v>
      </c>
      <c r="Q1862" s="318"/>
      <c r="R1862" s="318">
        <f>R1854</f>
        <v>5.61</v>
      </c>
      <c r="S1862" s="318"/>
      <c r="T1862" s="294">
        <f t="shared" ref="T1862" si="1009">ROUND($E1862*L1862,0)</f>
        <v>74809</v>
      </c>
      <c r="V1862" s="294">
        <f t="shared" ref="V1862" si="1010">ROUND($E1862*N1862,0)</f>
        <v>0</v>
      </c>
      <c r="X1862" s="294">
        <f t="shared" ref="X1862" si="1011">ROUND($E1862*P1862,0)</f>
        <v>0</v>
      </c>
      <c r="Y1862" s="319"/>
      <c r="Z1862" s="294">
        <f>ROUND($E1862*R1862,0)</f>
        <v>74809</v>
      </c>
      <c r="AB1862" s="320" t="s">
        <v>1042</v>
      </c>
      <c r="AC1862" s="321">
        <f>Z1859</f>
        <v>818159</v>
      </c>
    </row>
    <row r="1863" spans="1:32">
      <c r="B1863" s="317" t="s">
        <v>1294</v>
      </c>
      <c r="D1863" s="293">
        <f>'[7]15T'!H13</f>
        <v>3317549</v>
      </c>
      <c r="E1863" s="293">
        <f>E1867-E1864</f>
        <v>3410044.1853684746</v>
      </c>
      <c r="G1863" s="407">
        <v>8.4048999999999996</v>
      </c>
      <c r="H1863" s="343" t="s">
        <v>1062</v>
      </c>
      <c r="I1863" s="294">
        <f>ROUND(D1863*$G1863/100,0)</f>
        <v>278837</v>
      </c>
      <c r="J1863" s="294">
        <f>ROUND(E1863*$G1863/100,0)</f>
        <v>286611</v>
      </c>
      <c r="L1863" s="407">
        <f>L1855</f>
        <v>1.9947999999999999</v>
      </c>
      <c r="M1863" s="343" t="s">
        <v>1062</v>
      </c>
      <c r="N1863" s="407">
        <f>N1855</f>
        <v>4.0438000000000001</v>
      </c>
      <c r="O1863" s="343" t="s">
        <v>1062</v>
      </c>
      <c r="P1863" s="407">
        <f>P1855</f>
        <v>2.1154489311879994</v>
      </c>
      <c r="Q1863" s="343" t="s">
        <v>1062</v>
      </c>
      <c r="R1863" s="407">
        <f>R1855</f>
        <v>8.1540489311879991</v>
      </c>
      <c r="S1863" s="343" t="s">
        <v>1062</v>
      </c>
      <c r="T1863" s="294">
        <f>ROUND($E1863*L1863/100,0)</f>
        <v>68024</v>
      </c>
      <c r="U1863" s="346"/>
      <c r="V1863" s="294">
        <f>ROUND($E1863*N1863/100,0)</f>
        <v>137895</v>
      </c>
      <c r="W1863" s="346"/>
      <c r="X1863" s="294">
        <f>ROUND($E1863*P1863/100,0)</f>
        <v>72138</v>
      </c>
      <c r="Y1863" s="346"/>
      <c r="Z1863" s="294">
        <f>ROUND($E1863*R1863/100,0)</f>
        <v>278057</v>
      </c>
      <c r="AB1863" s="322" t="s">
        <v>1044</v>
      </c>
      <c r="AC1863" s="323">
        <f>[7]RateSpread!M60*1000</f>
        <v>818159.05110000004</v>
      </c>
    </row>
    <row r="1864" spans="1:32">
      <c r="B1864" s="317" t="s">
        <v>1295</v>
      </c>
      <c r="D1864" s="424">
        <f>'[7]Table 2'!J59</f>
        <v>17601</v>
      </c>
      <c r="E1864" s="424">
        <v>0</v>
      </c>
      <c r="I1864" s="358">
        <f>'[7]Table 3'!F59</f>
        <v>2008</v>
      </c>
      <c r="J1864" s="358">
        <v>0</v>
      </c>
      <c r="Z1864" s="358"/>
      <c r="AB1864" s="327" t="s">
        <v>789</v>
      </c>
      <c r="AC1864" s="328">
        <f>AC1863-AC1862</f>
        <v>5.1100000040605664E-2</v>
      </c>
    </row>
    <row r="1865" spans="1:32">
      <c r="B1865" s="317" t="s">
        <v>1079</v>
      </c>
      <c r="G1865" s="338">
        <v>-3.7699999999999997E-2</v>
      </c>
      <c r="H1865" s="339"/>
      <c r="I1865" s="294">
        <f>SUM(I1862:I1863)*$G1865</f>
        <v>-13218.788699999999</v>
      </c>
      <c r="J1865" s="294">
        <f>SUM(J1862:J1863)*$G1865</f>
        <v>-13570.265799999999</v>
      </c>
      <c r="L1865" s="338"/>
      <c r="M1865" s="339"/>
      <c r="N1865" s="338"/>
      <c r="O1865" s="339"/>
      <c r="P1865" s="359" t="str">
        <f>$P$43</f>
        <v>Tax Year 1</v>
      </c>
      <c r="Q1865" s="339"/>
      <c r="R1865" s="338">
        <f>$AD$1867</f>
        <v>-2.3599999999999999E-2</v>
      </c>
      <c r="S1865" s="339"/>
      <c r="Z1865" s="294">
        <f>R1865*Z1863</f>
        <v>-6562.1451999999999</v>
      </c>
      <c r="AB1865" s="320" t="s">
        <v>939</v>
      </c>
      <c r="AC1865" s="389">
        <f>AC1862/J1859-1</f>
        <v>1.9369170335186814E-2</v>
      </c>
    </row>
    <row r="1866" spans="1:32">
      <c r="B1866" s="317"/>
      <c r="G1866" s="338"/>
      <c r="H1866" s="339"/>
      <c r="L1866" s="338"/>
      <c r="M1866" s="339"/>
      <c r="N1866" s="338"/>
      <c r="O1866" s="339"/>
      <c r="P1866" s="359" t="str">
        <f>$P$44</f>
        <v>Tax Year 2</v>
      </c>
      <c r="Q1866" s="339"/>
      <c r="R1866" s="338">
        <f>$AD$1868</f>
        <v>-1.18E-2</v>
      </c>
      <c r="S1866" s="339"/>
      <c r="Z1866" s="294">
        <f>R1866*Z1863</f>
        <v>-3281.0726</v>
      </c>
      <c r="AB1866" s="335" t="s">
        <v>1048</v>
      </c>
      <c r="AC1866" s="385">
        <f>AC1863/J1859-1</f>
        <v>1.9369234002230451E-2</v>
      </c>
    </row>
    <row r="1867" spans="1:32" ht="16.5" thickBot="1">
      <c r="B1867" s="292" t="s">
        <v>45</v>
      </c>
      <c r="D1867" s="381">
        <f>D1863+D1864</f>
        <v>3335150</v>
      </c>
      <c r="E1867" s="381">
        <f>[7]Energy!P38+[7]Energy!P40</f>
        <v>3410044.1853684746</v>
      </c>
      <c r="G1867" s="368"/>
      <c r="I1867" s="369">
        <f>SUM(I1862:I1865)</f>
        <v>339420.21130000002</v>
      </c>
      <c r="J1867" s="369">
        <f>SUM(J1862:J1865)</f>
        <v>346383.73420000001</v>
      </c>
      <c r="L1867" s="368"/>
      <c r="N1867" s="368"/>
      <c r="P1867" s="368"/>
      <c r="R1867" s="368"/>
      <c r="T1867" s="369">
        <f>SUM(T1862:T1864)</f>
        <v>142833</v>
      </c>
      <c r="V1867" s="369">
        <f>SUM(V1862:V1864)</f>
        <v>137895</v>
      </c>
      <c r="X1867" s="369">
        <f>SUM(X1862:X1864)</f>
        <v>72138</v>
      </c>
      <c r="Z1867" s="369">
        <f>SUM(Z1862:Z1864)</f>
        <v>352866</v>
      </c>
      <c r="AB1867" s="305" t="s">
        <v>1011</v>
      </c>
      <c r="AC1867" s="337">
        <f>[7]RateSpread!V60*1000</f>
        <v>-14940.078921871273</v>
      </c>
      <c r="AD1867" s="338">
        <f>ROUND(AC1867/Z1855,4)</f>
        <v>-2.3599999999999999E-2</v>
      </c>
    </row>
    <row r="1868" spans="1:32" ht="16.5" thickTop="1">
      <c r="AB1868" s="305" t="s">
        <v>1057</v>
      </c>
      <c r="AC1868" s="337">
        <f>[7]RateSpread!W60*1000</f>
        <v>-7470.039469894954</v>
      </c>
      <c r="AD1868" s="338">
        <f>ROUND(AC1868/Z1855,4)</f>
        <v>-1.18E-2</v>
      </c>
    </row>
    <row r="1869" spans="1:32">
      <c r="B1869" s="419" t="s">
        <v>1012</v>
      </c>
    </row>
    <row r="1870" spans="1:32">
      <c r="B1870" s="317" t="s">
        <v>1296</v>
      </c>
      <c r="D1870" s="293">
        <f>'[7]15T'!G14</f>
        <v>144.23454545454501</v>
      </c>
      <c r="E1870" s="293">
        <f>[7]Bill!P64</f>
        <v>144</v>
      </c>
      <c r="G1870" s="318">
        <v>5.5</v>
      </c>
      <c r="H1870" s="318"/>
      <c r="I1870" s="294">
        <f>ROUND(D1870*$G1870,0)</f>
        <v>793</v>
      </c>
      <c r="J1870" s="294">
        <f>ROUND(E1870*$G1870,0)</f>
        <v>792</v>
      </c>
      <c r="L1870" s="318">
        <f>L1854</f>
        <v>5.61</v>
      </c>
      <c r="M1870" s="318"/>
      <c r="N1870" s="318">
        <f>N1854</f>
        <v>0</v>
      </c>
      <c r="O1870" s="318"/>
      <c r="P1870" s="318">
        <f>P1854</f>
        <v>0</v>
      </c>
      <c r="Q1870" s="318"/>
      <c r="R1870" s="318">
        <f>R1854</f>
        <v>5.61</v>
      </c>
      <c r="S1870" s="318"/>
      <c r="T1870" s="294">
        <f t="shared" ref="T1870" si="1012">ROUND($E1870*L1870,0)</f>
        <v>808</v>
      </c>
      <c r="V1870" s="294">
        <f t="shared" ref="V1870" si="1013">ROUND($E1870*N1870,0)</f>
        <v>0</v>
      </c>
      <c r="X1870" s="294">
        <f t="shared" ref="X1870" si="1014">ROUND($E1870*P1870,0)</f>
        <v>0</v>
      </c>
      <c r="Y1870" s="319"/>
      <c r="Z1870" s="294">
        <f>ROUND($E1870*R1870,0)</f>
        <v>808</v>
      </c>
    </row>
    <row r="1871" spans="1:32">
      <c r="B1871" s="317" t="s">
        <v>1294</v>
      </c>
      <c r="D1871" s="293">
        <f>'[7]15T'!H14</f>
        <v>47617</v>
      </c>
      <c r="E1871" s="293">
        <f>E1875-E1872</f>
        <v>27840</v>
      </c>
      <c r="G1871" s="407">
        <v>8.4048999999999996</v>
      </c>
      <c r="H1871" s="343" t="s">
        <v>1062</v>
      </c>
      <c r="I1871" s="294">
        <f>ROUND(D1871*$G1871/100,0)</f>
        <v>4002</v>
      </c>
      <c r="J1871" s="294">
        <f>ROUND(E1871*$G1871/100,0)</f>
        <v>2340</v>
      </c>
      <c r="L1871" s="407">
        <f>L1855</f>
        <v>1.9947999999999999</v>
      </c>
      <c r="M1871" s="343" t="s">
        <v>1062</v>
      </c>
      <c r="N1871" s="407">
        <f>N1855</f>
        <v>4.0438000000000001</v>
      </c>
      <c r="O1871" s="343" t="s">
        <v>1062</v>
      </c>
      <c r="P1871" s="407">
        <f>P1855</f>
        <v>2.1154489311879994</v>
      </c>
      <c r="Q1871" s="343" t="s">
        <v>1062</v>
      </c>
      <c r="R1871" s="407">
        <f>R1855</f>
        <v>8.1540489311879991</v>
      </c>
      <c r="S1871" s="343" t="s">
        <v>1062</v>
      </c>
      <c r="T1871" s="294">
        <f>ROUND($E1871*L1871/100,0)</f>
        <v>555</v>
      </c>
      <c r="U1871" s="346"/>
      <c r="V1871" s="294">
        <f>ROUND($E1871*N1871/100,0)</f>
        <v>1126</v>
      </c>
      <c r="W1871" s="346"/>
      <c r="X1871" s="294">
        <f>ROUND($E1871*P1871/100,0)</f>
        <v>589</v>
      </c>
      <c r="Y1871" s="346"/>
      <c r="Z1871" s="294">
        <f>ROUND($E1871*R1871/100,0)</f>
        <v>2270</v>
      </c>
    </row>
    <row r="1872" spans="1:32">
      <c r="B1872" s="317" t="s">
        <v>1295</v>
      </c>
      <c r="D1872" s="423">
        <f>'[7]Table 2'!J94</f>
        <v>-772</v>
      </c>
      <c r="E1872" s="423">
        <v>0</v>
      </c>
      <c r="I1872" s="358">
        <f>'[7]Table 3'!F94</f>
        <v>-71</v>
      </c>
      <c r="J1872" s="358">
        <v>0</v>
      </c>
      <c r="Z1872" s="358"/>
    </row>
    <row r="1873" spans="1:29">
      <c r="B1873" s="317" t="s">
        <v>1079</v>
      </c>
      <c r="G1873" s="338">
        <v>-3.7699999999999997E-2</v>
      </c>
      <c r="H1873" s="339"/>
      <c r="I1873" s="294">
        <f>SUM(I1870:I1871)*$G1873</f>
        <v>-180.77149999999997</v>
      </c>
      <c r="J1873" s="294">
        <f>SUM(J1870:J1871)*$G1873</f>
        <v>-118.07639999999999</v>
      </c>
      <c r="L1873" s="338"/>
      <c r="M1873" s="339"/>
      <c r="N1873" s="338"/>
      <c r="O1873" s="339"/>
      <c r="P1873" s="359" t="str">
        <f>$P$43</f>
        <v>Tax Year 1</v>
      </c>
      <c r="Q1873" s="339"/>
      <c r="R1873" s="338">
        <f>$AD$1867</f>
        <v>-2.3599999999999999E-2</v>
      </c>
      <c r="S1873" s="339"/>
      <c r="Z1873" s="294">
        <f>R1873*Z1871</f>
        <v>-53.571999999999996</v>
      </c>
    </row>
    <row r="1874" spans="1:29">
      <c r="B1874" s="317"/>
      <c r="G1874" s="338"/>
      <c r="H1874" s="339"/>
      <c r="L1874" s="338"/>
      <c r="M1874" s="339"/>
      <c r="N1874" s="338"/>
      <c r="O1874" s="339"/>
      <c r="P1874" s="359" t="str">
        <f>$P$44</f>
        <v>Tax Year 2</v>
      </c>
      <c r="Q1874" s="339"/>
      <c r="R1874" s="338">
        <f>$AD$1868</f>
        <v>-1.18E-2</v>
      </c>
      <c r="S1874" s="339"/>
      <c r="Z1874" s="294">
        <f>R1874*Z1871</f>
        <v>-26.785999999999998</v>
      </c>
    </row>
    <row r="1875" spans="1:29" ht="16.5" thickBot="1">
      <c r="B1875" s="292" t="s">
        <v>45</v>
      </c>
      <c r="D1875" s="381">
        <f>D1871+D1872</f>
        <v>46845</v>
      </c>
      <c r="E1875" s="381">
        <f>[7]Energy!P64</f>
        <v>27840</v>
      </c>
      <c r="G1875" s="368"/>
      <c r="I1875" s="369">
        <f>SUM(I1870:I1873)</f>
        <v>4543.2285000000002</v>
      </c>
      <c r="J1875" s="369">
        <f>SUM(J1870:J1873)</f>
        <v>3013.9236000000001</v>
      </c>
      <c r="L1875" s="368"/>
      <c r="N1875" s="368"/>
      <c r="P1875" s="368"/>
      <c r="R1875" s="368"/>
      <c r="T1875" s="369">
        <f>SUM(T1870:T1872)</f>
        <v>1363</v>
      </c>
      <c r="V1875" s="369">
        <f>SUM(V1870:V1872)</f>
        <v>1126</v>
      </c>
      <c r="X1875" s="369">
        <f>SUM(X1870:X1872)</f>
        <v>589</v>
      </c>
      <c r="Z1875" s="369">
        <f>SUM(Z1870:Z1872)</f>
        <v>3078</v>
      </c>
      <c r="AB1875" s="305" t="s">
        <v>939</v>
      </c>
      <c r="AC1875" s="304">
        <f>Z1875/J1875-1</f>
        <v>2.1260127496264269E-2</v>
      </c>
    </row>
    <row r="1876" spans="1:29" ht="16.5" thickTop="1"/>
    <row r="1877" spans="1:29">
      <c r="B1877" s="419" t="s">
        <v>1013</v>
      </c>
    </row>
    <row r="1878" spans="1:29">
      <c r="B1878" s="317" t="s">
        <v>1296</v>
      </c>
      <c r="D1878" s="293">
        <f>'[7]15T'!G15</f>
        <v>19230.156363636299</v>
      </c>
      <c r="E1878" s="293">
        <f>[7]Bill!P90+[7]Bill!P91</f>
        <v>19332</v>
      </c>
      <c r="G1878" s="318">
        <v>5.5</v>
      </c>
      <c r="H1878" s="318"/>
      <c r="I1878" s="294">
        <f>ROUND(D1878*$G1878,0)</f>
        <v>105766</v>
      </c>
      <c r="J1878" s="294">
        <f>ROUND(E1878*$G1878,0)</f>
        <v>106326</v>
      </c>
      <c r="L1878" s="318">
        <f>L1854</f>
        <v>5.61</v>
      </c>
      <c r="M1878" s="318"/>
      <c r="N1878" s="318">
        <f>N1854</f>
        <v>0</v>
      </c>
      <c r="O1878" s="318"/>
      <c r="P1878" s="318">
        <f>P1854</f>
        <v>0</v>
      </c>
      <c r="Q1878" s="318"/>
      <c r="R1878" s="318">
        <f>R1854</f>
        <v>5.61</v>
      </c>
      <c r="S1878" s="318"/>
      <c r="T1878" s="294">
        <f t="shared" ref="T1878" si="1015">ROUND($E1878*L1878,0)</f>
        <v>108453</v>
      </c>
      <c r="V1878" s="294">
        <f t="shared" ref="V1878" si="1016">ROUND($E1878*N1878,0)</f>
        <v>0</v>
      </c>
      <c r="X1878" s="294">
        <f t="shared" ref="X1878" si="1017">ROUND($E1878*P1878,0)</f>
        <v>0</v>
      </c>
      <c r="Y1878" s="319"/>
      <c r="Z1878" s="294">
        <f>ROUND($E1878*R1878,0)</f>
        <v>108453</v>
      </c>
    </row>
    <row r="1879" spans="1:29">
      <c r="B1879" s="317" t="s">
        <v>1294</v>
      </c>
      <c r="D1879" s="293">
        <f>'[7]15T'!H15</f>
        <v>4362251</v>
      </c>
      <c r="E1879" s="293">
        <f>E1883-E1880</f>
        <v>4338486.2589480672</v>
      </c>
      <c r="G1879" s="407">
        <v>8.4048999999999996</v>
      </c>
      <c r="H1879" s="343" t="s">
        <v>1062</v>
      </c>
      <c r="I1879" s="294">
        <f>ROUND(D1879*$G1879/100,0)</f>
        <v>366643</v>
      </c>
      <c r="J1879" s="294">
        <f>ROUND(E1879*$G1879/100,0)</f>
        <v>364645</v>
      </c>
      <c r="L1879" s="407">
        <f>L1855</f>
        <v>1.9947999999999999</v>
      </c>
      <c r="M1879" s="343" t="s">
        <v>1062</v>
      </c>
      <c r="N1879" s="407">
        <f>N1855</f>
        <v>4.0438000000000001</v>
      </c>
      <c r="O1879" s="343" t="s">
        <v>1062</v>
      </c>
      <c r="P1879" s="407">
        <f>P1855</f>
        <v>2.1154489311879994</v>
      </c>
      <c r="Q1879" s="343" t="s">
        <v>1062</v>
      </c>
      <c r="R1879" s="407">
        <f>R1855</f>
        <v>8.1540489311879991</v>
      </c>
      <c r="S1879" s="343" t="s">
        <v>1062</v>
      </c>
      <c r="T1879" s="294">
        <f>ROUND($E1879*L1879/100,0)</f>
        <v>86544</v>
      </c>
      <c r="U1879" s="346"/>
      <c r="V1879" s="294">
        <f>ROUND($E1879*N1879/100,0)</f>
        <v>175440</v>
      </c>
      <c r="W1879" s="346"/>
      <c r="X1879" s="294">
        <f>ROUND($E1879*P1879/100,0)</f>
        <v>91778</v>
      </c>
      <c r="Y1879" s="346"/>
      <c r="Z1879" s="294">
        <f>ROUND($E1879*R1879/100,0)</f>
        <v>353762</v>
      </c>
    </row>
    <row r="1880" spans="1:29">
      <c r="B1880" s="317" t="s">
        <v>1295</v>
      </c>
      <c r="D1880" s="423">
        <f>'[7]Table 2'!J142</f>
        <v>-161630</v>
      </c>
      <c r="E1880" s="423">
        <v>0</v>
      </c>
      <c r="I1880" s="358">
        <f>'[7]Table 3'!F142</f>
        <v>-16089</v>
      </c>
      <c r="J1880" s="358">
        <v>0</v>
      </c>
      <c r="Z1880" s="358"/>
    </row>
    <row r="1881" spans="1:29">
      <c r="B1881" s="317" t="s">
        <v>1079</v>
      </c>
      <c r="G1881" s="338">
        <v>-3.7699999999999997E-2</v>
      </c>
      <c r="H1881" s="339"/>
      <c r="I1881" s="294">
        <f>SUM(I1878:I1879)*$G1881</f>
        <v>-17809.819299999999</v>
      </c>
      <c r="J1881" s="294">
        <f>SUM(J1878:J1879)*$G1881</f>
        <v>-17755.6067</v>
      </c>
      <c r="L1881" s="338"/>
      <c r="M1881" s="339"/>
      <c r="N1881" s="338"/>
      <c r="O1881" s="339"/>
      <c r="P1881" s="359" t="str">
        <f>$P$43</f>
        <v>Tax Year 1</v>
      </c>
      <c r="Q1881" s="339"/>
      <c r="R1881" s="338">
        <f>$AD$1867</f>
        <v>-2.3599999999999999E-2</v>
      </c>
      <c r="S1881" s="339"/>
      <c r="Z1881" s="294">
        <f>R1881*Z1879</f>
        <v>-8348.7831999999999</v>
      </c>
    </row>
    <row r="1882" spans="1:29">
      <c r="B1882" s="317"/>
      <c r="G1882" s="338"/>
      <c r="H1882" s="339"/>
      <c r="L1882" s="338"/>
      <c r="M1882" s="339"/>
      <c r="N1882" s="338"/>
      <c r="O1882" s="339"/>
      <c r="P1882" s="359" t="str">
        <f>$P$44</f>
        <v>Tax Year 2</v>
      </c>
      <c r="Q1882" s="339"/>
      <c r="R1882" s="338">
        <f>$AD$1868</f>
        <v>-1.18E-2</v>
      </c>
      <c r="S1882" s="339"/>
      <c r="Z1882" s="294">
        <f>R1882*Z1879</f>
        <v>-4174.3915999999999</v>
      </c>
    </row>
    <row r="1883" spans="1:29" ht="16.5" thickBot="1">
      <c r="B1883" s="292" t="s">
        <v>45</v>
      </c>
      <c r="D1883" s="381">
        <f>D1879+D1880</f>
        <v>4200621</v>
      </c>
      <c r="E1883" s="381">
        <f>[7]Energy!P90+[7]Energy!P91</f>
        <v>4338486.2589480672</v>
      </c>
      <c r="G1883" s="368"/>
      <c r="I1883" s="369">
        <f>SUM(I1878:I1881)</f>
        <v>438510.18070000003</v>
      </c>
      <c r="J1883" s="369">
        <f>SUM(J1878:J1881)</f>
        <v>453215.3933</v>
      </c>
      <c r="L1883" s="368"/>
      <c r="N1883" s="368"/>
      <c r="P1883" s="368"/>
      <c r="R1883" s="368"/>
      <c r="T1883" s="369">
        <f>SUM(T1878:T1880)</f>
        <v>194997</v>
      </c>
      <c r="V1883" s="369">
        <f>SUM(V1878:V1880)</f>
        <v>175440</v>
      </c>
      <c r="X1883" s="369">
        <f>SUM(X1878:X1880)</f>
        <v>91778</v>
      </c>
      <c r="Z1883" s="369">
        <f>SUM(Z1878:Z1880)</f>
        <v>462215</v>
      </c>
      <c r="AB1883" s="305" t="s">
        <v>939</v>
      </c>
      <c r="AC1883" s="304">
        <f>Z1883/J1883-1</f>
        <v>1.9857239698923612E-2</v>
      </c>
    </row>
    <row r="1884" spans="1:29" ht="16.5" thickTop="1">
      <c r="B1884" s="317"/>
      <c r="G1884" s="425"/>
      <c r="H1884" s="426"/>
      <c r="L1884" s="425"/>
      <c r="M1884" s="426"/>
      <c r="N1884" s="425"/>
      <c r="O1884" s="426"/>
      <c r="P1884" s="425"/>
      <c r="Q1884" s="426"/>
      <c r="R1884" s="425"/>
      <c r="S1884" s="426"/>
      <c r="T1884" s="427"/>
      <c r="U1884" s="427"/>
      <c r="V1884" s="427"/>
      <c r="W1884" s="427"/>
      <c r="X1884" s="427"/>
      <c r="Y1884" s="427"/>
    </row>
    <row r="1885" spans="1:29">
      <c r="A1885" s="292">
        <v>1</v>
      </c>
      <c r="B1885" s="314" t="s">
        <v>1014</v>
      </c>
    </row>
    <row r="1886" spans="1:29">
      <c r="B1886" s="314" t="s">
        <v>1015</v>
      </c>
      <c r="AB1886" s="305"/>
      <c r="AC1886" s="325"/>
    </row>
    <row r="1887" spans="1:29">
      <c r="B1887" s="317" t="s">
        <v>1089</v>
      </c>
      <c r="D1887" s="293">
        <f>'[7]Bill-21'!E14</f>
        <v>12</v>
      </c>
      <c r="E1887" s="293">
        <f>D1887*E1919/D1919</f>
        <v>15</v>
      </c>
      <c r="G1887" s="318"/>
      <c r="H1887" s="318"/>
      <c r="L1887" s="318">
        <f>L969</f>
        <v>55</v>
      </c>
      <c r="M1887" s="318"/>
      <c r="N1887" s="318">
        <f>N969</f>
        <v>0</v>
      </c>
      <c r="O1887" s="318"/>
      <c r="P1887" s="318">
        <f>P969</f>
        <v>0</v>
      </c>
      <c r="Q1887" s="318"/>
      <c r="R1887" s="318">
        <f>R969</f>
        <v>55</v>
      </c>
      <c r="S1887" s="318"/>
      <c r="T1887" s="319">
        <f t="shared" ref="T1887:T1888" si="1018">ROUND($E1887*L1887,0)</f>
        <v>825</v>
      </c>
      <c r="U1887" s="319"/>
      <c r="V1887" s="319">
        <f t="shared" ref="V1887:V1888" si="1019">ROUND($E1887*N1887,0)</f>
        <v>0</v>
      </c>
      <c r="W1887" s="319"/>
      <c r="X1887" s="319">
        <f t="shared" ref="X1887:X1888" si="1020">ROUND($E1887*P1887,0)</f>
        <v>0</v>
      </c>
      <c r="Y1887" s="319"/>
      <c r="Z1887" s="319">
        <f t="shared" ref="Z1887:Z1888" si="1021">ROUND($E1887*R1887,0)</f>
        <v>825</v>
      </c>
      <c r="AB1887" s="305"/>
      <c r="AC1887" s="325"/>
    </row>
    <row r="1888" spans="1:29">
      <c r="B1888" s="317" t="s">
        <v>1098</v>
      </c>
      <c r="D1888" s="293">
        <v>0</v>
      </c>
      <c r="E1888" s="293">
        <f>D1888*E1920/D1920</f>
        <v>0</v>
      </c>
      <c r="G1888" s="318"/>
      <c r="H1888" s="318"/>
      <c r="L1888" s="318">
        <f>L972</f>
        <v>-0.61</v>
      </c>
      <c r="M1888" s="318"/>
      <c r="N1888" s="318">
        <f>N972</f>
        <v>0</v>
      </c>
      <c r="O1888" s="318"/>
      <c r="P1888" s="318">
        <f>P972</f>
        <v>0</v>
      </c>
      <c r="Q1888" s="318"/>
      <c r="R1888" s="318">
        <f>R972</f>
        <v>-0.61</v>
      </c>
      <c r="S1888" s="318"/>
      <c r="T1888" s="319">
        <f t="shared" si="1018"/>
        <v>0</v>
      </c>
      <c r="U1888" s="319"/>
      <c r="V1888" s="319">
        <f t="shared" si="1019"/>
        <v>0</v>
      </c>
      <c r="W1888" s="319"/>
      <c r="X1888" s="319">
        <f t="shared" si="1020"/>
        <v>0</v>
      </c>
      <c r="Y1888" s="319"/>
      <c r="Z1888" s="319">
        <f t="shared" si="1021"/>
        <v>0</v>
      </c>
      <c r="AB1888" s="305"/>
      <c r="AC1888" s="304"/>
    </row>
    <row r="1889" spans="2:30">
      <c r="B1889" s="317" t="s">
        <v>1090</v>
      </c>
      <c r="D1889" s="293">
        <f>'[7]Bill-21'!N14</f>
        <v>55256</v>
      </c>
      <c r="E1889" s="293">
        <f>D1889*$E$1925/$D$1925</f>
        <v>82147.641464615925</v>
      </c>
      <c r="F1889" s="339"/>
      <c r="G1889" s="376"/>
      <c r="H1889" s="343"/>
      <c r="K1889" s="339"/>
      <c r="L1889" s="376">
        <f>L961</f>
        <v>1.7867999999999999</v>
      </c>
      <c r="M1889" s="343" t="s">
        <v>1062</v>
      </c>
      <c r="N1889" s="376">
        <f>N961</f>
        <v>19.766631654000651</v>
      </c>
      <c r="O1889" s="343" t="s">
        <v>1062</v>
      </c>
      <c r="P1889" s="376">
        <f>P961</f>
        <v>1.3127</v>
      </c>
      <c r="Q1889" s="343" t="s">
        <v>1062</v>
      </c>
      <c r="R1889" s="376">
        <f t="shared" ref="R1889:R1896" si="1022">R961</f>
        <v>22.86613165400065</v>
      </c>
      <c r="S1889" s="343" t="s">
        <v>1062</v>
      </c>
      <c r="T1889" s="294">
        <f>ROUND($E1889*L1889/100,0)</f>
        <v>1468</v>
      </c>
      <c r="U1889" s="346"/>
      <c r="V1889" s="294">
        <f>ROUND($E1889*N1889/100,0)</f>
        <v>16238</v>
      </c>
      <c r="W1889" s="346"/>
      <c r="X1889" s="294">
        <f>ROUND($E1889*P1889/100,0)</f>
        <v>1078</v>
      </c>
      <c r="Y1889" s="346"/>
      <c r="Z1889" s="294">
        <f>ROUND($E1889*R1889/100,0)</f>
        <v>18784</v>
      </c>
    </row>
    <row r="1890" spans="2:30">
      <c r="B1890" s="317" t="s">
        <v>1091</v>
      </c>
      <c r="D1890" s="293">
        <f>'[7]Bill-21'!O14</f>
        <v>0</v>
      </c>
      <c r="E1890" s="293">
        <f t="shared" ref="E1890:E1896" si="1023">D1890*$E$1925/$D$1925</f>
        <v>0</v>
      </c>
      <c r="F1890" s="339"/>
      <c r="G1890" s="376"/>
      <c r="H1890" s="343"/>
      <c r="K1890" s="339"/>
      <c r="L1890" s="376">
        <f t="shared" ref="L1890:L1896" si="1024">L962</f>
        <v>1.7867999999999999</v>
      </c>
      <c r="M1890" s="343" t="s">
        <v>1062</v>
      </c>
      <c r="N1890" s="376">
        <f t="shared" ref="N1890:N1896" si="1025">N962</f>
        <v>1.4732003384230001</v>
      </c>
      <c r="O1890" s="343" t="s">
        <v>1062</v>
      </c>
      <c r="P1890" s="376">
        <f t="shared" ref="P1890:P1896" si="1026">P962</f>
        <v>1.3127</v>
      </c>
      <c r="Q1890" s="343" t="s">
        <v>1062</v>
      </c>
      <c r="R1890" s="376">
        <f t="shared" si="1022"/>
        <v>4.5727003384230001</v>
      </c>
      <c r="S1890" s="343" t="s">
        <v>1062</v>
      </c>
      <c r="T1890" s="294">
        <f t="shared" ref="T1890:T1896" si="1027">ROUND($E1890*L1890/100,0)</f>
        <v>0</v>
      </c>
      <c r="U1890" s="346"/>
      <c r="V1890" s="294">
        <f t="shared" ref="V1890:V1896" si="1028">ROUND($E1890*N1890/100,0)</f>
        <v>0</v>
      </c>
      <c r="W1890" s="346"/>
      <c r="X1890" s="294">
        <f t="shared" ref="X1890:X1896" si="1029">ROUND($E1890*P1890/100,0)</f>
        <v>0</v>
      </c>
      <c r="Y1890" s="346"/>
      <c r="Z1890" s="294">
        <f t="shared" ref="Z1890:Z1896" si="1030">ROUND($E1890*R1890/100,0)</f>
        <v>0</v>
      </c>
    </row>
    <row r="1891" spans="2:30">
      <c r="B1891" s="317" t="s">
        <v>1092</v>
      </c>
      <c r="D1891" s="293">
        <f>'[7]Bill-21'!R14</f>
        <v>105141</v>
      </c>
      <c r="E1891" s="293">
        <f t="shared" si="1023"/>
        <v>156310.35853538409</v>
      </c>
      <c r="F1891" s="339"/>
      <c r="G1891" s="376"/>
      <c r="H1891" s="343"/>
      <c r="K1891" s="339"/>
      <c r="L1891" s="376">
        <f t="shared" si="1024"/>
        <v>1.7867999999999999</v>
      </c>
      <c r="M1891" s="343" t="s">
        <v>1062</v>
      </c>
      <c r="N1891" s="376">
        <f t="shared" si="1025"/>
        <v>17.286999999999999</v>
      </c>
      <c r="O1891" s="343" t="s">
        <v>1062</v>
      </c>
      <c r="P1891" s="376">
        <f t="shared" si="1026"/>
        <v>1.1617</v>
      </c>
      <c r="Q1891" s="343" t="s">
        <v>1062</v>
      </c>
      <c r="R1891" s="376">
        <f t="shared" si="1022"/>
        <v>20.235499999999998</v>
      </c>
      <c r="S1891" s="343" t="s">
        <v>1062</v>
      </c>
      <c r="T1891" s="294">
        <f t="shared" si="1027"/>
        <v>2793</v>
      </c>
      <c r="U1891" s="346"/>
      <c r="V1891" s="294">
        <f t="shared" si="1028"/>
        <v>27021</v>
      </c>
      <c r="W1891" s="346"/>
      <c r="X1891" s="294">
        <f t="shared" si="1029"/>
        <v>1816</v>
      </c>
      <c r="Y1891" s="346"/>
      <c r="Z1891" s="294">
        <f t="shared" si="1030"/>
        <v>31630</v>
      </c>
    </row>
    <row r="1892" spans="2:30">
      <c r="B1892" s="317" t="s">
        <v>1093</v>
      </c>
      <c r="D1892" s="293">
        <f>'[7]Bill-21'!S14</f>
        <v>0</v>
      </c>
      <c r="E1892" s="293">
        <f t="shared" si="1023"/>
        <v>0</v>
      </c>
      <c r="F1892" s="339"/>
      <c r="G1892" s="376"/>
      <c r="H1892" s="343"/>
      <c r="K1892" s="339"/>
      <c r="L1892" s="376">
        <f t="shared" si="1024"/>
        <v>1.7867999999999999</v>
      </c>
      <c r="M1892" s="343" t="s">
        <v>1062</v>
      </c>
      <c r="N1892" s="376">
        <f t="shared" si="1025"/>
        <v>1.0980999999999999</v>
      </c>
      <c r="O1892" s="343" t="s">
        <v>1062</v>
      </c>
      <c r="P1892" s="376">
        <f t="shared" si="1026"/>
        <v>1.1617</v>
      </c>
      <c r="Q1892" s="343" t="s">
        <v>1062</v>
      </c>
      <c r="R1892" s="376">
        <f t="shared" si="1022"/>
        <v>4.0465999999999998</v>
      </c>
      <c r="S1892" s="343" t="s">
        <v>1062</v>
      </c>
      <c r="T1892" s="294">
        <f t="shared" si="1027"/>
        <v>0</v>
      </c>
      <c r="U1892" s="346"/>
      <c r="V1892" s="294">
        <f t="shared" si="1028"/>
        <v>0</v>
      </c>
      <c r="W1892" s="346"/>
      <c r="X1892" s="294">
        <f t="shared" si="1029"/>
        <v>0</v>
      </c>
      <c r="Y1892" s="346"/>
      <c r="Z1892" s="294">
        <f t="shared" si="1030"/>
        <v>0</v>
      </c>
    </row>
    <row r="1893" spans="2:30">
      <c r="B1893" s="317" t="s">
        <v>1094</v>
      </c>
      <c r="D1893" s="293">
        <f>'[7]Bill-21'!P14</f>
        <v>30686.447437025206</v>
      </c>
      <c r="E1893" s="293">
        <f t="shared" si="1023"/>
        <v>45620.73407194746</v>
      </c>
      <c r="F1893" s="339"/>
      <c r="G1893" s="376"/>
      <c r="H1893" s="343"/>
      <c r="K1893" s="339"/>
      <c r="L1893" s="376">
        <f t="shared" si="1024"/>
        <v>0</v>
      </c>
      <c r="M1893" s="343" t="s">
        <v>1062</v>
      </c>
      <c r="N1893" s="376">
        <f t="shared" si="1025"/>
        <v>0</v>
      </c>
      <c r="O1893" s="343" t="s">
        <v>1062</v>
      </c>
      <c r="P1893" s="376">
        <f t="shared" si="1026"/>
        <v>6</v>
      </c>
      <c r="Q1893" s="343" t="s">
        <v>1062</v>
      </c>
      <c r="R1893" s="376">
        <f t="shared" si="1022"/>
        <v>6</v>
      </c>
      <c r="S1893" s="343" t="s">
        <v>1062</v>
      </c>
      <c r="T1893" s="294">
        <f t="shared" si="1027"/>
        <v>0</v>
      </c>
      <c r="U1893" s="346"/>
      <c r="V1893" s="294">
        <f t="shared" si="1028"/>
        <v>0</v>
      </c>
      <c r="W1893" s="346"/>
      <c r="X1893" s="294">
        <f t="shared" si="1029"/>
        <v>2737</v>
      </c>
      <c r="Y1893" s="346"/>
      <c r="Z1893" s="294">
        <f t="shared" si="1030"/>
        <v>2737</v>
      </c>
    </row>
    <row r="1894" spans="2:30">
      <c r="B1894" s="317" t="s">
        <v>1095</v>
      </c>
      <c r="D1894" s="293">
        <f>'[7]Bill-21'!Q14</f>
        <v>24569.55256297479</v>
      </c>
      <c r="E1894" s="293">
        <f t="shared" si="1023"/>
        <v>36526.907392668458</v>
      </c>
      <c r="F1894" s="339"/>
      <c r="G1894" s="376"/>
      <c r="H1894" s="343"/>
      <c r="K1894" s="339"/>
      <c r="L1894" s="376">
        <f t="shared" si="1024"/>
        <v>0</v>
      </c>
      <c r="M1894" s="343" t="s">
        <v>1062</v>
      </c>
      <c r="N1894" s="376">
        <f t="shared" si="1025"/>
        <v>0</v>
      </c>
      <c r="O1894" s="343" t="s">
        <v>1062</v>
      </c>
      <c r="P1894" s="376">
        <f t="shared" si="1026"/>
        <v>-2.3358000000000008</v>
      </c>
      <c r="Q1894" s="343" t="s">
        <v>1062</v>
      </c>
      <c r="R1894" s="376">
        <f t="shared" si="1022"/>
        <v>-2.3358000000000008</v>
      </c>
      <c r="S1894" s="343" t="s">
        <v>1062</v>
      </c>
      <c r="T1894" s="294">
        <f t="shared" si="1027"/>
        <v>0</v>
      </c>
      <c r="U1894" s="346"/>
      <c r="V1894" s="294">
        <f t="shared" si="1028"/>
        <v>0</v>
      </c>
      <c r="W1894" s="346"/>
      <c r="X1894" s="294">
        <f t="shared" si="1029"/>
        <v>-853</v>
      </c>
      <c r="Y1894" s="346"/>
      <c r="Z1894" s="294">
        <f t="shared" si="1030"/>
        <v>-853</v>
      </c>
    </row>
    <row r="1895" spans="2:30">
      <c r="B1895" s="317" t="s">
        <v>1096</v>
      </c>
      <c r="D1895" s="293">
        <f>'[7]Bill-21'!T14</f>
        <v>58390.107318232724</v>
      </c>
      <c r="E1895" s="293">
        <f t="shared" si="1023"/>
        <v>86807.036359103586</v>
      </c>
      <c r="F1895" s="339"/>
      <c r="G1895" s="376"/>
      <c r="H1895" s="343"/>
      <c r="K1895" s="339"/>
      <c r="L1895" s="376">
        <f t="shared" si="1024"/>
        <v>0</v>
      </c>
      <c r="M1895" s="343" t="s">
        <v>1062</v>
      </c>
      <c r="N1895" s="376">
        <f t="shared" si="1025"/>
        <v>0</v>
      </c>
      <c r="O1895" s="343" t="s">
        <v>1062</v>
      </c>
      <c r="P1895" s="376">
        <f t="shared" si="1026"/>
        <v>5.3097000000000003</v>
      </c>
      <c r="Q1895" s="343" t="s">
        <v>1062</v>
      </c>
      <c r="R1895" s="376">
        <f t="shared" si="1022"/>
        <v>5.3097000000000003</v>
      </c>
      <c r="S1895" s="343" t="s">
        <v>1062</v>
      </c>
      <c r="T1895" s="294">
        <f t="shared" si="1027"/>
        <v>0</v>
      </c>
      <c r="U1895" s="346"/>
      <c r="V1895" s="294">
        <f t="shared" si="1028"/>
        <v>0</v>
      </c>
      <c r="W1895" s="346"/>
      <c r="X1895" s="294">
        <f t="shared" si="1029"/>
        <v>4609</v>
      </c>
      <c r="Y1895" s="346"/>
      <c r="Z1895" s="294">
        <f t="shared" si="1030"/>
        <v>4609</v>
      </c>
    </row>
    <row r="1896" spans="2:30">
      <c r="B1896" s="317" t="s">
        <v>1097</v>
      </c>
      <c r="D1896" s="293">
        <f>'[7]Bill-21'!U14</f>
        <v>46750.892681767269</v>
      </c>
      <c r="E1896" s="293">
        <f t="shared" si="1023"/>
        <v>69503.322176280475</v>
      </c>
      <c r="F1896" s="339"/>
      <c r="G1896" s="376"/>
      <c r="H1896" s="343"/>
      <c r="K1896" s="339"/>
      <c r="L1896" s="376">
        <f t="shared" si="1024"/>
        <v>0</v>
      </c>
      <c r="M1896" s="343" t="s">
        <v>1062</v>
      </c>
      <c r="N1896" s="376">
        <f t="shared" si="1025"/>
        <v>0</v>
      </c>
      <c r="O1896" s="343" t="s">
        <v>1062</v>
      </c>
      <c r="P1896" s="376">
        <f t="shared" si="1026"/>
        <v>-2.0670999999999999</v>
      </c>
      <c r="Q1896" s="343" t="s">
        <v>1062</v>
      </c>
      <c r="R1896" s="376">
        <f t="shared" si="1022"/>
        <v>-2.0670999999999999</v>
      </c>
      <c r="S1896" s="343" t="s">
        <v>1062</v>
      </c>
      <c r="T1896" s="294">
        <f t="shared" si="1027"/>
        <v>0</v>
      </c>
      <c r="U1896" s="346"/>
      <c r="V1896" s="294">
        <f t="shared" si="1028"/>
        <v>0</v>
      </c>
      <c r="W1896" s="346"/>
      <c r="X1896" s="294">
        <f t="shared" si="1029"/>
        <v>-1437</v>
      </c>
      <c r="Y1896" s="346"/>
      <c r="Z1896" s="294">
        <f t="shared" si="1030"/>
        <v>-1437</v>
      </c>
    </row>
    <row r="1897" spans="2:30">
      <c r="B1897" s="317" t="s">
        <v>1079</v>
      </c>
      <c r="G1897" s="338"/>
      <c r="H1897" s="339"/>
      <c r="L1897" s="338"/>
      <c r="M1897" s="339"/>
      <c r="N1897" s="338"/>
      <c r="O1897" s="339"/>
      <c r="P1897" s="359" t="str">
        <f>$P$43</f>
        <v>Tax Year 1</v>
      </c>
      <c r="Q1897" s="339"/>
      <c r="R1897" s="338">
        <f>$R$979</f>
        <v>-2.7099999999999999E-2</v>
      </c>
      <c r="S1897" s="339"/>
      <c r="Z1897" s="294">
        <f>R1897*SUM(Z1889:Z1892)</f>
        <v>-1366.2194</v>
      </c>
    </row>
    <row r="1898" spans="2:30">
      <c r="B1898" s="317"/>
      <c r="G1898" s="338"/>
      <c r="H1898" s="339"/>
      <c r="L1898" s="338"/>
      <c r="M1898" s="339"/>
      <c r="N1898" s="338"/>
      <c r="O1898" s="339"/>
      <c r="P1898" s="359" t="str">
        <f>$P$44</f>
        <v>Tax Year 2</v>
      </c>
      <c r="Q1898" s="339"/>
      <c r="R1898" s="338">
        <f>$R$980</f>
        <v>-1.3599999999999999E-2</v>
      </c>
      <c r="S1898" s="339"/>
      <c r="Z1898" s="294">
        <f>R1898*SUM(Z1889:Z1892)</f>
        <v>-685.63040000000001</v>
      </c>
    </row>
    <row r="1899" spans="2:30">
      <c r="B1899" s="317"/>
      <c r="G1899" s="338"/>
      <c r="H1899" s="339"/>
      <c r="L1899" s="338"/>
      <c r="M1899" s="339"/>
      <c r="N1899" s="338"/>
      <c r="O1899" s="339"/>
      <c r="P1899" s="338"/>
      <c r="Q1899" s="339"/>
      <c r="R1899" s="338"/>
      <c r="S1899" s="339"/>
      <c r="T1899" s="294">
        <f>SUM(T1887:T1896)</f>
        <v>5086</v>
      </c>
      <c r="V1899" s="294">
        <f>SUM(V1887:V1896)</f>
        <v>43259</v>
      </c>
      <c r="X1899" s="294">
        <f>SUM(X1887:X1896)</f>
        <v>7950</v>
      </c>
      <c r="Z1899" s="294">
        <f>SUM(Z1887:Z1896)</f>
        <v>56295</v>
      </c>
      <c r="AB1899" s="305" t="s">
        <v>939</v>
      </c>
      <c r="AC1899" s="304">
        <f>Z1899/J1925-1</f>
        <v>0.16366627700710379</v>
      </c>
    </row>
    <row r="1900" spans="2:30">
      <c r="B1900" s="314" t="s">
        <v>1016</v>
      </c>
      <c r="AB1900" s="305"/>
      <c r="AC1900" s="337"/>
      <c r="AD1900" s="338"/>
    </row>
    <row r="1901" spans="2:30">
      <c r="B1901" s="317" t="s">
        <v>1089</v>
      </c>
      <c r="D1901" s="293">
        <f>'[7]21'!E20</f>
        <v>16.599921259842521</v>
      </c>
      <c r="E1901" s="293">
        <f>D1901*E1927/D1927</f>
        <v>21</v>
      </c>
      <c r="G1901" s="318"/>
      <c r="H1901" s="318"/>
      <c r="L1901" s="318">
        <f>L1479</f>
        <v>268.31</v>
      </c>
      <c r="M1901" s="318"/>
      <c r="N1901" s="318">
        <f>N1479</f>
        <v>3.6899999999999977</v>
      </c>
      <c r="O1901" s="318"/>
      <c r="P1901" s="318">
        <f>P1479</f>
        <v>0</v>
      </c>
      <c r="Q1901" s="318"/>
      <c r="R1901" s="318">
        <f t="shared" ref="R1901:R1908" si="1031">R1479</f>
        <v>272</v>
      </c>
      <c r="S1901" s="318"/>
      <c r="T1901" s="319">
        <f t="shared" ref="T1901:T1904" si="1032">ROUND($E1901*L1901,0)</f>
        <v>5635</v>
      </c>
      <c r="U1901" s="319"/>
      <c r="V1901" s="319">
        <f t="shared" ref="V1901:V1904" si="1033">ROUND($E1901*N1901,0)</f>
        <v>77</v>
      </c>
      <c r="W1901" s="319"/>
      <c r="X1901" s="319">
        <f t="shared" ref="X1901:X1904" si="1034">ROUND($E1901*P1901,0)</f>
        <v>0</v>
      </c>
      <c r="Y1901" s="319"/>
      <c r="Z1901" s="319">
        <f t="shared" ref="Z1901:Z1904" si="1035">ROUND($E1901*R1901,0)</f>
        <v>5712</v>
      </c>
    </row>
    <row r="1902" spans="2:30">
      <c r="B1902" s="317" t="s">
        <v>1101</v>
      </c>
      <c r="D1902" s="293">
        <f>'[7]21'!G20</f>
        <v>17216.667441860463</v>
      </c>
      <c r="E1902" s="293">
        <f>D1902*$E$1933/$D$1933</f>
        <v>25595.559913253968</v>
      </c>
      <c r="G1902" s="318"/>
      <c r="H1902" s="318"/>
      <c r="L1902" s="318">
        <f t="shared" ref="L1902:L1908" si="1036">L1480</f>
        <v>0</v>
      </c>
      <c r="M1902" s="318"/>
      <c r="N1902" s="318">
        <f t="shared" ref="N1902:N1908" si="1037">N1480</f>
        <v>2.33</v>
      </c>
      <c r="O1902" s="318"/>
      <c r="P1902" s="318">
        <f t="shared" ref="P1902:P1908" si="1038">P1480</f>
        <v>0</v>
      </c>
      <c r="Q1902" s="318"/>
      <c r="R1902" s="318">
        <f t="shared" si="1031"/>
        <v>2.33</v>
      </c>
      <c r="S1902" s="318"/>
      <c r="T1902" s="319">
        <f t="shared" si="1032"/>
        <v>0</v>
      </c>
      <c r="U1902" s="319"/>
      <c r="V1902" s="319">
        <f t="shared" si="1033"/>
        <v>59638</v>
      </c>
      <c r="W1902" s="319"/>
      <c r="X1902" s="319">
        <f t="shared" si="1034"/>
        <v>0</v>
      </c>
      <c r="Y1902" s="319"/>
      <c r="Z1902" s="319">
        <f t="shared" si="1035"/>
        <v>59638</v>
      </c>
      <c r="AA1902" s="291" t="s">
        <v>1173</v>
      </c>
    </row>
    <row r="1903" spans="2:30">
      <c r="B1903" s="317" t="s">
        <v>1164</v>
      </c>
      <c r="D1903" s="293">
        <f>D1909*AA1903</f>
        <v>5858.7715213984329</v>
      </c>
      <c r="E1903" s="293">
        <f>D1903*$E$1933/$D$1933</f>
        <v>8710.0792299334153</v>
      </c>
      <c r="G1903" s="339"/>
      <c r="H1903" s="339"/>
      <c r="L1903" s="339">
        <f t="shared" si="1036"/>
        <v>0</v>
      </c>
      <c r="M1903" s="339"/>
      <c r="N1903" s="339">
        <f t="shared" si="1037"/>
        <v>14.65</v>
      </c>
      <c r="O1903" s="339"/>
      <c r="P1903" s="339">
        <f t="shared" si="1038"/>
        <v>0</v>
      </c>
      <c r="Q1903" s="339"/>
      <c r="R1903" s="339">
        <f t="shared" si="1031"/>
        <v>14.65</v>
      </c>
      <c r="S1903" s="339"/>
      <c r="T1903" s="319">
        <f t="shared" si="1032"/>
        <v>0</v>
      </c>
      <c r="U1903" s="319"/>
      <c r="V1903" s="319">
        <f t="shared" si="1033"/>
        <v>127603</v>
      </c>
      <c r="W1903" s="319"/>
      <c r="X1903" s="319">
        <f t="shared" si="1034"/>
        <v>0</v>
      </c>
      <c r="Z1903" s="319">
        <f t="shared" si="1035"/>
        <v>127603</v>
      </c>
      <c r="AA1903" s="291">
        <f>'[7]Large Profile'!L11</f>
        <v>0.8153977208412958</v>
      </c>
    </row>
    <row r="1904" spans="2:30">
      <c r="B1904" s="317" t="s">
        <v>1165</v>
      </c>
      <c r="D1904" s="293">
        <f>D1910*AA1904</f>
        <v>11408.233055488743</v>
      </c>
      <c r="E1904" s="293">
        <f>D1904*$E$1933/$D$1933</f>
        <v>16960.31555829207</v>
      </c>
      <c r="G1904" s="339"/>
      <c r="H1904" s="339"/>
      <c r="L1904" s="339">
        <f t="shared" si="1036"/>
        <v>0</v>
      </c>
      <c r="M1904" s="339"/>
      <c r="N1904" s="339">
        <f t="shared" si="1037"/>
        <v>12.96</v>
      </c>
      <c r="O1904" s="339"/>
      <c r="P1904" s="339">
        <f t="shared" si="1038"/>
        <v>0</v>
      </c>
      <c r="Q1904" s="339"/>
      <c r="R1904" s="339">
        <f t="shared" si="1031"/>
        <v>12.96</v>
      </c>
      <c r="S1904" s="339"/>
      <c r="T1904" s="319">
        <f t="shared" si="1032"/>
        <v>0</v>
      </c>
      <c r="U1904" s="319"/>
      <c r="V1904" s="319">
        <f t="shared" si="1033"/>
        <v>219806</v>
      </c>
      <c r="W1904" s="319"/>
      <c r="X1904" s="319">
        <f t="shared" si="1034"/>
        <v>0</v>
      </c>
      <c r="Z1904" s="319">
        <f t="shared" si="1035"/>
        <v>219806</v>
      </c>
      <c r="AA1904" s="291">
        <f>'[7]Large Profile'!P11</f>
        <v>1.1372413252842475</v>
      </c>
    </row>
    <row r="1905" spans="2:29">
      <c r="B1905" s="317" t="s">
        <v>1061</v>
      </c>
      <c r="D1905" s="293">
        <f>D1911*AA1905</f>
        <v>71685.943799010769</v>
      </c>
      <c r="E1905" s="293">
        <f>D1905*$E$1933/($D$1933-$D$1931)</f>
        <v>104593.03613544382</v>
      </c>
      <c r="G1905" s="377"/>
      <c r="H1905" s="343"/>
      <c r="L1905" s="377">
        <f t="shared" si="1036"/>
        <v>0</v>
      </c>
      <c r="M1905" s="343" t="s">
        <v>1062</v>
      </c>
      <c r="N1905" s="377">
        <f t="shared" si="1037"/>
        <v>1.1506000000000001</v>
      </c>
      <c r="O1905" s="343" t="s">
        <v>1062</v>
      </c>
      <c r="P1905" s="377">
        <f t="shared" si="1038"/>
        <v>3.8523835124000003</v>
      </c>
      <c r="Q1905" s="343" t="s">
        <v>1062</v>
      </c>
      <c r="R1905" s="377">
        <f t="shared" si="1031"/>
        <v>5.0029835124000002</v>
      </c>
      <c r="S1905" s="343" t="s">
        <v>1062</v>
      </c>
      <c r="T1905" s="294">
        <f t="shared" ref="T1905:T1908" si="1039">ROUND($E1905*L1905/100,0)</f>
        <v>0</v>
      </c>
      <c r="U1905" s="346"/>
      <c r="V1905" s="294">
        <f t="shared" ref="V1905:V1908" si="1040">ROUND($E1905*N1905/100,0)</f>
        <v>1203</v>
      </c>
      <c r="W1905" s="346"/>
      <c r="X1905" s="294">
        <f t="shared" ref="X1905:X1908" si="1041">ROUND($E1905*P1905/100,0)</f>
        <v>4029</v>
      </c>
      <c r="Y1905" s="346"/>
      <c r="Z1905" s="294">
        <f t="shared" ref="Z1905:Z1908" si="1042">ROUND($E1905*R1905/100,0)</f>
        <v>5233</v>
      </c>
      <c r="AA1905" s="291">
        <f>'[7]Large Profile'!M11</f>
        <v>0.78917940501629313</v>
      </c>
    </row>
    <row r="1906" spans="2:29">
      <c r="B1906" s="317" t="s">
        <v>1166</v>
      </c>
      <c r="D1906" s="293">
        <f>D1912*AA1906</f>
        <v>190923.13883247101</v>
      </c>
      <c r="E1906" s="293">
        <f>D1906*$E$1933/($D$1933-$D$1931)</f>
        <v>278565.49974407349</v>
      </c>
      <c r="G1906" s="377"/>
      <c r="H1906" s="343"/>
      <c r="L1906" s="377">
        <f t="shared" si="1036"/>
        <v>0</v>
      </c>
      <c r="M1906" s="343" t="s">
        <v>1062</v>
      </c>
      <c r="N1906" s="377">
        <f t="shared" si="1037"/>
        <v>1.1506000000000001</v>
      </c>
      <c r="O1906" s="343" t="s">
        <v>1062</v>
      </c>
      <c r="P1906" s="377">
        <f t="shared" si="1038"/>
        <v>3.2768190375220003</v>
      </c>
      <c r="Q1906" s="343" t="s">
        <v>1062</v>
      </c>
      <c r="R1906" s="377">
        <f t="shared" si="1031"/>
        <v>4.4274190375220002</v>
      </c>
      <c r="S1906" s="343" t="s">
        <v>1062</v>
      </c>
      <c r="T1906" s="294">
        <f t="shared" si="1039"/>
        <v>0</v>
      </c>
      <c r="U1906" s="346"/>
      <c r="V1906" s="294">
        <f t="shared" si="1040"/>
        <v>3205</v>
      </c>
      <c r="W1906" s="346"/>
      <c r="X1906" s="294">
        <f t="shared" si="1041"/>
        <v>9128</v>
      </c>
      <c r="Y1906" s="346"/>
      <c r="Z1906" s="294">
        <f t="shared" si="1042"/>
        <v>12333</v>
      </c>
      <c r="AA1906" s="291">
        <f>'[7]Large Profile'!Q11</f>
        <v>0.56972975514840463</v>
      </c>
    </row>
    <row r="1907" spans="2:29">
      <c r="B1907" s="317" t="s">
        <v>1064</v>
      </c>
      <c r="D1907" s="293">
        <f>D1913*AA1907</f>
        <v>239662.38037805207</v>
      </c>
      <c r="E1907" s="293">
        <f>D1907*$E$1933/($D$1933-$D$1931)</f>
        <v>349678.2588434582</v>
      </c>
      <c r="G1907" s="377"/>
      <c r="H1907" s="343"/>
      <c r="L1907" s="377">
        <f t="shared" si="1036"/>
        <v>0</v>
      </c>
      <c r="M1907" s="343" t="s">
        <v>1062</v>
      </c>
      <c r="N1907" s="377">
        <f t="shared" si="1037"/>
        <v>1.1506000000000001</v>
      </c>
      <c r="O1907" s="343" t="s">
        <v>1062</v>
      </c>
      <c r="P1907" s="377">
        <f t="shared" si="1038"/>
        <v>1.5002843230069998</v>
      </c>
      <c r="Q1907" s="343" t="s">
        <v>1062</v>
      </c>
      <c r="R1907" s="377">
        <f t="shared" si="1031"/>
        <v>2.6508843230069998</v>
      </c>
      <c r="S1907" s="343" t="s">
        <v>1062</v>
      </c>
      <c r="T1907" s="294">
        <f t="shared" si="1039"/>
        <v>0</v>
      </c>
      <c r="U1907" s="346"/>
      <c r="V1907" s="294">
        <f t="shared" si="1040"/>
        <v>4023</v>
      </c>
      <c r="W1907" s="346"/>
      <c r="X1907" s="294">
        <f t="shared" si="1041"/>
        <v>5246</v>
      </c>
      <c r="Y1907" s="346"/>
      <c r="Z1907" s="294">
        <f t="shared" si="1042"/>
        <v>9270</v>
      </c>
      <c r="AA1907" s="291">
        <f>'[7]Large Profile'!O11</f>
        <v>0.8068952882198398</v>
      </c>
    </row>
    <row r="1908" spans="2:29">
      <c r="B1908" s="317" t="s">
        <v>1167</v>
      </c>
      <c r="D1908" s="293">
        <f>SUM(D1911:D1914)-SUM(D1905:D1907)</f>
        <v>593413.53699046606</v>
      </c>
      <c r="E1908" s="293">
        <f>D1908*$E$1933/($D$1933-$D$1931)</f>
        <v>865817.20527702442</v>
      </c>
      <c r="G1908" s="377"/>
      <c r="H1908" s="343"/>
      <c r="L1908" s="377">
        <f t="shared" si="1036"/>
        <v>0</v>
      </c>
      <c r="M1908" s="343" t="s">
        <v>1062</v>
      </c>
      <c r="N1908" s="377">
        <f t="shared" si="1037"/>
        <v>1.1506000000000001</v>
      </c>
      <c r="O1908" s="343" t="s">
        <v>1062</v>
      </c>
      <c r="P1908" s="377">
        <f t="shared" si="1038"/>
        <v>1.1953153300949999</v>
      </c>
      <c r="Q1908" s="343" t="s">
        <v>1062</v>
      </c>
      <c r="R1908" s="377">
        <f t="shared" si="1031"/>
        <v>2.345915330095</v>
      </c>
      <c r="S1908" s="343" t="s">
        <v>1062</v>
      </c>
      <c r="T1908" s="294">
        <f t="shared" si="1039"/>
        <v>0</v>
      </c>
      <c r="U1908" s="346"/>
      <c r="V1908" s="294">
        <f t="shared" si="1040"/>
        <v>9962</v>
      </c>
      <c r="W1908" s="346"/>
      <c r="X1908" s="294">
        <f t="shared" si="1041"/>
        <v>10349</v>
      </c>
      <c r="Y1908" s="346"/>
      <c r="Z1908" s="294">
        <f t="shared" si="1042"/>
        <v>20311</v>
      </c>
      <c r="AA1908" s="291">
        <f>'[7]Large Profile'!S11</f>
        <v>1.6631051794653182</v>
      </c>
    </row>
    <row r="1909" spans="2:29">
      <c r="B1909" s="317" t="s">
        <v>1183</v>
      </c>
      <c r="D1909" s="293">
        <f>$D$1902*AA1909</f>
        <v>7185.1703428280116</v>
      </c>
      <c r="G1909" s="377"/>
      <c r="H1909" s="343"/>
      <c r="L1909" s="377"/>
      <c r="M1909" s="343"/>
      <c r="N1909" s="377"/>
      <c r="O1909" s="343"/>
      <c r="P1909" s="377"/>
      <c r="Q1909" s="343"/>
      <c r="R1909" s="377"/>
      <c r="S1909" s="343"/>
      <c r="T1909" s="346"/>
      <c r="U1909" s="346"/>
      <c r="V1909" s="346"/>
      <c r="W1909" s="346"/>
      <c r="X1909" s="346"/>
      <c r="Y1909" s="346"/>
      <c r="AA1909" s="291">
        <f>'[7]Large Profile'!D7/'[7]Large Profile'!B7</f>
        <v>0.41733804565208987</v>
      </c>
    </row>
    <row r="1910" spans="2:29">
      <c r="B1910" s="317" t="s">
        <v>1184</v>
      </c>
      <c r="D1910" s="293">
        <f>$D$1902*AA1910</f>
        <v>10031.497099032445</v>
      </c>
      <c r="G1910" s="377"/>
      <c r="H1910" s="343"/>
      <c r="L1910" s="377"/>
      <c r="M1910" s="343"/>
      <c r="N1910" s="377"/>
      <c r="O1910" s="343"/>
      <c r="P1910" s="377"/>
      <c r="Q1910" s="343"/>
      <c r="R1910" s="377"/>
      <c r="S1910" s="343"/>
      <c r="T1910" s="346"/>
      <c r="U1910" s="346"/>
      <c r="V1910" s="346"/>
      <c r="W1910" s="346"/>
      <c r="X1910" s="346"/>
      <c r="Y1910" s="346"/>
      <c r="AA1910" s="291">
        <f>'[7]Large Profile'!H7/'[7]Large Profile'!B7</f>
        <v>0.58266195434790979</v>
      </c>
    </row>
    <row r="1911" spans="2:29">
      <c r="B1911" s="317" t="s">
        <v>1185</v>
      </c>
      <c r="D1911" s="293">
        <f>AA1911*'[7]21'!L20</f>
        <v>90836.054949420242</v>
      </c>
      <c r="G1911" s="377"/>
      <c r="H1911" s="343"/>
      <c r="L1911" s="377"/>
      <c r="M1911" s="343"/>
      <c r="N1911" s="377"/>
      <c r="O1911" s="343"/>
      <c r="P1911" s="377"/>
      <c r="Q1911" s="343"/>
      <c r="R1911" s="377"/>
      <c r="S1911" s="343"/>
      <c r="T1911" s="346"/>
      <c r="U1911" s="346"/>
      <c r="V1911" s="346"/>
      <c r="W1911" s="346"/>
      <c r="X1911" s="346"/>
      <c r="Y1911" s="346"/>
      <c r="AA1911" s="291">
        <f>'[7]Large Profile'!E7/('[7]Large Profile'!E7+'[7]Large Profile'!G7)</f>
        <v>0.23420167111701889</v>
      </c>
    </row>
    <row r="1912" spans="2:29">
      <c r="B1912" s="317" t="s">
        <v>1186</v>
      </c>
      <c r="D1912" s="293">
        <f>AA1912*('[7]21'!J20-'[7]21'!L20)</f>
        <v>335111.75624439499</v>
      </c>
      <c r="G1912" s="377"/>
      <c r="H1912" s="343"/>
      <c r="L1912" s="377"/>
      <c r="M1912" s="343"/>
      <c r="N1912" s="377"/>
      <c r="O1912" s="343"/>
      <c r="P1912" s="377"/>
      <c r="Q1912" s="343"/>
      <c r="R1912" s="377"/>
      <c r="S1912" s="343"/>
      <c r="T1912" s="346"/>
      <c r="U1912" s="346"/>
      <c r="V1912" s="346"/>
      <c r="W1912" s="346"/>
      <c r="X1912" s="346"/>
      <c r="Y1912" s="346"/>
      <c r="AA1912" s="291">
        <f>'[7]Large Profile'!I7/('[7]Large Profile'!I7+'[7]Large Profile'!K7)</f>
        <v>0.47343469874079402</v>
      </c>
    </row>
    <row r="1913" spans="2:29">
      <c r="B1913" s="317" t="s">
        <v>1187</v>
      </c>
      <c r="D1913" s="293">
        <f>AA1913*('[7]21'!L20)</f>
        <v>297017.94505057973</v>
      </c>
      <c r="G1913" s="377"/>
      <c r="H1913" s="343"/>
      <c r="L1913" s="377"/>
      <c r="M1913" s="343"/>
      <c r="N1913" s="377"/>
      <c r="O1913" s="343"/>
      <c r="P1913" s="377"/>
      <c r="Q1913" s="343"/>
      <c r="R1913" s="377"/>
      <c r="S1913" s="343"/>
      <c r="T1913" s="346"/>
      <c r="U1913" s="346"/>
      <c r="V1913" s="346"/>
      <c r="W1913" s="346"/>
      <c r="X1913" s="346"/>
      <c r="Y1913" s="346"/>
      <c r="AA1913" s="291">
        <f>1-AA1911</f>
        <v>0.76579832888298105</v>
      </c>
    </row>
    <row r="1914" spans="2:29">
      <c r="B1914" s="317" t="s">
        <v>1188</v>
      </c>
      <c r="D1914" s="293">
        <f>D1929+D1930-SUM(D1911:D1913)</f>
        <v>372719.24375560507</v>
      </c>
      <c r="G1914" s="377"/>
      <c r="H1914" s="343"/>
      <c r="L1914" s="377"/>
      <c r="M1914" s="343"/>
      <c r="N1914" s="377"/>
      <c r="O1914" s="343"/>
      <c r="P1914" s="377"/>
      <c r="Q1914" s="343"/>
      <c r="R1914" s="377"/>
      <c r="S1914" s="343"/>
      <c r="T1914" s="346"/>
      <c r="U1914" s="346"/>
      <c r="V1914" s="346"/>
      <c r="W1914" s="346"/>
      <c r="X1914" s="346"/>
      <c r="Y1914" s="346"/>
      <c r="AA1914" s="291">
        <f>1-AA1912</f>
        <v>0.52656530125920598</v>
      </c>
    </row>
    <row r="1915" spans="2:29">
      <c r="B1915" s="317" t="s">
        <v>1079</v>
      </c>
      <c r="G1915" s="338">
        <v>-6.2E-2</v>
      </c>
      <c r="H1915" s="339"/>
      <c r="I1915" s="294">
        <f>SUM(I1903:I1905,I1910:I1912)*$G1915</f>
        <v>0</v>
      </c>
      <c r="J1915" s="294">
        <f>SUM(J1903:J1905,J1910:J1912)*$G1915</f>
        <v>0</v>
      </c>
      <c r="L1915" s="338"/>
      <c r="M1915" s="339"/>
      <c r="N1915" s="338"/>
      <c r="O1915" s="339"/>
      <c r="P1915" s="359" t="str">
        <f>$P$43</f>
        <v>Tax Year 1</v>
      </c>
      <c r="Q1915" s="339"/>
      <c r="R1915" s="338">
        <f>R1493</f>
        <v>-2.2599999999999999E-2</v>
      </c>
      <c r="S1915" s="339"/>
      <c r="Z1915" s="294">
        <f>R1915*SUM(Z1903:Z1908)</f>
        <v>-8916.9655999999995</v>
      </c>
    </row>
    <row r="1916" spans="2:29">
      <c r="B1916" s="317"/>
      <c r="G1916" s="338"/>
      <c r="H1916" s="339"/>
      <c r="L1916" s="338"/>
      <c r="M1916" s="339"/>
      <c r="N1916" s="338"/>
      <c r="O1916" s="339"/>
      <c r="P1916" s="359" t="str">
        <f>$P$44</f>
        <v>Tax Year 2</v>
      </c>
      <c r="Q1916" s="339"/>
      <c r="R1916" s="338">
        <f>R1494</f>
        <v>-1.1299999999999999E-2</v>
      </c>
      <c r="S1916" s="339"/>
      <c r="Z1916" s="294">
        <f>R1916*SUM(Z1903:Z1908)</f>
        <v>-4458.4827999999998</v>
      </c>
    </row>
    <row r="1917" spans="2:29">
      <c r="B1917" s="317"/>
      <c r="G1917" s="338"/>
      <c r="H1917" s="339"/>
      <c r="L1917" s="338"/>
      <c r="M1917" s="339"/>
      <c r="N1917" s="338"/>
      <c r="O1917" s="339"/>
      <c r="P1917" s="338"/>
      <c r="Q1917" s="339"/>
      <c r="R1917" s="338"/>
      <c r="S1917" s="339"/>
      <c r="T1917" s="294">
        <f>SUM(T1901:T1908)</f>
        <v>5635</v>
      </c>
      <c r="V1917" s="294">
        <f>SUM(V1901:V1908)</f>
        <v>425517</v>
      </c>
      <c r="X1917" s="294">
        <f>SUM(X1901:X1908)</f>
        <v>28752</v>
      </c>
      <c r="Z1917" s="294">
        <f>SUM(Z1901:Z1908)</f>
        <v>459906</v>
      </c>
      <c r="AB1917" s="305" t="s">
        <v>939</v>
      </c>
      <c r="AC1917" s="304">
        <f>Z1917/J1933-1</f>
        <v>1.4895109270998539</v>
      </c>
    </row>
    <row r="1918" spans="2:29">
      <c r="B1918" s="428" t="s">
        <v>1297</v>
      </c>
    </row>
    <row r="1919" spans="2:29">
      <c r="B1919" s="317" t="s">
        <v>1089</v>
      </c>
      <c r="D1919" s="293">
        <f>'[7]21'!H7</f>
        <v>12</v>
      </c>
      <c r="E1919" s="293">
        <f>ROUND(D1919/($D$1919+$D$1927)*[7]Bill!$P$65,0)</f>
        <v>15</v>
      </c>
      <c r="G1919" s="318">
        <v>127</v>
      </c>
      <c r="H1919" s="318"/>
      <c r="I1919" s="294">
        <f>ROUND($G1919*D1919,0)</f>
        <v>1524</v>
      </c>
      <c r="J1919" s="294">
        <f>ROUND($G1919*E1919,0)</f>
        <v>1905</v>
      </c>
      <c r="L1919" s="318"/>
      <c r="M1919" s="318"/>
      <c r="N1919" s="318"/>
      <c r="O1919" s="318"/>
      <c r="P1919" s="318"/>
      <c r="Q1919" s="318"/>
      <c r="R1919" s="318"/>
      <c r="S1919" s="318"/>
      <c r="T1919" s="319"/>
      <c r="U1919" s="319"/>
      <c r="V1919" s="319"/>
      <c r="W1919" s="319"/>
      <c r="X1919" s="319"/>
      <c r="Y1919" s="319"/>
    </row>
    <row r="1920" spans="2:29">
      <c r="B1920" s="317" t="s">
        <v>1298</v>
      </c>
      <c r="D1920" s="293">
        <f>'[7]21'!I7</f>
        <v>5197</v>
      </c>
      <c r="E1920" s="293">
        <f>ROUND(D1920/($D$1925-$D$1923)*$E$1925,0)</f>
        <v>7726</v>
      </c>
      <c r="G1920" s="318">
        <v>4.3</v>
      </c>
      <c r="H1920" s="318"/>
      <c r="I1920" s="294">
        <f>ROUND($G1920*D1920,0)</f>
        <v>22347</v>
      </c>
      <c r="J1920" s="294">
        <f>ROUND($G1920*E1920,0)</f>
        <v>33222</v>
      </c>
      <c r="L1920" s="318"/>
      <c r="M1920" s="318"/>
      <c r="N1920" s="318"/>
      <c r="O1920" s="318"/>
      <c r="P1920" s="318"/>
      <c r="Q1920" s="318"/>
      <c r="R1920" s="318"/>
      <c r="S1920" s="318"/>
      <c r="T1920" s="319"/>
      <c r="U1920" s="319"/>
      <c r="V1920" s="319"/>
      <c r="W1920" s="319"/>
      <c r="X1920" s="319"/>
      <c r="Y1920" s="319"/>
    </row>
    <row r="1921" spans="1:29">
      <c r="B1921" s="317" t="s">
        <v>1299</v>
      </c>
      <c r="D1921" s="293">
        <f>'[7]21'!K7</f>
        <v>160397</v>
      </c>
      <c r="E1921" s="293">
        <f>ROUND(D1921/($D$1925-$D$1923)*$E$1925,0)</f>
        <v>238458</v>
      </c>
      <c r="G1921" s="429">
        <v>6.8446999999999996</v>
      </c>
      <c r="H1921" s="343" t="s">
        <v>1062</v>
      </c>
      <c r="I1921" s="294">
        <f>ROUND($G1921*D1921/100,0)</f>
        <v>10979</v>
      </c>
      <c r="J1921" s="294">
        <f>ROUND($G1921*E1921/100,0)</f>
        <v>16322</v>
      </c>
      <c r="L1921" s="429"/>
      <c r="M1921" s="343"/>
      <c r="N1921" s="429"/>
      <c r="O1921" s="343"/>
      <c r="P1921" s="429"/>
      <c r="Q1921" s="343"/>
      <c r="R1921" s="429"/>
      <c r="S1921" s="343"/>
      <c r="T1921" s="346"/>
      <c r="U1921" s="346"/>
      <c r="V1921" s="346"/>
      <c r="W1921" s="346"/>
      <c r="X1921" s="346"/>
      <c r="Y1921" s="346"/>
    </row>
    <row r="1922" spans="1:29">
      <c r="B1922" s="317" t="s">
        <v>1195</v>
      </c>
      <c r="D1922" s="293">
        <f>'[7]21'!L7</f>
        <v>0</v>
      </c>
      <c r="E1922" s="293">
        <f t="shared" ref="E1922" si="1043">ROUND(D1922/($D$1925-$D$1923)*$E$1925,0)</f>
        <v>0</v>
      </c>
      <c r="G1922" s="429">
        <v>5.7472000000000003</v>
      </c>
      <c r="H1922" s="343" t="s">
        <v>1062</v>
      </c>
      <c r="I1922" s="294">
        <f>ROUND($G1922*D1922/100,0)</f>
        <v>0</v>
      </c>
      <c r="J1922" s="294">
        <f>ROUND($G1922*E1922/100,0)</f>
        <v>0</v>
      </c>
      <c r="L1922" s="429"/>
      <c r="M1922" s="343"/>
      <c r="N1922" s="429"/>
      <c r="O1922" s="343"/>
      <c r="P1922" s="429"/>
      <c r="Q1922" s="343"/>
      <c r="R1922" s="429"/>
      <c r="S1922" s="343"/>
      <c r="T1922" s="346"/>
      <c r="U1922" s="346"/>
      <c r="V1922" s="346"/>
      <c r="W1922" s="346"/>
      <c r="X1922" s="346"/>
      <c r="Y1922" s="346"/>
    </row>
    <row r="1923" spans="1:29">
      <c r="B1923" s="317" t="s">
        <v>1078</v>
      </c>
      <c r="D1923" s="357">
        <v>0</v>
      </c>
      <c r="E1923" s="357">
        <v>0</v>
      </c>
      <c r="G1923" s="429"/>
      <c r="H1923" s="418"/>
      <c r="I1923" s="358">
        <v>0</v>
      </c>
      <c r="J1923" s="358">
        <v>0</v>
      </c>
      <c r="L1923" s="429"/>
      <c r="M1923" s="418"/>
      <c r="N1923" s="429"/>
      <c r="O1923" s="418"/>
      <c r="P1923" s="429"/>
      <c r="Q1923" s="418"/>
      <c r="R1923" s="429"/>
      <c r="S1923" s="418"/>
      <c r="T1923" s="430"/>
      <c r="U1923" s="430"/>
      <c r="V1923" s="430"/>
      <c r="W1923" s="430"/>
      <c r="X1923" s="430"/>
      <c r="Y1923" s="430"/>
      <c r="Z1923" s="358"/>
    </row>
    <row r="1924" spans="1:29">
      <c r="B1924" s="317" t="s">
        <v>1079</v>
      </c>
      <c r="G1924" s="338">
        <v>-6.2E-2</v>
      </c>
      <c r="H1924" s="339"/>
      <c r="I1924" s="294">
        <f>SUM(I1920:I1922)*$G1924</f>
        <v>-2066.212</v>
      </c>
      <c r="J1924" s="294">
        <f>SUM(J1920:J1922)*$G1924</f>
        <v>-3071.7280000000001</v>
      </c>
      <c r="L1924" s="429"/>
      <c r="M1924" s="418"/>
      <c r="N1924" s="429"/>
      <c r="O1924" s="418"/>
      <c r="P1924" s="429"/>
      <c r="Q1924" s="418"/>
      <c r="R1924" s="429"/>
      <c r="S1924" s="418"/>
      <c r="T1924" s="430"/>
      <c r="U1924" s="430"/>
      <c r="V1924" s="430"/>
      <c r="W1924" s="430"/>
      <c r="X1924" s="430"/>
      <c r="Y1924" s="430"/>
    </row>
    <row r="1925" spans="1:29">
      <c r="B1925" s="317" t="s">
        <v>1300</v>
      </c>
      <c r="D1925" s="293">
        <f>D1922+D1921+D1923</f>
        <v>160397</v>
      </c>
      <c r="E1925" s="293">
        <f>ROUND(D1925/D1935*E1935,0)</f>
        <v>238458</v>
      </c>
      <c r="G1925" s="377"/>
      <c r="H1925" s="377"/>
      <c r="I1925" s="294">
        <f>SUM(I1919:I1924)</f>
        <v>32783.788</v>
      </c>
      <c r="J1925" s="294">
        <f>SUM(J1919:J1924)</f>
        <v>48377.271999999997</v>
      </c>
      <c r="L1925" s="377"/>
      <c r="M1925" s="377"/>
      <c r="N1925" s="377"/>
      <c r="O1925" s="377"/>
      <c r="P1925" s="377"/>
      <c r="Q1925" s="377"/>
      <c r="R1925" s="377"/>
      <c r="S1925" s="377"/>
    </row>
    <row r="1926" spans="1:29">
      <c r="B1926" s="428" t="s">
        <v>1301</v>
      </c>
      <c r="G1926" s="377"/>
      <c r="H1926" s="377"/>
      <c r="L1926" s="377"/>
      <c r="M1926" s="377"/>
      <c r="N1926" s="377"/>
      <c r="O1926" s="377"/>
      <c r="P1926" s="377"/>
      <c r="Q1926" s="377"/>
      <c r="R1926" s="377"/>
      <c r="S1926" s="377"/>
    </row>
    <row r="1927" spans="1:29">
      <c r="B1927" s="317" t="s">
        <v>1089</v>
      </c>
      <c r="D1927" s="293">
        <f>'[7]21'!H8</f>
        <v>16.599921259842521</v>
      </c>
      <c r="E1927" s="293">
        <f>[7]Bill!P65-Blocking!E1919</f>
        <v>21</v>
      </c>
      <c r="G1927" s="318">
        <v>127</v>
      </c>
      <c r="H1927" s="318"/>
      <c r="I1927" s="294">
        <f>ROUND($G1927*D1927,0)</f>
        <v>2108</v>
      </c>
      <c r="J1927" s="294">
        <f>ROUND($G1927*E1927,0)</f>
        <v>2667</v>
      </c>
      <c r="L1927" s="318"/>
      <c r="M1927" s="318"/>
      <c r="N1927" s="318"/>
      <c r="O1927" s="318"/>
      <c r="P1927" s="318"/>
      <c r="Q1927" s="318"/>
      <c r="R1927" s="318"/>
      <c r="S1927" s="318"/>
      <c r="T1927" s="319"/>
      <c r="U1927" s="319"/>
      <c r="V1927" s="319"/>
      <c r="W1927" s="319"/>
      <c r="X1927" s="319"/>
      <c r="Y1927" s="319"/>
    </row>
    <row r="1928" spans="1:29">
      <c r="B1928" s="317" t="s">
        <v>1298</v>
      </c>
      <c r="D1928" s="293">
        <f>'[7]21'!I8</f>
        <v>17216.667441860471</v>
      </c>
      <c r="E1928" s="293">
        <f>ROUND(D1928/($D$1933-$D$1931)*$E$1933,0)</f>
        <v>25120</v>
      </c>
      <c r="G1928" s="318">
        <v>4.3</v>
      </c>
      <c r="H1928" s="318"/>
      <c r="I1928" s="294">
        <f>ROUND($G1928*D1928,0)</f>
        <v>74032</v>
      </c>
      <c r="J1928" s="294">
        <f>ROUND($G1928*E1928,0)</f>
        <v>108016</v>
      </c>
      <c r="L1928" s="318"/>
      <c r="M1928" s="318"/>
      <c r="N1928" s="318"/>
      <c r="O1928" s="318"/>
      <c r="P1928" s="318"/>
      <c r="Q1928" s="318"/>
      <c r="R1928" s="318"/>
      <c r="S1928" s="318"/>
      <c r="T1928" s="319"/>
      <c r="U1928" s="319"/>
      <c r="V1928" s="319"/>
      <c r="W1928" s="319"/>
      <c r="X1928" s="319"/>
      <c r="Y1928" s="319"/>
    </row>
    <row r="1929" spans="1:29">
      <c r="B1929" s="317" t="s">
        <v>1299</v>
      </c>
      <c r="D1929" s="293">
        <f>'[7]21'!M8</f>
        <v>1095685</v>
      </c>
      <c r="E1929" s="293">
        <f>ROUND(D1929/($D$1933-$D$1931)*$E$1933,0)</f>
        <v>1598654</v>
      </c>
      <c r="G1929" s="429">
        <v>5.3851000000000004</v>
      </c>
      <c r="H1929" s="343" t="s">
        <v>1062</v>
      </c>
      <c r="I1929" s="294">
        <f>ROUND($G1929*D1929/100,0)</f>
        <v>59004</v>
      </c>
      <c r="J1929" s="294">
        <f>ROUND($G1929*E1929/100,0)</f>
        <v>86089</v>
      </c>
      <c r="L1929" s="429"/>
      <c r="M1929" s="343"/>
      <c r="N1929" s="429"/>
      <c r="O1929" s="343"/>
      <c r="P1929" s="429"/>
      <c r="Q1929" s="343"/>
      <c r="R1929" s="429"/>
      <c r="S1929" s="343"/>
      <c r="T1929" s="346"/>
      <c r="U1929" s="346"/>
      <c r="V1929" s="346"/>
      <c r="W1929" s="346"/>
      <c r="X1929" s="346"/>
      <c r="Y1929" s="346"/>
    </row>
    <row r="1930" spans="1:29">
      <c r="B1930" s="317" t="s">
        <v>1195</v>
      </c>
      <c r="D1930" s="293">
        <f>'[7]21'!N8</f>
        <v>0</v>
      </c>
      <c r="E1930" s="293">
        <f>ROUND(D1930/($D$1933-$D$1931)*$E$1933,0)</f>
        <v>0</v>
      </c>
      <c r="G1930" s="429">
        <v>4.7168999999999999</v>
      </c>
      <c r="H1930" s="343" t="s">
        <v>1062</v>
      </c>
      <c r="I1930" s="294">
        <f>ROUND($G1930*D1930/100,0)</f>
        <v>0</v>
      </c>
      <c r="J1930" s="294">
        <f>ROUND($G1930*E1930/100,0)</f>
        <v>0</v>
      </c>
      <c r="L1930" s="429"/>
      <c r="M1930" s="343"/>
      <c r="N1930" s="429"/>
      <c r="O1930" s="343"/>
      <c r="P1930" s="429"/>
      <c r="Q1930" s="343"/>
      <c r="R1930" s="429"/>
      <c r="S1930" s="343"/>
      <c r="T1930" s="346"/>
      <c r="U1930" s="346"/>
      <c r="V1930" s="346"/>
      <c r="W1930" s="346"/>
      <c r="X1930" s="346"/>
      <c r="Y1930" s="346"/>
    </row>
    <row r="1931" spans="1:29">
      <c r="B1931" s="317" t="s">
        <v>1078</v>
      </c>
      <c r="D1931" s="357">
        <f>'[7]Table 2'!J95</f>
        <v>-20362</v>
      </c>
      <c r="E1931" s="357">
        <v>0</v>
      </c>
      <c r="G1931" s="429"/>
      <c r="H1931" s="418"/>
      <c r="I1931" s="358">
        <f>'[7]Table 3'!F95</f>
        <v>-2422</v>
      </c>
      <c r="J1931" s="358">
        <v>0</v>
      </c>
      <c r="L1931" s="429"/>
      <c r="M1931" s="418"/>
      <c r="N1931" s="429"/>
      <c r="O1931" s="418"/>
      <c r="P1931" s="429"/>
      <c r="Q1931" s="418"/>
      <c r="R1931" s="429"/>
      <c r="S1931" s="418"/>
      <c r="T1931" s="430"/>
      <c r="U1931" s="430"/>
      <c r="V1931" s="430"/>
      <c r="W1931" s="430"/>
      <c r="X1931" s="430"/>
      <c r="Y1931" s="430"/>
      <c r="Z1931" s="358"/>
    </row>
    <row r="1932" spans="1:29">
      <c r="B1932" s="317" t="s">
        <v>1079</v>
      </c>
      <c r="G1932" s="338">
        <v>-6.2E-2</v>
      </c>
      <c r="H1932" s="339"/>
      <c r="I1932" s="294">
        <f>SUM(I1928:I1930)*$G1932</f>
        <v>-8248.232</v>
      </c>
      <c r="J1932" s="294">
        <f>SUM(J1928:J1930)*$G1932</f>
        <v>-12034.51</v>
      </c>
      <c r="L1932" s="429"/>
      <c r="M1932" s="418"/>
      <c r="N1932" s="429"/>
      <c r="O1932" s="418"/>
      <c r="P1932" s="429"/>
      <c r="Q1932" s="418"/>
      <c r="R1932" s="429"/>
      <c r="S1932" s="418"/>
      <c r="T1932" s="430"/>
      <c r="U1932" s="430"/>
      <c r="V1932" s="430"/>
      <c r="W1932" s="430"/>
      <c r="X1932" s="430"/>
      <c r="Y1932" s="430"/>
    </row>
    <row r="1933" spans="1:29">
      <c r="B1933" s="317" t="s">
        <v>1300</v>
      </c>
      <c r="D1933" s="293">
        <f>D1930+D1929+D1931</f>
        <v>1075323</v>
      </c>
      <c r="E1933" s="293">
        <f>E1935-E1925</f>
        <v>1598654</v>
      </c>
      <c r="G1933" s="377"/>
      <c r="H1933" s="377"/>
      <c r="I1933" s="294">
        <f>SUM(I1927:I1932)</f>
        <v>124473.768</v>
      </c>
      <c r="J1933" s="294">
        <f>SUM(J1927:J1932)</f>
        <v>184737.49</v>
      </c>
      <c r="L1933" s="377"/>
      <c r="M1933" s="377"/>
      <c r="N1933" s="377"/>
      <c r="O1933" s="377"/>
      <c r="P1933" s="377"/>
      <c r="Q1933" s="377"/>
      <c r="R1933" s="377"/>
      <c r="S1933" s="377"/>
    </row>
    <row r="1934" spans="1:29">
      <c r="B1934" s="317" t="s">
        <v>1079</v>
      </c>
      <c r="G1934" s="338"/>
      <c r="H1934" s="339"/>
      <c r="L1934" s="338"/>
      <c r="M1934" s="339"/>
      <c r="N1934" s="338"/>
      <c r="O1934" s="339"/>
      <c r="P1934" s="338"/>
      <c r="Q1934" s="339"/>
      <c r="R1934" s="338"/>
      <c r="S1934" s="339"/>
    </row>
    <row r="1935" spans="1:29" ht="16.5" thickBot="1">
      <c r="A1935" s="292">
        <v>1</v>
      </c>
      <c r="B1935" s="317" t="s">
        <v>937</v>
      </c>
      <c r="D1935" s="381">
        <f>D1933+D1925</f>
        <v>1235720</v>
      </c>
      <c r="E1935" s="381">
        <f>[7]Energy!P65</f>
        <v>1837112</v>
      </c>
      <c r="G1935" s="368"/>
      <c r="I1935" s="369">
        <f>I1933+I1925</f>
        <v>157257.55599999998</v>
      </c>
      <c r="J1935" s="369">
        <f>J1933+J1925</f>
        <v>233114.76199999999</v>
      </c>
      <c r="L1935" s="368"/>
      <c r="N1935" s="368"/>
      <c r="P1935" s="368"/>
      <c r="R1935" s="368"/>
      <c r="T1935" s="369">
        <f>T1899+T1917</f>
        <v>10721</v>
      </c>
      <c r="V1935" s="369">
        <f>V1899+V1917</f>
        <v>468776</v>
      </c>
      <c r="X1935" s="369">
        <f>X1899+X1917</f>
        <v>36702</v>
      </c>
      <c r="Z1935" s="369">
        <f>Z1899+Z1917</f>
        <v>516201</v>
      </c>
      <c r="AB1935" s="305" t="s">
        <v>939</v>
      </c>
      <c r="AC1935" s="304">
        <f>Z1935/J1935-1</f>
        <v>1.2143642709336442</v>
      </c>
    </row>
    <row r="1936" spans="1:29" ht="16.5" thickTop="1">
      <c r="B1936" s="317"/>
      <c r="AB1936" s="305"/>
      <c r="AC1936" s="304"/>
    </row>
    <row r="1937" spans="1:29">
      <c r="A1937" s="292">
        <v>1</v>
      </c>
      <c r="B1937" s="314" t="s">
        <v>1017</v>
      </c>
      <c r="G1937" s="377"/>
      <c r="H1937" s="377"/>
      <c r="L1937" s="377"/>
      <c r="M1937" s="377"/>
      <c r="N1937" s="377"/>
      <c r="O1937" s="377"/>
      <c r="P1937" s="377"/>
      <c r="Q1937" s="377"/>
      <c r="R1937" s="377"/>
      <c r="S1937" s="377"/>
    </row>
    <row r="1938" spans="1:29">
      <c r="B1938" s="317" t="s">
        <v>1302</v>
      </c>
      <c r="C1938" s="317"/>
      <c r="G1938" s="431"/>
      <c r="H1938" s="318"/>
      <c r="L1938" s="431"/>
      <c r="M1938" s="318"/>
      <c r="N1938" s="431"/>
      <c r="O1938" s="318"/>
      <c r="P1938" s="431"/>
      <c r="Q1938" s="318"/>
      <c r="R1938" s="431"/>
      <c r="S1938" s="318"/>
      <c r="U1938" s="319"/>
      <c r="W1938" s="319"/>
      <c r="Y1938" s="319"/>
      <c r="AB1938" s="305"/>
      <c r="AC1938" s="325"/>
    </row>
    <row r="1939" spans="1:29">
      <c r="B1939" s="317" t="s">
        <v>1303</v>
      </c>
      <c r="C1939" s="317"/>
      <c r="G1939" s="431">
        <v>70</v>
      </c>
      <c r="H1939" s="318"/>
      <c r="L1939" s="431">
        <f>R1939</f>
        <v>73</v>
      </c>
      <c r="M1939" s="318"/>
      <c r="N1939" s="431"/>
      <c r="O1939" s="318"/>
      <c r="P1939" s="431"/>
      <c r="Q1939" s="318"/>
      <c r="R1939" s="431">
        <f>ROUND(G1939*(1+$AC$1483),0)</f>
        <v>73</v>
      </c>
      <c r="S1939" s="318"/>
      <c r="U1939" s="319"/>
      <c r="W1939" s="319"/>
      <c r="Y1939" s="319"/>
      <c r="AB1939" s="305"/>
      <c r="AC1939" s="325"/>
    </row>
    <row r="1940" spans="1:29">
      <c r="B1940" s="317" t="s">
        <v>1304</v>
      </c>
      <c r="G1940" s="431">
        <v>70</v>
      </c>
      <c r="H1940" s="318"/>
      <c r="L1940" s="431">
        <f>R1940</f>
        <v>73</v>
      </c>
      <c r="M1940" s="318"/>
      <c r="N1940" s="431"/>
      <c r="O1940" s="318"/>
      <c r="P1940" s="431"/>
      <c r="Q1940" s="318"/>
      <c r="R1940" s="431">
        <f t="shared" ref="R1940:R1941" si="1044">ROUND(G1940*(1+$AC$1483),0)</f>
        <v>73</v>
      </c>
      <c r="S1940" s="318"/>
      <c r="U1940" s="319"/>
      <c r="W1940" s="319"/>
      <c r="Y1940" s="319"/>
    </row>
    <row r="1941" spans="1:29">
      <c r="B1941" s="317" t="s">
        <v>1305</v>
      </c>
      <c r="G1941" s="432">
        <v>259</v>
      </c>
      <c r="H1941" s="339"/>
      <c r="L1941" s="431">
        <f>R1941</f>
        <v>272</v>
      </c>
      <c r="M1941" s="339"/>
      <c r="N1941" s="432"/>
      <c r="O1941" s="339"/>
      <c r="P1941" s="432"/>
      <c r="Q1941" s="339"/>
      <c r="R1941" s="431">
        <f t="shared" si="1044"/>
        <v>272</v>
      </c>
      <c r="S1941" s="339"/>
    </row>
    <row r="1942" spans="1:29">
      <c r="B1942" s="317" t="s">
        <v>1306</v>
      </c>
      <c r="G1942" s="431"/>
      <c r="H1942" s="433"/>
      <c r="L1942" s="431"/>
      <c r="M1942" s="433"/>
      <c r="N1942" s="431"/>
      <c r="O1942" s="433"/>
      <c r="P1942" s="431"/>
      <c r="Q1942" s="433"/>
      <c r="R1942" s="431"/>
      <c r="S1942" s="433"/>
      <c r="U1942" s="319"/>
      <c r="W1942" s="319"/>
      <c r="Y1942" s="319"/>
    </row>
    <row r="1943" spans="1:29">
      <c r="B1943" s="317" t="s">
        <v>1303</v>
      </c>
      <c r="G1943" s="431">
        <v>1.37</v>
      </c>
      <c r="H1943" s="433"/>
      <c r="L1943" s="431">
        <f t="shared" ref="L1943:L1945" si="1045">R1943</f>
        <v>1.44</v>
      </c>
      <c r="M1943" s="433"/>
      <c r="N1943" s="431"/>
      <c r="O1943" s="433"/>
      <c r="P1943" s="431"/>
      <c r="Q1943" s="433"/>
      <c r="R1943" s="431">
        <f>ROUND(G1943*(1+$AC$1483),2)</f>
        <v>1.44</v>
      </c>
      <c r="S1943" s="433"/>
      <c r="U1943" s="319"/>
      <c r="W1943" s="319"/>
      <c r="Y1943" s="319"/>
    </row>
    <row r="1944" spans="1:29">
      <c r="B1944" s="317" t="s">
        <v>1304</v>
      </c>
      <c r="G1944" s="431">
        <v>1.37</v>
      </c>
      <c r="H1944" s="433"/>
      <c r="L1944" s="431">
        <f t="shared" si="1045"/>
        <v>1.44</v>
      </c>
      <c r="M1944" s="433"/>
      <c r="N1944" s="431"/>
      <c r="O1944" s="433"/>
      <c r="P1944" s="431"/>
      <c r="Q1944" s="433"/>
      <c r="R1944" s="431">
        <f>ROUND(G1944*(1+$AC$1483),2)</f>
        <v>1.44</v>
      </c>
      <c r="S1944" s="433"/>
      <c r="U1944" s="319"/>
      <c r="W1944" s="319"/>
      <c r="Y1944" s="319"/>
    </row>
    <row r="1945" spans="1:29">
      <c r="B1945" s="317" t="s">
        <v>1305</v>
      </c>
      <c r="G1945" s="432">
        <v>1.37</v>
      </c>
      <c r="H1945" s="434"/>
      <c r="L1945" s="431">
        <f t="shared" si="1045"/>
        <v>1.44</v>
      </c>
      <c r="M1945" s="434"/>
      <c r="N1945" s="432"/>
      <c r="O1945" s="434"/>
      <c r="P1945" s="432"/>
      <c r="Q1945" s="434"/>
      <c r="R1945" s="431">
        <f>ROUND(G1945*(1+$AC$1483),2)</f>
        <v>1.44</v>
      </c>
      <c r="S1945" s="434"/>
    </row>
    <row r="1946" spans="1:29">
      <c r="B1946" s="317" t="s">
        <v>1307</v>
      </c>
      <c r="G1946" s="432"/>
      <c r="H1946" s="434"/>
      <c r="L1946" s="432"/>
      <c r="M1946" s="434"/>
      <c r="N1946" s="431"/>
      <c r="O1946" s="433"/>
      <c r="P1946" s="431"/>
      <c r="Q1946" s="434"/>
      <c r="R1946" s="431"/>
      <c r="S1946" s="434"/>
    </row>
    <row r="1947" spans="1:29">
      <c r="B1947" s="317" t="s">
        <v>1303</v>
      </c>
      <c r="G1947" s="432"/>
      <c r="H1947" s="434"/>
      <c r="L1947" s="432"/>
      <c r="M1947" s="434"/>
      <c r="N1947" s="431"/>
      <c r="O1947" s="433"/>
      <c r="P1947" s="431"/>
      <c r="Q1947" s="434"/>
      <c r="R1947" s="431"/>
      <c r="S1947" s="434"/>
    </row>
    <row r="1948" spans="1:29">
      <c r="B1948" s="317" t="s">
        <v>1308</v>
      </c>
      <c r="C1948" s="317"/>
      <c r="D1948" s="317"/>
      <c r="F1948" s="317"/>
      <c r="G1948" s="431">
        <v>8.16</v>
      </c>
      <c r="H1948" s="317"/>
      <c r="I1948" s="317"/>
      <c r="J1948" s="317"/>
      <c r="K1948" s="317"/>
      <c r="L1948" s="431">
        <f>ROUND($R1948*L1379/$R1379,2)</f>
        <v>0.11</v>
      </c>
      <c r="M1948" s="317"/>
      <c r="N1948" s="431">
        <f>ROUND($R1948*N1379/$R1379,2)</f>
        <v>8.4499999999999993</v>
      </c>
      <c r="O1948" s="431"/>
      <c r="P1948" s="431">
        <f>R1948-L1948-N1948</f>
        <v>0</v>
      </c>
      <c r="Q1948" s="317"/>
      <c r="R1948" s="431">
        <f>ROUND(G1948*(1+$AC$1483),2)</f>
        <v>8.56</v>
      </c>
      <c r="S1948" s="317"/>
      <c r="U1948" s="319"/>
      <c r="W1948" s="319"/>
      <c r="Y1948" s="319"/>
    </row>
    <row r="1949" spans="1:29">
      <c r="B1949" s="317" t="s">
        <v>1309</v>
      </c>
      <c r="G1949" s="431">
        <v>5.86</v>
      </c>
      <c r="H1949" s="318"/>
      <c r="L1949" s="431">
        <f>ROUND($R1949*L1380/$R1380,2)</f>
        <v>0.08</v>
      </c>
      <c r="M1949" s="434"/>
      <c r="N1949" s="431">
        <f>ROUND($R1949*N1380/$R1380,2)</f>
        <v>6.07</v>
      </c>
      <c r="O1949" s="431"/>
      <c r="P1949" s="431">
        <f>R1949-L1949-N1949</f>
        <v>0</v>
      </c>
      <c r="Q1949" s="318"/>
      <c r="R1949" s="431">
        <f>ROUND(G1949*(1+$AC$1483),2)</f>
        <v>6.15</v>
      </c>
      <c r="S1949" s="318"/>
      <c r="U1949" s="319"/>
      <c r="W1949" s="319"/>
      <c r="Y1949" s="319"/>
    </row>
    <row r="1950" spans="1:29">
      <c r="B1950" s="317" t="s">
        <v>1304</v>
      </c>
      <c r="G1950" s="431"/>
      <c r="H1950" s="318"/>
      <c r="L1950" s="431"/>
      <c r="M1950" s="434"/>
      <c r="N1950" s="431"/>
      <c r="O1950" s="431"/>
      <c r="P1950" s="431"/>
      <c r="Q1950" s="318"/>
      <c r="R1950" s="431"/>
      <c r="S1950" s="318"/>
      <c r="U1950" s="319"/>
      <c r="W1950" s="319"/>
      <c r="Y1950" s="319"/>
    </row>
    <row r="1951" spans="1:29">
      <c r="B1951" s="317" t="s">
        <v>1308</v>
      </c>
      <c r="G1951" s="431">
        <v>8.0500000000000007</v>
      </c>
      <c r="H1951" s="433"/>
      <c r="L1951" s="431">
        <f>ROUND($R1951*L1948/$R1948,2)</f>
        <v>0.11</v>
      </c>
      <c r="M1951" s="433"/>
      <c r="N1951" s="431">
        <f>ROUND($R1951*N1948/$R1948,2)</f>
        <v>8.34</v>
      </c>
      <c r="O1951" s="431"/>
      <c r="P1951" s="431">
        <f>R1951-L1951-N1951</f>
        <v>0</v>
      </c>
      <c r="Q1951" s="433"/>
      <c r="R1951" s="431">
        <f>ROUND(G1951*(1+$AC$1483),2)</f>
        <v>8.4499999999999993</v>
      </c>
      <c r="S1951" s="433"/>
      <c r="U1951" s="319"/>
      <c r="W1951" s="319"/>
      <c r="Y1951" s="319"/>
    </row>
    <row r="1952" spans="1:29">
      <c r="B1952" s="317" t="s">
        <v>1309</v>
      </c>
      <c r="G1952" s="431">
        <v>5.61</v>
      </c>
      <c r="H1952" s="433"/>
      <c r="L1952" s="431">
        <f>ROUND($R1952*L1949/$R1949,2)</f>
        <v>0.08</v>
      </c>
      <c r="M1952" s="433"/>
      <c r="N1952" s="431">
        <f>ROUND($R1952*N1949/$R1949,2)</f>
        <v>5.81</v>
      </c>
      <c r="O1952" s="431"/>
      <c r="P1952" s="431">
        <f>R1952-L1952-N1952</f>
        <v>0</v>
      </c>
      <c r="Q1952" s="433"/>
      <c r="R1952" s="431">
        <f>ROUND(G1952*(1+$AC$1483),2)</f>
        <v>5.89</v>
      </c>
      <c r="S1952" s="433"/>
      <c r="U1952" s="319"/>
      <c r="W1952" s="319"/>
      <c r="Y1952" s="319"/>
    </row>
    <row r="1953" spans="2:25">
      <c r="B1953" s="317" t="s">
        <v>1310</v>
      </c>
      <c r="G1953" s="431"/>
      <c r="H1953" s="433"/>
      <c r="L1953" s="431"/>
      <c r="M1953" s="433"/>
      <c r="N1953" s="431"/>
      <c r="O1953" s="431"/>
      <c r="P1953" s="431"/>
      <c r="Q1953" s="433"/>
      <c r="R1953" s="431"/>
      <c r="S1953" s="433"/>
      <c r="U1953" s="319"/>
      <c r="W1953" s="319"/>
      <c r="Y1953" s="319"/>
    </row>
    <row r="1954" spans="2:25">
      <c r="B1954" s="317" t="s">
        <v>1308</v>
      </c>
      <c r="G1954" s="432">
        <v>7.83</v>
      </c>
      <c r="H1954" s="434"/>
      <c r="L1954" s="431"/>
      <c r="M1954" s="434"/>
      <c r="N1954" s="431">
        <f>ROUND($R1954*N1481/$R1481,2)</f>
        <v>8.2200000000000006</v>
      </c>
      <c r="O1954" s="431"/>
      <c r="P1954" s="431">
        <f>R1954-L1954-N1954</f>
        <v>0</v>
      </c>
      <c r="Q1954" s="434"/>
      <c r="R1954" s="431">
        <f>ROUND(G1954*(1+$AC$1483),2)</f>
        <v>8.2200000000000006</v>
      </c>
      <c r="S1954" s="434"/>
    </row>
    <row r="1955" spans="2:25">
      <c r="B1955" s="317" t="s">
        <v>1309</v>
      </c>
      <c r="G1955" s="432">
        <v>5.31</v>
      </c>
      <c r="H1955" s="434"/>
      <c r="L1955" s="431"/>
      <c r="M1955" s="434"/>
      <c r="N1955" s="431">
        <f>ROUND($R1955*N1482/$R1482,2)</f>
        <v>5.57</v>
      </c>
      <c r="O1955" s="431"/>
      <c r="P1955" s="431">
        <f>R1955-L1955-N1955</f>
        <v>0</v>
      </c>
      <c r="Q1955" s="434"/>
      <c r="R1955" s="431">
        <f>ROUND(G1955*(1+$AC$1483),2)</f>
        <v>5.57</v>
      </c>
      <c r="S1955" s="434"/>
    </row>
    <row r="1956" spans="2:25">
      <c r="B1956" s="317" t="s">
        <v>1311</v>
      </c>
      <c r="G1956" s="432"/>
      <c r="H1956" s="434"/>
      <c r="L1956" s="432"/>
      <c r="M1956" s="434"/>
      <c r="N1956" s="432"/>
      <c r="O1956" s="434"/>
      <c r="P1956" s="432"/>
      <c r="Q1956" s="434"/>
      <c r="R1956" s="432"/>
      <c r="S1956" s="434"/>
    </row>
    <row r="1957" spans="2:25">
      <c r="B1957" s="317" t="s">
        <v>1303</v>
      </c>
      <c r="G1957" s="431"/>
      <c r="H1957" s="318"/>
      <c r="L1957" s="431"/>
      <c r="M1957" s="318"/>
      <c r="N1957" s="431"/>
      <c r="O1957" s="318"/>
      <c r="P1957" s="431"/>
      <c r="Q1957" s="318"/>
      <c r="R1957" s="431"/>
      <c r="S1957" s="318"/>
      <c r="U1957" s="319"/>
      <c r="W1957" s="319"/>
      <c r="Y1957" s="319"/>
    </row>
    <row r="1958" spans="2:25">
      <c r="B1958" s="317" t="s">
        <v>1312</v>
      </c>
      <c r="E1958" s="376"/>
      <c r="G1958" s="407">
        <v>9.2314000000000007</v>
      </c>
      <c r="H1958" s="343" t="s">
        <v>1062</v>
      </c>
      <c r="L1958" s="431"/>
      <c r="M1958" s="318"/>
      <c r="N1958" s="407">
        <f>ROUND($R1958*N1381/$R1381,2)</f>
        <v>2.7</v>
      </c>
      <c r="O1958" s="343" t="s">
        <v>1062</v>
      </c>
      <c r="P1958" s="407">
        <f>R1958-L1958-N1958</f>
        <v>6.9872000000000005</v>
      </c>
      <c r="Q1958" s="343" t="s">
        <v>1062</v>
      </c>
      <c r="R1958" s="407">
        <f>ROUND(G1958*(1+$AC$1483),4)</f>
        <v>9.6872000000000007</v>
      </c>
      <c r="S1958" s="343" t="s">
        <v>1062</v>
      </c>
      <c r="U1958" s="319"/>
      <c r="W1958" s="319"/>
      <c r="Y1958" s="319"/>
    </row>
    <row r="1959" spans="2:25">
      <c r="B1959" s="317" t="s">
        <v>1313</v>
      </c>
      <c r="E1959" s="376"/>
      <c r="G1959" s="407">
        <v>5.077</v>
      </c>
      <c r="H1959" s="343" t="s">
        <v>1062</v>
      </c>
      <c r="L1959" s="431"/>
      <c r="M1959" s="318"/>
      <c r="N1959" s="407">
        <f>N1958</f>
        <v>2.7</v>
      </c>
      <c r="O1959" s="343" t="s">
        <v>1062</v>
      </c>
      <c r="P1959" s="407">
        <f t="shared" ref="P1959:P1966" si="1046">R1959-L1959-N1959</f>
        <v>2.6276000000000002</v>
      </c>
      <c r="Q1959" s="343" t="s">
        <v>1062</v>
      </c>
      <c r="R1959" s="407">
        <f>ROUND(G1959*(1+$AC$1483),4)</f>
        <v>5.3276000000000003</v>
      </c>
      <c r="S1959" s="343" t="s">
        <v>1062</v>
      </c>
      <c r="U1959" s="319"/>
      <c r="W1959" s="319"/>
      <c r="Y1959" s="319"/>
    </row>
    <row r="1960" spans="2:25">
      <c r="B1960" s="317" t="s">
        <v>1314</v>
      </c>
      <c r="D1960" s="392"/>
      <c r="E1960" s="376"/>
      <c r="G1960" s="435">
        <v>4.1108000000000002</v>
      </c>
      <c r="H1960" s="343" t="s">
        <v>1062</v>
      </c>
      <c r="L1960" s="377"/>
      <c r="M1960" s="377"/>
      <c r="N1960" s="407">
        <f>N1958</f>
        <v>2.7</v>
      </c>
      <c r="O1960" s="343" t="s">
        <v>1062</v>
      </c>
      <c r="P1960" s="407">
        <f t="shared" si="1046"/>
        <v>1.6136999999999997</v>
      </c>
      <c r="Q1960" s="343" t="s">
        <v>1062</v>
      </c>
      <c r="R1960" s="407">
        <f>ROUND(G1960*(1+$AC$1483),4)</f>
        <v>4.3136999999999999</v>
      </c>
      <c r="S1960" s="343" t="s">
        <v>1062</v>
      </c>
    </row>
    <row r="1961" spans="2:25">
      <c r="B1961" s="317" t="s">
        <v>1315</v>
      </c>
      <c r="E1961" s="376"/>
      <c r="G1961" s="435">
        <v>3.4356</v>
      </c>
      <c r="H1961" s="343" t="s">
        <v>1062</v>
      </c>
      <c r="N1961" s="407">
        <f>N1958</f>
        <v>2.7</v>
      </c>
      <c r="O1961" s="343" t="s">
        <v>1062</v>
      </c>
      <c r="P1961" s="407">
        <f t="shared" si="1046"/>
        <v>0.90519999999999978</v>
      </c>
      <c r="Q1961" s="343" t="s">
        <v>1062</v>
      </c>
      <c r="R1961" s="407">
        <f>ROUND(G1961*(1+$AC$1483),4)</f>
        <v>3.6052</v>
      </c>
      <c r="S1961" s="343" t="s">
        <v>1062</v>
      </c>
    </row>
    <row r="1962" spans="2:25">
      <c r="B1962" s="317" t="s">
        <v>1304</v>
      </c>
      <c r="E1962" s="376"/>
      <c r="G1962" s="435"/>
      <c r="H1962" s="339"/>
      <c r="L1962" s="339"/>
      <c r="M1962" s="339"/>
      <c r="N1962" s="407"/>
      <c r="O1962" s="339"/>
      <c r="P1962" s="407"/>
      <c r="Q1962" s="339"/>
      <c r="R1962" s="407"/>
      <c r="S1962" s="339"/>
    </row>
    <row r="1963" spans="2:25">
      <c r="B1963" s="317" t="s">
        <v>1312</v>
      </c>
      <c r="E1963" s="376"/>
      <c r="G1963" s="435">
        <v>8.8607999999999993</v>
      </c>
      <c r="H1963" s="343" t="s">
        <v>1062</v>
      </c>
      <c r="L1963" s="339"/>
      <c r="M1963" s="339"/>
      <c r="N1963" s="407">
        <f>N1958</f>
        <v>2.7</v>
      </c>
      <c r="O1963" s="343" t="s">
        <v>1062</v>
      </c>
      <c r="P1963" s="407">
        <f t="shared" si="1046"/>
        <v>6.5982999999999992</v>
      </c>
      <c r="Q1963" s="343" t="s">
        <v>1062</v>
      </c>
      <c r="R1963" s="407">
        <f>ROUND(G1963*(1+$AC$1483),4)</f>
        <v>9.2982999999999993</v>
      </c>
      <c r="S1963" s="343" t="s">
        <v>1062</v>
      </c>
    </row>
    <row r="1964" spans="2:25">
      <c r="B1964" s="317" t="s">
        <v>1313</v>
      </c>
      <c r="E1964" s="376"/>
      <c r="G1964" s="435">
        <v>4.7064000000000004</v>
      </c>
      <c r="H1964" s="343" t="s">
        <v>1062</v>
      </c>
      <c r="L1964" s="339"/>
      <c r="M1964" s="339"/>
      <c r="N1964" s="407">
        <f>N1958</f>
        <v>2.7</v>
      </c>
      <c r="O1964" s="343" t="s">
        <v>1062</v>
      </c>
      <c r="P1964" s="407">
        <f t="shared" si="1046"/>
        <v>2.2387999999999995</v>
      </c>
      <c r="Q1964" s="343" t="s">
        <v>1062</v>
      </c>
      <c r="R1964" s="407">
        <f>ROUND(G1964*(1+$AC$1483),4)</f>
        <v>4.9387999999999996</v>
      </c>
      <c r="S1964" s="343" t="s">
        <v>1062</v>
      </c>
    </row>
    <row r="1965" spans="2:25">
      <c r="B1965" s="317" t="s">
        <v>1314</v>
      </c>
      <c r="E1965" s="376"/>
      <c r="G1965" s="435">
        <v>3.7402000000000002</v>
      </c>
      <c r="H1965" s="343" t="s">
        <v>1062</v>
      </c>
      <c r="L1965" s="339"/>
      <c r="M1965" s="339"/>
      <c r="N1965" s="407">
        <f>N1958</f>
        <v>2.7</v>
      </c>
      <c r="O1965" s="343" t="s">
        <v>1062</v>
      </c>
      <c r="P1965" s="407">
        <f t="shared" si="1046"/>
        <v>1.2248999999999999</v>
      </c>
      <c r="Q1965" s="343" t="s">
        <v>1062</v>
      </c>
      <c r="R1965" s="407">
        <f>ROUND(G1965*(1+$AC$1483),4)</f>
        <v>3.9249000000000001</v>
      </c>
      <c r="S1965" s="343" t="s">
        <v>1062</v>
      </c>
    </row>
    <row r="1966" spans="2:25">
      <c r="B1966" s="317" t="s">
        <v>1315</v>
      </c>
      <c r="E1966" s="376"/>
      <c r="G1966" s="435">
        <v>3.0649999999999999</v>
      </c>
      <c r="H1966" s="343" t="s">
        <v>1062</v>
      </c>
      <c r="L1966" s="377"/>
      <c r="M1966" s="343"/>
      <c r="N1966" s="407">
        <f>N1958</f>
        <v>2.7</v>
      </c>
      <c r="O1966" s="343" t="s">
        <v>1062</v>
      </c>
      <c r="P1966" s="407">
        <f t="shared" si="1046"/>
        <v>0.51629999999999976</v>
      </c>
      <c r="Q1966" s="343" t="s">
        <v>1062</v>
      </c>
      <c r="R1966" s="407">
        <f>ROUND(G1966*(1+$AC$1483),4)</f>
        <v>3.2162999999999999</v>
      </c>
      <c r="S1966" s="343" t="s">
        <v>1062</v>
      </c>
      <c r="U1966" s="346"/>
      <c r="W1966" s="346"/>
      <c r="Y1966" s="346"/>
    </row>
    <row r="1967" spans="2:25">
      <c r="B1967" s="317" t="s">
        <v>1305</v>
      </c>
      <c r="E1967" s="376"/>
      <c r="G1967" s="435"/>
      <c r="H1967" s="343"/>
      <c r="L1967" s="377"/>
      <c r="M1967" s="343"/>
      <c r="N1967" s="407"/>
      <c r="O1967" s="343"/>
      <c r="P1967" s="407"/>
      <c r="Q1967" s="343"/>
      <c r="R1967" s="407"/>
      <c r="S1967" s="343"/>
      <c r="U1967" s="346"/>
      <c r="W1967" s="346"/>
      <c r="Y1967" s="346"/>
    </row>
    <row r="1968" spans="2:25">
      <c r="B1968" s="317" t="s">
        <v>1312</v>
      </c>
      <c r="E1968" s="376"/>
      <c r="G1968" s="435">
        <v>8.6678999999999995</v>
      </c>
      <c r="H1968" s="343" t="s">
        <v>1062</v>
      </c>
      <c r="L1968" s="377"/>
      <c r="M1968" s="343"/>
      <c r="N1968" s="407">
        <f>ROUND($R1968*N1483/$R1483,2)</f>
        <v>2.09</v>
      </c>
      <c r="O1968" s="343" t="s">
        <v>1062</v>
      </c>
      <c r="P1968" s="407">
        <f t="shared" ref="P1968:P1971" si="1047">R1968-L1968-N1968</f>
        <v>7.0058000000000007</v>
      </c>
      <c r="Q1968" s="343" t="s">
        <v>1062</v>
      </c>
      <c r="R1968" s="407">
        <f>ROUND(G1968*(1+$AC$1483),4)</f>
        <v>9.0958000000000006</v>
      </c>
      <c r="S1968" s="343" t="s">
        <v>1062</v>
      </c>
      <c r="U1968" s="346"/>
      <c r="W1968" s="346"/>
      <c r="Y1968" s="346"/>
    </row>
    <row r="1969" spans="1:32">
      <c r="B1969" s="317" t="s">
        <v>1313</v>
      </c>
      <c r="E1969" s="376"/>
      <c r="G1969" s="435">
        <v>4.5133999999999999</v>
      </c>
      <c r="H1969" s="343" t="s">
        <v>1062</v>
      </c>
      <c r="L1969" s="377"/>
      <c r="M1969" s="343"/>
      <c r="N1969" s="407">
        <f>N1968</f>
        <v>2.09</v>
      </c>
      <c r="O1969" s="343" t="s">
        <v>1062</v>
      </c>
      <c r="P1969" s="407">
        <f t="shared" si="1047"/>
        <v>2.6462000000000003</v>
      </c>
      <c r="Q1969" s="343" t="s">
        <v>1062</v>
      </c>
      <c r="R1969" s="407">
        <f>ROUND(G1969*(1+$AC$1483),4)</f>
        <v>4.7362000000000002</v>
      </c>
      <c r="S1969" s="343" t="s">
        <v>1062</v>
      </c>
      <c r="U1969" s="346"/>
      <c r="W1969" s="346"/>
      <c r="Y1969" s="346"/>
    </row>
    <row r="1970" spans="1:32">
      <c r="B1970" s="317" t="s">
        <v>1314</v>
      </c>
      <c r="E1970" s="376"/>
      <c r="G1970" s="435">
        <v>3.5472999999999999</v>
      </c>
      <c r="H1970" s="343" t="s">
        <v>1062</v>
      </c>
      <c r="L1970" s="339"/>
      <c r="M1970" s="339"/>
      <c r="N1970" s="407">
        <f>N1968</f>
        <v>2.09</v>
      </c>
      <c r="O1970" s="343" t="s">
        <v>1062</v>
      </c>
      <c r="P1970" s="407">
        <f t="shared" si="1047"/>
        <v>1.6324000000000001</v>
      </c>
      <c r="Q1970" s="343" t="s">
        <v>1062</v>
      </c>
      <c r="R1970" s="407">
        <f>ROUND(G1970*(1+$AC$1483),4)</f>
        <v>3.7223999999999999</v>
      </c>
      <c r="S1970" s="343" t="s">
        <v>1062</v>
      </c>
    </row>
    <row r="1971" spans="1:32">
      <c r="B1971" s="317" t="s">
        <v>1315</v>
      </c>
      <c r="E1971" s="376"/>
      <c r="G1971" s="435">
        <v>2.8721000000000001</v>
      </c>
      <c r="H1971" s="343" t="s">
        <v>1062</v>
      </c>
      <c r="L1971" s="339"/>
      <c r="M1971" s="339"/>
      <c r="N1971" s="407">
        <f>N1968</f>
        <v>2.09</v>
      </c>
      <c r="O1971" s="343" t="s">
        <v>1062</v>
      </c>
      <c r="P1971" s="407">
        <f t="shared" si="1047"/>
        <v>0.92390000000000017</v>
      </c>
      <c r="Q1971" s="343" t="s">
        <v>1062</v>
      </c>
      <c r="R1971" s="407">
        <f>ROUND(G1971*(1+$AC$1483),4)</f>
        <v>3.0139</v>
      </c>
      <c r="S1971" s="343" t="s">
        <v>1062</v>
      </c>
    </row>
    <row r="1972" spans="1:32">
      <c r="B1972" s="317" t="s">
        <v>1079</v>
      </c>
      <c r="G1972" s="338">
        <v>-3.0700000000000002E-2</v>
      </c>
      <c r="H1972" s="339"/>
      <c r="L1972" s="338"/>
      <c r="M1972" s="339"/>
      <c r="N1972" s="338"/>
      <c r="O1972" s="339"/>
      <c r="P1972" s="359" t="str">
        <f>$P$43</f>
        <v>Tax Year 1</v>
      </c>
      <c r="Q1972" s="339"/>
      <c r="R1972" s="338">
        <f>$AD$1491</f>
        <v>-2.2599999999999999E-2</v>
      </c>
      <c r="S1972" s="339"/>
    </row>
    <row r="1973" spans="1:32">
      <c r="B1973" s="317"/>
      <c r="G1973" s="338"/>
      <c r="H1973" s="339"/>
      <c r="L1973" s="338"/>
      <c r="M1973" s="339"/>
      <c r="N1973" s="338"/>
      <c r="O1973" s="339"/>
      <c r="P1973" s="359" t="str">
        <f>$P$44</f>
        <v>Tax Year 2</v>
      </c>
      <c r="Q1973" s="339"/>
      <c r="R1973" s="338">
        <f>$AD$1492</f>
        <v>-1.1299999999999999E-2</v>
      </c>
      <c r="S1973" s="339"/>
    </row>
    <row r="1974" spans="1:32">
      <c r="A1974" s="292">
        <v>1</v>
      </c>
      <c r="B1974" s="317" t="s">
        <v>937</v>
      </c>
      <c r="T1974" s="294">
        <f>SUM(T1939:T1971)</f>
        <v>0</v>
      </c>
      <c r="V1974" s="294">
        <f>SUM(V1939:V1971)</f>
        <v>0</v>
      </c>
      <c r="X1974" s="294">
        <f>SUM(X1939:X1971)</f>
        <v>0</v>
      </c>
      <c r="Z1974" s="294">
        <f>SUM(Z1939:Z1971)</f>
        <v>0</v>
      </c>
      <c r="AB1974" s="366"/>
      <c r="AC1974" s="366"/>
      <c r="AD1974" s="366"/>
      <c r="AE1974" s="366"/>
      <c r="AF1974" s="366"/>
    </row>
    <row r="1976" spans="1:32">
      <c r="A1976" s="292">
        <v>1</v>
      </c>
      <c r="B1976" s="314" t="s">
        <v>1018</v>
      </c>
    </row>
    <row r="1977" spans="1:32">
      <c r="B1977" s="317" t="s">
        <v>1089</v>
      </c>
      <c r="D1977" s="293">
        <f t="shared" ref="D1977:E1992" si="1048">D2001+D2025+D2049</f>
        <v>1094043.5929998949</v>
      </c>
      <c r="E1977" s="293">
        <f t="shared" si="1048"/>
        <v>1134470.3348968814</v>
      </c>
      <c r="G1977" s="318">
        <v>10</v>
      </c>
      <c r="H1977" s="318"/>
      <c r="I1977" s="294">
        <f t="shared" ref="I1977:J1988" si="1049">ROUND($G1977*D1977,0)</f>
        <v>10940436</v>
      </c>
      <c r="J1977" s="294">
        <f t="shared" si="1049"/>
        <v>11344703</v>
      </c>
      <c r="L1977" s="318">
        <f t="shared" ref="L1977:L1980" si="1050">ROUND(T1977/$E1977,2)</f>
        <v>10</v>
      </c>
      <c r="M1977" s="318"/>
      <c r="N1977" s="318">
        <f t="shared" ref="N1977:N1980" si="1051">ROUND(V1977/$E1977,2)</f>
        <v>0</v>
      </c>
      <c r="O1977" s="318"/>
      <c r="P1977" s="318">
        <f t="shared" ref="P1977:P1980" si="1052">ROUND(R1977-L1977-N1977,2)</f>
        <v>0</v>
      </c>
      <c r="Q1977" s="318"/>
      <c r="R1977" s="318">
        <f>ROUND(G1977*(1+$AC$1981),0)</f>
        <v>10</v>
      </c>
      <c r="S1977" s="318"/>
      <c r="T1977" s="319">
        <f>MIN($T$1998-$T$1988,Z1977)</f>
        <v>11344703</v>
      </c>
      <c r="U1977" s="319"/>
      <c r="V1977" s="319"/>
      <c r="W1977" s="319"/>
      <c r="X1977" s="319"/>
      <c r="Y1977" s="319"/>
      <c r="Z1977" s="294">
        <f>ROUND($E1977*R1977,0)</f>
        <v>11344703</v>
      </c>
      <c r="AB1977" s="320" t="s">
        <v>1042</v>
      </c>
      <c r="AC1977" s="321">
        <f>Z1998+Z2092+Z2181</f>
        <v>140716157</v>
      </c>
    </row>
    <row r="1978" spans="1:32">
      <c r="B1978" s="317" t="s">
        <v>1099</v>
      </c>
      <c r="D1978" s="293">
        <f t="shared" si="1048"/>
        <v>0</v>
      </c>
      <c r="E1978" s="293">
        <f t="shared" si="1048"/>
        <v>0</v>
      </c>
      <c r="G1978" s="318">
        <v>120</v>
      </c>
      <c r="H1978" s="318"/>
      <c r="I1978" s="294">
        <f t="shared" si="1049"/>
        <v>0</v>
      </c>
      <c r="J1978" s="294">
        <f t="shared" si="1049"/>
        <v>0</v>
      </c>
      <c r="L1978" s="318">
        <f>$R$1978/$R$1977*L1977</f>
        <v>119</v>
      </c>
      <c r="M1978" s="318"/>
      <c r="N1978" s="318">
        <f>$R$1978/$R$1977*N1977</f>
        <v>0</v>
      </c>
      <c r="O1978" s="318"/>
      <c r="P1978" s="318">
        <f t="shared" si="1052"/>
        <v>0</v>
      </c>
      <c r="Q1978" s="318"/>
      <c r="R1978" s="318">
        <f t="shared" ref="R1978:R1979" si="1053">ROUND(G1978*(1+$AC$1981),0)</f>
        <v>119</v>
      </c>
      <c r="S1978" s="318"/>
      <c r="T1978" s="319">
        <f>MIN($T$1998-$T$1988-$T$1977,Z1978)</f>
        <v>0</v>
      </c>
      <c r="U1978" s="319"/>
      <c r="V1978" s="319"/>
      <c r="W1978" s="319"/>
      <c r="X1978" s="319"/>
      <c r="Y1978" s="319"/>
      <c r="Z1978" s="294">
        <f t="shared" ref="Z1978:Z1981" si="1054">ROUND($E1978*R1978,0)</f>
        <v>0</v>
      </c>
      <c r="AB1978" s="322" t="s">
        <v>1044</v>
      </c>
      <c r="AC1978" s="323">
        <f>[7]RateSpread!M46*1000</f>
        <v>140715946.50229999</v>
      </c>
    </row>
    <row r="1979" spans="1:32">
      <c r="B1979" s="317" t="s">
        <v>1100</v>
      </c>
      <c r="D1979" s="293">
        <f t="shared" si="1048"/>
        <v>98.399000000000001</v>
      </c>
      <c r="E1979" s="293">
        <f t="shared" si="1048"/>
        <v>102</v>
      </c>
      <c r="G1979" s="339">
        <v>10</v>
      </c>
      <c r="H1979" s="339"/>
      <c r="I1979" s="294">
        <f t="shared" si="1049"/>
        <v>984</v>
      </c>
      <c r="J1979" s="294">
        <f t="shared" si="1049"/>
        <v>1020</v>
      </c>
      <c r="L1979" s="339">
        <f t="shared" si="1050"/>
        <v>10</v>
      </c>
      <c r="M1979" s="339"/>
      <c r="N1979" s="339">
        <f t="shared" si="1051"/>
        <v>0</v>
      </c>
      <c r="O1979" s="339"/>
      <c r="P1979" s="339">
        <f t="shared" si="1052"/>
        <v>0</v>
      </c>
      <c r="Q1979" s="339"/>
      <c r="R1979" s="318">
        <f t="shared" si="1053"/>
        <v>10</v>
      </c>
      <c r="S1979" s="339"/>
      <c r="T1979" s="319">
        <f>MIN($T$1998-$T$1988-$T$1977-$T$1978,Z1979)</f>
        <v>1020</v>
      </c>
      <c r="Z1979" s="294">
        <f t="shared" si="1054"/>
        <v>1020</v>
      </c>
      <c r="AB1979" s="327" t="s">
        <v>789</v>
      </c>
      <c r="AC1979" s="328">
        <f>AC1978-AC1977</f>
        <v>-210.49770000576973</v>
      </c>
    </row>
    <row r="1980" spans="1:32">
      <c r="B1980" s="317" t="s">
        <v>1316</v>
      </c>
      <c r="D1980" s="293">
        <f t="shared" si="1048"/>
        <v>307129.99190138647</v>
      </c>
      <c r="E1980" s="293">
        <f t="shared" si="1048"/>
        <v>303570</v>
      </c>
      <c r="G1980" s="339"/>
      <c r="H1980" s="339"/>
      <c r="L1980" s="339">
        <f t="shared" si="1050"/>
        <v>9.07</v>
      </c>
      <c r="M1980" s="339"/>
      <c r="N1980" s="339">
        <f t="shared" si="1051"/>
        <v>0</v>
      </c>
      <c r="O1980" s="339"/>
      <c r="P1980" s="339">
        <f t="shared" si="1052"/>
        <v>0</v>
      </c>
      <c r="Q1980" s="339"/>
      <c r="R1980" s="339">
        <f>ROUND(SUM(J1986:J1987,J2082:J2083,J2171:J2172)*(1+AC1981)/(SUM(E1986,E2082,E2171)+SUM(E1987,E2083,E2172)/AC1984),2)</f>
        <v>9.07</v>
      </c>
      <c r="S1980" s="339"/>
      <c r="T1980" s="294">
        <f>MIN($T$1998-$T$1977-$T$1978-$T$1979-$T$1988,SUM($Z$1980:$Z$1981))*Z1980/SUM($Z$1980:$Z$1981)</f>
        <v>2753380</v>
      </c>
      <c r="Z1980" s="294">
        <f t="shared" si="1054"/>
        <v>2753380</v>
      </c>
      <c r="AB1980" s="320" t="s">
        <v>939</v>
      </c>
      <c r="AC1980" s="384">
        <f>AC1977/(J1998+J2092+J2181)-1</f>
        <v>1.937114143028551E-2</v>
      </c>
    </row>
    <row r="1981" spans="1:32">
      <c r="B1981" s="317" t="s">
        <v>1317</v>
      </c>
      <c r="D1981" s="293">
        <f t="shared" si="1048"/>
        <v>357703.21417129517</v>
      </c>
      <c r="E1981" s="293">
        <f t="shared" si="1048"/>
        <v>353344</v>
      </c>
      <c r="G1981" s="339"/>
      <c r="H1981" s="339"/>
      <c r="L1981" s="339">
        <f>ROUND(T1981/$E1981,2)</f>
        <v>8.0299999999999994</v>
      </c>
      <c r="M1981" s="339"/>
      <c r="N1981" s="339">
        <f>ROUND(V1981/$E1981,2)</f>
        <v>0</v>
      </c>
      <c r="O1981" s="339"/>
      <c r="P1981" s="339">
        <f>ROUND(R1981-L1981-N1981,2)</f>
        <v>0</v>
      </c>
      <c r="Q1981" s="339"/>
      <c r="R1981" s="339">
        <f>ROUND(R1980/$AC$1984,2)</f>
        <v>8.0299999999999994</v>
      </c>
      <c r="S1981" s="339"/>
      <c r="T1981" s="294">
        <f>MIN($T$1998-$T$1977-$T$1978-$T$1979-$T$1988,SUM($Z$1980:$Z$1981))*Z1981/SUM($Z$1980:$Z$1981)</f>
        <v>2837352</v>
      </c>
      <c r="Z1981" s="294">
        <f t="shared" si="1054"/>
        <v>2837352</v>
      </c>
      <c r="AB1981" s="322" t="s">
        <v>1048</v>
      </c>
      <c r="AC1981" s="384">
        <f>(AC1978-J1988-J2017-J2084-J2173)/SUM(J1977:J1987,J1989:J1992,J2073:J2083,J2085:J2088,J2161:J2172,J2174:J2177)-1</f>
        <v>-1.0208083684408842E-2</v>
      </c>
      <c r="AD1981" s="384">
        <f>AC1978/(J1998+J2092+J2181)-1</f>
        <v>1.9369616550092061E-2</v>
      </c>
    </row>
    <row r="1982" spans="1:32">
      <c r="B1982" s="317" t="s">
        <v>1318</v>
      </c>
      <c r="D1982" s="293">
        <f t="shared" si="1048"/>
        <v>246513686.00034341</v>
      </c>
      <c r="E1982" s="293">
        <f t="shared" si="1048"/>
        <v>245732054.41468564</v>
      </c>
      <c r="G1982" s="377"/>
      <c r="H1982" s="343"/>
      <c r="L1982" s="377">
        <f>ROUND(SUM($T$1982:$T$1985,$T$1993)/SUM($E$1982:$E$1985,$E$1993)*100,4)</f>
        <v>2.9339</v>
      </c>
      <c r="M1982" s="343" t="s">
        <v>1062</v>
      </c>
      <c r="N1982" s="377">
        <f>R1982-L1982-P1982</f>
        <v>6.8490496173940008</v>
      </c>
      <c r="O1982" s="343" t="s">
        <v>1062</v>
      </c>
      <c r="P1982" s="377">
        <f>ROUND(SUM(X1982:X1983)/SUM($E1982:$E1983)*100,4)</f>
        <v>2.1261000000000001</v>
      </c>
      <c r="Q1982" s="343" t="s">
        <v>1062</v>
      </c>
      <c r="R1982" s="377">
        <f>ROUND((AC1978-SUM(Z1977:Z1981,Z1988,Z1993,Z2073:Z2077,Z2084,Z2161:Z2166,Z2173)-AC1985/100*(E1983+E2079+E2168+1/AC1984*(E1985+E2081+E2170)))/(E1982+E1983+E2078+E2079+E2167+E2168+1/AC1984*(E1984+E1985+E2080+E2081+E2169+E2170))*100,AC8)</f>
        <v>11.909049617394</v>
      </c>
      <c r="S1982" s="343" t="s">
        <v>1062</v>
      </c>
      <c r="T1982" s="294">
        <f>MIN($T$1998-$T$1977-$T$1978-$T$1979-$T$1980-$T$1981-$T$1988,SUM($Z$1982:$Z$1985,$Z$1993,-$V$1993))*Z1982/SUM($Z$1982:$Z$1985,$Z$1993,-$V$1993)</f>
        <v>9768364.3479040414</v>
      </c>
      <c r="U1982" s="346"/>
      <c r="V1982" s="346">
        <f>MIN($V$1998-$V$1993,SUM($Z$1982:$Z$1985)-SUM($T$1982:$T$1985))*($Z1982-$T1982)/(SUM($Z$1982:$Z$1985)-SUM($T$1982:$T$1985))</f>
        <v>12793576.006605452</v>
      </c>
      <c r="W1982" s="346"/>
      <c r="X1982" s="346">
        <f>Z1982-T1982-V1982</f>
        <v>6702411.6454905067</v>
      </c>
      <c r="Y1982" s="346"/>
      <c r="Z1982" s="294">
        <f>ROUND($E1982*R1982/100,0)</f>
        <v>29264352</v>
      </c>
      <c r="AB1982" s="322" t="s">
        <v>1125</v>
      </c>
      <c r="AC1982" s="384"/>
    </row>
    <row r="1983" spans="1:32">
      <c r="B1983" s="317" t="s">
        <v>1319</v>
      </c>
      <c r="D1983" s="293">
        <f t="shared" si="1048"/>
        <v>255582783.39106882</v>
      </c>
      <c r="E1983" s="293">
        <f t="shared" si="1048"/>
        <v>255089575</v>
      </c>
      <c r="G1983" s="377"/>
      <c r="H1983" s="343"/>
      <c r="L1983" s="377">
        <f>$L$1982</f>
        <v>2.9339</v>
      </c>
      <c r="M1983" s="343" t="s">
        <v>1062</v>
      </c>
      <c r="N1983" s="377">
        <f>R1983-L1983-P1983</f>
        <v>1.6937496173940008</v>
      </c>
      <c r="O1983" s="343" t="s">
        <v>1062</v>
      </c>
      <c r="P1983" s="377">
        <f>P1982</f>
        <v>2.1261000000000001</v>
      </c>
      <c r="Q1983" s="343" t="s">
        <v>1062</v>
      </c>
      <c r="R1983" s="377">
        <f>R1982+AC1985</f>
        <v>6.7537496173940008</v>
      </c>
      <c r="S1983" s="343" t="s">
        <v>1062</v>
      </c>
      <c r="T1983" s="294">
        <f t="shared" ref="T1983:T1984" si="1055">MIN($T$1998-$T$1977-$T$1978-$T$1979-$T$1980-$T$1981-$T$1988,SUM($Z$1982:$Z$1985,$Z$1993,-$V$1993))*Z1983/SUM($Z$1982:$Z$1985,$Z$1993,-$V$1993)</f>
        <v>5750698.5042461706</v>
      </c>
      <c r="U1983" s="346"/>
      <c r="V1983" s="346">
        <f t="shared" ref="V1983:V1985" si="1056">MIN($V$1998-$V$1993,SUM($Z$1982:$Z$1985)-SUM($T$1982:$T$1985))*($Z1983-$T1983)/(SUM($Z$1982:$Z$1985)-SUM($T$1982:$T$1985))</f>
        <v>7531659.9365923237</v>
      </c>
      <c r="W1983" s="346"/>
      <c r="X1983" s="346">
        <f t="shared" ref="X1983:X1985" si="1057">Z1983-T1983-V1983</f>
        <v>3945752.5591615047</v>
      </c>
      <c r="Y1983" s="346"/>
      <c r="Z1983" s="294">
        <f t="shared" ref="Z1983:Z1985" si="1058">ROUND($E1983*R1983/100,0)</f>
        <v>17228111</v>
      </c>
      <c r="AB1983" s="335" t="s">
        <v>1055</v>
      </c>
      <c r="AC1983" s="385"/>
    </row>
    <row r="1984" spans="1:32">
      <c r="B1984" s="317" t="s">
        <v>1320</v>
      </c>
      <c r="D1984" s="293">
        <f t="shared" si="1048"/>
        <v>497637266.10561931</v>
      </c>
      <c r="E1984" s="293">
        <f t="shared" si="1048"/>
        <v>491138812</v>
      </c>
      <c r="G1984" s="377"/>
      <c r="H1984" s="343"/>
      <c r="L1984" s="377">
        <f t="shared" ref="L1984:L1985" si="1059">$L$1982</f>
        <v>2.9339</v>
      </c>
      <c r="M1984" s="343" t="s">
        <v>1062</v>
      </c>
      <c r="N1984" s="377">
        <f>R1984-L1984-P1984</f>
        <v>5.6569000000000003</v>
      </c>
      <c r="O1984" s="343" t="s">
        <v>1062</v>
      </c>
      <c r="P1984" s="377">
        <f>ROUND(SUM(X1984:X1985)/SUM($E1984:$E1985)*100,4)</f>
        <v>1.9481999999999999</v>
      </c>
      <c r="Q1984" s="343" t="s">
        <v>1062</v>
      </c>
      <c r="R1984" s="377">
        <f>ROUND(R1982/$AC$1984,4)</f>
        <v>10.539</v>
      </c>
      <c r="S1984" s="343" t="s">
        <v>1062</v>
      </c>
      <c r="T1984" s="294">
        <f t="shared" si="1055"/>
        <v>17277726.479206458</v>
      </c>
      <c r="U1984" s="346"/>
      <c r="V1984" s="346">
        <f t="shared" si="1056"/>
        <v>22628548.55332008</v>
      </c>
      <c r="W1984" s="346"/>
      <c r="X1984" s="346">
        <f t="shared" si="1057"/>
        <v>11854843.967473462</v>
      </c>
      <c r="Y1984" s="346"/>
      <c r="Z1984" s="294">
        <f t="shared" si="1058"/>
        <v>51761119</v>
      </c>
      <c r="AB1984" s="315" t="s">
        <v>1118</v>
      </c>
      <c r="AC1984" s="316">
        <v>1.1299999999999999</v>
      </c>
    </row>
    <row r="1985" spans="1:32">
      <c r="B1985" s="317" t="s">
        <v>1321</v>
      </c>
      <c r="D1985" s="293">
        <f t="shared" si="1048"/>
        <v>399727710.95724291</v>
      </c>
      <c r="E1985" s="293">
        <f t="shared" si="1048"/>
        <v>394638630</v>
      </c>
      <c r="G1985" s="377"/>
      <c r="H1985" s="343"/>
      <c r="L1985" s="377">
        <f t="shared" si="1059"/>
        <v>2.9339</v>
      </c>
      <c r="M1985" s="343" t="s">
        <v>1062</v>
      </c>
      <c r="N1985" s="377">
        <f>R1985-L1985-P1985</f>
        <v>1.0947</v>
      </c>
      <c r="O1985" s="343" t="s">
        <v>1062</v>
      </c>
      <c r="P1985" s="377">
        <f>P1984</f>
        <v>1.9481999999999999</v>
      </c>
      <c r="Q1985" s="343" t="s">
        <v>1062</v>
      </c>
      <c r="R1985" s="377">
        <f>ROUND(R1983/$AC$1984,4)</f>
        <v>5.9767999999999999</v>
      </c>
      <c r="S1985" s="343" t="s">
        <v>1062</v>
      </c>
      <c r="T1985" s="294">
        <f>MIN($T$1998-$T$1977-$T$1978-$T$1979-$T$1980-$T$1981-$T$1988,SUM($Z$1982:$Z$1985,$Z$1993,-$V$1993))*Z1985/SUM($Z$1982:$Z$1985,$Z$1993,-$V$1993)</f>
        <v>7873199.6185426498</v>
      </c>
      <c r="U1985" s="346"/>
      <c r="V1985" s="346">
        <f t="shared" si="1056"/>
        <v>10311488.61238114</v>
      </c>
      <c r="W1985" s="346"/>
      <c r="X1985" s="346">
        <f t="shared" si="1057"/>
        <v>5402073.7690762114</v>
      </c>
      <c r="Y1985" s="346"/>
      <c r="Z1985" s="294">
        <f t="shared" si="1058"/>
        <v>23586762</v>
      </c>
      <c r="AB1985" s="315" t="s">
        <v>1322</v>
      </c>
      <c r="AC1985" s="316">
        <f>G1990-G1989</f>
        <v>-5.1552999999999995</v>
      </c>
    </row>
    <row r="1986" spans="1:32">
      <c r="B1986" s="317" t="s">
        <v>1323</v>
      </c>
      <c r="D1986" s="293">
        <f t="shared" si="1048"/>
        <v>359490.05664739525</v>
      </c>
      <c r="E1986" s="293">
        <f t="shared" si="1048"/>
        <v>355316</v>
      </c>
      <c r="G1986" s="318">
        <v>8.65</v>
      </c>
      <c r="H1986" s="318"/>
      <c r="I1986" s="294">
        <f t="shared" si="1049"/>
        <v>3109589</v>
      </c>
      <c r="J1986" s="294">
        <f t="shared" si="1049"/>
        <v>3073483</v>
      </c>
      <c r="L1986" s="318"/>
      <c r="M1986" s="318"/>
      <c r="N1986" s="318"/>
      <c r="O1986" s="318"/>
      <c r="P1986" s="318"/>
      <c r="Q1986" s="318"/>
      <c r="R1986" s="318"/>
      <c r="S1986" s="318"/>
      <c r="T1986" s="319"/>
      <c r="U1986" s="319"/>
      <c r="V1986" s="319"/>
      <c r="W1986" s="319"/>
      <c r="X1986" s="319"/>
      <c r="Y1986" s="319"/>
      <c r="AB1986" s="320"/>
      <c r="AC1986" s="436"/>
    </row>
    <row r="1987" spans="1:32">
      <c r="B1987" s="317" t="s">
        <v>1324</v>
      </c>
      <c r="D1987" s="293">
        <f t="shared" si="1048"/>
        <v>305343.14942528633</v>
      </c>
      <c r="E1987" s="293">
        <f t="shared" si="1048"/>
        <v>301598</v>
      </c>
      <c r="G1987" s="318">
        <v>8.7000000000000011</v>
      </c>
      <c r="H1987" s="318"/>
      <c r="I1987" s="294">
        <f t="shared" si="1049"/>
        <v>2656485</v>
      </c>
      <c r="J1987" s="294">
        <f t="shared" si="1049"/>
        <v>2623903</v>
      </c>
      <c r="L1987" s="318"/>
      <c r="M1987" s="318"/>
      <c r="N1987" s="318"/>
      <c r="O1987" s="318"/>
      <c r="P1987" s="318"/>
      <c r="Q1987" s="318"/>
      <c r="R1987" s="318"/>
      <c r="S1987" s="318"/>
      <c r="T1987" s="319"/>
      <c r="U1987" s="319"/>
      <c r="V1987" s="319"/>
      <c r="W1987" s="319"/>
      <c r="X1987" s="319"/>
      <c r="Y1987" s="319"/>
      <c r="AB1987" s="322"/>
      <c r="AC1987" s="437"/>
    </row>
    <row r="1988" spans="1:32">
      <c r="B1988" s="317" t="s">
        <v>1098</v>
      </c>
      <c r="D1988" s="293">
        <f t="shared" si="1048"/>
        <v>12132.72916666667</v>
      </c>
      <c r="E1988" s="293">
        <f t="shared" si="1048"/>
        <v>11994</v>
      </c>
      <c r="G1988" s="318">
        <v>-0.48</v>
      </c>
      <c r="H1988" s="318"/>
      <c r="I1988" s="294">
        <f t="shared" si="1049"/>
        <v>-5824</v>
      </c>
      <c r="J1988" s="294">
        <f t="shared" si="1049"/>
        <v>-5757</v>
      </c>
      <c r="L1988" s="339">
        <f t="shared" ref="L1988" si="1060">ROUND(T1988/$E1988,2)</f>
        <v>-0.48</v>
      </c>
      <c r="M1988" s="339"/>
      <c r="N1988" s="339">
        <f t="shared" ref="N1988" si="1061">ROUND(V1988/$E1988,2)</f>
        <v>0</v>
      </c>
      <c r="O1988" s="339"/>
      <c r="P1988" s="339">
        <f t="shared" ref="P1988" si="1062">ROUND(R1988-L1988-N1988,2)</f>
        <v>0</v>
      </c>
      <c r="Q1988" s="318"/>
      <c r="R1988" s="318">
        <f>G1988</f>
        <v>-0.48</v>
      </c>
      <c r="S1988" s="318"/>
      <c r="T1988" s="319">
        <f>Z1988</f>
        <v>-5757</v>
      </c>
      <c r="U1988" s="319"/>
      <c r="V1988" s="319"/>
      <c r="W1988" s="319"/>
      <c r="X1988" s="319"/>
      <c r="Y1988" s="319"/>
      <c r="Z1988" s="294">
        <f t="shared" ref="Z1988" si="1063">ROUND($E1988*R1988,0)</f>
        <v>-5757</v>
      </c>
      <c r="AB1988" s="305" t="s">
        <v>1011</v>
      </c>
      <c r="AC1988" s="337">
        <f>[7]RateSpread!V46*1000</f>
        <v>-2904576.9778112993</v>
      </c>
      <c r="AD1988" s="338">
        <f>ROUND(AC1988/SUM(Z1980:Z1985,Z1993,Z2076:Z2081,Z2165:Z2170),4)</f>
        <v>-2.2499999999999999E-2</v>
      </c>
    </row>
    <row r="1989" spans="1:32">
      <c r="B1989" s="317" t="s">
        <v>1325</v>
      </c>
      <c r="D1989" s="293">
        <f t="shared" si="1048"/>
        <v>306932669.66192746</v>
      </c>
      <c r="E1989" s="293">
        <f t="shared" si="1048"/>
        <v>308060156.41468561</v>
      </c>
      <c r="G1989" s="350">
        <v>11.733599999999999</v>
      </c>
      <c r="H1989" s="343" t="s">
        <v>1062</v>
      </c>
      <c r="I1989" s="294">
        <f t="shared" ref="I1989:J1993" si="1064">ROUND($G1989*D1989/100,0)</f>
        <v>36014252</v>
      </c>
      <c r="J1989" s="294">
        <f t="shared" si="1064"/>
        <v>36146547</v>
      </c>
      <c r="L1989" s="350"/>
      <c r="M1989" s="343"/>
      <c r="N1989" s="350"/>
      <c r="O1989" s="343"/>
      <c r="P1989" s="350"/>
      <c r="Q1989" s="343"/>
      <c r="R1989" s="350"/>
      <c r="S1989" s="343"/>
      <c r="T1989" s="346"/>
      <c r="U1989" s="346"/>
      <c r="V1989" s="346"/>
      <c r="W1989" s="346"/>
      <c r="X1989" s="346"/>
      <c r="Y1989" s="346"/>
      <c r="AB1989" s="305" t="s">
        <v>1057</v>
      </c>
      <c r="AC1989" s="337">
        <f>[7]RateSpread!W46*1000</f>
        <v>-1452288.4906474762</v>
      </c>
      <c r="AD1989" s="338">
        <f>ROUND(AC1989/SUM(Z1980:Z1985,Z1993,Z2076:Z2081,Z2165:Z2170),4)</f>
        <v>-1.12E-2</v>
      </c>
    </row>
    <row r="1990" spans="1:32">
      <c r="B1990" s="317" t="s">
        <v>1326</v>
      </c>
      <c r="D1990" s="293">
        <f t="shared" si="1048"/>
        <v>299805428.240731</v>
      </c>
      <c r="E1990" s="293">
        <f t="shared" si="1048"/>
        <v>301253476</v>
      </c>
      <c r="G1990" s="350">
        <v>6.5782999999999996</v>
      </c>
      <c r="H1990" s="343" t="s">
        <v>1062</v>
      </c>
      <c r="I1990" s="294">
        <f t="shared" si="1064"/>
        <v>19722100</v>
      </c>
      <c r="J1990" s="294">
        <f t="shared" si="1064"/>
        <v>19817357</v>
      </c>
      <c r="L1990" s="350"/>
      <c r="M1990" s="343"/>
      <c r="N1990" s="350"/>
      <c r="O1990" s="343"/>
      <c r="P1990" s="350"/>
      <c r="Q1990" s="343"/>
      <c r="R1990" s="350"/>
      <c r="S1990" s="343"/>
      <c r="T1990" s="346"/>
      <c r="U1990" s="346"/>
      <c r="V1990" s="346"/>
      <c r="W1990" s="346"/>
      <c r="X1990" s="346"/>
      <c r="Y1990" s="346"/>
    </row>
    <row r="1991" spans="1:32">
      <c r="B1991" s="317" t="s">
        <v>1327</v>
      </c>
      <c r="D1991" s="293">
        <f t="shared" si="1048"/>
        <v>437218282.44403523</v>
      </c>
      <c r="E1991" s="293">
        <f t="shared" si="1048"/>
        <v>428643673</v>
      </c>
      <c r="G1991" s="350">
        <v>10.8</v>
      </c>
      <c r="H1991" s="343" t="s">
        <v>1062</v>
      </c>
      <c r="I1991" s="294">
        <f t="shared" si="1064"/>
        <v>47219575</v>
      </c>
      <c r="J1991" s="294">
        <f t="shared" si="1064"/>
        <v>46293517</v>
      </c>
      <c r="L1991" s="350"/>
      <c r="M1991" s="343"/>
      <c r="N1991" s="350"/>
      <c r="O1991" s="343"/>
      <c r="P1991" s="350"/>
      <c r="Q1991" s="343"/>
      <c r="R1991" s="350"/>
      <c r="S1991" s="343"/>
      <c r="T1991" s="346"/>
      <c r="U1991" s="346"/>
      <c r="V1991" s="346"/>
      <c r="W1991" s="346"/>
      <c r="X1991" s="346"/>
      <c r="Y1991" s="346"/>
      <c r="AB1991" s="305" t="s">
        <v>939</v>
      </c>
      <c r="AC1991" s="304">
        <f>Z1998/J1998-1</f>
        <v>1.9393942629164718E-2</v>
      </c>
    </row>
    <row r="1992" spans="1:32">
      <c r="B1992" s="317" t="s">
        <v>1328</v>
      </c>
      <c r="D1992" s="293">
        <f t="shared" si="1048"/>
        <v>355505066.10758072</v>
      </c>
      <c r="E1992" s="293">
        <f t="shared" si="1048"/>
        <v>348641766</v>
      </c>
      <c r="G1992" s="350">
        <v>6.0567000000000002</v>
      </c>
      <c r="H1992" s="343" t="s">
        <v>1062</v>
      </c>
      <c r="I1992" s="294">
        <f t="shared" si="1064"/>
        <v>21531875</v>
      </c>
      <c r="J1992" s="294">
        <f t="shared" si="1064"/>
        <v>21116186</v>
      </c>
      <c r="L1992" s="350"/>
      <c r="M1992" s="343"/>
      <c r="N1992" s="350"/>
      <c r="O1992" s="343"/>
      <c r="P1992" s="350"/>
      <c r="Q1992" s="343"/>
      <c r="R1992" s="350"/>
      <c r="S1992" s="343"/>
      <c r="T1992" s="346"/>
      <c r="U1992" s="346"/>
      <c r="V1992" s="346"/>
      <c r="W1992" s="346"/>
      <c r="X1992" s="346"/>
      <c r="Y1992" s="346"/>
    </row>
    <row r="1993" spans="1:32">
      <c r="B1993" s="353" t="s">
        <v>1077</v>
      </c>
      <c r="C1993" s="354"/>
      <c r="D1993" s="293">
        <f t="shared" ref="D1993:E1994" si="1065">D2017+D2041+D2065</f>
        <v>2093618</v>
      </c>
      <c r="E1993" s="293">
        <f t="shared" si="1065"/>
        <v>2069676</v>
      </c>
      <c r="F1993" s="354"/>
      <c r="G1993" s="351">
        <v>10.120799999999999</v>
      </c>
      <c r="H1993" s="356" t="s">
        <v>1062</v>
      </c>
      <c r="I1993" s="325">
        <f t="shared" si="1064"/>
        <v>211891</v>
      </c>
      <c r="J1993" s="325">
        <f t="shared" si="1064"/>
        <v>209468</v>
      </c>
      <c r="K1993" s="354"/>
      <c r="L1993" s="351">
        <f>L1982</f>
        <v>2.9339</v>
      </c>
      <c r="M1993" s="356" t="s">
        <v>1062</v>
      </c>
      <c r="N1993" s="351">
        <v>7.4249999999999998</v>
      </c>
      <c r="O1993" s="356" t="s">
        <v>1062</v>
      </c>
      <c r="P1993" s="351">
        <f t="shared" ref="P1993" si="1066">ROUND(R1993-L1993-N1993,4)</f>
        <v>0</v>
      </c>
      <c r="Q1993" s="356" t="s">
        <v>1062</v>
      </c>
      <c r="R1993" s="351">
        <f>G1993+AB1994</f>
        <v>10.358899999999998</v>
      </c>
      <c r="S1993" s="356" t="s">
        <v>1062</v>
      </c>
      <c r="T1993" s="294">
        <f>MIN($T$1998-$T$1977-$T$1978-$T$1979-$T$1980-$T$1981-$T$1988,SUM($Z$1982:$Z$1985,$Z$1993,-$V$1993))*Z1993/SUM($Z$1982:$Z$1985,$Z$1993,-$V$1993)</f>
        <v>71564.825448150528</v>
      </c>
      <c r="U1993" s="345"/>
      <c r="V1993" s="345">
        <f>ROUND($E1993*N1993/100,0)</f>
        <v>153673</v>
      </c>
      <c r="W1993" s="345"/>
      <c r="X1993" s="345"/>
      <c r="Y1993" s="345"/>
      <c r="Z1993" s="325">
        <f>ROUND($E1993*R1993/100,0)</f>
        <v>214396</v>
      </c>
      <c r="AB1993" s="292">
        <v>2.6958000000000002</v>
      </c>
      <c r="AC1993" s="292">
        <v>7.4249999999999998</v>
      </c>
      <c r="AD1993" s="292">
        <v>10.120799999999999</v>
      </c>
    </row>
    <row r="1994" spans="1:32">
      <c r="B1994" s="317" t="s">
        <v>1078</v>
      </c>
      <c r="D1994" s="357">
        <f t="shared" si="1065"/>
        <v>6316242</v>
      </c>
      <c r="E1994" s="357">
        <f t="shared" si="1065"/>
        <v>0</v>
      </c>
      <c r="I1994" s="358">
        <f>I2018+I2042+I2066</f>
        <v>702376</v>
      </c>
      <c r="J1994" s="358">
        <f t="shared" ref="J1994" si="1067">J2018+J2042+J2066</f>
        <v>0</v>
      </c>
      <c r="Z1994" s="358"/>
      <c r="AB1994" s="292">
        <f>0.2344+0.0037</f>
        <v>0.23810000000000001</v>
      </c>
    </row>
    <row r="1995" spans="1:32">
      <c r="B1995" s="317" t="s">
        <v>1079</v>
      </c>
      <c r="G1995" s="338">
        <v>-3.3099999999999997E-2</v>
      </c>
      <c r="H1995" s="339"/>
      <c r="I1995" s="294">
        <f>SUM(I1986:I1987,I1989:I1993)*$G1995</f>
        <v>-4318416.8876999998</v>
      </c>
      <c r="J1995" s="294">
        <f>SUM(J1986:J1987,J1989:J1993)*$G1995</f>
        <v>-4279183.2590999994</v>
      </c>
      <c r="L1995" s="338"/>
      <c r="M1995" s="339"/>
      <c r="N1995" s="338"/>
      <c r="O1995" s="339"/>
      <c r="P1995" s="359" t="str">
        <f>$P$43</f>
        <v>Tax Year 1</v>
      </c>
      <c r="Q1995" s="339"/>
      <c r="R1995" s="338">
        <f>$AD$1988</f>
        <v>-2.2499999999999999E-2</v>
      </c>
      <c r="S1995" s="339"/>
      <c r="Z1995" s="294">
        <f>R1995*SUM(Z1980:Z1985,Z1993)</f>
        <v>-2872023.12</v>
      </c>
    </row>
    <row r="1996" spans="1:32">
      <c r="B1996" s="317"/>
      <c r="G1996" s="338"/>
      <c r="H1996" s="339"/>
      <c r="L1996" s="338"/>
      <c r="M1996" s="339"/>
      <c r="N1996" s="338"/>
      <c r="O1996" s="339"/>
      <c r="P1996" s="359" t="str">
        <f>$P$44</f>
        <v>Tax Year 2</v>
      </c>
      <c r="Q1996" s="339"/>
      <c r="R1996" s="338">
        <f>$AD$1989</f>
        <v>-1.12E-2</v>
      </c>
      <c r="S1996" s="339"/>
      <c r="Z1996" s="294">
        <f>R1996*SUM(Z1980:Z1985,Z1993)</f>
        <v>-1429629.2864000001</v>
      </c>
      <c r="AB1996" s="360" t="s">
        <v>1081</v>
      </c>
      <c r="AC1996" s="360"/>
      <c r="AD1996" s="360"/>
      <c r="AE1996" s="360"/>
    </row>
    <row r="1997" spans="1:32">
      <c r="B1997" s="353" t="s">
        <v>1082</v>
      </c>
      <c r="D1997" s="293">
        <f>D2021+D2045+D2069</f>
        <v>-151735</v>
      </c>
      <c r="E1997" s="293">
        <f t="shared" ref="E1997" si="1068">E2021+E2045+E2069</f>
        <v>-150134</v>
      </c>
      <c r="G1997" s="338"/>
      <c r="H1997" s="339"/>
      <c r="L1997" s="338"/>
      <c r="M1997" s="339"/>
      <c r="N1997" s="338"/>
      <c r="O1997" s="339"/>
      <c r="P1997" s="338"/>
      <c r="Q1997" s="339"/>
      <c r="R1997" s="338"/>
      <c r="S1997" s="339"/>
      <c r="AB1997" s="361" t="s">
        <v>42</v>
      </c>
      <c r="AC1997" s="361" t="s">
        <v>43</v>
      </c>
      <c r="AD1997" s="361" t="s">
        <v>44</v>
      </c>
      <c r="AE1997" s="361" t="s">
        <v>45</v>
      </c>
    </row>
    <row r="1998" spans="1:32" ht="16.5" thickBot="1">
      <c r="A1998" s="292">
        <v>1</v>
      </c>
      <c r="B1998" s="317" t="s">
        <v>937</v>
      </c>
      <c r="D1998" s="381">
        <f>SUM(D1989:D1997)</f>
        <v>1407719571.4542744</v>
      </c>
      <c r="E1998" s="381">
        <f>SUM(E1989:E1997)</f>
        <v>1388518613.4146857</v>
      </c>
      <c r="G1998" s="368"/>
      <c r="I1998" s="369">
        <f>SUM(I1977:I1995)</f>
        <v>137785322.11230001</v>
      </c>
      <c r="J1998" s="369">
        <f>SUM(J1977:J1995)</f>
        <v>136341243.74090001</v>
      </c>
      <c r="L1998" s="368"/>
      <c r="N1998" s="368"/>
      <c r="P1998" s="368"/>
      <c r="R1998" s="368"/>
      <c r="T1998" s="364">
        <f>$Z1998*AB1998/$AE1998</f>
        <v>57620956.128875084</v>
      </c>
      <c r="U1998" s="364"/>
      <c r="V1998" s="364">
        <f>$Z1998*AC1998/$AE1998</f>
        <v>53418946.108898997</v>
      </c>
      <c r="W1998" s="364"/>
      <c r="X1998" s="364">
        <f>Z1998-T1998-V1998</f>
        <v>27945535.762225926</v>
      </c>
      <c r="Z1998" s="369">
        <f>SUM(Z1977:Z1994)</f>
        <v>138985438</v>
      </c>
      <c r="AB1998" s="366">
        <f>'[7]Unit Cost Target'!$J$87+'[7]Unit Cost Target'!$J$123+'[7]Unit Cost Target'!$J$129</f>
        <v>317321.15709407593</v>
      </c>
      <c r="AC1998" s="366">
        <f>'[7]Unit Cost Target'!$J$45+'[7]Unit Cost Target'!$J$51+'[7]Unit Cost Target'!$J$75+'[7]Unit Cost Target'!$J$81</f>
        <v>294180.50183182274</v>
      </c>
      <c r="AD1998" s="366">
        <f>'[7]Unit Cost Target'!$J$33+'[7]Unit Cost Target'!$J$39+'[7]Unit Cost Target'!$J$63+'[7]Unit Cost Target'!$J$69</f>
        <v>153897.30298556457</v>
      </c>
      <c r="AE1998" s="366">
        <f>SUM(AB1998:AD1998)</f>
        <v>765398.96191146318</v>
      </c>
      <c r="AF1998" s="366">
        <f>AE1998-'[7]Unit Cost Target'!$J$21</f>
        <v>0</v>
      </c>
    </row>
    <row r="1999" spans="1:32" ht="16.5" thickTop="1">
      <c r="A1999" s="292">
        <v>1</v>
      </c>
      <c r="AB1999" s="366">
        <f>T1998-SUM(T1977:T1997)</f>
        <v>-51295.646472387016</v>
      </c>
      <c r="AC1999" s="366">
        <f>V1998-SUM(V1977:V1997)</f>
        <v>0</v>
      </c>
      <c r="AD1999" s="366">
        <f>X1998-SUM(X1977:X1997)</f>
        <v>40453.821024239063</v>
      </c>
      <c r="AE1999" s="366">
        <f>SUM(AB1999:AD1999)</f>
        <v>-10841.825448147953</v>
      </c>
      <c r="AF1999" s="366"/>
    </row>
    <row r="2000" spans="1:32">
      <c r="B2000" s="314" t="s">
        <v>1019</v>
      </c>
    </row>
    <row r="2001" spans="2:26">
      <c r="B2001" s="317" t="s">
        <v>1089</v>
      </c>
      <c r="D2001" s="293">
        <f>'[7]23'!G26</f>
        <v>166153.66500000798</v>
      </c>
      <c r="E2001" s="293">
        <f>[7]Bill!P14</f>
        <v>173250</v>
      </c>
      <c r="G2001" s="339">
        <v>10</v>
      </c>
      <c r="H2001" s="339"/>
      <c r="I2001" s="294">
        <f t="shared" ref="I2001:J2012" si="1069">ROUND($G2001*D2001,0)</f>
        <v>1661537</v>
      </c>
      <c r="J2001" s="294">
        <f t="shared" si="1069"/>
        <v>1732500</v>
      </c>
      <c r="L2001" s="339">
        <f>L1977</f>
        <v>10</v>
      </c>
      <c r="M2001" s="339"/>
      <c r="N2001" s="339">
        <f>N1977</f>
        <v>0</v>
      </c>
      <c r="O2001" s="339"/>
      <c r="P2001" s="339">
        <f>P1977</f>
        <v>0</v>
      </c>
      <c r="Q2001" s="339"/>
      <c r="R2001" s="339">
        <f t="shared" ref="R2001:R2009" si="1070">R1977</f>
        <v>10</v>
      </c>
      <c r="S2001" s="339"/>
      <c r="T2001" s="294">
        <f t="shared" ref="T2001:T2005" si="1071">ROUND($E2001*L2001,0)</f>
        <v>1732500</v>
      </c>
      <c r="V2001" s="294">
        <f t="shared" ref="V2001:V2005" si="1072">ROUND($E2001*N2001,0)</f>
        <v>0</v>
      </c>
      <c r="X2001" s="294">
        <f t="shared" ref="X2001:X2005" si="1073">ROUND($E2001*P2001,0)</f>
        <v>0</v>
      </c>
      <c r="Z2001" s="294">
        <f>ROUND($E2001*R2001,0)</f>
        <v>1732500</v>
      </c>
    </row>
    <row r="2002" spans="2:26">
      <c r="B2002" s="317" t="s">
        <v>1099</v>
      </c>
      <c r="D2002" s="293">
        <v>0</v>
      </c>
      <c r="E2002" s="293">
        <f>ROUND(D2002/D2001*E2001,0)</f>
        <v>0</v>
      </c>
      <c r="G2002" s="339">
        <v>120</v>
      </c>
      <c r="H2002" s="339"/>
      <c r="I2002" s="294">
        <f t="shared" si="1069"/>
        <v>0</v>
      </c>
      <c r="J2002" s="294">
        <f t="shared" si="1069"/>
        <v>0</v>
      </c>
      <c r="L2002" s="339">
        <f t="shared" ref="L2002:L2009" si="1074">L1978</f>
        <v>119</v>
      </c>
      <c r="M2002" s="339"/>
      <c r="N2002" s="339">
        <f t="shared" ref="N2002:N2009" si="1075">N1978</f>
        <v>0</v>
      </c>
      <c r="O2002" s="339"/>
      <c r="P2002" s="339">
        <f t="shared" ref="P2002:P2009" si="1076">P1978</f>
        <v>0</v>
      </c>
      <c r="Q2002" s="339"/>
      <c r="R2002" s="339">
        <f t="shared" si="1070"/>
        <v>119</v>
      </c>
      <c r="S2002" s="339"/>
      <c r="T2002" s="294">
        <f t="shared" si="1071"/>
        <v>0</v>
      </c>
      <c r="V2002" s="294">
        <f t="shared" si="1072"/>
        <v>0</v>
      </c>
      <c r="X2002" s="294">
        <f t="shared" si="1073"/>
        <v>0</v>
      </c>
      <c r="Z2002" s="294">
        <f t="shared" ref="Z2002:Z2005" si="1077">ROUND($E2002*R2002,0)</f>
        <v>0</v>
      </c>
    </row>
    <row r="2003" spans="2:26">
      <c r="B2003" s="317" t="s">
        <v>1100</v>
      </c>
      <c r="D2003" s="293">
        <f>'[7]23'!AH26</f>
        <v>6.6669999999999998</v>
      </c>
      <c r="E2003" s="293">
        <f>ROUND(D2003/D2001*E2001,0)</f>
        <v>7</v>
      </c>
      <c r="G2003" s="339">
        <v>10</v>
      </c>
      <c r="H2003" s="339"/>
      <c r="I2003" s="294">
        <f t="shared" si="1069"/>
        <v>67</v>
      </c>
      <c r="J2003" s="294">
        <f t="shared" si="1069"/>
        <v>70</v>
      </c>
      <c r="L2003" s="339">
        <f t="shared" si="1074"/>
        <v>10</v>
      </c>
      <c r="M2003" s="339"/>
      <c r="N2003" s="339">
        <f t="shared" si="1075"/>
        <v>0</v>
      </c>
      <c r="O2003" s="339"/>
      <c r="P2003" s="339">
        <f t="shared" si="1076"/>
        <v>0</v>
      </c>
      <c r="Q2003" s="339"/>
      <c r="R2003" s="339">
        <f t="shared" si="1070"/>
        <v>10</v>
      </c>
      <c r="S2003" s="339"/>
      <c r="T2003" s="294">
        <f t="shared" si="1071"/>
        <v>70</v>
      </c>
      <c r="V2003" s="294">
        <f t="shared" si="1072"/>
        <v>0</v>
      </c>
      <c r="X2003" s="294">
        <f t="shared" si="1073"/>
        <v>0</v>
      </c>
      <c r="Z2003" s="294">
        <f t="shared" si="1077"/>
        <v>70</v>
      </c>
    </row>
    <row r="2004" spans="2:26">
      <c r="B2004" s="317" t="s">
        <v>1316</v>
      </c>
      <c r="D2004" s="293">
        <f>'[7]23'!I26+'[7]23-may'!I26</f>
        <v>8259.9962634652038</v>
      </c>
      <c r="E2004" s="293">
        <f>ROUND(D2004/D2022*E2022,0)</f>
        <v>7796</v>
      </c>
      <c r="G2004" s="339"/>
      <c r="H2004" s="339"/>
      <c r="L2004" s="339">
        <f t="shared" si="1074"/>
        <v>9.07</v>
      </c>
      <c r="M2004" s="339"/>
      <c r="N2004" s="339">
        <f t="shared" si="1075"/>
        <v>0</v>
      </c>
      <c r="O2004" s="339"/>
      <c r="P2004" s="339">
        <f t="shared" si="1076"/>
        <v>0</v>
      </c>
      <c r="Q2004" s="339"/>
      <c r="R2004" s="339">
        <f t="shared" si="1070"/>
        <v>9.07</v>
      </c>
      <c r="S2004" s="339"/>
      <c r="T2004" s="294">
        <f t="shared" si="1071"/>
        <v>70710</v>
      </c>
      <c r="V2004" s="294">
        <f t="shared" si="1072"/>
        <v>0</v>
      </c>
      <c r="X2004" s="294">
        <f t="shared" si="1073"/>
        <v>0</v>
      </c>
      <c r="Z2004" s="294">
        <f t="shared" si="1077"/>
        <v>70710</v>
      </c>
    </row>
    <row r="2005" spans="2:26">
      <c r="B2005" s="317" t="s">
        <v>1317</v>
      </c>
      <c r="D2005" s="293">
        <f>'[7]23'!J26+'[7]23-may'!J26</f>
        <v>13257.216008144667</v>
      </c>
      <c r="E2005" s="293">
        <f>ROUND(D2005/D2022*E2022,0)</f>
        <v>12513</v>
      </c>
      <c r="G2005" s="339"/>
      <c r="H2005" s="339"/>
      <c r="L2005" s="339">
        <f t="shared" si="1074"/>
        <v>8.0299999999999994</v>
      </c>
      <c r="M2005" s="339"/>
      <c r="N2005" s="339">
        <f t="shared" si="1075"/>
        <v>0</v>
      </c>
      <c r="O2005" s="339"/>
      <c r="P2005" s="339">
        <f t="shared" si="1076"/>
        <v>0</v>
      </c>
      <c r="Q2005" s="339"/>
      <c r="R2005" s="339">
        <f t="shared" si="1070"/>
        <v>8.0299999999999994</v>
      </c>
      <c r="S2005" s="339"/>
      <c r="T2005" s="294">
        <f t="shared" si="1071"/>
        <v>100479</v>
      </c>
      <c r="V2005" s="294">
        <f t="shared" si="1072"/>
        <v>0</v>
      </c>
      <c r="X2005" s="294">
        <f t="shared" si="1073"/>
        <v>0</v>
      </c>
      <c r="Z2005" s="294">
        <f t="shared" si="1077"/>
        <v>100479</v>
      </c>
    </row>
    <row r="2006" spans="2:26">
      <c r="B2006" s="317" t="s">
        <v>1318</v>
      </c>
      <c r="D2006" s="293">
        <f>'[7]23'!N26+'[7]23'!AB26+[7]TempRevMay!C327-[7]TempRevMay!M327-[7]TempRevMay!W327+'[7]23-may'!N26+'[7]23-may'!AB26</f>
        <v>18088988.484417532</v>
      </c>
      <c r="E2006" s="293">
        <f>E2022-SUM(E2007:E2009,E2017,E2021)</f>
        <v>17111827.531002313</v>
      </c>
      <c r="G2006" s="377"/>
      <c r="H2006" s="343"/>
      <c r="L2006" s="377">
        <f t="shared" si="1074"/>
        <v>2.9339</v>
      </c>
      <c r="M2006" s="343" t="s">
        <v>1062</v>
      </c>
      <c r="N2006" s="377">
        <f t="shared" si="1075"/>
        <v>6.8490496173940008</v>
      </c>
      <c r="O2006" s="343" t="s">
        <v>1062</v>
      </c>
      <c r="P2006" s="377">
        <f t="shared" si="1076"/>
        <v>2.1261000000000001</v>
      </c>
      <c r="Q2006" s="343" t="s">
        <v>1062</v>
      </c>
      <c r="R2006" s="377">
        <f t="shared" si="1070"/>
        <v>11.909049617394</v>
      </c>
      <c r="S2006" s="343" t="s">
        <v>1062</v>
      </c>
      <c r="T2006" s="294">
        <f>ROUND($E2006*L2006/100,0)</f>
        <v>502044</v>
      </c>
      <c r="U2006" s="346"/>
      <c r="V2006" s="294">
        <f>ROUND($E2006*N2006/100,0)</f>
        <v>1171998</v>
      </c>
      <c r="W2006" s="346"/>
      <c r="X2006" s="294">
        <f>ROUND($E2006*P2006/100,0)</f>
        <v>363815</v>
      </c>
      <c r="Y2006" s="346"/>
      <c r="Z2006" s="294">
        <f>ROUND($E2006*R2006/100,0)</f>
        <v>2037856</v>
      </c>
    </row>
    <row r="2007" spans="2:26">
      <c r="B2007" s="317" t="s">
        <v>1319</v>
      </c>
      <c r="D2007" s="293">
        <f>'[7]23'!O26+'[7]23'!AC26+[7]TempRevMay!C328-[7]TempRevMay!M328-[7]TempRevMay!W328+'[7]23-may'!O26+'[7]23-may'!AC26</f>
        <v>12955361.531566361</v>
      </c>
      <c r="E2007" s="293">
        <f>ROUND(D2007/(D2007+D2006)*[7]Energy!S14*(1-1/[7]Energy!P14*(Blocking!E2017+Blocking!E2021)),0)</f>
        <v>12255517</v>
      </c>
      <c r="G2007" s="377"/>
      <c r="H2007" s="343"/>
      <c r="L2007" s="377">
        <f t="shared" si="1074"/>
        <v>2.9339</v>
      </c>
      <c r="M2007" s="343" t="s">
        <v>1062</v>
      </c>
      <c r="N2007" s="377">
        <f t="shared" si="1075"/>
        <v>1.6937496173940008</v>
      </c>
      <c r="O2007" s="343" t="s">
        <v>1062</v>
      </c>
      <c r="P2007" s="377">
        <f t="shared" si="1076"/>
        <v>2.1261000000000001</v>
      </c>
      <c r="Q2007" s="343" t="s">
        <v>1062</v>
      </c>
      <c r="R2007" s="377">
        <f t="shared" si="1070"/>
        <v>6.7537496173940008</v>
      </c>
      <c r="S2007" s="343" t="s">
        <v>1062</v>
      </c>
      <c r="T2007" s="294">
        <f t="shared" ref="T2007:T2009" si="1078">ROUND($E2007*L2007/100,0)</f>
        <v>359565</v>
      </c>
      <c r="U2007" s="346"/>
      <c r="V2007" s="294">
        <f t="shared" ref="V2007:V2009" si="1079">ROUND($E2007*N2007/100,0)</f>
        <v>207578</v>
      </c>
      <c r="W2007" s="346"/>
      <c r="X2007" s="294">
        <f t="shared" ref="X2007:X2009" si="1080">ROUND($E2007*P2007/100,0)</f>
        <v>260565</v>
      </c>
      <c r="Y2007" s="346"/>
      <c r="Z2007" s="294">
        <f t="shared" ref="Z2007:Z2009" si="1081">ROUND($E2007*R2007/100,0)</f>
        <v>827707</v>
      </c>
    </row>
    <row r="2008" spans="2:26">
      <c r="B2008" s="317" t="s">
        <v>1320</v>
      </c>
      <c r="D2008" s="293">
        <f>'[7]23'!Q26+'[7]23'!AD26+[7]TempRevMay!C329-[7]TempRevMay!M329-[7]TempRevMay!W329+'[7]23-may'!Q26+'[7]23-may'!AD26</f>
        <v>42519070.480579935</v>
      </c>
      <c r="E2008" s="293">
        <f>ROUND(D2008/(D2009+D2008)*[7]Energy!T14*(1-1/[7]Energy!P14*(Blocking!E2017+Blocking!E2021)),0)</f>
        <v>40420347</v>
      </c>
      <c r="G2008" s="377"/>
      <c r="H2008" s="343"/>
      <c r="L2008" s="377">
        <f t="shared" si="1074"/>
        <v>2.9339</v>
      </c>
      <c r="M2008" s="343" t="s">
        <v>1062</v>
      </c>
      <c r="N2008" s="377">
        <f t="shared" si="1075"/>
        <v>5.6569000000000003</v>
      </c>
      <c r="O2008" s="343" t="s">
        <v>1062</v>
      </c>
      <c r="P2008" s="377">
        <f t="shared" si="1076"/>
        <v>1.9481999999999999</v>
      </c>
      <c r="Q2008" s="343" t="s">
        <v>1062</v>
      </c>
      <c r="R2008" s="377">
        <f t="shared" si="1070"/>
        <v>10.539</v>
      </c>
      <c r="S2008" s="343" t="s">
        <v>1062</v>
      </c>
      <c r="T2008" s="294">
        <f t="shared" si="1078"/>
        <v>1185893</v>
      </c>
      <c r="U2008" s="346"/>
      <c r="V2008" s="294">
        <f t="shared" si="1079"/>
        <v>2286539</v>
      </c>
      <c r="W2008" s="346"/>
      <c r="X2008" s="294">
        <f t="shared" si="1080"/>
        <v>787469</v>
      </c>
      <c r="Y2008" s="346"/>
      <c r="Z2008" s="294">
        <f t="shared" si="1081"/>
        <v>4259900</v>
      </c>
    </row>
    <row r="2009" spans="2:26">
      <c r="B2009" s="317" t="s">
        <v>1321</v>
      </c>
      <c r="D2009" s="293">
        <f>'[7]23'!R26+'[7]23'!AE26+[7]TempRevMay!C330-[7]TempRevMay!M330-[7]TempRevMay!W330+'[7]23-may'!R26+'[7]23-may'!AE26</f>
        <v>28070742.378563926</v>
      </c>
      <c r="E2009" s="293">
        <f>ROUND(D2009/(D2008+D2009)*[7]Energy!T14*(1-1/[7]Energy!P14*(Blocking!E2017+Blocking!E2021)),0)</f>
        <v>26685182</v>
      </c>
      <c r="G2009" s="377"/>
      <c r="H2009" s="343"/>
      <c r="L2009" s="377">
        <f t="shared" si="1074"/>
        <v>2.9339</v>
      </c>
      <c r="M2009" s="343" t="s">
        <v>1062</v>
      </c>
      <c r="N2009" s="377">
        <f t="shared" si="1075"/>
        <v>1.0947</v>
      </c>
      <c r="O2009" s="343" t="s">
        <v>1062</v>
      </c>
      <c r="P2009" s="377">
        <f t="shared" si="1076"/>
        <v>1.9481999999999999</v>
      </c>
      <c r="Q2009" s="343" t="s">
        <v>1062</v>
      </c>
      <c r="R2009" s="377">
        <f t="shared" si="1070"/>
        <v>5.9767999999999999</v>
      </c>
      <c r="S2009" s="343" t="s">
        <v>1062</v>
      </c>
      <c r="T2009" s="294">
        <f t="shared" si="1078"/>
        <v>782917</v>
      </c>
      <c r="U2009" s="346"/>
      <c r="V2009" s="294">
        <f t="shared" si="1079"/>
        <v>292123</v>
      </c>
      <c r="W2009" s="346"/>
      <c r="X2009" s="294">
        <f t="shared" si="1080"/>
        <v>519881</v>
      </c>
      <c r="Y2009" s="346"/>
      <c r="Z2009" s="294">
        <f t="shared" si="1081"/>
        <v>1594920</v>
      </c>
    </row>
    <row r="2010" spans="2:26">
      <c r="B2010" s="317" t="s">
        <v>1323</v>
      </c>
      <c r="D2010" s="293">
        <f>'[7]23'!I26</f>
        <v>9763.3352601156057</v>
      </c>
      <c r="E2010" s="293">
        <f>ROUND(D2010/D2022*E2022,0)</f>
        <v>9215</v>
      </c>
      <c r="G2010" s="339">
        <v>8.65</v>
      </c>
      <c r="H2010" s="339"/>
      <c r="I2010" s="294">
        <f t="shared" si="1069"/>
        <v>84453</v>
      </c>
      <c r="J2010" s="294">
        <f t="shared" si="1069"/>
        <v>79710</v>
      </c>
      <c r="L2010" s="339"/>
      <c r="M2010" s="339"/>
      <c r="N2010" s="339"/>
      <c r="O2010" s="339"/>
      <c r="P2010" s="339"/>
      <c r="Q2010" s="339"/>
      <c r="R2010" s="339"/>
      <c r="S2010" s="339"/>
    </row>
    <row r="2011" spans="2:26">
      <c r="B2011" s="317" t="s">
        <v>1324</v>
      </c>
      <c r="D2011" s="293">
        <f>'[7]23'!J26</f>
        <v>11753.877011494265</v>
      </c>
      <c r="E2011" s="293">
        <f>ROUND(D2011/D2022*E2022,0)</f>
        <v>11094</v>
      </c>
      <c r="G2011" s="339">
        <v>8.7000000000000011</v>
      </c>
      <c r="H2011" s="339"/>
      <c r="I2011" s="294">
        <f t="shared" si="1069"/>
        <v>102259</v>
      </c>
      <c r="J2011" s="294">
        <f t="shared" si="1069"/>
        <v>96518</v>
      </c>
      <c r="L2011" s="339"/>
      <c r="M2011" s="339"/>
      <c r="N2011" s="339"/>
      <c r="O2011" s="339"/>
      <c r="P2011" s="339"/>
      <c r="Q2011" s="339"/>
      <c r="R2011" s="339"/>
      <c r="S2011" s="339"/>
    </row>
    <row r="2012" spans="2:26">
      <c r="B2012" s="317" t="s">
        <v>1098</v>
      </c>
      <c r="D2012" s="293">
        <f>'[7]23'!K26</f>
        <v>0</v>
      </c>
      <c r="E2012" s="293">
        <f>ROUND(D2012/D2022*E2022,0)</f>
        <v>0</v>
      </c>
      <c r="G2012" s="339">
        <v>-0.48</v>
      </c>
      <c r="H2012" s="339"/>
      <c r="I2012" s="294">
        <f t="shared" si="1069"/>
        <v>0</v>
      </c>
      <c r="J2012" s="294">
        <f t="shared" si="1069"/>
        <v>0</v>
      </c>
      <c r="L2012" s="339">
        <f>L1988</f>
        <v>-0.48</v>
      </c>
      <c r="M2012" s="339"/>
      <c r="N2012" s="339">
        <f>N1988</f>
        <v>0</v>
      </c>
      <c r="O2012" s="339"/>
      <c r="P2012" s="339">
        <f>P1988</f>
        <v>0</v>
      </c>
      <c r="Q2012" s="339"/>
      <c r="R2012" s="339">
        <f>R1988</f>
        <v>-0.48</v>
      </c>
      <c r="S2012" s="339"/>
      <c r="T2012" s="294">
        <f t="shared" ref="T2012" si="1082">ROUND($E2012*L2012,0)</f>
        <v>0</v>
      </c>
      <c r="V2012" s="294">
        <f t="shared" ref="V2012" si="1083">ROUND($E2012*N2012,0)</f>
        <v>0</v>
      </c>
      <c r="X2012" s="294">
        <f t="shared" ref="X2012" si="1084">ROUND($E2012*P2012,0)</f>
        <v>0</v>
      </c>
      <c r="Z2012" s="294">
        <f t="shared" ref="Z2012" si="1085">ROUND($E2012*R2012,0)</f>
        <v>0</v>
      </c>
    </row>
    <row r="2013" spans="2:26">
      <c r="B2013" s="317" t="s">
        <v>1325</v>
      </c>
      <c r="D2013" s="293">
        <f>'[7]23'!N26+'[7]23'!AB26+[7]TempRev!C327-[7]TempRev!M327-[7]TempRev!W327</f>
        <v>22942009.529970665</v>
      </c>
      <c r="E2013" s="293">
        <f>E2022-SUM(E2014:E2021)</f>
        <v>21926420.531002313</v>
      </c>
      <c r="G2013" s="377">
        <v>11.733599999999999</v>
      </c>
      <c r="H2013" s="343" t="s">
        <v>1062</v>
      </c>
      <c r="I2013" s="294">
        <f t="shared" ref="I2013:J2017" si="1086">ROUND($G2013*D2013/100,0)</f>
        <v>2691924</v>
      </c>
      <c r="J2013" s="294">
        <f t="shared" si="1086"/>
        <v>2572758</v>
      </c>
      <c r="L2013" s="377"/>
      <c r="M2013" s="343"/>
      <c r="N2013" s="377"/>
      <c r="O2013" s="343"/>
      <c r="P2013" s="377"/>
      <c r="Q2013" s="343"/>
      <c r="R2013" s="377"/>
      <c r="S2013" s="343"/>
      <c r="T2013" s="346"/>
      <c r="U2013" s="346"/>
      <c r="V2013" s="346"/>
      <c r="W2013" s="346"/>
      <c r="X2013" s="346"/>
      <c r="Y2013" s="346"/>
    </row>
    <row r="2014" spans="2:26">
      <c r="B2014" s="317" t="s">
        <v>1326</v>
      </c>
      <c r="D2014" s="293">
        <f>'[7]23'!O26+'[7]23'!AC26+[7]TempRev!C328-[7]TempRev!M328-[7]TempRev!W328</f>
        <v>15487485.447321979</v>
      </c>
      <c r="E2014" s="293">
        <f>ROUND(D2014/(D2014+D2013)*[7]Energy!Q14*(1-1/[7]Energy!P14*(Blocking!E2017+Blocking!E2021)),0)</f>
        <v>14801891</v>
      </c>
      <c r="G2014" s="377">
        <v>6.5782999999999996</v>
      </c>
      <c r="H2014" s="343" t="s">
        <v>1062</v>
      </c>
      <c r="I2014" s="294">
        <f t="shared" si="1086"/>
        <v>1018813</v>
      </c>
      <c r="J2014" s="294">
        <f t="shared" si="1086"/>
        <v>973713</v>
      </c>
      <c r="L2014" s="377"/>
      <c r="M2014" s="343"/>
      <c r="N2014" s="377"/>
      <c r="O2014" s="343"/>
      <c r="P2014" s="377"/>
      <c r="Q2014" s="343"/>
      <c r="R2014" s="377"/>
      <c r="S2014" s="343"/>
      <c r="T2014" s="346"/>
      <c r="U2014" s="346"/>
      <c r="V2014" s="346"/>
      <c r="W2014" s="346"/>
      <c r="X2014" s="346"/>
      <c r="Y2014" s="346"/>
    </row>
    <row r="2015" spans="2:26">
      <c r="B2015" s="317" t="s">
        <v>1327</v>
      </c>
      <c r="D2015" s="293">
        <f>'[7]23'!Q26+'[7]23'!AD26+[7]TempRev!C329-[7]TempRev!M329-[7]TempRev!W329</f>
        <v>37666049.435026802</v>
      </c>
      <c r="E2015" s="293">
        <f>ROUND(D2015/(D2015+D2016)*[7]Energy!R14*(1-1/[7]Energy!P14*(Blocking!E2017+Blocking!E2021)),0)</f>
        <v>35604042</v>
      </c>
      <c r="G2015" s="377">
        <v>10.8</v>
      </c>
      <c r="H2015" s="343" t="s">
        <v>1062</v>
      </c>
      <c r="I2015" s="294">
        <f t="shared" si="1086"/>
        <v>4067933</v>
      </c>
      <c r="J2015" s="294">
        <f t="shared" si="1086"/>
        <v>3845237</v>
      </c>
      <c r="L2015" s="377"/>
      <c r="M2015" s="343"/>
      <c r="N2015" s="377"/>
      <c r="O2015" s="343"/>
      <c r="P2015" s="377"/>
      <c r="Q2015" s="343"/>
      <c r="R2015" s="377"/>
      <c r="S2015" s="343"/>
      <c r="T2015" s="346"/>
      <c r="U2015" s="346"/>
      <c r="V2015" s="346"/>
      <c r="W2015" s="346"/>
      <c r="X2015" s="346"/>
      <c r="Y2015" s="346"/>
    </row>
    <row r="2016" spans="2:26">
      <c r="B2016" s="317" t="s">
        <v>1328</v>
      </c>
      <c r="D2016" s="293">
        <f>'[7]23'!R26+'[7]23'!AE26+[7]TempRev!C330-[7]TempRev!M330-[7]TempRev!W330</f>
        <v>25538618.462808311</v>
      </c>
      <c r="E2016" s="293">
        <f>ROUND(D2016/(D2015+D2016)*[7]Energy!R14*(1-1/[7]Energy!P14*(Blocking!E2017+Blocking!E2021)),0)</f>
        <v>24140520</v>
      </c>
      <c r="G2016" s="377">
        <v>6.0567000000000002</v>
      </c>
      <c r="H2016" s="343" t="s">
        <v>1062</v>
      </c>
      <c r="I2016" s="294">
        <f t="shared" si="1086"/>
        <v>1546798</v>
      </c>
      <c r="J2016" s="294">
        <f t="shared" si="1086"/>
        <v>1462119</v>
      </c>
      <c r="L2016" s="377"/>
      <c r="M2016" s="343"/>
      <c r="N2016" s="377"/>
      <c r="O2016" s="343"/>
      <c r="P2016" s="377"/>
      <c r="Q2016" s="343"/>
      <c r="R2016" s="377"/>
      <c r="S2016" s="343"/>
      <c r="T2016" s="346"/>
      <c r="U2016" s="346"/>
      <c r="V2016" s="346"/>
      <c r="W2016" s="346"/>
      <c r="X2016" s="346"/>
      <c r="Y2016" s="346"/>
    </row>
    <row r="2017" spans="2:29">
      <c r="B2017" s="353" t="s">
        <v>1077</v>
      </c>
      <c r="C2017" s="354"/>
      <c r="D2017" s="355">
        <f>'[7]23'!V26</f>
        <v>43200</v>
      </c>
      <c r="E2017" s="355">
        <f>ROUND(D2017/(D2022-D2021)*E2022,0)</f>
        <v>40775</v>
      </c>
      <c r="F2017" s="354"/>
      <c r="G2017" s="351">
        <v>10.120799999999999</v>
      </c>
      <c r="H2017" s="356" t="s">
        <v>1062</v>
      </c>
      <c r="I2017" s="325">
        <f t="shared" si="1086"/>
        <v>4372</v>
      </c>
      <c r="J2017" s="325">
        <f t="shared" si="1086"/>
        <v>4127</v>
      </c>
      <c r="K2017" s="354"/>
      <c r="L2017" s="351">
        <f>L1993</f>
        <v>2.9339</v>
      </c>
      <c r="M2017" s="356" t="s">
        <v>1062</v>
      </c>
      <c r="N2017" s="351">
        <f>N1993</f>
        <v>7.4249999999999998</v>
      </c>
      <c r="O2017" s="356" t="s">
        <v>1062</v>
      </c>
      <c r="P2017" s="351">
        <f>P1993</f>
        <v>0</v>
      </c>
      <c r="Q2017" s="356" t="s">
        <v>1062</v>
      </c>
      <c r="R2017" s="351">
        <f>R1993</f>
        <v>10.358899999999998</v>
      </c>
      <c r="S2017" s="356" t="s">
        <v>1062</v>
      </c>
      <c r="T2017" s="294">
        <f t="shared" ref="T2017" si="1087">ROUND($E2017*L2017/100,0)</f>
        <v>1196</v>
      </c>
      <c r="U2017" s="346"/>
      <c r="V2017" s="294">
        <f t="shared" ref="V2017" si="1088">ROUND($E2017*N2017/100,0)</f>
        <v>3028</v>
      </c>
      <c r="W2017" s="346"/>
      <c r="X2017" s="294">
        <f t="shared" ref="X2017" si="1089">ROUND($E2017*P2017/100,0)</f>
        <v>0</v>
      </c>
      <c r="Y2017" s="345"/>
      <c r="Z2017" s="325">
        <f t="shared" ref="Z2017" si="1090">ROUND($E2017*R2017/100,0)</f>
        <v>4224</v>
      </c>
    </row>
    <row r="2018" spans="2:29">
      <c r="B2018" s="317" t="s">
        <v>1078</v>
      </c>
      <c r="D2018" s="357">
        <f>'[7]Table 2'!J25</f>
        <v>576384</v>
      </c>
      <c r="E2018" s="357">
        <v>0</v>
      </c>
      <c r="I2018" s="358">
        <f>'[7]Table 3'!F25</f>
        <v>66918</v>
      </c>
      <c r="J2018" s="358">
        <v>0</v>
      </c>
      <c r="Z2018" s="358"/>
    </row>
    <row r="2019" spans="2:29">
      <c r="B2019" s="317" t="s">
        <v>1079</v>
      </c>
      <c r="G2019" s="338">
        <v>-3.3099999999999997E-2</v>
      </c>
      <c r="H2019" s="339"/>
      <c r="I2019" s="294">
        <f>SUM(I2010:I2011,I2013:I2017)*$G2019</f>
        <v>-314997.87119999999</v>
      </c>
      <c r="J2019" s="294">
        <f>SUM(J2010:J2011,J2013:J2017)*$G2019</f>
        <v>-299031.42419999995</v>
      </c>
      <c r="L2019" s="338"/>
      <c r="M2019" s="339"/>
      <c r="N2019" s="338"/>
      <c r="O2019" s="339"/>
      <c r="P2019" s="359" t="str">
        <f>$P$43</f>
        <v>Tax Year 1</v>
      </c>
      <c r="Q2019" s="339"/>
      <c r="R2019" s="338">
        <f>$AD$1988</f>
        <v>-2.2499999999999999E-2</v>
      </c>
      <c r="S2019" s="339"/>
      <c r="Z2019" s="294">
        <f>R2019*SUM(Z2004:Z2009,Z2017)</f>
        <v>-200155.41</v>
      </c>
    </row>
    <row r="2020" spans="2:29">
      <c r="B2020" s="317"/>
      <c r="G2020" s="338"/>
      <c r="H2020" s="339"/>
      <c r="L2020" s="338"/>
      <c r="M2020" s="339"/>
      <c r="N2020" s="338"/>
      <c r="O2020" s="339"/>
      <c r="P2020" s="359" t="str">
        <f>$P$44</f>
        <v>Tax Year 2</v>
      </c>
      <c r="Q2020" s="339"/>
      <c r="R2020" s="338">
        <f>$AD$1989</f>
        <v>-1.12E-2</v>
      </c>
      <c r="S2020" s="339"/>
      <c r="Z2020" s="294">
        <f>R2020*SUM(Z2004:Z2009,Z2017)</f>
        <v>-99632.915200000003</v>
      </c>
    </row>
    <row r="2021" spans="2:29">
      <c r="B2021" s="353" t="s">
        <v>1082</v>
      </c>
      <c r="D2021" s="293">
        <f>'[7]23'!AL26</f>
        <v>-682</v>
      </c>
      <c r="E2021" s="355">
        <f>ROUND(D2021/(D2022-D2021)*E2022,0)</f>
        <v>-644</v>
      </c>
      <c r="G2021" s="338"/>
      <c r="H2021" s="339"/>
      <c r="L2021" s="338"/>
      <c r="M2021" s="339"/>
      <c r="N2021" s="338"/>
      <c r="O2021" s="339"/>
      <c r="P2021" s="338"/>
      <c r="Q2021" s="339"/>
      <c r="R2021" s="338"/>
      <c r="S2021" s="339"/>
    </row>
    <row r="2022" spans="2:29" ht="16.5" thickBot="1">
      <c r="B2022" s="317" t="s">
        <v>937</v>
      </c>
      <c r="D2022" s="381">
        <f>SUM(D2013:D2017,D2018:D2021)</f>
        <v>102253064.87512776</v>
      </c>
      <c r="E2022" s="381">
        <f>[7]Energy!P14</f>
        <v>96513004.531002313</v>
      </c>
      <c r="G2022" s="368"/>
      <c r="I2022" s="369">
        <f>SUM(I2001:I2019)</f>
        <v>10930076.128799999</v>
      </c>
      <c r="J2022" s="369">
        <f>SUM(J2001:J2019)</f>
        <v>10467720.5758</v>
      </c>
      <c r="L2022" s="368"/>
      <c r="N2022" s="368"/>
      <c r="P2022" s="368"/>
      <c r="R2022" s="368"/>
      <c r="T2022" s="369">
        <f>SUM(T2001:T2018)</f>
        <v>4735374</v>
      </c>
      <c r="V2022" s="369">
        <f>SUM(V2001:V2018)</f>
        <v>3961266</v>
      </c>
      <c r="X2022" s="369">
        <f>SUM(X2001:X2018)</f>
        <v>1931730</v>
      </c>
      <c r="Z2022" s="369">
        <f>SUM(Z2001:Z2018)</f>
        <v>10628366</v>
      </c>
      <c r="AB2022" s="305" t="s">
        <v>939</v>
      </c>
      <c r="AC2022" s="304">
        <f>Z2022/J2022-1</f>
        <v>1.5346743642679073E-2</v>
      </c>
    </row>
    <row r="2023" spans="2:29" ht="16.5" thickTop="1"/>
    <row r="2024" spans="2:29">
      <c r="B2024" s="314" t="s">
        <v>1020</v>
      </c>
    </row>
    <row r="2025" spans="2:29">
      <c r="B2025" s="317" t="s">
        <v>1089</v>
      </c>
      <c r="D2025" s="293">
        <f>'[7]23'!G24</f>
        <v>889735.82099988707</v>
      </c>
      <c r="E2025" s="293">
        <f>[7]Bill!P41</f>
        <v>923789.33489688137</v>
      </c>
      <c r="G2025" s="339">
        <v>10</v>
      </c>
      <c r="H2025" s="339"/>
      <c r="I2025" s="294">
        <f t="shared" ref="I2025:J2036" si="1091">ROUND($G2025*D2025,0)</f>
        <v>8897358</v>
      </c>
      <c r="J2025" s="294">
        <f t="shared" si="1091"/>
        <v>9237893</v>
      </c>
      <c r="L2025" s="339">
        <f>L1977</f>
        <v>10</v>
      </c>
      <c r="M2025" s="339"/>
      <c r="N2025" s="339">
        <f>N1977</f>
        <v>0</v>
      </c>
      <c r="O2025" s="339"/>
      <c r="P2025" s="339">
        <f>P1977</f>
        <v>0</v>
      </c>
      <c r="Q2025" s="339"/>
      <c r="R2025" s="339">
        <f t="shared" ref="R2025:R2033" si="1092">R1977</f>
        <v>10</v>
      </c>
      <c r="S2025" s="339"/>
      <c r="T2025" s="294">
        <f t="shared" ref="T2025:T2029" si="1093">ROUND($E2025*L2025,0)</f>
        <v>9237893</v>
      </c>
      <c r="V2025" s="294">
        <f t="shared" ref="V2025:V2029" si="1094">ROUND($E2025*N2025,0)</f>
        <v>0</v>
      </c>
      <c r="X2025" s="294">
        <f t="shared" ref="X2025:X2029" si="1095">ROUND($E2025*P2025,0)</f>
        <v>0</v>
      </c>
      <c r="Z2025" s="294">
        <f>ROUND($E2025*R2025,0)</f>
        <v>9237893</v>
      </c>
    </row>
    <row r="2026" spans="2:29">
      <c r="B2026" s="317" t="s">
        <v>1099</v>
      </c>
      <c r="D2026" s="293">
        <v>0</v>
      </c>
      <c r="E2026" s="293">
        <f>ROUND(D2026/D2025*E2025,0)</f>
        <v>0</v>
      </c>
      <c r="G2026" s="339">
        <v>120</v>
      </c>
      <c r="H2026" s="339"/>
      <c r="I2026" s="294">
        <f t="shared" si="1091"/>
        <v>0</v>
      </c>
      <c r="J2026" s="294">
        <f t="shared" si="1091"/>
        <v>0</v>
      </c>
      <c r="L2026" s="339">
        <f t="shared" ref="L2026:L2033" si="1096">L1978</f>
        <v>119</v>
      </c>
      <c r="M2026" s="339"/>
      <c r="N2026" s="339">
        <f t="shared" ref="N2026:N2033" si="1097">N1978</f>
        <v>0</v>
      </c>
      <c r="O2026" s="339"/>
      <c r="P2026" s="339">
        <f t="shared" ref="P2026:P2033" si="1098">P1978</f>
        <v>0</v>
      </c>
      <c r="Q2026" s="339"/>
      <c r="R2026" s="339">
        <f t="shared" si="1092"/>
        <v>119</v>
      </c>
      <c r="S2026" s="339"/>
      <c r="T2026" s="294">
        <f t="shared" si="1093"/>
        <v>0</v>
      </c>
      <c r="V2026" s="294">
        <f t="shared" si="1094"/>
        <v>0</v>
      </c>
      <c r="X2026" s="294">
        <f t="shared" si="1095"/>
        <v>0</v>
      </c>
      <c r="Z2026" s="294">
        <f t="shared" ref="Z2026:Z2029" si="1099">ROUND($E2026*R2026,0)</f>
        <v>0</v>
      </c>
    </row>
    <row r="2027" spans="2:29">
      <c r="B2027" s="317" t="s">
        <v>1100</v>
      </c>
      <c r="D2027" s="293">
        <f>'[7]23'!AH24</f>
        <v>78.731999999999999</v>
      </c>
      <c r="E2027" s="293">
        <f>ROUND(D2027/D2025*E2025,0)</f>
        <v>82</v>
      </c>
      <c r="G2027" s="339">
        <v>10</v>
      </c>
      <c r="H2027" s="339"/>
      <c r="I2027" s="294">
        <f t="shared" si="1091"/>
        <v>787</v>
      </c>
      <c r="J2027" s="294">
        <f t="shared" si="1091"/>
        <v>820</v>
      </c>
      <c r="L2027" s="339">
        <f t="shared" si="1096"/>
        <v>10</v>
      </c>
      <c r="M2027" s="339"/>
      <c r="N2027" s="339">
        <f t="shared" si="1097"/>
        <v>0</v>
      </c>
      <c r="O2027" s="339"/>
      <c r="P2027" s="339">
        <f t="shared" si="1098"/>
        <v>0</v>
      </c>
      <c r="Q2027" s="339"/>
      <c r="R2027" s="339">
        <f t="shared" si="1092"/>
        <v>10</v>
      </c>
      <c r="S2027" s="339"/>
      <c r="T2027" s="294">
        <f t="shared" si="1093"/>
        <v>820</v>
      </c>
      <c r="V2027" s="294">
        <f t="shared" si="1094"/>
        <v>0</v>
      </c>
      <c r="X2027" s="294">
        <f t="shared" si="1095"/>
        <v>0</v>
      </c>
      <c r="Z2027" s="294">
        <f t="shared" si="1099"/>
        <v>820</v>
      </c>
    </row>
    <row r="2028" spans="2:29">
      <c r="B2028" s="317" t="s">
        <v>1316</v>
      </c>
      <c r="D2028" s="293">
        <f>'[7]23'!I24+'[7]23-may'!I24</f>
        <v>284935.59326518374</v>
      </c>
      <c r="E2028" s="293">
        <f>ROUND(D2028/D2046*E2046,0)</f>
        <v>282084</v>
      </c>
      <c r="G2028" s="339"/>
      <c r="H2028" s="339"/>
      <c r="L2028" s="339">
        <f t="shared" si="1096"/>
        <v>9.07</v>
      </c>
      <c r="M2028" s="339"/>
      <c r="N2028" s="339">
        <f t="shared" si="1097"/>
        <v>0</v>
      </c>
      <c r="O2028" s="339"/>
      <c r="P2028" s="339">
        <f t="shared" si="1098"/>
        <v>0</v>
      </c>
      <c r="Q2028" s="339"/>
      <c r="R2028" s="339">
        <f t="shared" si="1092"/>
        <v>9.07</v>
      </c>
      <c r="S2028" s="339"/>
      <c r="T2028" s="294">
        <f t="shared" si="1093"/>
        <v>2558502</v>
      </c>
      <c r="V2028" s="294">
        <f t="shared" si="1094"/>
        <v>0</v>
      </c>
      <c r="X2028" s="294">
        <f t="shared" si="1095"/>
        <v>0</v>
      </c>
      <c r="Z2028" s="294">
        <f t="shared" si="1099"/>
        <v>2558502</v>
      </c>
    </row>
    <row r="2029" spans="2:29">
      <c r="B2029" s="317" t="s">
        <v>1317</v>
      </c>
      <c r="D2029" s="293">
        <f>'[7]23'!J24+'[7]23-may'!J24</f>
        <v>322137.13125145499</v>
      </c>
      <c r="E2029" s="293">
        <f>ROUND(D2029/D2046*E2046,0)</f>
        <v>318913</v>
      </c>
      <c r="G2029" s="339"/>
      <c r="H2029" s="339"/>
      <c r="L2029" s="339">
        <f t="shared" si="1096"/>
        <v>8.0299999999999994</v>
      </c>
      <c r="M2029" s="339"/>
      <c r="N2029" s="339">
        <f t="shared" si="1097"/>
        <v>0</v>
      </c>
      <c r="O2029" s="339"/>
      <c r="P2029" s="339">
        <f t="shared" si="1098"/>
        <v>0</v>
      </c>
      <c r="Q2029" s="339"/>
      <c r="R2029" s="339">
        <f t="shared" si="1092"/>
        <v>8.0299999999999994</v>
      </c>
      <c r="S2029" s="339"/>
      <c r="T2029" s="294">
        <f t="shared" si="1093"/>
        <v>2560871</v>
      </c>
      <c r="V2029" s="294">
        <f t="shared" si="1094"/>
        <v>0</v>
      </c>
      <c r="X2029" s="294">
        <f t="shared" si="1095"/>
        <v>0</v>
      </c>
      <c r="Z2029" s="294">
        <f t="shared" si="1099"/>
        <v>2560871</v>
      </c>
    </row>
    <row r="2030" spans="2:29">
      <c r="B2030" s="317" t="s">
        <v>1318</v>
      </c>
      <c r="D2030" s="293">
        <f>'[7]23'!N24+'[7]23'!AB24+[7]TempRevMay!C348-[7]TempRevMay!M348-[7]TempRevMay!W348+'[7]23-may'!N24+'[7]23-may'!AB24</f>
        <v>219820357.44385663</v>
      </c>
      <c r="E2030" s="293">
        <f>E2046-SUM(E2031:E2033,E2041,E2045)</f>
        <v>220026206.11234498</v>
      </c>
      <c r="G2030" s="377"/>
      <c r="H2030" s="343"/>
      <c r="L2030" s="377">
        <f t="shared" si="1096"/>
        <v>2.9339</v>
      </c>
      <c r="M2030" s="343" t="s">
        <v>1062</v>
      </c>
      <c r="N2030" s="377">
        <f t="shared" si="1097"/>
        <v>6.8490496173940008</v>
      </c>
      <c r="O2030" s="343" t="s">
        <v>1062</v>
      </c>
      <c r="P2030" s="377">
        <f t="shared" si="1098"/>
        <v>2.1261000000000001</v>
      </c>
      <c r="Q2030" s="343" t="s">
        <v>1062</v>
      </c>
      <c r="R2030" s="377">
        <f t="shared" si="1092"/>
        <v>11.909049617394</v>
      </c>
      <c r="S2030" s="343" t="s">
        <v>1062</v>
      </c>
      <c r="T2030" s="294">
        <f>ROUND($E2030*L2030/100,0)</f>
        <v>6455349</v>
      </c>
      <c r="U2030" s="346"/>
      <c r="V2030" s="294">
        <f>ROUND($E2030*N2030/100,0)</f>
        <v>15069704</v>
      </c>
      <c r="W2030" s="346"/>
      <c r="X2030" s="294">
        <f>ROUND($E2030*P2030/100,0)</f>
        <v>4677977</v>
      </c>
      <c r="Y2030" s="346"/>
      <c r="Z2030" s="294">
        <f>ROUND($E2030*R2030/100,0)</f>
        <v>26203030</v>
      </c>
    </row>
    <row r="2031" spans="2:29">
      <c r="B2031" s="317" t="s">
        <v>1319</v>
      </c>
      <c r="D2031" s="293">
        <f>'[7]23'!O24+'[7]23'!AC24+[7]TempRevMay!C349-[7]TempRevMay!M349-[7]TempRevMay!W349+'[7]23-may'!O24+'[7]23-may'!AC24</f>
        <v>232996273.96449897</v>
      </c>
      <c r="E2031" s="293">
        <f>ROUND(D2031/(D2031+D2030)*[7]Energy!S41*(1-1/[7]Energy!P41*(Blocking!E2041+Blocking!E2045)),0)</f>
        <v>233214461</v>
      </c>
      <c r="G2031" s="377"/>
      <c r="H2031" s="343"/>
      <c r="L2031" s="377">
        <f t="shared" si="1096"/>
        <v>2.9339</v>
      </c>
      <c r="M2031" s="343" t="s">
        <v>1062</v>
      </c>
      <c r="N2031" s="377">
        <f t="shared" si="1097"/>
        <v>1.6937496173940008</v>
      </c>
      <c r="O2031" s="343" t="s">
        <v>1062</v>
      </c>
      <c r="P2031" s="377">
        <f t="shared" si="1098"/>
        <v>2.1261000000000001</v>
      </c>
      <c r="Q2031" s="343" t="s">
        <v>1062</v>
      </c>
      <c r="R2031" s="377">
        <f t="shared" si="1092"/>
        <v>6.7537496173940008</v>
      </c>
      <c r="S2031" s="343" t="s">
        <v>1062</v>
      </c>
      <c r="T2031" s="294">
        <f t="shared" ref="T2031:T2033" si="1100">ROUND($E2031*L2031/100,0)</f>
        <v>6842279</v>
      </c>
      <c r="U2031" s="346"/>
      <c r="V2031" s="294">
        <f t="shared" ref="V2031:V2033" si="1101">ROUND($E2031*N2031/100,0)</f>
        <v>3950069</v>
      </c>
      <c r="W2031" s="346"/>
      <c r="X2031" s="294">
        <f t="shared" ref="X2031:X2033" si="1102">ROUND($E2031*P2031/100,0)</f>
        <v>4958373</v>
      </c>
      <c r="Y2031" s="346"/>
      <c r="Z2031" s="294">
        <f t="shared" ref="Z2031:Z2033" si="1103">ROUND($E2031*R2031/100,0)</f>
        <v>15750721</v>
      </c>
    </row>
    <row r="2032" spans="2:29">
      <c r="B2032" s="317" t="s">
        <v>1320</v>
      </c>
      <c r="D2032" s="293">
        <f>'[7]23'!Q24+'[7]23'!AD24+[7]TempRevMay!C350-[7]TempRevMay!M350-[7]TempRevMay!W350+'[7]23-may'!Q24+'[7]23-may'!AD24</f>
        <v>437183175.69710863</v>
      </c>
      <c r="E2032" s="293">
        <f>ROUND(D2032/(D2033+D2032)*[7]Energy!T41*(1-1/[7]Energy!P41*(Blocking!E2041+Blocking!E2045)),0)</f>
        <v>433683507</v>
      </c>
      <c r="G2032" s="377"/>
      <c r="H2032" s="343"/>
      <c r="L2032" s="377">
        <f t="shared" si="1096"/>
        <v>2.9339</v>
      </c>
      <c r="M2032" s="343" t="s">
        <v>1062</v>
      </c>
      <c r="N2032" s="377">
        <f t="shared" si="1097"/>
        <v>5.6569000000000003</v>
      </c>
      <c r="O2032" s="343" t="s">
        <v>1062</v>
      </c>
      <c r="P2032" s="377">
        <f t="shared" si="1098"/>
        <v>1.9481999999999999</v>
      </c>
      <c r="Q2032" s="343" t="s">
        <v>1062</v>
      </c>
      <c r="R2032" s="377">
        <f t="shared" si="1092"/>
        <v>10.539</v>
      </c>
      <c r="S2032" s="343" t="s">
        <v>1062</v>
      </c>
      <c r="T2032" s="294">
        <f t="shared" si="1100"/>
        <v>12723840</v>
      </c>
      <c r="U2032" s="346"/>
      <c r="V2032" s="294">
        <f t="shared" si="1101"/>
        <v>24533042</v>
      </c>
      <c r="W2032" s="346"/>
      <c r="X2032" s="294">
        <f t="shared" si="1102"/>
        <v>8449022</v>
      </c>
      <c r="Y2032" s="346"/>
      <c r="Z2032" s="294">
        <f t="shared" si="1103"/>
        <v>45705905</v>
      </c>
    </row>
    <row r="2033" spans="2:29">
      <c r="B2033" s="317" t="s">
        <v>1321</v>
      </c>
      <c r="D2033" s="293">
        <f>'[7]23'!R24+'[7]23'!AE24+[7]TempRevMay!C351-[7]TempRevMay!M351-[7]TempRevMay!W351+'[7]23-may'!R24+'[7]23-may'!AE24</f>
        <v>354388139.47368246</v>
      </c>
      <c r="E2033" s="293">
        <f>ROUND(D2033/(D2032+D2033)*[7]Energy!T41*(1-1/[7]Energy!P41*(Blocking!E2041+Blocking!E2045)),0)</f>
        <v>351551248</v>
      </c>
      <c r="G2033" s="377"/>
      <c r="H2033" s="343"/>
      <c r="L2033" s="377">
        <f t="shared" si="1096"/>
        <v>2.9339</v>
      </c>
      <c r="M2033" s="343" t="s">
        <v>1062</v>
      </c>
      <c r="N2033" s="377">
        <f t="shared" si="1097"/>
        <v>1.0947</v>
      </c>
      <c r="O2033" s="343" t="s">
        <v>1062</v>
      </c>
      <c r="P2033" s="377">
        <f t="shared" si="1098"/>
        <v>1.9481999999999999</v>
      </c>
      <c r="Q2033" s="343" t="s">
        <v>1062</v>
      </c>
      <c r="R2033" s="377">
        <f t="shared" si="1092"/>
        <v>5.9767999999999999</v>
      </c>
      <c r="S2033" s="343" t="s">
        <v>1062</v>
      </c>
      <c r="T2033" s="294">
        <f t="shared" si="1100"/>
        <v>10314162</v>
      </c>
      <c r="U2033" s="346"/>
      <c r="V2033" s="294">
        <f t="shared" si="1101"/>
        <v>3848432</v>
      </c>
      <c r="W2033" s="346"/>
      <c r="X2033" s="294">
        <f t="shared" si="1102"/>
        <v>6848921</v>
      </c>
      <c r="Y2033" s="346"/>
      <c r="Z2033" s="294">
        <f t="shared" si="1103"/>
        <v>21011515</v>
      </c>
    </row>
    <row r="2034" spans="2:29">
      <c r="B2034" s="317" t="s">
        <v>1323</v>
      </c>
      <c r="D2034" s="293">
        <f>'[7]23'!I24</f>
        <v>333040.26589595014</v>
      </c>
      <c r="E2034" s="293">
        <f>ROUND(D2034/D2046*E2046,0)</f>
        <v>329707</v>
      </c>
      <c r="G2034" s="339">
        <v>8.65</v>
      </c>
      <c r="H2034" s="339"/>
      <c r="I2034" s="294">
        <f t="shared" si="1091"/>
        <v>2880798</v>
      </c>
      <c r="J2034" s="294">
        <f t="shared" si="1091"/>
        <v>2851966</v>
      </c>
      <c r="L2034" s="339"/>
      <c r="M2034" s="339"/>
      <c r="N2034" s="339"/>
      <c r="O2034" s="339"/>
      <c r="P2034" s="339"/>
      <c r="Q2034" s="339"/>
      <c r="R2034" s="339"/>
      <c r="S2034" s="339"/>
    </row>
    <row r="2035" spans="2:29">
      <c r="B2035" s="317" t="s">
        <v>1324</v>
      </c>
      <c r="D2035" s="293">
        <f>'[7]23'!J24</f>
        <v>274032.45862068859</v>
      </c>
      <c r="E2035" s="293">
        <f>ROUND(D2035/D2046*E2046,0)</f>
        <v>271290</v>
      </c>
      <c r="G2035" s="339">
        <v>8.7000000000000011</v>
      </c>
      <c r="H2035" s="339"/>
      <c r="I2035" s="294">
        <f t="shared" si="1091"/>
        <v>2384082</v>
      </c>
      <c r="J2035" s="294">
        <f t="shared" si="1091"/>
        <v>2360223</v>
      </c>
      <c r="L2035" s="339"/>
      <c r="M2035" s="339"/>
      <c r="N2035" s="339"/>
      <c r="O2035" s="339"/>
      <c r="P2035" s="339"/>
      <c r="Q2035" s="339"/>
      <c r="R2035" s="339"/>
      <c r="S2035" s="339"/>
    </row>
    <row r="2036" spans="2:29">
      <c r="B2036" s="317" t="s">
        <v>1098</v>
      </c>
      <c r="D2036" s="293">
        <f>'[7]23'!K24</f>
        <v>9699.6041666666697</v>
      </c>
      <c r="E2036" s="293">
        <f>ROUND(D2036/D2046*E2046,0)</f>
        <v>9603</v>
      </c>
      <c r="G2036" s="339">
        <v>-0.48</v>
      </c>
      <c r="H2036" s="339"/>
      <c r="I2036" s="294">
        <f t="shared" si="1091"/>
        <v>-4656</v>
      </c>
      <c r="J2036" s="294">
        <f t="shared" si="1091"/>
        <v>-4609</v>
      </c>
      <c r="L2036" s="339">
        <f>L1988</f>
        <v>-0.48</v>
      </c>
      <c r="M2036" s="339"/>
      <c r="N2036" s="339">
        <f>N1988</f>
        <v>0</v>
      </c>
      <c r="O2036" s="339"/>
      <c r="P2036" s="339">
        <f>P1988</f>
        <v>0</v>
      </c>
      <c r="Q2036" s="339"/>
      <c r="R2036" s="339">
        <f>R1988</f>
        <v>-0.48</v>
      </c>
      <c r="S2036" s="339"/>
      <c r="T2036" s="294">
        <f t="shared" ref="T2036" si="1104">ROUND($E2036*L2036,0)</f>
        <v>-4609</v>
      </c>
      <c r="V2036" s="294">
        <f t="shared" ref="V2036" si="1105">ROUND($E2036*N2036,0)</f>
        <v>0</v>
      </c>
      <c r="X2036" s="294">
        <f t="shared" ref="X2036" si="1106">ROUND($E2036*P2036,0)</f>
        <v>0</v>
      </c>
      <c r="Z2036" s="294">
        <f t="shared" ref="Z2036" si="1107">ROUND($E2036*R2036,0)</f>
        <v>-4609</v>
      </c>
    </row>
    <row r="2037" spans="2:29">
      <c r="B2037" s="317" t="s">
        <v>1325</v>
      </c>
      <c r="D2037" s="293">
        <f>'[7]23'!N24+'[7]23'!AB24+[7]TempRev!C348-[7]TempRev!M348-[7]TempRev!W348</f>
        <v>273349988.13195682</v>
      </c>
      <c r="E2037" s="293">
        <f>E2046-SUM(E2038:E2045)</f>
        <v>275564739.11234498</v>
      </c>
      <c r="G2037" s="377">
        <v>11.733599999999999</v>
      </c>
      <c r="H2037" s="343" t="s">
        <v>1062</v>
      </c>
      <c r="I2037" s="294">
        <f t="shared" ref="I2037:J2041" si="1108">ROUND($G2037*D2037/100,0)</f>
        <v>32073794</v>
      </c>
      <c r="J2037" s="294">
        <f t="shared" si="1108"/>
        <v>32333664</v>
      </c>
      <c r="L2037" s="377"/>
      <c r="M2037" s="343"/>
      <c r="N2037" s="377"/>
      <c r="O2037" s="343"/>
      <c r="P2037" s="377"/>
      <c r="Q2037" s="343"/>
      <c r="R2037" s="377"/>
      <c r="S2037" s="343"/>
      <c r="T2037" s="346"/>
      <c r="U2037" s="346"/>
      <c r="V2037" s="346"/>
      <c r="W2037" s="346"/>
      <c r="X2037" s="346"/>
      <c r="Y2037" s="346"/>
    </row>
    <row r="2038" spans="2:29">
      <c r="B2038" s="317" t="s">
        <v>1326</v>
      </c>
      <c r="D2038" s="293">
        <f>'[7]23'!O24+'[7]23'!AC24+[7]TempRev!C349-[7]TempRev!M349-[7]TempRev!W349</f>
        <v>272862764.79340905</v>
      </c>
      <c r="E2038" s="293">
        <f>ROUND(D2038/(D2038+D2037)*[7]Energy!Q41*(1-1/[7]Energy!P41*(Blocking!E2041+Blocking!E2045)),0)</f>
        <v>275073568</v>
      </c>
      <c r="G2038" s="377">
        <v>6.5782999999999996</v>
      </c>
      <c r="H2038" s="343" t="s">
        <v>1062</v>
      </c>
      <c r="I2038" s="294">
        <f t="shared" si="1108"/>
        <v>17949731</v>
      </c>
      <c r="J2038" s="294">
        <f t="shared" si="1108"/>
        <v>18095165</v>
      </c>
      <c r="L2038" s="377"/>
      <c r="M2038" s="343"/>
      <c r="N2038" s="377"/>
      <c r="O2038" s="343"/>
      <c r="P2038" s="377"/>
      <c r="Q2038" s="343"/>
      <c r="R2038" s="377"/>
      <c r="S2038" s="343"/>
      <c r="T2038" s="346"/>
      <c r="U2038" s="346"/>
      <c r="V2038" s="346"/>
      <c r="W2038" s="346"/>
      <c r="X2038" s="346"/>
      <c r="Y2038" s="346"/>
    </row>
    <row r="2039" spans="2:29">
      <c r="B2039" s="317" t="s">
        <v>1327</v>
      </c>
      <c r="D2039" s="293">
        <f>'[7]23'!Q24+'[7]23'!AD24+[7]TempRev!C350-[7]TempRev!M350-[7]TempRev!W350</f>
        <v>383653545.00900841</v>
      </c>
      <c r="E2039" s="293">
        <f>ROUND(D2039/(D2039+D2040)*[7]Energy!R41*(1-1/[7]Energy!P41*(Blocking!E2041+Blocking!E2045)),0)</f>
        <v>377972678</v>
      </c>
      <c r="G2039" s="377">
        <v>10.8</v>
      </c>
      <c r="H2039" s="343" t="s">
        <v>1062</v>
      </c>
      <c r="I2039" s="294">
        <f t="shared" si="1108"/>
        <v>41434583</v>
      </c>
      <c r="J2039" s="294">
        <f t="shared" si="1108"/>
        <v>40821049</v>
      </c>
      <c r="L2039" s="377"/>
      <c r="M2039" s="343"/>
      <c r="N2039" s="377"/>
      <c r="O2039" s="343"/>
      <c r="P2039" s="377"/>
      <c r="Q2039" s="343"/>
      <c r="R2039" s="377"/>
      <c r="S2039" s="343"/>
      <c r="T2039" s="346"/>
      <c r="U2039" s="346"/>
      <c r="V2039" s="346"/>
      <c r="W2039" s="346"/>
      <c r="X2039" s="346"/>
      <c r="Y2039" s="346"/>
    </row>
    <row r="2040" spans="2:29">
      <c r="B2040" s="317" t="s">
        <v>1328</v>
      </c>
      <c r="D2040" s="293">
        <f>'[7]23'!R24+'[7]23'!AE24+[7]TempRev!C351-[7]TempRev!M351-[7]TempRev!W351</f>
        <v>314521648.64477241</v>
      </c>
      <c r="E2040" s="293">
        <f>ROUND(D2040/(D2039+D2040)*[7]Energy!R41*(1-1/[7]Energy!P41*(Blocking!E2041+Blocking!E2045)),0)</f>
        <v>309864437</v>
      </c>
      <c r="G2040" s="377">
        <v>6.0567000000000002</v>
      </c>
      <c r="H2040" s="343" t="s">
        <v>1062</v>
      </c>
      <c r="I2040" s="294">
        <f t="shared" si="1108"/>
        <v>19049633</v>
      </c>
      <c r="J2040" s="294">
        <f t="shared" si="1108"/>
        <v>18767559</v>
      </c>
      <c r="L2040" s="377"/>
      <c r="M2040" s="343"/>
      <c r="N2040" s="377"/>
      <c r="O2040" s="343"/>
      <c r="P2040" s="377"/>
      <c r="Q2040" s="343"/>
      <c r="R2040" s="377"/>
      <c r="S2040" s="343"/>
      <c r="T2040" s="346"/>
      <c r="U2040" s="346"/>
      <c r="V2040" s="346"/>
      <c r="W2040" s="346"/>
      <c r="X2040" s="346"/>
      <c r="Y2040" s="346"/>
    </row>
    <row r="2041" spans="2:29">
      <c r="B2041" s="353" t="s">
        <v>1077</v>
      </c>
      <c r="C2041" s="354"/>
      <c r="D2041" s="355">
        <f>'[7]23'!V24</f>
        <v>1948912</v>
      </c>
      <c r="E2041" s="355">
        <f>ROUND(D2041/(D2046-D2045)*E2046,0)</f>
        <v>1929181</v>
      </c>
      <c r="F2041" s="354"/>
      <c r="G2041" s="351">
        <v>10.120799999999999</v>
      </c>
      <c r="H2041" s="356" t="s">
        <v>1062</v>
      </c>
      <c r="I2041" s="325">
        <f t="shared" si="1108"/>
        <v>197245</v>
      </c>
      <c r="J2041" s="325">
        <f t="shared" si="1108"/>
        <v>195249</v>
      </c>
      <c r="K2041" s="354"/>
      <c r="L2041" s="351">
        <f>L1993</f>
        <v>2.9339</v>
      </c>
      <c r="M2041" s="356" t="s">
        <v>1062</v>
      </c>
      <c r="N2041" s="351">
        <f>N1993</f>
        <v>7.4249999999999998</v>
      </c>
      <c r="O2041" s="356" t="s">
        <v>1062</v>
      </c>
      <c r="P2041" s="351">
        <f>P1993</f>
        <v>0</v>
      </c>
      <c r="Q2041" s="356" t="s">
        <v>1062</v>
      </c>
      <c r="R2041" s="351">
        <f>R1993</f>
        <v>10.358899999999998</v>
      </c>
      <c r="S2041" s="356" t="s">
        <v>1062</v>
      </c>
      <c r="T2041" s="294">
        <f t="shared" ref="T2041" si="1109">ROUND($E2041*L2041/100,0)</f>
        <v>56600</v>
      </c>
      <c r="U2041" s="346"/>
      <c r="V2041" s="294">
        <f t="shared" ref="V2041" si="1110">ROUND($E2041*N2041/100,0)</f>
        <v>143242</v>
      </c>
      <c r="W2041" s="346"/>
      <c r="X2041" s="294">
        <f t="shared" ref="X2041" si="1111">ROUND($E2041*P2041/100,0)</f>
        <v>0</v>
      </c>
      <c r="Y2041" s="345"/>
      <c r="Z2041" s="325">
        <f t="shared" ref="Z2041" si="1112">ROUND($E2041*R2041/100,0)</f>
        <v>199842</v>
      </c>
    </row>
    <row r="2042" spans="2:29">
      <c r="B2042" s="317" t="s">
        <v>1078</v>
      </c>
      <c r="D2042" s="357">
        <f>'[7]Table 2'!J60</f>
        <v>6607774</v>
      </c>
      <c r="E2042" s="357">
        <v>0</v>
      </c>
      <c r="I2042" s="358">
        <f>'[7]Table 3'!F60</f>
        <v>714411</v>
      </c>
      <c r="J2042" s="358">
        <v>0</v>
      </c>
      <c r="Z2042" s="358"/>
    </row>
    <row r="2043" spans="2:29">
      <c r="B2043" s="317" t="s">
        <v>1079</v>
      </c>
      <c r="G2043" s="338">
        <v>-3.3099999999999997E-2</v>
      </c>
      <c r="H2043" s="339"/>
      <c r="I2043" s="294">
        <f>SUM(I2034:I2035,I2037:I2041)*$G2043</f>
        <v>-3838602.5645999997</v>
      </c>
      <c r="J2043" s="294">
        <f>SUM(J2034:J2035,J2037:J2041)*$G2043</f>
        <v>-3820563.3624999998</v>
      </c>
      <c r="L2043" s="338"/>
      <c r="M2043" s="339"/>
      <c r="N2043" s="338"/>
      <c r="O2043" s="339"/>
      <c r="P2043" s="359" t="str">
        <f>$P$43</f>
        <v>Tax Year 1</v>
      </c>
      <c r="Q2043" s="339"/>
      <c r="R2043" s="338">
        <f>$AD$1988</f>
        <v>-2.2499999999999999E-2</v>
      </c>
      <c r="S2043" s="339"/>
      <c r="Z2043" s="294">
        <f>R2043*SUM(Z2028:Z2033,Z2041)</f>
        <v>-2564783.6850000001</v>
      </c>
    </row>
    <row r="2044" spans="2:29">
      <c r="B2044" s="317"/>
      <c r="G2044" s="338"/>
      <c r="H2044" s="339"/>
      <c r="L2044" s="338"/>
      <c r="M2044" s="339"/>
      <c r="N2044" s="338"/>
      <c r="O2044" s="339"/>
      <c r="P2044" s="359" t="str">
        <f>$P$44</f>
        <v>Tax Year 2</v>
      </c>
      <c r="Q2044" s="339"/>
      <c r="R2044" s="338">
        <f>$AD$1989</f>
        <v>-1.12E-2</v>
      </c>
      <c r="S2044" s="339"/>
      <c r="Z2044" s="294">
        <f>R2044*SUM(Z2028:Z2033,Z2041)</f>
        <v>-1276692.3232</v>
      </c>
    </row>
    <row r="2045" spans="2:29">
      <c r="B2045" s="353" t="s">
        <v>1082</v>
      </c>
      <c r="D2045" s="293">
        <f>'[7]23'!AL24</f>
        <v>-146563</v>
      </c>
      <c r="E2045" s="355">
        <f>ROUND(D2045/(D2046-D2045)*E2046,0)</f>
        <v>-145079</v>
      </c>
      <c r="G2045" s="338"/>
      <c r="H2045" s="339"/>
      <c r="L2045" s="338"/>
      <c r="M2045" s="339"/>
      <c r="N2045" s="338"/>
      <c r="O2045" s="339"/>
      <c r="P2045" s="338"/>
      <c r="Q2045" s="339"/>
      <c r="R2045" s="338"/>
      <c r="S2045" s="339"/>
    </row>
    <row r="2046" spans="2:29" ht="16.5" thickBot="1">
      <c r="B2046" s="317" t="s">
        <v>937</v>
      </c>
      <c r="D2046" s="381">
        <f>SUM(D2037:D2041,D2042:D2045)</f>
        <v>1252798069.5791469</v>
      </c>
      <c r="E2046" s="381">
        <f>[7]Energy!P41</f>
        <v>1240259524.112345</v>
      </c>
      <c r="G2046" s="368"/>
      <c r="I2046" s="369">
        <f>SUM(I2025:I2043)</f>
        <v>121739163.43539999</v>
      </c>
      <c r="J2046" s="369">
        <f>SUM(J2025:J2043)</f>
        <v>120838415.6375</v>
      </c>
      <c r="L2046" s="368"/>
      <c r="N2046" s="368"/>
      <c r="P2046" s="368"/>
      <c r="R2046" s="368"/>
      <c r="T2046" s="369">
        <f>SUM(T2025:T2042)</f>
        <v>50745707</v>
      </c>
      <c r="V2046" s="369">
        <f>SUM(V2025:V2042)</f>
        <v>47544489</v>
      </c>
      <c r="X2046" s="369">
        <f>SUM(X2025:X2042)</f>
        <v>24934293</v>
      </c>
      <c r="Z2046" s="369">
        <f>SUM(Z2025:Z2042)</f>
        <v>123224490</v>
      </c>
      <c r="AB2046" s="305" t="s">
        <v>939</v>
      </c>
      <c r="AC2046" s="304">
        <f>Z2046/J2046-1</f>
        <v>1.9745991785078632E-2</v>
      </c>
    </row>
    <row r="2047" spans="2:29" ht="16.5" thickTop="1"/>
    <row r="2048" spans="2:29">
      <c r="B2048" s="314" t="s">
        <v>1021</v>
      </c>
    </row>
    <row r="2049" spans="2:26">
      <c r="B2049" s="317" t="s">
        <v>1089</v>
      </c>
      <c r="D2049" s="293">
        <f>'[7]23'!G25</f>
        <v>38154.106999999902</v>
      </c>
      <c r="E2049" s="293">
        <f>[7]Bill!P66</f>
        <v>37431.000000000007</v>
      </c>
      <c r="G2049" s="339">
        <v>10</v>
      </c>
      <c r="H2049" s="339"/>
      <c r="I2049" s="294">
        <f t="shared" ref="I2049:J2060" si="1113">ROUND($G2049*D2049,0)</f>
        <v>381541</v>
      </c>
      <c r="J2049" s="294">
        <f t="shared" si="1113"/>
        <v>374310</v>
      </c>
      <c r="L2049" s="339">
        <f>L1977</f>
        <v>10</v>
      </c>
      <c r="M2049" s="339"/>
      <c r="N2049" s="339">
        <f>N1977</f>
        <v>0</v>
      </c>
      <c r="O2049" s="339"/>
      <c r="P2049" s="339">
        <f>P1977</f>
        <v>0</v>
      </c>
      <c r="Q2049" s="339"/>
      <c r="R2049" s="339">
        <f t="shared" ref="R2049:R2057" si="1114">R1977</f>
        <v>10</v>
      </c>
      <c r="S2049" s="339"/>
      <c r="T2049" s="294">
        <f t="shared" ref="T2049:T2053" si="1115">ROUND($E2049*L2049,0)</f>
        <v>374310</v>
      </c>
      <c r="V2049" s="294">
        <f t="shared" ref="V2049:V2053" si="1116">ROUND($E2049*N2049,0)</f>
        <v>0</v>
      </c>
      <c r="X2049" s="294">
        <f t="shared" ref="X2049:X2053" si="1117">ROUND($E2049*P2049,0)</f>
        <v>0</v>
      </c>
      <c r="Z2049" s="294">
        <f>ROUND($E2049*R2049,0)</f>
        <v>374310</v>
      </c>
    </row>
    <row r="2050" spans="2:26">
      <c r="B2050" s="317" t="s">
        <v>1099</v>
      </c>
      <c r="D2050" s="293">
        <v>0</v>
      </c>
      <c r="E2050" s="293">
        <f>ROUND(D2050/D2049*E2049,0)</f>
        <v>0</v>
      </c>
      <c r="G2050" s="339">
        <v>120</v>
      </c>
      <c r="H2050" s="339"/>
      <c r="I2050" s="294">
        <f t="shared" si="1113"/>
        <v>0</v>
      </c>
      <c r="J2050" s="294">
        <f t="shared" si="1113"/>
        <v>0</v>
      </c>
      <c r="L2050" s="339">
        <f t="shared" ref="L2050:L2057" si="1118">L1978</f>
        <v>119</v>
      </c>
      <c r="M2050" s="339"/>
      <c r="N2050" s="339">
        <f t="shared" ref="N2050:N2057" si="1119">N1978</f>
        <v>0</v>
      </c>
      <c r="O2050" s="339"/>
      <c r="P2050" s="339">
        <f t="shared" ref="P2050:P2057" si="1120">P1978</f>
        <v>0</v>
      </c>
      <c r="Q2050" s="339"/>
      <c r="R2050" s="339">
        <f t="shared" si="1114"/>
        <v>119</v>
      </c>
      <c r="S2050" s="339"/>
      <c r="T2050" s="294">
        <f t="shared" si="1115"/>
        <v>0</v>
      </c>
      <c r="V2050" s="294">
        <f t="shared" si="1116"/>
        <v>0</v>
      </c>
      <c r="X2050" s="294">
        <f t="shared" si="1117"/>
        <v>0</v>
      </c>
      <c r="Z2050" s="294">
        <f t="shared" ref="Z2050:Z2053" si="1121">ROUND($E2050*R2050,0)</f>
        <v>0</v>
      </c>
    </row>
    <row r="2051" spans="2:26">
      <c r="B2051" s="317" t="s">
        <v>1100</v>
      </c>
      <c r="D2051" s="293">
        <f>'[7]23'!AH25</f>
        <v>13</v>
      </c>
      <c r="E2051" s="293">
        <f>ROUND(D2051/D2049*E2049,0)</f>
        <v>13</v>
      </c>
      <c r="G2051" s="339">
        <v>10</v>
      </c>
      <c r="H2051" s="339"/>
      <c r="I2051" s="294">
        <f t="shared" si="1113"/>
        <v>130</v>
      </c>
      <c r="J2051" s="294">
        <f t="shared" si="1113"/>
        <v>130</v>
      </c>
      <c r="L2051" s="339">
        <f t="shared" si="1118"/>
        <v>10</v>
      </c>
      <c r="M2051" s="339"/>
      <c r="N2051" s="339">
        <f t="shared" si="1119"/>
        <v>0</v>
      </c>
      <c r="O2051" s="339"/>
      <c r="P2051" s="339">
        <f t="shared" si="1120"/>
        <v>0</v>
      </c>
      <c r="Q2051" s="339"/>
      <c r="R2051" s="339">
        <f t="shared" si="1114"/>
        <v>10</v>
      </c>
      <c r="S2051" s="339"/>
      <c r="T2051" s="294">
        <f t="shared" si="1115"/>
        <v>130</v>
      </c>
      <c r="V2051" s="294">
        <f t="shared" si="1116"/>
        <v>0</v>
      </c>
      <c r="X2051" s="294">
        <f t="shared" si="1117"/>
        <v>0</v>
      </c>
      <c r="Z2051" s="294">
        <f t="shared" si="1121"/>
        <v>130</v>
      </c>
    </row>
    <row r="2052" spans="2:26">
      <c r="B2052" s="317" t="s">
        <v>1316</v>
      </c>
      <c r="D2052" s="293">
        <f>'[7]23'!I25+'[7]23-may'!I25</f>
        <v>13934.402372737517</v>
      </c>
      <c r="E2052" s="293">
        <f>ROUND(D2052/D2070*E2070,0)</f>
        <v>13690</v>
      </c>
      <c r="G2052" s="339"/>
      <c r="H2052" s="339"/>
      <c r="L2052" s="339">
        <f t="shared" si="1118"/>
        <v>9.07</v>
      </c>
      <c r="M2052" s="339"/>
      <c r="N2052" s="339">
        <f t="shared" si="1119"/>
        <v>0</v>
      </c>
      <c r="O2052" s="339"/>
      <c r="P2052" s="339">
        <f t="shared" si="1120"/>
        <v>0</v>
      </c>
      <c r="Q2052" s="339"/>
      <c r="R2052" s="339">
        <f t="shared" si="1114"/>
        <v>9.07</v>
      </c>
      <c r="S2052" s="339"/>
      <c r="T2052" s="294">
        <f t="shared" si="1115"/>
        <v>124168</v>
      </c>
      <c r="V2052" s="294">
        <f t="shared" si="1116"/>
        <v>0</v>
      </c>
      <c r="X2052" s="294">
        <f t="shared" si="1117"/>
        <v>0</v>
      </c>
      <c r="Z2052" s="294">
        <f t="shared" si="1121"/>
        <v>124168</v>
      </c>
    </row>
    <row r="2053" spans="2:26">
      <c r="B2053" s="317" t="s">
        <v>1317</v>
      </c>
      <c r="D2053" s="293">
        <f>'[7]23'!J25+'[7]23-may'!J25</f>
        <v>22308.866911695484</v>
      </c>
      <c r="E2053" s="293">
        <f>ROUND(D2053/D2070*E2070,0)</f>
        <v>21918</v>
      </c>
      <c r="G2053" s="339"/>
      <c r="H2053" s="339"/>
      <c r="L2053" s="339">
        <f t="shared" si="1118"/>
        <v>8.0299999999999994</v>
      </c>
      <c r="M2053" s="339"/>
      <c r="N2053" s="339">
        <f t="shared" si="1119"/>
        <v>0</v>
      </c>
      <c r="O2053" s="339"/>
      <c r="P2053" s="339">
        <f t="shared" si="1120"/>
        <v>0</v>
      </c>
      <c r="Q2053" s="339"/>
      <c r="R2053" s="339">
        <f t="shared" si="1114"/>
        <v>8.0299999999999994</v>
      </c>
      <c r="S2053" s="339"/>
      <c r="T2053" s="294">
        <f t="shared" si="1115"/>
        <v>176002</v>
      </c>
      <c r="V2053" s="294">
        <f t="shared" si="1116"/>
        <v>0</v>
      </c>
      <c r="X2053" s="294">
        <f t="shared" si="1117"/>
        <v>0</v>
      </c>
      <c r="Z2053" s="294">
        <f t="shared" si="1121"/>
        <v>176002</v>
      </c>
    </row>
    <row r="2054" spans="2:26">
      <c r="B2054" s="317" t="s">
        <v>1318</v>
      </c>
      <c r="D2054" s="293">
        <f>'[7]23'!N25+'[7]23'!AB25+'[7]23-may'!N25+'[7]23-may'!AB25</f>
        <v>8604340.0720692445</v>
      </c>
      <c r="E2054" s="293">
        <f>E2070-SUM(E2055:E2057,E2065,E2069)</f>
        <v>8594020.7713383362</v>
      </c>
      <c r="G2054" s="377"/>
      <c r="H2054" s="343"/>
      <c r="L2054" s="377">
        <f t="shared" si="1118"/>
        <v>2.9339</v>
      </c>
      <c r="M2054" s="343" t="s">
        <v>1062</v>
      </c>
      <c r="N2054" s="377">
        <f t="shared" si="1119"/>
        <v>6.8490496173940008</v>
      </c>
      <c r="O2054" s="343" t="s">
        <v>1062</v>
      </c>
      <c r="P2054" s="377">
        <f t="shared" si="1120"/>
        <v>2.1261000000000001</v>
      </c>
      <c r="Q2054" s="343" t="s">
        <v>1062</v>
      </c>
      <c r="R2054" s="377">
        <f t="shared" si="1114"/>
        <v>11.909049617394</v>
      </c>
      <c r="S2054" s="343" t="s">
        <v>1062</v>
      </c>
      <c r="T2054" s="294">
        <f>ROUND($E2054*L2054/100,0)</f>
        <v>252140</v>
      </c>
      <c r="U2054" s="346"/>
      <c r="V2054" s="294">
        <f>ROUND($E2054*N2054/100,0)</f>
        <v>588609</v>
      </c>
      <c r="W2054" s="346"/>
      <c r="X2054" s="294">
        <f>ROUND($E2054*P2054/100,0)</f>
        <v>182717</v>
      </c>
      <c r="Y2054" s="346"/>
      <c r="Z2054" s="294">
        <f>ROUND($E2054*R2054/100,0)</f>
        <v>1023466</v>
      </c>
    </row>
    <row r="2055" spans="2:26">
      <c r="B2055" s="317" t="s">
        <v>1319</v>
      </c>
      <c r="D2055" s="293">
        <f>'[7]23'!O25+'[7]23'!AC25+'[7]23-may'!O25+'[7]23-may'!AC25</f>
        <v>9631147.8950034827</v>
      </c>
      <c r="E2055" s="293">
        <f>ROUND(D2055/(D2055+D2054)*[7]Energy!S66*(1-1/[7]Energy!P66*(Blocking!E2065+Blocking!E2069)),0)</f>
        <v>9619597</v>
      </c>
      <c r="G2055" s="377"/>
      <c r="H2055" s="343"/>
      <c r="L2055" s="377">
        <f t="shared" si="1118"/>
        <v>2.9339</v>
      </c>
      <c r="M2055" s="343" t="s">
        <v>1062</v>
      </c>
      <c r="N2055" s="377">
        <f t="shared" si="1119"/>
        <v>1.6937496173940008</v>
      </c>
      <c r="O2055" s="343" t="s">
        <v>1062</v>
      </c>
      <c r="P2055" s="377">
        <f t="shared" si="1120"/>
        <v>2.1261000000000001</v>
      </c>
      <c r="Q2055" s="343" t="s">
        <v>1062</v>
      </c>
      <c r="R2055" s="377">
        <f t="shared" si="1114"/>
        <v>6.7537496173940008</v>
      </c>
      <c r="S2055" s="343" t="s">
        <v>1062</v>
      </c>
      <c r="T2055" s="294">
        <f t="shared" ref="T2055:T2057" si="1122">ROUND($E2055*L2055/100,0)</f>
        <v>282229</v>
      </c>
      <c r="U2055" s="346"/>
      <c r="V2055" s="294">
        <f t="shared" ref="V2055:V2057" si="1123">ROUND($E2055*N2055/100,0)</f>
        <v>162932</v>
      </c>
      <c r="W2055" s="346"/>
      <c r="X2055" s="294">
        <f t="shared" ref="X2055:X2057" si="1124">ROUND($E2055*P2055/100,0)</f>
        <v>204522</v>
      </c>
      <c r="Y2055" s="346"/>
      <c r="Z2055" s="294">
        <f t="shared" ref="Z2055:Z2057" si="1125">ROUND($E2055*R2055/100,0)</f>
        <v>649683</v>
      </c>
    </row>
    <row r="2056" spans="2:26">
      <c r="B2056" s="317" t="s">
        <v>1320</v>
      </c>
      <c r="D2056" s="293">
        <f>'[7]23'!Q25+'[7]23'!AD25+'[7]23-may'!Q25+'[7]23-may'!AD25</f>
        <v>17935019.927930754</v>
      </c>
      <c r="E2056" s="293">
        <f>ROUND(D2056/(D2057+D2056)*[7]Energy!T66*(1-1/[7]Energy!P66*(Blocking!E2065+Blocking!E2069)),0)</f>
        <v>17034958</v>
      </c>
      <c r="G2056" s="377"/>
      <c r="H2056" s="343"/>
      <c r="L2056" s="377">
        <f t="shared" si="1118"/>
        <v>2.9339</v>
      </c>
      <c r="M2056" s="343" t="s">
        <v>1062</v>
      </c>
      <c r="N2056" s="377">
        <f t="shared" si="1119"/>
        <v>5.6569000000000003</v>
      </c>
      <c r="O2056" s="343" t="s">
        <v>1062</v>
      </c>
      <c r="P2056" s="377">
        <f t="shared" si="1120"/>
        <v>1.9481999999999999</v>
      </c>
      <c r="Q2056" s="343" t="s">
        <v>1062</v>
      </c>
      <c r="R2056" s="377">
        <f t="shared" si="1114"/>
        <v>10.539</v>
      </c>
      <c r="S2056" s="343" t="s">
        <v>1062</v>
      </c>
      <c r="T2056" s="294">
        <f t="shared" si="1122"/>
        <v>499789</v>
      </c>
      <c r="U2056" s="346"/>
      <c r="V2056" s="294">
        <f t="shared" si="1123"/>
        <v>963651</v>
      </c>
      <c r="W2056" s="346"/>
      <c r="X2056" s="294">
        <f t="shared" si="1124"/>
        <v>331875</v>
      </c>
      <c r="Y2056" s="346"/>
      <c r="Z2056" s="294">
        <f t="shared" si="1125"/>
        <v>1795314</v>
      </c>
    </row>
    <row r="2057" spans="2:26">
      <c r="B2057" s="317" t="s">
        <v>1321</v>
      </c>
      <c r="D2057" s="293">
        <f>'[7]23'!R25+'[7]23'!AE25+'[7]23-may'!R25+'[7]23-may'!AE25</f>
        <v>17268829.104996517</v>
      </c>
      <c r="E2057" s="293">
        <f>ROUND(D2057/(D2056+D2057)*[7]Energy!T66*(1-1/[7]Energy!P66*(Blocking!E2065+Blocking!E2069)),0)</f>
        <v>16402200</v>
      </c>
      <c r="G2057" s="377"/>
      <c r="H2057" s="343"/>
      <c r="L2057" s="377">
        <f t="shared" si="1118"/>
        <v>2.9339</v>
      </c>
      <c r="M2057" s="343" t="s">
        <v>1062</v>
      </c>
      <c r="N2057" s="377">
        <f t="shared" si="1119"/>
        <v>1.0947</v>
      </c>
      <c r="O2057" s="343" t="s">
        <v>1062</v>
      </c>
      <c r="P2057" s="377">
        <f t="shared" si="1120"/>
        <v>1.9481999999999999</v>
      </c>
      <c r="Q2057" s="343" t="s">
        <v>1062</v>
      </c>
      <c r="R2057" s="377">
        <f t="shared" si="1114"/>
        <v>5.9767999999999999</v>
      </c>
      <c r="S2057" s="343" t="s">
        <v>1062</v>
      </c>
      <c r="T2057" s="294">
        <f t="shared" si="1122"/>
        <v>481224</v>
      </c>
      <c r="U2057" s="346"/>
      <c r="V2057" s="294">
        <f t="shared" si="1123"/>
        <v>179555</v>
      </c>
      <c r="W2057" s="346"/>
      <c r="X2057" s="294">
        <f t="shared" si="1124"/>
        <v>319548</v>
      </c>
      <c r="Y2057" s="346"/>
      <c r="Z2057" s="294">
        <f t="shared" si="1125"/>
        <v>980327</v>
      </c>
    </row>
    <row r="2058" spans="2:26">
      <c r="B2058" s="317" t="s">
        <v>1323</v>
      </c>
      <c r="D2058" s="293">
        <f>'[7]23'!I25</f>
        <v>16686.4554913295</v>
      </c>
      <c r="E2058" s="293">
        <f>ROUND(D2058/D2070*E2070,0)</f>
        <v>16394</v>
      </c>
      <c r="G2058" s="339">
        <v>8.65</v>
      </c>
      <c r="H2058" s="339"/>
      <c r="I2058" s="294">
        <f t="shared" si="1113"/>
        <v>144338</v>
      </c>
      <c r="J2058" s="294">
        <f t="shared" si="1113"/>
        <v>141808</v>
      </c>
      <c r="L2058" s="339"/>
      <c r="M2058" s="339"/>
      <c r="N2058" s="339"/>
      <c r="O2058" s="339"/>
      <c r="P2058" s="339"/>
      <c r="Q2058" s="339"/>
      <c r="R2058" s="339"/>
      <c r="S2058" s="339"/>
    </row>
    <row r="2059" spans="2:26">
      <c r="B2059" s="317" t="s">
        <v>1324</v>
      </c>
      <c r="D2059" s="293">
        <f>'[7]23'!J25</f>
        <v>19556.813793103502</v>
      </c>
      <c r="E2059" s="293">
        <f>ROUND(D2059/D2070*E2070,0)</f>
        <v>19214</v>
      </c>
      <c r="G2059" s="339">
        <v>8.7000000000000011</v>
      </c>
      <c r="H2059" s="339"/>
      <c r="I2059" s="294">
        <f t="shared" si="1113"/>
        <v>170144</v>
      </c>
      <c r="J2059" s="294">
        <f t="shared" si="1113"/>
        <v>167162</v>
      </c>
      <c r="L2059" s="339"/>
      <c r="M2059" s="339"/>
      <c r="N2059" s="339"/>
      <c r="O2059" s="339"/>
      <c r="P2059" s="339"/>
      <c r="Q2059" s="339"/>
      <c r="R2059" s="339"/>
      <c r="S2059" s="339"/>
    </row>
    <row r="2060" spans="2:26">
      <c r="B2060" s="317" t="s">
        <v>1098</v>
      </c>
      <c r="D2060" s="293">
        <f>'[7]23'!K25</f>
        <v>2433.125</v>
      </c>
      <c r="E2060" s="293">
        <f>ROUND(D2060/D2070*E2070,0)</f>
        <v>2391</v>
      </c>
      <c r="G2060" s="339">
        <v>-0.48</v>
      </c>
      <c r="H2060" s="339"/>
      <c r="I2060" s="294">
        <f t="shared" si="1113"/>
        <v>-1168</v>
      </c>
      <c r="J2060" s="294">
        <f t="shared" si="1113"/>
        <v>-1148</v>
      </c>
      <c r="L2060" s="339">
        <f>L1988</f>
        <v>-0.48</v>
      </c>
      <c r="M2060" s="339"/>
      <c r="N2060" s="339">
        <f>N1988</f>
        <v>0</v>
      </c>
      <c r="O2060" s="339"/>
      <c r="P2060" s="339">
        <f>P1988</f>
        <v>0</v>
      </c>
      <c r="Q2060" s="339"/>
      <c r="R2060" s="339">
        <f>R1988</f>
        <v>-0.48</v>
      </c>
      <c r="S2060" s="339"/>
      <c r="T2060" s="294">
        <f t="shared" ref="T2060" si="1126">ROUND($E2060*L2060,0)</f>
        <v>-1148</v>
      </c>
      <c r="V2060" s="294">
        <f t="shared" ref="V2060" si="1127">ROUND($E2060*N2060,0)</f>
        <v>0</v>
      </c>
      <c r="X2060" s="294">
        <f t="shared" ref="X2060" si="1128">ROUND($E2060*P2060,0)</f>
        <v>0</v>
      </c>
      <c r="Z2060" s="294">
        <f t="shared" ref="Z2060" si="1129">ROUND($E2060*R2060,0)</f>
        <v>-1148</v>
      </c>
    </row>
    <row r="2061" spans="2:26">
      <c r="B2061" s="317" t="s">
        <v>1325</v>
      </c>
      <c r="D2061" s="293">
        <f>'[7]23'!N25+'[7]23'!AB25</f>
        <v>10640672</v>
      </c>
      <c r="E2061" s="293">
        <f>E2070-SUM(E2062:E2069)</f>
        <v>10568996.771338336</v>
      </c>
      <c r="G2061" s="376">
        <v>11.733599999999999</v>
      </c>
      <c r="H2061" s="343" t="s">
        <v>1062</v>
      </c>
      <c r="I2061" s="294">
        <f t="shared" ref="I2061:J2065" si="1130">ROUND($G2061*D2061/100,0)</f>
        <v>1248534</v>
      </c>
      <c r="J2061" s="294">
        <f t="shared" si="1130"/>
        <v>1240124</v>
      </c>
      <c r="L2061" s="376"/>
      <c r="M2061" s="343"/>
      <c r="N2061" s="376"/>
      <c r="O2061" s="343"/>
      <c r="P2061" s="376"/>
      <c r="Q2061" s="343"/>
      <c r="R2061" s="376"/>
      <c r="S2061" s="343"/>
      <c r="T2061" s="346"/>
      <c r="U2061" s="346"/>
      <c r="V2061" s="346"/>
      <c r="W2061" s="346"/>
      <c r="X2061" s="346"/>
      <c r="Y2061" s="346"/>
    </row>
    <row r="2062" spans="2:26">
      <c r="B2062" s="317" t="s">
        <v>1326</v>
      </c>
      <c r="D2062" s="293">
        <f>'[7]23'!O25+'[7]23'!AC25</f>
        <v>11455178</v>
      </c>
      <c r="E2062" s="293">
        <f>ROUND(D2062/(D2062+D2061)*[7]Energy!Q66*(1-1/[7]Energy!P66*(Blocking!E2065+Blocking!E2069)),0)</f>
        <v>11378017</v>
      </c>
      <c r="G2062" s="376">
        <v>6.5782999999999996</v>
      </c>
      <c r="H2062" s="343" t="s">
        <v>1062</v>
      </c>
      <c r="I2062" s="294">
        <f t="shared" si="1130"/>
        <v>753556</v>
      </c>
      <c r="J2062" s="294">
        <f t="shared" si="1130"/>
        <v>748480</v>
      </c>
      <c r="L2062" s="376"/>
      <c r="M2062" s="343"/>
      <c r="N2062" s="376"/>
      <c r="O2062" s="343"/>
      <c r="P2062" s="376"/>
      <c r="Q2062" s="343"/>
      <c r="R2062" s="376"/>
      <c r="S2062" s="343"/>
      <c r="T2062" s="346"/>
      <c r="U2062" s="346"/>
      <c r="V2062" s="346"/>
      <c r="W2062" s="346"/>
      <c r="X2062" s="346"/>
      <c r="Y2062" s="346"/>
    </row>
    <row r="2063" spans="2:26">
      <c r="B2063" s="317" t="s">
        <v>1327</v>
      </c>
      <c r="D2063" s="293">
        <f>'[7]23'!Q25+'[7]23'!AD25</f>
        <v>15898688</v>
      </c>
      <c r="E2063" s="293">
        <f>ROUND(D2063/(D2063+D2064)*[7]Energy!R66*(1-1/[7]Energy!P66*(Blocking!E2065+Blocking!E2069)),0)</f>
        <v>15066953</v>
      </c>
      <c r="G2063" s="376">
        <v>10.8</v>
      </c>
      <c r="H2063" s="343" t="s">
        <v>1062</v>
      </c>
      <c r="I2063" s="294">
        <f t="shared" si="1130"/>
        <v>1717058</v>
      </c>
      <c r="J2063" s="294">
        <f t="shared" si="1130"/>
        <v>1627231</v>
      </c>
      <c r="L2063" s="376"/>
      <c r="M2063" s="343"/>
      <c r="N2063" s="376"/>
      <c r="O2063" s="343"/>
      <c r="P2063" s="376"/>
      <c r="Q2063" s="343"/>
      <c r="R2063" s="376"/>
      <c r="S2063" s="343"/>
      <c r="T2063" s="346"/>
      <c r="U2063" s="346"/>
      <c r="V2063" s="346"/>
      <c r="W2063" s="346"/>
      <c r="X2063" s="346"/>
      <c r="Y2063" s="346"/>
    </row>
    <row r="2064" spans="2:26">
      <c r="B2064" s="317" t="s">
        <v>1328</v>
      </c>
      <c r="D2064" s="293">
        <f>'[7]23'!R25+'[7]23'!AE25</f>
        <v>15444799</v>
      </c>
      <c r="E2064" s="293">
        <f>ROUND(D2064/(D2063+D2064)*[7]Energy!R66*(1-1/[7]Energy!P66*(Blocking!E2065+Blocking!E2069)),0)</f>
        <v>14636809</v>
      </c>
      <c r="G2064" s="376">
        <v>6.0567000000000002</v>
      </c>
      <c r="H2064" s="343" t="s">
        <v>1062</v>
      </c>
      <c r="I2064" s="294">
        <f t="shared" si="1130"/>
        <v>935445</v>
      </c>
      <c r="J2064" s="294">
        <f t="shared" si="1130"/>
        <v>886508</v>
      </c>
      <c r="L2064" s="376"/>
      <c r="M2064" s="343"/>
      <c r="N2064" s="376"/>
      <c r="O2064" s="343"/>
      <c r="P2064" s="376"/>
      <c r="Q2064" s="343"/>
      <c r="R2064" s="376"/>
      <c r="S2064" s="343"/>
      <c r="T2064" s="346"/>
      <c r="U2064" s="346"/>
      <c r="V2064" s="346"/>
      <c r="W2064" s="346"/>
      <c r="X2064" s="346"/>
      <c r="Y2064" s="346"/>
    </row>
    <row r="2065" spans="1:29">
      <c r="B2065" s="353" t="s">
        <v>1077</v>
      </c>
      <c r="C2065" s="354"/>
      <c r="D2065" s="355">
        <f>'[7]23'!V25</f>
        <v>101506</v>
      </c>
      <c r="E2065" s="355">
        <f>ROUND(D2065/(D2070-D2069)*E2070,0)</f>
        <v>99720</v>
      </c>
      <c r="F2065" s="354"/>
      <c r="G2065" s="351">
        <v>10.120799999999999</v>
      </c>
      <c r="H2065" s="356" t="s">
        <v>1062</v>
      </c>
      <c r="I2065" s="325">
        <f t="shared" si="1130"/>
        <v>10273</v>
      </c>
      <c r="J2065" s="325">
        <f t="shared" si="1130"/>
        <v>10092</v>
      </c>
      <c r="K2065" s="354"/>
      <c r="L2065" s="351">
        <f>L1993</f>
        <v>2.9339</v>
      </c>
      <c r="M2065" s="356" t="s">
        <v>1062</v>
      </c>
      <c r="N2065" s="351">
        <f>N1993</f>
        <v>7.4249999999999998</v>
      </c>
      <c r="O2065" s="356" t="s">
        <v>1062</v>
      </c>
      <c r="P2065" s="351">
        <f>P1993</f>
        <v>0</v>
      </c>
      <c r="Q2065" s="356" t="s">
        <v>1062</v>
      </c>
      <c r="R2065" s="351">
        <f>R1993</f>
        <v>10.358899999999998</v>
      </c>
      <c r="S2065" s="356" t="s">
        <v>1062</v>
      </c>
      <c r="T2065" s="294">
        <f t="shared" ref="T2065" si="1131">ROUND($E2065*L2065/100,0)</f>
        <v>2926</v>
      </c>
      <c r="U2065" s="346"/>
      <c r="V2065" s="294">
        <f t="shared" ref="V2065" si="1132">ROUND($E2065*N2065/100,0)</f>
        <v>7404</v>
      </c>
      <c r="W2065" s="346"/>
      <c r="X2065" s="294">
        <f t="shared" ref="X2065" si="1133">ROUND($E2065*P2065/100,0)</f>
        <v>0</v>
      </c>
      <c r="Y2065" s="345"/>
      <c r="Z2065" s="325">
        <f t="shared" ref="Z2065" si="1134">ROUND($E2065*R2065/100,0)</f>
        <v>10330</v>
      </c>
    </row>
    <row r="2066" spans="1:29">
      <c r="B2066" s="317" t="s">
        <v>1078</v>
      </c>
      <c r="D2066" s="357">
        <f>'[7]Table 2'!J96</f>
        <v>-867916</v>
      </c>
      <c r="E2066" s="357">
        <v>0</v>
      </c>
      <c r="I2066" s="358">
        <f>'[7]Table 3'!F96</f>
        <v>-78953</v>
      </c>
      <c r="J2066" s="358">
        <v>0</v>
      </c>
      <c r="Z2066" s="358"/>
    </row>
    <row r="2067" spans="1:29">
      <c r="B2067" s="317" t="s">
        <v>1079</v>
      </c>
      <c r="G2067" s="338">
        <v>-3.3099999999999997E-2</v>
      </c>
      <c r="H2067" s="339"/>
      <c r="I2067" s="294">
        <f>SUM(I2058:I2059,I2061:I2065)*$G2067</f>
        <v>-164816.41879999998</v>
      </c>
      <c r="J2067" s="294">
        <f>SUM(J2058:J2059,J2061:J2065)*$G2067</f>
        <v>-159588.5055</v>
      </c>
      <c r="L2067" s="338"/>
      <c r="M2067" s="339"/>
      <c r="N2067" s="338"/>
      <c r="O2067" s="339"/>
      <c r="P2067" s="359" t="str">
        <f>$P$43</f>
        <v>Tax Year 1</v>
      </c>
      <c r="Q2067" s="339"/>
      <c r="R2067" s="338">
        <f>$AD$1988</f>
        <v>-2.2499999999999999E-2</v>
      </c>
      <c r="S2067" s="339"/>
      <c r="Z2067" s="294">
        <f>R2067*SUM(Z2052:Z2057,Z2065)</f>
        <v>-107084.02499999999</v>
      </c>
    </row>
    <row r="2068" spans="1:29">
      <c r="B2068" s="317"/>
      <c r="G2068" s="338"/>
      <c r="H2068" s="339"/>
      <c r="L2068" s="338"/>
      <c r="M2068" s="339"/>
      <c r="N2068" s="338"/>
      <c r="O2068" s="339"/>
      <c r="P2068" s="359" t="str">
        <f>$P$44</f>
        <v>Tax Year 2</v>
      </c>
      <c r="Q2068" s="339"/>
      <c r="R2068" s="338">
        <f>$AD$1989</f>
        <v>-1.12E-2</v>
      </c>
      <c r="S2068" s="339"/>
      <c r="Z2068" s="294">
        <f>R2068*SUM(Z2052:Z2057,Z2065)</f>
        <v>-53304.048000000003</v>
      </c>
    </row>
    <row r="2069" spans="1:29">
      <c r="B2069" s="353" t="s">
        <v>1082</v>
      </c>
      <c r="D2069" s="293">
        <f>'[7]23'!AL25</f>
        <v>-4490</v>
      </c>
      <c r="E2069" s="355">
        <f>ROUND(D2069/(D2070-D2069)*E2070,0)</f>
        <v>-4411</v>
      </c>
      <c r="G2069" s="338"/>
      <c r="H2069" s="339"/>
      <c r="L2069" s="338"/>
      <c r="M2069" s="339"/>
      <c r="N2069" s="338"/>
      <c r="O2069" s="339"/>
      <c r="P2069" s="338"/>
      <c r="Q2069" s="339"/>
      <c r="R2069" s="338"/>
      <c r="S2069" s="339"/>
    </row>
    <row r="2070" spans="1:29" ht="16.5" thickBot="1">
      <c r="B2070" s="317" t="s">
        <v>937</v>
      </c>
      <c r="D2070" s="381">
        <f>SUM(D2061:D2065,D2066:D2069)</f>
        <v>52668437</v>
      </c>
      <c r="E2070" s="381">
        <f>[7]Energy!P66</f>
        <v>51746084.771338336</v>
      </c>
      <c r="G2070" s="368"/>
      <c r="I2070" s="369">
        <f>SUM(I2049:I2067)</f>
        <v>5116081.5811999999</v>
      </c>
      <c r="J2070" s="369">
        <f>SUM(J2049:J2067)</f>
        <v>5035108.4945</v>
      </c>
      <c r="L2070" s="368"/>
      <c r="N2070" s="368"/>
      <c r="P2070" s="368"/>
      <c r="R2070" s="368"/>
      <c r="T2070" s="369">
        <f>SUM(T2049:T2066)</f>
        <v>2191770</v>
      </c>
      <c r="V2070" s="369">
        <f>SUM(V2049:V2066)</f>
        <v>1902151</v>
      </c>
      <c r="X2070" s="369">
        <f>SUM(X2049:X2066)</f>
        <v>1038662</v>
      </c>
      <c r="Z2070" s="369">
        <f>SUM(Z2049:Z2066)</f>
        <v>5132582</v>
      </c>
      <c r="AB2070" s="305" t="s">
        <v>939</v>
      </c>
      <c r="AC2070" s="304">
        <f>Z2070/J2070-1</f>
        <v>1.9358769648454066E-2</v>
      </c>
    </row>
    <row r="2072" spans="1:29">
      <c r="A2072" s="292">
        <v>1</v>
      </c>
      <c r="B2072" s="314" t="s">
        <v>1022</v>
      </c>
    </row>
    <row r="2073" spans="1:29">
      <c r="B2073" s="317" t="s">
        <v>1089</v>
      </c>
      <c r="D2073" s="293">
        <f>D2095+D2117+D2139</f>
        <v>15290.919999999989</v>
      </c>
      <c r="E2073" s="293">
        <f>E2095+E2117+E2139</f>
        <v>18738</v>
      </c>
      <c r="G2073" s="318">
        <v>10</v>
      </c>
      <c r="H2073" s="318"/>
      <c r="I2073" s="294">
        <f t="shared" ref="I2073:J2084" si="1135">ROUND($G2073*D2073,0)</f>
        <v>152909</v>
      </c>
      <c r="J2073" s="294">
        <f t="shared" si="1135"/>
        <v>187380</v>
      </c>
      <c r="L2073" s="318">
        <f>L1977</f>
        <v>10</v>
      </c>
      <c r="M2073" s="318"/>
      <c r="N2073" s="318">
        <f>N1977</f>
        <v>0</v>
      </c>
      <c r="O2073" s="318"/>
      <c r="P2073" s="318">
        <f>P1977</f>
        <v>0</v>
      </c>
      <c r="Q2073" s="318"/>
      <c r="R2073" s="318">
        <f t="shared" ref="R2073:R2081" si="1136">R1977</f>
        <v>10</v>
      </c>
      <c r="S2073" s="318"/>
      <c r="T2073" s="294">
        <f t="shared" ref="T2073:T2077" si="1137">ROUND($E2073*L2073,0)</f>
        <v>187380</v>
      </c>
      <c r="V2073" s="294">
        <f t="shared" ref="V2073:V2077" si="1138">ROUND($E2073*N2073,0)</f>
        <v>0</v>
      </c>
      <c r="X2073" s="294">
        <f t="shared" ref="X2073:X2077" si="1139">ROUND($E2073*P2073,0)</f>
        <v>0</v>
      </c>
      <c r="Y2073" s="319"/>
      <c r="Z2073" s="294">
        <f>ROUND($E2073*R2073,0)</f>
        <v>187380</v>
      </c>
    </row>
    <row r="2074" spans="1:29">
      <c r="B2074" s="317" t="s">
        <v>1099</v>
      </c>
      <c r="D2074" s="293">
        <f t="shared" ref="D2074:E2089" si="1140">D2096+D2118+D2140</f>
        <v>0</v>
      </c>
      <c r="E2074" s="293">
        <f>E2096+E2118+E2140</f>
        <v>0</v>
      </c>
      <c r="G2074" s="318">
        <v>120</v>
      </c>
      <c r="H2074" s="318"/>
      <c r="I2074" s="294">
        <f t="shared" si="1135"/>
        <v>0</v>
      </c>
      <c r="J2074" s="294">
        <f t="shared" si="1135"/>
        <v>0</v>
      </c>
      <c r="L2074" s="318">
        <f t="shared" ref="L2074:L2081" si="1141">L1978</f>
        <v>119</v>
      </c>
      <c r="M2074" s="318"/>
      <c r="N2074" s="318">
        <f t="shared" ref="N2074:N2081" si="1142">N1978</f>
        <v>0</v>
      </c>
      <c r="O2074" s="318"/>
      <c r="P2074" s="318">
        <f t="shared" ref="P2074:P2081" si="1143">P1978</f>
        <v>0</v>
      </c>
      <c r="Q2074" s="318"/>
      <c r="R2074" s="318">
        <f t="shared" si="1136"/>
        <v>119</v>
      </c>
      <c r="S2074" s="318"/>
      <c r="T2074" s="294">
        <f t="shared" si="1137"/>
        <v>0</v>
      </c>
      <c r="V2074" s="294">
        <f t="shared" si="1138"/>
        <v>0</v>
      </c>
      <c r="X2074" s="294">
        <f t="shared" si="1139"/>
        <v>0</v>
      </c>
      <c r="Y2074" s="319"/>
      <c r="Z2074" s="294">
        <f t="shared" ref="Z2074:Z2077" si="1144">ROUND($E2074*R2074,0)</f>
        <v>0</v>
      </c>
    </row>
    <row r="2075" spans="1:29">
      <c r="B2075" s="317" t="s">
        <v>1100</v>
      </c>
      <c r="D2075" s="293">
        <f t="shared" si="1140"/>
        <v>8.2669999999999995</v>
      </c>
      <c r="E2075" s="293">
        <f>E2097+E2119+E2141</f>
        <v>10</v>
      </c>
      <c r="G2075" s="339">
        <v>10</v>
      </c>
      <c r="H2075" s="339"/>
      <c r="I2075" s="294">
        <f t="shared" si="1135"/>
        <v>83</v>
      </c>
      <c r="J2075" s="294">
        <f t="shared" si="1135"/>
        <v>100</v>
      </c>
      <c r="L2075" s="339">
        <f t="shared" si="1141"/>
        <v>10</v>
      </c>
      <c r="M2075" s="339"/>
      <c r="N2075" s="339">
        <f t="shared" si="1142"/>
        <v>0</v>
      </c>
      <c r="O2075" s="339"/>
      <c r="P2075" s="339">
        <f t="shared" si="1143"/>
        <v>0</v>
      </c>
      <c r="Q2075" s="339"/>
      <c r="R2075" s="339">
        <f t="shared" si="1136"/>
        <v>10</v>
      </c>
      <c r="S2075" s="339"/>
      <c r="T2075" s="294">
        <f t="shared" si="1137"/>
        <v>100</v>
      </c>
      <c r="V2075" s="294">
        <f t="shared" si="1138"/>
        <v>0</v>
      </c>
      <c r="X2075" s="294">
        <f t="shared" si="1139"/>
        <v>0</v>
      </c>
      <c r="Z2075" s="294">
        <f t="shared" si="1144"/>
        <v>100</v>
      </c>
    </row>
    <row r="2076" spans="1:29">
      <c r="B2076" s="317" t="s">
        <v>1316</v>
      </c>
      <c r="D2076" s="293">
        <f t="shared" si="1140"/>
        <v>5242.5390358493651</v>
      </c>
      <c r="E2076" s="293">
        <f t="shared" si="1140"/>
        <v>6794</v>
      </c>
      <c r="G2076" s="339"/>
      <c r="H2076" s="339"/>
      <c r="L2076" s="339">
        <f t="shared" si="1141"/>
        <v>9.07</v>
      </c>
      <c r="M2076" s="339"/>
      <c r="N2076" s="339">
        <f t="shared" si="1142"/>
        <v>0</v>
      </c>
      <c r="O2076" s="339"/>
      <c r="P2076" s="339">
        <f t="shared" si="1143"/>
        <v>0</v>
      </c>
      <c r="Q2076" s="339"/>
      <c r="R2076" s="339">
        <f t="shared" si="1136"/>
        <v>9.07</v>
      </c>
      <c r="S2076" s="339"/>
      <c r="T2076" s="294">
        <f t="shared" si="1137"/>
        <v>61622</v>
      </c>
      <c r="V2076" s="294">
        <f t="shared" si="1138"/>
        <v>0</v>
      </c>
      <c r="X2076" s="294">
        <f t="shared" si="1139"/>
        <v>0</v>
      </c>
      <c r="Z2076" s="294">
        <f t="shared" si="1144"/>
        <v>61622</v>
      </c>
    </row>
    <row r="2077" spans="1:29">
      <c r="B2077" s="317" t="s">
        <v>1317</v>
      </c>
      <c r="D2077" s="293">
        <f t="shared" si="1140"/>
        <v>7485.8636749339703</v>
      </c>
      <c r="E2077" s="293">
        <f t="shared" si="1140"/>
        <v>9813</v>
      </c>
      <c r="G2077" s="339"/>
      <c r="H2077" s="339"/>
      <c r="L2077" s="339">
        <f t="shared" si="1141"/>
        <v>8.0299999999999994</v>
      </c>
      <c r="M2077" s="339"/>
      <c r="N2077" s="339">
        <f t="shared" si="1142"/>
        <v>0</v>
      </c>
      <c r="O2077" s="339"/>
      <c r="P2077" s="339">
        <f t="shared" si="1143"/>
        <v>0</v>
      </c>
      <c r="Q2077" s="339"/>
      <c r="R2077" s="339">
        <f t="shared" si="1136"/>
        <v>8.0299999999999994</v>
      </c>
      <c r="S2077" s="339"/>
      <c r="T2077" s="294">
        <f t="shared" si="1137"/>
        <v>78798</v>
      </c>
      <c r="V2077" s="294">
        <f t="shared" si="1138"/>
        <v>0</v>
      </c>
      <c r="X2077" s="294">
        <f t="shared" si="1139"/>
        <v>0</v>
      </c>
      <c r="Z2077" s="294">
        <f t="shared" si="1144"/>
        <v>78798</v>
      </c>
    </row>
    <row r="2078" spans="1:29">
      <c r="B2078" s="317" t="s">
        <v>1318</v>
      </c>
      <c r="D2078" s="293">
        <f t="shared" si="1140"/>
        <v>1451255.3257046135</v>
      </c>
      <c r="E2078" s="293">
        <f t="shared" si="1140"/>
        <v>2193839.9420763389</v>
      </c>
      <c r="G2078" s="377"/>
      <c r="H2078" s="343"/>
      <c r="L2078" s="377">
        <f t="shared" si="1141"/>
        <v>2.9339</v>
      </c>
      <c r="M2078" s="343" t="s">
        <v>1062</v>
      </c>
      <c r="N2078" s="377">
        <f t="shared" si="1142"/>
        <v>6.8490496173940008</v>
      </c>
      <c r="O2078" s="343" t="s">
        <v>1062</v>
      </c>
      <c r="P2078" s="377">
        <f t="shared" si="1143"/>
        <v>2.1261000000000001</v>
      </c>
      <c r="Q2078" s="343" t="s">
        <v>1062</v>
      </c>
      <c r="R2078" s="377">
        <f t="shared" si="1136"/>
        <v>11.909049617394</v>
      </c>
      <c r="S2078" s="343" t="s">
        <v>1062</v>
      </c>
      <c r="T2078" s="294">
        <f>ROUND($E2078*L2078/100,0)</f>
        <v>64365</v>
      </c>
      <c r="U2078" s="346"/>
      <c r="V2078" s="294">
        <f>ROUND($E2078*N2078/100,0)</f>
        <v>150257</v>
      </c>
      <c r="W2078" s="346"/>
      <c r="X2078" s="294">
        <f>ROUND($E2078*P2078/100,0)</f>
        <v>46643</v>
      </c>
      <c r="Y2078" s="346"/>
      <c r="Z2078" s="294">
        <f>ROUND($E2078*R2078/100,0)</f>
        <v>261265</v>
      </c>
    </row>
    <row r="2079" spans="1:29">
      <c r="B2079" s="317" t="s">
        <v>1319</v>
      </c>
      <c r="D2079" s="293">
        <f t="shared" si="1140"/>
        <v>1460637.2809257735</v>
      </c>
      <c r="E2079" s="293">
        <f t="shared" si="1140"/>
        <v>2240351</v>
      </c>
      <c r="G2079" s="377"/>
      <c r="H2079" s="343"/>
      <c r="L2079" s="377">
        <f t="shared" si="1141"/>
        <v>2.9339</v>
      </c>
      <c r="M2079" s="343" t="s">
        <v>1062</v>
      </c>
      <c r="N2079" s="377">
        <f t="shared" si="1142"/>
        <v>1.6937496173940008</v>
      </c>
      <c r="O2079" s="343" t="s">
        <v>1062</v>
      </c>
      <c r="P2079" s="377">
        <f t="shared" si="1143"/>
        <v>2.1261000000000001</v>
      </c>
      <c r="Q2079" s="343" t="s">
        <v>1062</v>
      </c>
      <c r="R2079" s="377">
        <f t="shared" si="1136"/>
        <v>6.7537496173940008</v>
      </c>
      <c r="S2079" s="343" t="s">
        <v>1062</v>
      </c>
      <c r="T2079" s="294">
        <f t="shared" ref="T2079:T2081" si="1145">ROUND($E2079*L2079/100,0)</f>
        <v>65730</v>
      </c>
      <c r="U2079" s="346"/>
      <c r="V2079" s="294">
        <f t="shared" ref="V2079:V2081" si="1146">ROUND($E2079*N2079/100,0)</f>
        <v>37946</v>
      </c>
      <c r="W2079" s="346"/>
      <c r="X2079" s="294">
        <f t="shared" ref="X2079:X2081" si="1147">ROUND($E2079*P2079/100,0)</f>
        <v>47632</v>
      </c>
      <c r="Y2079" s="346"/>
      <c r="Z2079" s="294">
        <f t="shared" ref="Z2079:Z2081" si="1148">ROUND($E2079*R2079/100,0)</f>
        <v>151308</v>
      </c>
    </row>
    <row r="2080" spans="1:29">
      <c r="B2080" s="317" t="s">
        <v>1320</v>
      </c>
      <c r="D2080" s="293">
        <f t="shared" si="1140"/>
        <v>4372182.9192844722</v>
      </c>
      <c r="E2080" s="293">
        <f t="shared" si="1140"/>
        <v>5247056</v>
      </c>
      <c r="G2080" s="377"/>
      <c r="H2080" s="343"/>
      <c r="L2080" s="377">
        <f t="shared" si="1141"/>
        <v>2.9339</v>
      </c>
      <c r="M2080" s="343" t="s">
        <v>1062</v>
      </c>
      <c r="N2080" s="377">
        <f t="shared" si="1142"/>
        <v>5.6569000000000003</v>
      </c>
      <c r="O2080" s="343" t="s">
        <v>1062</v>
      </c>
      <c r="P2080" s="377">
        <f t="shared" si="1143"/>
        <v>1.9481999999999999</v>
      </c>
      <c r="Q2080" s="343" t="s">
        <v>1062</v>
      </c>
      <c r="R2080" s="377">
        <f t="shared" si="1136"/>
        <v>10.539</v>
      </c>
      <c r="S2080" s="343" t="s">
        <v>1062</v>
      </c>
      <c r="T2080" s="294">
        <f t="shared" si="1145"/>
        <v>153943</v>
      </c>
      <c r="U2080" s="346"/>
      <c r="V2080" s="294">
        <f t="shared" si="1146"/>
        <v>296821</v>
      </c>
      <c r="W2080" s="346"/>
      <c r="X2080" s="294">
        <f t="shared" si="1147"/>
        <v>102223</v>
      </c>
      <c r="Y2080" s="346"/>
      <c r="Z2080" s="294">
        <f t="shared" si="1148"/>
        <v>552987</v>
      </c>
    </row>
    <row r="2081" spans="1:29">
      <c r="B2081" s="317" t="s">
        <v>1321</v>
      </c>
      <c r="D2081" s="293">
        <f t="shared" si="1140"/>
        <v>3899689.2540909215</v>
      </c>
      <c r="E2081" s="293">
        <f t="shared" si="1140"/>
        <v>4722287</v>
      </c>
      <c r="G2081" s="377"/>
      <c r="H2081" s="343"/>
      <c r="L2081" s="377">
        <f t="shared" si="1141"/>
        <v>2.9339</v>
      </c>
      <c r="M2081" s="343" t="s">
        <v>1062</v>
      </c>
      <c r="N2081" s="377">
        <f t="shared" si="1142"/>
        <v>1.0947</v>
      </c>
      <c r="O2081" s="343" t="s">
        <v>1062</v>
      </c>
      <c r="P2081" s="377">
        <f t="shared" si="1143"/>
        <v>1.9481999999999999</v>
      </c>
      <c r="Q2081" s="343" t="s">
        <v>1062</v>
      </c>
      <c r="R2081" s="377">
        <f t="shared" si="1136"/>
        <v>5.9767999999999999</v>
      </c>
      <c r="S2081" s="343" t="s">
        <v>1062</v>
      </c>
      <c r="T2081" s="294">
        <f t="shared" si="1145"/>
        <v>138547</v>
      </c>
      <c r="U2081" s="346"/>
      <c r="V2081" s="294">
        <f t="shared" si="1146"/>
        <v>51695</v>
      </c>
      <c r="W2081" s="346"/>
      <c r="X2081" s="294">
        <f t="shared" si="1147"/>
        <v>92000</v>
      </c>
      <c r="Y2081" s="346"/>
      <c r="Z2081" s="294">
        <f t="shared" si="1148"/>
        <v>282242</v>
      </c>
    </row>
    <row r="2082" spans="1:29">
      <c r="B2082" s="317" t="s">
        <v>1323</v>
      </c>
      <c r="D2082" s="293">
        <f t="shared" si="1140"/>
        <v>6046.6716763005797</v>
      </c>
      <c r="E2082" s="293">
        <f t="shared" si="1140"/>
        <v>7841</v>
      </c>
      <c r="G2082" s="318">
        <v>8.65</v>
      </c>
      <c r="H2082" s="318"/>
      <c r="I2082" s="294">
        <f t="shared" si="1135"/>
        <v>52304</v>
      </c>
      <c r="J2082" s="294">
        <f t="shared" si="1135"/>
        <v>67825</v>
      </c>
      <c r="L2082" s="318"/>
      <c r="M2082" s="318"/>
      <c r="N2082" s="318"/>
      <c r="O2082" s="318"/>
      <c r="P2082" s="318"/>
      <c r="Q2082" s="318"/>
      <c r="R2082" s="318"/>
      <c r="S2082" s="318"/>
      <c r="Y2082" s="319"/>
    </row>
    <row r="2083" spans="1:29">
      <c r="B2083" s="317" t="s">
        <v>1324</v>
      </c>
      <c r="D2083" s="293">
        <f t="shared" si="1140"/>
        <v>6681.7310344827556</v>
      </c>
      <c r="E2083" s="293">
        <f t="shared" si="1140"/>
        <v>8766</v>
      </c>
      <c r="G2083" s="318">
        <v>8.7000000000000011</v>
      </c>
      <c r="H2083" s="318"/>
      <c r="I2083" s="294">
        <f t="shared" si="1135"/>
        <v>58131</v>
      </c>
      <c r="J2083" s="294">
        <f t="shared" si="1135"/>
        <v>76264</v>
      </c>
      <c r="L2083" s="318"/>
      <c r="M2083" s="318"/>
      <c r="N2083" s="318"/>
      <c r="O2083" s="318"/>
      <c r="P2083" s="318"/>
      <c r="Q2083" s="318"/>
      <c r="R2083" s="318"/>
      <c r="S2083" s="318"/>
      <c r="Y2083" s="319"/>
    </row>
    <row r="2084" spans="1:29">
      <c r="B2084" s="317" t="s">
        <v>1098</v>
      </c>
      <c r="D2084" s="293">
        <f t="shared" si="1140"/>
        <v>0</v>
      </c>
      <c r="E2084" s="293">
        <f t="shared" si="1140"/>
        <v>0</v>
      </c>
      <c r="G2084" s="318">
        <v>-0.48</v>
      </c>
      <c r="H2084" s="318"/>
      <c r="I2084" s="294">
        <f t="shared" si="1135"/>
        <v>0</v>
      </c>
      <c r="J2084" s="294">
        <f t="shared" si="1135"/>
        <v>0</v>
      </c>
      <c r="L2084" s="318">
        <f>L1988</f>
        <v>-0.48</v>
      </c>
      <c r="M2084" s="318"/>
      <c r="N2084" s="318">
        <f>N1988</f>
        <v>0</v>
      </c>
      <c r="O2084" s="318"/>
      <c r="P2084" s="318">
        <f>P1988</f>
        <v>0</v>
      </c>
      <c r="Q2084" s="318"/>
      <c r="R2084" s="318">
        <f>R1988</f>
        <v>-0.48</v>
      </c>
      <c r="S2084" s="318"/>
      <c r="T2084" s="294">
        <f t="shared" ref="T2084" si="1149">ROUND($E2084*L2084,0)</f>
        <v>0</v>
      </c>
      <c r="V2084" s="294">
        <f t="shared" ref="V2084" si="1150">ROUND($E2084*N2084,0)</f>
        <v>0</v>
      </c>
      <c r="X2084" s="294">
        <f t="shared" ref="X2084" si="1151">ROUND($E2084*P2084,0)</f>
        <v>0</v>
      </c>
      <c r="Y2084" s="319"/>
      <c r="Z2084" s="294">
        <f t="shared" ref="Z2084" si="1152">ROUND($E2084*R2084,0)</f>
        <v>0</v>
      </c>
    </row>
    <row r="2085" spans="1:29">
      <c r="B2085" s="317" t="s">
        <v>1325</v>
      </c>
      <c r="D2085" s="293">
        <f t="shared" si="1140"/>
        <v>1744090.8515496962</v>
      </c>
      <c r="E2085" s="293">
        <f t="shared" si="1140"/>
        <v>2609824.9420763389</v>
      </c>
      <c r="G2085" s="350">
        <v>11.733599999999999</v>
      </c>
      <c r="H2085" s="343" t="s">
        <v>1062</v>
      </c>
      <c r="I2085" s="294">
        <f t="shared" ref="I2085:J2088" si="1153">ROUND($G2085*D2085/100,0)</f>
        <v>204645</v>
      </c>
      <c r="J2085" s="294">
        <f t="shared" si="1153"/>
        <v>306226</v>
      </c>
      <c r="L2085" s="350"/>
      <c r="M2085" s="343"/>
      <c r="N2085" s="350"/>
      <c r="O2085" s="343"/>
      <c r="P2085" s="350"/>
      <c r="Q2085" s="343"/>
      <c r="R2085" s="350"/>
      <c r="S2085" s="343"/>
      <c r="T2085" s="346"/>
      <c r="U2085" s="346"/>
      <c r="V2085" s="346"/>
      <c r="W2085" s="346"/>
      <c r="X2085" s="346"/>
      <c r="Y2085" s="346"/>
    </row>
    <row r="2086" spans="1:29">
      <c r="B2086" s="317" t="s">
        <v>1326</v>
      </c>
      <c r="D2086" s="293">
        <f t="shared" si="1140"/>
        <v>1663397.9178585962</v>
      </c>
      <c r="E2086" s="293">
        <f t="shared" si="1140"/>
        <v>2499478</v>
      </c>
      <c r="G2086" s="350">
        <v>6.5782999999999996</v>
      </c>
      <c r="H2086" s="343" t="s">
        <v>1062</v>
      </c>
      <c r="I2086" s="294">
        <f t="shared" si="1153"/>
        <v>109423</v>
      </c>
      <c r="J2086" s="294">
        <f t="shared" si="1153"/>
        <v>164423</v>
      </c>
      <c r="L2086" s="350"/>
      <c r="M2086" s="343"/>
      <c r="N2086" s="350"/>
      <c r="O2086" s="343"/>
      <c r="P2086" s="350"/>
      <c r="Q2086" s="343"/>
      <c r="R2086" s="350"/>
      <c r="S2086" s="343"/>
      <c r="T2086" s="346"/>
      <c r="U2086" s="346"/>
      <c r="V2086" s="346"/>
      <c r="W2086" s="346"/>
      <c r="X2086" s="346"/>
      <c r="Y2086" s="346"/>
    </row>
    <row r="2087" spans="1:29">
      <c r="B2087" s="317" t="s">
        <v>1327</v>
      </c>
      <c r="D2087" s="293">
        <f t="shared" si="1140"/>
        <v>4079347.3934393898</v>
      </c>
      <c r="E2087" s="293">
        <f t="shared" si="1140"/>
        <v>4852798</v>
      </c>
      <c r="G2087" s="350">
        <v>10.8</v>
      </c>
      <c r="H2087" s="343" t="s">
        <v>1062</v>
      </c>
      <c r="I2087" s="294">
        <f t="shared" si="1153"/>
        <v>440570</v>
      </c>
      <c r="J2087" s="294">
        <f t="shared" si="1153"/>
        <v>524102</v>
      </c>
      <c r="L2087" s="350"/>
      <c r="M2087" s="343"/>
      <c r="N2087" s="350"/>
      <c r="O2087" s="343"/>
      <c r="P2087" s="350"/>
      <c r="Q2087" s="343"/>
      <c r="R2087" s="350"/>
      <c r="S2087" s="343"/>
      <c r="T2087" s="346"/>
      <c r="U2087" s="346"/>
      <c r="V2087" s="346"/>
      <c r="W2087" s="346"/>
      <c r="X2087" s="346"/>
      <c r="Y2087" s="346"/>
    </row>
    <row r="2088" spans="1:29">
      <c r="B2088" s="317" t="s">
        <v>1328</v>
      </c>
      <c r="D2088" s="293">
        <f t="shared" si="1140"/>
        <v>3696928.6171580991</v>
      </c>
      <c r="E2088" s="293">
        <f t="shared" si="1140"/>
        <v>4441433</v>
      </c>
      <c r="G2088" s="350">
        <v>6.0567000000000002</v>
      </c>
      <c r="H2088" s="343" t="s">
        <v>1062</v>
      </c>
      <c r="I2088" s="294">
        <f t="shared" si="1153"/>
        <v>223912</v>
      </c>
      <c r="J2088" s="294">
        <f t="shared" si="1153"/>
        <v>269004</v>
      </c>
      <c r="L2088" s="350"/>
      <c r="M2088" s="343"/>
      <c r="N2088" s="350"/>
      <c r="O2088" s="343"/>
      <c r="P2088" s="350"/>
      <c r="Q2088" s="343"/>
      <c r="R2088" s="350"/>
      <c r="S2088" s="343"/>
      <c r="T2088" s="346"/>
      <c r="U2088" s="346"/>
      <c r="V2088" s="346"/>
      <c r="W2088" s="346"/>
      <c r="X2088" s="346"/>
      <c r="Y2088" s="346"/>
    </row>
    <row r="2089" spans="1:29">
      <c r="B2089" s="317" t="s">
        <v>1078</v>
      </c>
      <c r="D2089" s="357">
        <f t="shared" si="1140"/>
        <v>55962</v>
      </c>
      <c r="E2089" s="357">
        <f t="shared" si="1140"/>
        <v>0</v>
      </c>
      <c r="I2089" s="358">
        <f>I2111+I2133+I2155</f>
        <v>6730</v>
      </c>
      <c r="J2089" s="358">
        <f t="shared" ref="J2089" si="1154">J2111+J2133+J2155</f>
        <v>0</v>
      </c>
      <c r="Z2089" s="358">
        <f t="shared" ref="Z2089" si="1155">Z2111+Z2133+Z2155</f>
        <v>0</v>
      </c>
    </row>
    <row r="2090" spans="1:29">
      <c r="B2090" s="317" t="s">
        <v>1079</v>
      </c>
      <c r="G2090" s="338">
        <v>-3.3099999999999997E-2</v>
      </c>
      <c r="H2090" s="339"/>
      <c r="I2090" s="294">
        <f>SUM(I2082:I2083,I2085:I2088)*$G2090</f>
        <v>-36045.4035</v>
      </c>
      <c r="J2090" s="294">
        <f>SUM(J2082:J2083,J2085:J2088)*$G2090</f>
        <v>-46599.636399999996</v>
      </c>
      <c r="L2090" s="338"/>
      <c r="M2090" s="339"/>
      <c r="N2090" s="338"/>
      <c r="O2090" s="339"/>
      <c r="P2090" s="359" t="str">
        <f>$P$43</f>
        <v>Tax Year 1</v>
      </c>
      <c r="Q2090" s="339"/>
      <c r="R2090" s="338">
        <f>$AD$1988</f>
        <v>-2.2499999999999999E-2</v>
      </c>
      <c r="S2090" s="339"/>
      <c r="Z2090" s="294">
        <f>R2090*SUM(Z2076:Z2081)</f>
        <v>-31234.994999999999</v>
      </c>
    </row>
    <row r="2091" spans="1:29">
      <c r="B2091" s="317"/>
      <c r="G2091" s="338"/>
      <c r="H2091" s="339"/>
      <c r="L2091" s="338"/>
      <c r="M2091" s="339"/>
      <c r="N2091" s="338"/>
      <c r="O2091" s="339"/>
      <c r="P2091" s="359" t="str">
        <f>$P$44</f>
        <v>Tax Year 2</v>
      </c>
      <c r="Q2091" s="339"/>
      <c r="R2091" s="338">
        <f>$AD$1989</f>
        <v>-1.12E-2</v>
      </c>
      <c r="S2091" s="339"/>
      <c r="Z2091" s="294">
        <f>R2091*SUM(Z2076:Z2081)</f>
        <v>-15548.0864</v>
      </c>
    </row>
    <row r="2092" spans="1:29" ht="16.5" thickBot="1">
      <c r="A2092" s="292">
        <v>1</v>
      </c>
      <c r="B2092" s="317" t="s">
        <v>937</v>
      </c>
      <c r="D2092" s="381">
        <f>SUM(D2085:D2089)</f>
        <v>11239726.780005781</v>
      </c>
      <c r="E2092" s="381">
        <f>SUM(E2085:E2089)</f>
        <v>14403533.942076338</v>
      </c>
      <c r="G2092" s="368"/>
      <c r="I2092" s="369">
        <f>SUM(I2073:I2090)</f>
        <v>1212661.5965</v>
      </c>
      <c r="J2092" s="369">
        <f>SUM(J2073:J2090)</f>
        <v>1548724.3636</v>
      </c>
      <c r="L2092" s="368"/>
      <c r="N2092" s="368"/>
      <c r="P2092" s="368"/>
      <c r="Q2092" s="339"/>
      <c r="R2092" s="368"/>
      <c r="S2092" s="339"/>
      <c r="T2092" s="364">
        <f>SUM(T2073:T2089)</f>
        <v>750485</v>
      </c>
      <c r="V2092" s="364">
        <f>SUM(V2073:V2089)</f>
        <v>536719</v>
      </c>
      <c r="X2092" s="364">
        <f>SUM(X2073:X2089)</f>
        <v>288498</v>
      </c>
      <c r="Z2092" s="364">
        <f>SUM(Z2073:Z2089)</f>
        <v>1575702</v>
      </c>
      <c r="AB2092" s="305" t="s">
        <v>939</v>
      </c>
      <c r="AC2092" s="304">
        <f>Z2092/J2092-1</f>
        <v>1.7419262609965402E-2</v>
      </c>
    </row>
    <row r="2093" spans="1:29" ht="16.5" thickTop="1">
      <c r="A2093" s="292">
        <v>1</v>
      </c>
    </row>
    <row r="2094" spans="1:29">
      <c r="B2094" s="314" t="s">
        <v>1023</v>
      </c>
    </row>
    <row r="2095" spans="1:29">
      <c r="B2095" s="317" t="s">
        <v>1089</v>
      </c>
      <c r="D2095" s="293">
        <f>'[7]23'!G30</f>
        <v>5239.5230000000001</v>
      </c>
      <c r="E2095" s="293">
        <f>[7]Bill!P22</f>
        <v>5916</v>
      </c>
      <c r="G2095" s="339">
        <v>10</v>
      </c>
      <c r="H2095" s="339"/>
      <c r="I2095" s="294">
        <f t="shared" ref="I2095:J2106" si="1156">ROUND($G2095*D2095,0)</f>
        <v>52395</v>
      </c>
      <c r="J2095" s="294">
        <f t="shared" si="1156"/>
        <v>59160</v>
      </c>
      <c r="L2095" s="339">
        <f>L2073</f>
        <v>10</v>
      </c>
      <c r="M2095" s="339"/>
      <c r="N2095" s="339">
        <f>N2073</f>
        <v>0</v>
      </c>
      <c r="O2095" s="339"/>
      <c r="P2095" s="339">
        <f>P2073</f>
        <v>0</v>
      </c>
      <c r="Q2095" s="339"/>
      <c r="R2095" s="339">
        <f t="shared" ref="R2095:R2103" si="1157">R2073</f>
        <v>10</v>
      </c>
      <c r="S2095" s="339"/>
      <c r="T2095" s="294">
        <f t="shared" ref="T2095:T2099" si="1158">ROUND($E2095*L2095,0)</f>
        <v>59160</v>
      </c>
      <c r="V2095" s="294">
        <f t="shared" ref="V2095:V2099" si="1159">ROUND($E2095*N2095,0)</f>
        <v>0</v>
      </c>
      <c r="X2095" s="294">
        <f t="shared" ref="X2095:X2099" si="1160">ROUND($E2095*P2095,0)</f>
        <v>0</v>
      </c>
      <c r="Z2095" s="294">
        <f>ROUND($E2095*R2095,0)</f>
        <v>59160</v>
      </c>
    </row>
    <row r="2096" spans="1:29">
      <c r="B2096" s="317" t="s">
        <v>1099</v>
      </c>
      <c r="D2096" s="293">
        <v>0</v>
      </c>
      <c r="E2096" s="293">
        <f>ROUND(D2096/D2095*E2095,0)</f>
        <v>0</v>
      </c>
      <c r="G2096" s="339">
        <v>120</v>
      </c>
      <c r="H2096" s="339"/>
      <c r="I2096" s="294">
        <f t="shared" si="1156"/>
        <v>0</v>
      </c>
      <c r="J2096" s="294">
        <f t="shared" si="1156"/>
        <v>0</v>
      </c>
      <c r="L2096" s="339">
        <f t="shared" ref="L2096:L2103" si="1161">L2074</f>
        <v>119</v>
      </c>
      <c r="M2096" s="339"/>
      <c r="N2096" s="339">
        <f t="shared" ref="N2096:N2103" si="1162">N2074</f>
        <v>0</v>
      </c>
      <c r="O2096" s="339"/>
      <c r="P2096" s="339">
        <f t="shared" ref="P2096:P2103" si="1163">P2074</f>
        <v>0</v>
      </c>
      <c r="Q2096" s="339"/>
      <c r="R2096" s="339">
        <f t="shared" si="1157"/>
        <v>119</v>
      </c>
      <c r="S2096" s="339"/>
      <c r="T2096" s="294">
        <f t="shared" si="1158"/>
        <v>0</v>
      </c>
      <c r="V2096" s="294">
        <f t="shared" si="1159"/>
        <v>0</v>
      </c>
      <c r="X2096" s="294">
        <f t="shared" si="1160"/>
        <v>0</v>
      </c>
      <c r="Z2096" s="294">
        <f t="shared" ref="Z2096:Z2099" si="1164">ROUND($E2096*R2096,0)</f>
        <v>0</v>
      </c>
    </row>
    <row r="2097" spans="2:26">
      <c r="B2097" s="317" t="s">
        <v>1100</v>
      </c>
      <c r="D2097" s="293">
        <f>'[7]23'!AH30</f>
        <v>0</v>
      </c>
      <c r="E2097" s="293">
        <f>ROUND(D2097/D2095*E2095,0)</f>
        <v>0</v>
      </c>
      <c r="G2097" s="339">
        <v>10</v>
      </c>
      <c r="H2097" s="339"/>
      <c r="I2097" s="294">
        <f t="shared" si="1156"/>
        <v>0</v>
      </c>
      <c r="J2097" s="294">
        <f t="shared" si="1156"/>
        <v>0</v>
      </c>
      <c r="L2097" s="339">
        <f t="shared" si="1161"/>
        <v>10</v>
      </c>
      <c r="M2097" s="339"/>
      <c r="N2097" s="339">
        <f t="shared" si="1162"/>
        <v>0</v>
      </c>
      <c r="O2097" s="339"/>
      <c r="P2097" s="339">
        <f t="shared" si="1163"/>
        <v>0</v>
      </c>
      <c r="Q2097" s="339"/>
      <c r="R2097" s="339">
        <f t="shared" si="1157"/>
        <v>10</v>
      </c>
      <c r="S2097" s="339"/>
      <c r="T2097" s="294">
        <f t="shared" si="1158"/>
        <v>0</v>
      </c>
      <c r="V2097" s="294">
        <f t="shared" si="1159"/>
        <v>0</v>
      </c>
      <c r="X2097" s="294">
        <f t="shared" si="1160"/>
        <v>0</v>
      </c>
      <c r="Z2097" s="294">
        <f t="shared" si="1164"/>
        <v>0</v>
      </c>
    </row>
    <row r="2098" spans="2:26">
      <c r="B2098" s="317" t="s">
        <v>1316</v>
      </c>
      <c r="D2098" s="293">
        <f>'[7]23'!I30+'[7]23-may'!I30</f>
        <v>222.12270686046583</v>
      </c>
      <c r="E2098" s="293">
        <f>ROUND(D2098/D2114*E2114,0)</f>
        <v>270</v>
      </c>
      <c r="G2098" s="339"/>
      <c r="H2098" s="339"/>
      <c r="L2098" s="339">
        <f t="shared" si="1161"/>
        <v>9.07</v>
      </c>
      <c r="M2098" s="339"/>
      <c r="N2098" s="339">
        <f t="shared" si="1162"/>
        <v>0</v>
      </c>
      <c r="O2098" s="339"/>
      <c r="P2098" s="339">
        <f t="shared" si="1163"/>
        <v>0</v>
      </c>
      <c r="Q2098" s="339"/>
      <c r="R2098" s="339">
        <f t="shared" si="1157"/>
        <v>9.07</v>
      </c>
      <c r="S2098" s="339"/>
      <c r="T2098" s="294">
        <f t="shared" si="1158"/>
        <v>2449</v>
      </c>
      <c r="V2098" s="294">
        <f t="shared" si="1159"/>
        <v>0</v>
      </c>
      <c r="X2098" s="294">
        <f t="shared" si="1160"/>
        <v>0</v>
      </c>
      <c r="Z2098" s="294">
        <f t="shared" si="1164"/>
        <v>2449</v>
      </c>
    </row>
    <row r="2099" spans="2:26">
      <c r="B2099" s="317" t="s">
        <v>1317</v>
      </c>
      <c r="D2099" s="293">
        <f>'[7]23'!J30+'[7]23-may'!J30</f>
        <v>133.7447637394952</v>
      </c>
      <c r="E2099" s="293">
        <f>ROUND(D2099/D2114*E2114,0)</f>
        <v>162</v>
      </c>
      <c r="G2099" s="339"/>
      <c r="H2099" s="339"/>
      <c r="L2099" s="339">
        <f t="shared" si="1161"/>
        <v>8.0299999999999994</v>
      </c>
      <c r="M2099" s="339"/>
      <c r="N2099" s="339">
        <f t="shared" si="1162"/>
        <v>0</v>
      </c>
      <c r="O2099" s="339"/>
      <c r="P2099" s="339">
        <f t="shared" si="1163"/>
        <v>0</v>
      </c>
      <c r="Q2099" s="339"/>
      <c r="R2099" s="339">
        <f t="shared" si="1157"/>
        <v>8.0299999999999994</v>
      </c>
      <c r="S2099" s="339"/>
      <c r="T2099" s="294">
        <f t="shared" si="1158"/>
        <v>1301</v>
      </c>
      <c r="V2099" s="294">
        <f t="shared" si="1159"/>
        <v>0</v>
      </c>
      <c r="X2099" s="294">
        <f t="shared" si="1160"/>
        <v>0</v>
      </c>
      <c r="Z2099" s="294">
        <f t="shared" si="1164"/>
        <v>1301</v>
      </c>
    </row>
    <row r="2100" spans="2:26">
      <c r="B2100" s="317" t="s">
        <v>1318</v>
      </c>
      <c r="D2100" s="293">
        <f>'[7]23'!N30+[7]TempRevMay!M327+'[7]23-may'!N30</f>
        <v>95962.379692517949</v>
      </c>
      <c r="E2100" s="293">
        <f>E2114-SUM(E2101:F2103)</f>
        <v>307704.4796706466</v>
      </c>
      <c r="G2100" s="377"/>
      <c r="H2100" s="343"/>
      <c r="L2100" s="377">
        <f t="shared" si="1161"/>
        <v>2.9339</v>
      </c>
      <c r="M2100" s="343" t="s">
        <v>1062</v>
      </c>
      <c r="N2100" s="377">
        <f t="shared" si="1162"/>
        <v>6.8490496173940008</v>
      </c>
      <c r="O2100" s="343" t="s">
        <v>1062</v>
      </c>
      <c r="P2100" s="377">
        <f t="shared" si="1163"/>
        <v>2.1261000000000001</v>
      </c>
      <c r="Q2100" s="343" t="s">
        <v>1062</v>
      </c>
      <c r="R2100" s="377">
        <f t="shared" si="1157"/>
        <v>11.909049617394</v>
      </c>
      <c r="S2100" s="343" t="s">
        <v>1062</v>
      </c>
      <c r="T2100" s="294">
        <f>ROUND($E2100*L2100/100,0)</f>
        <v>9028</v>
      </c>
      <c r="U2100" s="346"/>
      <c r="V2100" s="294">
        <f>ROUND($E2100*N2100/100,0)</f>
        <v>21075</v>
      </c>
      <c r="W2100" s="346"/>
      <c r="X2100" s="294">
        <f>ROUND($E2100*P2100/100,0)</f>
        <v>6542</v>
      </c>
      <c r="Y2100" s="346"/>
      <c r="Z2100" s="294">
        <f>ROUND($E2100*R2100/100,0)</f>
        <v>36645</v>
      </c>
    </row>
    <row r="2101" spans="2:26">
      <c r="B2101" s="317" t="s">
        <v>1319</v>
      </c>
      <c r="D2101" s="293">
        <f>'[7]23'!O30+[7]TempRevMay!M328+'[7]23-may'!O30</f>
        <v>119917.48926069601</v>
      </c>
      <c r="E2101" s="293">
        <f>ROUND(D2101/(D2100+D2101)*[7]Energy!S22,0)</f>
        <v>384516</v>
      </c>
      <c r="G2101" s="377"/>
      <c r="H2101" s="343"/>
      <c r="L2101" s="377">
        <f t="shared" si="1161"/>
        <v>2.9339</v>
      </c>
      <c r="M2101" s="343" t="s">
        <v>1062</v>
      </c>
      <c r="N2101" s="377">
        <f t="shared" si="1162"/>
        <v>1.6937496173940008</v>
      </c>
      <c r="O2101" s="343" t="s">
        <v>1062</v>
      </c>
      <c r="P2101" s="377">
        <f t="shared" si="1163"/>
        <v>2.1261000000000001</v>
      </c>
      <c r="Q2101" s="343" t="s">
        <v>1062</v>
      </c>
      <c r="R2101" s="377">
        <f t="shared" si="1157"/>
        <v>6.7537496173940008</v>
      </c>
      <c r="S2101" s="343" t="s">
        <v>1062</v>
      </c>
      <c r="T2101" s="294">
        <f t="shared" ref="T2101:T2103" si="1165">ROUND($E2101*L2101/100,0)</f>
        <v>11281</v>
      </c>
      <c r="U2101" s="346"/>
      <c r="V2101" s="294">
        <f t="shared" ref="V2101:V2103" si="1166">ROUND($E2101*N2101/100,0)</f>
        <v>6513</v>
      </c>
      <c r="W2101" s="346"/>
      <c r="X2101" s="294">
        <f t="shared" ref="X2101:X2103" si="1167">ROUND($E2101*P2101/100,0)</f>
        <v>8175</v>
      </c>
      <c r="Y2101" s="346"/>
      <c r="Z2101" s="294">
        <f t="shared" ref="Z2101:Z2103" si="1168">ROUND($E2101*R2101/100,0)</f>
        <v>25969</v>
      </c>
    </row>
    <row r="2102" spans="2:26">
      <c r="B2102" s="317" t="s">
        <v>1320</v>
      </c>
      <c r="D2102" s="293">
        <f>'[7]23'!Q30+[7]TempRevMay!M329+'[7]23-may'!Q30</f>
        <v>617433.80018048012</v>
      </c>
      <c r="E2102" s="293">
        <f>ROUND(D2102/(D2102+D2103)*[7]Energy!T22,0)</f>
        <v>504602</v>
      </c>
      <c r="G2102" s="377"/>
      <c r="H2102" s="343"/>
      <c r="L2102" s="377">
        <f t="shared" si="1161"/>
        <v>2.9339</v>
      </c>
      <c r="M2102" s="343" t="s">
        <v>1062</v>
      </c>
      <c r="N2102" s="377">
        <f t="shared" si="1162"/>
        <v>5.6569000000000003</v>
      </c>
      <c r="O2102" s="343" t="s">
        <v>1062</v>
      </c>
      <c r="P2102" s="377">
        <f t="shared" si="1163"/>
        <v>1.9481999999999999</v>
      </c>
      <c r="Q2102" s="343" t="s">
        <v>1062</v>
      </c>
      <c r="R2102" s="377">
        <f t="shared" si="1157"/>
        <v>10.539</v>
      </c>
      <c r="S2102" s="343" t="s">
        <v>1062</v>
      </c>
      <c r="T2102" s="294">
        <f t="shared" si="1165"/>
        <v>14805</v>
      </c>
      <c r="U2102" s="346"/>
      <c r="V2102" s="294">
        <f t="shared" si="1166"/>
        <v>28545</v>
      </c>
      <c r="W2102" s="346"/>
      <c r="X2102" s="294">
        <f t="shared" si="1167"/>
        <v>9831</v>
      </c>
      <c r="Y2102" s="346"/>
      <c r="Z2102" s="294">
        <f t="shared" si="1168"/>
        <v>53180</v>
      </c>
    </row>
    <row r="2103" spans="2:26">
      <c r="B2103" s="317" t="s">
        <v>1321</v>
      </c>
      <c r="D2103" s="293">
        <f>'[7]23'!R30+[7]TempRevMay!M330+'[7]23-may'!R30</f>
        <v>443581.35034659156</v>
      </c>
      <c r="E2103" s="293">
        <f>ROUND(D2103/(D2102+D2103)*[7]Energy!T22,0)</f>
        <v>362520</v>
      </c>
      <c r="G2103" s="377"/>
      <c r="H2103" s="343"/>
      <c r="L2103" s="377">
        <f t="shared" si="1161"/>
        <v>2.9339</v>
      </c>
      <c r="M2103" s="343" t="s">
        <v>1062</v>
      </c>
      <c r="N2103" s="377">
        <f t="shared" si="1162"/>
        <v>1.0947</v>
      </c>
      <c r="O2103" s="343" t="s">
        <v>1062</v>
      </c>
      <c r="P2103" s="377">
        <f t="shared" si="1163"/>
        <v>1.9481999999999999</v>
      </c>
      <c r="Q2103" s="343" t="s">
        <v>1062</v>
      </c>
      <c r="R2103" s="377">
        <f t="shared" si="1157"/>
        <v>5.9767999999999999</v>
      </c>
      <c r="S2103" s="343" t="s">
        <v>1062</v>
      </c>
      <c r="T2103" s="294">
        <f t="shared" si="1165"/>
        <v>10636</v>
      </c>
      <c r="U2103" s="346"/>
      <c r="V2103" s="294">
        <f t="shared" si="1166"/>
        <v>3969</v>
      </c>
      <c r="W2103" s="346"/>
      <c r="X2103" s="294">
        <f t="shared" si="1167"/>
        <v>7063</v>
      </c>
      <c r="Y2103" s="346"/>
      <c r="Z2103" s="294">
        <f t="shared" si="1168"/>
        <v>21667</v>
      </c>
    </row>
    <row r="2104" spans="2:26">
      <c r="B2104" s="317" t="s">
        <v>1323</v>
      </c>
      <c r="D2104" s="293">
        <f>'[7]23'!I30</f>
        <v>254.33988439306401</v>
      </c>
      <c r="E2104" s="293">
        <f>ROUND(D2104/D2114*E2114,0)</f>
        <v>309</v>
      </c>
      <c r="G2104" s="339">
        <v>8.65</v>
      </c>
      <c r="H2104" s="339"/>
      <c r="I2104" s="294">
        <f t="shared" si="1156"/>
        <v>2200</v>
      </c>
      <c r="J2104" s="294">
        <f t="shared" si="1156"/>
        <v>2673</v>
      </c>
      <c r="L2104" s="339"/>
      <c r="M2104" s="339"/>
      <c r="N2104" s="339"/>
      <c r="O2104" s="339"/>
      <c r="P2104" s="339"/>
      <c r="Q2104" s="339"/>
      <c r="R2104" s="339"/>
      <c r="S2104" s="339"/>
    </row>
    <row r="2105" spans="2:26">
      <c r="B2105" s="317" t="s">
        <v>1324</v>
      </c>
      <c r="D2105" s="293">
        <f>'[7]23'!J30</f>
        <v>101.527586206897</v>
      </c>
      <c r="E2105" s="293">
        <f>ROUND(D2105/D2114*E2114,0)</f>
        <v>123</v>
      </c>
      <c r="G2105" s="339">
        <v>8.7000000000000011</v>
      </c>
      <c r="H2105" s="339"/>
      <c r="I2105" s="294">
        <f t="shared" si="1156"/>
        <v>883</v>
      </c>
      <c r="J2105" s="294">
        <f t="shared" si="1156"/>
        <v>1070</v>
      </c>
      <c r="L2105" s="339"/>
      <c r="M2105" s="339"/>
      <c r="N2105" s="339"/>
      <c r="O2105" s="339"/>
      <c r="P2105" s="339"/>
      <c r="Q2105" s="339"/>
      <c r="R2105" s="339"/>
      <c r="S2105" s="339"/>
    </row>
    <row r="2106" spans="2:26">
      <c r="B2106" s="317" t="s">
        <v>1098</v>
      </c>
      <c r="D2106" s="293">
        <f>'[7]23'!K30</f>
        <v>0</v>
      </c>
      <c r="E2106" s="293">
        <f>ROUND(D2106/D2114*E2114,0)</f>
        <v>0</v>
      </c>
      <c r="G2106" s="339">
        <v>-0.48</v>
      </c>
      <c r="H2106" s="339"/>
      <c r="I2106" s="294">
        <f t="shared" si="1156"/>
        <v>0</v>
      </c>
      <c r="J2106" s="294">
        <f t="shared" si="1156"/>
        <v>0</v>
      </c>
      <c r="L2106" s="339">
        <f>L2084</f>
        <v>-0.48</v>
      </c>
      <c r="M2106" s="339"/>
      <c r="N2106" s="339">
        <f>N2084</f>
        <v>0</v>
      </c>
      <c r="O2106" s="339"/>
      <c r="P2106" s="339">
        <f>P2084</f>
        <v>0</v>
      </c>
      <c r="Q2106" s="339"/>
      <c r="R2106" s="339">
        <f>R2084</f>
        <v>-0.48</v>
      </c>
      <c r="S2106" s="339"/>
      <c r="T2106" s="294">
        <f t="shared" ref="T2106" si="1169">ROUND($E2106*L2106,0)</f>
        <v>0</v>
      </c>
      <c r="V2106" s="294">
        <f t="shared" ref="V2106" si="1170">ROUND($E2106*N2106,0)</f>
        <v>0</v>
      </c>
      <c r="X2106" s="294">
        <f t="shared" ref="X2106" si="1171">ROUND($E2106*P2106,0)</f>
        <v>0</v>
      </c>
      <c r="Z2106" s="294">
        <f t="shared" ref="Z2106" si="1172">ROUND($E2106*R2106,0)</f>
        <v>0</v>
      </c>
    </row>
    <row r="2107" spans="2:26">
      <c r="B2107" s="317" t="s">
        <v>1325</v>
      </c>
      <c r="D2107" s="293">
        <f>'[7]23'!N30+[7]TempRev!M327</f>
        <v>125921.47732123558</v>
      </c>
      <c r="E2107" s="293">
        <f>E2114-SUM(E2108:E2111)</f>
        <v>347753.4796706466</v>
      </c>
      <c r="G2107" s="377">
        <v>11.733599999999999</v>
      </c>
      <c r="H2107" s="343" t="s">
        <v>1062</v>
      </c>
      <c r="I2107" s="294">
        <f t="shared" ref="I2107:J2110" si="1173">ROUND($G2107*D2107/100,0)</f>
        <v>14775</v>
      </c>
      <c r="J2107" s="294">
        <f t="shared" si="1173"/>
        <v>40804</v>
      </c>
      <c r="L2107" s="377"/>
      <c r="M2107" s="343"/>
      <c r="N2107" s="377"/>
      <c r="O2107" s="343"/>
      <c r="P2107" s="377"/>
      <c r="Q2107" s="343"/>
      <c r="R2107" s="377"/>
      <c r="S2107" s="343"/>
      <c r="T2107" s="346"/>
      <c r="U2107" s="346"/>
      <c r="V2107" s="346"/>
      <c r="W2107" s="346"/>
      <c r="X2107" s="346"/>
      <c r="Y2107" s="346"/>
    </row>
    <row r="2108" spans="2:26">
      <c r="B2108" s="317" t="s">
        <v>1326</v>
      </c>
      <c r="D2108" s="293">
        <f>'[7]23'!O30+[7]TempRev!M328</f>
        <v>139631.38660678506</v>
      </c>
      <c r="E2108" s="293">
        <f>ROUND(D2108/(D2107+D2108)*[7]Energy!Q22,0)</f>
        <v>385615</v>
      </c>
      <c r="G2108" s="377">
        <v>6.5782999999999996</v>
      </c>
      <c r="H2108" s="343" t="s">
        <v>1062</v>
      </c>
      <c r="I2108" s="294">
        <f t="shared" si="1173"/>
        <v>9185</v>
      </c>
      <c r="J2108" s="294">
        <f t="shared" si="1173"/>
        <v>25367</v>
      </c>
      <c r="L2108" s="377"/>
      <c r="M2108" s="343"/>
      <c r="N2108" s="377"/>
      <c r="O2108" s="343"/>
      <c r="P2108" s="377"/>
      <c r="Q2108" s="343"/>
      <c r="R2108" s="377"/>
      <c r="S2108" s="343"/>
      <c r="T2108" s="346"/>
      <c r="U2108" s="346"/>
      <c r="V2108" s="346"/>
      <c r="W2108" s="346"/>
      <c r="X2108" s="346"/>
      <c r="Y2108" s="346"/>
    </row>
    <row r="2109" spans="2:26">
      <c r="B2109" s="317" t="s">
        <v>1327</v>
      </c>
      <c r="D2109" s="293">
        <f>'[7]23'!Q30+[7]TempRev!M329</f>
        <v>587474.70255176246</v>
      </c>
      <c r="E2109" s="293">
        <f>ROUND(D2109/(D2109+D2110)*[7]Energy!R22,0)</f>
        <v>479797</v>
      </c>
      <c r="G2109" s="377">
        <v>10.8</v>
      </c>
      <c r="H2109" s="343" t="s">
        <v>1062</v>
      </c>
      <c r="I2109" s="294">
        <f t="shared" si="1173"/>
        <v>63447</v>
      </c>
      <c r="J2109" s="294">
        <f t="shared" si="1173"/>
        <v>51818</v>
      </c>
      <c r="L2109" s="377"/>
      <c r="M2109" s="343"/>
      <c r="N2109" s="377"/>
      <c r="O2109" s="343"/>
      <c r="P2109" s="377"/>
      <c r="Q2109" s="343"/>
      <c r="R2109" s="377"/>
      <c r="S2109" s="343"/>
      <c r="T2109" s="346"/>
      <c r="U2109" s="346"/>
      <c r="V2109" s="346"/>
      <c r="W2109" s="346"/>
      <c r="X2109" s="346"/>
      <c r="Y2109" s="346"/>
    </row>
    <row r="2110" spans="2:26">
      <c r="B2110" s="317" t="s">
        <v>1328</v>
      </c>
      <c r="D2110" s="293">
        <f>'[7]23'!R30+[7]TempRev!M330</f>
        <v>423867.45300050249</v>
      </c>
      <c r="E2110" s="293">
        <f>ROUND(D2110/(D2109+D2110)*[7]Energy!R22,0)</f>
        <v>346177</v>
      </c>
      <c r="G2110" s="377">
        <v>6.0567000000000002</v>
      </c>
      <c r="H2110" s="343" t="s">
        <v>1062</v>
      </c>
      <c r="I2110" s="294">
        <f t="shared" si="1173"/>
        <v>25672</v>
      </c>
      <c r="J2110" s="294">
        <f t="shared" si="1173"/>
        <v>20967</v>
      </c>
      <c r="L2110" s="377"/>
      <c r="M2110" s="343"/>
      <c r="N2110" s="377"/>
      <c r="O2110" s="343"/>
      <c r="P2110" s="377"/>
      <c r="Q2110" s="343"/>
      <c r="R2110" s="377"/>
      <c r="S2110" s="343"/>
      <c r="T2110" s="346"/>
      <c r="U2110" s="346"/>
      <c r="V2110" s="346"/>
      <c r="W2110" s="346"/>
      <c r="X2110" s="346"/>
      <c r="Y2110" s="346"/>
    </row>
    <row r="2111" spans="2:26">
      <c r="B2111" s="317" t="s">
        <v>1078</v>
      </c>
      <c r="D2111" s="357">
        <f>'[7]Table 2'!J26</f>
        <v>7239</v>
      </c>
      <c r="E2111" s="357">
        <v>0</v>
      </c>
      <c r="I2111" s="358">
        <f>'[7]Table 3'!F26</f>
        <v>1014</v>
      </c>
      <c r="J2111" s="358">
        <v>0</v>
      </c>
      <c r="Z2111" s="358">
        <v>0</v>
      </c>
    </row>
    <row r="2112" spans="2:26">
      <c r="B2112" s="317" t="s">
        <v>1079</v>
      </c>
      <c r="G2112" s="338">
        <v>-3.3099999999999997E-2</v>
      </c>
      <c r="H2112" s="339"/>
      <c r="I2112" s="294">
        <f>SUM(I2104:I2105,I2107:I2110)*$G2112</f>
        <v>-3844.9621999999995</v>
      </c>
      <c r="J2112" s="294">
        <f>SUM(J2104:J2105,J2107:J2110)*$G2112</f>
        <v>-4723.3368999999993</v>
      </c>
      <c r="L2112" s="338"/>
      <c r="M2112" s="339"/>
      <c r="N2112" s="338"/>
      <c r="O2112" s="339"/>
      <c r="P2112" s="359" t="str">
        <f>$P$43</f>
        <v>Tax Year 1</v>
      </c>
      <c r="Q2112" s="339"/>
      <c r="R2112" s="338">
        <f>$AD$1988</f>
        <v>-2.2499999999999999E-2</v>
      </c>
      <c r="S2112" s="339"/>
      <c r="Z2112" s="294">
        <f>R2112*SUM(Z2098:Z2103)</f>
        <v>-3177.2474999999999</v>
      </c>
    </row>
    <row r="2113" spans="2:29">
      <c r="B2113" s="317"/>
      <c r="G2113" s="338"/>
      <c r="H2113" s="339"/>
      <c r="L2113" s="338"/>
      <c r="M2113" s="339"/>
      <c r="N2113" s="338"/>
      <c r="O2113" s="339"/>
      <c r="P2113" s="359" t="str">
        <f>$P$44</f>
        <v>Tax Year 2</v>
      </c>
      <c r="Q2113" s="339"/>
      <c r="R2113" s="338">
        <f>$AD$1989</f>
        <v>-1.12E-2</v>
      </c>
      <c r="S2113" s="339"/>
      <c r="Z2113" s="294">
        <f>R2113*SUM(Z2098:Z2103)</f>
        <v>-1581.5632000000001</v>
      </c>
    </row>
    <row r="2114" spans="2:29" ht="16.5" thickBot="1">
      <c r="B2114" s="317" t="s">
        <v>937</v>
      </c>
      <c r="D2114" s="381">
        <f>SUM(D2107:D2110,D2111)</f>
        <v>1284134.0194802855</v>
      </c>
      <c r="E2114" s="381">
        <f>[7]Energy!P22</f>
        <v>1559342.4796706466</v>
      </c>
      <c r="G2114" s="368"/>
      <c r="I2114" s="369">
        <f>SUM(I2095:I2112)</f>
        <v>165726.03779999999</v>
      </c>
      <c r="J2114" s="369">
        <f>SUM(J2095:J2112)</f>
        <v>197135.66310000001</v>
      </c>
      <c r="L2114" s="368"/>
      <c r="N2114" s="368"/>
      <c r="P2114" s="368"/>
      <c r="Q2114" s="339"/>
      <c r="R2114" s="368"/>
      <c r="S2114" s="339"/>
      <c r="T2114" s="364">
        <f>SUM(T2095:T2111)</f>
        <v>108660</v>
      </c>
      <c r="V2114" s="364">
        <f>SUM(V2095:V2111)</f>
        <v>60102</v>
      </c>
      <c r="X2114" s="364">
        <f>SUM(X2095:X2111)</f>
        <v>31611</v>
      </c>
      <c r="Z2114" s="364">
        <f>SUM(Z2095:Z2111)</f>
        <v>200371</v>
      </c>
      <c r="AB2114" s="305" t="s">
        <v>939</v>
      </c>
      <c r="AC2114" s="304">
        <f>Z2114/J2114-1</f>
        <v>1.6411728091831002E-2</v>
      </c>
    </row>
    <row r="2115" spans="2:29" ht="16.5" thickTop="1"/>
    <row r="2116" spans="2:29">
      <c r="B2116" s="314" t="s">
        <v>1024</v>
      </c>
    </row>
    <row r="2117" spans="2:29">
      <c r="B2117" s="317" t="s">
        <v>1089</v>
      </c>
      <c r="D2117" s="293">
        <f>'[7]23'!G28</f>
        <v>9847.2289999999903</v>
      </c>
      <c r="E2117" s="293">
        <f>[7]Bill!P49</f>
        <v>12360</v>
      </c>
      <c r="G2117" s="339">
        <v>10</v>
      </c>
      <c r="H2117" s="339"/>
      <c r="I2117" s="294">
        <f t="shared" ref="I2117:J2128" si="1174">ROUND($G2117*D2117,0)</f>
        <v>98472</v>
      </c>
      <c r="J2117" s="294">
        <f t="shared" si="1174"/>
        <v>123600</v>
      </c>
      <c r="L2117" s="339">
        <f>L2073</f>
        <v>10</v>
      </c>
      <c r="M2117" s="339"/>
      <c r="N2117" s="339">
        <f>N2073</f>
        <v>0</v>
      </c>
      <c r="O2117" s="339"/>
      <c r="P2117" s="339">
        <f>P2073</f>
        <v>0</v>
      </c>
      <c r="Q2117" s="339"/>
      <c r="R2117" s="339">
        <f t="shared" ref="R2117:R2125" si="1175">R2073</f>
        <v>10</v>
      </c>
      <c r="S2117" s="339"/>
      <c r="T2117" s="294">
        <f t="shared" ref="T2117:T2121" si="1176">ROUND($E2117*L2117,0)</f>
        <v>123600</v>
      </c>
      <c r="V2117" s="294">
        <f t="shared" ref="V2117:V2121" si="1177">ROUND($E2117*N2117,0)</f>
        <v>0</v>
      </c>
      <c r="X2117" s="294">
        <f t="shared" ref="X2117:X2121" si="1178">ROUND($E2117*P2117,0)</f>
        <v>0</v>
      </c>
      <c r="Z2117" s="294">
        <f>ROUND($E2117*R2117,0)</f>
        <v>123600</v>
      </c>
    </row>
    <row r="2118" spans="2:29">
      <c r="B2118" s="317" t="s">
        <v>1099</v>
      </c>
      <c r="D2118" s="293">
        <v>0</v>
      </c>
      <c r="E2118" s="293">
        <f>ROUND(D2118/D2117*E2117,0)</f>
        <v>0</v>
      </c>
      <c r="G2118" s="339">
        <v>120</v>
      </c>
      <c r="H2118" s="339"/>
      <c r="I2118" s="294">
        <f t="shared" si="1174"/>
        <v>0</v>
      </c>
      <c r="J2118" s="294">
        <f t="shared" si="1174"/>
        <v>0</v>
      </c>
      <c r="L2118" s="339">
        <f t="shared" ref="L2118:L2125" si="1179">L2074</f>
        <v>119</v>
      </c>
      <c r="M2118" s="339"/>
      <c r="N2118" s="339">
        <f t="shared" ref="N2118:N2125" si="1180">N2074</f>
        <v>0</v>
      </c>
      <c r="O2118" s="339"/>
      <c r="P2118" s="339">
        <f t="shared" ref="P2118:P2125" si="1181">P2074</f>
        <v>0</v>
      </c>
      <c r="Q2118" s="339"/>
      <c r="R2118" s="339">
        <f t="shared" si="1175"/>
        <v>119</v>
      </c>
      <c r="S2118" s="339"/>
      <c r="T2118" s="294">
        <f t="shared" si="1176"/>
        <v>0</v>
      </c>
      <c r="V2118" s="294">
        <f t="shared" si="1177"/>
        <v>0</v>
      </c>
      <c r="X2118" s="294">
        <f t="shared" si="1178"/>
        <v>0</v>
      </c>
      <c r="Z2118" s="294">
        <f t="shared" ref="Z2118:Z2121" si="1182">ROUND($E2118*R2118,0)</f>
        <v>0</v>
      </c>
    </row>
    <row r="2119" spans="2:29">
      <c r="B2119" s="317" t="s">
        <v>1100</v>
      </c>
      <c r="D2119" s="293">
        <f>'[7]23'!AH28</f>
        <v>8.2669999999999995</v>
      </c>
      <c r="E2119" s="293">
        <f>ROUND(D2119/D2117*E2117,0)</f>
        <v>10</v>
      </c>
      <c r="G2119" s="339">
        <v>10</v>
      </c>
      <c r="H2119" s="339"/>
      <c r="I2119" s="294">
        <f t="shared" si="1174"/>
        <v>83</v>
      </c>
      <c r="J2119" s="294">
        <f t="shared" si="1174"/>
        <v>100</v>
      </c>
      <c r="L2119" s="339">
        <f t="shared" si="1179"/>
        <v>10</v>
      </c>
      <c r="M2119" s="339"/>
      <c r="N2119" s="339">
        <f t="shared" si="1180"/>
        <v>0</v>
      </c>
      <c r="O2119" s="339"/>
      <c r="P2119" s="339">
        <f t="shared" si="1181"/>
        <v>0</v>
      </c>
      <c r="Q2119" s="339"/>
      <c r="R2119" s="339">
        <f t="shared" si="1175"/>
        <v>10</v>
      </c>
      <c r="S2119" s="339"/>
      <c r="T2119" s="294">
        <f t="shared" si="1176"/>
        <v>100</v>
      </c>
      <c r="V2119" s="294">
        <f t="shared" si="1177"/>
        <v>0</v>
      </c>
      <c r="X2119" s="294">
        <f t="shared" si="1178"/>
        <v>0</v>
      </c>
      <c r="Z2119" s="294">
        <f t="shared" si="1182"/>
        <v>100</v>
      </c>
    </row>
    <row r="2120" spans="2:29">
      <c r="B2120" s="317" t="s">
        <v>1316</v>
      </c>
      <c r="D2120" s="293">
        <f>'[7]23'!I28+'[7]23-may'!I28</f>
        <v>4896.6213224299172</v>
      </c>
      <c r="E2120" s="293">
        <f>ROUND(D2120/D2136*E2136,0)</f>
        <v>6207</v>
      </c>
      <c r="G2120" s="339"/>
      <c r="H2120" s="339"/>
      <c r="L2120" s="339">
        <f t="shared" si="1179"/>
        <v>9.07</v>
      </c>
      <c r="M2120" s="339"/>
      <c r="N2120" s="339">
        <f t="shared" si="1180"/>
        <v>0</v>
      </c>
      <c r="O2120" s="339"/>
      <c r="P2120" s="339">
        <f t="shared" si="1181"/>
        <v>0</v>
      </c>
      <c r="Q2120" s="339"/>
      <c r="R2120" s="339">
        <f t="shared" si="1175"/>
        <v>9.07</v>
      </c>
      <c r="S2120" s="339"/>
      <c r="T2120" s="294">
        <f t="shared" si="1176"/>
        <v>56297</v>
      </c>
      <c r="V2120" s="294">
        <f t="shared" si="1177"/>
        <v>0</v>
      </c>
      <c r="X2120" s="294">
        <f t="shared" si="1178"/>
        <v>0</v>
      </c>
      <c r="Z2120" s="294">
        <f t="shared" si="1182"/>
        <v>56297</v>
      </c>
    </row>
    <row r="2121" spans="2:29">
      <c r="B2121" s="317" t="s">
        <v>1317</v>
      </c>
      <c r="D2121" s="293">
        <f>'[7]23'!J28+'[7]23-may'!J28</f>
        <v>7094.8798402835228</v>
      </c>
      <c r="E2121" s="293">
        <f>ROUND(D2121/D2136*E2136,0)</f>
        <v>8993</v>
      </c>
      <c r="G2121" s="339"/>
      <c r="H2121" s="339"/>
      <c r="L2121" s="339">
        <f t="shared" si="1179"/>
        <v>8.0299999999999994</v>
      </c>
      <c r="M2121" s="339"/>
      <c r="N2121" s="339">
        <f t="shared" si="1180"/>
        <v>0</v>
      </c>
      <c r="O2121" s="339"/>
      <c r="P2121" s="339">
        <f t="shared" si="1181"/>
        <v>0</v>
      </c>
      <c r="Q2121" s="339"/>
      <c r="R2121" s="339">
        <f t="shared" si="1175"/>
        <v>8.0299999999999994</v>
      </c>
      <c r="S2121" s="339"/>
      <c r="T2121" s="294">
        <f t="shared" si="1176"/>
        <v>72214</v>
      </c>
      <c r="V2121" s="294">
        <f t="shared" si="1177"/>
        <v>0</v>
      </c>
      <c r="X2121" s="294">
        <f t="shared" si="1178"/>
        <v>0</v>
      </c>
      <c r="Z2121" s="294">
        <f t="shared" si="1182"/>
        <v>72214</v>
      </c>
    </row>
    <row r="2122" spans="2:29">
      <c r="B2122" s="317" t="s">
        <v>1318</v>
      </c>
      <c r="D2122" s="293">
        <f>'[7]23'!N28+[7]TempRevMay!M348+'[7]23-may'!N28</f>
        <v>1336520.0424274232</v>
      </c>
      <c r="E2122" s="293">
        <f>E2136-SUM(E2123:F2125)</f>
        <v>1826490.0645065326</v>
      </c>
      <c r="G2122" s="377"/>
      <c r="H2122" s="343"/>
      <c r="L2122" s="377">
        <f t="shared" si="1179"/>
        <v>2.9339</v>
      </c>
      <c r="M2122" s="343" t="s">
        <v>1062</v>
      </c>
      <c r="N2122" s="377">
        <f t="shared" si="1180"/>
        <v>6.8490496173940008</v>
      </c>
      <c r="O2122" s="343" t="s">
        <v>1062</v>
      </c>
      <c r="P2122" s="377">
        <f t="shared" si="1181"/>
        <v>2.1261000000000001</v>
      </c>
      <c r="Q2122" s="343" t="s">
        <v>1062</v>
      </c>
      <c r="R2122" s="377">
        <f t="shared" si="1175"/>
        <v>11.909049617394</v>
      </c>
      <c r="S2122" s="343" t="s">
        <v>1062</v>
      </c>
      <c r="T2122" s="294">
        <f>ROUND($E2122*L2122/100,0)</f>
        <v>53587</v>
      </c>
      <c r="U2122" s="346"/>
      <c r="V2122" s="294">
        <f>ROUND($E2122*N2122/100,0)</f>
        <v>125097</v>
      </c>
      <c r="W2122" s="346"/>
      <c r="X2122" s="294">
        <f>ROUND($E2122*P2122/100,0)</f>
        <v>38833</v>
      </c>
      <c r="Y2122" s="346"/>
      <c r="Z2122" s="294">
        <f>ROUND($E2122*R2122/100,0)</f>
        <v>217518</v>
      </c>
    </row>
    <row r="2123" spans="2:29">
      <c r="B2123" s="317" t="s">
        <v>1319</v>
      </c>
      <c r="D2123" s="293">
        <f>'[7]23'!O28+[7]TempRevMay!M349+'[7]23-may'!O28</f>
        <v>1327682.1209296016</v>
      </c>
      <c r="E2123" s="293">
        <f>ROUND(D2123/(D2122+D2123)*[7]Energy!S49,0)</f>
        <v>1814411</v>
      </c>
      <c r="G2123" s="377"/>
      <c r="H2123" s="343"/>
      <c r="L2123" s="377">
        <f t="shared" si="1179"/>
        <v>2.9339</v>
      </c>
      <c r="M2123" s="343" t="s">
        <v>1062</v>
      </c>
      <c r="N2123" s="377">
        <f t="shared" si="1180"/>
        <v>1.6937496173940008</v>
      </c>
      <c r="O2123" s="343" t="s">
        <v>1062</v>
      </c>
      <c r="P2123" s="377">
        <f t="shared" si="1181"/>
        <v>2.1261000000000001</v>
      </c>
      <c r="Q2123" s="343" t="s">
        <v>1062</v>
      </c>
      <c r="R2123" s="377">
        <f t="shared" si="1175"/>
        <v>6.7537496173940008</v>
      </c>
      <c r="S2123" s="343" t="s">
        <v>1062</v>
      </c>
      <c r="T2123" s="294">
        <f t="shared" ref="T2123:T2125" si="1183">ROUND($E2123*L2123/100,0)</f>
        <v>53233</v>
      </c>
      <c r="U2123" s="346"/>
      <c r="V2123" s="294">
        <f t="shared" ref="V2123:V2125" si="1184">ROUND($E2123*N2123/100,0)</f>
        <v>30732</v>
      </c>
      <c r="W2123" s="346"/>
      <c r="X2123" s="294">
        <f t="shared" ref="X2123:X2125" si="1185">ROUND($E2123*P2123/100,0)</f>
        <v>38576</v>
      </c>
      <c r="Y2123" s="346"/>
      <c r="Z2123" s="294">
        <f t="shared" ref="Z2123:Z2125" si="1186">ROUND($E2123*R2123/100,0)</f>
        <v>122541</v>
      </c>
    </row>
    <row r="2124" spans="2:29">
      <c r="B2124" s="317" t="s">
        <v>1320</v>
      </c>
      <c r="D2124" s="293">
        <f>'[7]23'!Q28+[7]TempRevMay!M350+'[7]23-may'!Q28</f>
        <v>3676633.0226886645</v>
      </c>
      <c r="E2124" s="293">
        <f>ROUND(D2124/(D2124+D2125)*[7]Energy!T49,0)</f>
        <v>4557220</v>
      </c>
      <c r="G2124" s="377"/>
      <c r="H2124" s="343"/>
      <c r="L2124" s="377">
        <f t="shared" si="1179"/>
        <v>2.9339</v>
      </c>
      <c r="M2124" s="343" t="s">
        <v>1062</v>
      </c>
      <c r="N2124" s="377">
        <f t="shared" si="1180"/>
        <v>5.6569000000000003</v>
      </c>
      <c r="O2124" s="343" t="s">
        <v>1062</v>
      </c>
      <c r="P2124" s="377">
        <f t="shared" si="1181"/>
        <v>1.9481999999999999</v>
      </c>
      <c r="Q2124" s="343" t="s">
        <v>1062</v>
      </c>
      <c r="R2124" s="377">
        <f t="shared" si="1175"/>
        <v>10.539</v>
      </c>
      <c r="S2124" s="343" t="s">
        <v>1062</v>
      </c>
      <c r="T2124" s="294">
        <f t="shared" si="1183"/>
        <v>133704</v>
      </c>
      <c r="U2124" s="346"/>
      <c r="V2124" s="294">
        <f t="shared" si="1184"/>
        <v>257797</v>
      </c>
      <c r="W2124" s="346"/>
      <c r="X2124" s="294">
        <f t="shared" si="1185"/>
        <v>88784</v>
      </c>
      <c r="Y2124" s="346"/>
      <c r="Z2124" s="294">
        <f t="shared" si="1186"/>
        <v>480285</v>
      </c>
    </row>
    <row r="2125" spans="2:29">
      <c r="B2125" s="317" t="s">
        <v>1321</v>
      </c>
      <c r="D2125" s="293">
        <f>'[7]23'!R28+[7]TempRevMay!M351+'[7]23-may'!R28</f>
        <v>3389052.5744798062</v>
      </c>
      <c r="E2125" s="293">
        <f>ROUND(D2125/(D2124+D2125)*[7]Energy!T49,0)</f>
        <v>4200761</v>
      </c>
      <c r="G2125" s="377"/>
      <c r="H2125" s="343"/>
      <c r="L2125" s="377">
        <f t="shared" si="1179"/>
        <v>2.9339</v>
      </c>
      <c r="M2125" s="343" t="s">
        <v>1062</v>
      </c>
      <c r="N2125" s="377">
        <f t="shared" si="1180"/>
        <v>1.0947</v>
      </c>
      <c r="O2125" s="343" t="s">
        <v>1062</v>
      </c>
      <c r="P2125" s="377">
        <f t="shared" si="1181"/>
        <v>1.9481999999999999</v>
      </c>
      <c r="Q2125" s="343" t="s">
        <v>1062</v>
      </c>
      <c r="R2125" s="377">
        <f t="shared" si="1175"/>
        <v>5.9767999999999999</v>
      </c>
      <c r="S2125" s="343" t="s">
        <v>1062</v>
      </c>
      <c r="T2125" s="294">
        <f t="shared" si="1183"/>
        <v>123246</v>
      </c>
      <c r="U2125" s="346"/>
      <c r="V2125" s="294">
        <f t="shared" si="1184"/>
        <v>45986</v>
      </c>
      <c r="W2125" s="346"/>
      <c r="X2125" s="294">
        <f t="shared" si="1185"/>
        <v>81839</v>
      </c>
      <c r="Y2125" s="346"/>
      <c r="Z2125" s="294">
        <f t="shared" si="1186"/>
        <v>251071</v>
      </c>
    </row>
    <row r="2126" spans="2:29">
      <c r="B2126" s="317" t="s">
        <v>1323</v>
      </c>
      <c r="D2126" s="293">
        <f>'[7]23'!I28</f>
        <v>5645.4023121387299</v>
      </c>
      <c r="E2126" s="293">
        <f>ROUND(D2126/D2136*E2136,0)</f>
        <v>7156</v>
      </c>
      <c r="G2126" s="339">
        <v>8.65</v>
      </c>
      <c r="H2126" s="339"/>
      <c r="I2126" s="294">
        <f t="shared" si="1174"/>
        <v>48833</v>
      </c>
      <c r="J2126" s="294">
        <f t="shared" si="1174"/>
        <v>61899</v>
      </c>
      <c r="L2126" s="339"/>
      <c r="M2126" s="339"/>
      <c r="N2126" s="339"/>
      <c r="O2126" s="339"/>
      <c r="P2126" s="339"/>
      <c r="Q2126" s="339"/>
      <c r="R2126" s="339"/>
      <c r="S2126" s="339"/>
    </row>
    <row r="2127" spans="2:29">
      <c r="B2127" s="317" t="s">
        <v>1324</v>
      </c>
      <c r="D2127" s="293">
        <f>'[7]23'!J28</f>
        <v>6346.09885057471</v>
      </c>
      <c r="E2127" s="293">
        <f>ROUND(D2127/D2136*E2136,0)</f>
        <v>8044</v>
      </c>
      <c r="G2127" s="339">
        <v>8.7000000000000011</v>
      </c>
      <c r="H2127" s="339"/>
      <c r="I2127" s="294">
        <f t="shared" si="1174"/>
        <v>55211</v>
      </c>
      <c r="J2127" s="294">
        <f t="shared" si="1174"/>
        <v>69983</v>
      </c>
      <c r="L2127" s="339"/>
      <c r="M2127" s="339"/>
      <c r="N2127" s="339"/>
      <c r="O2127" s="339"/>
      <c r="P2127" s="339"/>
      <c r="Q2127" s="339"/>
      <c r="R2127" s="339"/>
      <c r="S2127" s="339"/>
    </row>
    <row r="2128" spans="2:29">
      <c r="B2128" s="317" t="s">
        <v>1098</v>
      </c>
      <c r="D2128" s="293">
        <f>'[7]23'!K28</f>
        <v>0</v>
      </c>
      <c r="E2128" s="293">
        <f>ROUND(D2128/D2136*E2136,0)</f>
        <v>0</v>
      </c>
      <c r="G2128" s="339">
        <v>-0.48</v>
      </c>
      <c r="H2128" s="339"/>
      <c r="I2128" s="294">
        <f t="shared" si="1174"/>
        <v>0</v>
      </c>
      <c r="J2128" s="294">
        <f t="shared" si="1174"/>
        <v>0</v>
      </c>
      <c r="L2128" s="339">
        <f>L2084</f>
        <v>-0.48</v>
      </c>
      <c r="M2128" s="339"/>
      <c r="N2128" s="339">
        <f>N2084</f>
        <v>0</v>
      </c>
      <c r="O2128" s="339"/>
      <c r="P2128" s="339">
        <f>P2084</f>
        <v>0</v>
      </c>
      <c r="Q2128" s="339"/>
      <c r="R2128" s="339">
        <f>R2084</f>
        <v>-0.48</v>
      </c>
      <c r="S2128" s="339"/>
      <c r="T2128" s="294">
        <f t="shared" ref="T2128" si="1187">ROUND($E2128*L2128,0)</f>
        <v>0</v>
      </c>
      <c r="V2128" s="294">
        <f t="shared" ref="V2128" si="1188">ROUND($E2128*N2128,0)</f>
        <v>0</v>
      </c>
      <c r="X2128" s="294">
        <f t="shared" ref="X2128" si="1189">ROUND($E2128*P2128,0)</f>
        <v>0</v>
      </c>
      <c r="Z2128" s="294">
        <f t="shared" ref="Z2128" si="1190">ROUND($E2128*R2128,0)</f>
        <v>0</v>
      </c>
    </row>
    <row r="2129" spans="2:29">
      <c r="B2129" s="317" t="s">
        <v>1325</v>
      </c>
      <c r="D2129" s="293">
        <f>'[7]23'!N28+[7]TempRev!M348</f>
        <v>1594921.3742284607</v>
      </c>
      <c r="E2129" s="293">
        <f>E2136-SUM(E2130:E2133)</f>
        <v>2175911.0645065326</v>
      </c>
      <c r="G2129" s="377">
        <v>11.733599999999999</v>
      </c>
      <c r="H2129" s="343" t="s">
        <v>1062</v>
      </c>
      <c r="I2129" s="294">
        <f t="shared" ref="I2129:J2132" si="1191">ROUND($G2129*D2129/100,0)</f>
        <v>187142</v>
      </c>
      <c r="J2129" s="294">
        <f t="shared" si="1191"/>
        <v>255313</v>
      </c>
      <c r="L2129" s="377"/>
      <c r="M2129" s="343"/>
      <c r="N2129" s="377"/>
      <c r="O2129" s="343"/>
      <c r="P2129" s="377"/>
      <c r="Q2129" s="343"/>
      <c r="R2129" s="377"/>
      <c r="S2129" s="343"/>
      <c r="T2129" s="346"/>
      <c r="U2129" s="346"/>
      <c r="V2129" s="346"/>
      <c r="W2129" s="346"/>
      <c r="X2129" s="346"/>
      <c r="Y2129" s="346"/>
    </row>
    <row r="2130" spans="2:29">
      <c r="B2130" s="317" t="s">
        <v>1326</v>
      </c>
      <c r="D2130" s="293">
        <f>'[7]23'!O28+[7]TempRev!M349</f>
        <v>1508810.5312518112</v>
      </c>
      <c r="E2130" s="293">
        <f>ROUND(D2130/(D2129+D2130)*[7]Energy!Q49,0)</f>
        <v>2058433</v>
      </c>
      <c r="G2130" s="377">
        <v>6.5782999999999996</v>
      </c>
      <c r="H2130" s="343" t="s">
        <v>1062</v>
      </c>
      <c r="I2130" s="294">
        <f t="shared" si="1191"/>
        <v>99254</v>
      </c>
      <c r="J2130" s="294">
        <f t="shared" si="1191"/>
        <v>135410</v>
      </c>
      <c r="L2130" s="377"/>
      <c r="M2130" s="343"/>
      <c r="N2130" s="377"/>
      <c r="O2130" s="343"/>
      <c r="P2130" s="377"/>
      <c r="Q2130" s="343"/>
      <c r="R2130" s="377"/>
      <c r="S2130" s="343"/>
      <c r="T2130" s="346"/>
      <c r="U2130" s="346"/>
      <c r="V2130" s="346"/>
      <c r="W2130" s="346"/>
      <c r="X2130" s="346"/>
      <c r="Y2130" s="346"/>
    </row>
    <row r="2131" spans="2:29">
      <c r="B2131" s="317" t="s">
        <v>1327</v>
      </c>
      <c r="D2131" s="293">
        <f>'[7]23'!Q28+[7]TempRev!M350</f>
        <v>3418231.6908876272</v>
      </c>
      <c r="E2131" s="293">
        <f>ROUND(D2131/(D2131+D2132)*[7]Energy!R49,0)</f>
        <v>4211836</v>
      </c>
      <c r="G2131" s="377">
        <v>10.8</v>
      </c>
      <c r="H2131" s="343" t="s">
        <v>1062</v>
      </c>
      <c r="I2131" s="294">
        <f t="shared" si="1191"/>
        <v>369169</v>
      </c>
      <c r="J2131" s="294">
        <f t="shared" si="1191"/>
        <v>454878</v>
      </c>
      <c r="L2131" s="377"/>
      <c r="M2131" s="343"/>
      <c r="N2131" s="377"/>
      <c r="O2131" s="343"/>
      <c r="P2131" s="377"/>
      <c r="Q2131" s="343"/>
      <c r="R2131" s="377"/>
      <c r="S2131" s="343"/>
      <c r="T2131" s="346"/>
      <c r="U2131" s="346"/>
      <c r="V2131" s="346"/>
      <c r="W2131" s="346"/>
      <c r="X2131" s="346"/>
      <c r="Y2131" s="346"/>
    </row>
    <row r="2132" spans="2:29">
      <c r="B2132" s="317" t="s">
        <v>1328</v>
      </c>
      <c r="D2132" s="293">
        <f>'[7]23'!R28+[7]TempRev!M351</f>
        <v>3207924.1641575964</v>
      </c>
      <c r="E2132" s="293">
        <f>ROUND(D2132/(D2131+D2132)*[7]Energy!R49,0)</f>
        <v>3952702</v>
      </c>
      <c r="G2132" s="377">
        <v>6.0567000000000002</v>
      </c>
      <c r="H2132" s="343" t="s">
        <v>1062</v>
      </c>
      <c r="I2132" s="294">
        <f t="shared" si="1191"/>
        <v>194294</v>
      </c>
      <c r="J2132" s="294">
        <f t="shared" si="1191"/>
        <v>239403</v>
      </c>
      <c r="L2132" s="377"/>
      <c r="M2132" s="343"/>
      <c r="N2132" s="377"/>
      <c r="O2132" s="343"/>
      <c r="P2132" s="377"/>
      <c r="Q2132" s="343"/>
      <c r="R2132" s="377"/>
      <c r="S2132" s="343"/>
      <c r="T2132" s="346"/>
      <c r="U2132" s="346"/>
      <c r="V2132" s="346"/>
      <c r="W2132" s="346"/>
      <c r="X2132" s="346"/>
      <c r="Y2132" s="346"/>
    </row>
    <row r="2133" spans="2:29">
      <c r="B2133" s="317" t="s">
        <v>1078</v>
      </c>
      <c r="D2133" s="357">
        <f>'[7]Table 2'!J61</f>
        <v>51592</v>
      </c>
      <c r="E2133" s="357">
        <v>0</v>
      </c>
      <c r="I2133" s="358">
        <f>'[7]Table 3'!F61</f>
        <v>6025</v>
      </c>
      <c r="J2133" s="358">
        <v>0</v>
      </c>
      <c r="Z2133" s="358">
        <v>0</v>
      </c>
    </row>
    <row r="2134" spans="2:29">
      <c r="B2134" s="317" t="s">
        <v>1079</v>
      </c>
      <c r="G2134" s="338">
        <v>-3.3099999999999997E-2</v>
      </c>
      <c r="H2134" s="339"/>
      <c r="I2134" s="294">
        <f>SUM(I2126:I2127,I2129:I2132)*$G2134</f>
        <v>-31574.189299999998</v>
      </c>
      <c r="J2134" s="294">
        <f>SUM(J2126:J2127,J2129:J2132)*$G2134</f>
        <v>-40278.926599999999</v>
      </c>
      <c r="L2134" s="338"/>
      <c r="M2134" s="339"/>
      <c r="N2134" s="338"/>
      <c r="O2134" s="339"/>
      <c r="P2134" s="359" t="str">
        <f>$P$43</f>
        <v>Tax Year 1</v>
      </c>
      <c r="Q2134" s="339"/>
      <c r="R2134" s="338">
        <f>$AD$1988</f>
        <v>-2.2499999999999999E-2</v>
      </c>
      <c r="S2134" s="339"/>
      <c r="Z2134" s="294">
        <f>R2134*SUM(Z2120:Z2125)</f>
        <v>-26998.334999999999</v>
      </c>
    </row>
    <row r="2135" spans="2:29">
      <c r="B2135" s="317"/>
      <c r="G2135" s="338"/>
      <c r="H2135" s="339"/>
      <c r="L2135" s="338"/>
      <c r="M2135" s="339"/>
      <c r="N2135" s="338"/>
      <c r="O2135" s="339"/>
      <c r="P2135" s="359" t="str">
        <f>$P$44</f>
        <v>Tax Year 2</v>
      </c>
      <c r="Q2135" s="339"/>
      <c r="R2135" s="338">
        <f>$AD$1989</f>
        <v>-1.12E-2</v>
      </c>
      <c r="S2135" s="339"/>
      <c r="Z2135" s="294">
        <f>R2135*SUM(Z2120:Z2125)</f>
        <v>-13439.171200000001</v>
      </c>
    </row>
    <row r="2136" spans="2:29" ht="16.5" thickBot="1">
      <c r="B2136" s="317" t="s">
        <v>937</v>
      </c>
      <c r="D2136" s="381">
        <f>SUM(D2129:D2132,D2133)</f>
        <v>9781479.7605254948</v>
      </c>
      <c r="E2136" s="381">
        <f>[7]Energy!P49</f>
        <v>12398882.064506533</v>
      </c>
      <c r="G2136" s="368"/>
      <c r="I2136" s="369">
        <f>SUM(I2117:I2134)</f>
        <v>1026908.8107</v>
      </c>
      <c r="J2136" s="369">
        <f>SUM(J2117:J2134)</f>
        <v>1300307.0734000001</v>
      </c>
      <c r="L2136" s="368"/>
      <c r="N2136" s="368"/>
      <c r="P2136" s="368"/>
      <c r="Q2136" s="339"/>
      <c r="R2136" s="368"/>
      <c r="S2136" s="339"/>
      <c r="T2136" s="364">
        <f>SUM(T2117:T2133)</f>
        <v>615981</v>
      </c>
      <c r="V2136" s="364">
        <f>SUM(V2117:V2133)</f>
        <v>459612</v>
      </c>
      <c r="X2136" s="364">
        <f>SUM(X2117:X2133)</f>
        <v>248032</v>
      </c>
      <c r="Z2136" s="364">
        <f>SUM(Z2117:Z2133)</f>
        <v>1323626</v>
      </c>
      <c r="AB2136" s="305" t="s">
        <v>939</v>
      </c>
      <c r="AC2136" s="304">
        <f>Z2136/J2136-1</f>
        <v>1.7933399792270821E-2</v>
      </c>
    </row>
    <row r="2137" spans="2:29" ht="16.5" thickTop="1"/>
    <row r="2138" spans="2:29">
      <c r="B2138" s="314" t="s">
        <v>1025</v>
      </c>
    </row>
    <row r="2139" spans="2:29">
      <c r="B2139" s="317" t="s">
        <v>1089</v>
      </c>
      <c r="D2139" s="293">
        <f>'[7]23'!G29</f>
        <v>204.16800000000001</v>
      </c>
      <c r="E2139" s="293">
        <f>[7]Bill!P74</f>
        <v>462</v>
      </c>
      <c r="G2139" s="339">
        <v>10</v>
      </c>
      <c r="H2139" s="339"/>
      <c r="I2139" s="294">
        <f t="shared" ref="I2139:J2150" si="1192">ROUND($G2139*D2139,0)</f>
        <v>2042</v>
      </c>
      <c r="J2139" s="294">
        <f t="shared" si="1192"/>
        <v>4620</v>
      </c>
      <c r="L2139" s="339">
        <f>L2073</f>
        <v>10</v>
      </c>
      <c r="M2139" s="339"/>
      <c r="N2139" s="339">
        <f>N2073</f>
        <v>0</v>
      </c>
      <c r="O2139" s="339"/>
      <c r="P2139" s="339">
        <f>P2073</f>
        <v>0</v>
      </c>
      <c r="Q2139" s="339"/>
      <c r="R2139" s="339">
        <f t="shared" ref="R2139:R2147" si="1193">R2073</f>
        <v>10</v>
      </c>
      <c r="S2139" s="339"/>
      <c r="T2139" s="294">
        <f t="shared" ref="T2139:T2143" si="1194">ROUND($E2139*L2139,0)</f>
        <v>4620</v>
      </c>
      <c r="V2139" s="294">
        <f t="shared" ref="V2139:V2143" si="1195">ROUND($E2139*N2139,0)</f>
        <v>0</v>
      </c>
      <c r="X2139" s="294">
        <f t="shared" ref="X2139:X2143" si="1196">ROUND($E2139*P2139,0)</f>
        <v>0</v>
      </c>
      <c r="Z2139" s="294">
        <f>ROUND($E2139*R2139,0)</f>
        <v>4620</v>
      </c>
    </row>
    <row r="2140" spans="2:29">
      <c r="B2140" s="317" t="s">
        <v>1099</v>
      </c>
      <c r="D2140" s="293">
        <v>0</v>
      </c>
      <c r="E2140" s="293">
        <f>ROUND(D2140/D2139*E2139,0)</f>
        <v>0</v>
      </c>
      <c r="G2140" s="339">
        <v>120</v>
      </c>
      <c r="H2140" s="339"/>
      <c r="I2140" s="294">
        <f t="shared" si="1192"/>
        <v>0</v>
      </c>
      <c r="J2140" s="294">
        <f t="shared" si="1192"/>
        <v>0</v>
      </c>
      <c r="L2140" s="339">
        <f t="shared" ref="L2140:L2147" si="1197">L2074</f>
        <v>119</v>
      </c>
      <c r="M2140" s="339"/>
      <c r="N2140" s="339">
        <f t="shared" ref="N2140:N2147" si="1198">N2074</f>
        <v>0</v>
      </c>
      <c r="O2140" s="339"/>
      <c r="P2140" s="339">
        <f t="shared" ref="P2140:P2147" si="1199">P2074</f>
        <v>0</v>
      </c>
      <c r="Q2140" s="339"/>
      <c r="R2140" s="339">
        <f t="shared" si="1193"/>
        <v>119</v>
      </c>
      <c r="S2140" s="339"/>
      <c r="T2140" s="294">
        <f t="shared" si="1194"/>
        <v>0</v>
      </c>
      <c r="V2140" s="294">
        <f t="shared" si="1195"/>
        <v>0</v>
      </c>
      <c r="X2140" s="294">
        <f t="shared" si="1196"/>
        <v>0</v>
      </c>
      <c r="Z2140" s="294">
        <f t="shared" ref="Z2140:Z2143" si="1200">ROUND($E2140*R2140,0)</f>
        <v>0</v>
      </c>
    </row>
    <row r="2141" spans="2:29">
      <c r="B2141" s="317" t="s">
        <v>1100</v>
      </c>
      <c r="D2141" s="293">
        <f>'[7]23'!AH29</f>
        <v>0</v>
      </c>
      <c r="E2141" s="293">
        <f>ROUND(D2141/D2139*E2139,0)</f>
        <v>0</v>
      </c>
      <c r="G2141" s="339">
        <v>10</v>
      </c>
      <c r="H2141" s="339"/>
      <c r="I2141" s="294">
        <f t="shared" si="1192"/>
        <v>0</v>
      </c>
      <c r="J2141" s="294">
        <f t="shared" si="1192"/>
        <v>0</v>
      </c>
      <c r="L2141" s="339">
        <f t="shared" si="1197"/>
        <v>10</v>
      </c>
      <c r="M2141" s="339"/>
      <c r="N2141" s="339">
        <f t="shared" si="1198"/>
        <v>0</v>
      </c>
      <c r="O2141" s="339"/>
      <c r="P2141" s="339">
        <f t="shared" si="1199"/>
        <v>0</v>
      </c>
      <c r="Q2141" s="339"/>
      <c r="R2141" s="339">
        <f t="shared" si="1193"/>
        <v>10</v>
      </c>
      <c r="S2141" s="339"/>
      <c r="T2141" s="294">
        <f t="shared" si="1194"/>
        <v>0</v>
      </c>
      <c r="V2141" s="294">
        <f t="shared" si="1195"/>
        <v>0</v>
      </c>
      <c r="X2141" s="294">
        <f t="shared" si="1196"/>
        <v>0</v>
      </c>
      <c r="Z2141" s="294">
        <f t="shared" si="1200"/>
        <v>0</v>
      </c>
    </row>
    <row r="2142" spans="2:29">
      <c r="B2142" s="317" t="s">
        <v>1316</v>
      </c>
      <c r="D2142" s="293">
        <f>'[7]23'!I29+'[7]23-may'!I29</f>
        <v>123.79500655898235</v>
      </c>
      <c r="E2142" s="293">
        <f>ROUND(D2142/D2158*E2158,0)</f>
        <v>317</v>
      </c>
      <c r="G2142" s="339"/>
      <c r="H2142" s="339"/>
      <c r="L2142" s="339">
        <f t="shared" si="1197"/>
        <v>9.07</v>
      </c>
      <c r="M2142" s="339"/>
      <c r="N2142" s="339">
        <f t="shared" si="1198"/>
        <v>0</v>
      </c>
      <c r="O2142" s="339"/>
      <c r="P2142" s="339">
        <f t="shared" si="1199"/>
        <v>0</v>
      </c>
      <c r="Q2142" s="339"/>
      <c r="R2142" s="339">
        <f t="shared" si="1193"/>
        <v>9.07</v>
      </c>
      <c r="S2142" s="339"/>
      <c r="T2142" s="294">
        <f t="shared" si="1194"/>
        <v>2875</v>
      </c>
      <c r="V2142" s="294">
        <f t="shared" si="1195"/>
        <v>0</v>
      </c>
      <c r="X2142" s="294">
        <f t="shared" si="1196"/>
        <v>0</v>
      </c>
      <c r="Z2142" s="294">
        <f t="shared" si="1200"/>
        <v>2875</v>
      </c>
    </row>
    <row r="2143" spans="2:29">
      <c r="B2143" s="317" t="s">
        <v>1317</v>
      </c>
      <c r="D2143" s="293">
        <f>'[7]23'!J29+'[7]23-may'!J29</f>
        <v>257.23907091095265</v>
      </c>
      <c r="E2143" s="293">
        <f>ROUND(D2143/D2158*E2158,0)</f>
        <v>658</v>
      </c>
      <c r="G2143" s="339"/>
      <c r="H2143" s="339"/>
      <c r="L2143" s="339">
        <f t="shared" si="1197"/>
        <v>8.0299999999999994</v>
      </c>
      <c r="M2143" s="339"/>
      <c r="N2143" s="339">
        <f t="shared" si="1198"/>
        <v>0</v>
      </c>
      <c r="O2143" s="339"/>
      <c r="P2143" s="339">
        <f t="shared" si="1199"/>
        <v>0</v>
      </c>
      <c r="Q2143" s="339"/>
      <c r="R2143" s="339">
        <f t="shared" si="1193"/>
        <v>8.0299999999999994</v>
      </c>
      <c r="S2143" s="339"/>
      <c r="T2143" s="294">
        <f t="shared" si="1194"/>
        <v>5284</v>
      </c>
      <c r="V2143" s="294">
        <f t="shared" si="1195"/>
        <v>0</v>
      </c>
      <c r="X2143" s="294">
        <f t="shared" si="1196"/>
        <v>0</v>
      </c>
      <c r="Z2143" s="294">
        <f t="shared" si="1200"/>
        <v>5284</v>
      </c>
    </row>
    <row r="2144" spans="2:29">
      <c r="B2144" s="317" t="s">
        <v>1318</v>
      </c>
      <c r="D2144" s="293">
        <f>'[7]23'!N29+'[7]23-may'!N29</f>
        <v>18772.903584672436</v>
      </c>
      <c r="E2144" s="293">
        <f>E2158-SUM(E2145:F2147)</f>
        <v>59645.397899159638</v>
      </c>
      <c r="G2144" s="377"/>
      <c r="H2144" s="343"/>
      <c r="L2144" s="377">
        <f t="shared" si="1197"/>
        <v>2.9339</v>
      </c>
      <c r="M2144" s="343" t="s">
        <v>1062</v>
      </c>
      <c r="N2144" s="377">
        <f t="shared" si="1198"/>
        <v>6.8490496173940008</v>
      </c>
      <c r="O2144" s="343" t="s">
        <v>1062</v>
      </c>
      <c r="P2144" s="377">
        <f t="shared" si="1199"/>
        <v>2.1261000000000001</v>
      </c>
      <c r="Q2144" s="343" t="s">
        <v>1062</v>
      </c>
      <c r="R2144" s="377">
        <f t="shared" si="1193"/>
        <v>11.909049617394</v>
      </c>
      <c r="S2144" s="343" t="s">
        <v>1062</v>
      </c>
      <c r="T2144" s="294">
        <f>ROUND($E2144*L2144/100,0)</f>
        <v>1750</v>
      </c>
      <c r="U2144" s="346"/>
      <c r="V2144" s="294">
        <f>ROUND($E2144*N2144/100,0)</f>
        <v>4085</v>
      </c>
      <c r="W2144" s="346"/>
      <c r="X2144" s="294">
        <f>ROUND($E2144*P2144/100,0)</f>
        <v>1268</v>
      </c>
      <c r="Y2144" s="346"/>
      <c r="Z2144" s="294">
        <f>ROUND($E2144*R2144/100,0)</f>
        <v>7103</v>
      </c>
    </row>
    <row r="2145" spans="1:29">
      <c r="B2145" s="317" t="s">
        <v>1319</v>
      </c>
      <c r="D2145" s="293">
        <f>'[7]23'!O29+'[7]23-may'!O29</f>
        <v>13037.670735475896</v>
      </c>
      <c r="E2145" s="293">
        <f>ROUND(D2145/(D2144+D2145)*[7]Energy!S74,0)</f>
        <v>41424</v>
      </c>
      <c r="G2145" s="377"/>
      <c r="H2145" s="343"/>
      <c r="L2145" s="377">
        <f t="shared" si="1197"/>
        <v>2.9339</v>
      </c>
      <c r="M2145" s="343" t="s">
        <v>1062</v>
      </c>
      <c r="N2145" s="377">
        <f t="shared" si="1198"/>
        <v>1.6937496173940008</v>
      </c>
      <c r="O2145" s="343" t="s">
        <v>1062</v>
      </c>
      <c r="P2145" s="377">
        <f t="shared" si="1199"/>
        <v>2.1261000000000001</v>
      </c>
      <c r="Q2145" s="343" t="s">
        <v>1062</v>
      </c>
      <c r="R2145" s="377">
        <f t="shared" si="1193"/>
        <v>6.7537496173940008</v>
      </c>
      <c r="S2145" s="343" t="s">
        <v>1062</v>
      </c>
      <c r="T2145" s="294">
        <f t="shared" ref="T2145:T2147" si="1201">ROUND($E2145*L2145/100,0)</f>
        <v>1215</v>
      </c>
      <c r="U2145" s="346"/>
      <c r="V2145" s="294">
        <f t="shared" ref="V2145:V2147" si="1202">ROUND($E2145*N2145/100,0)</f>
        <v>702</v>
      </c>
      <c r="W2145" s="346"/>
      <c r="X2145" s="294">
        <f t="shared" ref="X2145:X2147" si="1203">ROUND($E2145*P2145/100,0)</f>
        <v>881</v>
      </c>
      <c r="Y2145" s="346"/>
      <c r="Z2145" s="294">
        <f t="shared" ref="Z2145:Z2147" si="1204">ROUND($E2145*R2145/100,0)</f>
        <v>2798</v>
      </c>
    </row>
    <row r="2146" spans="1:29">
      <c r="B2146" s="317" t="s">
        <v>1320</v>
      </c>
      <c r="D2146" s="293">
        <f>'[7]23'!Q29+'[7]23-may'!Q29</f>
        <v>78116.096415327571</v>
      </c>
      <c r="E2146" s="293">
        <f>ROUND(D2146/(D2146+D2147)*[7]Energy!T74,0)</f>
        <v>185234</v>
      </c>
      <c r="G2146" s="377"/>
      <c r="H2146" s="343"/>
      <c r="L2146" s="377">
        <f t="shared" si="1197"/>
        <v>2.9339</v>
      </c>
      <c r="M2146" s="343" t="s">
        <v>1062</v>
      </c>
      <c r="N2146" s="377">
        <f t="shared" si="1198"/>
        <v>5.6569000000000003</v>
      </c>
      <c r="O2146" s="343" t="s">
        <v>1062</v>
      </c>
      <c r="P2146" s="377">
        <f t="shared" si="1199"/>
        <v>1.9481999999999999</v>
      </c>
      <c r="Q2146" s="343" t="s">
        <v>1062</v>
      </c>
      <c r="R2146" s="377">
        <f t="shared" si="1193"/>
        <v>10.539</v>
      </c>
      <c r="S2146" s="343" t="s">
        <v>1062</v>
      </c>
      <c r="T2146" s="294">
        <f t="shared" si="1201"/>
        <v>5435</v>
      </c>
      <c r="U2146" s="346"/>
      <c r="V2146" s="294">
        <f t="shared" si="1202"/>
        <v>10479</v>
      </c>
      <c r="W2146" s="346"/>
      <c r="X2146" s="294">
        <f t="shared" si="1203"/>
        <v>3609</v>
      </c>
      <c r="Y2146" s="346"/>
      <c r="Z2146" s="294">
        <f t="shared" si="1204"/>
        <v>19522</v>
      </c>
    </row>
    <row r="2147" spans="1:29">
      <c r="B2147" s="317" t="s">
        <v>1321</v>
      </c>
      <c r="D2147" s="293">
        <f>'[7]23'!R29+'[7]23-may'!R29</f>
        <v>67055.329264524102</v>
      </c>
      <c r="E2147" s="293">
        <f>ROUND(D2147/(D2146+D2147)*[7]Energy!T74,0)</f>
        <v>159006</v>
      </c>
      <c r="G2147" s="377"/>
      <c r="H2147" s="343"/>
      <c r="L2147" s="377">
        <f t="shared" si="1197"/>
        <v>2.9339</v>
      </c>
      <c r="M2147" s="343" t="s">
        <v>1062</v>
      </c>
      <c r="N2147" s="377">
        <f t="shared" si="1198"/>
        <v>1.0947</v>
      </c>
      <c r="O2147" s="343" t="s">
        <v>1062</v>
      </c>
      <c r="P2147" s="377">
        <f t="shared" si="1199"/>
        <v>1.9481999999999999</v>
      </c>
      <c r="Q2147" s="343" t="s">
        <v>1062</v>
      </c>
      <c r="R2147" s="377">
        <f t="shared" si="1193"/>
        <v>5.9767999999999999</v>
      </c>
      <c r="S2147" s="343" t="s">
        <v>1062</v>
      </c>
      <c r="T2147" s="294">
        <f t="shared" si="1201"/>
        <v>4665</v>
      </c>
      <c r="U2147" s="346"/>
      <c r="V2147" s="294">
        <f t="shared" si="1202"/>
        <v>1741</v>
      </c>
      <c r="W2147" s="346"/>
      <c r="X2147" s="294">
        <f t="shared" si="1203"/>
        <v>3098</v>
      </c>
      <c r="Y2147" s="346"/>
      <c r="Z2147" s="294">
        <f t="shared" si="1204"/>
        <v>9503</v>
      </c>
    </row>
    <row r="2148" spans="1:29">
      <c r="B2148" s="317" t="s">
        <v>1323</v>
      </c>
      <c r="D2148" s="293">
        <f>'[7]23'!I29</f>
        <v>146.929479768786</v>
      </c>
      <c r="E2148" s="293">
        <f>ROUND(D2148/D2158*E2158,0)</f>
        <v>376</v>
      </c>
      <c r="G2148" s="339">
        <v>8.65</v>
      </c>
      <c r="H2148" s="339"/>
      <c r="I2148" s="294">
        <f t="shared" si="1192"/>
        <v>1271</v>
      </c>
      <c r="J2148" s="294">
        <f t="shared" si="1192"/>
        <v>3252</v>
      </c>
      <c r="L2148" s="339"/>
      <c r="M2148" s="339"/>
      <c r="N2148" s="339"/>
      <c r="O2148" s="339"/>
      <c r="P2148" s="339"/>
      <c r="Q2148" s="339"/>
      <c r="R2148" s="339"/>
      <c r="S2148" s="339"/>
    </row>
    <row r="2149" spans="1:29">
      <c r="B2149" s="317" t="s">
        <v>1324</v>
      </c>
      <c r="D2149" s="293">
        <f>'[7]23'!J29</f>
        <v>234.104597701149</v>
      </c>
      <c r="E2149" s="293">
        <f>ROUND(D2149/D2158*E2158,0)</f>
        <v>599</v>
      </c>
      <c r="G2149" s="339">
        <v>8.7000000000000011</v>
      </c>
      <c r="H2149" s="339"/>
      <c r="I2149" s="294">
        <f t="shared" si="1192"/>
        <v>2037</v>
      </c>
      <c r="J2149" s="294">
        <f t="shared" si="1192"/>
        <v>5211</v>
      </c>
      <c r="L2149" s="339"/>
      <c r="M2149" s="339"/>
      <c r="N2149" s="339"/>
      <c r="O2149" s="339"/>
      <c r="P2149" s="339"/>
      <c r="Q2149" s="339"/>
      <c r="R2149" s="339"/>
      <c r="S2149" s="339"/>
    </row>
    <row r="2150" spans="1:29">
      <c r="B2150" s="317" t="s">
        <v>1098</v>
      </c>
      <c r="D2150" s="293">
        <f>'[7]23'!K29</f>
        <v>0</v>
      </c>
      <c r="E2150" s="293">
        <f>ROUND(D2150/D2158*E2158,0)</f>
        <v>0</v>
      </c>
      <c r="G2150" s="339">
        <v>-0.48</v>
      </c>
      <c r="H2150" s="339"/>
      <c r="I2150" s="294">
        <f t="shared" si="1192"/>
        <v>0</v>
      </c>
      <c r="J2150" s="294">
        <f t="shared" si="1192"/>
        <v>0</v>
      </c>
      <c r="L2150" s="339">
        <f>L2084</f>
        <v>-0.48</v>
      </c>
      <c r="M2150" s="339"/>
      <c r="N2150" s="339">
        <f>N2084</f>
        <v>0</v>
      </c>
      <c r="O2150" s="339"/>
      <c r="P2150" s="339">
        <f>P2084</f>
        <v>0</v>
      </c>
      <c r="Q2150" s="339"/>
      <c r="R2150" s="339">
        <f>R2084</f>
        <v>-0.48</v>
      </c>
      <c r="S2150" s="339"/>
      <c r="T2150" s="294">
        <f t="shared" ref="T2150" si="1205">ROUND($E2150*L2150,0)</f>
        <v>0</v>
      </c>
      <c r="V2150" s="294">
        <f t="shared" ref="V2150" si="1206">ROUND($E2150*N2150,0)</f>
        <v>0</v>
      </c>
      <c r="X2150" s="294">
        <f t="shared" ref="X2150" si="1207">ROUND($E2150*P2150,0)</f>
        <v>0</v>
      </c>
      <c r="Z2150" s="294">
        <f t="shared" ref="Z2150" si="1208">ROUND($E2150*R2150,0)</f>
        <v>0</v>
      </c>
    </row>
    <row r="2151" spans="1:29">
      <c r="B2151" s="317" t="s">
        <v>1325</v>
      </c>
      <c r="D2151" s="293">
        <f>'[7]23'!N29</f>
        <v>23248</v>
      </c>
      <c r="E2151" s="293">
        <f>E2158-SUM(E2152:E2155)</f>
        <v>86160.397899159638</v>
      </c>
      <c r="G2151" s="376">
        <v>11.733599999999999</v>
      </c>
      <c r="H2151" s="343" t="s">
        <v>1062</v>
      </c>
      <c r="I2151" s="294">
        <f t="shared" ref="I2151:J2154" si="1209">ROUND($G2151*D2151/100,0)</f>
        <v>2728</v>
      </c>
      <c r="J2151" s="294">
        <f t="shared" si="1209"/>
        <v>10110</v>
      </c>
      <c r="L2151" s="376"/>
      <c r="M2151" s="343"/>
      <c r="N2151" s="376"/>
      <c r="O2151" s="343"/>
      <c r="P2151" s="376"/>
      <c r="Q2151" s="343"/>
      <c r="R2151" s="376"/>
      <c r="S2151" s="343"/>
      <c r="T2151" s="346"/>
      <c r="U2151" s="346"/>
      <c r="V2151" s="346"/>
      <c r="W2151" s="346"/>
      <c r="X2151" s="346"/>
      <c r="Y2151" s="346"/>
    </row>
    <row r="2152" spans="1:29">
      <c r="B2152" s="317" t="s">
        <v>1326</v>
      </c>
      <c r="D2152" s="293">
        <f>'[7]23'!O29</f>
        <v>14956</v>
      </c>
      <c r="E2152" s="293">
        <f>ROUND(D2152/(D2151+D2152)*[7]Energy!Q74,0)</f>
        <v>55430</v>
      </c>
      <c r="G2152" s="376">
        <v>6.5782999999999996</v>
      </c>
      <c r="H2152" s="343" t="s">
        <v>1062</v>
      </c>
      <c r="I2152" s="294">
        <f t="shared" si="1209"/>
        <v>984</v>
      </c>
      <c r="J2152" s="294">
        <f t="shared" si="1209"/>
        <v>3646</v>
      </c>
      <c r="L2152" s="376"/>
      <c r="M2152" s="343"/>
      <c r="N2152" s="376"/>
      <c r="O2152" s="343"/>
      <c r="P2152" s="376"/>
      <c r="Q2152" s="343"/>
      <c r="R2152" s="376"/>
      <c r="S2152" s="343"/>
      <c r="T2152" s="346"/>
      <c r="U2152" s="346"/>
      <c r="V2152" s="346"/>
      <c r="W2152" s="346"/>
      <c r="X2152" s="346"/>
      <c r="Y2152" s="346"/>
    </row>
    <row r="2153" spans="1:29">
      <c r="B2153" s="317" t="s">
        <v>1327</v>
      </c>
      <c r="D2153" s="293">
        <f>'[7]23'!Q29</f>
        <v>73641</v>
      </c>
      <c r="E2153" s="293">
        <f>ROUND(D2153/(D2153+D2154)*[7]Energy!R74,0)</f>
        <v>161165</v>
      </c>
      <c r="G2153" s="376">
        <v>10.8</v>
      </c>
      <c r="H2153" s="343" t="s">
        <v>1062</v>
      </c>
      <c r="I2153" s="294">
        <f t="shared" si="1209"/>
        <v>7953</v>
      </c>
      <c r="J2153" s="294">
        <f t="shared" si="1209"/>
        <v>17406</v>
      </c>
      <c r="L2153" s="376"/>
      <c r="M2153" s="343"/>
      <c r="N2153" s="376"/>
      <c r="O2153" s="343"/>
      <c r="P2153" s="376"/>
      <c r="Q2153" s="343"/>
      <c r="R2153" s="376"/>
      <c r="S2153" s="343"/>
      <c r="T2153" s="346"/>
      <c r="U2153" s="346"/>
      <c r="V2153" s="346"/>
      <c r="W2153" s="346"/>
      <c r="X2153" s="346"/>
      <c r="Y2153" s="346"/>
    </row>
    <row r="2154" spans="1:29">
      <c r="B2154" s="317" t="s">
        <v>1328</v>
      </c>
      <c r="D2154" s="293">
        <f>'[7]23'!R29</f>
        <v>65137</v>
      </c>
      <c r="E2154" s="293">
        <f>ROUND(D2154/(D2153+D2154)*[7]Energy!R74,0)</f>
        <v>142554</v>
      </c>
      <c r="G2154" s="376">
        <v>6.0567000000000002</v>
      </c>
      <c r="H2154" s="343" t="s">
        <v>1062</v>
      </c>
      <c r="I2154" s="294">
        <f t="shared" si="1209"/>
        <v>3945</v>
      </c>
      <c r="J2154" s="294">
        <f t="shared" si="1209"/>
        <v>8634</v>
      </c>
      <c r="L2154" s="376"/>
      <c r="M2154" s="343"/>
      <c r="N2154" s="376"/>
      <c r="O2154" s="343"/>
      <c r="P2154" s="376"/>
      <c r="Q2154" s="343"/>
      <c r="R2154" s="376"/>
      <c r="S2154" s="343"/>
      <c r="T2154" s="346"/>
      <c r="U2154" s="346"/>
      <c r="V2154" s="346"/>
      <c r="W2154" s="346"/>
      <c r="X2154" s="346"/>
      <c r="Y2154" s="346"/>
    </row>
    <row r="2155" spans="1:29">
      <c r="B2155" s="317" t="s">
        <v>1078</v>
      </c>
      <c r="D2155" s="357">
        <f>'[7]Table 2'!J97</f>
        <v>-2869</v>
      </c>
      <c r="E2155" s="357">
        <v>0</v>
      </c>
      <c r="I2155" s="358">
        <f>'[7]Table 3'!F97</f>
        <v>-309</v>
      </c>
      <c r="J2155" s="358">
        <v>0</v>
      </c>
      <c r="Z2155" s="358">
        <v>0</v>
      </c>
    </row>
    <row r="2156" spans="1:29">
      <c r="B2156" s="317" t="s">
        <v>1079</v>
      </c>
      <c r="G2156" s="338">
        <v>-3.3099999999999997E-2</v>
      </c>
      <c r="H2156" s="339"/>
      <c r="I2156" s="294">
        <f>SUM(I2148:I2149,I2151:I2154)*$G2156</f>
        <v>-626.18579999999997</v>
      </c>
      <c r="J2156" s="294">
        <f>SUM(J2148:J2149,J2151:J2154)*$G2156</f>
        <v>-1597.3728999999998</v>
      </c>
      <c r="L2156" s="338"/>
      <c r="M2156" s="339"/>
      <c r="N2156" s="338"/>
      <c r="O2156" s="339"/>
      <c r="P2156" s="359" t="str">
        <f>$P$43</f>
        <v>Tax Year 1</v>
      </c>
      <c r="Q2156" s="339"/>
      <c r="R2156" s="338">
        <f>$AD$1988</f>
        <v>-2.2499999999999999E-2</v>
      </c>
      <c r="S2156" s="339"/>
      <c r="Z2156" s="294">
        <f>R2156*SUM(Z2142:Z2147)</f>
        <v>-1059.4124999999999</v>
      </c>
    </row>
    <row r="2157" spans="1:29">
      <c r="B2157" s="317"/>
      <c r="G2157" s="338"/>
      <c r="H2157" s="339"/>
      <c r="L2157" s="338"/>
      <c r="M2157" s="339"/>
      <c r="N2157" s="338"/>
      <c r="O2157" s="339"/>
      <c r="P2157" s="359" t="str">
        <f>$P$44</f>
        <v>Tax Year 2</v>
      </c>
      <c r="Q2157" s="339"/>
      <c r="R2157" s="338">
        <f>$AD$1989</f>
        <v>-1.12E-2</v>
      </c>
      <c r="S2157" s="339"/>
      <c r="Z2157" s="294">
        <f>R2157*SUM(Z2142:Z2147)</f>
        <v>-527.35199999999998</v>
      </c>
    </row>
    <row r="2158" spans="1:29" ht="16.5" thickBot="1">
      <c r="B2158" s="317" t="s">
        <v>937</v>
      </c>
      <c r="D2158" s="381">
        <f>SUM(D2151:D2154,D2155)</f>
        <v>174113</v>
      </c>
      <c r="E2158" s="381">
        <f>[7]Energy!P74</f>
        <v>445309.39789915964</v>
      </c>
      <c r="G2158" s="368"/>
      <c r="I2158" s="369">
        <f>SUM(I2139:I2156)</f>
        <v>20024.814200000001</v>
      </c>
      <c r="J2158" s="369">
        <f>SUM(J2139:J2156)</f>
        <v>51281.627099999998</v>
      </c>
      <c r="L2158" s="368"/>
      <c r="N2158" s="368"/>
      <c r="P2158" s="368"/>
      <c r="Q2158" s="339"/>
      <c r="R2158" s="368"/>
      <c r="S2158" s="339"/>
      <c r="T2158" s="364">
        <f>SUM(T2139:T2155)</f>
        <v>25844</v>
      </c>
      <c r="V2158" s="364">
        <f>SUM(V2139:V2155)</f>
        <v>17007</v>
      </c>
      <c r="X2158" s="364">
        <f>SUM(X2139:X2155)</f>
        <v>8856</v>
      </c>
      <c r="Z2158" s="364">
        <f>SUM(Z2139:Z2155)</f>
        <v>51705</v>
      </c>
      <c r="AB2158" s="305" t="s">
        <v>939</v>
      </c>
      <c r="AC2158" s="304">
        <f>Z2158/J2158-1</f>
        <v>8.2558398385921272E-3</v>
      </c>
    </row>
    <row r="2160" spans="1:29">
      <c r="A2160" s="292">
        <v>1</v>
      </c>
      <c r="B2160" s="314" t="s">
        <v>1026</v>
      </c>
    </row>
    <row r="2161" spans="2:26">
      <c r="B2161" s="317" t="s">
        <v>1089</v>
      </c>
      <c r="D2161" s="293">
        <f>D2184+D2207</f>
        <v>578.03800000000001</v>
      </c>
      <c r="E2161" s="293">
        <f>E2184+E2207</f>
        <v>1546</v>
      </c>
      <c r="G2161" s="318">
        <v>10</v>
      </c>
      <c r="H2161" s="318"/>
      <c r="I2161" s="294">
        <f t="shared" ref="I2161:J2173" si="1210">ROUND($G2161*D2161,0)</f>
        <v>5780</v>
      </c>
      <c r="J2161" s="294">
        <f t="shared" si="1210"/>
        <v>15460</v>
      </c>
      <c r="L2161" s="339">
        <f>L2095</f>
        <v>10</v>
      </c>
      <c r="M2161" s="318"/>
      <c r="N2161" s="339">
        <f>N2095</f>
        <v>0</v>
      </c>
      <c r="O2161" s="318"/>
      <c r="P2161" s="339">
        <f>P2095</f>
        <v>0</v>
      </c>
      <c r="Q2161" s="318"/>
      <c r="R2161" s="339">
        <f>R2095</f>
        <v>10</v>
      </c>
      <c r="S2161" s="318"/>
      <c r="T2161" s="294">
        <f t="shared" ref="T2161:T2166" si="1211">ROUND($E2161*L2161,0)</f>
        <v>15460</v>
      </c>
      <c r="V2161" s="294">
        <f t="shared" ref="V2161:V2166" si="1212">ROUND($E2161*N2161,0)</f>
        <v>0</v>
      </c>
      <c r="X2161" s="294">
        <f t="shared" ref="X2161:X2166" si="1213">ROUND($E2161*P2161,0)</f>
        <v>0</v>
      </c>
      <c r="Y2161" s="319"/>
      <c r="Z2161" s="294">
        <f t="shared" ref="Z2161:Z2166" si="1214">ROUND($E2161*R2161,0)</f>
        <v>15460</v>
      </c>
    </row>
    <row r="2162" spans="2:26">
      <c r="B2162" s="317" t="s">
        <v>1099</v>
      </c>
      <c r="D2162" s="293">
        <f t="shared" ref="D2162:E2177" si="1215">D2185+D2208</f>
        <v>0</v>
      </c>
      <c r="E2162" s="293">
        <f>E2185+E2208</f>
        <v>0</v>
      </c>
      <c r="G2162" s="318">
        <v>120</v>
      </c>
      <c r="H2162" s="318"/>
      <c r="I2162" s="294">
        <f t="shared" si="1210"/>
        <v>0</v>
      </c>
      <c r="J2162" s="294">
        <f t="shared" si="1210"/>
        <v>0</v>
      </c>
      <c r="L2162" s="339">
        <f t="shared" ref="L2162" si="1216">L2096</f>
        <v>119</v>
      </c>
      <c r="M2162" s="318"/>
      <c r="N2162" s="339">
        <f t="shared" ref="N2162" si="1217">N2096</f>
        <v>0</v>
      </c>
      <c r="O2162" s="318"/>
      <c r="P2162" s="339">
        <f t="shared" ref="P2162" si="1218">P2096</f>
        <v>0</v>
      </c>
      <c r="Q2162" s="318"/>
      <c r="R2162" s="339">
        <f t="shared" ref="R2162" si="1219">R2096</f>
        <v>119</v>
      </c>
      <c r="S2162" s="318"/>
      <c r="T2162" s="294">
        <f t="shared" si="1211"/>
        <v>0</v>
      </c>
      <c r="V2162" s="294">
        <f t="shared" si="1212"/>
        <v>0</v>
      </c>
      <c r="X2162" s="294">
        <f t="shared" si="1213"/>
        <v>0</v>
      </c>
      <c r="Y2162" s="319"/>
      <c r="Z2162" s="294">
        <f t="shared" si="1214"/>
        <v>0</v>
      </c>
    </row>
    <row r="2163" spans="2:26">
      <c r="B2163" s="317" t="s">
        <v>1050</v>
      </c>
      <c r="D2163" s="293">
        <f t="shared" si="1215"/>
        <v>139</v>
      </c>
      <c r="E2163" s="293">
        <f>E2186+E2209</f>
        <v>393</v>
      </c>
      <c r="G2163" s="339">
        <v>2</v>
      </c>
      <c r="H2163" s="339"/>
      <c r="I2163" s="294">
        <f t="shared" si="1210"/>
        <v>278</v>
      </c>
      <c r="J2163" s="294">
        <f t="shared" si="1210"/>
        <v>786</v>
      </c>
      <c r="L2163" s="339">
        <f>R2163</f>
        <v>2</v>
      </c>
      <c r="M2163" s="339"/>
      <c r="N2163" s="339">
        <v>0</v>
      </c>
      <c r="O2163" s="339"/>
      <c r="P2163" s="339">
        <v>0</v>
      </c>
      <c r="Q2163" s="339"/>
      <c r="R2163" s="339">
        <f>G2163</f>
        <v>2</v>
      </c>
      <c r="S2163" s="339"/>
      <c r="T2163" s="294">
        <f t="shared" si="1211"/>
        <v>786</v>
      </c>
      <c r="V2163" s="294">
        <f t="shared" si="1212"/>
        <v>0</v>
      </c>
      <c r="X2163" s="294">
        <f t="shared" si="1213"/>
        <v>0</v>
      </c>
      <c r="Z2163" s="294">
        <f t="shared" si="1214"/>
        <v>786</v>
      </c>
    </row>
    <row r="2164" spans="2:26">
      <c r="B2164" s="317" t="s">
        <v>1100</v>
      </c>
      <c r="D2164" s="293">
        <f t="shared" si="1215"/>
        <v>0</v>
      </c>
      <c r="E2164" s="293">
        <f>E2187+E2210</f>
        <v>0</v>
      </c>
      <c r="G2164" s="318">
        <v>10</v>
      </c>
      <c r="H2164" s="318"/>
      <c r="I2164" s="294">
        <f t="shared" si="1210"/>
        <v>0</v>
      </c>
      <c r="J2164" s="294">
        <f t="shared" si="1210"/>
        <v>0</v>
      </c>
      <c r="L2164" s="339">
        <f>L2097</f>
        <v>10</v>
      </c>
      <c r="M2164" s="318"/>
      <c r="N2164" s="339">
        <f>N2097</f>
        <v>0</v>
      </c>
      <c r="O2164" s="318"/>
      <c r="P2164" s="339">
        <f>P2097</f>
        <v>0</v>
      </c>
      <c r="Q2164" s="318"/>
      <c r="R2164" s="339">
        <f t="shared" ref="R2164:R2170" si="1220">R2097</f>
        <v>10</v>
      </c>
      <c r="S2164" s="318"/>
      <c r="T2164" s="294">
        <f t="shared" si="1211"/>
        <v>0</v>
      </c>
      <c r="V2164" s="294">
        <f t="shared" si="1212"/>
        <v>0</v>
      </c>
      <c r="X2164" s="294">
        <f t="shared" si="1213"/>
        <v>0</v>
      </c>
      <c r="Y2164" s="319"/>
      <c r="Z2164" s="294">
        <f t="shared" si="1214"/>
        <v>0</v>
      </c>
    </row>
    <row r="2165" spans="2:26">
      <c r="B2165" s="317" t="s">
        <v>1316</v>
      </c>
      <c r="D2165" s="293">
        <f t="shared" si="1215"/>
        <v>495.28811594685055</v>
      </c>
      <c r="E2165" s="293">
        <f t="shared" si="1215"/>
        <v>552</v>
      </c>
      <c r="G2165" s="339"/>
      <c r="H2165" s="339"/>
      <c r="L2165" s="339">
        <f t="shared" ref="L2165:L2170" si="1221">L2098</f>
        <v>9.07</v>
      </c>
      <c r="M2165" s="339"/>
      <c r="N2165" s="339">
        <f t="shared" ref="N2165:N2170" si="1222">N2098</f>
        <v>0</v>
      </c>
      <c r="O2165" s="339"/>
      <c r="P2165" s="339">
        <f t="shared" ref="P2165:P2170" si="1223">P2098</f>
        <v>0</v>
      </c>
      <c r="Q2165" s="339"/>
      <c r="R2165" s="339">
        <f t="shared" si="1220"/>
        <v>9.07</v>
      </c>
      <c r="S2165" s="339"/>
      <c r="T2165" s="294">
        <f t="shared" si="1211"/>
        <v>5007</v>
      </c>
      <c r="V2165" s="294">
        <f t="shared" si="1212"/>
        <v>0</v>
      </c>
      <c r="X2165" s="294">
        <f t="shared" si="1213"/>
        <v>0</v>
      </c>
      <c r="Z2165" s="294">
        <f t="shared" si="1214"/>
        <v>5007</v>
      </c>
    </row>
    <row r="2166" spans="2:26">
      <c r="B2166" s="317" t="s">
        <v>1317</v>
      </c>
      <c r="D2166" s="293">
        <f t="shared" si="1215"/>
        <v>881.54837332296552</v>
      </c>
      <c r="E2166" s="293">
        <f t="shared" si="1215"/>
        <v>982</v>
      </c>
      <c r="G2166" s="339"/>
      <c r="H2166" s="339"/>
      <c r="L2166" s="377">
        <f t="shared" si="1221"/>
        <v>8.0299999999999994</v>
      </c>
      <c r="M2166" s="339"/>
      <c r="N2166" s="377">
        <f t="shared" si="1222"/>
        <v>0</v>
      </c>
      <c r="O2166" s="339"/>
      <c r="P2166" s="377">
        <f t="shared" si="1223"/>
        <v>0</v>
      </c>
      <c r="Q2166" s="339"/>
      <c r="R2166" s="377">
        <f t="shared" si="1220"/>
        <v>8.0299999999999994</v>
      </c>
      <c r="S2166" s="339"/>
      <c r="T2166" s="294">
        <f t="shared" si="1211"/>
        <v>7885</v>
      </c>
      <c r="V2166" s="294">
        <f t="shared" si="1212"/>
        <v>0</v>
      </c>
      <c r="X2166" s="294">
        <f t="shared" si="1213"/>
        <v>0</v>
      </c>
      <c r="Z2166" s="294">
        <f t="shared" si="1214"/>
        <v>7885</v>
      </c>
    </row>
    <row r="2167" spans="2:26">
      <c r="B2167" s="317" t="s">
        <v>1318</v>
      </c>
      <c r="D2167" s="293">
        <f t="shared" si="1215"/>
        <v>222037.79750537846</v>
      </c>
      <c r="E2167" s="293">
        <f t="shared" si="1215"/>
        <v>228752.11425782187</v>
      </c>
      <c r="G2167" s="377"/>
      <c r="H2167" s="343"/>
      <c r="L2167" s="377">
        <f t="shared" si="1221"/>
        <v>2.9339</v>
      </c>
      <c r="M2167" s="343" t="s">
        <v>1062</v>
      </c>
      <c r="N2167" s="377">
        <f t="shared" si="1222"/>
        <v>6.8490496173940008</v>
      </c>
      <c r="O2167" s="343" t="s">
        <v>1062</v>
      </c>
      <c r="P2167" s="377">
        <f t="shared" si="1223"/>
        <v>2.1261000000000001</v>
      </c>
      <c r="Q2167" s="343" t="s">
        <v>1062</v>
      </c>
      <c r="R2167" s="377">
        <f t="shared" si="1220"/>
        <v>11.909049617394</v>
      </c>
      <c r="S2167" s="343" t="s">
        <v>1062</v>
      </c>
      <c r="T2167" s="294">
        <f>ROUND($E2167*L2167/100,0)</f>
        <v>6711</v>
      </c>
      <c r="U2167" s="346"/>
      <c r="V2167" s="294">
        <f>ROUND($E2167*N2167/100,0)</f>
        <v>15667</v>
      </c>
      <c r="W2167" s="346"/>
      <c r="X2167" s="294">
        <f>ROUND($E2167*P2167/100,0)</f>
        <v>4863</v>
      </c>
      <c r="Y2167" s="346"/>
      <c r="Z2167" s="294">
        <f>ROUND($E2167*R2167/100,0)</f>
        <v>27242</v>
      </c>
    </row>
    <row r="2168" spans="2:26">
      <c r="B2168" s="317" t="s">
        <v>1319</v>
      </c>
      <c r="D2168" s="293">
        <f t="shared" si="1215"/>
        <v>215087.16967548401</v>
      </c>
      <c r="E2168" s="293">
        <f t="shared" si="1215"/>
        <v>234472</v>
      </c>
      <c r="G2168" s="377"/>
      <c r="H2168" s="343"/>
      <c r="L2168" s="377">
        <f t="shared" si="1221"/>
        <v>2.9339</v>
      </c>
      <c r="M2168" s="343" t="s">
        <v>1062</v>
      </c>
      <c r="N2168" s="377">
        <f t="shared" si="1222"/>
        <v>1.6937496173940008</v>
      </c>
      <c r="O2168" s="343" t="s">
        <v>1062</v>
      </c>
      <c r="P2168" s="377">
        <f t="shared" si="1223"/>
        <v>2.1261000000000001</v>
      </c>
      <c r="Q2168" s="343" t="s">
        <v>1062</v>
      </c>
      <c r="R2168" s="377">
        <f t="shared" si="1220"/>
        <v>6.7537496173940008</v>
      </c>
      <c r="S2168" s="343" t="s">
        <v>1062</v>
      </c>
      <c r="T2168" s="294">
        <f t="shared" ref="T2168:T2170" si="1224">ROUND($E2168*L2168/100,0)</f>
        <v>6879</v>
      </c>
      <c r="U2168" s="346"/>
      <c r="V2168" s="294">
        <f t="shared" ref="V2168:V2170" si="1225">ROUND($E2168*N2168/100,0)</f>
        <v>3971</v>
      </c>
      <c r="W2168" s="346"/>
      <c r="X2168" s="294">
        <f t="shared" ref="X2168:X2170" si="1226">ROUND($E2168*P2168/100,0)</f>
        <v>4985</v>
      </c>
      <c r="Y2168" s="346"/>
      <c r="Z2168" s="294">
        <f t="shared" ref="Z2168:Z2170" si="1227">ROUND($E2168*R2168/100,0)</f>
        <v>15836</v>
      </c>
    </row>
    <row r="2169" spans="2:26">
      <c r="B2169" s="317" t="s">
        <v>1320</v>
      </c>
      <c r="D2169" s="293">
        <f t="shared" si="1215"/>
        <v>330553.85154286353</v>
      </c>
      <c r="E2169" s="293">
        <f t="shared" si="1215"/>
        <v>417772</v>
      </c>
      <c r="G2169" s="377"/>
      <c r="H2169" s="343"/>
      <c r="L2169" s="377">
        <f t="shared" si="1221"/>
        <v>2.9339</v>
      </c>
      <c r="M2169" s="343" t="s">
        <v>1062</v>
      </c>
      <c r="N2169" s="377">
        <f t="shared" si="1222"/>
        <v>5.6569000000000003</v>
      </c>
      <c r="O2169" s="343" t="s">
        <v>1062</v>
      </c>
      <c r="P2169" s="377">
        <f t="shared" si="1223"/>
        <v>1.9481999999999999</v>
      </c>
      <c r="Q2169" s="343" t="s">
        <v>1062</v>
      </c>
      <c r="R2169" s="377">
        <f t="shared" si="1220"/>
        <v>10.539</v>
      </c>
      <c r="S2169" s="343" t="s">
        <v>1062</v>
      </c>
      <c r="T2169" s="294">
        <f t="shared" si="1224"/>
        <v>12257</v>
      </c>
      <c r="U2169" s="346"/>
      <c r="V2169" s="294">
        <f t="shared" si="1225"/>
        <v>23633</v>
      </c>
      <c r="W2169" s="346"/>
      <c r="X2169" s="294">
        <f t="shared" si="1226"/>
        <v>8139</v>
      </c>
      <c r="Y2169" s="346"/>
      <c r="Z2169" s="294">
        <f t="shared" si="1227"/>
        <v>44029</v>
      </c>
    </row>
    <row r="2170" spans="2:26">
      <c r="B2170" s="317" t="s">
        <v>1321</v>
      </c>
      <c r="D2170" s="293">
        <f t="shared" si="1215"/>
        <v>526375.08441298595</v>
      </c>
      <c r="E2170" s="293">
        <f t="shared" si="1215"/>
        <v>648715</v>
      </c>
      <c r="G2170" s="377"/>
      <c r="H2170" s="343"/>
      <c r="L2170" s="377">
        <f t="shared" si="1221"/>
        <v>2.9339</v>
      </c>
      <c r="M2170" s="343" t="s">
        <v>1062</v>
      </c>
      <c r="N2170" s="377">
        <f t="shared" si="1222"/>
        <v>1.0947</v>
      </c>
      <c r="O2170" s="343" t="s">
        <v>1062</v>
      </c>
      <c r="P2170" s="377">
        <f t="shared" si="1223"/>
        <v>1.9481999999999999</v>
      </c>
      <c r="Q2170" s="343" t="s">
        <v>1062</v>
      </c>
      <c r="R2170" s="377">
        <f t="shared" si="1220"/>
        <v>5.9767999999999999</v>
      </c>
      <c r="S2170" s="343" t="s">
        <v>1062</v>
      </c>
      <c r="T2170" s="294">
        <f t="shared" si="1224"/>
        <v>19033</v>
      </c>
      <c r="U2170" s="346"/>
      <c r="V2170" s="294">
        <f t="shared" si="1225"/>
        <v>7101</v>
      </c>
      <c r="W2170" s="346"/>
      <c r="X2170" s="294">
        <f t="shared" si="1226"/>
        <v>12638</v>
      </c>
      <c r="Y2170" s="346"/>
      <c r="Z2170" s="294">
        <f t="shared" si="1227"/>
        <v>38772</v>
      </c>
    </row>
    <row r="2171" spans="2:26">
      <c r="B2171" s="317" t="s">
        <v>1323</v>
      </c>
      <c r="D2171" s="293">
        <f t="shared" si="1215"/>
        <v>685.14913294797702</v>
      </c>
      <c r="E2171" s="293">
        <f t="shared" si="1215"/>
        <v>761</v>
      </c>
      <c r="G2171" s="318">
        <v>8.65</v>
      </c>
      <c r="H2171" s="318"/>
      <c r="I2171" s="294">
        <f t="shared" si="1210"/>
        <v>5927</v>
      </c>
      <c r="J2171" s="294">
        <f t="shared" si="1210"/>
        <v>6583</v>
      </c>
      <c r="L2171" s="339"/>
      <c r="M2171" s="318"/>
      <c r="N2171" s="339"/>
      <c r="O2171" s="318"/>
      <c r="P2171" s="339"/>
      <c r="Q2171" s="318"/>
      <c r="R2171" s="339"/>
      <c r="S2171" s="318"/>
      <c r="Y2171" s="319"/>
    </row>
    <row r="2172" spans="2:26">
      <c r="B2172" s="317" t="s">
        <v>1324</v>
      </c>
      <c r="D2172" s="293">
        <f t="shared" si="1215"/>
        <v>691.68735632183905</v>
      </c>
      <c r="E2172" s="293">
        <f t="shared" si="1215"/>
        <v>773</v>
      </c>
      <c r="G2172" s="318">
        <v>8.7000000000000011</v>
      </c>
      <c r="H2172" s="318"/>
      <c r="I2172" s="294">
        <f t="shared" si="1210"/>
        <v>6018</v>
      </c>
      <c r="J2172" s="294">
        <f t="shared" si="1210"/>
        <v>6725</v>
      </c>
      <c r="L2172" s="339"/>
      <c r="M2172" s="318"/>
      <c r="N2172" s="339"/>
      <c r="O2172" s="318"/>
      <c r="P2172" s="339"/>
      <c r="Q2172" s="318"/>
      <c r="R2172" s="339"/>
      <c r="S2172" s="318"/>
      <c r="Y2172" s="319"/>
    </row>
    <row r="2173" spans="2:26">
      <c r="B2173" s="317" t="s">
        <v>1098</v>
      </c>
      <c r="D2173" s="293">
        <f t="shared" si="1215"/>
        <v>0</v>
      </c>
      <c r="E2173" s="293">
        <f t="shared" si="1215"/>
        <v>0</v>
      </c>
      <c r="G2173" s="318">
        <v>-0.48</v>
      </c>
      <c r="H2173" s="318"/>
      <c r="I2173" s="294">
        <f t="shared" si="1210"/>
        <v>0</v>
      </c>
      <c r="J2173" s="294">
        <f t="shared" si="1210"/>
        <v>0</v>
      </c>
      <c r="L2173" s="318">
        <f t="shared" ref="L2173" si="1228">L2106</f>
        <v>-0.48</v>
      </c>
      <c r="M2173" s="318"/>
      <c r="N2173" s="318">
        <f t="shared" ref="N2173" si="1229">N2106</f>
        <v>0</v>
      </c>
      <c r="O2173" s="318"/>
      <c r="P2173" s="318">
        <f t="shared" ref="P2173" si="1230">P2106</f>
        <v>0</v>
      </c>
      <c r="Q2173" s="318"/>
      <c r="R2173" s="318">
        <f t="shared" ref="R2173" si="1231">R2106</f>
        <v>-0.48</v>
      </c>
      <c r="S2173" s="318"/>
      <c r="T2173" s="294">
        <f t="shared" ref="T2173" si="1232">ROUND($E2173*L2173,0)</f>
        <v>0</v>
      </c>
      <c r="V2173" s="294">
        <f t="shared" ref="V2173" si="1233">ROUND($E2173*N2173,0)</f>
        <v>0</v>
      </c>
      <c r="X2173" s="294">
        <f t="shared" ref="X2173" si="1234">ROUND($E2173*P2173,0)</f>
        <v>0</v>
      </c>
      <c r="Y2173" s="319"/>
      <c r="Z2173" s="294">
        <f t="shared" ref="Z2173" si="1235">ROUND($E2173*R2173,0)</f>
        <v>0</v>
      </c>
    </row>
    <row r="2174" spans="2:26">
      <c r="B2174" s="317" t="s">
        <v>1325</v>
      </c>
      <c r="D2174" s="293">
        <f t="shared" si="1215"/>
        <v>250152.48652283178</v>
      </c>
      <c r="E2174" s="293">
        <f t="shared" si="1215"/>
        <v>239106.11425782187</v>
      </c>
      <c r="G2174" s="350">
        <v>11.733599999999999</v>
      </c>
      <c r="H2174" s="343" t="s">
        <v>1062</v>
      </c>
      <c r="I2174" s="294">
        <f t="shared" ref="I2174:J2177" si="1236">ROUND($G2174*D2174/100,0)</f>
        <v>29352</v>
      </c>
      <c r="J2174" s="294">
        <f t="shared" si="1236"/>
        <v>28056</v>
      </c>
      <c r="L2174" s="350"/>
      <c r="M2174" s="343"/>
      <c r="N2174" s="350"/>
      <c r="O2174" s="343"/>
      <c r="P2174" s="350"/>
      <c r="Q2174" s="343"/>
      <c r="R2174" s="350"/>
      <c r="S2174" s="343"/>
      <c r="T2174" s="346"/>
      <c r="U2174" s="346"/>
      <c r="V2174" s="346"/>
      <c r="W2174" s="346"/>
      <c r="X2174" s="346"/>
      <c r="Y2174" s="346"/>
    </row>
    <row r="2175" spans="2:26">
      <c r="B2175" s="317" t="s">
        <v>1326</v>
      </c>
      <c r="D2175" s="293">
        <f t="shared" si="1215"/>
        <v>311137.78789295233</v>
      </c>
      <c r="E2175" s="293">
        <f t="shared" si="1215"/>
        <v>308302</v>
      </c>
      <c r="G2175" s="350">
        <v>6.5782999999999996</v>
      </c>
      <c r="H2175" s="343" t="s">
        <v>1062</v>
      </c>
      <c r="I2175" s="294">
        <f t="shared" si="1236"/>
        <v>20468</v>
      </c>
      <c r="J2175" s="294">
        <f t="shared" si="1236"/>
        <v>20281</v>
      </c>
      <c r="L2175" s="350"/>
      <c r="M2175" s="343"/>
      <c r="N2175" s="350"/>
      <c r="O2175" s="343"/>
      <c r="P2175" s="350"/>
      <c r="Q2175" s="343"/>
      <c r="R2175" s="350"/>
      <c r="S2175" s="343"/>
      <c r="T2175" s="346"/>
      <c r="U2175" s="346"/>
      <c r="V2175" s="346"/>
      <c r="W2175" s="346"/>
      <c r="X2175" s="346"/>
      <c r="Y2175" s="346"/>
    </row>
    <row r="2176" spans="2:26">
      <c r="B2176" s="317" t="s">
        <v>1327</v>
      </c>
      <c r="D2176" s="293">
        <f t="shared" si="1215"/>
        <v>302439.1625254103</v>
      </c>
      <c r="E2176" s="293">
        <f t="shared" si="1215"/>
        <v>409460</v>
      </c>
      <c r="G2176" s="350">
        <v>10.8</v>
      </c>
      <c r="H2176" s="343" t="s">
        <v>1062</v>
      </c>
      <c r="I2176" s="294">
        <f t="shared" si="1236"/>
        <v>32663</v>
      </c>
      <c r="J2176" s="294">
        <f t="shared" si="1236"/>
        <v>44222</v>
      </c>
      <c r="L2176" s="350"/>
      <c r="M2176" s="343"/>
      <c r="N2176" s="350"/>
      <c r="O2176" s="343"/>
      <c r="P2176" s="350"/>
      <c r="Q2176" s="343"/>
      <c r="R2176" s="350"/>
      <c r="S2176" s="343"/>
      <c r="T2176" s="346"/>
      <c r="U2176" s="346"/>
      <c r="V2176" s="346"/>
      <c r="W2176" s="346"/>
      <c r="X2176" s="346"/>
      <c r="Y2176" s="346"/>
    </row>
    <row r="2177" spans="1:29">
      <c r="B2177" s="317" t="s">
        <v>1328</v>
      </c>
      <c r="D2177" s="293">
        <f t="shared" si="1215"/>
        <v>430324.46619551769</v>
      </c>
      <c r="E2177" s="293">
        <f t="shared" si="1215"/>
        <v>572843</v>
      </c>
      <c r="G2177" s="350">
        <v>6.0567000000000002</v>
      </c>
      <c r="H2177" s="343" t="s">
        <v>1062</v>
      </c>
      <c r="I2177" s="294">
        <f t="shared" si="1236"/>
        <v>26063</v>
      </c>
      <c r="J2177" s="294">
        <f t="shared" si="1236"/>
        <v>34695</v>
      </c>
      <c r="L2177" s="350"/>
      <c r="M2177" s="343"/>
      <c r="N2177" s="350"/>
      <c r="O2177" s="343"/>
      <c r="P2177" s="350"/>
      <c r="Q2177" s="343"/>
      <c r="R2177" s="350"/>
      <c r="S2177" s="343"/>
      <c r="T2177" s="346"/>
      <c r="U2177" s="346"/>
      <c r="V2177" s="346"/>
      <c r="W2177" s="346"/>
      <c r="X2177" s="346"/>
      <c r="Y2177" s="346"/>
    </row>
    <row r="2178" spans="1:29">
      <c r="B2178" s="317" t="s">
        <v>1078</v>
      </c>
      <c r="D2178" s="357">
        <f t="shared" ref="D2178:E2178" si="1237">D2201+D2224</f>
        <v>6915</v>
      </c>
      <c r="E2178" s="357">
        <f t="shared" si="1237"/>
        <v>0</v>
      </c>
      <c r="I2178" s="438">
        <f>I2201+I2224</f>
        <v>727</v>
      </c>
      <c r="J2178" s="438">
        <f t="shared" ref="J2178" si="1238">J2201+J2224</f>
        <v>0</v>
      </c>
      <c r="Z2178" s="438">
        <f t="shared" ref="Z2178" si="1239">Z2201+Z2224</f>
        <v>0</v>
      </c>
    </row>
    <row r="2179" spans="1:29">
      <c r="B2179" s="317" t="s">
        <v>1079</v>
      </c>
      <c r="G2179" s="338">
        <v>-3.3099999999999997E-2</v>
      </c>
      <c r="H2179" s="339"/>
      <c r="I2179" s="294">
        <f>SUM(I2171:I2172,I2174:I2177)*$G2179</f>
        <v>-3988.2520999999997</v>
      </c>
      <c r="J2179" s="294">
        <f>SUM(J2171:J2172,J2174:J2177)*$G2179</f>
        <v>-4652.6021999999994</v>
      </c>
      <c r="L2179" s="338"/>
      <c r="M2179" s="339"/>
      <c r="N2179" s="338"/>
      <c r="O2179" s="339"/>
      <c r="P2179" s="359" t="str">
        <f>$P$43</f>
        <v>Tax Year 1</v>
      </c>
      <c r="Q2179" s="339"/>
      <c r="R2179" s="338">
        <f>$AD$1988</f>
        <v>-2.2499999999999999E-2</v>
      </c>
      <c r="S2179" s="339"/>
      <c r="Z2179" s="294">
        <f>R2179*SUM(Z2165:Z2170)</f>
        <v>-3122.3474999999999</v>
      </c>
    </row>
    <row r="2180" spans="1:29">
      <c r="B2180" s="317"/>
      <c r="G2180" s="338"/>
      <c r="H2180" s="339"/>
      <c r="L2180" s="338"/>
      <c r="M2180" s="339"/>
      <c r="N2180" s="338"/>
      <c r="O2180" s="339"/>
      <c r="P2180" s="359" t="str">
        <f>$P$44</f>
        <v>Tax Year 2</v>
      </c>
      <c r="Q2180" s="339"/>
      <c r="R2180" s="338">
        <f>$AD$1989</f>
        <v>-1.12E-2</v>
      </c>
      <c r="S2180" s="339"/>
      <c r="Z2180" s="294">
        <f>R2180*SUM(Z2165:Z2170)</f>
        <v>-1554.2352000000001</v>
      </c>
    </row>
    <row r="2181" spans="1:29" ht="16.5" thickBot="1">
      <c r="A2181" s="292">
        <v>1</v>
      </c>
      <c r="B2181" s="317" t="s">
        <v>937</v>
      </c>
      <c r="D2181" s="381">
        <f>SUM(D2174:D2178)</f>
        <v>1300968.903136712</v>
      </c>
      <c r="E2181" s="381">
        <f>SUM(E2174:E2178)</f>
        <v>1529711.1142578218</v>
      </c>
      <c r="G2181" s="368"/>
      <c r="I2181" s="369">
        <f>SUM(I2161:I2179)</f>
        <v>123287.7479</v>
      </c>
      <c r="J2181" s="369">
        <f>SUM(J2161:J2179)</f>
        <v>152155.39780000001</v>
      </c>
      <c r="L2181" s="368"/>
      <c r="N2181" s="368"/>
      <c r="P2181" s="368"/>
      <c r="Q2181" s="339"/>
      <c r="R2181" s="368"/>
      <c r="S2181" s="339"/>
      <c r="T2181" s="364">
        <f>SUM(T2161:T2178)</f>
        <v>74018</v>
      </c>
      <c r="V2181" s="364">
        <f>SUM(V2161:V2178)</f>
        <v>50372</v>
      </c>
      <c r="X2181" s="364">
        <f>SUM(X2161:X2178)</f>
        <v>30625</v>
      </c>
      <c r="Z2181" s="364">
        <f>SUM(Z2161:Z2178)</f>
        <v>155017</v>
      </c>
      <c r="AB2181" s="305" t="s">
        <v>939</v>
      </c>
      <c r="AC2181" s="304">
        <f>Z2181/J2181-1</f>
        <v>1.8807102747425475E-2</v>
      </c>
    </row>
    <row r="2182" spans="1:29" ht="16.5" thickTop="1"/>
    <row r="2183" spans="1:29">
      <c r="B2183" s="314" t="s">
        <v>1027</v>
      </c>
    </row>
    <row r="2184" spans="1:29">
      <c r="B2184" s="317" t="s">
        <v>1089</v>
      </c>
      <c r="D2184" s="293">
        <f>'[7]23'!G34</f>
        <v>80.8</v>
      </c>
      <c r="E2184" s="293">
        <f>[7]Bill!P26</f>
        <v>322</v>
      </c>
      <c r="G2184" s="339">
        <v>10</v>
      </c>
      <c r="H2184" s="339"/>
      <c r="I2184" s="294">
        <f t="shared" ref="I2184:J2196" si="1240">ROUND($G2184*D2184,0)</f>
        <v>808</v>
      </c>
      <c r="J2184" s="294">
        <f t="shared" si="1240"/>
        <v>3220</v>
      </c>
      <c r="L2184" s="339">
        <f>L2161</f>
        <v>10</v>
      </c>
      <c r="M2184" s="339"/>
      <c r="N2184" s="339">
        <f>N2161</f>
        <v>0</v>
      </c>
      <c r="O2184" s="339"/>
      <c r="P2184" s="339">
        <f>P2161</f>
        <v>0</v>
      </c>
      <c r="Q2184" s="339"/>
      <c r="R2184" s="339">
        <f t="shared" ref="R2184:R2193" si="1241">R2161</f>
        <v>10</v>
      </c>
      <c r="S2184" s="339"/>
      <c r="T2184" s="294">
        <f t="shared" ref="T2184:T2189" si="1242">ROUND($E2184*L2184,0)</f>
        <v>3220</v>
      </c>
      <c r="V2184" s="294">
        <f t="shared" ref="V2184:V2189" si="1243">ROUND($E2184*N2184,0)</f>
        <v>0</v>
      </c>
      <c r="X2184" s="294">
        <f t="shared" ref="X2184:X2189" si="1244">ROUND($E2184*P2184,0)</f>
        <v>0</v>
      </c>
      <c r="Z2184" s="294">
        <f t="shared" ref="Z2184:Z2189" si="1245">ROUND($E2184*R2184,0)</f>
        <v>3220</v>
      </c>
    </row>
    <row r="2185" spans="1:29">
      <c r="B2185" s="317" t="s">
        <v>1099</v>
      </c>
      <c r="D2185" s="293">
        <v>0</v>
      </c>
      <c r="E2185" s="293">
        <f>ROUND(D2185/D2184*E2184,0)</f>
        <v>0</v>
      </c>
      <c r="G2185" s="339">
        <v>120</v>
      </c>
      <c r="H2185" s="339"/>
      <c r="I2185" s="294">
        <f t="shared" si="1240"/>
        <v>0</v>
      </c>
      <c r="J2185" s="294">
        <f t="shared" si="1240"/>
        <v>0</v>
      </c>
      <c r="L2185" s="339">
        <f t="shared" ref="L2185:L2193" si="1246">L2162</f>
        <v>119</v>
      </c>
      <c r="M2185" s="339"/>
      <c r="N2185" s="339">
        <f t="shared" ref="N2185:N2193" si="1247">N2162</f>
        <v>0</v>
      </c>
      <c r="O2185" s="339"/>
      <c r="P2185" s="339">
        <f t="shared" ref="P2185:P2193" si="1248">P2162</f>
        <v>0</v>
      </c>
      <c r="Q2185" s="339"/>
      <c r="R2185" s="339">
        <f t="shared" si="1241"/>
        <v>119</v>
      </c>
      <c r="S2185" s="339"/>
      <c r="T2185" s="294">
        <f t="shared" si="1242"/>
        <v>0</v>
      </c>
      <c r="V2185" s="294">
        <f t="shared" si="1243"/>
        <v>0</v>
      </c>
      <c r="X2185" s="294">
        <f t="shared" si="1244"/>
        <v>0</v>
      </c>
      <c r="Z2185" s="294">
        <f t="shared" si="1245"/>
        <v>0</v>
      </c>
    </row>
    <row r="2186" spans="1:29">
      <c r="B2186" s="317" t="s">
        <v>1050</v>
      </c>
      <c r="D2186" s="293">
        <f>'[7]23'!W34</f>
        <v>34</v>
      </c>
      <c r="E2186" s="293">
        <f>ROUND(D2186/D2184*E2184,0)</f>
        <v>135</v>
      </c>
      <c r="G2186" s="339">
        <v>2</v>
      </c>
      <c r="H2186" s="339"/>
      <c r="I2186" s="294">
        <f t="shared" si="1240"/>
        <v>68</v>
      </c>
      <c r="J2186" s="294">
        <f t="shared" si="1240"/>
        <v>270</v>
      </c>
      <c r="L2186" s="339">
        <f t="shared" si="1246"/>
        <v>2</v>
      </c>
      <c r="M2186" s="339"/>
      <c r="N2186" s="339">
        <f t="shared" si="1247"/>
        <v>0</v>
      </c>
      <c r="O2186" s="339"/>
      <c r="P2186" s="339">
        <f t="shared" si="1248"/>
        <v>0</v>
      </c>
      <c r="Q2186" s="339"/>
      <c r="R2186" s="339">
        <f t="shared" si="1241"/>
        <v>2</v>
      </c>
      <c r="S2186" s="339"/>
      <c r="T2186" s="294">
        <f t="shared" si="1242"/>
        <v>270</v>
      </c>
      <c r="V2186" s="294">
        <f t="shared" si="1243"/>
        <v>0</v>
      </c>
      <c r="X2186" s="294">
        <f t="shared" si="1244"/>
        <v>0</v>
      </c>
      <c r="Z2186" s="294">
        <f t="shared" si="1245"/>
        <v>270</v>
      </c>
    </row>
    <row r="2187" spans="1:29">
      <c r="B2187" s="317" t="s">
        <v>1100</v>
      </c>
      <c r="D2187" s="293">
        <f>'[7]23'!AH34</f>
        <v>0</v>
      </c>
      <c r="E2187" s="293">
        <f>ROUND(D2187/D2184*E2184,0)</f>
        <v>0</v>
      </c>
      <c r="G2187" s="339">
        <v>10</v>
      </c>
      <c r="H2187" s="339"/>
      <c r="I2187" s="294">
        <f t="shared" si="1240"/>
        <v>0</v>
      </c>
      <c r="J2187" s="294">
        <f t="shared" si="1240"/>
        <v>0</v>
      </c>
      <c r="L2187" s="339">
        <f t="shared" si="1246"/>
        <v>10</v>
      </c>
      <c r="M2187" s="339"/>
      <c r="N2187" s="339">
        <f t="shared" si="1247"/>
        <v>0</v>
      </c>
      <c r="O2187" s="339"/>
      <c r="P2187" s="339">
        <f t="shared" si="1248"/>
        <v>0</v>
      </c>
      <c r="Q2187" s="339"/>
      <c r="R2187" s="339">
        <f t="shared" si="1241"/>
        <v>10</v>
      </c>
      <c r="S2187" s="339"/>
      <c r="T2187" s="294">
        <f t="shared" si="1242"/>
        <v>0</v>
      </c>
      <c r="V2187" s="294">
        <f t="shared" si="1243"/>
        <v>0</v>
      </c>
      <c r="X2187" s="294">
        <f t="shared" si="1244"/>
        <v>0</v>
      </c>
      <c r="Z2187" s="294">
        <f t="shared" si="1245"/>
        <v>0</v>
      </c>
    </row>
    <row r="2188" spans="1:29">
      <c r="B2188" s="317" t="s">
        <v>1316</v>
      </c>
      <c r="D2188" s="293">
        <f>'[7]23'!I34+'[7]23-may'!I34</f>
        <v>26</v>
      </c>
      <c r="E2188" s="293">
        <f>ROUND(D2188/D2204*E2204,0)</f>
        <v>54</v>
      </c>
      <c r="G2188" s="339"/>
      <c r="H2188" s="339"/>
      <c r="L2188" s="339">
        <f t="shared" si="1246"/>
        <v>9.07</v>
      </c>
      <c r="M2188" s="339"/>
      <c r="N2188" s="339">
        <f t="shared" si="1247"/>
        <v>0</v>
      </c>
      <c r="O2188" s="339"/>
      <c r="P2188" s="339">
        <f t="shared" si="1248"/>
        <v>0</v>
      </c>
      <c r="Q2188" s="339"/>
      <c r="R2188" s="339">
        <f t="shared" si="1241"/>
        <v>9.07</v>
      </c>
      <c r="S2188" s="339"/>
      <c r="T2188" s="294">
        <f t="shared" si="1242"/>
        <v>490</v>
      </c>
      <c r="V2188" s="294">
        <f t="shared" si="1243"/>
        <v>0</v>
      </c>
      <c r="X2188" s="294">
        <f t="shared" si="1244"/>
        <v>0</v>
      </c>
      <c r="Z2188" s="294">
        <f t="shared" si="1245"/>
        <v>490</v>
      </c>
    </row>
    <row r="2189" spans="1:29">
      <c r="B2189" s="317" t="s">
        <v>1317</v>
      </c>
      <c r="D2189" s="293">
        <f>'[7]23'!J34+'[7]23-may'!J34</f>
        <v>45</v>
      </c>
      <c r="E2189" s="293">
        <f>ROUND(D2189/D2204*E2204,0)</f>
        <v>94</v>
      </c>
      <c r="G2189" s="339"/>
      <c r="H2189" s="339"/>
      <c r="L2189" s="339">
        <f t="shared" si="1246"/>
        <v>8.0299999999999994</v>
      </c>
      <c r="M2189" s="339"/>
      <c r="N2189" s="339">
        <f t="shared" si="1247"/>
        <v>0</v>
      </c>
      <c r="O2189" s="339"/>
      <c r="P2189" s="339">
        <f t="shared" si="1248"/>
        <v>0</v>
      </c>
      <c r="Q2189" s="339"/>
      <c r="R2189" s="339">
        <f t="shared" si="1241"/>
        <v>8.0299999999999994</v>
      </c>
      <c r="S2189" s="339"/>
      <c r="T2189" s="294">
        <f t="shared" si="1242"/>
        <v>755</v>
      </c>
      <c r="V2189" s="294">
        <f t="shared" si="1243"/>
        <v>0</v>
      </c>
      <c r="X2189" s="294">
        <f t="shared" si="1244"/>
        <v>0</v>
      </c>
      <c r="Z2189" s="294">
        <f t="shared" si="1245"/>
        <v>755</v>
      </c>
    </row>
    <row r="2190" spans="1:29">
      <c r="B2190" s="317" t="s">
        <v>1318</v>
      </c>
      <c r="D2190" s="293">
        <f>'[7]23'!N34+[7]TempRevMay!W327+'[7]23-may'!N34</f>
        <v>20901.987155416205</v>
      </c>
      <c r="E2190" s="293">
        <f>E2204-SUM(E2191:F2193)</f>
        <v>37926.333333333314</v>
      </c>
      <c r="G2190" s="377"/>
      <c r="H2190" s="343"/>
      <c r="L2190" s="377">
        <f t="shared" si="1246"/>
        <v>2.9339</v>
      </c>
      <c r="M2190" s="343" t="s">
        <v>1062</v>
      </c>
      <c r="N2190" s="377">
        <f t="shared" si="1247"/>
        <v>6.8490496173940008</v>
      </c>
      <c r="O2190" s="343" t="s">
        <v>1062</v>
      </c>
      <c r="P2190" s="377">
        <f t="shared" si="1248"/>
        <v>2.1261000000000001</v>
      </c>
      <c r="Q2190" s="343" t="s">
        <v>1062</v>
      </c>
      <c r="R2190" s="377">
        <f t="shared" si="1241"/>
        <v>11.909049617394</v>
      </c>
      <c r="S2190" s="343" t="s">
        <v>1062</v>
      </c>
      <c r="T2190" s="294">
        <f>ROUND($E2190*L2190/100,0)</f>
        <v>1113</v>
      </c>
      <c r="U2190" s="346"/>
      <c r="V2190" s="294">
        <f>ROUND($E2190*N2190/100,0)</f>
        <v>2598</v>
      </c>
      <c r="W2190" s="346"/>
      <c r="X2190" s="294">
        <f>ROUND($E2190*P2190/100,0)</f>
        <v>806</v>
      </c>
      <c r="Y2190" s="346"/>
      <c r="Z2190" s="294">
        <f>ROUND($E2190*R2190/100,0)</f>
        <v>4517</v>
      </c>
    </row>
    <row r="2191" spans="1:29">
      <c r="B2191" s="317" t="s">
        <v>1319</v>
      </c>
      <c r="D2191" s="293">
        <f>'[7]23'!O34+[7]TempRevMay!W328+'[7]23-may'!O34</f>
        <v>35127.494916347903</v>
      </c>
      <c r="E2191" s="293">
        <f>ROUND(D2191/(D2190+D2191)*[7]Energy!S26,0)</f>
        <v>63738</v>
      </c>
      <c r="G2191" s="377"/>
      <c r="H2191" s="343"/>
      <c r="L2191" s="377">
        <f t="shared" si="1246"/>
        <v>2.9339</v>
      </c>
      <c r="M2191" s="343" t="s">
        <v>1062</v>
      </c>
      <c r="N2191" s="377">
        <f t="shared" si="1247"/>
        <v>1.6937496173940008</v>
      </c>
      <c r="O2191" s="343" t="s">
        <v>1062</v>
      </c>
      <c r="P2191" s="377">
        <f t="shared" si="1248"/>
        <v>2.1261000000000001</v>
      </c>
      <c r="Q2191" s="343" t="s">
        <v>1062</v>
      </c>
      <c r="R2191" s="377">
        <f t="shared" si="1241"/>
        <v>6.7537496173940008</v>
      </c>
      <c r="S2191" s="343" t="s">
        <v>1062</v>
      </c>
      <c r="T2191" s="294">
        <f t="shared" ref="T2191:T2193" si="1249">ROUND($E2191*L2191/100,0)</f>
        <v>1870</v>
      </c>
      <c r="U2191" s="346"/>
      <c r="V2191" s="294">
        <f t="shared" ref="V2191:V2193" si="1250">ROUND($E2191*N2191/100,0)</f>
        <v>1080</v>
      </c>
      <c r="W2191" s="346"/>
      <c r="X2191" s="294">
        <f t="shared" ref="X2191:X2193" si="1251">ROUND($E2191*P2191/100,0)</f>
        <v>1355</v>
      </c>
      <c r="Y2191" s="346"/>
      <c r="Z2191" s="294">
        <f t="shared" ref="Z2191:Z2193" si="1252">ROUND($E2191*R2191/100,0)</f>
        <v>4305</v>
      </c>
    </row>
    <row r="2192" spans="1:29">
      <c r="B2192" s="317" t="s">
        <v>1320</v>
      </c>
      <c r="D2192" s="293">
        <f>'[7]23'!Q34+[7]TempRevMay!W329+'[7]23-may'!Q34</f>
        <v>39524.867974118919</v>
      </c>
      <c r="E2192" s="293">
        <f>ROUND(D2192/(D2192+D2193)*[7]Energy!T26,0)</f>
        <v>90285</v>
      </c>
      <c r="G2192" s="377"/>
      <c r="H2192" s="343"/>
      <c r="L2192" s="377">
        <f t="shared" si="1246"/>
        <v>2.9339</v>
      </c>
      <c r="M2192" s="343" t="s">
        <v>1062</v>
      </c>
      <c r="N2192" s="377">
        <f t="shared" si="1247"/>
        <v>5.6569000000000003</v>
      </c>
      <c r="O2192" s="343" t="s">
        <v>1062</v>
      </c>
      <c r="P2192" s="377">
        <f t="shared" si="1248"/>
        <v>1.9481999999999999</v>
      </c>
      <c r="Q2192" s="343" t="s">
        <v>1062</v>
      </c>
      <c r="R2192" s="377">
        <f t="shared" si="1241"/>
        <v>10.539</v>
      </c>
      <c r="S2192" s="343" t="s">
        <v>1062</v>
      </c>
      <c r="T2192" s="294">
        <f t="shared" si="1249"/>
        <v>2649</v>
      </c>
      <c r="U2192" s="346"/>
      <c r="V2192" s="294">
        <f t="shared" si="1250"/>
        <v>5107</v>
      </c>
      <c r="W2192" s="346"/>
      <c r="X2192" s="294">
        <f t="shared" si="1251"/>
        <v>1759</v>
      </c>
      <c r="Y2192" s="346"/>
      <c r="Z2192" s="294">
        <f t="shared" si="1252"/>
        <v>9515</v>
      </c>
    </row>
    <row r="2193" spans="2:29">
      <c r="B2193" s="317" t="s">
        <v>1321</v>
      </c>
      <c r="D2193" s="293">
        <f>'[7]23'!R34+[7]TempRevMay!W330+'[7]23-may'!R34</f>
        <v>48663.65053124704</v>
      </c>
      <c r="E2193" s="293">
        <f>ROUND(D2193/(D2192+D2193)*[7]Energy!T26,0)</f>
        <v>111160</v>
      </c>
      <c r="G2193" s="377"/>
      <c r="H2193" s="343"/>
      <c r="L2193" s="377">
        <f t="shared" si="1246"/>
        <v>2.9339</v>
      </c>
      <c r="M2193" s="343" t="s">
        <v>1062</v>
      </c>
      <c r="N2193" s="377">
        <f t="shared" si="1247"/>
        <v>1.0947</v>
      </c>
      <c r="O2193" s="343" t="s">
        <v>1062</v>
      </c>
      <c r="P2193" s="377">
        <f t="shared" si="1248"/>
        <v>1.9481999999999999</v>
      </c>
      <c r="Q2193" s="343" t="s">
        <v>1062</v>
      </c>
      <c r="R2193" s="377">
        <f t="shared" si="1241"/>
        <v>5.9767999999999999</v>
      </c>
      <c r="S2193" s="343" t="s">
        <v>1062</v>
      </c>
      <c r="T2193" s="294">
        <f t="shared" si="1249"/>
        <v>3261</v>
      </c>
      <c r="U2193" s="346"/>
      <c r="V2193" s="294">
        <f t="shared" si="1250"/>
        <v>1217</v>
      </c>
      <c r="W2193" s="346"/>
      <c r="X2193" s="294">
        <f t="shared" si="1251"/>
        <v>2166</v>
      </c>
      <c r="Y2193" s="346"/>
      <c r="Z2193" s="294">
        <f t="shared" si="1252"/>
        <v>6644</v>
      </c>
    </row>
    <row r="2194" spans="2:29">
      <c r="B2194" s="317" t="s">
        <v>1323</v>
      </c>
      <c r="D2194" s="293">
        <f>'[7]23'!I34</f>
        <v>33</v>
      </c>
      <c r="E2194" s="293">
        <f>ROUND(D2194/D2204*E2204,0)</f>
        <v>69</v>
      </c>
      <c r="G2194" s="339">
        <v>8.65</v>
      </c>
      <c r="H2194" s="339"/>
      <c r="I2194" s="294">
        <f t="shared" si="1240"/>
        <v>285</v>
      </c>
      <c r="J2194" s="294">
        <f t="shared" si="1240"/>
        <v>597</v>
      </c>
      <c r="L2194" s="339"/>
      <c r="M2194" s="339"/>
      <c r="N2194" s="339"/>
      <c r="O2194" s="339"/>
      <c r="P2194" s="339"/>
      <c r="Q2194" s="339"/>
      <c r="R2194" s="339"/>
      <c r="S2194" s="339"/>
    </row>
    <row r="2195" spans="2:29">
      <c r="B2195" s="317" t="s">
        <v>1324</v>
      </c>
      <c r="D2195" s="293">
        <f>'[7]23'!J34</f>
        <v>38</v>
      </c>
      <c r="E2195" s="293">
        <f>ROUND(D2195/D2204*E2204,0)</f>
        <v>79</v>
      </c>
      <c r="G2195" s="339">
        <v>8.7000000000000011</v>
      </c>
      <c r="H2195" s="339"/>
      <c r="I2195" s="294">
        <f t="shared" si="1240"/>
        <v>331</v>
      </c>
      <c r="J2195" s="294">
        <f t="shared" si="1240"/>
        <v>687</v>
      </c>
      <c r="L2195" s="339"/>
      <c r="M2195" s="339"/>
      <c r="N2195" s="339"/>
      <c r="O2195" s="339"/>
      <c r="P2195" s="339"/>
      <c r="Q2195" s="339"/>
      <c r="R2195" s="339"/>
      <c r="S2195" s="339"/>
    </row>
    <row r="2196" spans="2:29">
      <c r="B2196" s="317" t="s">
        <v>1098</v>
      </c>
      <c r="D2196" s="293">
        <f>'[7]23'!K34</f>
        <v>0</v>
      </c>
      <c r="E2196" s="293">
        <f>ROUND(D2196/D2204*E2204,0)</f>
        <v>0</v>
      </c>
      <c r="G2196" s="339">
        <v>-0.48</v>
      </c>
      <c r="H2196" s="339"/>
      <c r="I2196" s="294">
        <f t="shared" si="1240"/>
        <v>0</v>
      </c>
      <c r="J2196" s="294">
        <f t="shared" si="1240"/>
        <v>0</v>
      </c>
      <c r="L2196" s="339">
        <f>L2173</f>
        <v>-0.48</v>
      </c>
      <c r="M2196" s="339"/>
      <c r="N2196" s="339">
        <f>N2173</f>
        <v>0</v>
      </c>
      <c r="O2196" s="339"/>
      <c r="P2196" s="339">
        <f>P2173</f>
        <v>0</v>
      </c>
      <c r="Q2196" s="339"/>
      <c r="R2196" s="339">
        <f>R2173</f>
        <v>-0.48</v>
      </c>
      <c r="S2196" s="339"/>
      <c r="T2196" s="294">
        <f t="shared" ref="T2196" si="1253">ROUND($E2196*L2196,0)</f>
        <v>0</v>
      </c>
      <c r="V2196" s="294">
        <f t="shared" ref="V2196" si="1254">ROUND($E2196*N2196,0)</f>
        <v>0</v>
      </c>
      <c r="X2196" s="294">
        <f t="shared" ref="X2196" si="1255">ROUND($E2196*P2196,0)</f>
        <v>0</v>
      </c>
      <c r="Z2196" s="294">
        <f t="shared" ref="Z2196" si="1256">ROUND($E2196*R2196,0)</f>
        <v>0</v>
      </c>
    </row>
    <row r="2197" spans="2:29">
      <c r="B2197" s="317" t="s">
        <v>1325</v>
      </c>
      <c r="D2197" s="293">
        <f>'[7]23'!N34+[7]TempRev!W327</f>
        <v>25924.992708098362</v>
      </c>
      <c r="E2197" s="293">
        <f>E2204-SUM(E2198:E2201)</f>
        <v>47537.333333333314</v>
      </c>
      <c r="G2197" s="377">
        <v>11.733599999999999</v>
      </c>
      <c r="H2197" s="343" t="s">
        <v>1062</v>
      </c>
      <c r="I2197" s="294">
        <f t="shared" ref="I2197:J2200" si="1257">ROUND($G2197*D2197/100,0)</f>
        <v>3042</v>
      </c>
      <c r="J2197" s="294">
        <f t="shared" si="1257"/>
        <v>5578</v>
      </c>
      <c r="L2197" s="377"/>
      <c r="M2197" s="343"/>
      <c r="N2197" s="377"/>
      <c r="O2197" s="343"/>
      <c r="P2197" s="377"/>
      <c r="Q2197" s="343"/>
      <c r="R2197" s="377"/>
      <c r="S2197" s="343"/>
      <c r="T2197" s="346"/>
      <c r="U2197" s="346"/>
      <c r="V2197" s="346"/>
      <c r="W2197" s="346"/>
      <c r="X2197" s="346"/>
      <c r="Y2197" s="346"/>
    </row>
    <row r="2198" spans="2:29">
      <c r="B2198" s="317" t="s">
        <v>1326</v>
      </c>
      <c r="D2198" s="293">
        <f>'[7]23'!O34+[7]TempRev!W328</f>
        <v>43379.4482922647</v>
      </c>
      <c r="E2198" s="293">
        <f>ROUND(D2198/(D2197+D2198)*[7]Energy!Q26,0)</f>
        <v>79543</v>
      </c>
      <c r="G2198" s="377">
        <v>6.5782999999999996</v>
      </c>
      <c r="H2198" s="343" t="s">
        <v>1062</v>
      </c>
      <c r="I2198" s="294">
        <f t="shared" si="1257"/>
        <v>2854</v>
      </c>
      <c r="J2198" s="294">
        <f t="shared" si="1257"/>
        <v>5233</v>
      </c>
      <c r="L2198" s="377"/>
      <c r="M2198" s="343"/>
      <c r="N2198" s="377"/>
      <c r="O2198" s="343"/>
      <c r="P2198" s="377"/>
      <c r="Q2198" s="343"/>
      <c r="R2198" s="377"/>
      <c r="S2198" s="343"/>
      <c r="T2198" s="346"/>
      <c r="U2198" s="346"/>
      <c r="V2198" s="346"/>
      <c r="W2198" s="346"/>
      <c r="X2198" s="346"/>
      <c r="Y2198" s="346"/>
    </row>
    <row r="2199" spans="2:29">
      <c r="B2199" s="317" t="s">
        <v>1327</v>
      </c>
      <c r="D2199" s="293">
        <f>'[7]23'!Q34+[7]TempRev!W329</f>
        <v>34501.862421436766</v>
      </c>
      <c r="E2199" s="293">
        <f>ROUND(D2199/(D2199+D2200)*[7]Energy!R26,0)</f>
        <v>81071</v>
      </c>
      <c r="G2199" s="377">
        <v>10.8</v>
      </c>
      <c r="H2199" s="343" t="s">
        <v>1062</v>
      </c>
      <c r="I2199" s="294">
        <f t="shared" si="1257"/>
        <v>3726</v>
      </c>
      <c r="J2199" s="294">
        <f t="shared" si="1257"/>
        <v>8756</v>
      </c>
      <c r="L2199" s="377"/>
      <c r="M2199" s="343"/>
      <c r="N2199" s="377"/>
      <c r="O2199" s="343"/>
      <c r="P2199" s="377"/>
      <c r="Q2199" s="343"/>
      <c r="R2199" s="377"/>
      <c r="S2199" s="343"/>
      <c r="T2199" s="346"/>
      <c r="U2199" s="346"/>
      <c r="V2199" s="346"/>
      <c r="W2199" s="346"/>
      <c r="X2199" s="346"/>
      <c r="Y2199" s="346"/>
    </row>
    <row r="2200" spans="2:29">
      <c r="B2200" s="317" t="s">
        <v>1328</v>
      </c>
      <c r="D2200" s="293">
        <f>'[7]23'!R34+[7]TempRev!W330</f>
        <v>40411.697155330243</v>
      </c>
      <c r="E2200" s="293">
        <f>ROUND(D2200/(D2199+D2200)*[7]Energy!R26,0)</f>
        <v>94958</v>
      </c>
      <c r="G2200" s="377">
        <v>6.0567000000000002</v>
      </c>
      <c r="H2200" s="343" t="s">
        <v>1062</v>
      </c>
      <c r="I2200" s="294">
        <f t="shared" si="1257"/>
        <v>2448</v>
      </c>
      <c r="J2200" s="294">
        <f t="shared" si="1257"/>
        <v>5751</v>
      </c>
      <c r="L2200" s="377"/>
      <c r="M2200" s="343"/>
      <c r="N2200" s="377"/>
      <c r="O2200" s="343"/>
      <c r="P2200" s="377"/>
      <c r="Q2200" s="343"/>
      <c r="R2200" s="377"/>
      <c r="S2200" s="343"/>
      <c r="T2200" s="346"/>
      <c r="U2200" s="346"/>
      <c r="V2200" s="346"/>
      <c r="W2200" s="346"/>
      <c r="X2200" s="346"/>
      <c r="Y2200" s="346"/>
    </row>
    <row r="2201" spans="2:29">
      <c r="B2201" s="317" t="s">
        <v>1078</v>
      </c>
      <c r="D2201" s="357">
        <f>'[7]Table 2'!J27</f>
        <v>818</v>
      </c>
      <c r="E2201" s="357">
        <v>0</v>
      </c>
      <c r="I2201" s="358">
        <f>'[7]Table 3'!F27</f>
        <v>81</v>
      </c>
      <c r="J2201" s="358">
        <v>0</v>
      </c>
      <c r="Z2201" s="358">
        <v>0</v>
      </c>
    </row>
    <row r="2202" spans="2:29">
      <c r="B2202" s="317" t="s">
        <v>1079</v>
      </c>
      <c r="G2202" s="338">
        <v>-3.3099999999999997E-2</v>
      </c>
      <c r="H2202" s="339"/>
      <c r="I2202" s="294">
        <f>SUM(I2194:I2195,I2197:I2200)*$G2202</f>
        <v>-419.90659999999997</v>
      </c>
      <c r="J2202" s="294">
        <f>SUM(J2194:J2195,J2197:J2200)*$G2202</f>
        <v>-880.5261999999999</v>
      </c>
      <c r="L2202" s="338"/>
      <c r="M2202" s="339"/>
      <c r="N2202" s="338"/>
      <c r="O2202" s="339"/>
      <c r="P2202" s="359" t="str">
        <f>$P$43</f>
        <v>Tax Year 1</v>
      </c>
      <c r="Q2202" s="339"/>
      <c r="R2202" s="338">
        <f>$AD$1988</f>
        <v>-2.2499999999999999E-2</v>
      </c>
      <c r="S2202" s="339"/>
      <c r="Z2202" s="294">
        <f>R2202*SUM(Z2188:Z2193)</f>
        <v>-590.08499999999992</v>
      </c>
    </row>
    <row r="2203" spans="2:29">
      <c r="B2203" s="317"/>
      <c r="G2203" s="338"/>
      <c r="H2203" s="339"/>
      <c r="L2203" s="338"/>
      <c r="M2203" s="339"/>
      <c r="N2203" s="338"/>
      <c r="O2203" s="339"/>
      <c r="P2203" s="359" t="str">
        <f>$P$44</f>
        <v>Tax Year 2</v>
      </c>
      <c r="Q2203" s="339"/>
      <c r="R2203" s="338">
        <f>$AD$1989</f>
        <v>-1.12E-2</v>
      </c>
      <c r="S2203" s="339"/>
      <c r="Z2203" s="294">
        <f>R2203*SUM(Z2188:Z2193)</f>
        <v>-293.7312</v>
      </c>
    </row>
    <row r="2204" spans="2:29" ht="16.5" thickBot="1">
      <c r="B2204" s="317" t="s">
        <v>937</v>
      </c>
      <c r="D2204" s="381">
        <f>SUM(D2197:D2200,D2201)</f>
        <v>145036.00057713006</v>
      </c>
      <c r="E2204" s="381">
        <f>[7]Energy!P26</f>
        <v>303109.33333333331</v>
      </c>
      <c r="G2204" s="368"/>
      <c r="I2204" s="369">
        <f>SUM(I2184:I2202)</f>
        <v>13223.0934</v>
      </c>
      <c r="J2204" s="369">
        <f>SUM(J2184:J2202)</f>
        <v>29211.4738</v>
      </c>
      <c r="L2204" s="368"/>
      <c r="N2204" s="368"/>
      <c r="P2204" s="368"/>
      <c r="Q2204" s="339"/>
      <c r="R2204" s="368"/>
      <c r="S2204" s="339"/>
      <c r="T2204" s="364">
        <f>SUM(T2184:T2201)</f>
        <v>13628</v>
      </c>
      <c r="V2204" s="364">
        <f>SUM(V2184:V2201)</f>
        <v>10002</v>
      </c>
      <c r="X2204" s="364">
        <f>SUM(X2184:X2201)</f>
        <v>6086</v>
      </c>
      <c r="Z2204" s="364">
        <f>SUM(Z2184:Z2201)</f>
        <v>29716</v>
      </c>
      <c r="AB2204" s="305" t="s">
        <v>939</v>
      </c>
      <c r="AC2204" s="304">
        <f>Z2204/J2204-1</f>
        <v>1.7271507882631987E-2</v>
      </c>
    </row>
    <row r="2205" spans="2:29" ht="16.5" thickTop="1"/>
    <row r="2206" spans="2:29">
      <c r="B2206" s="314" t="s">
        <v>1028</v>
      </c>
    </row>
    <row r="2207" spans="2:29">
      <c r="B2207" s="317" t="s">
        <v>1089</v>
      </c>
      <c r="D2207" s="293">
        <f>'[7]23'!G32</f>
        <v>497.238</v>
      </c>
      <c r="E2207" s="293">
        <f>[7]Bill!P51</f>
        <v>1224</v>
      </c>
      <c r="G2207" s="339">
        <v>10</v>
      </c>
      <c r="H2207" s="339"/>
      <c r="I2207" s="294">
        <f t="shared" ref="I2207:J2219" si="1258">ROUND($G2207*D2207,0)</f>
        <v>4972</v>
      </c>
      <c r="J2207" s="294">
        <f t="shared" si="1258"/>
        <v>12240</v>
      </c>
      <c r="L2207" s="339">
        <f>L2161</f>
        <v>10</v>
      </c>
      <c r="M2207" s="339"/>
      <c r="N2207" s="339">
        <f>N2161</f>
        <v>0</v>
      </c>
      <c r="O2207" s="339"/>
      <c r="P2207" s="339">
        <f>P2161</f>
        <v>0</v>
      </c>
      <c r="Q2207" s="339"/>
      <c r="R2207" s="339">
        <f t="shared" ref="R2207:R2216" si="1259">R2161</f>
        <v>10</v>
      </c>
      <c r="S2207" s="339"/>
      <c r="T2207" s="294">
        <f t="shared" ref="T2207:T2212" si="1260">ROUND($E2207*L2207,0)</f>
        <v>12240</v>
      </c>
      <c r="V2207" s="294">
        <f t="shared" ref="V2207:V2212" si="1261">ROUND($E2207*N2207,0)</f>
        <v>0</v>
      </c>
      <c r="X2207" s="294">
        <f t="shared" ref="X2207:X2212" si="1262">ROUND($E2207*P2207,0)</f>
        <v>0</v>
      </c>
      <c r="Z2207" s="294">
        <f t="shared" ref="Z2207:Z2212" si="1263">ROUND($E2207*R2207,0)</f>
        <v>12240</v>
      </c>
    </row>
    <row r="2208" spans="2:29">
      <c r="B2208" s="317" t="s">
        <v>1099</v>
      </c>
      <c r="D2208" s="293">
        <v>0</v>
      </c>
      <c r="E2208" s="293">
        <f>ROUND(D2208/D2207*E2207,0)</f>
        <v>0</v>
      </c>
      <c r="G2208" s="339">
        <v>120</v>
      </c>
      <c r="H2208" s="339"/>
      <c r="I2208" s="294">
        <f t="shared" si="1258"/>
        <v>0</v>
      </c>
      <c r="J2208" s="294">
        <f t="shared" si="1258"/>
        <v>0</v>
      </c>
      <c r="L2208" s="339">
        <f t="shared" ref="L2208:L2216" si="1264">L2162</f>
        <v>119</v>
      </c>
      <c r="M2208" s="339"/>
      <c r="N2208" s="339">
        <f t="shared" ref="N2208:N2216" si="1265">N2162</f>
        <v>0</v>
      </c>
      <c r="O2208" s="339"/>
      <c r="P2208" s="339">
        <f t="shared" ref="P2208:P2216" si="1266">P2162</f>
        <v>0</v>
      </c>
      <c r="Q2208" s="339"/>
      <c r="R2208" s="339">
        <f t="shared" si="1259"/>
        <v>119</v>
      </c>
      <c r="S2208" s="339"/>
      <c r="T2208" s="294">
        <f t="shared" si="1260"/>
        <v>0</v>
      </c>
      <c r="V2208" s="294">
        <f t="shared" si="1261"/>
        <v>0</v>
      </c>
      <c r="X2208" s="294">
        <f t="shared" si="1262"/>
        <v>0</v>
      </c>
      <c r="Z2208" s="294">
        <f t="shared" si="1263"/>
        <v>0</v>
      </c>
    </row>
    <row r="2209" spans="2:26">
      <c r="B2209" s="317" t="s">
        <v>1050</v>
      </c>
      <c r="D2209" s="293">
        <f>'[7]23'!W32</f>
        <v>105</v>
      </c>
      <c r="E2209" s="293">
        <f>ROUND(D2209/D2207*E2207,0)</f>
        <v>258</v>
      </c>
      <c r="G2209" s="339">
        <v>2</v>
      </c>
      <c r="H2209" s="339"/>
      <c r="I2209" s="294">
        <f t="shared" si="1258"/>
        <v>210</v>
      </c>
      <c r="J2209" s="294">
        <f t="shared" si="1258"/>
        <v>516</v>
      </c>
      <c r="L2209" s="339">
        <f t="shared" si="1264"/>
        <v>2</v>
      </c>
      <c r="M2209" s="339"/>
      <c r="N2209" s="339">
        <f t="shared" si="1265"/>
        <v>0</v>
      </c>
      <c r="O2209" s="339"/>
      <c r="P2209" s="339">
        <f t="shared" si="1266"/>
        <v>0</v>
      </c>
      <c r="Q2209" s="339"/>
      <c r="R2209" s="339">
        <f t="shared" si="1259"/>
        <v>2</v>
      </c>
      <c r="S2209" s="339"/>
      <c r="T2209" s="294">
        <f t="shared" si="1260"/>
        <v>516</v>
      </c>
      <c r="V2209" s="294">
        <f t="shared" si="1261"/>
        <v>0</v>
      </c>
      <c r="X2209" s="294">
        <f t="shared" si="1262"/>
        <v>0</v>
      </c>
      <c r="Z2209" s="294">
        <f t="shared" si="1263"/>
        <v>516</v>
      </c>
    </row>
    <row r="2210" spans="2:26">
      <c r="B2210" s="317" t="s">
        <v>1100</v>
      </c>
      <c r="D2210" s="293">
        <f>'[7]23'!AH32</f>
        <v>0</v>
      </c>
      <c r="E2210" s="293">
        <f>ROUND(D2210/D2207*E2207,0)</f>
        <v>0</v>
      </c>
      <c r="G2210" s="339">
        <v>10</v>
      </c>
      <c r="H2210" s="339"/>
      <c r="I2210" s="294">
        <f t="shared" si="1258"/>
        <v>0</v>
      </c>
      <c r="J2210" s="294">
        <f t="shared" si="1258"/>
        <v>0</v>
      </c>
      <c r="L2210" s="339">
        <f t="shared" si="1264"/>
        <v>10</v>
      </c>
      <c r="M2210" s="339"/>
      <c r="N2210" s="339">
        <f t="shared" si="1265"/>
        <v>0</v>
      </c>
      <c r="O2210" s="339"/>
      <c r="P2210" s="339">
        <f t="shared" si="1266"/>
        <v>0</v>
      </c>
      <c r="Q2210" s="339"/>
      <c r="R2210" s="339">
        <f t="shared" si="1259"/>
        <v>10</v>
      </c>
      <c r="S2210" s="339"/>
      <c r="T2210" s="294">
        <f t="shared" si="1260"/>
        <v>0</v>
      </c>
      <c r="V2210" s="294">
        <f t="shared" si="1261"/>
        <v>0</v>
      </c>
      <c r="X2210" s="294">
        <f t="shared" si="1262"/>
        <v>0</v>
      </c>
      <c r="Z2210" s="294">
        <f t="shared" si="1263"/>
        <v>0</v>
      </c>
    </row>
    <row r="2211" spans="2:26">
      <c r="B2211" s="317" t="s">
        <v>1316</v>
      </c>
      <c r="D2211" s="293">
        <f>'[7]23'!I32+'[7]23-may'!I32</f>
        <v>469.28811594685055</v>
      </c>
      <c r="E2211" s="293">
        <f>ROUND(D2211/D2227*E2227,0)</f>
        <v>498</v>
      </c>
      <c r="G2211" s="339"/>
      <c r="H2211" s="339"/>
      <c r="L2211" s="339">
        <f t="shared" si="1264"/>
        <v>9.07</v>
      </c>
      <c r="M2211" s="339"/>
      <c r="N2211" s="339">
        <f t="shared" si="1265"/>
        <v>0</v>
      </c>
      <c r="O2211" s="339"/>
      <c r="P2211" s="339">
        <f t="shared" si="1266"/>
        <v>0</v>
      </c>
      <c r="Q2211" s="339"/>
      <c r="R2211" s="339">
        <f t="shared" si="1259"/>
        <v>9.07</v>
      </c>
      <c r="S2211" s="339"/>
      <c r="T2211" s="294">
        <f t="shared" si="1260"/>
        <v>4517</v>
      </c>
      <c r="V2211" s="294">
        <f t="shared" si="1261"/>
        <v>0</v>
      </c>
      <c r="X2211" s="294">
        <f t="shared" si="1262"/>
        <v>0</v>
      </c>
      <c r="Z2211" s="294">
        <f t="shared" si="1263"/>
        <v>4517</v>
      </c>
    </row>
    <row r="2212" spans="2:26">
      <c r="B2212" s="317" t="s">
        <v>1317</v>
      </c>
      <c r="D2212" s="293">
        <f>'[7]23'!J32+'[7]23-may'!J32</f>
        <v>836.54837332296552</v>
      </c>
      <c r="E2212" s="293">
        <f>ROUND(D2212/D2227*E2227,0)</f>
        <v>888</v>
      </c>
      <c r="G2212" s="339"/>
      <c r="H2212" s="339"/>
      <c r="L2212" s="339">
        <f t="shared" si="1264"/>
        <v>8.0299999999999994</v>
      </c>
      <c r="M2212" s="339"/>
      <c r="N2212" s="339">
        <f t="shared" si="1265"/>
        <v>0</v>
      </c>
      <c r="O2212" s="339"/>
      <c r="P2212" s="339">
        <f t="shared" si="1266"/>
        <v>0</v>
      </c>
      <c r="Q2212" s="339"/>
      <c r="R2212" s="339">
        <f t="shared" si="1259"/>
        <v>8.0299999999999994</v>
      </c>
      <c r="S2212" s="339"/>
      <c r="T2212" s="294">
        <f t="shared" si="1260"/>
        <v>7131</v>
      </c>
      <c r="V2212" s="294">
        <f t="shared" si="1261"/>
        <v>0</v>
      </c>
      <c r="X2212" s="294">
        <f t="shared" si="1262"/>
        <v>0</v>
      </c>
      <c r="Z2212" s="294">
        <f t="shared" si="1263"/>
        <v>7131</v>
      </c>
    </row>
    <row r="2213" spans="2:26">
      <c r="B2213" s="317" t="s">
        <v>1318</v>
      </c>
      <c r="D2213" s="293">
        <f>'[7]23'!N32+[7]TempRevMay!W348+'[7]23-may'!N32</f>
        <v>201135.81034996227</v>
      </c>
      <c r="E2213" s="293">
        <f>E2227-SUM(E2214:F2216)</f>
        <v>190825.78092448856</v>
      </c>
      <c r="G2213" s="377"/>
      <c r="H2213" s="343"/>
      <c r="L2213" s="377">
        <f t="shared" si="1264"/>
        <v>2.9339</v>
      </c>
      <c r="M2213" s="343" t="s">
        <v>1062</v>
      </c>
      <c r="N2213" s="377">
        <f t="shared" si="1265"/>
        <v>6.8490496173940008</v>
      </c>
      <c r="O2213" s="343" t="s">
        <v>1062</v>
      </c>
      <c r="P2213" s="377">
        <f t="shared" si="1266"/>
        <v>2.1261000000000001</v>
      </c>
      <c r="Q2213" s="343" t="s">
        <v>1062</v>
      </c>
      <c r="R2213" s="377">
        <f t="shared" si="1259"/>
        <v>11.909049617394</v>
      </c>
      <c r="S2213" s="343" t="s">
        <v>1062</v>
      </c>
      <c r="T2213" s="294">
        <f>ROUND($E2213*L2213/100,0)</f>
        <v>5599</v>
      </c>
      <c r="U2213" s="346"/>
      <c r="V2213" s="294">
        <f>ROUND($E2213*N2213/100,0)</f>
        <v>13070</v>
      </c>
      <c r="W2213" s="346"/>
      <c r="X2213" s="294">
        <f>ROUND($E2213*P2213/100,0)</f>
        <v>4057</v>
      </c>
      <c r="Y2213" s="346"/>
      <c r="Z2213" s="294">
        <f>ROUND($E2213*R2213/100,0)</f>
        <v>22726</v>
      </c>
    </row>
    <row r="2214" spans="2:26">
      <c r="B2214" s="317" t="s">
        <v>1319</v>
      </c>
      <c r="D2214" s="293">
        <f>'[7]23'!O32+[7]TempRevMay!W349+'[7]23-may'!O32</f>
        <v>179959.67475913611</v>
      </c>
      <c r="E2214" s="293">
        <f>ROUND(D2214/(D2213+D2214)*[7]Energy!S51,0)</f>
        <v>170734</v>
      </c>
      <c r="G2214" s="377"/>
      <c r="H2214" s="343"/>
      <c r="L2214" s="377">
        <f t="shared" si="1264"/>
        <v>2.9339</v>
      </c>
      <c r="M2214" s="343" t="s">
        <v>1062</v>
      </c>
      <c r="N2214" s="377">
        <f t="shared" si="1265"/>
        <v>1.6937496173940008</v>
      </c>
      <c r="O2214" s="343" t="s">
        <v>1062</v>
      </c>
      <c r="P2214" s="377">
        <f t="shared" si="1266"/>
        <v>2.1261000000000001</v>
      </c>
      <c r="Q2214" s="343" t="s">
        <v>1062</v>
      </c>
      <c r="R2214" s="377">
        <f t="shared" si="1259"/>
        <v>6.7537496173940008</v>
      </c>
      <c r="S2214" s="343" t="s">
        <v>1062</v>
      </c>
      <c r="T2214" s="294">
        <f t="shared" ref="T2214:T2216" si="1267">ROUND($E2214*L2214/100,0)</f>
        <v>5009</v>
      </c>
      <c r="U2214" s="346"/>
      <c r="V2214" s="294">
        <f t="shared" ref="V2214:V2216" si="1268">ROUND($E2214*N2214/100,0)</f>
        <v>2892</v>
      </c>
      <c r="W2214" s="346"/>
      <c r="X2214" s="294">
        <f t="shared" ref="X2214:X2216" si="1269">ROUND($E2214*P2214/100,0)</f>
        <v>3630</v>
      </c>
      <c r="Y2214" s="346"/>
      <c r="Z2214" s="294">
        <f t="shared" ref="Z2214:Z2216" si="1270">ROUND($E2214*R2214/100,0)</f>
        <v>11531</v>
      </c>
    </row>
    <row r="2215" spans="2:26">
      <c r="B2215" s="317" t="s">
        <v>1320</v>
      </c>
      <c r="D2215" s="293">
        <f>'[7]23'!Q32+[7]TempRevMay!W350+'[7]23-may'!Q32</f>
        <v>291028.98356874462</v>
      </c>
      <c r="E2215" s="293">
        <f>ROUND(D2215/(D2215+D2216)*[7]Energy!T51,0)</f>
        <v>327487</v>
      </c>
      <c r="G2215" s="377"/>
      <c r="H2215" s="343"/>
      <c r="L2215" s="377">
        <f t="shared" si="1264"/>
        <v>2.9339</v>
      </c>
      <c r="M2215" s="343" t="s">
        <v>1062</v>
      </c>
      <c r="N2215" s="377">
        <f t="shared" si="1265"/>
        <v>5.6569000000000003</v>
      </c>
      <c r="O2215" s="343" t="s">
        <v>1062</v>
      </c>
      <c r="P2215" s="377">
        <f t="shared" si="1266"/>
        <v>1.9481999999999999</v>
      </c>
      <c r="Q2215" s="343" t="s">
        <v>1062</v>
      </c>
      <c r="R2215" s="377">
        <f t="shared" si="1259"/>
        <v>10.539</v>
      </c>
      <c r="S2215" s="343" t="s">
        <v>1062</v>
      </c>
      <c r="T2215" s="294">
        <f t="shared" si="1267"/>
        <v>9608</v>
      </c>
      <c r="U2215" s="346"/>
      <c r="V2215" s="294">
        <f t="shared" si="1268"/>
        <v>18526</v>
      </c>
      <c r="W2215" s="346"/>
      <c r="X2215" s="294">
        <f t="shared" si="1269"/>
        <v>6380</v>
      </c>
      <c r="Y2215" s="346"/>
      <c r="Z2215" s="294">
        <f t="shared" si="1270"/>
        <v>34514</v>
      </c>
    </row>
    <row r="2216" spans="2:26">
      <c r="B2216" s="317" t="s">
        <v>1321</v>
      </c>
      <c r="D2216" s="293">
        <f>'[7]23'!R32+[7]TempRevMay!W351+'[7]23-may'!R32</f>
        <v>477711.43388173886</v>
      </c>
      <c r="E2216" s="293">
        <f>ROUND(D2216/(D2215+D2216)*[7]Energy!T51,0)</f>
        <v>537555</v>
      </c>
      <c r="G2216" s="377"/>
      <c r="H2216" s="343"/>
      <c r="L2216" s="377">
        <f t="shared" si="1264"/>
        <v>2.9339</v>
      </c>
      <c r="M2216" s="343" t="s">
        <v>1062</v>
      </c>
      <c r="N2216" s="377">
        <f t="shared" si="1265"/>
        <v>1.0947</v>
      </c>
      <c r="O2216" s="343" t="s">
        <v>1062</v>
      </c>
      <c r="P2216" s="377">
        <f t="shared" si="1266"/>
        <v>1.9481999999999999</v>
      </c>
      <c r="Q2216" s="343" t="s">
        <v>1062</v>
      </c>
      <c r="R2216" s="377">
        <f t="shared" si="1259"/>
        <v>5.9767999999999999</v>
      </c>
      <c r="S2216" s="343" t="s">
        <v>1062</v>
      </c>
      <c r="T2216" s="294">
        <f t="shared" si="1267"/>
        <v>15771</v>
      </c>
      <c r="U2216" s="346"/>
      <c r="V2216" s="294">
        <f t="shared" si="1268"/>
        <v>5885</v>
      </c>
      <c r="W2216" s="346"/>
      <c r="X2216" s="294">
        <f t="shared" si="1269"/>
        <v>10473</v>
      </c>
      <c r="Y2216" s="346"/>
      <c r="Z2216" s="294">
        <f t="shared" si="1270"/>
        <v>32129</v>
      </c>
    </row>
    <row r="2217" spans="2:26">
      <c r="B2217" s="317" t="s">
        <v>1323</v>
      </c>
      <c r="D2217" s="293">
        <f>'[7]23'!I32</f>
        <v>652.14913294797702</v>
      </c>
      <c r="E2217" s="293">
        <f>ROUND(D2217/D2227*E2227,0)</f>
        <v>692</v>
      </c>
      <c r="G2217" s="339">
        <v>8.65</v>
      </c>
      <c r="H2217" s="339"/>
      <c r="I2217" s="294">
        <f t="shared" si="1258"/>
        <v>5641</v>
      </c>
      <c r="J2217" s="294">
        <f t="shared" si="1258"/>
        <v>5986</v>
      </c>
      <c r="L2217" s="339"/>
      <c r="M2217" s="339"/>
      <c r="N2217" s="339"/>
      <c r="O2217" s="339"/>
      <c r="P2217" s="339"/>
      <c r="Q2217" s="339"/>
      <c r="R2217" s="339"/>
      <c r="S2217" s="339"/>
    </row>
    <row r="2218" spans="2:26">
      <c r="B2218" s="317" t="s">
        <v>1324</v>
      </c>
      <c r="D2218" s="293">
        <f>'[7]23'!J32</f>
        <v>653.68735632183905</v>
      </c>
      <c r="E2218" s="293">
        <f>ROUND(D2218/D2227*E2227,0)</f>
        <v>694</v>
      </c>
      <c r="G2218" s="339">
        <v>8.7000000000000011</v>
      </c>
      <c r="H2218" s="339"/>
      <c r="I2218" s="294">
        <f t="shared" si="1258"/>
        <v>5687</v>
      </c>
      <c r="J2218" s="294">
        <f t="shared" si="1258"/>
        <v>6038</v>
      </c>
      <c r="L2218" s="339"/>
      <c r="M2218" s="339"/>
      <c r="N2218" s="339"/>
      <c r="O2218" s="339"/>
      <c r="P2218" s="339"/>
      <c r="Q2218" s="339"/>
      <c r="R2218" s="339"/>
      <c r="S2218" s="339"/>
    </row>
    <row r="2219" spans="2:26">
      <c r="B2219" s="317" t="s">
        <v>1098</v>
      </c>
      <c r="D2219" s="293">
        <f>'[7]23'!K32</f>
        <v>0</v>
      </c>
      <c r="E2219" s="293">
        <f>ROUND(D2219/D2227*E2227,0)</f>
        <v>0</v>
      </c>
      <c r="G2219" s="339">
        <v>-0.48</v>
      </c>
      <c r="H2219" s="339"/>
      <c r="I2219" s="294">
        <f t="shared" si="1258"/>
        <v>0</v>
      </c>
      <c r="J2219" s="294">
        <f t="shared" si="1258"/>
        <v>0</v>
      </c>
      <c r="L2219" s="339">
        <f>L2173</f>
        <v>-0.48</v>
      </c>
      <c r="M2219" s="339"/>
      <c r="N2219" s="339">
        <f>N2173</f>
        <v>0</v>
      </c>
      <c r="O2219" s="339"/>
      <c r="P2219" s="339">
        <f>P2173</f>
        <v>0</v>
      </c>
      <c r="Q2219" s="339"/>
      <c r="R2219" s="339">
        <f>R2173</f>
        <v>-0.48</v>
      </c>
      <c r="S2219" s="339"/>
      <c r="T2219" s="294">
        <f t="shared" ref="T2219" si="1271">ROUND($E2219*L2219,0)</f>
        <v>0</v>
      </c>
      <c r="V2219" s="294">
        <f t="shared" ref="V2219" si="1272">ROUND($E2219*N2219,0)</f>
        <v>0</v>
      </c>
      <c r="X2219" s="294">
        <f t="shared" ref="X2219" si="1273">ROUND($E2219*P2219,0)</f>
        <v>0</v>
      </c>
      <c r="Z2219" s="294">
        <f t="shared" ref="Z2219" si="1274">ROUND($E2219*R2219,0)</f>
        <v>0</v>
      </c>
    </row>
    <row r="2220" spans="2:26">
      <c r="B2220" s="317" t="s">
        <v>1325</v>
      </c>
      <c r="D2220" s="293">
        <f>'[7]23'!N32+[7]TempRev!W348</f>
        <v>224227.4938147334</v>
      </c>
      <c r="E2220" s="293">
        <f>E2227-SUM(E2221:E2224)</f>
        <v>191568.78092448856</v>
      </c>
      <c r="G2220" s="377">
        <v>11.733599999999999</v>
      </c>
      <c r="H2220" s="343" t="s">
        <v>1062</v>
      </c>
      <c r="I2220" s="294">
        <f t="shared" ref="I2220:J2223" si="1275">ROUND($G2220*D2220/100,0)</f>
        <v>26310</v>
      </c>
      <c r="J2220" s="294">
        <f t="shared" si="1275"/>
        <v>22478</v>
      </c>
      <c r="L2220" s="377"/>
      <c r="M2220" s="343"/>
      <c r="N2220" s="377"/>
      <c r="O2220" s="343"/>
      <c r="P2220" s="377"/>
      <c r="Q2220" s="343"/>
      <c r="R2220" s="377"/>
      <c r="S2220" s="343"/>
      <c r="T2220" s="346"/>
      <c r="U2220" s="346"/>
      <c r="V2220" s="346"/>
      <c r="W2220" s="346"/>
      <c r="X2220" s="346"/>
      <c r="Y2220" s="346"/>
    </row>
    <row r="2221" spans="2:26">
      <c r="B2221" s="317" t="s">
        <v>1326</v>
      </c>
      <c r="D2221" s="293">
        <f>'[7]23'!O32+[7]TempRev!W349</f>
        <v>267758.33960068761</v>
      </c>
      <c r="E2221" s="293">
        <f>ROUND(D2221/(D2220+D2221)*[7]Energy!Q51,0)</f>
        <v>228759</v>
      </c>
      <c r="G2221" s="377">
        <v>6.5782999999999996</v>
      </c>
      <c r="H2221" s="343" t="s">
        <v>1062</v>
      </c>
      <c r="I2221" s="294">
        <f t="shared" si="1275"/>
        <v>17614</v>
      </c>
      <c r="J2221" s="294">
        <f t="shared" si="1275"/>
        <v>15048</v>
      </c>
      <c r="L2221" s="377"/>
      <c r="M2221" s="343"/>
      <c r="N2221" s="377"/>
      <c r="O2221" s="343"/>
      <c r="P2221" s="377"/>
      <c r="Q2221" s="343"/>
      <c r="R2221" s="377"/>
      <c r="S2221" s="343"/>
      <c r="T2221" s="346"/>
      <c r="U2221" s="346"/>
      <c r="V2221" s="346"/>
      <c r="W2221" s="346"/>
      <c r="X2221" s="346"/>
      <c r="Y2221" s="346"/>
    </row>
    <row r="2222" spans="2:26">
      <c r="B2222" s="317" t="s">
        <v>1327</v>
      </c>
      <c r="D2222" s="293">
        <f>'[7]23'!Q32+[7]TempRev!W350</f>
        <v>267937.30010397354</v>
      </c>
      <c r="E2222" s="293">
        <f>ROUND(D2222/(D2222+D2223)*[7]Energy!R51,0)</f>
        <v>328389</v>
      </c>
      <c r="G2222" s="377">
        <v>10.8</v>
      </c>
      <c r="H2222" s="343" t="s">
        <v>1062</v>
      </c>
      <c r="I2222" s="294">
        <f t="shared" si="1275"/>
        <v>28937</v>
      </c>
      <c r="J2222" s="294">
        <f t="shared" si="1275"/>
        <v>35466</v>
      </c>
      <c r="L2222" s="377"/>
      <c r="M2222" s="343"/>
      <c r="N2222" s="377"/>
      <c r="O2222" s="343"/>
      <c r="P2222" s="377"/>
      <c r="Q2222" s="343"/>
      <c r="R2222" s="377"/>
      <c r="S2222" s="343"/>
      <c r="T2222" s="346"/>
      <c r="U2222" s="346"/>
      <c r="V2222" s="346"/>
      <c r="W2222" s="346"/>
      <c r="X2222" s="346"/>
      <c r="Y2222" s="346"/>
    </row>
    <row r="2223" spans="2:26">
      <c r="B2223" s="317" t="s">
        <v>1328</v>
      </c>
      <c r="D2223" s="293">
        <f>'[7]23'!R32+[7]TempRev!W351</f>
        <v>389912.76904018741</v>
      </c>
      <c r="E2223" s="293">
        <f>ROUND(D2223/(D2222+D2223)*[7]Energy!R51,0)</f>
        <v>477885</v>
      </c>
      <c r="G2223" s="377">
        <v>6.0567000000000002</v>
      </c>
      <c r="H2223" s="343" t="s">
        <v>1062</v>
      </c>
      <c r="I2223" s="294">
        <f t="shared" si="1275"/>
        <v>23616</v>
      </c>
      <c r="J2223" s="294">
        <f t="shared" si="1275"/>
        <v>28944</v>
      </c>
      <c r="L2223" s="377"/>
      <c r="M2223" s="343"/>
      <c r="N2223" s="377"/>
      <c r="O2223" s="343"/>
      <c r="P2223" s="377"/>
      <c r="Q2223" s="343"/>
      <c r="R2223" s="377"/>
      <c r="S2223" s="343"/>
      <c r="T2223" s="346"/>
      <c r="U2223" s="346"/>
      <c r="V2223" s="346"/>
      <c r="W2223" s="346"/>
      <c r="X2223" s="346"/>
      <c r="Y2223" s="346"/>
    </row>
    <row r="2224" spans="2:26">
      <c r="B2224" s="317" t="s">
        <v>1078</v>
      </c>
      <c r="D2224" s="357">
        <f>'[7]Table 2'!J62</f>
        <v>6097</v>
      </c>
      <c r="E2224" s="357">
        <v>0</v>
      </c>
      <c r="I2224" s="358">
        <f>'[7]Table 3'!F62</f>
        <v>646</v>
      </c>
      <c r="J2224" s="358">
        <v>0</v>
      </c>
      <c r="Z2224" s="358">
        <v>0</v>
      </c>
    </row>
    <row r="2225" spans="1:29">
      <c r="B2225" s="317" t="s">
        <v>1079</v>
      </c>
      <c r="G2225" s="338">
        <v>-3.3099999999999997E-2</v>
      </c>
      <c r="H2225" s="339"/>
      <c r="I2225" s="294">
        <f>SUM(I2217:I2218,I2220:I2223)*$G2225</f>
        <v>-3568.3454999999999</v>
      </c>
      <c r="J2225" s="294">
        <f>SUM(J2217:J2218,J2220:J2223)*$G2225</f>
        <v>-3772.0759999999996</v>
      </c>
      <c r="L2225" s="338"/>
      <c r="M2225" s="339"/>
      <c r="N2225" s="338"/>
      <c r="O2225" s="339"/>
      <c r="P2225" s="359" t="str">
        <f>$P$43</f>
        <v>Tax Year 1</v>
      </c>
      <c r="Q2225" s="339"/>
      <c r="R2225" s="338">
        <f>$AD$1988</f>
        <v>-2.2499999999999999E-2</v>
      </c>
      <c r="S2225" s="339"/>
      <c r="Z2225" s="294">
        <f>R2225*SUM(Z2211:Z2216)</f>
        <v>-2532.33</v>
      </c>
    </row>
    <row r="2226" spans="1:29">
      <c r="B2226" s="317"/>
      <c r="G2226" s="338"/>
      <c r="H2226" s="339"/>
      <c r="L2226" s="338"/>
      <c r="M2226" s="339"/>
      <c r="N2226" s="338"/>
      <c r="O2226" s="339"/>
      <c r="P2226" s="359" t="str">
        <f>$P$44</f>
        <v>Tax Year 2</v>
      </c>
      <c r="Q2226" s="339"/>
      <c r="R2226" s="338">
        <f>$AD$1989</f>
        <v>-1.12E-2</v>
      </c>
      <c r="S2226" s="339"/>
      <c r="Z2226" s="294">
        <f>R2226*SUM(Z2211:Z2216)</f>
        <v>-1260.5375999999999</v>
      </c>
    </row>
    <row r="2227" spans="1:29" ht="16.5" thickBot="1">
      <c r="B2227" s="317" t="s">
        <v>937</v>
      </c>
      <c r="D2227" s="381">
        <f>SUM(D2220:D2223,D2224)</f>
        <v>1155932.9025595819</v>
      </c>
      <c r="E2227" s="381">
        <f>[7]Energy!P51</f>
        <v>1226601.7809244886</v>
      </c>
      <c r="G2227" s="368"/>
      <c r="I2227" s="369">
        <f>SUM(I2207:I2225)</f>
        <v>110064.6545</v>
      </c>
      <c r="J2227" s="369">
        <f>SUM(J2207:J2225)</f>
        <v>122943.924</v>
      </c>
      <c r="L2227" s="368"/>
      <c r="N2227" s="368"/>
      <c r="P2227" s="368"/>
      <c r="Q2227" s="339"/>
      <c r="R2227" s="368"/>
      <c r="S2227" s="339"/>
      <c r="T2227" s="364">
        <f>SUM(T2207:T2224)</f>
        <v>60391</v>
      </c>
      <c r="V2227" s="364">
        <f>SUM(V2207:V2224)</f>
        <v>40373</v>
      </c>
      <c r="X2227" s="364">
        <f>SUM(X2207:X2224)</f>
        <v>24540</v>
      </c>
      <c r="Z2227" s="364">
        <f>SUM(Z2207:Z2224)</f>
        <v>125304</v>
      </c>
      <c r="AB2227" s="305" t="s">
        <v>939</v>
      </c>
      <c r="AC2227" s="304">
        <f>Z2227/J2227-1</f>
        <v>1.9196361424091313E-2</v>
      </c>
    </row>
    <row r="2229" spans="1:29">
      <c r="A2229" s="292">
        <v>1</v>
      </c>
      <c r="B2229" s="314" t="s">
        <v>1029</v>
      </c>
      <c r="G2229" s="377"/>
      <c r="H2229" s="377"/>
      <c r="L2229" s="377"/>
      <c r="M2229" s="377"/>
      <c r="N2229" s="377"/>
      <c r="O2229" s="377"/>
      <c r="P2229" s="377"/>
      <c r="Q2229" s="377"/>
      <c r="R2229" s="377"/>
      <c r="S2229" s="377"/>
    </row>
    <row r="2230" spans="1:29">
      <c r="B2230" s="428" t="s">
        <v>1329</v>
      </c>
      <c r="AB2230" s="305" t="s">
        <v>1330</v>
      </c>
      <c r="AC2230" s="355"/>
    </row>
    <row r="2231" spans="1:29">
      <c r="B2231" s="317" t="s">
        <v>1331</v>
      </c>
      <c r="C2231" s="317"/>
      <c r="D2231" s="293">
        <f>D2335+D2439</f>
        <v>0</v>
      </c>
      <c r="E2231" s="293">
        <f>E2335+E2439</f>
        <v>0</v>
      </c>
      <c r="G2231" s="431">
        <v>133</v>
      </c>
      <c r="H2231" s="318"/>
      <c r="I2231" s="294">
        <f>ROUND($G2231*D2231,0)</f>
        <v>0</v>
      </c>
      <c r="J2231" s="294">
        <f>ROUND($G2231*E2231,0)</f>
        <v>0</v>
      </c>
      <c r="L2231" s="431">
        <f>ROUND($R2231*L1377/$R1377,2)</f>
        <v>140</v>
      </c>
      <c r="M2231" s="318"/>
      <c r="N2231" s="431">
        <f>ROUND($R2231*N1377/$R1377,2)</f>
        <v>0</v>
      </c>
      <c r="O2231" s="318"/>
      <c r="P2231" s="431">
        <f>R2231-L2231-N2231</f>
        <v>0</v>
      </c>
      <c r="Q2231" s="318"/>
      <c r="R2231" s="431">
        <f>ROUND(G2231*(1+$AC$1483),0)</f>
        <v>140</v>
      </c>
      <c r="S2231" s="318"/>
      <c r="T2231" s="294">
        <f>ROUND($E2231*L2231,0)</f>
        <v>0</v>
      </c>
      <c r="U2231" s="319"/>
      <c r="V2231" s="294">
        <f>ROUND($E2231*N2231,0)</f>
        <v>0</v>
      </c>
      <c r="W2231" s="319"/>
      <c r="X2231" s="294">
        <f>ROUND($E2231*P2231,0)</f>
        <v>0</v>
      </c>
      <c r="Y2231" s="319"/>
      <c r="Z2231" s="294">
        <f>ROUND($E2231*R2231,0)</f>
        <v>0</v>
      </c>
      <c r="AB2231" s="320" t="s">
        <v>1042</v>
      </c>
      <c r="AC2231" s="321">
        <f>Z2331</f>
        <v>12890663</v>
      </c>
    </row>
    <row r="2232" spans="1:29">
      <c r="B2232" s="317" t="s">
        <v>1332</v>
      </c>
      <c r="C2232" s="317"/>
      <c r="D2232" s="293">
        <f>D2336+D2440</f>
        <v>0</v>
      </c>
      <c r="E2232" s="293">
        <f>E2336+E2440</f>
        <v>0</v>
      </c>
      <c r="G2232" s="431">
        <v>5.6</v>
      </c>
      <c r="H2232" s="318"/>
      <c r="I2232" s="294">
        <f>ROUND($G2232*D2232,0)</f>
        <v>0</v>
      </c>
      <c r="J2232" s="294">
        <f>ROUND($G2232*E2232,0)</f>
        <v>0</v>
      </c>
      <c r="L2232" s="431">
        <f>ROUND($R2232*L1378/$R1378,2)</f>
        <v>5.88</v>
      </c>
      <c r="M2232" s="318"/>
      <c r="N2232" s="431">
        <f>ROUND($R2232*N1378/$R1378,2)</f>
        <v>0</v>
      </c>
      <c r="O2232" s="318"/>
      <c r="P2232" s="431">
        <f>R2232-L2232-N2232</f>
        <v>0</v>
      </c>
      <c r="Q2232" s="318"/>
      <c r="R2232" s="431">
        <f>ROUND(G2232*(1+$AC$1483),2)</f>
        <v>5.88</v>
      </c>
      <c r="S2232" s="318"/>
      <c r="T2232" s="294">
        <f>ROUND($E2232*L2232,0)</f>
        <v>0</v>
      </c>
      <c r="U2232" s="319"/>
      <c r="V2232" s="294">
        <f>ROUND($E2232*N2232,0)</f>
        <v>0</v>
      </c>
      <c r="W2232" s="319"/>
      <c r="X2232" s="294">
        <f>ROUND($E2232*P2232,0)</f>
        <v>0</v>
      </c>
      <c r="Y2232" s="319"/>
      <c r="Z2232" s="294">
        <f>ROUND($E2232*R2232,0)</f>
        <v>0</v>
      </c>
      <c r="AB2232" s="322" t="s">
        <v>1044</v>
      </c>
      <c r="AC2232" s="323">
        <f>[7]RateSpread!M47*1000</f>
        <v>12986189.672500001</v>
      </c>
    </row>
    <row r="2233" spans="1:29">
      <c r="B2233" s="317" t="s">
        <v>1333</v>
      </c>
      <c r="C2233" s="317"/>
      <c r="G2233" s="432"/>
      <c r="H2233" s="339"/>
      <c r="L2233" s="432"/>
      <c r="M2233" s="339"/>
      <c r="N2233" s="432"/>
      <c r="O2233" s="339"/>
      <c r="P2233" s="432"/>
      <c r="Q2233" s="339"/>
      <c r="R2233" s="432"/>
      <c r="S2233" s="339"/>
      <c r="AB2233" s="327" t="s">
        <v>789</v>
      </c>
      <c r="AC2233" s="328">
        <f>AC2232-AC2231</f>
        <v>95526.672500001267</v>
      </c>
    </row>
    <row r="2234" spans="1:29">
      <c r="B2234" s="317" t="s">
        <v>1334</v>
      </c>
      <c r="C2234" s="317"/>
      <c r="G2234" s="431"/>
      <c r="H2234" s="433"/>
      <c r="L2234" s="431"/>
      <c r="M2234" s="433"/>
      <c r="N2234" s="431"/>
      <c r="O2234" s="433"/>
      <c r="P2234" s="431"/>
      <c r="Q2234" s="433"/>
      <c r="R2234" s="431"/>
      <c r="S2234" s="433"/>
      <c r="U2234" s="319"/>
      <c r="W2234" s="319"/>
      <c r="Y2234" s="319"/>
      <c r="AB2234" s="320" t="s">
        <v>939</v>
      </c>
      <c r="AC2234" s="389">
        <f>AC2231/J2331-1</f>
        <v>4.1650404973524457E-2</v>
      </c>
    </row>
    <row r="2235" spans="1:29">
      <c r="B2235" s="317" t="s">
        <v>1335</v>
      </c>
      <c r="C2235" s="317"/>
      <c r="D2235" s="293">
        <f t="shared" ref="D2235:E2236" si="1276">D2339+D2443</f>
        <v>0</v>
      </c>
      <c r="E2235" s="293">
        <f t="shared" si="1276"/>
        <v>0</v>
      </c>
      <c r="G2235" s="431"/>
      <c r="H2235" s="433"/>
      <c r="L2235" s="431">
        <f>ROUND($R2235*L1379/$R1379,2)</f>
        <v>0.01</v>
      </c>
      <c r="M2235" s="433"/>
      <c r="N2235" s="431">
        <f>R2235-L2235-P2235</f>
        <v>0.91</v>
      </c>
      <c r="O2235" s="433"/>
      <c r="P2235" s="431">
        <v>0</v>
      </c>
      <c r="Q2235" s="433"/>
      <c r="R2235" s="431">
        <f>ROUND(G2244*(1+$AC$1483),2)</f>
        <v>0.92</v>
      </c>
      <c r="S2235" s="433"/>
      <c r="T2235" s="294">
        <f t="shared" ref="T2235:Z2236" si="1277">ROUND($E2235*L2235,0)</f>
        <v>0</v>
      </c>
      <c r="U2235" s="319"/>
      <c r="V2235" s="294">
        <f t="shared" si="1277"/>
        <v>0</v>
      </c>
      <c r="W2235" s="319"/>
      <c r="X2235" s="294">
        <f t="shared" si="1277"/>
        <v>0</v>
      </c>
      <c r="Y2235" s="319"/>
      <c r="Z2235" s="294">
        <f t="shared" si="1277"/>
        <v>0</v>
      </c>
      <c r="AB2235" s="322" t="s">
        <v>1048</v>
      </c>
      <c r="AC2235" s="384">
        <f>AC2232/J2331-1</f>
        <v>4.9369588780858287E-2</v>
      </c>
    </row>
    <row r="2236" spans="1:29">
      <c r="B2236" s="317" t="s">
        <v>1336</v>
      </c>
      <c r="C2236" s="317"/>
      <c r="D2236" s="293">
        <f t="shared" si="1276"/>
        <v>0</v>
      </c>
      <c r="E2236" s="293">
        <f t="shared" si="1276"/>
        <v>0</v>
      </c>
      <c r="G2236" s="431"/>
      <c r="H2236" s="433"/>
      <c r="L2236" s="431">
        <f>ROUND($R2236*L1380/$R1380,2)</f>
        <v>0.01</v>
      </c>
      <c r="M2236" s="433"/>
      <c r="N2236" s="431">
        <f>R2236-L2236-P2236</f>
        <v>0.8</v>
      </c>
      <c r="O2236" s="433"/>
      <c r="P2236" s="431">
        <v>0</v>
      </c>
      <c r="Q2236" s="433"/>
      <c r="R2236" s="431">
        <f>ROUND(R2235/$AC$1489,2)</f>
        <v>0.81</v>
      </c>
      <c r="S2236" s="433"/>
      <c r="T2236" s="294">
        <f t="shared" si="1277"/>
        <v>0</v>
      </c>
      <c r="U2236" s="319"/>
      <c r="V2236" s="294">
        <f t="shared" si="1277"/>
        <v>0</v>
      </c>
      <c r="W2236" s="319"/>
      <c r="X2236" s="294">
        <f t="shared" si="1277"/>
        <v>0</v>
      </c>
      <c r="Y2236" s="319"/>
      <c r="Z2236" s="294">
        <f t="shared" si="1277"/>
        <v>0</v>
      </c>
      <c r="AB2236" s="335"/>
      <c r="AC2236" s="385"/>
    </row>
    <row r="2237" spans="1:29">
      <c r="B2237" s="317" t="s">
        <v>1337</v>
      </c>
      <c r="C2237" s="317"/>
      <c r="G2237" s="432"/>
      <c r="H2237" s="434"/>
      <c r="L2237" s="432"/>
      <c r="M2237" s="434"/>
      <c r="N2237" s="432"/>
      <c r="O2237" s="434"/>
      <c r="P2237" s="432"/>
      <c r="Q2237" s="434"/>
      <c r="R2237" s="432"/>
      <c r="S2237" s="434"/>
    </row>
    <row r="2238" spans="1:29">
      <c r="B2238" s="317" t="s">
        <v>1335</v>
      </c>
      <c r="C2238" s="317"/>
      <c r="D2238" s="293">
        <f t="shared" ref="D2238:E2239" si="1278">D2342+D2446</f>
        <v>0</v>
      </c>
      <c r="E2238" s="293">
        <f t="shared" si="1278"/>
        <v>0</v>
      </c>
      <c r="G2238" s="432"/>
      <c r="H2238" s="434"/>
      <c r="L2238" s="432">
        <f>ROUND($R2238*L2235/$R2235,2)</f>
        <v>0.01</v>
      </c>
      <c r="M2238" s="434"/>
      <c r="N2238" s="431">
        <f t="shared" ref="N2238:N2239" si="1279">R2238-L2238-P2238</f>
        <v>0.45</v>
      </c>
      <c r="O2238" s="433"/>
      <c r="P2238" s="431">
        <v>0</v>
      </c>
      <c r="Q2238" s="434"/>
      <c r="R2238" s="431">
        <f>ROUND(G2247*(1+$AC$1483),2)</f>
        <v>0.46</v>
      </c>
      <c r="S2238" s="434"/>
      <c r="T2238" s="294">
        <f t="shared" ref="T2238:Z2239" si="1280">ROUND($E2238*L2238,0)</f>
        <v>0</v>
      </c>
      <c r="V2238" s="294">
        <f t="shared" si="1280"/>
        <v>0</v>
      </c>
      <c r="X2238" s="294">
        <f t="shared" si="1280"/>
        <v>0</v>
      </c>
      <c r="Z2238" s="294">
        <f t="shared" si="1280"/>
        <v>0</v>
      </c>
    </row>
    <row r="2239" spans="1:29">
      <c r="B2239" s="317" t="s">
        <v>1336</v>
      </c>
      <c r="C2239" s="317"/>
      <c r="D2239" s="293">
        <f t="shared" si="1278"/>
        <v>0</v>
      </c>
      <c r="E2239" s="293">
        <f t="shared" si="1278"/>
        <v>0</v>
      </c>
      <c r="G2239" s="432"/>
      <c r="H2239" s="434"/>
      <c r="L2239" s="432">
        <f>ROUND($R2239*L2236/$R2236,2)</f>
        <v>0.01</v>
      </c>
      <c r="M2239" s="434"/>
      <c r="N2239" s="431">
        <f t="shared" si="1279"/>
        <v>0.39999999999999997</v>
      </c>
      <c r="O2239" s="433"/>
      <c r="P2239" s="431">
        <v>0</v>
      </c>
      <c r="Q2239" s="434"/>
      <c r="R2239" s="431">
        <f>ROUND(R2238/$AC$1489,2)</f>
        <v>0.41</v>
      </c>
      <c r="S2239" s="434"/>
      <c r="T2239" s="294">
        <f t="shared" si="1280"/>
        <v>0</v>
      </c>
      <c r="V2239" s="294">
        <f t="shared" si="1280"/>
        <v>0</v>
      </c>
      <c r="X2239" s="294">
        <f t="shared" si="1280"/>
        <v>0</v>
      </c>
      <c r="Z2239" s="294">
        <f t="shared" si="1280"/>
        <v>0</v>
      </c>
    </row>
    <row r="2240" spans="1:29">
      <c r="B2240" s="317" t="s">
        <v>1338</v>
      </c>
      <c r="C2240" s="317"/>
      <c r="G2240" s="431"/>
      <c r="H2240" s="318"/>
      <c r="L2240" s="431"/>
      <c r="M2240" s="318"/>
      <c r="N2240" s="431"/>
      <c r="O2240" s="318"/>
      <c r="P2240" s="431"/>
      <c r="Q2240" s="318"/>
      <c r="R2240" s="431"/>
      <c r="S2240" s="318"/>
      <c r="U2240" s="319"/>
      <c r="W2240" s="319"/>
      <c r="Y2240" s="319"/>
    </row>
    <row r="2241" spans="2:26">
      <c r="B2241" s="317" t="s">
        <v>1335</v>
      </c>
      <c r="C2241" s="317"/>
      <c r="D2241" s="293">
        <f t="shared" ref="D2241:E2242" si="1281">D2345+D2449</f>
        <v>0</v>
      </c>
      <c r="E2241" s="293">
        <f t="shared" si="1281"/>
        <v>0</v>
      </c>
      <c r="G2241" s="431"/>
      <c r="H2241" s="318"/>
      <c r="L2241" s="432">
        <f>ROUND($R2241*L2235/$R2235,2)</f>
        <v>0.47</v>
      </c>
      <c r="M2241" s="434"/>
      <c r="N2241" s="431">
        <f t="shared" ref="N2241:N2242" si="1282">R2241-L2241-P2241</f>
        <v>42.35</v>
      </c>
      <c r="O2241" s="433"/>
      <c r="P2241" s="431">
        <v>0</v>
      </c>
      <c r="Q2241" s="318"/>
      <c r="R2241" s="431">
        <f>ROUND(G2250*(1+$AC$1483),2)</f>
        <v>42.82</v>
      </c>
      <c r="S2241" s="318"/>
      <c r="T2241" s="294">
        <f t="shared" ref="T2241:Z2242" si="1283">ROUND($E2241*L2241,0)</f>
        <v>0</v>
      </c>
      <c r="U2241" s="319"/>
      <c r="V2241" s="294">
        <f t="shared" si="1283"/>
        <v>0</v>
      </c>
      <c r="W2241" s="319"/>
      <c r="X2241" s="294">
        <f t="shared" si="1283"/>
        <v>0</v>
      </c>
      <c r="Y2241" s="319"/>
      <c r="Z2241" s="294">
        <f t="shared" si="1283"/>
        <v>0</v>
      </c>
    </row>
    <row r="2242" spans="2:26">
      <c r="B2242" s="317" t="s">
        <v>1336</v>
      </c>
      <c r="C2242" s="317"/>
      <c r="D2242" s="293">
        <f t="shared" si="1281"/>
        <v>0</v>
      </c>
      <c r="E2242" s="293">
        <f t="shared" si="1281"/>
        <v>0</v>
      </c>
      <c r="G2242" s="431"/>
      <c r="H2242" s="318"/>
      <c r="L2242" s="432">
        <f>ROUND($R2242*L2236/$R2236,2)</f>
        <v>0.47</v>
      </c>
      <c r="M2242" s="434"/>
      <c r="N2242" s="431">
        <f t="shared" si="1282"/>
        <v>37.42</v>
      </c>
      <c r="O2242" s="433"/>
      <c r="P2242" s="431">
        <v>0</v>
      </c>
      <c r="Q2242" s="318"/>
      <c r="R2242" s="431">
        <f>ROUND(R2241/$AC$1489,2)</f>
        <v>37.89</v>
      </c>
      <c r="S2242" s="318"/>
      <c r="T2242" s="294">
        <f t="shared" si="1283"/>
        <v>0</v>
      </c>
      <c r="U2242" s="319"/>
      <c r="V2242" s="294">
        <f t="shared" si="1283"/>
        <v>0</v>
      </c>
      <c r="W2242" s="319"/>
      <c r="X2242" s="294">
        <f t="shared" si="1283"/>
        <v>0</v>
      </c>
      <c r="Y2242" s="319"/>
      <c r="Z2242" s="294">
        <f t="shared" si="1283"/>
        <v>0</v>
      </c>
    </row>
    <row r="2243" spans="2:26">
      <c r="B2243" s="317" t="s">
        <v>1334</v>
      </c>
      <c r="C2243" s="317"/>
      <c r="G2243" s="431"/>
      <c r="H2243" s="433"/>
      <c r="L2243" s="431"/>
      <c r="M2243" s="433"/>
      <c r="N2243" s="431"/>
      <c r="O2243" s="433"/>
      <c r="P2243" s="431"/>
      <c r="Q2243" s="433"/>
      <c r="R2243" s="431"/>
      <c r="S2243" s="433"/>
      <c r="U2243" s="319"/>
      <c r="W2243" s="319"/>
      <c r="Y2243" s="319"/>
    </row>
    <row r="2244" spans="2:26">
      <c r="B2244" s="317" t="s">
        <v>1339</v>
      </c>
      <c r="C2244" s="317"/>
      <c r="D2244" s="293">
        <f>D2348+D2452</f>
        <v>0</v>
      </c>
      <c r="E2244" s="293">
        <f>E2348+E2452</f>
        <v>0</v>
      </c>
      <c r="G2244" s="431">
        <v>0.88</v>
      </c>
      <c r="H2244" s="433"/>
      <c r="I2244" s="294">
        <f>ROUND($G2244*D2244,0)</f>
        <v>0</v>
      </c>
      <c r="J2244" s="294">
        <f>ROUND($G2244*E2244,0)</f>
        <v>0</v>
      </c>
      <c r="L2244" s="431"/>
      <c r="M2244" s="433"/>
      <c r="N2244" s="431"/>
      <c r="O2244" s="433"/>
      <c r="P2244" s="431"/>
      <c r="Q2244" s="433"/>
      <c r="R2244" s="431"/>
      <c r="S2244" s="433"/>
      <c r="U2244" s="319"/>
      <c r="W2244" s="319"/>
      <c r="Y2244" s="319"/>
    </row>
    <row r="2245" spans="2:26">
      <c r="B2245" s="317" t="s">
        <v>1340</v>
      </c>
      <c r="C2245" s="317"/>
      <c r="D2245" s="293">
        <f>D2349+D2453</f>
        <v>0</v>
      </c>
      <c r="E2245" s="293">
        <f>E2349+E2453</f>
        <v>0</v>
      </c>
      <c r="G2245" s="431">
        <v>0.62</v>
      </c>
      <c r="H2245" s="433"/>
      <c r="I2245" s="294">
        <f>ROUND($G2245*D2245,0)</f>
        <v>0</v>
      </c>
      <c r="J2245" s="294">
        <f>ROUND($G2245*E2245,0)</f>
        <v>0</v>
      </c>
      <c r="L2245" s="431"/>
      <c r="M2245" s="433"/>
      <c r="N2245" s="431"/>
      <c r="O2245" s="433"/>
      <c r="P2245" s="431"/>
      <c r="Q2245" s="433"/>
      <c r="R2245" s="431"/>
      <c r="S2245" s="433"/>
      <c r="U2245" s="319"/>
      <c r="W2245" s="319"/>
      <c r="Y2245" s="319"/>
    </row>
    <row r="2246" spans="2:26">
      <c r="B2246" s="317" t="s">
        <v>1337</v>
      </c>
      <c r="C2246" s="317"/>
      <c r="G2246" s="432"/>
      <c r="H2246" s="434"/>
      <c r="L2246" s="432"/>
      <c r="M2246" s="434"/>
      <c r="N2246" s="432"/>
      <c r="O2246" s="434"/>
      <c r="P2246" s="432"/>
      <c r="Q2246" s="434"/>
      <c r="R2246" s="432"/>
      <c r="S2246" s="434"/>
    </row>
    <row r="2247" spans="2:26">
      <c r="B2247" s="317" t="s">
        <v>1339</v>
      </c>
      <c r="C2247" s="317"/>
      <c r="D2247" s="293">
        <f>D2351+D2455</f>
        <v>0</v>
      </c>
      <c r="E2247" s="293">
        <f>E2351+E2455</f>
        <v>0</v>
      </c>
      <c r="G2247" s="432">
        <v>0.44</v>
      </c>
      <c r="H2247" s="434"/>
      <c r="I2247" s="294">
        <f>ROUND($G2247*D2247,0)</f>
        <v>0</v>
      </c>
      <c r="J2247" s="294">
        <f>ROUND($G2247*E2247,0)</f>
        <v>0</v>
      </c>
      <c r="L2247" s="432"/>
      <c r="M2247" s="434"/>
      <c r="N2247" s="432"/>
      <c r="O2247" s="434"/>
      <c r="P2247" s="432"/>
      <c r="Q2247" s="434"/>
      <c r="R2247" s="432"/>
      <c r="S2247" s="434"/>
    </row>
    <row r="2248" spans="2:26">
      <c r="B2248" s="317" t="s">
        <v>1340</v>
      </c>
      <c r="C2248" s="317"/>
      <c r="D2248" s="293">
        <f>D2352+D2456</f>
        <v>0</v>
      </c>
      <c r="E2248" s="293">
        <f>E2352+E2456</f>
        <v>0</v>
      </c>
      <c r="G2248" s="432">
        <v>0.31</v>
      </c>
      <c r="H2248" s="434"/>
      <c r="I2248" s="294">
        <f>ROUND($G2248*D2248,0)</f>
        <v>0</v>
      </c>
      <c r="J2248" s="294">
        <f>ROUND($G2248*E2248,0)</f>
        <v>0</v>
      </c>
      <c r="L2248" s="432"/>
      <c r="M2248" s="434"/>
      <c r="N2248" s="432"/>
      <c r="O2248" s="434"/>
      <c r="P2248" s="432"/>
      <c r="Q2248" s="434"/>
      <c r="R2248" s="432"/>
      <c r="S2248" s="434"/>
    </row>
    <row r="2249" spans="2:26">
      <c r="B2249" s="317" t="s">
        <v>1338</v>
      </c>
      <c r="C2249" s="317"/>
      <c r="G2249" s="431"/>
      <c r="H2249" s="318"/>
      <c r="L2249" s="431"/>
      <c r="M2249" s="318"/>
      <c r="N2249" s="431"/>
      <c r="O2249" s="318"/>
      <c r="P2249" s="431"/>
      <c r="Q2249" s="318"/>
      <c r="R2249" s="431"/>
      <c r="S2249" s="318"/>
      <c r="U2249" s="319"/>
      <c r="W2249" s="319"/>
      <c r="Y2249" s="319"/>
    </row>
    <row r="2250" spans="2:26">
      <c r="B2250" s="317" t="s">
        <v>1339</v>
      </c>
      <c r="C2250" s="317"/>
      <c r="D2250" s="293">
        <f>D2354+D2458</f>
        <v>0</v>
      </c>
      <c r="E2250" s="293">
        <f>E2354+E2458</f>
        <v>0</v>
      </c>
      <c r="G2250" s="431">
        <v>40.81</v>
      </c>
      <c r="H2250" s="318"/>
      <c r="I2250" s="294">
        <f>ROUND($G2250*D2250,0)</f>
        <v>0</v>
      </c>
      <c r="J2250" s="294">
        <f>ROUND($G2250*E2250,0)</f>
        <v>0</v>
      </c>
      <c r="L2250" s="431"/>
      <c r="M2250" s="318"/>
      <c r="N2250" s="431"/>
      <c r="O2250" s="318"/>
      <c r="P2250" s="431"/>
      <c r="Q2250" s="318"/>
      <c r="R2250" s="431"/>
      <c r="S2250" s="318"/>
      <c r="U2250" s="319"/>
      <c r="W2250" s="319"/>
      <c r="Y2250" s="319"/>
    </row>
    <row r="2251" spans="2:26">
      <c r="B2251" s="317" t="s">
        <v>1340</v>
      </c>
      <c r="C2251" s="317"/>
      <c r="D2251" s="293">
        <f>D2355+D2459</f>
        <v>0</v>
      </c>
      <c r="E2251" s="293">
        <f>E2355+E2459</f>
        <v>0</v>
      </c>
      <c r="G2251" s="431">
        <v>32.04</v>
      </c>
      <c r="H2251" s="318"/>
      <c r="I2251" s="294">
        <f>ROUND($G2251*D2251,0)</f>
        <v>0</v>
      </c>
      <c r="J2251" s="294">
        <f>ROUND($G2251*E2251,0)</f>
        <v>0</v>
      </c>
      <c r="L2251" s="431"/>
      <c r="M2251" s="318"/>
      <c r="N2251" s="431"/>
      <c r="O2251" s="318"/>
      <c r="P2251" s="431"/>
      <c r="Q2251" s="318"/>
      <c r="R2251" s="431"/>
      <c r="S2251" s="318"/>
      <c r="U2251" s="319"/>
      <c r="W2251" s="319"/>
      <c r="Y2251" s="319"/>
    </row>
    <row r="2252" spans="2:26">
      <c r="B2252" s="428" t="s">
        <v>1341</v>
      </c>
      <c r="G2252" s="432"/>
      <c r="L2252" s="432"/>
      <c r="N2252" s="432"/>
      <c r="P2252" s="432"/>
      <c r="R2252" s="432"/>
    </row>
    <row r="2253" spans="2:26">
      <c r="B2253" s="317" t="s">
        <v>1331</v>
      </c>
      <c r="D2253" s="293">
        <f>D2357+D2461</f>
        <v>24</v>
      </c>
      <c r="E2253" s="293">
        <f>E2357+E2461</f>
        <v>25</v>
      </c>
      <c r="G2253" s="431">
        <v>605</v>
      </c>
      <c r="H2253" s="318"/>
      <c r="I2253" s="294">
        <f>ROUND($G2253*D2253,0)</f>
        <v>14520</v>
      </c>
      <c r="J2253" s="294">
        <f>ROUND($G2253*E2253,0)</f>
        <v>15125</v>
      </c>
      <c r="L2253" s="431">
        <f>ROUND($R2253*L2231/$R2231,2)</f>
        <v>635</v>
      </c>
      <c r="M2253" s="318"/>
      <c r="N2253" s="431">
        <f>ROUND($R2253*N2231/$R2231,2)</f>
        <v>0</v>
      </c>
      <c r="O2253" s="318"/>
      <c r="P2253" s="431">
        <f>R2253-L2253-N2253</f>
        <v>0</v>
      </c>
      <c r="Q2253" s="318"/>
      <c r="R2253" s="431">
        <f>ROUND(G2253*(1+$AC$1483),0)</f>
        <v>635</v>
      </c>
      <c r="S2253" s="318"/>
      <c r="T2253" s="294">
        <f>ROUND($E2253*L2253,0)</f>
        <v>15875</v>
      </c>
      <c r="U2253" s="319"/>
      <c r="V2253" s="294">
        <f>ROUND($E2253*N2253,0)</f>
        <v>0</v>
      </c>
      <c r="W2253" s="319"/>
      <c r="X2253" s="294">
        <f>ROUND($E2253*P2253,0)</f>
        <v>0</v>
      </c>
      <c r="Y2253" s="319"/>
      <c r="Z2253" s="294">
        <f>ROUND($E2253*R2253,0)</f>
        <v>15875</v>
      </c>
    </row>
    <row r="2254" spans="2:26">
      <c r="B2254" s="317" t="s">
        <v>1332</v>
      </c>
      <c r="D2254" s="293">
        <f>D2358+D2462</f>
        <v>36600</v>
      </c>
      <c r="E2254" s="293">
        <f>E2358+E2462</f>
        <v>34929</v>
      </c>
      <c r="G2254" s="431">
        <v>4.46</v>
      </c>
      <c r="H2254" s="318"/>
      <c r="I2254" s="294">
        <f>ROUND($G2254*D2254,0)</f>
        <v>163236</v>
      </c>
      <c r="J2254" s="294">
        <f>ROUND($G2254*E2254,0)</f>
        <v>155783</v>
      </c>
      <c r="L2254" s="431">
        <f>ROUND($R2254*L2232/$R2232,2)</f>
        <v>4.68</v>
      </c>
      <c r="M2254" s="318"/>
      <c r="N2254" s="431">
        <f>ROUND($R2254*N2232/$R2232,2)</f>
        <v>0</v>
      </c>
      <c r="O2254" s="318"/>
      <c r="P2254" s="431">
        <f>R2254-L2254-N2254</f>
        <v>0</v>
      </c>
      <c r="Q2254" s="318"/>
      <c r="R2254" s="431">
        <f>ROUND(G2254*(1+$AC$1483),2)</f>
        <v>4.68</v>
      </c>
      <c r="S2254" s="318"/>
      <c r="T2254" s="294">
        <f>ROUND($E2254*L2254,0)</f>
        <v>163468</v>
      </c>
      <c r="U2254" s="319"/>
      <c r="V2254" s="294">
        <f>ROUND($E2254*N2254,0)</f>
        <v>0</v>
      </c>
      <c r="W2254" s="319"/>
      <c r="X2254" s="294">
        <f>ROUND($E2254*P2254,0)</f>
        <v>0</v>
      </c>
      <c r="Y2254" s="319"/>
      <c r="Z2254" s="294">
        <f>ROUND($E2254*R2254,0)</f>
        <v>163468</v>
      </c>
    </row>
    <row r="2255" spans="2:26">
      <c r="B2255" s="317" t="s">
        <v>1333</v>
      </c>
      <c r="G2255" s="431"/>
      <c r="H2255" s="318"/>
      <c r="L2255" s="432"/>
      <c r="M2255" s="339"/>
      <c r="N2255" s="432"/>
      <c r="O2255" s="339"/>
      <c r="P2255" s="432"/>
      <c r="Q2255" s="318"/>
      <c r="R2255" s="432"/>
      <c r="S2255" s="318"/>
      <c r="U2255" s="319"/>
      <c r="W2255" s="319"/>
      <c r="Y2255" s="319"/>
    </row>
    <row r="2256" spans="2:26">
      <c r="B2256" s="317" t="s">
        <v>1334</v>
      </c>
      <c r="G2256" s="431"/>
      <c r="H2256" s="433"/>
      <c r="L2256" s="431"/>
      <c r="M2256" s="433"/>
      <c r="N2256" s="431"/>
      <c r="O2256" s="433"/>
      <c r="P2256" s="431"/>
      <c r="Q2256" s="433"/>
      <c r="R2256" s="431"/>
      <c r="S2256" s="433"/>
      <c r="U2256" s="319"/>
      <c r="W2256" s="319"/>
      <c r="Y2256" s="319"/>
    </row>
    <row r="2257" spans="2:26">
      <c r="B2257" s="317" t="s">
        <v>1335</v>
      </c>
      <c r="D2257" s="293">
        <f t="shared" ref="D2257:E2258" si="1284">D2361+D2465</f>
        <v>71042.341826018732</v>
      </c>
      <c r="E2257" s="293">
        <f t="shared" si="1284"/>
        <v>67799</v>
      </c>
      <c r="G2257" s="431"/>
      <c r="H2257" s="433"/>
      <c r="L2257" s="431">
        <f>ROUND($R2257*L2235/$R2235,2)</f>
        <v>0.01</v>
      </c>
      <c r="M2257" s="433"/>
      <c r="N2257" s="431">
        <f t="shared" ref="N2257:N2258" si="1285">R2257-L2257-P2257</f>
        <v>0.89</v>
      </c>
      <c r="O2257" s="433"/>
      <c r="P2257" s="431">
        <v>0</v>
      </c>
      <c r="Q2257" s="433"/>
      <c r="R2257" s="431">
        <f>ROUND(G2266*(1+$AC$1483),2)</f>
        <v>0.9</v>
      </c>
      <c r="S2257" s="433"/>
      <c r="T2257" s="294">
        <f t="shared" ref="T2257:Z2258" si="1286">ROUND($E2257*L2257,0)</f>
        <v>678</v>
      </c>
      <c r="U2257" s="319"/>
      <c r="V2257" s="294">
        <f t="shared" si="1286"/>
        <v>60341</v>
      </c>
      <c r="W2257" s="319"/>
      <c r="X2257" s="294">
        <f t="shared" si="1286"/>
        <v>0</v>
      </c>
      <c r="Y2257" s="319"/>
      <c r="Z2257" s="294">
        <f t="shared" si="1286"/>
        <v>61019</v>
      </c>
    </row>
    <row r="2258" spans="2:26">
      <c r="B2258" s="317" t="s">
        <v>1336</v>
      </c>
      <c r="D2258" s="293">
        <f t="shared" si="1284"/>
        <v>49636.034883356268</v>
      </c>
      <c r="E2258" s="293">
        <f t="shared" si="1284"/>
        <v>47370</v>
      </c>
      <c r="G2258" s="431"/>
      <c r="H2258" s="433"/>
      <c r="L2258" s="431">
        <f>ROUND($R2258*L2236/$R2236,2)</f>
        <v>0.01</v>
      </c>
      <c r="M2258" s="433"/>
      <c r="N2258" s="431">
        <f t="shared" si="1285"/>
        <v>0.79</v>
      </c>
      <c r="O2258" s="433"/>
      <c r="P2258" s="431">
        <v>0</v>
      </c>
      <c r="Q2258" s="433"/>
      <c r="R2258" s="431">
        <f>ROUND(R2257/$AC$1489,2)</f>
        <v>0.8</v>
      </c>
      <c r="S2258" s="433"/>
      <c r="T2258" s="294">
        <f t="shared" si="1286"/>
        <v>474</v>
      </c>
      <c r="U2258" s="319"/>
      <c r="V2258" s="294">
        <f t="shared" si="1286"/>
        <v>37422</v>
      </c>
      <c r="W2258" s="319"/>
      <c r="X2258" s="294">
        <f t="shared" si="1286"/>
        <v>0</v>
      </c>
      <c r="Y2258" s="319"/>
      <c r="Z2258" s="294">
        <f t="shared" si="1286"/>
        <v>37896</v>
      </c>
    </row>
    <row r="2259" spans="2:26">
      <c r="B2259" s="317" t="s">
        <v>1337</v>
      </c>
      <c r="G2259" s="432"/>
      <c r="H2259" s="434"/>
      <c r="L2259" s="432"/>
      <c r="M2259" s="434"/>
      <c r="N2259" s="432"/>
      <c r="O2259" s="434"/>
      <c r="P2259" s="432"/>
      <c r="Q2259" s="434"/>
      <c r="R2259" s="432"/>
      <c r="S2259" s="434"/>
    </row>
    <row r="2260" spans="2:26">
      <c r="B2260" s="317" t="s">
        <v>1335</v>
      </c>
      <c r="D2260" s="293">
        <f t="shared" ref="D2260:E2261" si="1287">D2364+D2468</f>
        <v>1590.0255556405268</v>
      </c>
      <c r="E2260" s="293">
        <f t="shared" si="1287"/>
        <v>1517</v>
      </c>
      <c r="G2260" s="432"/>
      <c r="H2260" s="434"/>
      <c r="L2260" s="432">
        <f>ROUND($R2260*L2257/$R2257,2)</f>
        <v>0.01</v>
      </c>
      <c r="M2260" s="434"/>
      <c r="N2260" s="431">
        <f t="shared" ref="N2260:N2261" si="1288">R2260-L2260-P2260</f>
        <v>0.44</v>
      </c>
      <c r="O2260" s="433"/>
      <c r="P2260" s="431">
        <v>0</v>
      </c>
      <c r="Q2260" s="434"/>
      <c r="R2260" s="431">
        <f>ROUND(G2269*(1+$AC$1483),2)</f>
        <v>0.45</v>
      </c>
      <c r="S2260" s="434"/>
      <c r="T2260" s="294">
        <f t="shared" ref="T2260:Z2261" si="1289">ROUND($E2260*L2260,0)</f>
        <v>15</v>
      </c>
      <c r="V2260" s="294">
        <f t="shared" si="1289"/>
        <v>667</v>
      </c>
      <c r="X2260" s="294">
        <f t="shared" si="1289"/>
        <v>0</v>
      </c>
      <c r="Z2260" s="294">
        <f t="shared" si="1289"/>
        <v>683</v>
      </c>
    </row>
    <row r="2261" spans="2:26">
      <c r="B2261" s="317" t="s">
        <v>1336</v>
      </c>
      <c r="D2261" s="293">
        <f t="shared" si="1287"/>
        <v>0</v>
      </c>
      <c r="E2261" s="293">
        <f t="shared" si="1287"/>
        <v>0</v>
      </c>
      <c r="G2261" s="432"/>
      <c r="H2261" s="434"/>
      <c r="L2261" s="432">
        <f>ROUND($R2261*L2258/$R2258,2)</f>
        <v>0.01</v>
      </c>
      <c r="M2261" s="434"/>
      <c r="N2261" s="431">
        <f t="shared" si="1288"/>
        <v>0.39</v>
      </c>
      <c r="O2261" s="433"/>
      <c r="P2261" s="431">
        <v>0</v>
      </c>
      <c r="Q2261" s="434"/>
      <c r="R2261" s="431">
        <f>ROUND(R2260/$AC$1489,2)</f>
        <v>0.4</v>
      </c>
      <c r="S2261" s="434"/>
      <c r="T2261" s="294">
        <f t="shared" si="1289"/>
        <v>0</v>
      </c>
      <c r="V2261" s="294">
        <f t="shared" si="1289"/>
        <v>0</v>
      </c>
      <c r="X2261" s="294">
        <f t="shared" si="1289"/>
        <v>0</v>
      </c>
      <c r="Z2261" s="294">
        <f t="shared" si="1289"/>
        <v>0</v>
      </c>
    </row>
    <row r="2262" spans="2:26">
      <c r="B2262" s="317" t="s">
        <v>1338</v>
      </c>
      <c r="G2262" s="431"/>
      <c r="H2262" s="318"/>
      <c r="L2262" s="431"/>
      <c r="M2262" s="318"/>
      <c r="N2262" s="431"/>
      <c r="O2262" s="318"/>
      <c r="P2262" s="431"/>
      <c r="Q2262" s="318"/>
      <c r="R2262" s="431"/>
      <c r="S2262" s="318"/>
      <c r="U2262" s="319"/>
      <c r="W2262" s="319"/>
      <c r="Y2262" s="319"/>
    </row>
    <row r="2263" spans="2:26">
      <c r="B2263" s="317" t="s">
        <v>1335</v>
      </c>
      <c r="D2263" s="293">
        <f t="shared" ref="D2263:E2264" si="1290">D2367+D2471</f>
        <v>149.21778291395714</v>
      </c>
      <c r="E2263" s="293">
        <f t="shared" si="1290"/>
        <v>142</v>
      </c>
      <c r="G2263" s="431"/>
      <c r="H2263" s="318"/>
      <c r="L2263" s="432">
        <f>ROUND($R2263*L2257/$R2257,2)</f>
        <v>0.45</v>
      </c>
      <c r="M2263" s="434"/>
      <c r="N2263" s="431">
        <f>R2263-L2263-P2263</f>
        <v>39.989999999999995</v>
      </c>
      <c r="O2263" s="433"/>
      <c r="P2263" s="431">
        <v>0</v>
      </c>
      <c r="Q2263" s="318"/>
      <c r="R2263" s="431">
        <f>ROUND(G2272*(1+$AC$1483),2)</f>
        <v>40.44</v>
      </c>
      <c r="S2263" s="318"/>
      <c r="T2263" s="294">
        <f t="shared" ref="T2263:Z2264" si="1291">ROUND($E2263*L2263,0)</f>
        <v>64</v>
      </c>
      <c r="U2263" s="319"/>
      <c r="V2263" s="294">
        <f t="shared" si="1291"/>
        <v>5679</v>
      </c>
      <c r="W2263" s="319"/>
      <c r="X2263" s="294">
        <f t="shared" si="1291"/>
        <v>0</v>
      </c>
      <c r="Y2263" s="319"/>
      <c r="Z2263" s="294">
        <f t="shared" si="1291"/>
        <v>5742</v>
      </c>
    </row>
    <row r="2264" spans="2:26">
      <c r="B2264" s="317" t="s">
        <v>1336</v>
      </c>
      <c r="D2264" s="293">
        <f t="shared" si="1290"/>
        <v>686.89376047168548</v>
      </c>
      <c r="E2264" s="293">
        <f t="shared" si="1290"/>
        <v>656</v>
      </c>
      <c r="G2264" s="431"/>
      <c r="H2264" s="318"/>
      <c r="L2264" s="432">
        <f>ROUND($R2264*L2258/$R2258,2)</f>
        <v>0.45</v>
      </c>
      <c r="M2264" s="434"/>
      <c r="N2264" s="431">
        <f>R2264-L2264-P2264</f>
        <v>35.339999999999996</v>
      </c>
      <c r="O2264" s="433"/>
      <c r="P2264" s="431">
        <v>0</v>
      </c>
      <c r="Q2264" s="318"/>
      <c r="R2264" s="431">
        <f>ROUND(R2263/$AC$1489,2)</f>
        <v>35.79</v>
      </c>
      <c r="S2264" s="318"/>
      <c r="T2264" s="294">
        <f t="shared" si="1291"/>
        <v>295</v>
      </c>
      <c r="U2264" s="319"/>
      <c r="V2264" s="294">
        <f t="shared" si="1291"/>
        <v>23183</v>
      </c>
      <c r="W2264" s="319"/>
      <c r="X2264" s="294">
        <f t="shared" si="1291"/>
        <v>0</v>
      </c>
      <c r="Y2264" s="319"/>
      <c r="Z2264" s="294">
        <f t="shared" si="1291"/>
        <v>23478</v>
      </c>
    </row>
    <row r="2265" spans="2:26">
      <c r="B2265" s="317" t="s">
        <v>1334</v>
      </c>
      <c r="G2265" s="431"/>
      <c r="H2265" s="433"/>
      <c r="L2265" s="431"/>
      <c r="M2265" s="433"/>
      <c r="N2265" s="431"/>
      <c r="O2265" s="433"/>
      <c r="P2265" s="431"/>
      <c r="Q2265" s="433"/>
      <c r="R2265" s="431"/>
      <c r="S2265" s="433"/>
      <c r="U2265" s="319"/>
      <c r="W2265" s="319"/>
      <c r="Y2265" s="319"/>
    </row>
    <row r="2266" spans="2:26">
      <c r="B2266" s="317" t="s">
        <v>1339</v>
      </c>
      <c r="D2266" s="293">
        <f>D2370+D2474</f>
        <v>87126</v>
      </c>
      <c r="E2266" s="293">
        <f>E2370+E2474</f>
        <v>83149</v>
      </c>
      <c r="G2266" s="431">
        <v>0.86</v>
      </c>
      <c r="H2266" s="433"/>
      <c r="I2266" s="294">
        <f>ROUND($G2266*D2266,0)</f>
        <v>74928</v>
      </c>
      <c r="J2266" s="294">
        <f>ROUND($G2266*E2266,0)</f>
        <v>71508</v>
      </c>
      <c r="L2266" s="431"/>
      <c r="M2266" s="433"/>
      <c r="N2266" s="431"/>
      <c r="O2266" s="433"/>
      <c r="P2266" s="431"/>
      <c r="Q2266" s="433"/>
      <c r="R2266" s="431"/>
      <c r="S2266" s="433"/>
      <c r="U2266" s="319"/>
      <c r="W2266" s="319"/>
      <c r="Y2266" s="319"/>
    </row>
    <row r="2267" spans="2:26">
      <c r="B2267" s="317" t="s">
        <v>1340</v>
      </c>
      <c r="D2267" s="293">
        <f>D2371+D2475</f>
        <v>43646</v>
      </c>
      <c r="E2267" s="293">
        <f>E2371+E2475</f>
        <v>41654</v>
      </c>
      <c r="G2267" s="431">
        <v>0.6</v>
      </c>
      <c r="H2267" s="433"/>
      <c r="I2267" s="294">
        <f>ROUND($G2267*D2267,0)</f>
        <v>26188</v>
      </c>
      <c r="J2267" s="294">
        <f>ROUND($G2267*E2267,0)</f>
        <v>24992</v>
      </c>
      <c r="L2267" s="431"/>
      <c r="M2267" s="433"/>
      <c r="N2267" s="431"/>
      <c r="O2267" s="433"/>
      <c r="P2267" s="431"/>
      <c r="Q2267" s="433"/>
      <c r="R2267" s="431"/>
      <c r="S2267" s="433"/>
      <c r="U2267" s="319"/>
      <c r="W2267" s="319"/>
      <c r="Y2267" s="319"/>
    </row>
    <row r="2268" spans="2:26">
      <c r="B2268" s="317" t="s">
        <v>1337</v>
      </c>
      <c r="G2268" s="432"/>
      <c r="H2268" s="434"/>
      <c r="L2268" s="432"/>
      <c r="M2268" s="434"/>
      <c r="N2268" s="432"/>
      <c r="O2268" s="434"/>
      <c r="P2268" s="432"/>
      <c r="Q2268" s="434"/>
      <c r="R2268" s="432"/>
      <c r="S2268" s="434"/>
    </row>
    <row r="2269" spans="2:26">
      <c r="B2269" s="317" t="s">
        <v>1339</v>
      </c>
      <c r="D2269" s="293">
        <f>D2373+D2477</f>
        <v>1950</v>
      </c>
      <c r="E2269" s="293">
        <f>E2373+E2477</f>
        <v>1861</v>
      </c>
      <c r="G2269" s="432">
        <v>0.43</v>
      </c>
      <c r="H2269" s="434"/>
      <c r="I2269" s="294">
        <f>ROUND($G2269*D2269,0)</f>
        <v>839</v>
      </c>
      <c r="J2269" s="294">
        <f>ROUND($G2269*E2269,0)</f>
        <v>800</v>
      </c>
      <c r="L2269" s="432"/>
      <c r="M2269" s="434"/>
      <c r="N2269" s="432"/>
      <c r="O2269" s="434"/>
      <c r="P2269" s="432"/>
      <c r="Q2269" s="434"/>
      <c r="R2269" s="432"/>
      <c r="S2269" s="434"/>
    </row>
    <row r="2270" spans="2:26">
      <c r="B2270" s="317" t="s">
        <v>1340</v>
      </c>
      <c r="D2270" s="293">
        <f>D2374+D2478</f>
        <v>0</v>
      </c>
      <c r="E2270" s="293">
        <f>E2374+E2478</f>
        <v>0</v>
      </c>
      <c r="G2270" s="432">
        <v>0.3</v>
      </c>
      <c r="H2270" s="434"/>
      <c r="I2270" s="294">
        <f>ROUND($G2270*D2270,0)</f>
        <v>0</v>
      </c>
      <c r="J2270" s="294">
        <f>ROUND($G2270*E2270,0)</f>
        <v>0</v>
      </c>
      <c r="L2270" s="432"/>
      <c r="M2270" s="434"/>
      <c r="N2270" s="432"/>
      <c r="O2270" s="434"/>
      <c r="P2270" s="432"/>
      <c r="Q2270" s="434"/>
      <c r="R2270" s="432"/>
      <c r="S2270" s="434"/>
    </row>
    <row r="2271" spans="2:26">
      <c r="B2271" s="317" t="s">
        <v>1338</v>
      </c>
      <c r="G2271" s="431"/>
      <c r="H2271" s="318"/>
      <c r="L2271" s="431"/>
      <c r="M2271" s="318"/>
      <c r="N2271" s="431"/>
      <c r="O2271" s="318"/>
      <c r="P2271" s="431"/>
      <c r="Q2271" s="318"/>
      <c r="R2271" s="431"/>
      <c r="S2271" s="318"/>
      <c r="U2271" s="319"/>
      <c r="W2271" s="319"/>
      <c r="Y2271" s="319"/>
    </row>
    <row r="2272" spans="2:26">
      <c r="B2272" s="317" t="s">
        <v>1339</v>
      </c>
      <c r="D2272" s="293">
        <f>D2376+D2480</f>
        <v>183</v>
      </c>
      <c r="E2272" s="293">
        <f>E2376+E2480</f>
        <v>175</v>
      </c>
      <c r="G2272" s="431">
        <v>38.54</v>
      </c>
      <c r="H2272" s="318"/>
      <c r="I2272" s="294">
        <f>ROUND($G2272*D2272,0)</f>
        <v>7053</v>
      </c>
      <c r="J2272" s="294">
        <f>ROUND($G2272*E2272,0)</f>
        <v>6745</v>
      </c>
      <c r="L2272" s="431"/>
      <c r="M2272" s="318"/>
      <c r="N2272" s="431"/>
      <c r="O2272" s="318"/>
      <c r="P2272" s="431"/>
      <c r="Q2272" s="318"/>
      <c r="R2272" s="431"/>
      <c r="S2272" s="318"/>
      <c r="U2272" s="319"/>
      <c r="W2272" s="319"/>
      <c r="Y2272" s="319"/>
    </row>
    <row r="2273" spans="2:26">
      <c r="B2273" s="317" t="s">
        <v>1340</v>
      </c>
      <c r="D2273" s="293">
        <f>D2377+D2481</f>
        <v>604</v>
      </c>
      <c r="E2273" s="293">
        <f>E2377+E2481</f>
        <v>576</v>
      </c>
      <c r="G2273" s="431">
        <v>29.77</v>
      </c>
      <c r="H2273" s="318"/>
      <c r="I2273" s="294">
        <f>ROUND($G2273*D2273,0)</f>
        <v>17981</v>
      </c>
      <c r="J2273" s="294">
        <f>ROUND($G2273*E2273,0)</f>
        <v>17148</v>
      </c>
      <c r="L2273" s="431"/>
      <c r="M2273" s="318"/>
      <c r="N2273" s="431"/>
      <c r="O2273" s="318"/>
      <c r="P2273" s="431"/>
      <c r="Q2273" s="318"/>
      <c r="R2273" s="431"/>
      <c r="S2273" s="318"/>
      <c r="U2273" s="319"/>
      <c r="W2273" s="319"/>
      <c r="Y2273" s="319"/>
    </row>
    <row r="2274" spans="2:26">
      <c r="B2274" s="428" t="s">
        <v>1342</v>
      </c>
      <c r="G2274" s="432"/>
      <c r="L2274" s="432"/>
      <c r="N2274" s="432"/>
      <c r="P2274" s="432"/>
      <c r="R2274" s="432"/>
    </row>
    <row r="2275" spans="2:26">
      <c r="B2275" s="317" t="s">
        <v>1331</v>
      </c>
      <c r="D2275" s="293">
        <f>D2379+D2483</f>
        <v>59</v>
      </c>
      <c r="E2275" s="293">
        <f>E2379+E2483</f>
        <v>59</v>
      </c>
      <c r="G2275" s="431">
        <v>678</v>
      </c>
      <c r="H2275" s="318"/>
      <c r="I2275" s="294">
        <f>ROUND($G2275*D2275,0)</f>
        <v>40002</v>
      </c>
      <c r="J2275" s="294">
        <f>ROUND($G2275*E2275,0)</f>
        <v>40002</v>
      </c>
      <c r="L2275" s="431">
        <f>ROUND($R2275*L1479/$R1479,2)</f>
        <v>701.35</v>
      </c>
      <c r="M2275" s="318"/>
      <c r="N2275" s="431">
        <f>ROUND($R2275*N1479/$R1479,2)</f>
        <v>9.65</v>
      </c>
      <c r="O2275" s="318"/>
      <c r="P2275" s="431">
        <f>R2275-L2275-N2275</f>
        <v>-2.3092638912203256E-14</v>
      </c>
      <c r="Q2275" s="318"/>
      <c r="R2275" s="431">
        <f>ROUND(G2275*(1+$AC$1483),0)</f>
        <v>711</v>
      </c>
      <c r="S2275" s="318"/>
      <c r="T2275" s="294">
        <f>ROUND($E2275*L2275,0)</f>
        <v>41380</v>
      </c>
      <c r="U2275" s="319"/>
      <c r="V2275" s="294">
        <f>ROUND($E2275*N2275,0)</f>
        <v>569</v>
      </c>
      <c r="W2275" s="319"/>
      <c r="X2275" s="294">
        <f>ROUND($E2275*P2275,0)</f>
        <v>0</v>
      </c>
      <c r="Y2275" s="319"/>
      <c r="Z2275" s="294">
        <f>ROUND($E2275*R2275,0)</f>
        <v>41949</v>
      </c>
    </row>
    <row r="2276" spans="2:26">
      <c r="B2276" s="317" t="s">
        <v>1332</v>
      </c>
      <c r="D2276" s="293">
        <f>D2380+D2484</f>
        <v>255139</v>
      </c>
      <c r="E2276" s="293">
        <f>E2380+E2484</f>
        <v>291905</v>
      </c>
      <c r="G2276" s="431">
        <v>2.63</v>
      </c>
      <c r="H2276" s="318"/>
      <c r="I2276" s="294">
        <f>ROUND($G2276*D2276,0)</f>
        <v>671016</v>
      </c>
      <c r="J2276" s="294">
        <f>ROUND($G2276*E2276,0)</f>
        <v>767710</v>
      </c>
      <c r="L2276" s="431">
        <f>ROUND($R2276*L1480/$R1480,2)</f>
        <v>0</v>
      </c>
      <c r="M2276" s="318"/>
      <c r="N2276" s="431">
        <f>ROUND($R2276*N1480/$R1480,2)</f>
        <v>2.76</v>
      </c>
      <c r="O2276" s="318"/>
      <c r="P2276" s="431">
        <f>R2276-L2276-N2276</f>
        <v>0</v>
      </c>
      <c r="Q2276" s="318"/>
      <c r="R2276" s="431">
        <f>ROUND(G2276*(1+$AC$1483),2)</f>
        <v>2.76</v>
      </c>
      <c r="S2276" s="318"/>
      <c r="T2276" s="294">
        <f>ROUND($E2276*L2276,0)</f>
        <v>0</v>
      </c>
      <c r="U2276" s="319"/>
      <c r="V2276" s="294">
        <f>ROUND($E2276*N2276,0)</f>
        <v>805658</v>
      </c>
      <c r="W2276" s="319"/>
      <c r="X2276" s="294">
        <f>ROUND($E2276*P2276,0)</f>
        <v>0</v>
      </c>
      <c r="Y2276" s="319"/>
      <c r="Z2276" s="294">
        <f>ROUND($E2276*R2276,0)</f>
        <v>805658</v>
      </c>
    </row>
    <row r="2277" spans="2:26">
      <c r="B2277" s="317" t="s">
        <v>1333</v>
      </c>
      <c r="G2277" s="432"/>
      <c r="H2277" s="339"/>
      <c r="L2277" s="432"/>
      <c r="M2277" s="339"/>
      <c r="N2277" s="432"/>
      <c r="O2277" s="339"/>
      <c r="P2277" s="432"/>
      <c r="Q2277" s="339"/>
      <c r="R2277" s="432"/>
      <c r="S2277" s="339"/>
    </row>
    <row r="2278" spans="2:26">
      <c r="B2278" s="317" t="s">
        <v>1334</v>
      </c>
      <c r="G2278" s="431"/>
      <c r="H2278" s="433"/>
      <c r="L2278" s="431"/>
      <c r="M2278" s="433"/>
      <c r="N2278" s="431"/>
      <c r="O2278" s="433"/>
      <c r="P2278" s="431"/>
      <c r="Q2278" s="433"/>
      <c r="R2278" s="431"/>
      <c r="S2278" s="433"/>
      <c r="U2278" s="319"/>
      <c r="W2278" s="319"/>
      <c r="Y2278" s="319"/>
    </row>
    <row r="2279" spans="2:26">
      <c r="B2279" s="317" t="s">
        <v>1335</v>
      </c>
      <c r="D2279" s="293">
        <f t="shared" ref="D2279:E2280" si="1292">D2383+D2487</f>
        <v>603786.51972628362</v>
      </c>
      <c r="E2279" s="293">
        <f t="shared" si="1292"/>
        <v>661077</v>
      </c>
      <c r="G2279" s="431"/>
      <c r="H2279" s="433"/>
      <c r="L2279" s="431">
        <f>ROUND($R2279*L1481/$R1481,2)</f>
        <v>0</v>
      </c>
      <c r="M2279" s="433"/>
      <c r="N2279" s="431">
        <f t="shared" ref="N2279:N2280" si="1293">R2279-L2279-P2279</f>
        <v>0.8</v>
      </c>
      <c r="O2279" s="433"/>
      <c r="P2279" s="431">
        <v>0</v>
      </c>
      <c r="Q2279" s="433"/>
      <c r="R2279" s="431">
        <f>ROUND(G2288*(1+$AC$1483),2)</f>
        <v>0.8</v>
      </c>
      <c r="S2279" s="433"/>
      <c r="T2279" s="294">
        <f t="shared" ref="T2279:Z2280" si="1294">ROUND($E2279*L2279,0)</f>
        <v>0</v>
      </c>
      <c r="U2279" s="319"/>
      <c r="V2279" s="294">
        <f t="shared" si="1294"/>
        <v>528862</v>
      </c>
      <c r="W2279" s="319"/>
      <c r="X2279" s="294">
        <f t="shared" si="1294"/>
        <v>0</v>
      </c>
      <c r="Y2279" s="319"/>
      <c r="Z2279" s="294">
        <f t="shared" si="1294"/>
        <v>528862</v>
      </c>
    </row>
    <row r="2280" spans="2:26">
      <c r="B2280" s="317" t="s">
        <v>1336</v>
      </c>
      <c r="D2280" s="293">
        <f t="shared" si="1292"/>
        <v>277917.89783163916</v>
      </c>
      <c r="E2280" s="293">
        <f t="shared" si="1292"/>
        <v>307458</v>
      </c>
      <c r="G2280" s="431"/>
      <c r="H2280" s="433"/>
      <c r="L2280" s="431">
        <f>ROUND($R2280*L1482/$R1482,2)</f>
        <v>0</v>
      </c>
      <c r="M2280" s="433"/>
      <c r="N2280" s="431">
        <f t="shared" si="1293"/>
        <v>0.71</v>
      </c>
      <c r="O2280" s="433"/>
      <c r="P2280" s="431">
        <v>0</v>
      </c>
      <c r="Q2280" s="433"/>
      <c r="R2280" s="431">
        <f>ROUND(R2279/$AC$1489,2)</f>
        <v>0.71</v>
      </c>
      <c r="S2280" s="433"/>
      <c r="T2280" s="294">
        <f t="shared" si="1294"/>
        <v>0</v>
      </c>
      <c r="U2280" s="319"/>
      <c r="V2280" s="294">
        <f t="shared" si="1294"/>
        <v>218295</v>
      </c>
      <c r="W2280" s="319"/>
      <c r="X2280" s="294">
        <f t="shared" si="1294"/>
        <v>0</v>
      </c>
      <c r="Y2280" s="319"/>
      <c r="Z2280" s="294">
        <f t="shared" si="1294"/>
        <v>218295</v>
      </c>
    </row>
    <row r="2281" spans="2:26">
      <c r="B2281" s="317" t="s">
        <v>1337</v>
      </c>
      <c r="G2281" s="432"/>
      <c r="H2281" s="434"/>
      <c r="L2281" s="432"/>
      <c r="M2281" s="434"/>
      <c r="N2281" s="432"/>
      <c r="O2281" s="434"/>
      <c r="P2281" s="432"/>
      <c r="Q2281" s="434"/>
      <c r="R2281" s="432"/>
      <c r="S2281" s="434"/>
    </row>
    <row r="2282" spans="2:26">
      <c r="B2282" s="317" t="s">
        <v>1335</v>
      </c>
      <c r="D2282" s="293">
        <f t="shared" ref="D2282:E2283" si="1295">D2386+D2490</f>
        <v>0</v>
      </c>
      <c r="E2282" s="293">
        <f t="shared" si="1295"/>
        <v>0</v>
      </c>
      <c r="G2282" s="432"/>
      <c r="H2282" s="434"/>
      <c r="L2282" s="432">
        <f>ROUND($R2282*L2279/$R2279,2)</f>
        <v>0</v>
      </c>
      <c r="M2282" s="434"/>
      <c r="N2282" s="431">
        <f t="shared" ref="N2282:N2283" si="1296">R2282-L2282-P2282</f>
        <v>0.4</v>
      </c>
      <c r="O2282" s="433"/>
      <c r="P2282" s="431">
        <v>0</v>
      </c>
      <c r="Q2282" s="434"/>
      <c r="R2282" s="431">
        <f>ROUND(G2291*(1+$AC$1483),2)</f>
        <v>0.4</v>
      </c>
      <c r="S2282" s="434"/>
      <c r="T2282" s="294">
        <f t="shared" ref="T2282:Z2283" si="1297">ROUND($E2282*L2282,0)</f>
        <v>0</v>
      </c>
      <c r="V2282" s="294">
        <f t="shared" si="1297"/>
        <v>0</v>
      </c>
      <c r="X2282" s="294">
        <f t="shared" si="1297"/>
        <v>0</v>
      </c>
      <c r="Z2282" s="294">
        <f t="shared" si="1297"/>
        <v>0</v>
      </c>
    </row>
    <row r="2283" spans="2:26">
      <c r="B2283" s="317" t="s">
        <v>1336</v>
      </c>
      <c r="D2283" s="293">
        <f t="shared" si="1295"/>
        <v>124527.92511862511</v>
      </c>
      <c r="E2283" s="293">
        <f t="shared" si="1295"/>
        <v>150735</v>
      </c>
      <c r="G2283" s="432"/>
      <c r="H2283" s="434"/>
      <c r="L2283" s="432">
        <f>ROUND($R2283*L2280/$R2280,2)</f>
        <v>0</v>
      </c>
      <c r="M2283" s="434"/>
      <c r="N2283" s="431">
        <f t="shared" si="1296"/>
        <v>0.35</v>
      </c>
      <c r="O2283" s="433"/>
      <c r="P2283" s="431">
        <v>0</v>
      </c>
      <c r="Q2283" s="434"/>
      <c r="R2283" s="431">
        <f>ROUND(R2282/$AC$1489,2)</f>
        <v>0.35</v>
      </c>
      <c r="S2283" s="434"/>
      <c r="T2283" s="294">
        <f t="shared" si="1297"/>
        <v>0</v>
      </c>
      <c r="V2283" s="294">
        <f t="shared" si="1297"/>
        <v>52757</v>
      </c>
      <c r="X2283" s="294">
        <f t="shared" si="1297"/>
        <v>0</v>
      </c>
      <c r="Z2283" s="294">
        <f t="shared" si="1297"/>
        <v>52757</v>
      </c>
    </row>
    <row r="2284" spans="2:26">
      <c r="B2284" s="317" t="s">
        <v>1338</v>
      </c>
      <c r="G2284" s="431"/>
      <c r="H2284" s="318"/>
      <c r="L2284" s="431"/>
      <c r="M2284" s="318"/>
      <c r="N2284" s="431"/>
      <c r="O2284" s="318"/>
      <c r="P2284" s="431"/>
      <c r="Q2284" s="318"/>
      <c r="R2284" s="431"/>
      <c r="S2284" s="318"/>
      <c r="U2284" s="319"/>
      <c r="W2284" s="319"/>
      <c r="Y2284" s="319"/>
    </row>
    <row r="2285" spans="2:26">
      <c r="B2285" s="317" t="s">
        <v>1335</v>
      </c>
      <c r="D2285" s="293">
        <f t="shared" ref="D2285:E2286" si="1298">D2389+D2493</f>
        <v>7124.9452847112425</v>
      </c>
      <c r="E2285" s="293">
        <f t="shared" si="1298"/>
        <v>6800</v>
      </c>
      <c r="G2285" s="431"/>
      <c r="H2285" s="318"/>
      <c r="L2285" s="432">
        <f>ROUND($R2285*L2279/$R2279,2)</f>
        <v>0</v>
      </c>
      <c r="M2285" s="434"/>
      <c r="N2285" s="431">
        <f t="shared" ref="N2285:N2286" si="1299">R2285-L2285-P2285</f>
        <v>33.950000000000003</v>
      </c>
      <c r="O2285" s="433"/>
      <c r="P2285" s="431">
        <v>0</v>
      </c>
      <c r="Q2285" s="318"/>
      <c r="R2285" s="431">
        <f>ROUND(G2294*(1+$AC$1483),2)</f>
        <v>33.950000000000003</v>
      </c>
      <c r="S2285" s="318"/>
      <c r="T2285" s="294">
        <f t="shared" ref="T2285:Z2286" si="1300">ROUND($E2285*L2285,0)</f>
        <v>0</v>
      </c>
      <c r="U2285" s="319"/>
      <c r="V2285" s="294">
        <f t="shared" si="1300"/>
        <v>230860</v>
      </c>
      <c r="W2285" s="319"/>
      <c r="X2285" s="294">
        <f t="shared" si="1300"/>
        <v>0</v>
      </c>
      <c r="Y2285" s="319"/>
      <c r="Z2285" s="294">
        <f t="shared" si="1300"/>
        <v>230860</v>
      </c>
    </row>
    <row r="2286" spans="2:26">
      <c r="B2286" s="317" t="s">
        <v>1336</v>
      </c>
      <c r="D2286" s="293">
        <f t="shared" si="1298"/>
        <v>1119.0454640796995</v>
      </c>
      <c r="E2286" s="293">
        <f t="shared" si="1298"/>
        <v>1068</v>
      </c>
      <c r="G2286" s="431"/>
      <c r="H2286" s="318"/>
      <c r="L2286" s="432">
        <f>ROUND($R2286*L2280/$R2280,2)</f>
        <v>0</v>
      </c>
      <c r="M2286" s="434"/>
      <c r="N2286" s="431">
        <f t="shared" si="1299"/>
        <v>30.04</v>
      </c>
      <c r="O2286" s="433"/>
      <c r="P2286" s="431">
        <v>0</v>
      </c>
      <c r="Q2286" s="318"/>
      <c r="R2286" s="431">
        <f>ROUND(R2285/$AC$1489,2)</f>
        <v>30.04</v>
      </c>
      <c r="S2286" s="318"/>
      <c r="T2286" s="294">
        <f t="shared" si="1300"/>
        <v>0</v>
      </c>
      <c r="U2286" s="319"/>
      <c r="V2286" s="294">
        <f t="shared" si="1300"/>
        <v>32083</v>
      </c>
      <c r="W2286" s="319"/>
      <c r="X2286" s="294">
        <f t="shared" si="1300"/>
        <v>0</v>
      </c>
      <c r="Y2286" s="319"/>
      <c r="Z2286" s="294">
        <f t="shared" si="1300"/>
        <v>32083</v>
      </c>
    </row>
    <row r="2287" spans="2:26">
      <c r="B2287" s="317" t="s">
        <v>1334</v>
      </c>
      <c r="G2287" s="431"/>
      <c r="H2287" s="433"/>
      <c r="L2287" s="431"/>
      <c r="M2287" s="433"/>
      <c r="N2287" s="431"/>
      <c r="O2287" s="433"/>
      <c r="P2287" s="431"/>
      <c r="Q2287" s="433"/>
      <c r="R2287" s="431"/>
      <c r="S2287" s="433"/>
      <c r="U2287" s="319"/>
      <c r="W2287" s="319"/>
      <c r="Y2287" s="319"/>
    </row>
    <row r="2288" spans="2:26">
      <c r="B2288" s="317" t="s">
        <v>1339</v>
      </c>
      <c r="D2288" s="293">
        <f>D2392+D2496</f>
        <v>740481</v>
      </c>
      <c r="E2288" s="293">
        <f>E2392+E2496</f>
        <v>810741</v>
      </c>
      <c r="G2288" s="431">
        <v>0.76</v>
      </c>
      <c r="H2288" s="433"/>
      <c r="I2288" s="294">
        <f>ROUND($G2288*D2288,0)</f>
        <v>562766</v>
      </c>
      <c r="J2288" s="294">
        <f>ROUND($G2288*E2288,0)</f>
        <v>616163</v>
      </c>
      <c r="L2288" s="431"/>
      <c r="M2288" s="433"/>
      <c r="N2288" s="431"/>
      <c r="O2288" s="433"/>
      <c r="P2288" s="431"/>
      <c r="Q2288" s="433"/>
      <c r="R2288" s="431"/>
      <c r="S2288" s="433"/>
      <c r="U2288" s="319"/>
      <c r="W2288" s="319"/>
      <c r="Y2288" s="319"/>
    </row>
    <row r="2289" spans="2:26">
      <c r="B2289" s="317" t="s">
        <v>1340</v>
      </c>
      <c r="D2289" s="293">
        <f>D2393+D2497</f>
        <v>244379</v>
      </c>
      <c r="E2289" s="293">
        <f>E2393+E2497</f>
        <v>270354</v>
      </c>
      <c r="G2289" s="431">
        <v>0.51</v>
      </c>
      <c r="H2289" s="433"/>
      <c r="I2289" s="294">
        <f>ROUND($G2289*D2289,0)</f>
        <v>124633</v>
      </c>
      <c r="J2289" s="294">
        <f>ROUND($G2289*E2289,0)</f>
        <v>137881</v>
      </c>
      <c r="L2289" s="431"/>
      <c r="M2289" s="433"/>
      <c r="N2289" s="431"/>
      <c r="O2289" s="433"/>
      <c r="P2289" s="431"/>
      <c r="Q2289" s="433"/>
      <c r="R2289" s="431"/>
      <c r="S2289" s="433"/>
      <c r="U2289" s="319"/>
      <c r="W2289" s="319"/>
      <c r="Y2289" s="319"/>
    </row>
    <row r="2290" spans="2:26">
      <c r="B2290" s="317" t="s">
        <v>1337</v>
      </c>
      <c r="G2290" s="432"/>
      <c r="H2290" s="434"/>
      <c r="L2290" s="432"/>
      <c r="M2290" s="434"/>
      <c r="N2290" s="432"/>
      <c r="O2290" s="434"/>
      <c r="P2290" s="432"/>
      <c r="Q2290" s="434"/>
      <c r="R2290" s="432"/>
      <c r="S2290" s="434"/>
    </row>
    <row r="2291" spans="2:26">
      <c r="B2291" s="317" t="s">
        <v>1339</v>
      </c>
      <c r="D2291" s="293">
        <f>D2395+D2499</f>
        <v>0</v>
      </c>
      <c r="E2291" s="293">
        <f>E2395+E2499</f>
        <v>0</v>
      </c>
      <c r="G2291" s="432">
        <v>0.38</v>
      </c>
      <c r="H2291" s="434"/>
      <c r="I2291" s="294">
        <f>ROUND($G2291*D2291,0)</f>
        <v>0</v>
      </c>
      <c r="J2291" s="294">
        <f>ROUND($G2291*E2291,0)</f>
        <v>0</v>
      </c>
      <c r="L2291" s="432"/>
      <c r="M2291" s="434"/>
      <c r="N2291" s="432"/>
      <c r="O2291" s="434"/>
      <c r="P2291" s="432"/>
      <c r="Q2291" s="434"/>
      <c r="R2291" s="432"/>
      <c r="S2291" s="434"/>
    </row>
    <row r="2292" spans="2:26">
      <c r="B2292" s="317" t="s">
        <v>1340</v>
      </c>
      <c r="D2292" s="293">
        <f>D2396+D2500</f>
        <v>109500</v>
      </c>
      <c r="E2292" s="293">
        <f>E2396+E2500</f>
        <v>132544</v>
      </c>
      <c r="G2292" s="432">
        <v>0.255</v>
      </c>
      <c r="H2292" s="434"/>
      <c r="I2292" s="294">
        <f>ROUND($G2292*D2292,0)</f>
        <v>27923</v>
      </c>
      <c r="J2292" s="294">
        <f>ROUND($G2292*E2292,0)</f>
        <v>33799</v>
      </c>
      <c r="L2292" s="432"/>
      <c r="M2292" s="434"/>
      <c r="N2292" s="432"/>
      <c r="O2292" s="434"/>
      <c r="P2292" s="432"/>
      <c r="Q2292" s="434"/>
      <c r="R2292" s="432"/>
      <c r="S2292" s="434"/>
    </row>
    <row r="2293" spans="2:26">
      <c r="B2293" s="317" t="s">
        <v>1338</v>
      </c>
      <c r="G2293" s="431"/>
      <c r="H2293" s="318"/>
      <c r="L2293" s="431"/>
      <c r="M2293" s="318"/>
      <c r="N2293" s="431"/>
      <c r="O2293" s="318"/>
      <c r="P2293" s="431"/>
      <c r="Q2293" s="318"/>
      <c r="R2293" s="431"/>
      <c r="S2293" s="318"/>
      <c r="U2293" s="319"/>
      <c r="W2293" s="319"/>
      <c r="Y2293" s="319"/>
    </row>
    <row r="2294" spans="2:26">
      <c r="B2294" s="317" t="s">
        <v>1339</v>
      </c>
      <c r="D2294" s="293">
        <f>D2398+D2502</f>
        <v>8738</v>
      </c>
      <c r="E2294" s="293">
        <f>E2398+E2502</f>
        <v>8339</v>
      </c>
      <c r="G2294" s="431">
        <v>32.35</v>
      </c>
      <c r="H2294" s="318"/>
      <c r="I2294" s="294">
        <f>ROUND($G2294*D2294,0)</f>
        <v>282674</v>
      </c>
      <c r="J2294" s="294">
        <f>ROUND($G2294*E2294,0)</f>
        <v>269767</v>
      </c>
      <c r="L2294" s="431"/>
      <c r="M2294" s="318"/>
      <c r="N2294" s="431"/>
      <c r="O2294" s="318"/>
      <c r="P2294" s="431"/>
      <c r="Q2294" s="318"/>
      <c r="R2294" s="431"/>
      <c r="S2294" s="318"/>
      <c r="U2294" s="319"/>
      <c r="W2294" s="319"/>
      <c r="Y2294" s="319"/>
    </row>
    <row r="2295" spans="2:26">
      <c r="B2295" s="317" t="s">
        <v>1340</v>
      </c>
      <c r="D2295" s="293">
        <f>D2399+D2503</f>
        <v>984</v>
      </c>
      <c r="E2295" s="293">
        <f>E2399+E2503</f>
        <v>939</v>
      </c>
      <c r="G2295" s="431">
        <v>23.36</v>
      </c>
      <c r="H2295" s="318"/>
      <c r="I2295" s="294">
        <f>ROUND($G2295*D2295,0)</f>
        <v>22986</v>
      </c>
      <c r="J2295" s="294">
        <f>ROUND($G2295*E2295,0)</f>
        <v>21935</v>
      </c>
      <c r="L2295" s="431"/>
      <c r="M2295" s="318"/>
      <c r="N2295" s="431"/>
      <c r="O2295" s="318"/>
      <c r="P2295" s="431"/>
      <c r="Q2295" s="318"/>
      <c r="R2295" s="431"/>
      <c r="S2295" s="318"/>
      <c r="U2295" s="319"/>
      <c r="W2295" s="319"/>
      <c r="Y2295" s="319"/>
    </row>
    <row r="2296" spans="2:26">
      <c r="B2296" s="317" t="s">
        <v>1300</v>
      </c>
      <c r="D2296" s="412"/>
      <c r="E2296" s="412"/>
      <c r="G2296" s="377"/>
      <c r="H2296" s="377"/>
      <c r="I2296" s="358">
        <f>SUM(I2231:I2295)</f>
        <v>2036745</v>
      </c>
      <c r="J2296" s="358">
        <f>SUM(J2231:J2295)</f>
        <v>2179358</v>
      </c>
      <c r="L2296" s="377"/>
      <c r="M2296" s="377"/>
      <c r="N2296" s="377"/>
      <c r="O2296" s="377"/>
      <c r="P2296" s="377"/>
      <c r="Q2296" s="377"/>
      <c r="R2296" s="377"/>
      <c r="S2296" s="377"/>
      <c r="T2296" s="358">
        <f>SUM(T2231:T2295)</f>
        <v>222249</v>
      </c>
      <c r="V2296" s="358">
        <f>SUM(V2231:V2295)</f>
        <v>1996376</v>
      </c>
      <c r="X2296" s="358">
        <f>SUM(X2231:X2295)</f>
        <v>0</v>
      </c>
      <c r="Z2296" s="358">
        <f>SUM(Z2231:Z2295)</f>
        <v>2218625</v>
      </c>
    </row>
    <row r="2297" spans="2:26">
      <c r="B2297" s="428" t="s">
        <v>1343</v>
      </c>
    </row>
    <row r="2298" spans="2:26">
      <c r="B2298" s="314" t="s">
        <v>1030</v>
      </c>
      <c r="G2298" s="339"/>
      <c r="H2298" s="339"/>
      <c r="L2298" s="339"/>
      <c r="M2298" s="339"/>
      <c r="N2298" s="339"/>
      <c r="O2298" s="339"/>
      <c r="P2298" s="339"/>
      <c r="Q2298" s="339"/>
      <c r="R2298" s="339"/>
      <c r="S2298" s="339"/>
    </row>
    <row r="2299" spans="2:26">
      <c r="B2299" s="317" t="s">
        <v>1101</v>
      </c>
      <c r="D2299" s="293">
        <f>D2403+D2507</f>
        <v>29129</v>
      </c>
      <c r="E2299" s="293">
        <f>E2403+E2507</f>
        <v>27799</v>
      </c>
      <c r="G2299" s="339">
        <v>4.76</v>
      </c>
      <c r="H2299" s="339"/>
      <c r="I2299" s="294">
        <f t="shared" ref="I2299:J2308" si="1301">ROUND($G2299*D2299,0)</f>
        <v>138654</v>
      </c>
      <c r="J2299" s="294">
        <f t="shared" si="1301"/>
        <v>132323</v>
      </c>
      <c r="L2299" s="339">
        <f t="shared" ref="L2299:L2305" si="1302">L1378</f>
        <v>4.95</v>
      </c>
      <c r="M2299" s="339"/>
      <c r="N2299" s="339">
        <f t="shared" ref="N2299:N2305" si="1303">N1378</f>
        <v>0</v>
      </c>
      <c r="O2299" s="339"/>
      <c r="P2299" s="339">
        <f t="shared" ref="P2299:P2305" si="1304">P1378</f>
        <v>0</v>
      </c>
      <c r="Q2299" s="339"/>
      <c r="R2299" s="339">
        <f t="shared" ref="R2299:R2305" si="1305">R1378</f>
        <v>4.95</v>
      </c>
      <c r="S2299" s="339"/>
      <c r="T2299" s="294">
        <f t="shared" ref="T2299:Z2301" si="1306">ROUND($E2299*L2299,0)</f>
        <v>137605</v>
      </c>
      <c r="V2299" s="294">
        <f t="shared" si="1306"/>
        <v>0</v>
      </c>
      <c r="X2299" s="294">
        <f t="shared" si="1306"/>
        <v>0</v>
      </c>
      <c r="Z2299" s="294">
        <f t="shared" si="1306"/>
        <v>137605</v>
      </c>
    </row>
    <row r="2300" spans="2:26">
      <c r="B2300" s="317" t="s">
        <v>1164</v>
      </c>
      <c r="D2300" s="293">
        <f t="shared" ref="D2300:E2311" si="1307">D2404+D2508</f>
        <v>2848.2934699561615</v>
      </c>
      <c r="E2300" s="293">
        <f t="shared" si="1307"/>
        <v>2718</v>
      </c>
      <c r="G2300" s="339"/>
      <c r="H2300" s="339"/>
      <c r="L2300" s="339">
        <f t="shared" si="1302"/>
        <v>0.2</v>
      </c>
      <c r="M2300" s="339"/>
      <c r="N2300" s="339">
        <f t="shared" si="1303"/>
        <v>15.970000000000002</v>
      </c>
      <c r="O2300" s="339"/>
      <c r="P2300" s="339">
        <f t="shared" si="1304"/>
        <v>0</v>
      </c>
      <c r="Q2300" s="339"/>
      <c r="R2300" s="339">
        <f t="shared" si="1305"/>
        <v>16.170000000000002</v>
      </c>
      <c r="S2300" s="339"/>
      <c r="T2300" s="294">
        <f t="shared" si="1306"/>
        <v>544</v>
      </c>
      <c r="V2300" s="294">
        <f t="shared" si="1306"/>
        <v>43406</v>
      </c>
      <c r="X2300" s="294">
        <f t="shared" si="1306"/>
        <v>0</v>
      </c>
      <c r="Z2300" s="294">
        <f t="shared" si="1306"/>
        <v>43950</v>
      </c>
    </row>
    <row r="2301" spans="2:26">
      <c r="B2301" s="317" t="s">
        <v>1165</v>
      </c>
      <c r="D2301" s="293">
        <f t="shared" si="1307"/>
        <v>28566.656378925665</v>
      </c>
      <c r="E2301" s="293">
        <f t="shared" si="1307"/>
        <v>27263</v>
      </c>
      <c r="G2301" s="339"/>
      <c r="H2301" s="339"/>
      <c r="L2301" s="339">
        <f t="shared" si="1302"/>
        <v>0.18</v>
      </c>
      <c r="M2301" s="339"/>
      <c r="N2301" s="339">
        <f t="shared" si="1303"/>
        <v>14.13</v>
      </c>
      <c r="O2301" s="339"/>
      <c r="P2301" s="339">
        <f t="shared" si="1304"/>
        <v>0</v>
      </c>
      <c r="Q2301" s="339"/>
      <c r="R2301" s="339">
        <f t="shared" si="1305"/>
        <v>14.31</v>
      </c>
      <c r="S2301" s="339"/>
      <c r="T2301" s="294">
        <f t="shared" si="1306"/>
        <v>4907</v>
      </c>
      <c r="V2301" s="294">
        <f t="shared" si="1306"/>
        <v>385226</v>
      </c>
      <c r="X2301" s="294">
        <f t="shared" si="1306"/>
        <v>0</v>
      </c>
      <c r="Z2301" s="294">
        <f t="shared" si="1306"/>
        <v>390134</v>
      </c>
    </row>
    <row r="2302" spans="2:26">
      <c r="B2302" s="317" t="s">
        <v>1061</v>
      </c>
      <c r="D2302" s="293">
        <f t="shared" si="1307"/>
        <v>1157942.5064468307</v>
      </c>
      <c r="E2302" s="293">
        <f t="shared" si="1307"/>
        <v>1110949</v>
      </c>
      <c r="G2302" s="377"/>
      <c r="H2302" s="343"/>
      <c r="L2302" s="377">
        <f t="shared" si="1302"/>
        <v>0</v>
      </c>
      <c r="M2302" s="343" t="s">
        <v>1062</v>
      </c>
      <c r="N2302" s="377">
        <f t="shared" si="1303"/>
        <v>1.4694</v>
      </c>
      <c r="O2302" s="343" t="s">
        <v>1062</v>
      </c>
      <c r="P2302" s="377">
        <f t="shared" si="1304"/>
        <v>3.80394495015</v>
      </c>
      <c r="Q2302" s="343" t="s">
        <v>1062</v>
      </c>
      <c r="R2302" s="377">
        <f t="shared" si="1305"/>
        <v>5.2733449501500003</v>
      </c>
      <c r="S2302" s="343" t="s">
        <v>1062</v>
      </c>
      <c r="T2302" s="294">
        <f>ROUND($E2302*L2302/100,0)</f>
        <v>0</v>
      </c>
      <c r="U2302" s="346"/>
      <c r="V2302" s="294">
        <f>ROUND($E2302*N2302/100,0)</f>
        <v>16324</v>
      </c>
      <c r="W2302" s="346"/>
      <c r="X2302" s="294">
        <f>ROUND($E2302*P2302/100,0)</f>
        <v>42260</v>
      </c>
      <c r="Y2302" s="346"/>
      <c r="Z2302" s="294">
        <f>ROUND($E2302*R2302/100,0)</f>
        <v>58584</v>
      </c>
    </row>
    <row r="2303" spans="2:26">
      <c r="B2303" s="317" t="s">
        <v>1166</v>
      </c>
      <c r="D2303" s="293">
        <f t="shared" si="1307"/>
        <v>3784814.3972936305</v>
      </c>
      <c r="E2303" s="293">
        <f t="shared" si="1307"/>
        <v>3631213</v>
      </c>
      <c r="G2303" s="377"/>
      <c r="H2303" s="343"/>
      <c r="L2303" s="377">
        <f t="shared" si="1302"/>
        <v>0</v>
      </c>
      <c r="M2303" s="343" t="s">
        <v>1062</v>
      </c>
      <c r="N2303" s="377">
        <f t="shared" si="1303"/>
        <v>1.4694</v>
      </c>
      <c r="O2303" s="343" t="s">
        <v>1062</v>
      </c>
      <c r="P2303" s="377">
        <f t="shared" si="1304"/>
        <v>3.1972769470349993</v>
      </c>
      <c r="Q2303" s="343" t="s">
        <v>1062</v>
      </c>
      <c r="R2303" s="377">
        <f t="shared" si="1305"/>
        <v>4.6666769470349996</v>
      </c>
      <c r="S2303" s="343" t="s">
        <v>1062</v>
      </c>
      <c r="T2303" s="294">
        <f t="shared" ref="T2303:Z2305" si="1308">ROUND($E2303*L2303/100,0)</f>
        <v>0</v>
      </c>
      <c r="U2303" s="346"/>
      <c r="V2303" s="294">
        <f t="shared" si="1308"/>
        <v>53357</v>
      </c>
      <c r="W2303" s="346"/>
      <c r="X2303" s="294">
        <f t="shared" si="1308"/>
        <v>116100</v>
      </c>
      <c r="Y2303" s="346"/>
      <c r="Z2303" s="294">
        <f t="shared" si="1308"/>
        <v>169457</v>
      </c>
    </row>
    <row r="2304" spans="2:26">
      <c r="B2304" s="317" t="s">
        <v>1064</v>
      </c>
      <c r="D2304" s="293">
        <f t="shared" si="1307"/>
        <v>3873297.4879793413</v>
      </c>
      <c r="E2304" s="293">
        <f t="shared" si="1307"/>
        <v>3716105</v>
      </c>
      <c r="G2304" s="377"/>
      <c r="H2304" s="343"/>
      <c r="L2304" s="377">
        <f t="shared" si="1302"/>
        <v>0</v>
      </c>
      <c r="M2304" s="343" t="s">
        <v>1062</v>
      </c>
      <c r="N2304" s="377">
        <f t="shared" si="1303"/>
        <v>1.4694</v>
      </c>
      <c r="O2304" s="343" t="s">
        <v>1062</v>
      </c>
      <c r="P2304" s="377">
        <f t="shared" si="1304"/>
        <v>1.5074530237289998</v>
      </c>
      <c r="Q2304" s="343" t="s">
        <v>1062</v>
      </c>
      <c r="R2304" s="377">
        <f t="shared" si="1305"/>
        <v>2.9768530237289998</v>
      </c>
      <c r="S2304" s="343" t="s">
        <v>1062</v>
      </c>
      <c r="T2304" s="294">
        <f t="shared" si="1308"/>
        <v>0</v>
      </c>
      <c r="U2304" s="346"/>
      <c r="V2304" s="294">
        <f t="shared" si="1308"/>
        <v>54604</v>
      </c>
      <c r="W2304" s="346"/>
      <c r="X2304" s="294">
        <f t="shared" si="1308"/>
        <v>56019</v>
      </c>
      <c r="Y2304" s="346"/>
      <c r="Z2304" s="294">
        <f t="shared" si="1308"/>
        <v>110623</v>
      </c>
    </row>
    <row r="2305" spans="1:26">
      <c r="B2305" s="317" t="s">
        <v>1167</v>
      </c>
      <c r="D2305" s="293">
        <f t="shared" si="1307"/>
        <v>6829545.6082801968</v>
      </c>
      <c r="E2305" s="293">
        <f t="shared" si="1307"/>
        <v>6552377</v>
      </c>
      <c r="G2305" s="377"/>
      <c r="H2305" s="343"/>
      <c r="L2305" s="377">
        <f t="shared" si="1302"/>
        <v>0</v>
      </c>
      <c r="M2305" s="343" t="s">
        <v>1062</v>
      </c>
      <c r="N2305" s="377">
        <f t="shared" si="1303"/>
        <v>1.4694</v>
      </c>
      <c r="O2305" s="343" t="s">
        <v>1062</v>
      </c>
      <c r="P2305" s="377">
        <f t="shared" si="1304"/>
        <v>1.1649832068399999</v>
      </c>
      <c r="Q2305" s="343" t="s">
        <v>1062</v>
      </c>
      <c r="R2305" s="377">
        <f t="shared" si="1305"/>
        <v>2.6343832068399999</v>
      </c>
      <c r="S2305" s="343" t="s">
        <v>1062</v>
      </c>
      <c r="T2305" s="294">
        <f t="shared" si="1308"/>
        <v>0</v>
      </c>
      <c r="U2305" s="346"/>
      <c r="V2305" s="294">
        <f t="shared" si="1308"/>
        <v>96281</v>
      </c>
      <c r="W2305" s="346"/>
      <c r="X2305" s="294">
        <f t="shared" si="1308"/>
        <v>76334</v>
      </c>
      <c r="Y2305" s="346"/>
      <c r="Z2305" s="294">
        <f t="shared" si="1308"/>
        <v>172615</v>
      </c>
    </row>
    <row r="2306" spans="1:26">
      <c r="B2306" s="317" t="s">
        <v>1169</v>
      </c>
      <c r="D2306" s="293">
        <f t="shared" si="1307"/>
        <v>3500</v>
      </c>
      <c r="E2306" s="293">
        <f t="shared" si="1307"/>
        <v>3340</v>
      </c>
      <c r="G2306" s="339">
        <v>15.56</v>
      </c>
      <c r="H2306" s="339"/>
      <c r="I2306" s="294">
        <f t="shared" si="1301"/>
        <v>54460</v>
      </c>
      <c r="J2306" s="294">
        <f t="shared" si="1301"/>
        <v>51970</v>
      </c>
      <c r="L2306" s="339"/>
      <c r="M2306" s="339"/>
      <c r="N2306" s="339"/>
      <c r="O2306" s="339"/>
      <c r="P2306" s="339"/>
      <c r="Q2306" s="339"/>
      <c r="R2306" s="339"/>
      <c r="S2306" s="339"/>
    </row>
    <row r="2307" spans="1:26">
      <c r="B2307" s="317" t="s">
        <v>1171</v>
      </c>
      <c r="D2307" s="293">
        <f t="shared" si="1307"/>
        <v>25538</v>
      </c>
      <c r="E2307" s="293">
        <f t="shared" si="1307"/>
        <v>24372</v>
      </c>
      <c r="G2307" s="339">
        <v>11.19</v>
      </c>
      <c r="H2307" s="339"/>
      <c r="I2307" s="294">
        <f t="shared" si="1301"/>
        <v>285770</v>
      </c>
      <c r="J2307" s="294">
        <f t="shared" si="1301"/>
        <v>272723</v>
      </c>
      <c r="L2307" s="339"/>
      <c r="M2307" s="339"/>
      <c r="N2307" s="339"/>
      <c r="O2307" s="339"/>
      <c r="P2307" s="339"/>
      <c r="Q2307" s="339"/>
      <c r="R2307" s="339"/>
      <c r="S2307" s="339"/>
    </row>
    <row r="2308" spans="1:26">
      <c r="B2308" s="317" t="s">
        <v>1098</v>
      </c>
      <c r="D2308" s="293">
        <f t="shared" si="1307"/>
        <v>29038</v>
      </c>
      <c r="E2308" s="293">
        <f t="shared" si="1307"/>
        <v>27713</v>
      </c>
      <c r="G2308" s="339">
        <v>-1.1299999999999999</v>
      </c>
      <c r="H2308" s="339"/>
      <c r="I2308" s="294">
        <f t="shared" si="1301"/>
        <v>-32813</v>
      </c>
      <c r="J2308" s="294">
        <f t="shared" si="1301"/>
        <v>-31316</v>
      </c>
      <c r="L2308" s="339">
        <f>L1387</f>
        <v>-1.1299999999999999</v>
      </c>
      <c r="M2308" s="339"/>
      <c r="N2308" s="339">
        <f>N1387</f>
        <v>0</v>
      </c>
      <c r="O2308" s="339"/>
      <c r="P2308" s="339">
        <f>P1387</f>
        <v>0</v>
      </c>
      <c r="Q2308" s="339"/>
      <c r="R2308" s="339">
        <f>R1387</f>
        <v>-1.1299999999999999</v>
      </c>
      <c r="S2308" s="339"/>
      <c r="T2308" s="294">
        <f t="shared" ref="T2308:Z2308" si="1309">ROUND($E2308*L2308,0)</f>
        <v>-31316</v>
      </c>
      <c r="V2308" s="294">
        <f t="shared" si="1309"/>
        <v>0</v>
      </c>
      <c r="X2308" s="294">
        <f t="shared" si="1309"/>
        <v>0</v>
      </c>
      <c r="Z2308" s="294">
        <f t="shared" si="1309"/>
        <v>-31316</v>
      </c>
    </row>
    <row r="2309" spans="1:26">
      <c r="B2309" s="317" t="s">
        <v>1070</v>
      </c>
      <c r="D2309" s="293">
        <f t="shared" si="1307"/>
        <v>1183200</v>
      </c>
      <c r="E2309" s="293">
        <f t="shared" si="1307"/>
        <v>1135181.6666666567</v>
      </c>
      <c r="G2309" s="377">
        <v>5.0473999999999997</v>
      </c>
      <c r="H2309" s="343" t="s">
        <v>1062</v>
      </c>
      <c r="I2309" s="294">
        <f t="shared" ref="I2309:J2311" si="1310">ROUND($G2309*D2309/100,0)</f>
        <v>59721</v>
      </c>
      <c r="J2309" s="294">
        <f t="shared" si="1310"/>
        <v>57297</v>
      </c>
      <c r="L2309" s="377"/>
      <c r="M2309" s="343"/>
      <c r="N2309" s="377"/>
      <c r="O2309" s="343"/>
      <c r="P2309" s="377"/>
      <c r="Q2309" s="343"/>
      <c r="R2309" s="377"/>
      <c r="S2309" s="343"/>
      <c r="U2309" s="346"/>
      <c r="W2309" s="346"/>
      <c r="Y2309" s="346"/>
    </row>
    <row r="2310" spans="1:26">
      <c r="B2310" s="317" t="s">
        <v>1126</v>
      </c>
      <c r="D2310" s="293">
        <f t="shared" si="1307"/>
        <v>5407200</v>
      </c>
      <c r="E2310" s="293">
        <f t="shared" si="1307"/>
        <v>5187756</v>
      </c>
      <c r="G2310" s="377">
        <v>3.9510999999999998</v>
      </c>
      <c r="H2310" s="343" t="s">
        <v>1062</v>
      </c>
      <c r="I2310" s="294">
        <f t="shared" si="1310"/>
        <v>213644</v>
      </c>
      <c r="J2310" s="294">
        <f t="shared" si="1310"/>
        <v>204973</v>
      </c>
      <c r="L2310" s="377"/>
      <c r="M2310" s="343"/>
      <c r="N2310" s="377"/>
      <c r="O2310" s="343"/>
      <c r="P2310" s="377"/>
      <c r="Q2310" s="343"/>
      <c r="R2310" s="377"/>
      <c r="S2310" s="343"/>
      <c r="U2310" s="346"/>
      <c r="W2310" s="346"/>
      <c r="Y2310" s="346"/>
    </row>
    <row r="2311" spans="1:26">
      <c r="B2311" s="317" t="s">
        <v>1086</v>
      </c>
      <c r="D2311" s="424">
        <f t="shared" si="1307"/>
        <v>9055200</v>
      </c>
      <c r="E2311" s="424">
        <f t="shared" si="1307"/>
        <v>8687706</v>
      </c>
      <c r="G2311" s="439">
        <v>3.4001999999999999</v>
      </c>
      <c r="H2311" s="343" t="s">
        <v>1062</v>
      </c>
      <c r="I2311" s="438">
        <f t="shared" si="1310"/>
        <v>307895</v>
      </c>
      <c r="J2311" s="438">
        <f t="shared" si="1310"/>
        <v>295399</v>
      </c>
      <c r="L2311" s="439"/>
      <c r="M2311" s="343"/>
      <c r="N2311" s="439"/>
      <c r="O2311" s="343"/>
      <c r="P2311" s="439"/>
      <c r="Q2311" s="343"/>
      <c r="R2311" s="439"/>
      <c r="S2311" s="343"/>
      <c r="T2311" s="438"/>
      <c r="U2311" s="346"/>
      <c r="V2311" s="438"/>
      <c r="W2311" s="346"/>
      <c r="X2311" s="438"/>
      <c r="Y2311" s="346"/>
      <c r="Z2311" s="438"/>
    </row>
    <row r="2312" spans="1:26">
      <c r="B2312" s="317" t="s">
        <v>1079</v>
      </c>
      <c r="G2312" s="338">
        <v>-3.1800000000000002E-2</v>
      </c>
      <c r="H2312" s="339"/>
      <c r="I2312" s="294">
        <f>SUM(I2306:I2307,I2309:I2311)*$G2312</f>
        <v>-29303.382000000001</v>
      </c>
      <c r="J2312" s="294">
        <f>SUM(J2306:J2307,J2309:J2311)*$G2312</f>
        <v>-28059.1116</v>
      </c>
      <c r="L2312" s="338"/>
      <c r="M2312" s="339"/>
      <c r="N2312" s="338"/>
      <c r="O2312" s="339"/>
      <c r="P2312" s="359" t="str">
        <f>$P$43</f>
        <v>Tax Year 1</v>
      </c>
      <c r="Q2312" s="339"/>
      <c r="R2312" s="338">
        <f>R1392</f>
        <v>-2.3300000000000001E-2</v>
      </c>
      <c r="S2312" s="339"/>
      <c r="Z2312" s="294">
        <f>R2312*SUM(Z2300:Z2305)</f>
        <v>-22026.957900000001</v>
      </c>
    </row>
    <row r="2313" spans="1:26">
      <c r="B2313" s="317"/>
      <c r="G2313" s="338"/>
      <c r="H2313" s="339"/>
      <c r="L2313" s="338"/>
      <c r="M2313" s="339"/>
      <c r="N2313" s="338"/>
      <c r="O2313" s="339"/>
      <c r="P2313" s="359" t="str">
        <f>$P$44</f>
        <v>Tax Year 2</v>
      </c>
      <c r="Q2313" s="339"/>
      <c r="R2313" s="338">
        <f>R1393</f>
        <v>-1.1599999999999999E-2</v>
      </c>
      <c r="S2313" s="339"/>
      <c r="Z2313" s="294">
        <f>R2313*SUM(Z2300:Z2305)</f>
        <v>-10966.210799999999</v>
      </c>
    </row>
    <row r="2314" spans="1:26">
      <c r="A2314" s="292">
        <v>1</v>
      </c>
      <c r="B2314" s="314" t="s">
        <v>1031</v>
      </c>
      <c r="G2314" s="339"/>
      <c r="H2314" s="339"/>
      <c r="L2314" s="339"/>
      <c r="M2314" s="339"/>
      <c r="N2314" s="339"/>
      <c r="O2314" s="339"/>
      <c r="P2314" s="339"/>
      <c r="Q2314" s="339"/>
      <c r="R2314" s="339"/>
      <c r="S2314" s="339"/>
    </row>
    <row r="2315" spans="1:26">
      <c r="B2315" s="317" t="s">
        <v>1101</v>
      </c>
      <c r="D2315" s="293">
        <f>D2419+D2523</f>
        <v>272193</v>
      </c>
      <c r="E2315" s="293">
        <f>E2419+E2523</f>
        <v>283278</v>
      </c>
      <c r="G2315" s="339">
        <v>2.2200000000000002</v>
      </c>
      <c r="H2315" s="339"/>
      <c r="I2315" s="294">
        <f t="shared" ref="I2315:J2323" si="1311">ROUND($G2315*D2315,0)</f>
        <v>604268</v>
      </c>
      <c r="J2315" s="294">
        <f t="shared" si="1311"/>
        <v>628877</v>
      </c>
      <c r="L2315" s="339">
        <f t="shared" ref="L2315:L2321" si="1312">L1480</f>
        <v>0</v>
      </c>
      <c r="M2315" s="339"/>
      <c r="N2315" s="339">
        <f t="shared" ref="N2315:N2321" si="1313">N1480</f>
        <v>2.33</v>
      </c>
      <c r="O2315" s="339"/>
      <c r="P2315" s="339">
        <f t="shared" ref="P2315:P2321" si="1314">P1480</f>
        <v>0</v>
      </c>
      <c r="Q2315" s="339"/>
      <c r="R2315" s="339">
        <f t="shared" ref="R2315:R2321" si="1315">R1480</f>
        <v>2.33</v>
      </c>
      <c r="S2315" s="339"/>
      <c r="T2315" s="294">
        <f t="shared" ref="T2315:Z2317" si="1316">ROUND($E2315*L2315,0)</f>
        <v>0</v>
      </c>
      <c r="V2315" s="294">
        <f t="shared" si="1316"/>
        <v>660038</v>
      </c>
      <c r="X2315" s="294">
        <f t="shared" si="1316"/>
        <v>0</v>
      </c>
      <c r="Z2315" s="294">
        <f t="shared" si="1316"/>
        <v>660038</v>
      </c>
    </row>
    <row r="2316" spans="1:26">
      <c r="B2316" s="317" t="s">
        <v>1164</v>
      </c>
      <c r="D2316" s="293">
        <f t="shared" ref="D2316:E2326" si="1317">D2420+D2524</f>
        <v>94901.6945355559</v>
      </c>
      <c r="E2316" s="293">
        <f t="shared" si="1317"/>
        <v>97381</v>
      </c>
      <c r="G2316" s="339"/>
      <c r="H2316" s="339"/>
      <c r="L2316" s="339">
        <f t="shared" si="1312"/>
        <v>0</v>
      </c>
      <c r="M2316" s="339"/>
      <c r="N2316" s="339">
        <f t="shared" si="1313"/>
        <v>14.65</v>
      </c>
      <c r="O2316" s="339"/>
      <c r="P2316" s="339">
        <f t="shared" si="1314"/>
        <v>0</v>
      </c>
      <c r="Q2316" s="339"/>
      <c r="R2316" s="339">
        <f t="shared" si="1315"/>
        <v>14.65</v>
      </c>
      <c r="S2316" s="339"/>
      <c r="T2316" s="294">
        <f t="shared" si="1316"/>
        <v>0</v>
      </c>
      <c r="V2316" s="294">
        <f t="shared" si="1316"/>
        <v>1426632</v>
      </c>
      <c r="X2316" s="294">
        <f t="shared" si="1316"/>
        <v>0</v>
      </c>
      <c r="Z2316" s="294">
        <f t="shared" si="1316"/>
        <v>1426632</v>
      </c>
    </row>
    <row r="2317" spans="1:26">
      <c r="B2317" s="317" t="s">
        <v>1165</v>
      </c>
      <c r="D2317" s="293">
        <f t="shared" si="1317"/>
        <v>172164.68975213167</v>
      </c>
      <c r="E2317" s="293">
        <f t="shared" si="1317"/>
        <v>181154</v>
      </c>
      <c r="G2317" s="339"/>
      <c r="H2317" s="339"/>
      <c r="L2317" s="339">
        <f t="shared" si="1312"/>
        <v>0</v>
      </c>
      <c r="M2317" s="339"/>
      <c r="N2317" s="339">
        <f t="shared" si="1313"/>
        <v>12.96</v>
      </c>
      <c r="O2317" s="339"/>
      <c r="P2317" s="339">
        <f t="shared" si="1314"/>
        <v>0</v>
      </c>
      <c r="Q2317" s="339"/>
      <c r="R2317" s="339">
        <f t="shared" si="1315"/>
        <v>12.96</v>
      </c>
      <c r="S2317" s="339"/>
      <c r="T2317" s="294">
        <f t="shared" si="1316"/>
        <v>0</v>
      </c>
      <c r="V2317" s="294">
        <f t="shared" si="1316"/>
        <v>2347756</v>
      </c>
      <c r="X2317" s="294">
        <f t="shared" si="1316"/>
        <v>0</v>
      </c>
      <c r="Z2317" s="294">
        <f t="shared" si="1316"/>
        <v>2347756</v>
      </c>
    </row>
    <row r="2318" spans="1:26">
      <c r="B2318" s="317" t="s">
        <v>1061</v>
      </c>
      <c r="D2318" s="293">
        <f t="shared" si="1317"/>
        <v>16313871.677270725</v>
      </c>
      <c r="E2318" s="293">
        <f t="shared" si="1317"/>
        <v>16670267</v>
      </c>
      <c r="G2318" s="376"/>
      <c r="H2318" s="343"/>
      <c r="L2318" s="376">
        <f t="shared" si="1312"/>
        <v>0</v>
      </c>
      <c r="M2318" s="343" t="s">
        <v>1062</v>
      </c>
      <c r="N2318" s="376">
        <f t="shared" si="1313"/>
        <v>1.1506000000000001</v>
      </c>
      <c r="O2318" s="343" t="s">
        <v>1062</v>
      </c>
      <c r="P2318" s="376">
        <f t="shared" si="1314"/>
        <v>3.8523835124000003</v>
      </c>
      <c r="Q2318" s="343" t="s">
        <v>1062</v>
      </c>
      <c r="R2318" s="376">
        <f t="shared" si="1315"/>
        <v>5.0029835124000002</v>
      </c>
      <c r="S2318" s="343" t="s">
        <v>1062</v>
      </c>
      <c r="T2318" s="294">
        <f>ROUND($E2318*L2318/100,0)</f>
        <v>0</v>
      </c>
      <c r="U2318" s="346"/>
      <c r="V2318" s="294">
        <f>ROUND($E2318*N2318/100,0)</f>
        <v>191808</v>
      </c>
      <c r="W2318" s="346"/>
      <c r="X2318" s="294">
        <f>ROUND($E2318*P2318/100,0)</f>
        <v>642203</v>
      </c>
      <c r="Y2318" s="346"/>
      <c r="Z2318" s="294">
        <f>ROUND($E2318*R2318/100,0)</f>
        <v>834011</v>
      </c>
    </row>
    <row r="2319" spans="1:26">
      <c r="B2319" s="317" t="s">
        <v>1166</v>
      </c>
      <c r="D2319" s="293">
        <f t="shared" si="1317"/>
        <v>23922107.509454623</v>
      </c>
      <c r="E2319" s="293">
        <f t="shared" si="1317"/>
        <v>24786210</v>
      </c>
      <c r="G2319" s="376"/>
      <c r="H2319" s="343"/>
      <c r="L2319" s="376">
        <f t="shared" si="1312"/>
        <v>0</v>
      </c>
      <c r="M2319" s="343" t="s">
        <v>1062</v>
      </c>
      <c r="N2319" s="376">
        <f t="shared" si="1313"/>
        <v>1.1506000000000001</v>
      </c>
      <c r="O2319" s="343" t="s">
        <v>1062</v>
      </c>
      <c r="P2319" s="376">
        <f t="shared" si="1314"/>
        <v>3.2768190375220003</v>
      </c>
      <c r="Q2319" s="343" t="s">
        <v>1062</v>
      </c>
      <c r="R2319" s="376">
        <f t="shared" si="1315"/>
        <v>4.4274190375220002</v>
      </c>
      <c r="S2319" s="343" t="s">
        <v>1062</v>
      </c>
      <c r="T2319" s="294">
        <f t="shared" ref="T2319:Z2321" si="1318">ROUND($E2319*L2319/100,0)</f>
        <v>0</v>
      </c>
      <c r="U2319" s="346"/>
      <c r="V2319" s="294">
        <f t="shared" si="1318"/>
        <v>285190</v>
      </c>
      <c r="W2319" s="346"/>
      <c r="X2319" s="294">
        <f t="shared" si="1318"/>
        <v>812199</v>
      </c>
      <c r="Y2319" s="346"/>
      <c r="Z2319" s="294">
        <f t="shared" si="1318"/>
        <v>1097389</v>
      </c>
    </row>
    <row r="2320" spans="1:26">
      <c r="B2320" s="317" t="s">
        <v>1064</v>
      </c>
      <c r="D2320" s="293">
        <f t="shared" si="1317"/>
        <v>44444645.234323725</v>
      </c>
      <c r="E2320" s="293">
        <f t="shared" si="1317"/>
        <v>45700224</v>
      </c>
      <c r="G2320" s="376"/>
      <c r="H2320" s="343"/>
      <c r="L2320" s="376">
        <f t="shared" si="1312"/>
        <v>0</v>
      </c>
      <c r="M2320" s="343" t="s">
        <v>1062</v>
      </c>
      <c r="N2320" s="376">
        <f t="shared" si="1313"/>
        <v>1.1506000000000001</v>
      </c>
      <c r="O2320" s="343" t="s">
        <v>1062</v>
      </c>
      <c r="P2320" s="376">
        <f t="shared" si="1314"/>
        <v>1.5002843230069998</v>
      </c>
      <c r="Q2320" s="343" t="s">
        <v>1062</v>
      </c>
      <c r="R2320" s="376">
        <f t="shared" si="1315"/>
        <v>2.6508843230069998</v>
      </c>
      <c r="S2320" s="343" t="s">
        <v>1062</v>
      </c>
      <c r="T2320" s="294">
        <f t="shared" si="1318"/>
        <v>0</v>
      </c>
      <c r="U2320" s="346"/>
      <c r="V2320" s="294">
        <f t="shared" si="1318"/>
        <v>525827</v>
      </c>
      <c r="W2320" s="346"/>
      <c r="X2320" s="294">
        <f t="shared" si="1318"/>
        <v>685633</v>
      </c>
      <c r="Y2320" s="346"/>
      <c r="Z2320" s="294">
        <f t="shared" si="1318"/>
        <v>1211460</v>
      </c>
    </row>
    <row r="2321" spans="1:32">
      <c r="B2321" s="317" t="s">
        <v>1167</v>
      </c>
      <c r="D2321" s="424">
        <f t="shared" si="1317"/>
        <v>84780531.578950942</v>
      </c>
      <c r="E2321" s="424">
        <f t="shared" si="1317"/>
        <v>87091797.666666657</v>
      </c>
      <c r="G2321" s="440"/>
      <c r="H2321" s="343"/>
      <c r="I2321" s="438"/>
      <c r="J2321" s="438"/>
      <c r="L2321" s="440">
        <f t="shared" si="1312"/>
        <v>0</v>
      </c>
      <c r="M2321" s="343" t="s">
        <v>1062</v>
      </c>
      <c r="N2321" s="440">
        <f t="shared" si="1313"/>
        <v>1.1506000000000001</v>
      </c>
      <c r="O2321" s="343" t="s">
        <v>1062</v>
      </c>
      <c r="P2321" s="440">
        <f t="shared" si="1314"/>
        <v>1.1953153300949999</v>
      </c>
      <c r="Q2321" s="343" t="s">
        <v>1062</v>
      </c>
      <c r="R2321" s="440">
        <f t="shared" si="1315"/>
        <v>2.345915330095</v>
      </c>
      <c r="S2321" s="343" t="s">
        <v>1062</v>
      </c>
      <c r="T2321" s="294">
        <f t="shared" si="1318"/>
        <v>0</v>
      </c>
      <c r="U2321" s="346"/>
      <c r="V2321" s="294">
        <f t="shared" si="1318"/>
        <v>1002078</v>
      </c>
      <c r="W2321" s="346"/>
      <c r="X2321" s="294">
        <f t="shared" si="1318"/>
        <v>1041022</v>
      </c>
      <c r="Y2321" s="346"/>
      <c r="Z2321" s="294">
        <f t="shared" si="1318"/>
        <v>2043100</v>
      </c>
    </row>
    <row r="2322" spans="1:32">
      <c r="B2322" s="317" t="s">
        <v>1169</v>
      </c>
      <c r="D2322" s="293">
        <f t="shared" si="1317"/>
        <v>116387</v>
      </c>
      <c r="E2322" s="293">
        <f t="shared" si="1317"/>
        <v>119427</v>
      </c>
      <c r="G2322" s="339">
        <v>13.96</v>
      </c>
      <c r="H2322" s="339"/>
      <c r="I2322" s="294">
        <f t="shared" si="1311"/>
        <v>1624763</v>
      </c>
      <c r="J2322" s="294">
        <f t="shared" si="1311"/>
        <v>1667201</v>
      </c>
      <c r="L2322" s="339"/>
      <c r="M2322" s="339"/>
      <c r="N2322" s="339"/>
      <c r="O2322" s="339"/>
      <c r="P2322" s="339"/>
      <c r="Q2322" s="339"/>
      <c r="R2322" s="339"/>
      <c r="S2322" s="339"/>
    </row>
    <row r="2323" spans="1:32">
      <c r="B2323" s="317" t="s">
        <v>1171</v>
      </c>
      <c r="D2323" s="293">
        <f t="shared" si="1317"/>
        <v>151388</v>
      </c>
      <c r="E2323" s="293">
        <f t="shared" si="1317"/>
        <v>159292</v>
      </c>
      <c r="G2323" s="339">
        <v>9.4700000000000006</v>
      </c>
      <c r="H2323" s="339"/>
      <c r="I2323" s="294">
        <f t="shared" si="1311"/>
        <v>1433644</v>
      </c>
      <c r="J2323" s="294">
        <f t="shared" si="1311"/>
        <v>1508495</v>
      </c>
      <c r="L2323" s="339"/>
      <c r="M2323" s="339"/>
      <c r="N2323" s="339"/>
      <c r="O2323" s="339"/>
      <c r="P2323" s="339"/>
      <c r="Q2323" s="339"/>
      <c r="R2323" s="339"/>
      <c r="S2323" s="339"/>
    </row>
    <row r="2324" spans="1:32">
      <c r="B2324" s="317" t="s">
        <v>1177</v>
      </c>
      <c r="D2324" s="293">
        <f t="shared" si="1317"/>
        <v>20671943</v>
      </c>
      <c r="E2324" s="293">
        <f t="shared" si="1317"/>
        <v>21123545</v>
      </c>
      <c r="G2324" s="376">
        <v>4.6531000000000002</v>
      </c>
      <c r="H2324" s="343" t="s">
        <v>1062</v>
      </c>
      <c r="I2324" s="294">
        <f t="shared" ref="I2324:J2326" si="1319">ROUND($G2324*D2324/100,0)</f>
        <v>961886</v>
      </c>
      <c r="J2324" s="294">
        <f t="shared" si="1319"/>
        <v>982900</v>
      </c>
      <c r="L2324" s="376"/>
      <c r="M2324" s="343"/>
      <c r="N2324" s="376"/>
      <c r="O2324" s="343"/>
      <c r="P2324" s="376"/>
      <c r="Q2324" s="343"/>
      <c r="R2324" s="376"/>
      <c r="S2324" s="343"/>
      <c r="U2324" s="346"/>
      <c r="W2324" s="346"/>
      <c r="Y2324" s="346"/>
    </row>
    <row r="2325" spans="1:32">
      <c r="B2325" s="317" t="s">
        <v>1179</v>
      </c>
      <c r="D2325" s="293">
        <f t="shared" si="1317"/>
        <v>41988517</v>
      </c>
      <c r="E2325" s="293">
        <f t="shared" si="1317"/>
        <v>43505207</v>
      </c>
      <c r="G2325" s="376">
        <v>3.4988999999999999</v>
      </c>
      <c r="H2325" s="343" t="s">
        <v>1062</v>
      </c>
      <c r="I2325" s="294">
        <f t="shared" si="1319"/>
        <v>1469136</v>
      </c>
      <c r="J2325" s="294">
        <f t="shared" si="1319"/>
        <v>1522204</v>
      </c>
      <c r="L2325" s="376"/>
      <c r="M2325" s="343"/>
      <c r="N2325" s="376"/>
      <c r="O2325" s="343"/>
      <c r="P2325" s="376"/>
      <c r="Q2325" s="343"/>
      <c r="R2325" s="376"/>
      <c r="S2325" s="343"/>
      <c r="U2325" s="346"/>
      <c r="W2325" s="346"/>
      <c r="Y2325" s="346"/>
      <c r="AB2325" s="305" t="s">
        <v>939</v>
      </c>
      <c r="AC2325" s="304">
        <f>Z2331/J2331-1</f>
        <v>4.1650404973524457E-2</v>
      </c>
    </row>
    <row r="2326" spans="1:32">
      <c r="B2326" s="317" t="s">
        <v>1086</v>
      </c>
      <c r="D2326" s="424">
        <f t="shared" si="1317"/>
        <v>106800696</v>
      </c>
      <c r="E2326" s="424">
        <f t="shared" si="1317"/>
        <v>109619747</v>
      </c>
      <c r="G2326" s="440">
        <v>2.9224999999999999</v>
      </c>
      <c r="H2326" s="343" t="s">
        <v>1062</v>
      </c>
      <c r="I2326" s="438">
        <f t="shared" si="1319"/>
        <v>3121250</v>
      </c>
      <c r="J2326" s="438">
        <f t="shared" si="1319"/>
        <v>3203637</v>
      </c>
      <c r="L2326" s="440"/>
      <c r="M2326" s="343"/>
      <c r="N2326" s="440"/>
      <c r="O2326" s="343"/>
      <c r="P2326" s="440"/>
      <c r="Q2326" s="343"/>
      <c r="R2326" s="440"/>
      <c r="S2326" s="343"/>
      <c r="T2326" s="438"/>
      <c r="U2326" s="346"/>
      <c r="V2326" s="438"/>
      <c r="W2326" s="346"/>
      <c r="X2326" s="438"/>
      <c r="Y2326" s="346"/>
      <c r="Z2326" s="438"/>
    </row>
    <row r="2327" spans="1:32">
      <c r="B2327" s="317" t="s">
        <v>1079</v>
      </c>
      <c r="G2327" s="441">
        <v>-3.0700000000000002E-2</v>
      </c>
      <c r="H2327" s="339"/>
      <c r="I2327" s="442">
        <f>SUM(I2322:I2326)*$G2327</f>
        <v>-264347.84529999999</v>
      </c>
      <c r="J2327" s="442">
        <f>SUM(J2322:J2326)*$G2327</f>
        <v>-272752.21590000001</v>
      </c>
      <c r="L2327" s="441"/>
      <c r="M2327" s="339"/>
      <c r="N2327" s="441"/>
      <c r="O2327" s="339"/>
      <c r="P2327" s="359" t="str">
        <f>$P$43</f>
        <v>Tax Year 1</v>
      </c>
      <c r="Q2327" s="339"/>
      <c r="R2327" s="338">
        <f>R1493</f>
        <v>-2.2599999999999999E-2</v>
      </c>
      <c r="S2327" s="339"/>
      <c r="Z2327" s="294">
        <f>R2327*SUM(Z2316:Z2321)</f>
        <v>-202503.86479999998</v>
      </c>
    </row>
    <row r="2328" spans="1:32">
      <c r="B2328" s="317"/>
      <c r="G2328" s="338"/>
      <c r="H2328" s="339"/>
      <c r="L2328" s="338"/>
      <c r="M2328" s="339"/>
      <c r="N2328" s="338"/>
      <c r="O2328" s="339"/>
      <c r="P2328" s="359" t="str">
        <f>$P$44</f>
        <v>Tax Year 2</v>
      </c>
      <c r="Q2328" s="339"/>
      <c r="R2328" s="338">
        <f>R1494</f>
        <v>-1.1299999999999999E-2</v>
      </c>
      <c r="S2328" s="339"/>
      <c r="Z2328" s="294">
        <f>R2328*SUM(Z2316:Z2321)</f>
        <v>-101251.93239999999</v>
      </c>
    </row>
    <row r="2329" spans="1:32">
      <c r="B2329" s="317" t="s">
        <v>1300</v>
      </c>
      <c r="G2329" s="376"/>
      <c r="H2329" s="343"/>
      <c r="I2329" s="294">
        <f>SUM(I2299:I2327)</f>
        <v>9948626.7727000006</v>
      </c>
      <c r="J2329" s="294">
        <f>SUM(J2299:J2327)</f>
        <v>10195871.672499999</v>
      </c>
      <c r="L2329" s="376"/>
      <c r="M2329" s="343"/>
      <c r="N2329" s="376"/>
      <c r="O2329" s="343"/>
      <c r="P2329" s="376"/>
      <c r="Q2329" s="343"/>
      <c r="R2329" s="376"/>
      <c r="S2329" s="343"/>
      <c r="T2329" s="294">
        <f>SUM(T2299:T2311,T2315:T2326)</f>
        <v>111740</v>
      </c>
      <c r="U2329" s="346"/>
      <c r="V2329" s="294">
        <f>SUM(V2299:V2311,V2315:V2326)</f>
        <v>7088527</v>
      </c>
      <c r="W2329" s="346"/>
      <c r="X2329" s="294">
        <f>SUM(X2299:X2311,X2315:X2326)</f>
        <v>3471770</v>
      </c>
      <c r="Y2329" s="346"/>
      <c r="Z2329" s="294">
        <f>SUM(Z2299:Z2311,Z2315:Z2326)</f>
        <v>10672038</v>
      </c>
      <c r="AB2329" s="360" t="s">
        <v>1081</v>
      </c>
      <c r="AC2329" s="360"/>
      <c r="AD2329" s="360"/>
      <c r="AE2329" s="360"/>
    </row>
    <row r="2330" spans="1:32">
      <c r="B2330" s="292" t="s">
        <v>1158</v>
      </c>
      <c r="D2330" s="412">
        <f>D2434+D2538</f>
        <v>-102498</v>
      </c>
      <c r="E2330" s="412">
        <f>E2434+E2538</f>
        <v>0</v>
      </c>
      <c r="G2330" s="377"/>
      <c r="H2330" s="377"/>
      <c r="I2330" s="358">
        <f>I2434+I2538</f>
        <v>-7456</v>
      </c>
      <c r="J2330" s="358">
        <f>J2434+J2538</f>
        <v>0</v>
      </c>
      <c r="L2330" s="377"/>
      <c r="M2330" s="377"/>
      <c r="N2330" s="377"/>
      <c r="O2330" s="377"/>
      <c r="P2330" s="377"/>
      <c r="Q2330" s="377"/>
      <c r="R2330" s="377"/>
      <c r="S2330" s="377"/>
      <c r="T2330" s="358"/>
      <c r="V2330" s="358"/>
      <c r="X2330" s="358"/>
      <c r="Z2330" s="358"/>
      <c r="AB2330" s="361" t="s">
        <v>42</v>
      </c>
      <c r="AC2330" s="361" t="s">
        <v>43</v>
      </c>
      <c r="AD2330" s="361" t="s">
        <v>44</v>
      </c>
      <c r="AE2330" s="361" t="s">
        <v>45</v>
      </c>
    </row>
    <row r="2331" spans="1:32" ht="16.5" thickBot="1">
      <c r="A2331" s="292">
        <v>1</v>
      </c>
      <c r="B2331" s="317" t="s">
        <v>1344</v>
      </c>
      <c r="D2331" s="381">
        <f>SUM(D2309:D2311,D2324:D2326,D2330)</f>
        <v>185004258</v>
      </c>
      <c r="E2331" s="381">
        <f>SUM(E2309:E2311,E2324:E2326,E2330)</f>
        <v>189259142.66666666</v>
      </c>
      <c r="G2331" s="368"/>
      <c r="I2331" s="369">
        <f>I2296+I2329+I2330</f>
        <v>11977915.772700001</v>
      </c>
      <c r="J2331" s="369">
        <f>J2296+J2329+J2330</f>
        <v>12375229.672499999</v>
      </c>
      <c r="L2331" s="368"/>
      <c r="N2331" s="368"/>
      <c r="P2331" s="368"/>
      <c r="R2331" s="368"/>
      <c r="T2331" s="369">
        <f>T2296+T2329</f>
        <v>333989</v>
      </c>
      <c r="U2331" s="364"/>
      <c r="V2331" s="369">
        <f>V2296+V2329</f>
        <v>9084903</v>
      </c>
      <c r="W2331" s="364"/>
      <c r="X2331" s="369">
        <f>X2296+X2329</f>
        <v>3471770</v>
      </c>
      <c r="Z2331" s="369">
        <f>Z2296+Z2329</f>
        <v>12890663</v>
      </c>
      <c r="AB2331" s="366">
        <f>'[7]Unit Cost Target'!$H$87+'[7]Unit Cost Target'!$H$123+'[7]Unit Cost Target'!$H$129</f>
        <v>508101.95390149695</v>
      </c>
      <c r="AC2331" s="366">
        <f>'[7]Unit Cost Target'!$H$45+'[7]Unit Cost Target'!$H$51+'[7]Unit Cost Target'!$H$75+'[7]Unit Cost Target'!$H$81</f>
        <v>193209278.26697379</v>
      </c>
      <c r="AD2331" s="366">
        <f>'[7]Unit Cost Target'!$H$33+'[7]Unit Cost Target'!$H$39+'[7]Unit Cost Target'!$H$63+'[7]Unit Cost Target'!$H$69</f>
        <v>94439510.545898467</v>
      </c>
      <c r="AE2331" s="366">
        <f>SUM(AB2331:AD2331)</f>
        <v>288156890.76677376</v>
      </c>
      <c r="AF2331" s="366">
        <f>AE2331-'[7]Unit Cost Target'!$H$21</f>
        <v>0</v>
      </c>
    </row>
    <row r="2332" spans="1:32" ht="16.5" thickTop="1">
      <c r="A2332" s="292">
        <v>1</v>
      </c>
      <c r="AB2332" s="366">
        <f>SUM(T2296,T2329)-T2331</f>
        <v>0</v>
      </c>
      <c r="AC2332" s="366">
        <f>SUM(V2296,V2329)-V2331</f>
        <v>0</v>
      </c>
      <c r="AD2332" s="366">
        <f>SUM(X2296,X2329)-X2331</f>
        <v>0</v>
      </c>
      <c r="AE2332" s="366">
        <f>SUM(AB2332:AD2332)</f>
        <v>0</v>
      </c>
      <c r="AF2332" s="366"/>
    </row>
    <row r="2333" spans="1:32">
      <c r="B2333" s="314" t="s">
        <v>1032</v>
      </c>
      <c r="G2333" s="377"/>
      <c r="H2333" s="377"/>
      <c r="L2333" s="377"/>
      <c r="M2333" s="377"/>
      <c r="N2333" s="377"/>
      <c r="O2333" s="377"/>
      <c r="P2333" s="377"/>
      <c r="Q2333" s="377"/>
      <c r="R2333" s="377"/>
      <c r="S2333" s="377"/>
    </row>
    <row r="2334" spans="1:32">
      <c r="B2334" s="428" t="s">
        <v>1329</v>
      </c>
    </row>
    <row r="2335" spans="1:32">
      <c r="B2335" s="317" t="s">
        <v>1331</v>
      </c>
      <c r="C2335" s="317"/>
      <c r="G2335" s="431">
        <v>133</v>
      </c>
      <c r="H2335" s="318"/>
      <c r="I2335" s="294">
        <f>ROUND($G2335*D2335,0)</f>
        <v>0</v>
      </c>
      <c r="J2335" s="294">
        <f>ROUND($G2335*E2335,0)</f>
        <v>0</v>
      </c>
      <c r="L2335" s="431">
        <f>L2231</f>
        <v>140</v>
      </c>
      <c r="M2335" s="318"/>
      <c r="N2335" s="431">
        <f>N2231</f>
        <v>0</v>
      </c>
      <c r="O2335" s="318"/>
      <c r="P2335" s="431">
        <f>P2231</f>
        <v>0</v>
      </c>
      <c r="Q2335" s="318"/>
      <c r="R2335" s="431">
        <f>R2231</f>
        <v>140</v>
      </c>
      <c r="S2335" s="318"/>
      <c r="T2335" s="294">
        <f>ROUND($E2335*L2335,0)</f>
        <v>0</v>
      </c>
      <c r="U2335" s="319"/>
      <c r="V2335" s="294">
        <f>ROUND($E2335*N2335,0)</f>
        <v>0</v>
      </c>
      <c r="W2335" s="319"/>
      <c r="X2335" s="294">
        <f>ROUND($E2335*P2335,0)</f>
        <v>0</v>
      </c>
      <c r="Y2335" s="319"/>
      <c r="Z2335" s="294">
        <f>ROUND($E2335*R2335,0)</f>
        <v>0</v>
      </c>
    </row>
    <row r="2336" spans="1:32">
      <c r="B2336" s="317" t="s">
        <v>1332</v>
      </c>
      <c r="C2336" s="317"/>
      <c r="G2336" s="431">
        <v>5.6</v>
      </c>
      <c r="H2336" s="318"/>
      <c r="I2336" s="294">
        <f>ROUND($G2336*D2336,0)</f>
        <v>0</v>
      </c>
      <c r="J2336" s="294">
        <f>ROUND($G2336*E2336,0)</f>
        <v>0</v>
      </c>
      <c r="L2336" s="431">
        <f>L2232</f>
        <v>5.88</v>
      </c>
      <c r="M2336" s="318"/>
      <c r="N2336" s="431">
        <f>N2232</f>
        <v>0</v>
      </c>
      <c r="O2336" s="318"/>
      <c r="P2336" s="431">
        <f>P2232</f>
        <v>0</v>
      </c>
      <c r="Q2336" s="318"/>
      <c r="R2336" s="431">
        <f>R2232</f>
        <v>5.88</v>
      </c>
      <c r="S2336" s="318"/>
      <c r="T2336" s="294">
        <f>ROUND($E2336*L2336,0)</f>
        <v>0</v>
      </c>
      <c r="U2336" s="319"/>
      <c r="V2336" s="294">
        <f>ROUND($E2336*N2336,0)</f>
        <v>0</v>
      </c>
      <c r="W2336" s="319"/>
      <c r="X2336" s="294">
        <f>ROUND($E2336*P2336,0)</f>
        <v>0</v>
      </c>
      <c r="Y2336" s="319"/>
      <c r="Z2336" s="294">
        <f>ROUND($E2336*R2336,0)</f>
        <v>0</v>
      </c>
    </row>
    <row r="2337" spans="2:27">
      <c r="B2337" s="317" t="s">
        <v>1333</v>
      </c>
      <c r="C2337" s="317"/>
      <c r="G2337" s="432"/>
      <c r="H2337" s="339"/>
      <c r="L2337" s="432"/>
      <c r="M2337" s="339"/>
      <c r="N2337" s="432"/>
      <c r="O2337" s="339"/>
      <c r="P2337" s="432"/>
      <c r="Q2337" s="339"/>
      <c r="R2337" s="432"/>
      <c r="S2337" s="339"/>
    </row>
    <row r="2338" spans="2:27">
      <c r="B2338" s="317" t="s">
        <v>1334</v>
      </c>
      <c r="C2338" s="317"/>
      <c r="G2338" s="431"/>
      <c r="H2338" s="433"/>
      <c r="L2338" s="431"/>
      <c r="M2338" s="433"/>
      <c r="N2338" s="431"/>
      <c r="O2338" s="433"/>
      <c r="P2338" s="431"/>
      <c r="Q2338" s="433"/>
      <c r="R2338" s="431"/>
      <c r="S2338" s="433"/>
      <c r="U2338" s="319"/>
      <c r="W2338" s="319"/>
      <c r="Y2338" s="319"/>
      <c r="AA2338" s="291" t="s">
        <v>1173</v>
      </c>
    </row>
    <row r="2339" spans="2:27">
      <c r="B2339" s="317" t="s">
        <v>1335</v>
      </c>
      <c r="C2339" s="317"/>
      <c r="G2339" s="431"/>
      <c r="H2339" s="433"/>
      <c r="L2339" s="431">
        <f t="shared" ref="L2339:L2340" si="1320">L2235</f>
        <v>0.01</v>
      </c>
      <c r="M2339" s="433"/>
      <c r="N2339" s="431">
        <f t="shared" ref="N2339:N2340" si="1321">N2235</f>
        <v>0.91</v>
      </c>
      <c r="O2339" s="433"/>
      <c r="P2339" s="431">
        <f t="shared" ref="P2339:P2340" si="1322">P2235</f>
        <v>0</v>
      </c>
      <c r="Q2339" s="433"/>
      <c r="R2339" s="431">
        <f t="shared" ref="R2339:R2340" si="1323">R2235</f>
        <v>0.92</v>
      </c>
      <c r="S2339" s="433"/>
      <c r="T2339" s="294">
        <f t="shared" ref="T2339:T2340" si="1324">ROUND($E2339*L2339,0)</f>
        <v>0</v>
      </c>
      <c r="U2339" s="319"/>
      <c r="V2339" s="294">
        <f t="shared" ref="V2339:Z2340" si="1325">ROUND($E2339*N2339,0)</f>
        <v>0</v>
      </c>
      <c r="W2339" s="319"/>
      <c r="X2339" s="294">
        <f t="shared" si="1325"/>
        <v>0</v>
      </c>
      <c r="Y2339" s="319"/>
      <c r="Z2339" s="294">
        <f t="shared" si="1325"/>
        <v>0</v>
      </c>
      <c r="AA2339" s="291">
        <f>'[7]Large Profile'!L10</f>
        <v>0.8153977208412958</v>
      </c>
    </row>
    <row r="2340" spans="2:27">
      <c r="B2340" s="317" t="s">
        <v>1336</v>
      </c>
      <c r="C2340" s="317"/>
      <c r="G2340" s="431"/>
      <c r="H2340" s="433"/>
      <c r="L2340" s="431">
        <f t="shared" si="1320"/>
        <v>0.01</v>
      </c>
      <c r="M2340" s="433"/>
      <c r="N2340" s="431">
        <f t="shared" si="1321"/>
        <v>0.8</v>
      </c>
      <c r="O2340" s="433"/>
      <c r="P2340" s="431">
        <f t="shared" si="1322"/>
        <v>0</v>
      </c>
      <c r="Q2340" s="433"/>
      <c r="R2340" s="431">
        <f t="shared" si="1323"/>
        <v>0.81</v>
      </c>
      <c r="S2340" s="433"/>
      <c r="T2340" s="294">
        <f t="shared" si="1324"/>
        <v>0</v>
      </c>
      <c r="U2340" s="319"/>
      <c r="V2340" s="294">
        <f t="shared" si="1325"/>
        <v>0</v>
      </c>
      <c r="W2340" s="319"/>
      <c r="X2340" s="294">
        <f t="shared" si="1325"/>
        <v>0</v>
      </c>
      <c r="Y2340" s="319"/>
      <c r="Z2340" s="294">
        <f t="shared" si="1325"/>
        <v>0</v>
      </c>
      <c r="AA2340" s="291">
        <f>'[7]Large Profile'!P10</f>
        <v>1.1372413252842475</v>
      </c>
    </row>
    <row r="2341" spans="2:27">
      <c r="B2341" s="317" t="s">
        <v>1337</v>
      </c>
      <c r="C2341" s="317"/>
      <c r="G2341" s="432"/>
      <c r="H2341" s="434"/>
      <c r="L2341" s="432"/>
      <c r="M2341" s="434"/>
      <c r="N2341" s="432"/>
      <c r="O2341" s="434"/>
      <c r="P2341" s="432"/>
      <c r="Q2341" s="434"/>
      <c r="R2341" s="432"/>
      <c r="S2341" s="434"/>
    </row>
    <row r="2342" spans="2:27">
      <c r="B2342" s="317" t="s">
        <v>1335</v>
      </c>
      <c r="C2342" s="317"/>
      <c r="G2342" s="432"/>
      <c r="H2342" s="434"/>
      <c r="L2342" s="432">
        <f t="shared" ref="L2342:L2343" si="1326">L2238</f>
        <v>0.01</v>
      </c>
      <c r="M2342" s="434"/>
      <c r="N2342" s="432">
        <f t="shared" ref="N2342:N2343" si="1327">N2238</f>
        <v>0.45</v>
      </c>
      <c r="O2342" s="434"/>
      <c r="P2342" s="432">
        <f t="shared" ref="P2342:P2343" si="1328">P2238</f>
        <v>0</v>
      </c>
      <c r="Q2342" s="434"/>
      <c r="R2342" s="432">
        <f t="shared" ref="R2342:R2343" si="1329">R2238</f>
        <v>0.46</v>
      </c>
      <c r="S2342" s="434"/>
      <c r="T2342" s="294">
        <f t="shared" ref="T2342:T2343" si="1330">ROUND($E2342*L2342,0)</f>
        <v>0</v>
      </c>
      <c r="V2342" s="294">
        <f t="shared" ref="V2342:Z2343" si="1331">ROUND($E2342*N2342,0)</f>
        <v>0</v>
      </c>
      <c r="X2342" s="294">
        <f t="shared" si="1331"/>
        <v>0</v>
      </c>
      <c r="Z2342" s="294">
        <f t="shared" si="1331"/>
        <v>0</v>
      </c>
      <c r="AA2342" s="291">
        <f>AA2339</f>
        <v>0.8153977208412958</v>
      </c>
    </row>
    <row r="2343" spans="2:27">
      <c r="B2343" s="317" t="s">
        <v>1336</v>
      </c>
      <c r="C2343" s="317"/>
      <c r="G2343" s="432"/>
      <c r="H2343" s="434"/>
      <c r="L2343" s="432">
        <f t="shared" si="1326"/>
        <v>0.01</v>
      </c>
      <c r="M2343" s="434"/>
      <c r="N2343" s="432">
        <f t="shared" si="1327"/>
        <v>0.39999999999999997</v>
      </c>
      <c r="O2343" s="434"/>
      <c r="P2343" s="432">
        <f t="shared" si="1328"/>
        <v>0</v>
      </c>
      <c r="Q2343" s="434"/>
      <c r="R2343" s="432">
        <f t="shared" si="1329"/>
        <v>0.41</v>
      </c>
      <c r="S2343" s="434"/>
      <c r="T2343" s="294">
        <f t="shared" si="1330"/>
        <v>0</v>
      </c>
      <c r="V2343" s="294">
        <f t="shared" si="1331"/>
        <v>0</v>
      </c>
      <c r="X2343" s="294">
        <f t="shared" si="1331"/>
        <v>0</v>
      </c>
      <c r="Z2343" s="294">
        <f t="shared" si="1331"/>
        <v>0</v>
      </c>
      <c r="AA2343" s="291">
        <f>AA2340</f>
        <v>1.1372413252842475</v>
      </c>
    </row>
    <row r="2344" spans="2:27">
      <c r="B2344" s="317" t="s">
        <v>1338</v>
      </c>
      <c r="C2344" s="317"/>
      <c r="G2344" s="431"/>
      <c r="H2344" s="318"/>
      <c r="L2344" s="431"/>
      <c r="M2344" s="318"/>
      <c r="N2344" s="431"/>
      <c r="O2344" s="318"/>
      <c r="P2344" s="431"/>
      <c r="Q2344" s="318"/>
      <c r="R2344" s="431"/>
      <c r="S2344" s="318"/>
      <c r="U2344" s="319"/>
      <c r="W2344" s="319"/>
      <c r="Y2344" s="319"/>
    </row>
    <row r="2345" spans="2:27">
      <c r="B2345" s="317" t="s">
        <v>1335</v>
      </c>
      <c r="C2345" s="317"/>
      <c r="G2345" s="431"/>
      <c r="H2345" s="318"/>
      <c r="L2345" s="431">
        <f t="shared" ref="L2345:L2346" si="1332">L2241</f>
        <v>0.47</v>
      </c>
      <c r="M2345" s="318"/>
      <c r="N2345" s="431">
        <f t="shared" ref="N2345:N2346" si="1333">N2241</f>
        <v>42.35</v>
      </c>
      <c r="O2345" s="318"/>
      <c r="P2345" s="431">
        <f t="shared" ref="P2345:P2346" si="1334">P2241</f>
        <v>0</v>
      </c>
      <c r="Q2345" s="318"/>
      <c r="R2345" s="431">
        <f t="shared" ref="R2345:R2346" si="1335">R2241</f>
        <v>42.82</v>
      </c>
      <c r="S2345" s="318"/>
      <c r="T2345" s="294">
        <f t="shared" ref="T2345:T2346" si="1336">ROUND($E2345*L2345,0)</f>
        <v>0</v>
      </c>
      <c r="U2345" s="319"/>
      <c r="V2345" s="294">
        <f t="shared" ref="V2345:Z2346" si="1337">ROUND($E2345*N2345,0)</f>
        <v>0</v>
      </c>
      <c r="W2345" s="319"/>
      <c r="X2345" s="294">
        <f t="shared" si="1337"/>
        <v>0</v>
      </c>
      <c r="Y2345" s="319"/>
      <c r="Z2345" s="294">
        <f t="shared" si="1337"/>
        <v>0</v>
      </c>
      <c r="AA2345" s="291">
        <f>AA2339</f>
        <v>0.8153977208412958</v>
      </c>
    </row>
    <row r="2346" spans="2:27">
      <c r="B2346" s="317" t="s">
        <v>1336</v>
      </c>
      <c r="C2346" s="317"/>
      <c r="G2346" s="431"/>
      <c r="H2346" s="318"/>
      <c r="L2346" s="431">
        <f t="shared" si="1332"/>
        <v>0.47</v>
      </c>
      <c r="M2346" s="318"/>
      <c r="N2346" s="431">
        <f t="shared" si="1333"/>
        <v>37.42</v>
      </c>
      <c r="O2346" s="318"/>
      <c r="P2346" s="431">
        <f t="shared" si="1334"/>
        <v>0</v>
      </c>
      <c r="Q2346" s="318"/>
      <c r="R2346" s="431">
        <f t="shared" si="1335"/>
        <v>37.89</v>
      </c>
      <c r="S2346" s="318"/>
      <c r="T2346" s="294">
        <f t="shared" si="1336"/>
        <v>0</v>
      </c>
      <c r="U2346" s="319"/>
      <c r="V2346" s="294">
        <f t="shared" si="1337"/>
        <v>0</v>
      </c>
      <c r="W2346" s="319"/>
      <c r="X2346" s="294">
        <f t="shared" si="1337"/>
        <v>0</v>
      </c>
      <c r="Y2346" s="319"/>
      <c r="Z2346" s="294">
        <f t="shared" si="1337"/>
        <v>0</v>
      </c>
      <c r="AA2346" s="291">
        <f>AA2340</f>
        <v>1.1372413252842475</v>
      </c>
    </row>
    <row r="2347" spans="2:27">
      <c r="B2347" s="317" t="s">
        <v>1334</v>
      </c>
      <c r="C2347" s="317"/>
      <c r="G2347" s="431"/>
      <c r="H2347" s="433"/>
      <c r="L2347" s="431"/>
      <c r="M2347" s="433"/>
      <c r="N2347" s="431"/>
      <c r="O2347" s="433"/>
      <c r="P2347" s="431"/>
      <c r="Q2347" s="433"/>
      <c r="R2347" s="431"/>
      <c r="S2347" s="433"/>
      <c r="U2347" s="319"/>
      <c r="W2347" s="319"/>
      <c r="Y2347" s="319"/>
    </row>
    <row r="2348" spans="2:27">
      <c r="B2348" s="317" t="s">
        <v>1339</v>
      </c>
      <c r="C2348" s="317"/>
      <c r="G2348" s="431">
        <v>0.88</v>
      </c>
      <c r="H2348" s="433"/>
      <c r="I2348" s="294">
        <f>ROUND($G2348*D2348,0)</f>
        <v>0</v>
      </c>
      <c r="J2348" s="294">
        <f>ROUND($G2348*E2348,0)</f>
        <v>0</v>
      </c>
      <c r="L2348" s="431"/>
      <c r="M2348" s="433"/>
      <c r="N2348" s="431"/>
      <c r="O2348" s="433"/>
      <c r="P2348" s="431"/>
      <c r="Q2348" s="433"/>
      <c r="R2348" s="431"/>
      <c r="S2348" s="433"/>
      <c r="U2348" s="319"/>
      <c r="W2348" s="319"/>
      <c r="Y2348" s="319"/>
    </row>
    <row r="2349" spans="2:27">
      <c r="B2349" s="317" t="s">
        <v>1340</v>
      </c>
      <c r="C2349" s="317"/>
      <c r="G2349" s="431">
        <v>0.62</v>
      </c>
      <c r="H2349" s="433"/>
      <c r="I2349" s="294">
        <f>ROUND($G2349*D2349,0)</f>
        <v>0</v>
      </c>
      <c r="J2349" s="294">
        <f>ROUND($G2349*E2349,0)</f>
        <v>0</v>
      </c>
      <c r="L2349" s="431"/>
      <c r="M2349" s="433"/>
      <c r="N2349" s="431"/>
      <c r="O2349" s="433"/>
      <c r="P2349" s="431"/>
      <c r="Q2349" s="433"/>
      <c r="R2349" s="431"/>
      <c r="S2349" s="433"/>
      <c r="U2349" s="319"/>
      <c r="W2349" s="319"/>
      <c r="Y2349" s="319"/>
    </row>
    <row r="2350" spans="2:27">
      <c r="B2350" s="317" t="s">
        <v>1337</v>
      </c>
      <c r="C2350" s="317"/>
      <c r="G2350" s="432"/>
      <c r="H2350" s="434"/>
      <c r="L2350" s="432"/>
      <c r="M2350" s="434"/>
      <c r="N2350" s="432"/>
      <c r="O2350" s="434"/>
      <c r="P2350" s="432"/>
      <c r="Q2350" s="434"/>
      <c r="R2350" s="432"/>
      <c r="S2350" s="434"/>
    </row>
    <row r="2351" spans="2:27">
      <c r="B2351" s="317" t="s">
        <v>1339</v>
      </c>
      <c r="C2351" s="317"/>
      <c r="G2351" s="432">
        <v>0.44</v>
      </c>
      <c r="H2351" s="434"/>
      <c r="I2351" s="294">
        <f>ROUND($G2351*D2351,0)</f>
        <v>0</v>
      </c>
      <c r="J2351" s="294">
        <f>ROUND($G2351*E2351,0)</f>
        <v>0</v>
      </c>
      <c r="L2351" s="432"/>
      <c r="M2351" s="434"/>
      <c r="N2351" s="432"/>
      <c r="O2351" s="434"/>
      <c r="P2351" s="432"/>
      <c r="Q2351" s="434"/>
      <c r="R2351" s="432"/>
      <c r="S2351" s="434"/>
    </row>
    <row r="2352" spans="2:27">
      <c r="B2352" s="317" t="s">
        <v>1340</v>
      </c>
      <c r="C2352" s="317"/>
      <c r="G2352" s="432">
        <v>0.31</v>
      </c>
      <c r="H2352" s="434"/>
      <c r="I2352" s="294">
        <f>ROUND($G2352*D2352,0)</f>
        <v>0</v>
      </c>
      <c r="J2352" s="294">
        <f>ROUND($G2352*E2352,0)</f>
        <v>0</v>
      </c>
      <c r="L2352" s="432"/>
      <c r="M2352" s="434"/>
      <c r="N2352" s="432"/>
      <c r="O2352" s="434"/>
      <c r="P2352" s="432"/>
      <c r="Q2352" s="434"/>
      <c r="R2352" s="432"/>
      <c r="S2352" s="434"/>
    </row>
    <row r="2353" spans="2:27">
      <c r="B2353" s="317" t="s">
        <v>1338</v>
      </c>
      <c r="C2353" s="317"/>
      <c r="G2353" s="431"/>
      <c r="H2353" s="318"/>
      <c r="L2353" s="431"/>
      <c r="M2353" s="318"/>
      <c r="N2353" s="431"/>
      <c r="O2353" s="318"/>
      <c r="P2353" s="431"/>
      <c r="Q2353" s="318"/>
      <c r="R2353" s="431"/>
      <c r="S2353" s="318"/>
      <c r="U2353" s="319"/>
      <c r="W2353" s="319"/>
      <c r="Y2353" s="319"/>
    </row>
    <row r="2354" spans="2:27">
      <c r="B2354" s="317" t="s">
        <v>1339</v>
      </c>
      <c r="C2354" s="317"/>
      <c r="G2354" s="431">
        <v>40.81</v>
      </c>
      <c r="H2354" s="318"/>
      <c r="I2354" s="294">
        <f>ROUND($G2354*D2354,0)</f>
        <v>0</v>
      </c>
      <c r="J2354" s="294">
        <f>ROUND($G2354*E2354,0)</f>
        <v>0</v>
      </c>
      <c r="L2354" s="431"/>
      <c r="M2354" s="318"/>
      <c r="N2354" s="431"/>
      <c r="O2354" s="318"/>
      <c r="P2354" s="431"/>
      <c r="Q2354" s="318"/>
      <c r="R2354" s="431"/>
      <c r="S2354" s="318"/>
      <c r="U2354" s="319"/>
      <c r="W2354" s="319"/>
      <c r="Y2354" s="319"/>
    </row>
    <row r="2355" spans="2:27">
      <c r="B2355" s="317" t="s">
        <v>1340</v>
      </c>
      <c r="C2355" s="317"/>
      <c r="G2355" s="431">
        <v>32.04</v>
      </c>
      <c r="H2355" s="318"/>
      <c r="I2355" s="294">
        <f>ROUND($G2355*D2355,0)</f>
        <v>0</v>
      </c>
      <c r="J2355" s="294">
        <f>ROUND($G2355*E2355,0)</f>
        <v>0</v>
      </c>
      <c r="L2355" s="431"/>
      <c r="M2355" s="318"/>
      <c r="N2355" s="431"/>
      <c r="O2355" s="318"/>
      <c r="P2355" s="431"/>
      <c r="Q2355" s="318"/>
      <c r="R2355" s="431"/>
      <c r="S2355" s="318"/>
      <c r="U2355" s="319"/>
      <c r="W2355" s="319"/>
      <c r="Y2355" s="319"/>
    </row>
    <row r="2356" spans="2:27">
      <c r="B2356" s="428" t="s">
        <v>1341</v>
      </c>
      <c r="G2356" s="432"/>
      <c r="L2356" s="432"/>
      <c r="N2356" s="432"/>
      <c r="P2356" s="432"/>
      <c r="R2356" s="432"/>
    </row>
    <row r="2357" spans="2:27">
      <c r="B2357" s="317" t="s">
        <v>1331</v>
      </c>
      <c r="D2357" s="293">
        <f>'[7]31'!I2</f>
        <v>24</v>
      </c>
      <c r="E2357" s="293">
        <f>ROUND(D2357/(D2357+D2379)*[7]Bill!P42,0)</f>
        <v>25</v>
      </c>
      <c r="G2357" s="431">
        <v>605</v>
      </c>
      <c r="H2357" s="318"/>
      <c r="I2357" s="294">
        <f>ROUND($G2357*D2357,0)</f>
        <v>14520</v>
      </c>
      <c r="J2357" s="294">
        <f>ROUND($G2357*E2357,0)</f>
        <v>15125</v>
      </c>
      <c r="L2357" s="431">
        <f t="shared" ref="L2357:L2358" si="1338">L2253</f>
        <v>635</v>
      </c>
      <c r="M2357" s="318"/>
      <c r="N2357" s="431">
        <f t="shared" ref="N2357:N2358" si="1339">N2253</f>
        <v>0</v>
      </c>
      <c r="O2357" s="318"/>
      <c r="P2357" s="431">
        <f t="shared" ref="P2357:P2358" si="1340">P2253</f>
        <v>0</v>
      </c>
      <c r="Q2357" s="318"/>
      <c r="R2357" s="431">
        <f t="shared" ref="R2357:R2358" si="1341">R2253</f>
        <v>635</v>
      </c>
      <c r="S2357" s="318"/>
      <c r="T2357" s="294">
        <f>ROUND($E2357*L2357,0)</f>
        <v>15875</v>
      </c>
      <c r="U2357" s="319"/>
      <c r="V2357" s="294">
        <f>ROUND($E2357*N2357,0)</f>
        <v>0</v>
      </c>
      <c r="W2357" s="319"/>
      <c r="X2357" s="294">
        <f>ROUND($E2357*P2357,0)</f>
        <v>0</v>
      </c>
      <c r="Y2357" s="319"/>
      <c r="Z2357" s="294">
        <f>ROUND($E2357*R2357,0)</f>
        <v>15875</v>
      </c>
    </row>
    <row r="2358" spans="2:27">
      <c r="B2358" s="317" t="s">
        <v>1332</v>
      </c>
      <c r="D2358" s="293">
        <f>'[7]31'!J2</f>
        <v>36600</v>
      </c>
      <c r="E2358" s="293">
        <f>ROUND(D2358/$D$2435*$E$2435,0)</f>
        <v>34929</v>
      </c>
      <c r="G2358" s="431">
        <v>4.46</v>
      </c>
      <c r="H2358" s="318"/>
      <c r="I2358" s="294">
        <f>ROUND($G2358*D2358,0)</f>
        <v>163236</v>
      </c>
      <c r="J2358" s="294">
        <f>ROUND($G2358*E2358,0)</f>
        <v>155783</v>
      </c>
      <c r="L2358" s="431">
        <f t="shared" si="1338"/>
        <v>4.68</v>
      </c>
      <c r="M2358" s="318"/>
      <c r="N2358" s="431">
        <f t="shared" si="1339"/>
        <v>0</v>
      </c>
      <c r="O2358" s="318"/>
      <c r="P2358" s="431">
        <f t="shared" si="1340"/>
        <v>0</v>
      </c>
      <c r="Q2358" s="318"/>
      <c r="R2358" s="431">
        <f t="shared" si="1341"/>
        <v>4.68</v>
      </c>
      <c r="S2358" s="318"/>
      <c r="T2358" s="294">
        <f>ROUND($E2358*L2358,0)</f>
        <v>163468</v>
      </c>
      <c r="U2358" s="319"/>
      <c r="V2358" s="294">
        <f>ROUND($E2358*N2358,0)</f>
        <v>0</v>
      </c>
      <c r="W2358" s="319"/>
      <c r="X2358" s="294">
        <f>ROUND($E2358*P2358,0)</f>
        <v>0</v>
      </c>
      <c r="Y2358" s="319"/>
      <c r="Z2358" s="294">
        <f>ROUND($E2358*R2358,0)</f>
        <v>163468</v>
      </c>
    </row>
    <row r="2359" spans="2:27">
      <c r="B2359" s="317" t="s">
        <v>1333</v>
      </c>
      <c r="G2359" s="431"/>
      <c r="H2359" s="318"/>
      <c r="L2359" s="431"/>
      <c r="M2359" s="318"/>
      <c r="N2359" s="431"/>
      <c r="O2359" s="318"/>
      <c r="P2359" s="431"/>
      <c r="Q2359" s="318"/>
      <c r="R2359" s="431"/>
      <c r="S2359" s="318"/>
      <c r="U2359" s="319"/>
      <c r="W2359" s="319"/>
      <c r="Y2359" s="319"/>
    </row>
    <row r="2360" spans="2:27">
      <c r="B2360" s="317" t="s">
        <v>1334</v>
      </c>
      <c r="G2360" s="431"/>
      <c r="H2360" s="433"/>
      <c r="L2360" s="431"/>
      <c r="M2360" s="433"/>
      <c r="N2360" s="431"/>
      <c r="O2360" s="433"/>
      <c r="P2360" s="431"/>
      <c r="Q2360" s="433"/>
      <c r="R2360" s="431"/>
      <c r="S2360" s="433"/>
      <c r="U2360" s="319"/>
      <c r="W2360" s="319"/>
      <c r="Y2360" s="319"/>
      <c r="AA2360" s="291" t="s">
        <v>1173</v>
      </c>
    </row>
    <row r="2361" spans="2:27">
      <c r="B2361" s="317" t="s">
        <v>1335</v>
      </c>
      <c r="D2361" s="293">
        <f>D2370*AA2361</f>
        <v>71042.341826018732</v>
      </c>
      <c r="E2361" s="293">
        <f>ROUND(D2361/$D$2435*$E$2435,0)</f>
        <v>67799</v>
      </c>
      <c r="G2361" s="431"/>
      <c r="H2361" s="433"/>
      <c r="L2361" s="431">
        <f t="shared" ref="L2361:L2362" si="1342">L2257</f>
        <v>0.01</v>
      </c>
      <c r="M2361" s="433"/>
      <c r="N2361" s="431">
        <f t="shared" ref="N2361:N2362" si="1343">N2257</f>
        <v>0.89</v>
      </c>
      <c r="O2361" s="433"/>
      <c r="P2361" s="431">
        <f t="shared" ref="P2361:P2362" si="1344">P2257</f>
        <v>0</v>
      </c>
      <c r="Q2361" s="433"/>
      <c r="R2361" s="431">
        <f t="shared" ref="R2361:R2362" si="1345">R2257</f>
        <v>0.9</v>
      </c>
      <c r="S2361" s="433"/>
      <c r="T2361" s="294">
        <f t="shared" ref="T2361:T2362" si="1346">ROUND($E2361*L2361,0)</f>
        <v>678</v>
      </c>
      <c r="U2361" s="319"/>
      <c r="V2361" s="294">
        <f t="shared" ref="V2361:Z2362" si="1347">ROUND($E2361*N2361,0)</f>
        <v>60341</v>
      </c>
      <c r="W2361" s="319"/>
      <c r="X2361" s="294">
        <f t="shared" si="1347"/>
        <v>0</v>
      </c>
      <c r="Y2361" s="319"/>
      <c r="Z2361" s="294">
        <f t="shared" si="1347"/>
        <v>61019</v>
      </c>
      <c r="AA2361" s="291">
        <f>AA2339</f>
        <v>0.8153977208412958</v>
      </c>
    </row>
    <row r="2362" spans="2:27">
      <c r="B2362" s="317" t="s">
        <v>1336</v>
      </c>
      <c r="D2362" s="293">
        <f>D2371*AA2362</f>
        <v>49636.034883356268</v>
      </c>
      <c r="E2362" s="293">
        <f>ROUND(D2362/$D$2435*$E$2435,0)</f>
        <v>47370</v>
      </c>
      <c r="G2362" s="431"/>
      <c r="H2362" s="433"/>
      <c r="L2362" s="431">
        <f t="shared" si="1342"/>
        <v>0.01</v>
      </c>
      <c r="M2362" s="433"/>
      <c r="N2362" s="431">
        <f t="shared" si="1343"/>
        <v>0.79</v>
      </c>
      <c r="O2362" s="433"/>
      <c r="P2362" s="431">
        <f t="shared" si="1344"/>
        <v>0</v>
      </c>
      <c r="Q2362" s="433"/>
      <c r="R2362" s="431">
        <f t="shared" si="1345"/>
        <v>0.8</v>
      </c>
      <c r="S2362" s="433"/>
      <c r="T2362" s="294">
        <f t="shared" si="1346"/>
        <v>474</v>
      </c>
      <c r="U2362" s="319"/>
      <c r="V2362" s="294">
        <f t="shared" si="1347"/>
        <v>37422</v>
      </c>
      <c r="W2362" s="319"/>
      <c r="X2362" s="294">
        <f t="shared" si="1347"/>
        <v>0</v>
      </c>
      <c r="Y2362" s="319"/>
      <c r="Z2362" s="294">
        <f t="shared" si="1347"/>
        <v>37896</v>
      </c>
      <c r="AA2362" s="291">
        <f>AA2340</f>
        <v>1.1372413252842475</v>
      </c>
    </row>
    <row r="2363" spans="2:27">
      <c r="B2363" s="317" t="s">
        <v>1337</v>
      </c>
      <c r="G2363" s="432"/>
      <c r="H2363" s="434"/>
      <c r="L2363" s="432"/>
      <c r="M2363" s="434"/>
      <c r="N2363" s="432"/>
      <c r="O2363" s="434"/>
      <c r="P2363" s="432"/>
      <c r="Q2363" s="434"/>
      <c r="R2363" s="432"/>
      <c r="S2363" s="434"/>
    </row>
    <row r="2364" spans="2:27">
      <c r="B2364" s="317" t="s">
        <v>1335</v>
      </c>
      <c r="D2364" s="293">
        <f>D2373*AA2364</f>
        <v>1590.0255556405268</v>
      </c>
      <c r="E2364" s="293">
        <f>ROUND(D2364/$D$2435*$E$2435,0)</f>
        <v>1517</v>
      </c>
      <c r="G2364" s="432"/>
      <c r="H2364" s="434"/>
      <c r="L2364" s="432">
        <f t="shared" ref="L2364:L2365" si="1348">L2260</f>
        <v>0.01</v>
      </c>
      <c r="M2364" s="434"/>
      <c r="N2364" s="432">
        <f t="shared" ref="N2364:N2365" si="1349">N2260</f>
        <v>0.44</v>
      </c>
      <c r="O2364" s="434"/>
      <c r="P2364" s="432">
        <f t="shared" ref="P2364:P2365" si="1350">P2260</f>
        <v>0</v>
      </c>
      <c r="Q2364" s="434"/>
      <c r="R2364" s="432">
        <f t="shared" ref="R2364:R2365" si="1351">R2260</f>
        <v>0.45</v>
      </c>
      <c r="S2364" s="434"/>
      <c r="T2364" s="294">
        <f t="shared" ref="T2364:T2365" si="1352">ROUND($E2364*L2364,0)</f>
        <v>15</v>
      </c>
      <c r="V2364" s="294">
        <f t="shared" ref="V2364:Z2365" si="1353">ROUND($E2364*N2364,0)</f>
        <v>667</v>
      </c>
      <c r="X2364" s="294">
        <f t="shared" si="1353"/>
        <v>0</v>
      </c>
      <c r="Z2364" s="294">
        <f t="shared" si="1353"/>
        <v>683</v>
      </c>
      <c r="AA2364" s="291">
        <f t="shared" ref="AA2364:AA2365" si="1354">AA2342</f>
        <v>0.8153977208412958</v>
      </c>
    </row>
    <row r="2365" spans="2:27">
      <c r="B2365" s="317" t="s">
        <v>1336</v>
      </c>
      <c r="D2365" s="293">
        <f>D2374*AA2365</f>
        <v>0</v>
      </c>
      <c r="E2365" s="293">
        <f>ROUND(D2365/$D$2435*$E$2435,0)</f>
        <v>0</v>
      </c>
      <c r="G2365" s="432"/>
      <c r="H2365" s="434"/>
      <c r="L2365" s="432">
        <f t="shared" si="1348"/>
        <v>0.01</v>
      </c>
      <c r="M2365" s="434"/>
      <c r="N2365" s="432">
        <f t="shared" si="1349"/>
        <v>0.39</v>
      </c>
      <c r="O2365" s="434"/>
      <c r="P2365" s="432">
        <f t="shared" si="1350"/>
        <v>0</v>
      </c>
      <c r="Q2365" s="434"/>
      <c r="R2365" s="432">
        <f t="shared" si="1351"/>
        <v>0.4</v>
      </c>
      <c r="S2365" s="434"/>
      <c r="T2365" s="294">
        <f t="shared" si="1352"/>
        <v>0</v>
      </c>
      <c r="V2365" s="294">
        <f t="shared" si="1353"/>
        <v>0</v>
      </c>
      <c r="X2365" s="294">
        <f t="shared" si="1353"/>
        <v>0</v>
      </c>
      <c r="Z2365" s="294">
        <f t="shared" si="1353"/>
        <v>0</v>
      </c>
      <c r="AA2365" s="291">
        <f t="shared" si="1354"/>
        <v>1.1372413252842475</v>
      </c>
    </row>
    <row r="2366" spans="2:27">
      <c r="B2366" s="317" t="s">
        <v>1338</v>
      </c>
      <c r="G2366" s="431"/>
      <c r="H2366" s="318"/>
      <c r="L2366" s="431"/>
      <c r="M2366" s="318"/>
      <c r="N2366" s="431"/>
      <c r="O2366" s="318"/>
      <c r="P2366" s="431"/>
      <c r="Q2366" s="318"/>
      <c r="R2366" s="431"/>
      <c r="S2366" s="318"/>
      <c r="U2366" s="319"/>
      <c r="W2366" s="319"/>
      <c r="Y2366" s="319"/>
    </row>
    <row r="2367" spans="2:27">
      <c r="B2367" s="317" t="s">
        <v>1335</v>
      </c>
      <c r="D2367" s="293">
        <f>D2376*AA2367</f>
        <v>149.21778291395714</v>
      </c>
      <c r="E2367" s="293">
        <f>ROUND(D2367/$D$2435*$E$2435,0)</f>
        <v>142</v>
      </c>
      <c r="G2367" s="431"/>
      <c r="H2367" s="318"/>
      <c r="L2367" s="431">
        <f t="shared" ref="L2367:L2368" si="1355">L2263</f>
        <v>0.45</v>
      </c>
      <c r="M2367" s="318"/>
      <c r="N2367" s="431">
        <f t="shared" ref="N2367:N2368" si="1356">N2263</f>
        <v>39.989999999999995</v>
      </c>
      <c r="O2367" s="318"/>
      <c r="P2367" s="431">
        <f t="shared" ref="P2367:P2368" si="1357">P2263</f>
        <v>0</v>
      </c>
      <c r="Q2367" s="318"/>
      <c r="R2367" s="431">
        <f t="shared" ref="R2367:R2368" si="1358">R2263</f>
        <v>40.44</v>
      </c>
      <c r="S2367" s="318"/>
      <c r="T2367" s="294">
        <f t="shared" ref="T2367:T2368" si="1359">ROUND($E2367*L2367,0)</f>
        <v>64</v>
      </c>
      <c r="U2367" s="319"/>
      <c r="V2367" s="294">
        <f t="shared" ref="V2367:Z2368" si="1360">ROUND($E2367*N2367,0)</f>
        <v>5679</v>
      </c>
      <c r="W2367" s="319"/>
      <c r="X2367" s="294">
        <f t="shared" si="1360"/>
        <v>0</v>
      </c>
      <c r="Y2367" s="319"/>
      <c r="Z2367" s="294">
        <f t="shared" si="1360"/>
        <v>5742</v>
      </c>
      <c r="AA2367" s="291">
        <f t="shared" ref="AA2367:AA2368" si="1361">AA2345</f>
        <v>0.8153977208412958</v>
      </c>
    </row>
    <row r="2368" spans="2:27">
      <c r="B2368" s="317" t="s">
        <v>1336</v>
      </c>
      <c r="D2368" s="293">
        <f>D2377*AA2368</f>
        <v>686.89376047168548</v>
      </c>
      <c r="E2368" s="293">
        <f>ROUND(D2368/$D$2435*$E$2435,0)</f>
        <v>656</v>
      </c>
      <c r="G2368" s="431"/>
      <c r="H2368" s="318"/>
      <c r="L2368" s="431">
        <f t="shared" si="1355"/>
        <v>0.45</v>
      </c>
      <c r="M2368" s="318"/>
      <c r="N2368" s="431">
        <f t="shared" si="1356"/>
        <v>35.339999999999996</v>
      </c>
      <c r="O2368" s="318"/>
      <c r="P2368" s="431">
        <f t="shared" si="1357"/>
        <v>0</v>
      </c>
      <c r="Q2368" s="318"/>
      <c r="R2368" s="431">
        <f t="shared" si="1358"/>
        <v>35.79</v>
      </c>
      <c r="S2368" s="318"/>
      <c r="T2368" s="294">
        <f t="shared" si="1359"/>
        <v>295</v>
      </c>
      <c r="U2368" s="319"/>
      <c r="V2368" s="294">
        <f t="shared" si="1360"/>
        <v>23183</v>
      </c>
      <c r="W2368" s="319"/>
      <c r="X2368" s="294">
        <f t="shared" si="1360"/>
        <v>0</v>
      </c>
      <c r="Y2368" s="319"/>
      <c r="Z2368" s="294">
        <f t="shared" si="1360"/>
        <v>23478</v>
      </c>
      <c r="AA2368" s="291">
        <f t="shared" si="1361"/>
        <v>1.1372413252842475</v>
      </c>
    </row>
    <row r="2369" spans="2:27">
      <c r="B2369" s="317" t="s">
        <v>1334</v>
      </c>
      <c r="G2369" s="431"/>
      <c r="H2369" s="433"/>
      <c r="L2369" s="431"/>
      <c r="M2369" s="433"/>
      <c r="N2369" s="431"/>
      <c r="O2369" s="433"/>
      <c r="P2369" s="431"/>
      <c r="Q2369" s="433"/>
      <c r="R2369" s="431"/>
      <c r="S2369" s="433"/>
      <c r="U2369" s="319"/>
      <c r="W2369" s="319"/>
      <c r="Y2369" s="319"/>
    </row>
    <row r="2370" spans="2:27">
      <c r="B2370" s="317" t="s">
        <v>1339</v>
      </c>
      <c r="D2370" s="293">
        <f>'[7]31'!N2</f>
        <v>87126</v>
      </c>
      <c r="E2370" s="293">
        <f>ROUND(D2370/$D$2435*$E$2435,0)</f>
        <v>83149</v>
      </c>
      <c r="G2370" s="431">
        <v>0.86</v>
      </c>
      <c r="H2370" s="433"/>
      <c r="I2370" s="294">
        <f>ROUND($G2370*D2370,0)</f>
        <v>74928</v>
      </c>
      <c r="J2370" s="294">
        <f>ROUND($G2370*E2370,0)</f>
        <v>71508</v>
      </c>
      <c r="L2370" s="431"/>
      <c r="M2370" s="433"/>
      <c r="N2370" s="431"/>
      <c r="O2370" s="433"/>
      <c r="P2370" s="431"/>
      <c r="Q2370" s="433"/>
      <c r="R2370" s="431"/>
      <c r="S2370" s="433"/>
      <c r="U2370" s="319"/>
      <c r="W2370" s="319"/>
      <c r="Y2370" s="319"/>
    </row>
    <row r="2371" spans="2:27">
      <c r="B2371" s="317" t="s">
        <v>1340</v>
      </c>
      <c r="D2371" s="293">
        <f>'[7]31'!O2</f>
        <v>43646</v>
      </c>
      <c r="E2371" s="293">
        <f>ROUND(D2371/$D$2435*$E$2435,0)</f>
        <v>41654</v>
      </c>
      <c r="G2371" s="431">
        <v>0.6</v>
      </c>
      <c r="H2371" s="433"/>
      <c r="I2371" s="294">
        <f>ROUND($G2371*D2371,0)</f>
        <v>26188</v>
      </c>
      <c r="J2371" s="294">
        <f>ROUND($G2371*E2371,0)</f>
        <v>24992</v>
      </c>
      <c r="L2371" s="431"/>
      <c r="M2371" s="433"/>
      <c r="N2371" s="431"/>
      <c r="O2371" s="433"/>
      <c r="P2371" s="431"/>
      <c r="Q2371" s="433"/>
      <c r="R2371" s="431"/>
      <c r="S2371" s="433"/>
      <c r="U2371" s="319"/>
      <c r="W2371" s="319"/>
      <c r="Y2371" s="319"/>
    </row>
    <row r="2372" spans="2:27">
      <c r="B2372" s="317" t="s">
        <v>1337</v>
      </c>
      <c r="G2372" s="432"/>
      <c r="H2372" s="434"/>
      <c r="L2372" s="432"/>
      <c r="M2372" s="434"/>
      <c r="N2372" s="432"/>
      <c r="O2372" s="434"/>
      <c r="P2372" s="432"/>
      <c r="Q2372" s="434"/>
      <c r="R2372" s="432"/>
      <c r="S2372" s="434"/>
    </row>
    <row r="2373" spans="2:27">
      <c r="B2373" s="317" t="s">
        <v>1339</v>
      </c>
      <c r="D2373" s="293">
        <f>'[7]31'!Q2</f>
        <v>1950</v>
      </c>
      <c r="E2373" s="293">
        <f>ROUND(D2373/$D$2435*$E$2435,0)</f>
        <v>1861</v>
      </c>
      <c r="G2373" s="432">
        <v>0.43</v>
      </c>
      <c r="H2373" s="434"/>
      <c r="I2373" s="294">
        <f>ROUND($G2373*D2373,0)</f>
        <v>839</v>
      </c>
      <c r="J2373" s="294">
        <f>ROUND($G2373*E2373,0)</f>
        <v>800</v>
      </c>
      <c r="L2373" s="432"/>
      <c r="M2373" s="434"/>
      <c r="N2373" s="432"/>
      <c r="O2373" s="434"/>
      <c r="P2373" s="432"/>
      <c r="Q2373" s="434"/>
      <c r="R2373" s="432"/>
      <c r="S2373" s="434"/>
    </row>
    <row r="2374" spans="2:27">
      <c r="B2374" s="317" t="s">
        <v>1340</v>
      </c>
      <c r="D2374" s="293">
        <f>'[7]31'!R2</f>
        <v>0</v>
      </c>
      <c r="E2374" s="293">
        <f>ROUND(D2374/$D$2435*$E$2435,0)</f>
        <v>0</v>
      </c>
      <c r="G2374" s="432">
        <v>0.3</v>
      </c>
      <c r="H2374" s="434"/>
      <c r="I2374" s="294">
        <f>ROUND($G2374*D2374,0)</f>
        <v>0</v>
      </c>
      <c r="J2374" s="294">
        <f>ROUND($G2374*E2374,0)</f>
        <v>0</v>
      </c>
      <c r="L2374" s="432"/>
      <c r="M2374" s="434"/>
      <c r="N2374" s="432"/>
      <c r="O2374" s="434"/>
      <c r="P2374" s="432"/>
      <c r="Q2374" s="434"/>
      <c r="R2374" s="432"/>
      <c r="S2374" s="434"/>
    </row>
    <row r="2375" spans="2:27">
      <c r="B2375" s="317" t="s">
        <v>1338</v>
      </c>
      <c r="G2375" s="431"/>
      <c r="H2375" s="318"/>
      <c r="L2375" s="431"/>
      <c r="M2375" s="318"/>
      <c r="N2375" s="431"/>
      <c r="O2375" s="318"/>
      <c r="P2375" s="431"/>
      <c r="Q2375" s="318"/>
      <c r="R2375" s="431"/>
      <c r="S2375" s="318"/>
      <c r="U2375" s="319"/>
      <c r="W2375" s="319"/>
      <c r="Y2375" s="319"/>
    </row>
    <row r="2376" spans="2:27">
      <c r="B2376" s="317" t="s">
        <v>1339</v>
      </c>
      <c r="D2376" s="293">
        <f>'[7]31'!T2</f>
        <v>183</v>
      </c>
      <c r="E2376" s="293">
        <f>ROUND(D2376/$D$2435*$E$2435,0)</f>
        <v>175</v>
      </c>
      <c r="G2376" s="431">
        <v>38.54</v>
      </c>
      <c r="H2376" s="318"/>
      <c r="I2376" s="294">
        <f>ROUND($G2376*D2376,0)</f>
        <v>7053</v>
      </c>
      <c r="J2376" s="294">
        <f>ROUND($G2376*E2376,0)</f>
        <v>6745</v>
      </c>
      <c r="L2376" s="431"/>
      <c r="M2376" s="318"/>
      <c r="N2376" s="431"/>
      <c r="O2376" s="318"/>
      <c r="P2376" s="431"/>
      <c r="Q2376" s="318"/>
      <c r="R2376" s="431"/>
      <c r="S2376" s="318"/>
      <c r="U2376" s="319"/>
      <c r="W2376" s="319"/>
      <c r="Y2376" s="319"/>
    </row>
    <row r="2377" spans="2:27">
      <c r="B2377" s="317" t="s">
        <v>1340</v>
      </c>
      <c r="D2377" s="293">
        <f>'[7]31'!U2</f>
        <v>604</v>
      </c>
      <c r="E2377" s="293">
        <f>ROUND(D2377/$D$2435*$E$2435,0)</f>
        <v>576</v>
      </c>
      <c r="G2377" s="431">
        <v>29.77</v>
      </c>
      <c r="H2377" s="318"/>
      <c r="I2377" s="294">
        <f>ROUND($G2377*D2377,0)</f>
        <v>17981</v>
      </c>
      <c r="J2377" s="294">
        <f>ROUND($G2377*E2377,0)</f>
        <v>17148</v>
      </c>
      <c r="L2377" s="431"/>
      <c r="M2377" s="318"/>
      <c r="N2377" s="431"/>
      <c r="O2377" s="318"/>
      <c r="P2377" s="431"/>
      <c r="Q2377" s="318"/>
      <c r="R2377" s="431"/>
      <c r="S2377" s="318"/>
      <c r="U2377" s="319"/>
      <c r="W2377" s="319"/>
      <c r="Y2377" s="319"/>
    </row>
    <row r="2378" spans="2:27">
      <c r="B2378" s="428" t="s">
        <v>1342</v>
      </c>
      <c r="G2378" s="432"/>
      <c r="L2378" s="432"/>
      <c r="N2378" s="432"/>
      <c r="P2378" s="432"/>
      <c r="R2378" s="432"/>
    </row>
    <row r="2379" spans="2:27">
      <c r="B2379" s="317" t="s">
        <v>1331</v>
      </c>
      <c r="D2379" s="293">
        <f>'[7]31'!I3</f>
        <v>23</v>
      </c>
      <c r="E2379" s="293">
        <f>[7]Bill!P42-Blocking!E2357</f>
        <v>23</v>
      </c>
      <c r="G2379" s="431">
        <v>678</v>
      </c>
      <c r="H2379" s="318"/>
      <c r="I2379" s="294">
        <f>ROUND($G2379*D2379,0)</f>
        <v>15594</v>
      </c>
      <c r="J2379" s="294">
        <f>ROUND($G2379*E2379,0)</f>
        <v>15594</v>
      </c>
      <c r="L2379" s="431">
        <f t="shared" ref="L2379:L2380" si="1362">L2275</f>
        <v>701.35</v>
      </c>
      <c r="M2379" s="318"/>
      <c r="N2379" s="431">
        <f t="shared" ref="N2379:N2380" si="1363">N2275</f>
        <v>9.65</v>
      </c>
      <c r="O2379" s="318"/>
      <c r="P2379" s="431">
        <f t="shared" ref="P2379:P2380" si="1364">P2275</f>
        <v>-2.3092638912203256E-14</v>
      </c>
      <c r="Q2379" s="318"/>
      <c r="R2379" s="431">
        <f t="shared" ref="R2379:R2380" si="1365">R2275</f>
        <v>711</v>
      </c>
      <c r="S2379" s="318"/>
      <c r="T2379" s="294">
        <f>ROUND($E2379*L2379,0)</f>
        <v>16131</v>
      </c>
      <c r="U2379" s="319"/>
      <c r="V2379" s="294">
        <f>ROUND($E2379*N2379,0)</f>
        <v>222</v>
      </c>
      <c r="W2379" s="319"/>
      <c r="X2379" s="294">
        <f>ROUND($E2379*P2379,0)</f>
        <v>0</v>
      </c>
      <c r="Y2379" s="319"/>
      <c r="Z2379" s="294">
        <f>ROUND($E2379*R2379,0)</f>
        <v>16353</v>
      </c>
    </row>
    <row r="2380" spans="2:27">
      <c r="B2380" s="317" t="s">
        <v>1332</v>
      </c>
      <c r="D2380" s="293">
        <f>'[7]31'!J3</f>
        <v>66100</v>
      </c>
      <c r="E2380" s="293">
        <f>ROUND(D2380/$D$2435*$E$2435,0)</f>
        <v>63083</v>
      </c>
      <c r="G2380" s="431">
        <v>2.63</v>
      </c>
      <c r="H2380" s="318"/>
      <c r="I2380" s="294">
        <f>ROUND($G2380*D2380,0)</f>
        <v>173843</v>
      </c>
      <c r="J2380" s="294">
        <f>ROUND($G2380*E2380,0)</f>
        <v>165908</v>
      </c>
      <c r="L2380" s="431">
        <f t="shared" si="1362"/>
        <v>0</v>
      </c>
      <c r="M2380" s="318"/>
      <c r="N2380" s="431">
        <f t="shared" si="1363"/>
        <v>2.76</v>
      </c>
      <c r="O2380" s="318"/>
      <c r="P2380" s="431">
        <f t="shared" si="1364"/>
        <v>0</v>
      </c>
      <c r="Q2380" s="318"/>
      <c r="R2380" s="431">
        <f t="shared" si="1365"/>
        <v>2.76</v>
      </c>
      <c r="S2380" s="318"/>
      <c r="T2380" s="294">
        <f>ROUND($E2380*L2380,0)</f>
        <v>0</v>
      </c>
      <c r="U2380" s="319"/>
      <c r="V2380" s="294">
        <f>ROUND($E2380*N2380,0)</f>
        <v>174109</v>
      </c>
      <c r="W2380" s="319"/>
      <c r="X2380" s="294">
        <f>ROUND($E2380*P2380,0)</f>
        <v>0</v>
      </c>
      <c r="Y2380" s="319"/>
      <c r="Z2380" s="294">
        <f>ROUND($E2380*R2380,0)</f>
        <v>174109</v>
      </c>
    </row>
    <row r="2381" spans="2:27">
      <c r="B2381" s="317" t="s">
        <v>1333</v>
      </c>
      <c r="G2381" s="432"/>
      <c r="H2381" s="339"/>
      <c r="L2381" s="432"/>
      <c r="M2381" s="339"/>
      <c r="N2381" s="432"/>
      <c r="O2381" s="339"/>
      <c r="P2381" s="432"/>
      <c r="Q2381" s="339"/>
      <c r="R2381" s="432"/>
      <c r="S2381" s="339"/>
    </row>
    <row r="2382" spans="2:27">
      <c r="B2382" s="317" t="s">
        <v>1334</v>
      </c>
      <c r="G2382" s="431"/>
      <c r="H2382" s="433"/>
      <c r="L2382" s="431"/>
      <c r="M2382" s="433"/>
      <c r="N2382" s="431"/>
      <c r="O2382" s="433"/>
      <c r="P2382" s="431"/>
      <c r="Q2382" s="433"/>
      <c r="R2382" s="431"/>
      <c r="S2382" s="433"/>
      <c r="U2382" s="319"/>
      <c r="W2382" s="319"/>
      <c r="Y2382" s="319"/>
      <c r="AA2382" s="291" t="s">
        <v>1173</v>
      </c>
    </row>
    <row r="2383" spans="2:27">
      <c r="B2383" s="317" t="s">
        <v>1335</v>
      </c>
      <c r="D2383" s="293">
        <f>D2392*AA2383</f>
        <v>272458.62523735227</v>
      </c>
      <c r="E2383" s="293">
        <f>ROUND(D2383/$D$2435*$E$2435,0)</f>
        <v>260022</v>
      </c>
      <c r="G2383" s="431"/>
      <c r="H2383" s="433"/>
      <c r="L2383" s="431">
        <f t="shared" ref="L2383:L2384" si="1366">L2279</f>
        <v>0</v>
      </c>
      <c r="M2383" s="433"/>
      <c r="N2383" s="431">
        <f t="shared" ref="N2383:N2384" si="1367">N2279</f>
        <v>0.8</v>
      </c>
      <c r="O2383" s="433"/>
      <c r="P2383" s="431">
        <f t="shared" ref="P2383:P2384" si="1368">P2279</f>
        <v>0</v>
      </c>
      <c r="Q2383" s="433"/>
      <c r="R2383" s="431">
        <f t="shared" ref="R2383:R2384" si="1369">R2279</f>
        <v>0.8</v>
      </c>
      <c r="S2383" s="433"/>
      <c r="T2383" s="294">
        <f t="shared" ref="T2383:T2384" si="1370">ROUND($E2383*L2383,0)</f>
        <v>0</v>
      </c>
      <c r="U2383" s="319"/>
      <c r="V2383" s="294">
        <f t="shared" ref="V2383:Z2384" si="1371">ROUND($E2383*N2383,0)</f>
        <v>208018</v>
      </c>
      <c r="W2383" s="319"/>
      <c r="X2383" s="294">
        <f t="shared" si="1371"/>
        <v>0</v>
      </c>
      <c r="Y2383" s="319"/>
      <c r="Z2383" s="294">
        <f t="shared" si="1371"/>
        <v>208018</v>
      </c>
      <c r="AA2383" s="291">
        <f>AA2339</f>
        <v>0.8153977208412958</v>
      </c>
    </row>
    <row r="2384" spans="2:27">
      <c r="B2384" s="317" t="s">
        <v>1336</v>
      </c>
      <c r="D2384" s="293">
        <f>D2393*AA2384</f>
        <v>113033.82704397722</v>
      </c>
      <c r="E2384" s="293">
        <f>ROUND(D2384/$D$2435*$E$2435,0)</f>
        <v>107874</v>
      </c>
      <c r="G2384" s="431"/>
      <c r="H2384" s="433"/>
      <c r="L2384" s="431">
        <f t="shared" si="1366"/>
        <v>0</v>
      </c>
      <c r="M2384" s="433"/>
      <c r="N2384" s="431">
        <f t="shared" si="1367"/>
        <v>0.71</v>
      </c>
      <c r="O2384" s="433"/>
      <c r="P2384" s="431">
        <f t="shared" si="1368"/>
        <v>0</v>
      </c>
      <c r="Q2384" s="433"/>
      <c r="R2384" s="431">
        <f t="shared" si="1369"/>
        <v>0.71</v>
      </c>
      <c r="S2384" s="433"/>
      <c r="T2384" s="294">
        <f t="shared" si="1370"/>
        <v>0</v>
      </c>
      <c r="U2384" s="319"/>
      <c r="V2384" s="294">
        <f t="shared" si="1371"/>
        <v>76591</v>
      </c>
      <c r="W2384" s="319"/>
      <c r="X2384" s="294">
        <f t="shared" si="1371"/>
        <v>0</v>
      </c>
      <c r="Y2384" s="319"/>
      <c r="Z2384" s="294">
        <f t="shared" si="1371"/>
        <v>76591</v>
      </c>
      <c r="AA2384" s="291">
        <f>AA2340</f>
        <v>1.1372413252842475</v>
      </c>
    </row>
    <row r="2385" spans="2:27">
      <c r="B2385" s="317" t="s">
        <v>1337</v>
      </c>
      <c r="G2385" s="432"/>
      <c r="H2385" s="434"/>
      <c r="L2385" s="432"/>
      <c r="M2385" s="434"/>
      <c r="N2385" s="432"/>
      <c r="O2385" s="434"/>
      <c r="P2385" s="432"/>
      <c r="Q2385" s="434"/>
      <c r="R2385" s="432"/>
      <c r="S2385" s="434"/>
    </row>
    <row r="2386" spans="2:27">
      <c r="B2386" s="317" t="s">
        <v>1335</v>
      </c>
      <c r="D2386" s="293">
        <f>D2395*AA2386</f>
        <v>0</v>
      </c>
      <c r="E2386" s="293">
        <f>ROUND(D2386/$D$2435*$E$2435,0)</f>
        <v>0</v>
      </c>
      <c r="G2386" s="432"/>
      <c r="H2386" s="434"/>
      <c r="L2386" s="432">
        <f t="shared" ref="L2386:L2387" si="1372">L2282</f>
        <v>0</v>
      </c>
      <c r="M2386" s="434"/>
      <c r="N2386" s="432">
        <f t="shared" ref="N2386:N2387" si="1373">N2282</f>
        <v>0.4</v>
      </c>
      <c r="O2386" s="434"/>
      <c r="P2386" s="432">
        <f t="shared" ref="P2386:P2387" si="1374">P2282</f>
        <v>0</v>
      </c>
      <c r="Q2386" s="434"/>
      <c r="R2386" s="432">
        <f t="shared" ref="R2386:R2387" si="1375">R2282</f>
        <v>0.4</v>
      </c>
      <c r="S2386" s="434"/>
      <c r="T2386" s="294">
        <f t="shared" ref="T2386:T2387" si="1376">ROUND($E2386*L2386,0)</f>
        <v>0</v>
      </c>
      <c r="V2386" s="294">
        <f t="shared" ref="V2386:Z2387" si="1377">ROUND($E2386*N2386,0)</f>
        <v>0</v>
      </c>
      <c r="X2386" s="294">
        <f t="shared" si="1377"/>
        <v>0</v>
      </c>
      <c r="Z2386" s="294">
        <f t="shared" si="1377"/>
        <v>0</v>
      </c>
      <c r="AA2386" s="291">
        <f t="shared" ref="AA2386:AA2387" si="1378">AA2342</f>
        <v>0.8153977208412958</v>
      </c>
    </row>
    <row r="2387" spans="2:27">
      <c r="B2387" s="317" t="s">
        <v>1336</v>
      </c>
      <c r="D2387" s="293">
        <f>D2396*AA2387</f>
        <v>0</v>
      </c>
      <c r="E2387" s="293">
        <f>ROUND(D2387/$D$2435*$E$2435,0)</f>
        <v>0</v>
      </c>
      <c r="G2387" s="432"/>
      <c r="H2387" s="434"/>
      <c r="L2387" s="432">
        <f t="shared" si="1372"/>
        <v>0</v>
      </c>
      <c r="M2387" s="434"/>
      <c r="N2387" s="432">
        <f t="shared" si="1373"/>
        <v>0.35</v>
      </c>
      <c r="O2387" s="434"/>
      <c r="P2387" s="432">
        <f t="shared" si="1374"/>
        <v>0</v>
      </c>
      <c r="Q2387" s="434"/>
      <c r="R2387" s="432">
        <f t="shared" si="1375"/>
        <v>0.35</v>
      </c>
      <c r="S2387" s="434"/>
      <c r="T2387" s="294">
        <f t="shared" si="1376"/>
        <v>0</v>
      </c>
      <c r="V2387" s="294">
        <f t="shared" si="1377"/>
        <v>0</v>
      </c>
      <c r="X2387" s="294">
        <f t="shared" si="1377"/>
        <v>0</v>
      </c>
      <c r="Z2387" s="294">
        <f t="shared" si="1377"/>
        <v>0</v>
      </c>
      <c r="AA2387" s="291">
        <f t="shared" si="1378"/>
        <v>1.1372413252842475</v>
      </c>
    </row>
    <row r="2388" spans="2:27">
      <c r="B2388" s="317" t="s">
        <v>1338</v>
      </c>
      <c r="G2388" s="431"/>
      <c r="H2388" s="318"/>
      <c r="L2388" s="431"/>
      <c r="M2388" s="318"/>
      <c r="N2388" s="431"/>
      <c r="O2388" s="318"/>
      <c r="P2388" s="431"/>
      <c r="Q2388" s="318"/>
      <c r="R2388" s="431"/>
      <c r="S2388" s="318"/>
      <c r="U2388" s="319"/>
      <c r="W2388" s="319"/>
      <c r="Y2388" s="319"/>
    </row>
    <row r="2389" spans="2:27">
      <c r="B2389" s="317" t="s">
        <v>1335</v>
      </c>
      <c r="D2389" s="293">
        <f>D2398*AA2389</f>
        <v>7124.9452847112425</v>
      </c>
      <c r="E2389" s="293">
        <f>ROUND(D2389/$D$2435*$E$2435,0)</f>
        <v>6800</v>
      </c>
      <c r="G2389" s="431"/>
      <c r="H2389" s="318"/>
      <c r="L2389" s="431">
        <f t="shared" ref="L2389:L2390" si="1379">L2285</f>
        <v>0</v>
      </c>
      <c r="M2389" s="318"/>
      <c r="N2389" s="431">
        <f t="shared" ref="N2389:N2390" si="1380">N2285</f>
        <v>33.950000000000003</v>
      </c>
      <c r="O2389" s="318"/>
      <c r="P2389" s="431">
        <f t="shared" ref="P2389:P2390" si="1381">P2285</f>
        <v>0</v>
      </c>
      <c r="Q2389" s="318"/>
      <c r="R2389" s="431">
        <f t="shared" ref="R2389:R2390" si="1382">R2285</f>
        <v>33.950000000000003</v>
      </c>
      <c r="S2389" s="318"/>
      <c r="T2389" s="294">
        <f t="shared" ref="T2389:T2390" si="1383">ROUND($E2389*L2389,0)</f>
        <v>0</v>
      </c>
      <c r="U2389" s="319"/>
      <c r="V2389" s="294">
        <f t="shared" ref="V2389:Z2390" si="1384">ROUND($E2389*N2389,0)</f>
        <v>230860</v>
      </c>
      <c r="W2389" s="319"/>
      <c r="X2389" s="294">
        <f t="shared" si="1384"/>
        <v>0</v>
      </c>
      <c r="Y2389" s="319"/>
      <c r="Z2389" s="294">
        <f t="shared" si="1384"/>
        <v>230860</v>
      </c>
      <c r="AA2389" s="291">
        <f t="shared" ref="AA2389:AA2390" si="1385">AA2345</f>
        <v>0.8153977208412958</v>
      </c>
    </row>
    <row r="2390" spans="2:27">
      <c r="B2390" s="317" t="s">
        <v>1336</v>
      </c>
      <c r="D2390" s="293">
        <f>D2399*AA2390</f>
        <v>1119.0454640796995</v>
      </c>
      <c r="E2390" s="293">
        <f>ROUND(D2390/$D$2435*$E$2435,0)</f>
        <v>1068</v>
      </c>
      <c r="G2390" s="431"/>
      <c r="H2390" s="318"/>
      <c r="L2390" s="431">
        <f t="shared" si="1379"/>
        <v>0</v>
      </c>
      <c r="M2390" s="318"/>
      <c r="N2390" s="431">
        <f t="shared" si="1380"/>
        <v>30.04</v>
      </c>
      <c r="O2390" s="318"/>
      <c r="P2390" s="431">
        <f t="shared" si="1381"/>
        <v>0</v>
      </c>
      <c r="Q2390" s="318"/>
      <c r="R2390" s="431">
        <f t="shared" si="1382"/>
        <v>30.04</v>
      </c>
      <c r="S2390" s="318"/>
      <c r="T2390" s="294">
        <f t="shared" si="1383"/>
        <v>0</v>
      </c>
      <c r="U2390" s="319"/>
      <c r="V2390" s="294">
        <f t="shared" si="1384"/>
        <v>32083</v>
      </c>
      <c r="W2390" s="319"/>
      <c r="X2390" s="294">
        <f t="shared" si="1384"/>
        <v>0</v>
      </c>
      <c r="Y2390" s="319"/>
      <c r="Z2390" s="294">
        <f t="shared" si="1384"/>
        <v>32083</v>
      </c>
      <c r="AA2390" s="291">
        <f t="shared" si="1385"/>
        <v>1.1372413252842475</v>
      </c>
    </row>
    <row r="2391" spans="2:27">
      <c r="B2391" s="317" t="s">
        <v>1334</v>
      </c>
      <c r="G2391" s="431"/>
      <c r="H2391" s="433"/>
      <c r="L2391" s="431"/>
      <c r="M2391" s="433"/>
      <c r="N2391" s="431"/>
      <c r="O2391" s="433"/>
      <c r="P2391" s="431"/>
      <c r="Q2391" s="433"/>
      <c r="R2391" s="431"/>
      <c r="S2391" s="433"/>
      <c r="U2391" s="319"/>
      <c r="W2391" s="319"/>
      <c r="Y2391" s="319"/>
    </row>
    <row r="2392" spans="2:27">
      <c r="B2392" s="317" t="s">
        <v>1339</v>
      </c>
      <c r="D2392" s="293">
        <f>'[7]31'!N3</f>
        <v>334142</v>
      </c>
      <c r="E2392" s="293">
        <f>ROUND(D2392/$D$2435*$E$2435,0)</f>
        <v>318889</v>
      </c>
      <c r="G2392" s="431">
        <v>0.76</v>
      </c>
      <c r="H2392" s="433"/>
      <c r="I2392" s="294">
        <f>ROUND($G2392*D2392,0)</f>
        <v>253948</v>
      </c>
      <c r="J2392" s="294">
        <f>ROUND($G2392*E2392,0)</f>
        <v>242356</v>
      </c>
      <c r="L2392" s="431"/>
      <c r="M2392" s="433"/>
      <c r="N2392" s="431"/>
      <c r="O2392" s="433"/>
      <c r="P2392" s="431"/>
      <c r="Q2392" s="433"/>
      <c r="R2392" s="431"/>
      <c r="S2392" s="433"/>
      <c r="U2392" s="319"/>
      <c r="W2392" s="319"/>
      <c r="Y2392" s="319"/>
    </row>
    <row r="2393" spans="2:27">
      <c r="B2393" s="317" t="s">
        <v>1340</v>
      </c>
      <c r="D2393" s="293">
        <f>'[7]31'!O3</f>
        <v>99393</v>
      </c>
      <c r="E2393" s="293">
        <f>ROUND(D2393/$D$2435*$E$2435,0)</f>
        <v>94856</v>
      </c>
      <c r="G2393" s="431">
        <v>0.51</v>
      </c>
      <c r="H2393" s="433"/>
      <c r="I2393" s="294">
        <f>ROUND($G2393*D2393,0)</f>
        <v>50690</v>
      </c>
      <c r="J2393" s="294">
        <f>ROUND($G2393*E2393,0)</f>
        <v>48377</v>
      </c>
      <c r="L2393" s="431"/>
      <c r="M2393" s="433"/>
      <c r="N2393" s="431"/>
      <c r="O2393" s="433"/>
      <c r="P2393" s="431"/>
      <c r="Q2393" s="433"/>
      <c r="R2393" s="431"/>
      <c r="S2393" s="433"/>
      <c r="U2393" s="319"/>
      <c r="W2393" s="319"/>
      <c r="Y2393" s="319"/>
    </row>
    <row r="2394" spans="2:27">
      <c r="B2394" s="317" t="s">
        <v>1337</v>
      </c>
      <c r="G2394" s="432"/>
      <c r="H2394" s="434"/>
      <c r="L2394" s="432"/>
      <c r="M2394" s="434"/>
      <c r="N2394" s="432"/>
      <c r="O2394" s="434"/>
      <c r="P2394" s="432"/>
      <c r="Q2394" s="434"/>
      <c r="R2394" s="432"/>
      <c r="S2394" s="434"/>
    </row>
    <row r="2395" spans="2:27">
      <c r="B2395" s="317" t="s">
        <v>1339</v>
      </c>
      <c r="D2395" s="293">
        <f>'[7]31'!Q3</f>
        <v>0</v>
      </c>
      <c r="E2395" s="293">
        <f>ROUND(D2395/$D$2435*$E$2435,0)</f>
        <v>0</v>
      </c>
      <c r="G2395" s="432">
        <v>0.38</v>
      </c>
      <c r="H2395" s="434"/>
      <c r="I2395" s="294">
        <f>ROUND($G2395*D2395,0)</f>
        <v>0</v>
      </c>
      <c r="J2395" s="294">
        <f>ROUND($G2395*E2395,0)</f>
        <v>0</v>
      </c>
      <c r="L2395" s="432"/>
      <c r="M2395" s="434"/>
      <c r="N2395" s="432"/>
      <c r="O2395" s="434"/>
      <c r="P2395" s="432"/>
      <c r="Q2395" s="434"/>
      <c r="R2395" s="432"/>
      <c r="S2395" s="434"/>
    </row>
    <row r="2396" spans="2:27">
      <c r="B2396" s="317" t="s">
        <v>1340</v>
      </c>
      <c r="D2396" s="293">
        <f>'[7]31'!R3</f>
        <v>0</v>
      </c>
      <c r="E2396" s="293">
        <f>ROUND(D2396/$D$2435*$E$2435,0)</f>
        <v>0</v>
      </c>
      <c r="G2396" s="432">
        <v>0.255</v>
      </c>
      <c r="H2396" s="434"/>
      <c r="I2396" s="294">
        <f>ROUND($G2396*D2396,0)</f>
        <v>0</v>
      </c>
      <c r="J2396" s="294">
        <f>ROUND($G2396*E2396,0)</f>
        <v>0</v>
      </c>
      <c r="L2396" s="432"/>
      <c r="M2396" s="434"/>
      <c r="N2396" s="432"/>
      <c r="O2396" s="434"/>
      <c r="P2396" s="432"/>
      <c r="Q2396" s="434"/>
      <c r="R2396" s="432"/>
      <c r="S2396" s="434"/>
    </row>
    <row r="2397" spans="2:27">
      <c r="B2397" s="317" t="s">
        <v>1338</v>
      </c>
      <c r="G2397" s="431"/>
      <c r="H2397" s="318"/>
      <c r="L2397" s="431"/>
      <c r="M2397" s="318"/>
      <c r="N2397" s="431"/>
      <c r="O2397" s="318"/>
      <c r="P2397" s="431"/>
      <c r="Q2397" s="318"/>
      <c r="R2397" s="431"/>
      <c r="S2397" s="318"/>
      <c r="U2397" s="319"/>
      <c r="W2397" s="319"/>
      <c r="Y2397" s="319"/>
    </row>
    <row r="2398" spans="2:27">
      <c r="B2398" s="317" t="s">
        <v>1339</v>
      </c>
      <c r="D2398" s="293">
        <f>'[7]31'!T3</f>
        <v>8738</v>
      </c>
      <c r="E2398" s="293">
        <f>ROUND(D2398/$D$2435*$E$2435,0)</f>
        <v>8339</v>
      </c>
      <c r="G2398" s="431">
        <v>32.35</v>
      </c>
      <c r="H2398" s="318"/>
      <c r="I2398" s="294">
        <f>ROUND($G2398*D2398,0)</f>
        <v>282674</v>
      </c>
      <c r="J2398" s="294">
        <f>ROUND($G2398*E2398,0)</f>
        <v>269767</v>
      </c>
      <c r="L2398" s="431"/>
      <c r="M2398" s="318"/>
      <c r="N2398" s="431"/>
      <c r="O2398" s="318"/>
      <c r="P2398" s="431"/>
      <c r="Q2398" s="318"/>
      <c r="R2398" s="431"/>
      <c r="S2398" s="318"/>
      <c r="U2398" s="319"/>
      <c r="W2398" s="319"/>
      <c r="Y2398" s="319"/>
    </row>
    <row r="2399" spans="2:27">
      <c r="B2399" s="317" t="s">
        <v>1340</v>
      </c>
      <c r="D2399" s="293">
        <f>'[7]31'!U3</f>
        <v>984</v>
      </c>
      <c r="E2399" s="293">
        <f>ROUND(D2399/$D$2435*$E$2435,0)</f>
        <v>939</v>
      </c>
      <c r="G2399" s="431">
        <v>23.36</v>
      </c>
      <c r="H2399" s="318"/>
      <c r="I2399" s="294">
        <f>ROUND($G2399*D2399,0)</f>
        <v>22986</v>
      </c>
      <c r="J2399" s="294">
        <f>ROUND($G2399*E2399,0)</f>
        <v>21935</v>
      </c>
      <c r="L2399" s="431"/>
      <c r="M2399" s="318"/>
      <c r="N2399" s="431"/>
      <c r="O2399" s="318"/>
      <c r="P2399" s="431"/>
      <c r="Q2399" s="318"/>
      <c r="R2399" s="431"/>
      <c r="S2399" s="318"/>
      <c r="U2399" s="319"/>
      <c r="W2399" s="319"/>
      <c r="Y2399" s="319"/>
    </row>
    <row r="2400" spans="2:27">
      <c r="B2400" s="317" t="s">
        <v>1300</v>
      </c>
      <c r="D2400" s="412"/>
      <c r="E2400" s="412"/>
      <c r="G2400" s="377"/>
      <c r="H2400" s="377"/>
      <c r="I2400" s="358">
        <f>SUM(I2335:I2399)</f>
        <v>1104480</v>
      </c>
      <c r="J2400" s="358">
        <f>SUM(J2335:J2399)</f>
        <v>1056038</v>
      </c>
      <c r="L2400" s="377"/>
      <c r="M2400" s="377"/>
      <c r="N2400" s="377"/>
      <c r="O2400" s="377"/>
      <c r="P2400" s="377"/>
      <c r="Q2400" s="377"/>
      <c r="R2400" s="377"/>
      <c r="S2400" s="377"/>
      <c r="T2400" s="358">
        <f>SUM(T2335:T2399)</f>
        <v>197000</v>
      </c>
      <c r="V2400" s="358">
        <f>SUM(V2335:V2399)</f>
        <v>849175</v>
      </c>
      <c r="X2400" s="358">
        <f>SUM(X2335:X2399)</f>
        <v>0</v>
      </c>
      <c r="Z2400" s="358">
        <f>SUM(Z2335:Z2399)</f>
        <v>1046175</v>
      </c>
    </row>
    <row r="2401" spans="2:27">
      <c r="B2401" s="428" t="s">
        <v>1343</v>
      </c>
    </row>
    <row r="2402" spans="2:27">
      <c r="B2402" s="314" t="s">
        <v>1030</v>
      </c>
      <c r="G2402" s="339"/>
      <c r="H2402" s="339"/>
      <c r="L2402" s="339"/>
      <c r="M2402" s="339"/>
      <c r="N2402" s="339"/>
      <c r="O2402" s="339"/>
      <c r="P2402" s="339"/>
      <c r="Q2402" s="339"/>
      <c r="R2402" s="339"/>
      <c r="S2402" s="339"/>
    </row>
    <row r="2403" spans="2:27">
      <c r="B2403" s="317" t="s">
        <v>1101</v>
      </c>
      <c r="D2403" s="293">
        <f>'[7]31'!K2</f>
        <v>29129</v>
      </c>
      <c r="E2403" s="293">
        <f>ROUND(D2403/$D$2435*$E$2435,0)</f>
        <v>27799</v>
      </c>
      <c r="G2403" s="339">
        <v>4.76</v>
      </c>
      <c r="H2403" s="339"/>
      <c r="I2403" s="294">
        <f t="shared" ref="I2403:J2412" si="1386">ROUND($G2403*D2403,0)</f>
        <v>138654</v>
      </c>
      <c r="J2403" s="294">
        <f t="shared" si="1386"/>
        <v>132323</v>
      </c>
      <c r="L2403" s="339">
        <f t="shared" ref="L2403:L2409" si="1387">L2299</f>
        <v>4.95</v>
      </c>
      <c r="M2403" s="339"/>
      <c r="N2403" s="339">
        <f t="shared" ref="N2403:N2409" si="1388">N2299</f>
        <v>0</v>
      </c>
      <c r="O2403" s="339"/>
      <c r="P2403" s="339">
        <f t="shared" ref="P2403:P2409" si="1389">P2299</f>
        <v>0</v>
      </c>
      <c r="Q2403" s="339"/>
      <c r="R2403" s="339">
        <f t="shared" ref="R2403:R2409" si="1390">R2299</f>
        <v>4.95</v>
      </c>
      <c r="S2403" s="339"/>
      <c r="T2403" s="294">
        <f t="shared" ref="T2403:Z2405" si="1391">ROUND($E2403*L2403,0)</f>
        <v>137605</v>
      </c>
      <c r="V2403" s="294">
        <f t="shared" si="1391"/>
        <v>0</v>
      </c>
      <c r="X2403" s="294">
        <f t="shared" si="1391"/>
        <v>0</v>
      </c>
      <c r="Z2403" s="294">
        <f t="shared" si="1391"/>
        <v>137605</v>
      </c>
      <c r="AA2403" s="291" t="s">
        <v>1173</v>
      </c>
    </row>
    <row r="2404" spans="2:27">
      <c r="B2404" s="317" t="s">
        <v>1164</v>
      </c>
      <c r="D2404" s="293">
        <f>D2410*AA2404</f>
        <v>2848.2934699561615</v>
      </c>
      <c r="E2404" s="293">
        <f>ROUND(D2404/$D$2435*$E$2435,0)</f>
        <v>2718</v>
      </c>
      <c r="G2404" s="339"/>
      <c r="H2404" s="339"/>
      <c r="L2404" s="339">
        <f t="shared" si="1387"/>
        <v>0.2</v>
      </c>
      <c r="M2404" s="339"/>
      <c r="N2404" s="339">
        <f t="shared" si="1388"/>
        <v>15.970000000000002</v>
      </c>
      <c r="O2404" s="339"/>
      <c r="P2404" s="339">
        <f t="shared" si="1389"/>
        <v>0</v>
      </c>
      <c r="Q2404" s="339"/>
      <c r="R2404" s="339">
        <f t="shared" si="1390"/>
        <v>16.170000000000002</v>
      </c>
      <c r="S2404" s="339"/>
      <c r="T2404" s="294">
        <f t="shared" si="1391"/>
        <v>544</v>
      </c>
      <c r="V2404" s="294">
        <f t="shared" si="1391"/>
        <v>43406</v>
      </c>
      <c r="X2404" s="294">
        <f t="shared" si="1391"/>
        <v>0</v>
      </c>
      <c r="Z2404" s="294">
        <f t="shared" si="1391"/>
        <v>43950</v>
      </c>
      <c r="AA2404" s="291">
        <f>AA1401</f>
        <v>0.81379813427318903</v>
      </c>
    </row>
    <row r="2405" spans="2:27">
      <c r="B2405" s="317" t="s">
        <v>1165</v>
      </c>
      <c r="D2405" s="293">
        <f>D2411*AA2405</f>
        <v>28566.656378925665</v>
      </c>
      <c r="E2405" s="293">
        <f>ROUND(D2405/$D$2435*$E$2435,0)</f>
        <v>27263</v>
      </c>
      <c r="G2405" s="339"/>
      <c r="H2405" s="339"/>
      <c r="L2405" s="339">
        <f t="shared" si="1387"/>
        <v>0.18</v>
      </c>
      <c r="M2405" s="339"/>
      <c r="N2405" s="339">
        <f t="shared" si="1388"/>
        <v>14.13</v>
      </c>
      <c r="O2405" s="339"/>
      <c r="P2405" s="339">
        <f t="shared" si="1389"/>
        <v>0</v>
      </c>
      <c r="Q2405" s="339"/>
      <c r="R2405" s="339">
        <f t="shared" si="1390"/>
        <v>14.31</v>
      </c>
      <c r="S2405" s="339"/>
      <c r="T2405" s="294">
        <f t="shared" si="1391"/>
        <v>4907</v>
      </c>
      <c r="V2405" s="294">
        <f t="shared" si="1391"/>
        <v>385226</v>
      </c>
      <c r="X2405" s="294">
        <f t="shared" si="1391"/>
        <v>0</v>
      </c>
      <c r="Z2405" s="294">
        <f t="shared" si="1391"/>
        <v>390134</v>
      </c>
      <c r="AA2405" s="291">
        <f>AA1402</f>
        <v>1.1185941099117263</v>
      </c>
    </row>
    <row r="2406" spans="2:27">
      <c r="B2406" s="317" t="s">
        <v>1061</v>
      </c>
      <c r="D2406" s="293">
        <f>D2413*AA2406</f>
        <v>1157942.5064468307</v>
      </c>
      <c r="E2406" s="293">
        <f>ROUND(D2406/($D$2435-$D$2434)*$E$2435,0)</f>
        <v>1110949</v>
      </c>
      <c r="G2406" s="377"/>
      <c r="H2406" s="343"/>
      <c r="L2406" s="377">
        <f t="shared" si="1387"/>
        <v>0</v>
      </c>
      <c r="M2406" s="343" t="s">
        <v>1062</v>
      </c>
      <c r="N2406" s="377">
        <f t="shared" si="1388"/>
        <v>1.4694</v>
      </c>
      <c r="O2406" s="343" t="s">
        <v>1062</v>
      </c>
      <c r="P2406" s="377">
        <f t="shared" si="1389"/>
        <v>3.80394495015</v>
      </c>
      <c r="Q2406" s="343" t="s">
        <v>1062</v>
      </c>
      <c r="R2406" s="377">
        <f t="shared" si="1390"/>
        <v>5.2733449501500003</v>
      </c>
      <c r="S2406" s="343" t="s">
        <v>1062</v>
      </c>
      <c r="T2406" s="294">
        <f>ROUND($E2406*L2406/100,0)</f>
        <v>0</v>
      </c>
      <c r="U2406" s="346"/>
      <c r="V2406" s="294">
        <f>ROUND($E2406*N2406/100,0)</f>
        <v>16324</v>
      </c>
      <c r="W2406" s="346"/>
      <c r="X2406" s="294">
        <f>ROUND($E2406*P2406/100,0)</f>
        <v>42260</v>
      </c>
      <c r="Y2406" s="346"/>
      <c r="Z2406" s="294">
        <f>ROUND($E2406*R2406/100,0)</f>
        <v>58584</v>
      </c>
      <c r="AA2406" s="291">
        <f>AA1403</f>
        <v>0.97865323398143234</v>
      </c>
    </row>
    <row r="2407" spans="2:27">
      <c r="B2407" s="317" t="s">
        <v>1166</v>
      </c>
      <c r="D2407" s="293">
        <f>D2414*AA2407</f>
        <v>3784814.3972936305</v>
      </c>
      <c r="E2407" s="293">
        <f t="shared" ref="E2407:E2408" si="1392">ROUND(D2407/($D$2435-$D$2434)*$E$2435,0)</f>
        <v>3631213</v>
      </c>
      <c r="G2407" s="377"/>
      <c r="H2407" s="343"/>
      <c r="L2407" s="377">
        <f t="shared" si="1387"/>
        <v>0</v>
      </c>
      <c r="M2407" s="343" t="s">
        <v>1062</v>
      </c>
      <c r="N2407" s="377">
        <f t="shared" si="1388"/>
        <v>1.4694</v>
      </c>
      <c r="O2407" s="343" t="s">
        <v>1062</v>
      </c>
      <c r="P2407" s="377">
        <f t="shared" si="1389"/>
        <v>3.1972769470349993</v>
      </c>
      <c r="Q2407" s="343" t="s">
        <v>1062</v>
      </c>
      <c r="R2407" s="377">
        <f t="shared" si="1390"/>
        <v>4.6666769470349996</v>
      </c>
      <c r="S2407" s="343" t="s">
        <v>1062</v>
      </c>
      <c r="T2407" s="294">
        <f t="shared" ref="T2407:Z2409" si="1393">ROUND($E2407*L2407/100,0)</f>
        <v>0</v>
      </c>
      <c r="U2407" s="346"/>
      <c r="V2407" s="294">
        <f t="shared" si="1393"/>
        <v>53357</v>
      </c>
      <c r="W2407" s="346"/>
      <c r="X2407" s="294">
        <f t="shared" si="1393"/>
        <v>116100</v>
      </c>
      <c r="Y2407" s="346"/>
      <c r="Z2407" s="294">
        <f t="shared" si="1393"/>
        <v>169457</v>
      </c>
      <c r="AA2407" s="291">
        <f>AA1404</f>
        <v>0.69995827735124105</v>
      </c>
    </row>
    <row r="2408" spans="2:27">
      <c r="B2408" s="317" t="s">
        <v>1064</v>
      </c>
      <c r="D2408" s="293">
        <f>SUM(D2413:D2415)*AA2408</f>
        <v>3873297.4879793413</v>
      </c>
      <c r="E2408" s="293">
        <f t="shared" si="1392"/>
        <v>3716105</v>
      </c>
      <c r="G2408" s="377"/>
      <c r="H2408" s="343"/>
      <c r="L2408" s="377">
        <f t="shared" si="1387"/>
        <v>0</v>
      </c>
      <c r="M2408" s="343" t="s">
        <v>1062</v>
      </c>
      <c r="N2408" s="377">
        <f t="shared" si="1388"/>
        <v>1.4694</v>
      </c>
      <c r="O2408" s="343" t="s">
        <v>1062</v>
      </c>
      <c r="P2408" s="377">
        <f t="shared" si="1389"/>
        <v>1.5074530237289998</v>
      </c>
      <c r="Q2408" s="343" t="s">
        <v>1062</v>
      </c>
      <c r="R2408" s="377">
        <f t="shared" si="1390"/>
        <v>2.9768530237289998</v>
      </c>
      <c r="S2408" s="343" t="s">
        <v>1062</v>
      </c>
      <c r="T2408" s="294">
        <f t="shared" si="1393"/>
        <v>0</v>
      </c>
      <c r="U2408" s="346"/>
      <c r="V2408" s="294">
        <f t="shared" si="1393"/>
        <v>54604</v>
      </c>
      <c r="W2408" s="346"/>
      <c r="X2408" s="294">
        <f t="shared" si="1393"/>
        <v>56019</v>
      </c>
      <c r="Y2408" s="346"/>
      <c r="Z2408" s="294">
        <f t="shared" si="1393"/>
        <v>110623</v>
      </c>
      <c r="AA2408" s="291">
        <f>AA1405</f>
        <v>0.24756464999612296</v>
      </c>
    </row>
    <row r="2409" spans="2:27">
      <c r="B2409" s="317" t="s">
        <v>1167</v>
      </c>
      <c r="D2409" s="293">
        <f>SUM(D2413:D2415)-SUM(D2406:D2408)</f>
        <v>6829545.6082801968</v>
      </c>
      <c r="E2409" s="293">
        <f>ROUND(D2409/($D$2435-$D$2434)*$E$2435,0)</f>
        <v>6552377</v>
      </c>
      <c r="G2409" s="377"/>
      <c r="H2409" s="343"/>
      <c r="L2409" s="377">
        <f t="shared" si="1387"/>
        <v>0</v>
      </c>
      <c r="M2409" s="343" t="s">
        <v>1062</v>
      </c>
      <c r="N2409" s="377">
        <f t="shared" si="1388"/>
        <v>1.4694</v>
      </c>
      <c r="O2409" s="343" t="s">
        <v>1062</v>
      </c>
      <c r="P2409" s="377">
        <f t="shared" si="1389"/>
        <v>1.1649832068399999</v>
      </c>
      <c r="Q2409" s="343" t="s">
        <v>1062</v>
      </c>
      <c r="R2409" s="377">
        <f t="shared" si="1390"/>
        <v>2.6343832068399999</v>
      </c>
      <c r="S2409" s="343" t="s">
        <v>1062</v>
      </c>
      <c r="T2409" s="294">
        <f t="shared" si="1393"/>
        <v>0</v>
      </c>
      <c r="U2409" s="346"/>
      <c r="V2409" s="294">
        <f t="shared" si="1393"/>
        <v>96281</v>
      </c>
      <c r="W2409" s="346"/>
      <c r="X2409" s="294">
        <f t="shared" si="1393"/>
        <v>76334</v>
      </c>
      <c r="Y2409" s="346"/>
      <c r="Z2409" s="294">
        <f t="shared" si="1393"/>
        <v>172615</v>
      </c>
    </row>
    <row r="2410" spans="2:27">
      <c r="B2410" s="317" t="s">
        <v>1169</v>
      </c>
      <c r="D2410" s="293">
        <f>'[7]31'!W2</f>
        <v>3500</v>
      </c>
      <c r="E2410" s="293">
        <f>ROUND(D2410/$D$2435*$E$2435,0)</f>
        <v>3340</v>
      </c>
      <c r="G2410" s="339">
        <v>15.56</v>
      </c>
      <c r="H2410" s="339"/>
      <c r="I2410" s="294">
        <f t="shared" si="1386"/>
        <v>54460</v>
      </c>
      <c r="J2410" s="294">
        <f t="shared" si="1386"/>
        <v>51970</v>
      </c>
      <c r="L2410" s="339"/>
      <c r="M2410" s="339"/>
      <c r="N2410" s="339"/>
      <c r="O2410" s="339"/>
      <c r="P2410" s="339"/>
      <c r="Q2410" s="339"/>
      <c r="R2410" s="339"/>
      <c r="S2410" s="339"/>
    </row>
    <row r="2411" spans="2:27">
      <c r="B2411" s="317" t="s">
        <v>1171</v>
      </c>
      <c r="D2411" s="293">
        <f>'[7]31'!X2</f>
        <v>25538</v>
      </c>
      <c r="E2411" s="293">
        <f>ROUND(D2411/$D$2435*$E$2435,0)</f>
        <v>24372</v>
      </c>
      <c r="G2411" s="339">
        <v>11.19</v>
      </c>
      <c r="H2411" s="339"/>
      <c r="I2411" s="294">
        <f t="shared" si="1386"/>
        <v>285770</v>
      </c>
      <c r="J2411" s="294">
        <f t="shared" si="1386"/>
        <v>272723</v>
      </c>
      <c r="L2411" s="339"/>
      <c r="M2411" s="339"/>
      <c r="N2411" s="339"/>
      <c r="O2411" s="339"/>
      <c r="P2411" s="339"/>
      <c r="Q2411" s="339"/>
      <c r="R2411" s="339"/>
      <c r="S2411" s="339"/>
    </row>
    <row r="2412" spans="2:27">
      <c r="B2412" s="317" t="s">
        <v>1098</v>
      </c>
      <c r="D2412" s="293">
        <f>'[7]31'!Y2</f>
        <v>29038</v>
      </c>
      <c r="E2412" s="293">
        <f>ROUND(D2412/$D$2435*$E$2435,0)</f>
        <v>27713</v>
      </c>
      <c r="G2412" s="339">
        <v>-1.1299999999999999</v>
      </c>
      <c r="H2412" s="339"/>
      <c r="I2412" s="294">
        <f t="shared" si="1386"/>
        <v>-32813</v>
      </c>
      <c r="J2412" s="294">
        <f t="shared" si="1386"/>
        <v>-31316</v>
      </c>
      <c r="L2412" s="339">
        <f>L2308</f>
        <v>-1.1299999999999999</v>
      </c>
      <c r="M2412" s="339"/>
      <c r="N2412" s="339">
        <f>N2308</f>
        <v>0</v>
      </c>
      <c r="O2412" s="339"/>
      <c r="P2412" s="339">
        <f>P2308</f>
        <v>0</v>
      </c>
      <c r="Q2412" s="339"/>
      <c r="R2412" s="339">
        <f>R2308</f>
        <v>-1.1299999999999999</v>
      </c>
      <c r="S2412" s="339"/>
      <c r="T2412" s="294">
        <f t="shared" ref="T2412:Z2412" si="1394">ROUND($E2412*L2412,0)</f>
        <v>-31316</v>
      </c>
      <c r="V2412" s="294">
        <f t="shared" si="1394"/>
        <v>0</v>
      </c>
      <c r="X2412" s="294">
        <f t="shared" si="1394"/>
        <v>0</v>
      </c>
      <c r="Z2412" s="294">
        <f t="shared" si="1394"/>
        <v>-31316</v>
      </c>
    </row>
    <row r="2413" spans="2:27">
      <c r="B2413" s="317" t="s">
        <v>1070</v>
      </c>
      <c r="D2413" s="293">
        <f>'[7]31'!AA2</f>
        <v>1183200</v>
      </c>
      <c r="E2413" s="293">
        <f>E2435-SUM(E2414:E2415,E2428:E2430)</f>
        <v>1135181.6666666567</v>
      </c>
      <c r="G2413" s="377">
        <v>5.0473999999999997</v>
      </c>
      <c r="H2413" s="343" t="s">
        <v>1062</v>
      </c>
      <c r="I2413" s="294">
        <f t="shared" ref="I2413:J2415" si="1395">ROUND($G2413*D2413/100,0)</f>
        <v>59721</v>
      </c>
      <c r="J2413" s="294">
        <f t="shared" si="1395"/>
        <v>57297</v>
      </c>
      <c r="L2413" s="377"/>
      <c r="M2413" s="343"/>
      <c r="N2413" s="377"/>
      <c r="O2413" s="343"/>
      <c r="P2413" s="377"/>
      <c r="Q2413" s="343"/>
      <c r="R2413" s="377"/>
      <c r="S2413" s="343"/>
      <c r="U2413" s="346"/>
      <c r="W2413" s="346"/>
      <c r="Y2413" s="346"/>
    </row>
    <row r="2414" spans="2:27">
      <c r="B2414" s="317" t="s">
        <v>1126</v>
      </c>
      <c r="D2414" s="293">
        <f>'[7]31'!AB2</f>
        <v>5407200</v>
      </c>
      <c r="E2414" s="293">
        <f>ROUND(D2414/($D$2435-$D$2434)*$E$2435,0)</f>
        <v>5187756</v>
      </c>
      <c r="G2414" s="377">
        <v>3.9510999999999998</v>
      </c>
      <c r="H2414" s="343" t="s">
        <v>1062</v>
      </c>
      <c r="I2414" s="294">
        <f t="shared" si="1395"/>
        <v>213644</v>
      </c>
      <c r="J2414" s="294">
        <f t="shared" si="1395"/>
        <v>204973</v>
      </c>
      <c r="L2414" s="377"/>
      <c r="M2414" s="343"/>
      <c r="N2414" s="377"/>
      <c r="O2414" s="343"/>
      <c r="P2414" s="377"/>
      <c r="Q2414" s="343"/>
      <c r="R2414" s="377"/>
      <c r="S2414" s="343"/>
      <c r="U2414" s="346"/>
      <c r="W2414" s="346"/>
      <c r="Y2414" s="346"/>
    </row>
    <row r="2415" spans="2:27">
      <c r="B2415" s="317" t="s">
        <v>1086</v>
      </c>
      <c r="D2415" s="424">
        <f>'[7]31'!AC2</f>
        <v>9055200</v>
      </c>
      <c r="E2415" s="424">
        <f>ROUND(D2415/($D$2435-$D$2434)*$E$2435,0)</f>
        <v>8687706</v>
      </c>
      <c r="G2415" s="439">
        <v>3.4001999999999999</v>
      </c>
      <c r="H2415" s="343" t="s">
        <v>1062</v>
      </c>
      <c r="I2415" s="438">
        <f t="shared" si="1395"/>
        <v>307895</v>
      </c>
      <c r="J2415" s="438">
        <f t="shared" si="1395"/>
        <v>295399</v>
      </c>
      <c r="L2415" s="439"/>
      <c r="M2415" s="343"/>
      <c r="N2415" s="439"/>
      <c r="O2415" s="343"/>
      <c r="P2415" s="439"/>
      <c r="Q2415" s="343"/>
      <c r="R2415" s="439"/>
      <c r="S2415" s="343"/>
      <c r="T2415" s="438"/>
      <c r="U2415" s="346"/>
      <c r="V2415" s="438"/>
      <c r="W2415" s="346"/>
      <c r="X2415" s="438"/>
      <c r="Y2415" s="346"/>
      <c r="Z2415" s="438"/>
    </row>
    <row r="2416" spans="2:27">
      <c r="B2416" s="317" t="s">
        <v>1079</v>
      </c>
      <c r="G2416" s="338">
        <v>-3.1800000000000002E-2</v>
      </c>
      <c r="H2416" s="339"/>
      <c r="I2416" s="294">
        <f>SUM(I2410:I2411,I2413:I2415)*$G2416</f>
        <v>-29303.382000000001</v>
      </c>
      <c r="J2416" s="294">
        <f>SUM(J2410:J2411,J2413:J2415)*$G2416</f>
        <v>-28059.1116</v>
      </c>
      <c r="L2416" s="338"/>
      <c r="M2416" s="339"/>
      <c r="N2416" s="338"/>
      <c r="O2416" s="339"/>
      <c r="P2416" s="359" t="str">
        <f>$P$43</f>
        <v>Tax Year 1</v>
      </c>
      <c r="Q2416" s="339"/>
      <c r="R2416" s="338">
        <f t="shared" ref="R2416:R2417" si="1396">R2312</f>
        <v>-2.3300000000000001E-2</v>
      </c>
      <c r="S2416" s="339"/>
      <c r="Z2416" s="294">
        <f>R2416*SUM(Z2404:Z2409)</f>
        <v>-22026.957900000001</v>
      </c>
    </row>
    <row r="2417" spans="2:27">
      <c r="B2417" s="317"/>
      <c r="G2417" s="338"/>
      <c r="H2417" s="339"/>
      <c r="L2417" s="338"/>
      <c r="M2417" s="339"/>
      <c r="N2417" s="338"/>
      <c r="O2417" s="339"/>
      <c r="P2417" s="359" t="str">
        <f>$P$44</f>
        <v>Tax Year 2</v>
      </c>
      <c r="Q2417" s="339"/>
      <c r="R2417" s="338">
        <f t="shared" si="1396"/>
        <v>-1.1599999999999999E-2</v>
      </c>
      <c r="S2417" s="339"/>
      <c r="Z2417" s="294">
        <f>R2417*SUM(Z2404:Z2409)</f>
        <v>-10966.210799999999</v>
      </c>
    </row>
    <row r="2418" spans="2:27">
      <c r="B2418" s="314" t="s">
        <v>1031</v>
      </c>
      <c r="G2418" s="339"/>
      <c r="H2418" s="339"/>
      <c r="L2418" s="339"/>
      <c r="M2418" s="339"/>
      <c r="N2418" s="339"/>
      <c r="O2418" s="339"/>
      <c r="P2418" s="339"/>
      <c r="Q2418" s="339"/>
      <c r="R2418" s="339"/>
      <c r="S2418" s="339"/>
    </row>
    <row r="2419" spans="2:27">
      <c r="B2419" s="317" t="s">
        <v>1101</v>
      </c>
      <c r="D2419" s="293">
        <f>'[7]31'!K3</f>
        <v>180394</v>
      </c>
      <c r="E2419" s="293">
        <f>ROUND(D2419/$D$2435*$E$2435,0)</f>
        <v>172160</v>
      </c>
      <c r="G2419" s="339">
        <v>2.2200000000000002</v>
      </c>
      <c r="H2419" s="339"/>
      <c r="I2419" s="294">
        <f t="shared" ref="I2419:J2427" si="1397">ROUND($G2419*D2419,0)</f>
        <v>400475</v>
      </c>
      <c r="J2419" s="294">
        <f t="shared" si="1397"/>
        <v>382195</v>
      </c>
      <c r="L2419" s="339">
        <f t="shared" ref="L2419:L2425" si="1398">L2315</f>
        <v>0</v>
      </c>
      <c r="M2419" s="339"/>
      <c r="N2419" s="339">
        <f t="shared" ref="N2419:N2425" si="1399">N2315</f>
        <v>2.33</v>
      </c>
      <c r="O2419" s="339"/>
      <c r="P2419" s="339">
        <f t="shared" ref="P2419:P2425" si="1400">P2315</f>
        <v>0</v>
      </c>
      <c r="Q2419" s="339"/>
      <c r="R2419" s="339">
        <f t="shared" ref="R2419:R2425" si="1401">R2315</f>
        <v>2.33</v>
      </c>
      <c r="S2419" s="339"/>
      <c r="T2419" s="294">
        <f t="shared" ref="T2419:Z2421" si="1402">ROUND($E2419*L2419,0)</f>
        <v>0</v>
      </c>
      <c r="V2419" s="294">
        <f t="shared" si="1402"/>
        <v>401133</v>
      </c>
      <c r="X2419" s="294">
        <f t="shared" si="1402"/>
        <v>0</v>
      </c>
      <c r="Z2419" s="294">
        <f t="shared" si="1402"/>
        <v>401133</v>
      </c>
      <c r="AA2419" s="291" t="s">
        <v>1173</v>
      </c>
    </row>
    <row r="2420" spans="2:27">
      <c r="B2420" s="317" t="s">
        <v>1164</v>
      </c>
      <c r="D2420" s="293">
        <f>D2426*AA2420</f>
        <v>68305.86707487535</v>
      </c>
      <c r="E2420" s="293">
        <f>ROUND(D2420/$D$2435*$E$2435,0)</f>
        <v>65188</v>
      </c>
      <c r="G2420" s="339"/>
      <c r="H2420" s="339"/>
      <c r="L2420" s="339">
        <f t="shared" si="1398"/>
        <v>0</v>
      </c>
      <c r="M2420" s="339"/>
      <c r="N2420" s="339">
        <f t="shared" si="1399"/>
        <v>14.65</v>
      </c>
      <c r="O2420" s="339"/>
      <c r="P2420" s="339">
        <f t="shared" si="1400"/>
        <v>0</v>
      </c>
      <c r="Q2420" s="339"/>
      <c r="R2420" s="339">
        <f t="shared" si="1401"/>
        <v>14.65</v>
      </c>
      <c r="S2420" s="339"/>
      <c r="T2420" s="294">
        <f t="shared" si="1402"/>
        <v>0</v>
      </c>
      <c r="V2420" s="294">
        <f t="shared" si="1402"/>
        <v>955004</v>
      </c>
      <c r="X2420" s="294">
        <f t="shared" si="1402"/>
        <v>0</v>
      </c>
      <c r="Z2420" s="294">
        <f t="shared" si="1402"/>
        <v>955004</v>
      </c>
      <c r="AA2420" s="291">
        <f>AA1502</f>
        <v>0.8153977208412958</v>
      </c>
    </row>
    <row r="2421" spans="2:27">
      <c r="B2421" s="317" t="s">
        <v>1165</v>
      </c>
      <c r="D2421" s="293">
        <f>D2427*AA2421</f>
        <v>106376.41632576323</v>
      </c>
      <c r="E2421" s="293">
        <f>ROUND(D2421/$D$2435*$E$2435,0)</f>
        <v>101521</v>
      </c>
      <c r="G2421" s="339"/>
      <c r="H2421" s="339"/>
      <c r="L2421" s="339">
        <f t="shared" si="1398"/>
        <v>0</v>
      </c>
      <c r="M2421" s="339"/>
      <c r="N2421" s="339">
        <f t="shared" si="1399"/>
        <v>12.96</v>
      </c>
      <c r="O2421" s="339"/>
      <c r="P2421" s="339">
        <f t="shared" si="1400"/>
        <v>0</v>
      </c>
      <c r="Q2421" s="339"/>
      <c r="R2421" s="339">
        <f t="shared" si="1401"/>
        <v>12.96</v>
      </c>
      <c r="S2421" s="339"/>
      <c r="T2421" s="294">
        <f t="shared" si="1402"/>
        <v>0</v>
      </c>
      <c r="V2421" s="294">
        <f t="shared" si="1402"/>
        <v>1315712</v>
      </c>
      <c r="X2421" s="294">
        <f t="shared" si="1402"/>
        <v>0</v>
      </c>
      <c r="Z2421" s="294">
        <f t="shared" si="1402"/>
        <v>1315712</v>
      </c>
      <c r="AA2421" s="291">
        <f>AA1503</f>
        <v>1.1372413252842475</v>
      </c>
    </row>
    <row r="2422" spans="2:27">
      <c r="B2422" s="317" t="s">
        <v>1061</v>
      </c>
      <c r="D2422" s="293">
        <f>D2428*AA2422</f>
        <v>11912709.68030584</v>
      </c>
      <c r="E2422" s="293">
        <f>ROUND(D2422/($D$2435-$D$2434)*$E$2435,0)</f>
        <v>11429248</v>
      </c>
      <c r="G2422" s="376"/>
      <c r="H2422" s="343"/>
      <c r="L2422" s="376">
        <f t="shared" si="1398"/>
        <v>0</v>
      </c>
      <c r="M2422" s="343" t="s">
        <v>1062</v>
      </c>
      <c r="N2422" s="376">
        <f t="shared" si="1399"/>
        <v>1.1506000000000001</v>
      </c>
      <c r="O2422" s="343" t="s">
        <v>1062</v>
      </c>
      <c r="P2422" s="376">
        <f t="shared" si="1400"/>
        <v>3.8523835124000003</v>
      </c>
      <c r="Q2422" s="343" t="s">
        <v>1062</v>
      </c>
      <c r="R2422" s="376">
        <f t="shared" si="1401"/>
        <v>5.0029835124000002</v>
      </c>
      <c r="S2422" s="343" t="s">
        <v>1062</v>
      </c>
      <c r="T2422" s="294">
        <f>ROUND($E2422*L2422/100,0)</f>
        <v>0</v>
      </c>
      <c r="U2422" s="346"/>
      <c r="V2422" s="294">
        <f>ROUND($E2422*N2422/100,0)</f>
        <v>131505</v>
      </c>
      <c r="W2422" s="346"/>
      <c r="X2422" s="294">
        <f>ROUND($E2422*P2422/100,0)</f>
        <v>440298</v>
      </c>
      <c r="Y2422" s="346"/>
      <c r="Z2422" s="294">
        <f>ROUND($E2422*R2422/100,0)</f>
        <v>571803</v>
      </c>
      <c r="AA2422" s="291">
        <f>AA1504</f>
        <v>0.78917940501629313</v>
      </c>
    </row>
    <row r="2423" spans="2:27">
      <c r="B2423" s="317" t="s">
        <v>1166</v>
      </c>
      <c r="D2423" s="293">
        <f>D2429*AA2423</f>
        <v>15992667.459463909</v>
      </c>
      <c r="E2423" s="293">
        <f t="shared" ref="E2423:E2424" si="1403">ROUND(D2423/($D$2435-$D$2434)*$E$2435,0)</f>
        <v>15343625</v>
      </c>
      <c r="G2423" s="376"/>
      <c r="H2423" s="343"/>
      <c r="L2423" s="376">
        <f t="shared" si="1398"/>
        <v>0</v>
      </c>
      <c r="M2423" s="343" t="s">
        <v>1062</v>
      </c>
      <c r="N2423" s="376">
        <f t="shared" si="1399"/>
        <v>1.1506000000000001</v>
      </c>
      <c r="O2423" s="343" t="s">
        <v>1062</v>
      </c>
      <c r="P2423" s="376">
        <f t="shared" si="1400"/>
        <v>3.2768190375220003</v>
      </c>
      <c r="Q2423" s="343" t="s">
        <v>1062</v>
      </c>
      <c r="R2423" s="376">
        <f t="shared" si="1401"/>
        <v>4.4274190375220002</v>
      </c>
      <c r="S2423" s="343" t="s">
        <v>1062</v>
      </c>
      <c r="T2423" s="294">
        <f t="shared" ref="T2423:Z2425" si="1404">ROUND($E2423*L2423/100,0)</f>
        <v>0</v>
      </c>
      <c r="U2423" s="346"/>
      <c r="V2423" s="294">
        <f t="shared" si="1404"/>
        <v>176544</v>
      </c>
      <c r="W2423" s="346"/>
      <c r="X2423" s="294">
        <f t="shared" si="1404"/>
        <v>502783</v>
      </c>
      <c r="Y2423" s="346"/>
      <c r="Z2423" s="294">
        <f t="shared" si="1404"/>
        <v>679327</v>
      </c>
      <c r="AA2423" s="291">
        <f>AA1505</f>
        <v>0.56972975514840463</v>
      </c>
    </row>
    <row r="2424" spans="2:27">
      <c r="B2424" s="317" t="s">
        <v>1064</v>
      </c>
      <c r="D2424" s="293">
        <f>SUM(D2428:D2430)*AA2424</f>
        <v>31224352.574495021</v>
      </c>
      <c r="E2424" s="293">
        <f t="shared" si="1403"/>
        <v>29957152</v>
      </c>
      <c r="G2424" s="376"/>
      <c r="H2424" s="343"/>
      <c r="L2424" s="376">
        <f t="shared" si="1398"/>
        <v>0</v>
      </c>
      <c r="M2424" s="343" t="s">
        <v>1062</v>
      </c>
      <c r="N2424" s="376">
        <f t="shared" si="1399"/>
        <v>1.1506000000000001</v>
      </c>
      <c r="O2424" s="343" t="s">
        <v>1062</v>
      </c>
      <c r="P2424" s="376">
        <f t="shared" si="1400"/>
        <v>1.5002843230069998</v>
      </c>
      <c r="Q2424" s="343" t="s">
        <v>1062</v>
      </c>
      <c r="R2424" s="376">
        <f t="shared" si="1401"/>
        <v>2.6508843230069998</v>
      </c>
      <c r="S2424" s="343" t="s">
        <v>1062</v>
      </c>
      <c r="T2424" s="294">
        <f t="shared" si="1404"/>
        <v>0</v>
      </c>
      <c r="U2424" s="346"/>
      <c r="V2424" s="294">
        <f t="shared" si="1404"/>
        <v>344687</v>
      </c>
      <c r="W2424" s="346"/>
      <c r="X2424" s="294">
        <f t="shared" si="1404"/>
        <v>449442</v>
      </c>
      <c r="Y2424" s="346"/>
      <c r="Z2424" s="294">
        <f t="shared" si="1404"/>
        <v>794129</v>
      </c>
      <c r="AA2424" s="291">
        <f>AA1506</f>
        <v>0.2622704003879433</v>
      </c>
    </row>
    <row r="2425" spans="2:27">
      <c r="B2425" s="317" t="s">
        <v>1167</v>
      </c>
      <c r="D2425" s="293">
        <f>SUM(D2428:D2430)-SUM(D2422:D2424)</f>
        <v>59924317.285735235</v>
      </c>
      <c r="E2425" s="293">
        <f>E2435-SUM(E2406:E2409,E2422:E2424)</f>
        <v>57492364.666666657</v>
      </c>
      <c r="G2425" s="440"/>
      <c r="H2425" s="343"/>
      <c r="I2425" s="438"/>
      <c r="J2425" s="438"/>
      <c r="L2425" s="440">
        <f t="shared" si="1398"/>
        <v>0</v>
      </c>
      <c r="M2425" s="343" t="s">
        <v>1062</v>
      </c>
      <c r="N2425" s="440">
        <f t="shared" si="1399"/>
        <v>1.1506000000000001</v>
      </c>
      <c r="O2425" s="343" t="s">
        <v>1062</v>
      </c>
      <c r="P2425" s="440">
        <f t="shared" si="1400"/>
        <v>1.1953153300949999</v>
      </c>
      <c r="Q2425" s="343" t="s">
        <v>1062</v>
      </c>
      <c r="R2425" s="440">
        <f t="shared" si="1401"/>
        <v>2.345915330095</v>
      </c>
      <c r="S2425" s="343" t="s">
        <v>1062</v>
      </c>
      <c r="T2425" s="294">
        <f t="shared" si="1404"/>
        <v>0</v>
      </c>
      <c r="U2425" s="346"/>
      <c r="V2425" s="294">
        <f t="shared" si="1404"/>
        <v>661507</v>
      </c>
      <c r="W2425" s="346"/>
      <c r="X2425" s="294">
        <f t="shared" si="1404"/>
        <v>687215</v>
      </c>
      <c r="Y2425" s="346"/>
      <c r="Z2425" s="294">
        <f t="shared" si="1404"/>
        <v>1348722</v>
      </c>
    </row>
    <row r="2426" spans="2:27">
      <c r="B2426" s="317" t="s">
        <v>1169</v>
      </c>
      <c r="D2426" s="293">
        <f>'[7]31'!W3</f>
        <v>83770</v>
      </c>
      <c r="E2426" s="293">
        <f>ROUND(D2426/$D$2435*$E$2435,0)</f>
        <v>79946</v>
      </c>
      <c r="G2426" s="339">
        <v>13.96</v>
      </c>
      <c r="H2426" s="339"/>
      <c r="I2426" s="294">
        <f t="shared" si="1397"/>
        <v>1169429</v>
      </c>
      <c r="J2426" s="294">
        <f t="shared" si="1397"/>
        <v>1116046</v>
      </c>
      <c r="L2426" s="339"/>
      <c r="M2426" s="339"/>
      <c r="N2426" s="339"/>
      <c r="O2426" s="339"/>
      <c r="P2426" s="339"/>
      <c r="Q2426" s="339"/>
      <c r="R2426" s="339"/>
      <c r="S2426" s="339"/>
    </row>
    <row r="2427" spans="2:27">
      <c r="B2427" s="317" t="s">
        <v>1171</v>
      </c>
      <c r="D2427" s="293">
        <f>'[7]31'!X3</f>
        <v>93539</v>
      </c>
      <c r="E2427" s="293">
        <f>ROUND(D2427/$D$2435*$E$2435,0)</f>
        <v>89269</v>
      </c>
      <c r="G2427" s="339">
        <v>9.4700000000000006</v>
      </c>
      <c r="H2427" s="339"/>
      <c r="I2427" s="294">
        <f t="shared" si="1397"/>
        <v>885814</v>
      </c>
      <c r="J2427" s="294">
        <f t="shared" si="1397"/>
        <v>845377</v>
      </c>
      <c r="L2427" s="339"/>
      <c r="M2427" s="339"/>
      <c r="N2427" s="339"/>
      <c r="O2427" s="339"/>
      <c r="P2427" s="339"/>
      <c r="Q2427" s="339"/>
      <c r="R2427" s="339"/>
      <c r="S2427" s="339"/>
    </row>
    <row r="2428" spans="2:27">
      <c r="B2428" s="317" t="s">
        <v>1177</v>
      </c>
      <c r="D2428" s="293">
        <f>'[7]31'!AA3</f>
        <v>15095059</v>
      </c>
      <c r="E2428" s="293">
        <f>ROUND(D2428/($D$2435-$D$2434)*$E$2435,0)</f>
        <v>14482445</v>
      </c>
      <c r="G2428" s="376">
        <v>4.6531000000000002</v>
      </c>
      <c r="H2428" s="343" t="s">
        <v>1062</v>
      </c>
      <c r="I2428" s="294">
        <f t="shared" ref="I2428:J2430" si="1405">ROUND($G2428*D2428/100,0)</f>
        <v>702388</v>
      </c>
      <c r="J2428" s="294">
        <f t="shared" si="1405"/>
        <v>673883</v>
      </c>
      <c r="L2428" s="376"/>
      <c r="M2428" s="343"/>
      <c r="N2428" s="376"/>
      <c r="O2428" s="343"/>
      <c r="P2428" s="376"/>
      <c r="Q2428" s="343"/>
      <c r="R2428" s="376"/>
      <c r="S2428" s="343"/>
      <c r="U2428" s="346"/>
      <c r="W2428" s="346"/>
      <c r="Y2428" s="346"/>
    </row>
    <row r="2429" spans="2:27">
      <c r="B2429" s="317" t="s">
        <v>1179</v>
      </c>
      <c r="D2429" s="293">
        <f>'[7]31'!AB3</f>
        <v>28070620</v>
      </c>
      <c r="E2429" s="293">
        <f>ROUND(D2429/($D$2435-$D$2434)*$E$2435,0)</f>
        <v>26931410</v>
      </c>
      <c r="G2429" s="376">
        <v>3.4988999999999999</v>
      </c>
      <c r="H2429" s="343" t="s">
        <v>1062</v>
      </c>
      <c r="I2429" s="294">
        <f t="shared" si="1405"/>
        <v>982163</v>
      </c>
      <c r="J2429" s="294">
        <f t="shared" si="1405"/>
        <v>942303</v>
      </c>
      <c r="L2429" s="376"/>
      <c r="M2429" s="343"/>
      <c r="N2429" s="376"/>
      <c r="O2429" s="343"/>
      <c r="P2429" s="376"/>
      <c r="Q2429" s="343"/>
      <c r="R2429" s="376"/>
      <c r="S2429" s="343"/>
      <c r="U2429" s="346"/>
      <c r="W2429" s="346"/>
      <c r="Y2429" s="346"/>
    </row>
    <row r="2430" spans="2:27">
      <c r="B2430" s="317" t="s">
        <v>1086</v>
      </c>
      <c r="D2430" s="424">
        <f>'[7]31'!AC3</f>
        <v>75888368</v>
      </c>
      <c r="E2430" s="424">
        <f>ROUND(D2430/($D$2435-$D$2434)*$E$2435,0)</f>
        <v>72808535</v>
      </c>
      <c r="G2430" s="440">
        <v>2.9224999999999999</v>
      </c>
      <c r="H2430" s="343" t="s">
        <v>1062</v>
      </c>
      <c r="I2430" s="438">
        <f t="shared" si="1405"/>
        <v>2217838</v>
      </c>
      <c r="J2430" s="438">
        <f t="shared" si="1405"/>
        <v>2127829</v>
      </c>
      <c r="L2430" s="440"/>
      <c r="M2430" s="343"/>
      <c r="N2430" s="440"/>
      <c r="O2430" s="343"/>
      <c r="P2430" s="440"/>
      <c r="Q2430" s="343"/>
      <c r="R2430" s="440"/>
      <c r="S2430" s="343"/>
      <c r="T2430" s="438"/>
      <c r="U2430" s="346"/>
      <c r="V2430" s="438"/>
      <c r="W2430" s="346"/>
      <c r="X2430" s="438"/>
      <c r="Y2430" s="346"/>
      <c r="Z2430" s="438"/>
    </row>
    <row r="2431" spans="2:27">
      <c r="B2431" s="317" t="s">
        <v>1079</v>
      </c>
      <c r="G2431" s="441">
        <v>-3.0700000000000002E-2</v>
      </c>
      <c r="H2431" s="339"/>
      <c r="I2431" s="442">
        <f>SUM(I2426:I2430)*$G2431</f>
        <v>-182899.30240000002</v>
      </c>
      <c r="J2431" s="442">
        <f>SUM(J2426:J2430)*$G2431</f>
        <v>-175156.9466</v>
      </c>
      <c r="L2431" s="441"/>
      <c r="M2431" s="339"/>
      <c r="N2431" s="441"/>
      <c r="O2431" s="339"/>
      <c r="P2431" s="359" t="str">
        <f>$P$43</f>
        <v>Tax Year 1</v>
      </c>
      <c r="Q2431" s="339"/>
      <c r="R2431" s="338">
        <f t="shared" ref="R2431:R2432" si="1406">R2327</f>
        <v>-2.2599999999999999E-2</v>
      </c>
      <c r="S2431" s="339"/>
      <c r="Z2431" s="294">
        <f>R2431*SUM(Z2420:Z2425)</f>
        <v>-128022.1522</v>
      </c>
    </row>
    <row r="2432" spans="2:27">
      <c r="B2432" s="317"/>
      <c r="G2432" s="338"/>
      <c r="H2432" s="339"/>
      <c r="L2432" s="338"/>
      <c r="M2432" s="339"/>
      <c r="N2432" s="338"/>
      <c r="O2432" s="339"/>
      <c r="P2432" s="359" t="str">
        <f>$P$44</f>
        <v>Tax Year 2</v>
      </c>
      <c r="Q2432" s="339"/>
      <c r="R2432" s="338">
        <f t="shared" si="1406"/>
        <v>-1.1299999999999999E-2</v>
      </c>
      <c r="S2432" s="339"/>
      <c r="Z2432" s="294">
        <f>R2432*SUM(Z2420:Z2425)</f>
        <v>-64011.076099999998</v>
      </c>
    </row>
    <row r="2433" spans="2:29">
      <c r="B2433" s="317" t="s">
        <v>1300</v>
      </c>
      <c r="G2433" s="376"/>
      <c r="H2433" s="343"/>
      <c r="I2433" s="294">
        <f>SUM(I2403:I2431)</f>
        <v>7173235.3155999994</v>
      </c>
      <c r="J2433" s="294">
        <f>SUM(J2403:J2431)</f>
        <v>6867785.9417999992</v>
      </c>
      <c r="L2433" s="376"/>
      <c r="M2433" s="343"/>
      <c r="N2433" s="376"/>
      <c r="O2433" s="343"/>
      <c r="P2433" s="376"/>
      <c r="Q2433" s="343"/>
      <c r="R2433" s="376"/>
      <c r="S2433" s="343"/>
      <c r="T2433" s="294">
        <f>SUM(T2403:T2415,T2419:T2430)</f>
        <v>111740</v>
      </c>
      <c r="U2433" s="346"/>
      <c r="V2433" s="294">
        <f>SUM(V2403:V2415,V2419:V2430)</f>
        <v>4635290</v>
      </c>
      <c r="W2433" s="346"/>
      <c r="X2433" s="294">
        <f>SUM(X2403:X2415,X2419:X2430)</f>
        <v>2370451</v>
      </c>
      <c r="Y2433" s="346"/>
      <c r="Z2433" s="294">
        <f>SUM(Z2403:Z2415,Z2419:Z2430)</f>
        <v>7117482</v>
      </c>
    </row>
    <row r="2434" spans="2:29">
      <c r="B2434" s="292" t="s">
        <v>1158</v>
      </c>
      <c r="D2434" s="412">
        <f>'[7]Table 2'!J63</f>
        <v>714620</v>
      </c>
      <c r="E2434" s="412">
        <v>0</v>
      </c>
      <c r="G2434" s="377"/>
      <c r="H2434" s="377"/>
      <c r="I2434" s="358">
        <f>'[7]Table 3'!F63</f>
        <v>48878</v>
      </c>
      <c r="J2434" s="358">
        <v>0</v>
      </c>
      <c r="L2434" s="377"/>
      <c r="M2434" s="377"/>
      <c r="N2434" s="377"/>
      <c r="O2434" s="377"/>
      <c r="P2434" s="377"/>
      <c r="Q2434" s="377"/>
      <c r="R2434" s="377"/>
      <c r="S2434" s="377"/>
      <c r="T2434" s="358"/>
      <c r="V2434" s="358"/>
      <c r="X2434" s="358"/>
      <c r="Z2434" s="358"/>
    </row>
    <row r="2435" spans="2:29" ht="16.5" thickBot="1">
      <c r="B2435" s="317" t="s">
        <v>1344</v>
      </c>
      <c r="D2435" s="381">
        <f>SUM(D2413:D2415,D2428:D2430,D2434)</f>
        <v>135414267</v>
      </c>
      <c r="E2435" s="381">
        <f>[7]Energy!P42</f>
        <v>129233033.66666666</v>
      </c>
      <c r="G2435" s="368"/>
      <c r="I2435" s="369">
        <f>I2400+I2433+I2434</f>
        <v>8326593.3155999994</v>
      </c>
      <c r="J2435" s="369">
        <f>J2400+J2433+J2434</f>
        <v>7923823.9417999992</v>
      </c>
      <c r="L2435" s="368"/>
      <c r="N2435" s="368"/>
      <c r="P2435" s="368"/>
      <c r="R2435" s="368"/>
      <c r="T2435" s="369">
        <f>T2400+T2433</f>
        <v>308740</v>
      </c>
      <c r="V2435" s="369">
        <f>V2400+V2433</f>
        <v>5484465</v>
      </c>
      <c r="X2435" s="369">
        <f>X2400+X2433</f>
        <v>2370451</v>
      </c>
      <c r="Z2435" s="369">
        <f>Z2400+Z2433</f>
        <v>8163657</v>
      </c>
      <c r="AB2435" s="305" t="s">
        <v>939</v>
      </c>
      <c r="AC2435" s="304">
        <f>Z2435/J2435-1</f>
        <v>3.0267338088473483E-2</v>
      </c>
    </row>
    <row r="2436" spans="2:29" ht="16.5" thickTop="1"/>
    <row r="2437" spans="2:29">
      <c r="B2437" s="314" t="s">
        <v>1033</v>
      </c>
      <c r="G2437" s="377"/>
      <c r="H2437" s="377"/>
      <c r="L2437" s="377"/>
      <c r="M2437" s="377"/>
      <c r="N2437" s="377"/>
      <c r="O2437" s="377"/>
      <c r="P2437" s="377"/>
      <c r="Q2437" s="377"/>
      <c r="R2437" s="377"/>
      <c r="S2437" s="377"/>
    </row>
    <row r="2438" spans="2:29">
      <c r="B2438" s="428" t="s">
        <v>1329</v>
      </c>
    </row>
    <row r="2439" spans="2:29">
      <c r="B2439" s="317" t="s">
        <v>1331</v>
      </c>
      <c r="G2439" s="431">
        <v>133</v>
      </c>
      <c r="H2439" s="318"/>
      <c r="I2439" s="294">
        <f>ROUND($G2439*D2439,0)</f>
        <v>0</v>
      </c>
      <c r="J2439" s="294">
        <f>ROUND($G2439*E2439,0)</f>
        <v>0</v>
      </c>
      <c r="L2439" s="431">
        <f>L2231</f>
        <v>140</v>
      </c>
      <c r="M2439" s="318"/>
      <c r="N2439" s="431">
        <f>N2231</f>
        <v>0</v>
      </c>
      <c r="O2439" s="318"/>
      <c r="P2439" s="431">
        <f>P2231</f>
        <v>0</v>
      </c>
      <c r="Q2439" s="318"/>
      <c r="R2439" s="431">
        <f>R2231</f>
        <v>140</v>
      </c>
      <c r="S2439" s="318"/>
      <c r="T2439" s="294">
        <f>ROUND($E2439*L2439,0)</f>
        <v>0</v>
      </c>
      <c r="U2439" s="319"/>
      <c r="V2439" s="294">
        <f>ROUND($E2439*N2439,0)</f>
        <v>0</v>
      </c>
      <c r="W2439" s="319"/>
      <c r="X2439" s="294">
        <f>ROUND($E2439*P2439,0)</f>
        <v>0</v>
      </c>
      <c r="Y2439" s="319"/>
      <c r="Z2439" s="294">
        <f>ROUND($E2439*R2439,0)</f>
        <v>0</v>
      </c>
    </row>
    <row r="2440" spans="2:29">
      <c r="B2440" s="317" t="s">
        <v>1332</v>
      </c>
      <c r="G2440" s="431">
        <v>5.6</v>
      </c>
      <c r="H2440" s="318"/>
      <c r="I2440" s="294">
        <f>ROUND($G2440*D2440,0)</f>
        <v>0</v>
      </c>
      <c r="J2440" s="294">
        <f>ROUND($G2440*E2440,0)</f>
        <v>0</v>
      </c>
      <c r="L2440" s="431">
        <f>L2232</f>
        <v>5.88</v>
      </c>
      <c r="M2440" s="318"/>
      <c r="N2440" s="431">
        <f>N2232</f>
        <v>0</v>
      </c>
      <c r="O2440" s="318"/>
      <c r="P2440" s="431">
        <f>P2232</f>
        <v>0</v>
      </c>
      <c r="Q2440" s="318"/>
      <c r="R2440" s="431">
        <f>R2232</f>
        <v>5.88</v>
      </c>
      <c r="S2440" s="318"/>
      <c r="T2440" s="294">
        <f>ROUND($E2440*L2440,0)</f>
        <v>0</v>
      </c>
      <c r="U2440" s="319"/>
      <c r="V2440" s="294">
        <f>ROUND($E2440*N2440,0)</f>
        <v>0</v>
      </c>
      <c r="W2440" s="319"/>
      <c r="X2440" s="294">
        <f>ROUND($E2440*P2440,0)</f>
        <v>0</v>
      </c>
      <c r="Y2440" s="319"/>
      <c r="Z2440" s="294">
        <f>ROUND($E2440*R2440,0)</f>
        <v>0</v>
      </c>
    </row>
    <row r="2441" spans="2:29">
      <c r="B2441" s="317" t="s">
        <v>1333</v>
      </c>
      <c r="G2441" s="432"/>
      <c r="H2441" s="339"/>
      <c r="L2441" s="432"/>
      <c r="M2441" s="339"/>
      <c r="N2441" s="432"/>
      <c r="O2441" s="339"/>
      <c r="P2441" s="432"/>
      <c r="Q2441" s="339"/>
      <c r="R2441" s="432"/>
      <c r="S2441" s="339"/>
    </row>
    <row r="2442" spans="2:29">
      <c r="B2442" s="317" t="s">
        <v>1334</v>
      </c>
      <c r="G2442" s="431"/>
      <c r="H2442" s="433"/>
      <c r="L2442" s="431"/>
      <c r="M2442" s="433"/>
      <c r="N2442" s="431"/>
      <c r="O2442" s="433"/>
      <c r="P2442" s="431"/>
      <c r="Q2442" s="433"/>
      <c r="R2442" s="431"/>
      <c r="S2442" s="433"/>
      <c r="U2442" s="319"/>
      <c r="W2442" s="319"/>
      <c r="Y2442" s="319"/>
      <c r="AA2442" s="291" t="s">
        <v>1173</v>
      </c>
    </row>
    <row r="2443" spans="2:29">
      <c r="B2443" s="317" t="s">
        <v>1335</v>
      </c>
      <c r="G2443" s="431"/>
      <c r="H2443" s="433"/>
      <c r="L2443" s="431">
        <f t="shared" ref="L2443:L2444" si="1407">L2235</f>
        <v>0.01</v>
      </c>
      <c r="M2443" s="433"/>
      <c r="N2443" s="431">
        <f t="shared" ref="N2443:N2444" si="1408">N2235</f>
        <v>0.91</v>
      </c>
      <c r="O2443" s="433"/>
      <c r="P2443" s="431">
        <f t="shared" ref="P2443:P2444" si="1409">P2235</f>
        <v>0</v>
      </c>
      <c r="Q2443" s="433"/>
      <c r="R2443" s="431">
        <f t="shared" ref="R2443:R2444" si="1410">R2235</f>
        <v>0.92</v>
      </c>
      <c r="S2443" s="433"/>
      <c r="T2443" s="294">
        <f t="shared" ref="T2443:T2444" si="1411">ROUND($E2443*L2443,0)</f>
        <v>0</v>
      </c>
      <c r="U2443" s="319"/>
      <c r="V2443" s="294">
        <f t="shared" ref="V2443:Z2444" si="1412">ROUND($E2443*N2443,0)</f>
        <v>0</v>
      </c>
      <c r="W2443" s="319"/>
      <c r="X2443" s="294">
        <f t="shared" si="1412"/>
        <v>0</v>
      </c>
      <c r="Y2443" s="319"/>
      <c r="Z2443" s="294">
        <f t="shared" si="1412"/>
        <v>0</v>
      </c>
      <c r="AA2443" s="291">
        <f>AA2339</f>
        <v>0.8153977208412958</v>
      </c>
    </row>
    <row r="2444" spans="2:29">
      <c r="B2444" s="317" t="s">
        <v>1336</v>
      </c>
      <c r="G2444" s="431"/>
      <c r="H2444" s="433"/>
      <c r="L2444" s="431">
        <f t="shared" si="1407"/>
        <v>0.01</v>
      </c>
      <c r="M2444" s="433"/>
      <c r="N2444" s="431">
        <f t="shared" si="1408"/>
        <v>0.8</v>
      </c>
      <c r="O2444" s="433"/>
      <c r="P2444" s="431">
        <f t="shared" si="1409"/>
        <v>0</v>
      </c>
      <c r="Q2444" s="433"/>
      <c r="R2444" s="431">
        <f t="shared" si="1410"/>
        <v>0.81</v>
      </c>
      <c r="S2444" s="433"/>
      <c r="T2444" s="294">
        <f t="shared" si="1411"/>
        <v>0</v>
      </c>
      <c r="U2444" s="319"/>
      <c r="V2444" s="294">
        <f t="shared" si="1412"/>
        <v>0</v>
      </c>
      <c r="W2444" s="319"/>
      <c r="X2444" s="294">
        <f t="shared" si="1412"/>
        <v>0</v>
      </c>
      <c r="Y2444" s="319"/>
      <c r="Z2444" s="294">
        <f t="shared" si="1412"/>
        <v>0</v>
      </c>
      <c r="AA2444" s="291">
        <f>AA2340</f>
        <v>1.1372413252842475</v>
      </c>
    </row>
    <row r="2445" spans="2:29">
      <c r="B2445" s="317" t="s">
        <v>1337</v>
      </c>
      <c r="G2445" s="432"/>
      <c r="H2445" s="434"/>
      <c r="L2445" s="432"/>
      <c r="M2445" s="434"/>
      <c r="N2445" s="432"/>
      <c r="O2445" s="434"/>
      <c r="P2445" s="432"/>
      <c r="Q2445" s="434"/>
      <c r="R2445" s="432"/>
      <c r="S2445" s="434"/>
    </row>
    <row r="2446" spans="2:29">
      <c r="B2446" s="317" t="s">
        <v>1335</v>
      </c>
      <c r="G2446" s="432"/>
      <c r="H2446" s="434"/>
      <c r="L2446" s="432">
        <f t="shared" ref="L2446:L2447" si="1413">L2238</f>
        <v>0.01</v>
      </c>
      <c r="M2446" s="434"/>
      <c r="N2446" s="432">
        <f t="shared" ref="N2446:N2447" si="1414">N2238</f>
        <v>0.45</v>
      </c>
      <c r="O2446" s="434"/>
      <c r="P2446" s="432">
        <f t="shared" ref="P2446:P2447" si="1415">P2238</f>
        <v>0</v>
      </c>
      <c r="Q2446" s="434"/>
      <c r="R2446" s="432">
        <f t="shared" ref="R2446:R2447" si="1416">R2238</f>
        <v>0.46</v>
      </c>
      <c r="S2446" s="434"/>
      <c r="T2446" s="294">
        <f t="shared" ref="T2446:T2447" si="1417">ROUND($E2446*L2446,0)</f>
        <v>0</v>
      </c>
      <c r="V2446" s="294">
        <f t="shared" ref="V2446:Z2447" si="1418">ROUND($E2446*N2446,0)</f>
        <v>0</v>
      </c>
      <c r="X2446" s="294">
        <f t="shared" si="1418"/>
        <v>0</v>
      </c>
      <c r="Z2446" s="294">
        <f t="shared" si="1418"/>
        <v>0</v>
      </c>
      <c r="AA2446" s="291">
        <f t="shared" ref="AA2446:AA2447" si="1419">AA2342</f>
        <v>0.8153977208412958</v>
      </c>
    </row>
    <row r="2447" spans="2:29">
      <c r="B2447" s="317" t="s">
        <v>1336</v>
      </c>
      <c r="G2447" s="432"/>
      <c r="H2447" s="434"/>
      <c r="L2447" s="432">
        <f t="shared" si="1413"/>
        <v>0.01</v>
      </c>
      <c r="M2447" s="434"/>
      <c r="N2447" s="432">
        <f t="shared" si="1414"/>
        <v>0.39999999999999997</v>
      </c>
      <c r="O2447" s="434"/>
      <c r="P2447" s="432">
        <f t="shared" si="1415"/>
        <v>0</v>
      </c>
      <c r="Q2447" s="434"/>
      <c r="R2447" s="432">
        <f t="shared" si="1416"/>
        <v>0.41</v>
      </c>
      <c r="S2447" s="434"/>
      <c r="T2447" s="294">
        <f t="shared" si="1417"/>
        <v>0</v>
      </c>
      <c r="V2447" s="294">
        <f t="shared" si="1418"/>
        <v>0</v>
      </c>
      <c r="X2447" s="294">
        <f t="shared" si="1418"/>
        <v>0</v>
      </c>
      <c r="Z2447" s="294">
        <f t="shared" si="1418"/>
        <v>0</v>
      </c>
      <c r="AA2447" s="291">
        <f t="shared" si="1419"/>
        <v>1.1372413252842475</v>
      </c>
    </row>
    <row r="2448" spans="2:29">
      <c r="B2448" s="317" t="s">
        <v>1338</v>
      </c>
      <c r="G2448" s="431"/>
      <c r="H2448" s="318"/>
      <c r="L2448" s="431"/>
      <c r="M2448" s="318"/>
      <c r="N2448" s="431"/>
      <c r="O2448" s="318"/>
      <c r="P2448" s="431"/>
      <c r="Q2448" s="318"/>
      <c r="R2448" s="431"/>
      <c r="S2448" s="318"/>
      <c r="U2448" s="319"/>
      <c r="W2448" s="319"/>
      <c r="Y2448" s="319"/>
    </row>
    <row r="2449" spans="2:27">
      <c r="B2449" s="317" t="s">
        <v>1335</v>
      </c>
      <c r="G2449" s="431"/>
      <c r="H2449" s="318"/>
      <c r="L2449" s="431">
        <f t="shared" ref="L2449:L2450" si="1420">L2241</f>
        <v>0.47</v>
      </c>
      <c r="M2449" s="318"/>
      <c r="N2449" s="431">
        <f t="shared" ref="N2449:N2450" si="1421">N2241</f>
        <v>42.35</v>
      </c>
      <c r="O2449" s="318"/>
      <c r="P2449" s="431">
        <f t="shared" ref="P2449:P2450" si="1422">P2241</f>
        <v>0</v>
      </c>
      <c r="Q2449" s="318"/>
      <c r="R2449" s="431">
        <f t="shared" ref="R2449:R2450" si="1423">R2241</f>
        <v>42.82</v>
      </c>
      <c r="S2449" s="318"/>
      <c r="T2449" s="294">
        <f t="shared" ref="T2449:T2450" si="1424">ROUND($E2449*L2449,0)</f>
        <v>0</v>
      </c>
      <c r="U2449" s="319"/>
      <c r="V2449" s="294">
        <f t="shared" ref="V2449:Z2450" si="1425">ROUND($E2449*N2449,0)</f>
        <v>0</v>
      </c>
      <c r="W2449" s="319"/>
      <c r="X2449" s="294">
        <f t="shared" si="1425"/>
        <v>0</v>
      </c>
      <c r="Y2449" s="319"/>
      <c r="Z2449" s="294">
        <f t="shared" si="1425"/>
        <v>0</v>
      </c>
      <c r="AA2449" s="291">
        <f t="shared" ref="AA2449:AA2450" si="1426">AA2345</f>
        <v>0.8153977208412958</v>
      </c>
    </row>
    <row r="2450" spans="2:27">
      <c r="B2450" s="317" t="s">
        <v>1336</v>
      </c>
      <c r="G2450" s="431"/>
      <c r="H2450" s="318"/>
      <c r="L2450" s="431">
        <f t="shared" si="1420"/>
        <v>0.47</v>
      </c>
      <c r="M2450" s="318"/>
      <c r="N2450" s="431">
        <f t="shared" si="1421"/>
        <v>37.42</v>
      </c>
      <c r="O2450" s="318"/>
      <c r="P2450" s="431">
        <f t="shared" si="1422"/>
        <v>0</v>
      </c>
      <c r="Q2450" s="318"/>
      <c r="R2450" s="431">
        <f t="shared" si="1423"/>
        <v>37.89</v>
      </c>
      <c r="S2450" s="318"/>
      <c r="T2450" s="294">
        <f t="shared" si="1424"/>
        <v>0</v>
      </c>
      <c r="U2450" s="319"/>
      <c r="V2450" s="294">
        <f t="shared" si="1425"/>
        <v>0</v>
      </c>
      <c r="W2450" s="319"/>
      <c r="X2450" s="294">
        <f t="shared" si="1425"/>
        <v>0</v>
      </c>
      <c r="Y2450" s="319"/>
      <c r="Z2450" s="294">
        <f t="shared" si="1425"/>
        <v>0</v>
      </c>
      <c r="AA2450" s="291">
        <f t="shared" si="1426"/>
        <v>1.1372413252842475</v>
      </c>
    </row>
    <row r="2451" spans="2:27">
      <c r="B2451" s="317" t="s">
        <v>1334</v>
      </c>
      <c r="G2451" s="431"/>
      <c r="H2451" s="433"/>
      <c r="L2451" s="431"/>
      <c r="M2451" s="433"/>
      <c r="N2451" s="431"/>
      <c r="O2451" s="433"/>
      <c r="P2451" s="431"/>
      <c r="Q2451" s="433"/>
      <c r="R2451" s="431"/>
      <c r="S2451" s="433"/>
      <c r="U2451" s="319"/>
      <c r="W2451" s="319"/>
      <c r="Y2451" s="319"/>
    </row>
    <row r="2452" spans="2:27">
      <c r="B2452" s="317" t="s">
        <v>1339</v>
      </c>
      <c r="G2452" s="431">
        <v>0.88</v>
      </c>
      <c r="H2452" s="433"/>
      <c r="I2452" s="294">
        <f>ROUND($G2452*D2452,0)</f>
        <v>0</v>
      </c>
      <c r="J2452" s="294">
        <f>ROUND($G2452*E2452,0)</f>
        <v>0</v>
      </c>
      <c r="L2452" s="431"/>
      <c r="M2452" s="433"/>
      <c r="N2452" s="431"/>
      <c r="O2452" s="433"/>
      <c r="P2452" s="431"/>
      <c r="Q2452" s="433"/>
      <c r="R2452" s="431"/>
      <c r="S2452" s="433"/>
      <c r="U2452" s="319"/>
      <c r="W2452" s="319"/>
      <c r="Y2452" s="319"/>
    </row>
    <row r="2453" spans="2:27">
      <c r="B2453" s="317" t="s">
        <v>1340</v>
      </c>
      <c r="G2453" s="431">
        <v>0.62</v>
      </c>
      <c r="H2453" s="433"/>
      <c r="I2453" s="294">
        <f>ROUND($G2453*D2453,0)</f>
        <v>0</v>
      </c>
      <c r="J2453" s="294">
        <f>ROUND($G2453*E2453,0)</f>
        <v>0</v>
      </c>
      <c r="L2453" s="431"/>
      <c r="M2453" s="433"/>
      <c r="N2453" s="431"/>
      <c r="O2453" s="433"/>
      <c r="P2453" s="431"/>
      <c r="Q2453" s="433"/>
      <c r="R2453" s="431"/>
      <c r="S2453" s="433"/>
      <c r="U2453" s="319"/>
      <c r="W2453" s="319"/>
      <c r="Y2453" s="319"/>
    </row>
    <row r="2454" spans="2:27">
      <c r="B2454" s="317" t="s">
        <v>1337</v>
      </c>
      <c r="G2454" s="432"/>
      <c r="H2454" s="434"/>
      <c r="L2454" s="432"/>
      <c r="M2454" s="434"/>
      <c r="N2454" s="432"/>
      <c r="O2454" s="434"/>
      <c r="P2454" s="432"/>
      <c r="Q2454" s="434"/>
      <c r="R2454" s="432"/>
      <c r="S2454" s="434"/>
    </row>
    <row r="2455" spans="2:27">
      <c r="B2455" s="317" t="s">
        <v>1339</v>
      </c>
      <c r="G2455" s="432">
        <v>0.44</v>
      </c>
      <c r="H2455" s="434"/>
      <c r="I2455" s="294">
        <f>ROUND($G2455*D2455,0)</f>
        <v>0</v>
      </c>
      <c r="J2455" s="294">
        <f>ROUND($G2455*E2455,0)</f>
        <v>0</v>
      </c>
      <c r="L2455" s="432"/>
      <c r="M2455" s="434"/>
      <c r="N2455" s="432"/>
      <c r="O2455" s="434"/>
      <c r="P2455" s="432"/>
      <c r="Q2455" s="434"/>
      <c r="R2455" s="432"/>
      <c r="S2455" s="434"/>
    </row>
    <row r="2456" spans="2:27">
      <c r="B2456" s="317" t="s">
        <v>1340</v>
      </c>
      <c r="G2456" s="432">
        <v>0.31</v>
      </c>
      <c r="H2456" s="434"/>
      <c r="I2456" s="294">
        <f>ROUND($G2456*D2456,0)</f>
        <v>0</v>
      </c>
      <c r="J2456" s="294">
        <f>ROUND($G2456*E2456,0)</f>
        <v>0</v>
      </c>
      <c r="L2456" s="432"/>
      <c r="M2456" s="434"/>
      <c r="N2456" s="432"/>
      <c r="O2456" s="434"/>
      <c r="P2456" s="432"/>
      <c r="Q2456" s="434"/>
      <c r="R2456" s="432"/>
      <c r="S2456" s="434"/>
    </row>
    <row r="2457" spans="2:27">
      <c r="B2457" s="317" t="s">
        <v>1338</v>
      </c>
      <c r="G2457" s="431"/>
      <c r="H2457" s="318"/>
      <c r="L2457" s="431"/>
      <c r="M2457" s="318"/>
      <c r="N2457" s="431"/>
      <c r="O2457" s="318"/>
      <c r="P2457" s="431"/>
      <c r="Q2457" s="318"/>
      <c r="R2457" s="431"/>
      <c r="S2457" s="318"/>
      <c r="U2457" s="319"/>
      <c r="W2457" s="319"/>
      <c r="Y2457" s="319"/>
    </row>
    <row r="2458" spans="2:27">
      <c r="B2458" s="317" t="s">
        <v>1339</v>
      </c>
      <c r="G2458" s="431">
        <v>40.81</v>
      </c>
      <c r="H2458" s="318"/>
      <c r="I2458" s="294">
        <f>ROUND($G2458*D2458,0)</f>
        <v>0</v>
      </c>
      <c r="J2458" s="294">
        <f>ROUND($G2458*E2458,0)</f>
        <v>0</v>
      </c>
      <c r="L2458" s="431"/>
      <c r="M2458" s="318"/>
      <c r="N2458" s="431"/>
      <c r="O2458" s="318"/>
      <c r="P2458" s="431"/>
      <c r="Q2458" s="318"/>
      <c r="R2458" s="431"/>
      <c r="S2458" s="318"/>
      <c r="U2458" s="319"/>
      <c r="W2458" s="319"/>
      <c r="Y2458" s="319"/>
    </row>
    <row r="2459" spans="2:27">
      <c r="B2459" s="317" t="s">
        <v>1340</v>
      </c>
      <c r="G2459" s="431">
        <v>32.04</v>
      </c>
      <c r="H2459" s="318"/>
      <c r="I2459" s="294">
        <f>ROUND($G2459*D2459,0)</f>
        <v>0</v>
      </c>
      <c r="J2459" s="294">
        <f>ROUND($G2459*E2459,0)</f>
        <v>0</v>
      </c>
      <c r="L2459" s="431"/>
      <c r="M2459" s="318"/>
      <c r="N2459" s="431"/>
      <c r="O2459" s="318"/>
      <c r="P2459" s="431"/>
      <c r="Q2459" s="318"/>
      <c r="R2459" s="431"/>
      <c r="S2459" s="318"/>
      <c r="U2459" s="319"/>
      <c r="W2459" s="319"/>
      <c r="Y2459" s="319"/>
    </row>
    <row r="2460" spans="2:27">
      <c r="B2460" s="428" t="s">
        <v>1341</v>
      </c>
      <c r="G2460" s="432"/>
      <c r="L2460" s="432"/>
      <c r="N2460" s="432"/>
      <c r="P2460" s="432"/>
      <c r="R2460" s="432"/>
    </row>
    <row r="2461" spans="2:27">
      <c r="B2461" s="317" t="s">
        <v>1331</v>
      </c>
      <c r="G2461" s="431">
        <v>605</v>
      </c>
      <c r="H2461" s="318"/>
      <c r="I2461" s="294">
        <f>ROUND($G2461*D2461,0)</f>
        <v>0</v>
      </c>
      <c r="J2461" s="294">
        <f>ROUND($G2461*E2461,0)</f>
        <v>0</v>
      </c>
      <c r="L2461" s="431">
        <f t="shared" ref="L2461:L2462" si="1427">L2253</f>
        <v>635</v>
      </c>
      <c r="M2461" s="318"/>
      <c r="N2461" s="431">
        <f t="shared" ref="N2461:N2462" si="1428">N2253</f>
        <v>0</v>
      </c>
      <c r="O2461" s="318"/>
      <c r="P2461" s="431">
        <f t="shared" ref="P2461:P2462" si="1429">P2253</f>
        <v>0</v>
      </c>
      <c r="Q2461" s="318"/>
      <c r="R2461" s="431">
        <f t="shared" ref="R2461:R2462" si="1430">R2253</f>
        <v>635</v>
      </c>
      <c r="S2461" s="318"/>
      <c r="T2461" s="294">
        <f>ROUND($E2461*L2461,0)</f>
        <v>0</v>
      </c>
      <c r="U2461" s="319"/>
      <c r="V2461" s="294">
        <f>ROUND($E2461*N2461,0)</f>
        <v>0</v>
      </c>
      <c r="W2461" s="319"/>
      <c r="X2461" s="294">
        <f>ROUND($E2461*P2461,0)</f>
        <v>0</v>
      </c>
      <c r="Y2461" s="319"/>
      <c r="Z2461" s="294">
        <f>ROUND($E2461*R2461,0)</f>
        <v>0</v>
      </c>
    </row>
    <row r="2462" spans="2:27">
      <c r="B2462" s="317" t="s">
        <v>1332</v>
      </c>
      <c r="G2462" s="431">
        <v>4.46</v>
      </c>
      <c r="H2462" s="318"/>
      <c r="I2462" s="294">
        <f>ROUND($G2462*D2462,0)</f>
        <v>0</v>
      </c>
      <c r="J2462" s="294">
        <f>ROUND($G2462*E2462,0)</f>
        <v>0</v>
      </c>
      <c r="L2462" s="431">
        <f t="shared" si="1427"/>
        <v>4.68</v>
      </c>
      <c r="M2462" s="318"/>
      <c r="N2462" s="431">
        <f t="shared" si="1428"/>
        <v>0</v>
      </c>
      <c r="O2462" s="318"/>
      <c r="P2462" s="431">
        <f t="shared" si="1429"/>
        <v>0</v>
      </c>
      <c r="Q2462" s="318"/>
      <c r="R2462" s="431">
        <f t="shared" si="1430"/>
        <v>4.68</v>
      </c>
      <c r="S2462" s="318"/>
      <c r="T2462" s="294">
        <f>ROUND($E2462*L2462,0)</f>
        <v>0</v>
      </c>
      <c r="U2462" s="319"/>
      <c r="V2462" s="294">
        <f>ROUND($E2462*N2462,0)</f>
        <v>0</v>
      </c>
      <c r="W2462" s="319"/>
      <c r="X2462" s="294">
        <f>ROUND($E2462*P2462,0)</f>
        <v>0</v>
      </c>
      <c r="Y2462" s="319"/>
      <c r="Z2462" s="294">
        <f>ROUND($E2462*R2462,0)</f>
        <v>0</v>
      </c>
    </row>
    <row r="2463" spans="2:27">
      <c r="B2463" s="317" t="s">
        <v>1333</v>
      </c>
      <c r="G2463" s="431"/>
      <c r="H2463" s="318"/>
      <c r="L2463" s="431"/>
      <c r="M2463" s="318"/>
      <c r="N2463" s="431"/>
      <c r="O2463" s="318"/>
      <c r="P2463" s="431"/>
      <c r="Q2463" s="318"/>
      <c r="R2463" s="431"/>
      <c r="S2463" s="318"/>
      <c r="U2463" s="319"/>
      <c r="W2463" s="319"/>
      <c r="Y2463" s="319"/>
    </row>
    <row r="2464" spans="2:27">
      <c r="B2464" s="317" t="s">
        <v>1334</v>
      </c>
      <c r="G2464" s="431"/>
      <c r="H2464" s="433"/>
      <c r="L2464" s="431"/>
      <c r="M2464" s="433"/>
      <c r="N2464" s="431"/>
      <c r="O2464" s="433"/>
      <c r="P2464" s="431"/>
      <c r="Q2464" s="433"/>
      <c r="R2464" s="431"/>
      <c r="S2464" s="433"/>
      <c r="U2464" s="319"/>
      <c r="W2464" s="319"/>
      <c r="Y2464" s="319"/>
      <c r="AA2464" s="291" t="s">
        <v>1173</v>
      </c>
    </row>
    <row r="2465" spans="2:27">
      <c r="B2465" s="317" t="s">
        <v>1335</v>
      </c>
      <c r="G2465" s="431"/>
      <c r="H2465" s="433"/>
      <c r="L2465" s="431">
        <f t="shared" ref="L2465:L2466" si="1431">L2257</f>
        <v>0.01</v>
      </c>
      <c r="M2465" s="433"/>
      <c r="N2465" s="431">
        <f t="shared" ref="N2465:N2466" si="1432">N2257</f>
        <v>0.89</v>
      </c>
      <c r="O2465" s="433"/>
      <c r="P2465" s="431">
        <f t="shared" ref="P2465:P2466" si="1433">P2257</f>
        <v>0</v>
      </c>
      <c r="Q2465" s="433"/>
      <c r="R2465" s="431">
        <f t="shared" ref="R2465:R2466" si="1434">R2257</f>
        <v>0.9</v>
      </c>
      <c r="S2465" s="433"/>
      <c r="T2465" s="294">
        <f t="shared" ref="T2465:T2466" si="1435">ROUND($E2465*L2465,0)</f>
        <v>0</v>
      </c>
      <c r="U2465" s="319"/>
      <c r="V2465" s="294">
        <f t="shared" ref="V2465:Z2466" si="1436">ROUND($E2465*N2465,0)</f>
        <v>0</v>
      </c>
      <c r="W2465" s="319"/>
      <c r="X2465" s="294">
        <f t="shared" si="1436"/>
        <v>0</v>
      </c>
      <c r="Y2465" s="319"/>
      <c r="Z2465" s="294">
        <f t="shared" si="1436"/>
        <v>0</v>
      </c>
      <c r="AA2465" s="291">
        <f t="shared" ref="AA2465:AA2466" si="1437">AA2361</f>
        <v>0.8153977208412958</v>
      </c>
    </row>
    <row r="2466" spans="2:27">
      <c r="B2466" s="317" t="s">
        <v>1336</v>
      </c>
      <c r="G2466" s="431"/>
      <c r="H2466" s="433"/>
      <c r="L2466" s="431">
        <f t="shared" si="1431"/>
        <v>0.01</v>
      </c>
      <c r="M2466" s="433"/>
      <c r="N2466" s="431">
        <f t="shared" si="1432"/>
        <v>0.79</v>
      </c>
      <c r="O2466" s="433"/>
      <c r="P2466" s="431">
        <f t="shared" si="1433"/>
        <v>0</v>
      </c>
      <c r="Q2466" s="433"/>
      <c r="R2466" s="431">
        <f t="shared" si="1434"/>
        <v>0.8</v>
      </c>
      <c r="S2466" s="433"/>
      <c r="T2466" s="294">
        <f t="shared" si="1435"/>
        <v>0</v>
      </c>
      <c r="U2466" s="319"/>
      <c r="V2466" s="294">
        <f t="shared" si="1436"/>
        <v>0</v>
      </c>
      <c r="W2466" s="319"/>
      <c r="X2466" s="294">
        <f t="shared" si="1436"/>
        <v>0</v>
      </c>
      <c r="Y2466" s="319"/>
      <c r="Z2466" s="294">
        <f t="shared" si="1436"/>
        <v>0</v>
      </c>
      <c r="AA2466" s="291">
        <f t="shared" si="1437"/>
        <v>1.1372413252842475</v>
      </c>
    </row>
    <row r="2467" spans="2:27">
      <c r="B2467" s="317" t="s">
        <v>1337</v>
      </c>
      <c r="G2467" s="432"/>
      <c r="H2467" s="434"/>
      <c r="L2467" s="432"/>
      <c r="M2467" s="434"/>
      <c r="N2467" s="432"/>
      <c r="O2467" s="434"/>
      <c r="P2467" s="432"/>
      <c r="Q2467" s="434"/>
      <c r="R2467" s="432"/>
      <c r="S2467" s="434"/>
    </row>
    <row r="2468" spans="2:27">
      <c r="B2468" s="317" t="s">
        <v>1335</v>
      </c>
      <c r="G2468" s="432"/>
      <c r="H2468" s="434"/>
      <c r="L2468" s="432">
        <f t="shared" ref="L2468:L2469" si="1438">L2260</f>
        <v>0.01</v>
      </c>
      <c r="M2468" s="434"/>
      <c r="N2468" s="432">
        <f t="shared" ref="N2468:N2469" si="1439">N2260</f>
        <v>0.44</v>
      </c>
      <c r="O2468" s="434"/>
      <c r="P2468" s="432">
        <f t="shared" ref="P2468:P2469" si="1440">P2260</f>
        <v>0</v>
      </c>
      <c r="Q2468" s="434"/>
      <c r="R2468" s="432">
        <f t="shared" ref="R2468:R2469" si="1441">R2260</f>
        <v>0.45</v>
      </c>
      <c r="S2468" s="434"/>
      <c r="T2468" s="294">
        <f t="shared" ref="T2468:T2469" si="1442">ROUND($E2468*L2468,0)</f>
        <v>0</v>
      </c>
      <c r="V2468" s="294">
        <f t="shared" ref="V2468:Z2469" si="1443">ROUND($E2468*N2468,0)</f>
        <v>0</v>
      </c>
      <c r="X2468" s="294">
        <f t="shared" si="1443"/>
        <v>0</v>
      </c>
      <c r="Z2468" s="294">
        <f t="shared" si="1443"/>
        <v>0</v>
      </c>
      <c r="AA2468" s="291">
        <f t="shared" ref="AA2468:AA2469" si="1444">AA2364</f>
        <v>0.8153977208412958</v>
      </c>
    </row>
    <row r="2469" spans="2:27">
      <c r="B2469" s="317" t="s">
        <v>1336</v>
      </c>
      <c r="G2469" s="432"/>
      <c r="H2469" s="434"/>
      <c r="L2469" s="432">
        <f t="shared" si="1438"/>
        <v>0.01</v>
      </c>
      <c r="M2469" s="434"/>
      <c r="N2469" s="432">
        <f t="shared" si="1439"/>
        <v>0.39</v>
      </c>
      <c r="O2469" s="434"/>
      <c r="P2469" s="432">
        <f t="shared" si="1440"/>
        <v>0</v>
      </c>
      <c r="Q2469" s="434"/>
      <c r="R2469" s="432">
        <f t="shared" si="1441"/>
        <v>0.4</v>
      </c>
      <c r="S2469" s="434"/>
      <c r="T2469" s="294">
        <f t="shared" si="1442"/>
        <v>0</v>
      </c>
      <c r="V2469" s="294">
        <f t="shared" si="1443"/>
        <v>0</v>
      </c>
      <c r="X2469" s="294">
        <f t="shared" si="1443"/>
        <v>0</v>
      </c>
      <c r="Z2469" s="294">
        <f t="shared" si="1443"/>
        <v>0</v>
      </c>
      <c r="AA2469" s="291">
        <f t="shared" si="1444"/>
        <v>1.1372413252842475</v>
      </c>
    </row>
    <row r="2470" spans="2:27">
      <c r="B2470" s="317" t="s">
        <v>1338</v>
      </c>
      <c r="G2470" s="431"/>
      <c r="H2470" s="318"/>
      <c r="L2470" s="431"/>
      <c r="M2470" s="318"/>
      <c r="N2470" s="431"/>
      <c r="O2470" s="318"/>
      <c r="P2470" s="431"/>
      <c r="Q2470" s="318"/>
      <c r="R2470" s="431"/>
      <c r="S2470" s="318"/>
      <c r="U2470" s="319"/>
      <c r="W2470" s="319"/>
      <c r="Y2470" s="319"/>
    </row>
    <row r="2471" spans="2:27">
      <c r="B2471" s="317" t="s">
        <v>1335</v>
      </c>
      <c r="G2471" s="431"/>
      <c r="H2471" s="318"/>
      <c r="L2471" s="431">
        <f t="shared" ref="L2471:L2472" si="1445">L2263</f>
        <v>0.45</v>
      </c>
      <c r="M2471" s="318"/>
      <c r="N2471" s="431">
        <f t="shared" ref="N2471:N2472" si="1446">N2263</f>
        <v>39.989999999999995</v>
      </c>
      <c r="O2471" s="318"/>
      <c r="P2471" s="431">
        <f t="shared" ref="P2471:P2472" si="1447">P2263</f>
        <v>0</v>
      </c>
      <c r="Q2471" s="318"/>
      <c r="R2471" s="431">
        <f t="shared" ref="R2471:R2472" si="1448">R2263</f>
        <v>40.44</v>
      </c>
      <c r="S2471" s="318"/>
      <c r="T2471" s="294">
        <f t="shared" ref="T2471:T2472" si="1449">ROUND($E2471*L2471,0)</f>
        <v>0</v>
      </c>
      <c r="U2471" s="319"/>
      <c r="V2471" s="294">
        <f t="shared" ref="V2471:Z2472" si="1450">ROUND($E2471*N2471,0)</f>
        <v>0</v>
      </c>
      <c r="W2471" s="319"/>
      <c r="X2471" s="294">
        <f t="shared" si="1450"/>
        <v>0</v>
      </c>
      <c r="Y2471" s="319"/>
      <c r="Z2471" s="294">
        <f t="shared" si="1450"/>
        <v>0</v>
      </c>
      <c r="AA2471" s="291">
        <f t="shared" ref="AA2471:AA2472" si="1451">AA2367</f>
        <v>0.8153977208412958</v>
      </c>
    </row>
    <row r="2472" spans="2:27">
      <c r="B2472" s="317" t="s">
        <v>1336</v>
      </c>
      <c r="G2472" s="431"/>
      <c r="H2472" s="318"/>
      <c r="L2472" s="431">
        <f t="shared" si="1445"/>
        <v>0.45</v>
      </c>
      <c r="M2472" s="318"/>
      <c r="N2472" s="431">
        <f t="shared" si="1446"/>
        <v>35.339999999999996</v>
      </c>
      <c r="O2472" s="318"/>
      <c r="P2472" s="431">
        <f t="shared" si="1447"/>
        <v>0</v>
      </c>
      <c r="Q2472" s="318"/>
      <c r="R2472" s="431">
        <f t="shared" si="1448"/>
        <v>35.79</v>
      </c>
      <c r="S2472" s="318"/>
      <c r="T2472" s="294">
        <f t="shared" si="1449"/>
        <v>0</v>
      </c>
      <c r="U2472" s="319"/>
      <c r="V2472" s="294">
        <f t="shared" si="1450"/>
        <v>0</v>
      </c>
      <c r="W2472" s="319"/>
      <c r="X2472" s="294">
        <f t="shared" si="1450"/>
        <v>0</v>
      </c>
      <c r="Y2472" s="319"/>
      <c r="Z2472" s="294">
        <f t="shared" si="1450"/>
        <v>0</v>
      </c>
      <c r="AA2472" s="291">
        <f t="shared" si="1451"/>
        <v>1.1372413252842475</v>
      </c>
    </row>
    <row r="2473" spans="2:27">
      <c r="B2473" s="317" t="s">
        <v>1334</v>
      </c>
      <c r="G2473" s="431"/>
      <c r="H2473" s="433"/>
      <c r="L2473" s="431"/>
      <c r="M2473" s="433"/>
      <c r="N2473" s="431"/>
      <c r="O2473" s="433"/>
      <c r="P2473" s="431"/>
      <c r="Q2473" s="433"/>
      <c r="R2473" s="431"/>
      <c r="S2473" s="433"/>
      <c r="U2473" s="319"/>
      <c r="W2473" s="319"/>
      <c r="Y2473" s="319"/>
    </row>
    <row r="2474" spans="2:27">
      <c r="B2474" s="317" t="s">
        <v>1339</v>
      </c>
      <c r="G2474" s="431">
        <v>0.86</v>
      </c>
      <c r="H2474" s="433"/>
      <c r="I2474" s="294">
        <f>ROUND($G2474*D2474,0)</f>
        <v>0</v>
      </c>
      <c r="J2474" s="294">
        <f>ROUND($G2474*E2474,0)</f>
        <v>0</v>
      </c>
      <c r="L2474" s="431"/>
      <c r="M2474" s="433"/>
      <c r="N2474" s="431"/>
      <c r="O2474" s="433"/>
      <c r="P2474" s="431"/>
      <c r="Q2474" s="433"/>
      <c r="R2474" s="431"/>
      <c r="S2474" s="433"/>
      <c r="U2474" s="319"/>
      <c r="W2474" s="319"/>
      <c r="Y2474" s="319"/>
    </row>
    <row r="2475" spans="2:27">
      <c r="B2475" s="317" t="s">
        <v>1340</v>
      </c>
      <c r="G2475" s="431">
        <v>0.6</v>
      </c>
      <c r="H2475" s="433"/>
      <c r="I2475" s="294">
        <f>ROUND($G2475*D2475,0)</f>
        <v>0</v>
      </c>
      <c r="J2475" s="294">
        <f>ROUND($G2475*E2475,0)</f>
        <v>0</v>
      </c>
      <c r="L2475" s="431"/>
      <c r="M2475" s="433"/>
      <c r="N2475" s="431"/>
      <c r="O2475" s="433"/>
      <c r="P2475" s="431"/>
      <c r="Q2475" s="433"/>
      <c r="R2475" s="431"/>
      <c r="S2475" s="433"/>
      <c r="U2475" s="319"/>
      <c r="W2475" s="319"/>
      <c r="Y2475" s="319"/>
    </row>
    <row r="2476" spans="2:27">
      <c r="B2476" s="317" t="s">
        <v>1337</v>
      </c>
      <c r="G2476" s="432"/>
      <c r="H2476" s="434"/>
      <c r="L2476" s="432"/>
      <c r="M2476" s="434"/>
      <c r="N2476" s="432"/>
      <c r="O2476" s="434"/>
      <c r="P2476" s="432"/>
      <c r="Q2476" s="434"/>
      <c r="R2476" s="432"/>
      <c r="S2476" s="434"/>
    </row>
    <row r="2477" spans="2:27">
      <c r="B2477" s="317" t="s">
        <v>1339</v>
      </c>
      <c r="G2477" s="432">
        <v>0.43</v>
      </c>
      <c r="H2477" s="434"/>
      <c r="I2477" s="294">
        <f>ROUND($G2477*D2477,0)</f>
        <v>0</v>
      </c>
      <c r="J2477" s="294">
        <f>ROUND($G2477*E2477,0)</f>
        <v>0</v>
      </c>
      <c r="L2477" s="432"/>
      <c r="M2477" s="434"/>
      <c r="N2477" s="432"/>
      <c r="O2477" s="434"/>
      <c r="P2477" s="432"/>
      <c r="Q2477" s="434"/>
      <c r="R2477" s="432"/>
      <c r="S2477" s="434"/>
    </row>
    <row r="2478" spans="2:27">
      <c r="B2478" s="317" t="s">
        <v>1340</v>
      </c>
      <c r="G2478" s="432">
        <v>0.3</v>
      </c>
      <c r="H2478" s="434"/>
      <c r="I2478" s="294">
        <f>ROUND($G2478*D2478,0)</f>
        <v>0</v>
      </c>
      <c r="J2478" s="294">
        <f>ROUND($G2478*E2478,0)</f>
        <v>0</v>
      </c>
      <c r="L2478" s="432"/>
      <c r="M2478" s="434"/>
      <c r="N2478" s="432"/>
      <c r="O2478" s="434"/>
      <c r="P2478" s="432"/>
      <c r="Q2478" s="434"/>
      <c r="R2478" s="432"/>
      <c r="S2478" s="434"/>
    </row>
    <row r="2479" spans="2:27">
      <c r="B2479" s="317" t="s">
        <v>1338</v>
      </c>
      <c r="G2479" s="431"/>
      <c r="H2479" s="318"/>
      <c r="L2479" s="431"/>
      <c r="M2479" s="318"/>
      <c r="N2479" s="431"/>
      <c r="O2479" s="318"/>
      <c r="P2479" s="431"/>
      <c r="Q2479" s="318"/>
      <c r="R2479" s="431"/>
      <c r="S2479" s="318"/>
      <c r="U2479" s="319"/>
      <c r="W2479" s="319"/>
      <c r="Y2479" s="319"/>
    </row>
    <row r="2480" spans="2:27">
      <c r="B2480" s="317" t="s">
        <v>1339</v>
      </c>
      <c r="G2480" s="431">
        <v>38.54</v>
      </c>
      <c r="H2480" s="318"/>
      <c r="I2480" s="294">
        <f>ROUND($G2480*D2480,0)</f>
        <v>0</v>
      </c>
      <c r="J2480" s="294">
        <f>ROUND($G2480*E2480,0)</f>
        <v>0</v>
      </c>
      <c r="L2480" s="431"/>
      <c r="M2480" s="318"/>
      <c r="N2480" s="431"/>
      <c r="O2480" s="318"/>
      <c r="P2480" s="431"/>
      <c r="Q2480" s="318"/>
      <c r="R2480" s="431"/>
      <c r="S2480" s="318"/>
      <c r="U2480" s="319"/>
      <c r="W2480" s="319"/>
      <c r="Y2480" s="319"/>
    </row>
    <row r="2481" spans="2:27">
      <c r="B2481" s="317" t="s">
        <v>1340</v>
      </c>
      <c r="G2481" s="431">
        <v>29.77</v>
      </c>
      <c r="H2481" s="318"/>
      <c r="I2481" s="294">
        <f>ROUND($G2481*D2481,0)</f>
        <v>0</v>
      </c>
      <c r="J2481" s="294">
        <f>ROUND($G2481*E2481,0)</f>
        <v>0</v>
      </c>
      <c r="L2481" s="431"/>
      <c r="M2481" s="318"/>
      <c r="N2481" s="431"/>
      <c r="O2481" s="318"/>
      <c r="P2481" s="431"/>
      <c r="Q2481" s="318"/>
      <c r="R2481" s="431"/>
      <c r="S2481" s="318"/>
      <c r="U2481" s="319"/>
      <c r="W2481" s="319"/>
      <c r="Y2481" s="319"/>
    </row>
    <row r="2482" spans="2:27">
      <c r="B2482" s="428" t="s">
        <v>1342</v>
      </c>
      <c r="G2482" s="432"/>
      <c r="L2482" s="432"/>
      <c r="N2482" s="432"/>
      <c r="P2482" s="432"/>
      <c r="R2482" s="432"/>
    </row>
    <row r="2483" spans="2:27">
      <c r="B2483" s="317" t="s">
        <v>1331</v>
      </c>
      <c r="D2483" s="293">
        <f>'[7]31'!I4</f>
        <v>36</v>
      </c>
      <c r="E2483" s="293">
        <f>[7]Bill!P67</f>
        <v>36</v>
      </c>
      <c r="G2483" s="431">
        <v>678</v>
      </c>
      <c r="H2483" s="318"/>
      <c r="I2483" s="294">
        <f>ROUND($G2483*D2483,0)</f>
        <v>24408</v>
      </c>
      <c r="J2483" s="294">
        <f>ROUND($G2483*E2483,0)</f>
        <v>24408</v>
      </c>
      <c r="L2483" s="431">
        <f t="shared" ref="L2483:L2484" si="1452">L2275</f>
        <v>701.35</v>
      </c>
      <c r="M2483" s="318"/>
      <c r="N2483" s="431">
        <f t="shared" ref="N2483:N2484" si="1453">N2275</f>
        <v>9.65</v>
      </c>
      <c r="O2483" s="318"/>
      <c r="P2483" s="431">
        <f t="shared" ref="P2483:P2484" si="1454">P2275</f>
        <v>-2.3092638912203256E-14</v>
      </c>
      <c r="Q2483" s="318"/>
      <c r="R2483" s="431">
        <f t="shared" ref="R2483:R2484" si="1455">R2275</f>
        <v>711</v>
      </c>
      <c r="S2483" s="318"/>
      <c r="T2483" s="294">
        <f>ROUND($E2483*L2483,0)</f>
        <v>25249</v>
      </c>
      <c r="U2483" s="319"/>
      <c r="V2483" s="294">
        <f>ROUND($E2483*N2483,0)</f>
        <v>347</v>
      </c>
      <c r="W2483" s="319"/>
      <c r="X2483" s="294">
        <f>ROUND($E2483*P2483,0)</f>
        <v>0</v>
      </c>
      <c r="Y2483" s="319"/>
      <c r="Z2483" s="294">
        <f>ROUND($E2483*R2483,0)</f>
        <v>25596</v>
      </c>
    </row>
    <row r="2484" spans="2:27">
      <c r="B2484" s="317" t="s">
        <v>1332</v>
      </c>
      <c r="D2484" s="293">
        <f>'[7]31'!J4</f>
        <v>189039</v>
      </c>
      <c r="E2484" s="293">
        <f>ROUND(D2484/$D$2539*$E$2539,0)</f>
        <v>228822</v>
      </c>
      <c r="G2484" s="431">
        <v>2.63</v>
      </c>
      <c r="H2484" s="318"/>
      <c r="I2484" s="294">
        <f>ROUND($G2484*D2484,0)</f>
        <v>497173</v>
      </c>
      <c r="J2484" s="294">
        <f>ROUND($G2484*E2484,0)</f>
        <v>601802</v>
      </c>
      <c r="L2484" s="431">
        <f t="shared" si="1452"/>
        <v>0</v>
      </c>
      <c r="M2484" s="318"/>
      <c r="N2484" s="431">
        <f t="shared" si="1453"/>
        <v>2.76</v>
      </c>
      <c r="O2484" s="318"/>
      <c r="P2484" s="431">
        <f t="shared" si="1454"/>
        <v>0</v>
      </c>
      <c r="Q2484" s="318"/>
      <c r="R2484" s="431">
        <f t="shared" si="1455"/>
        <v>2.76</v>
      </c>
      <c r="S2484" s="318"/>
      <c r="T2484" s="294">
        <f>ROUND($E2484*L2484,0)</f>
        <v>0</v>
      </c>
      <c r="U2484" s="319"/>
      <c r="V2484" s="294">
        <f>ROUND($E2484*N2484,0)</f>
        <v>631549</v>
      </c>
      <c r="W2484" s="319"/>
      <c r="X2484" s="294">
        <f>ROUND($E2484*P2484,0)</f>
        <v>0</v>
      </c>
      <c r="Y2484" s="319"/>
      <c r="Z2484" s="294">
        <f>ROUND($E2484*R2484,0)</f>
        <v>631549</v>
      </c>
    </row>
    <row r="2485" spans="2:27">
      <c r="B2485" s="317" t="s">
        <v>1333</v>
      </c>
      <c r="G2485" s="432"/>
      <c r="H2485" s="339"/>
      <c r="L2485" s="432"/>
      <c r="M2485" s="339"/>
      <c r="N2485" s="432"/>
      <c r="O2485" s="339"/>
      <c r="P2485" s="432"/>
      <c r="Q2485" s="339"/>
      <c r="R2485" s="432"/>
      <c r="S2485" s="339"/>
    </row>
    <row r="2486" spans="2:27">
      <c r="B2486" s="317" t="s">
        <v>1334</v>
      </c>
      <c r="G2486" s="431"/>
      <c r="H2486" s="433"/>
      <c r="L2486" s="431"/>
      <c r="M2486" s="433"/>
      <c r="N2486" s="431"/>
      <c r="O2486" s="433"/>
      <c r="P2486" s="431"/>
      <c r="Q2486" s="433"/>
      <c r="R2486" s="431"/>
      <c r="S2486" s="433"/>
      <c r="U2486" s="319"/>
      <c r="W2486" s="319"/>
      <c r="Y2486" s="319"/>
      <c r="AA2486" s="291" t="s">
        <v>1173</v>
      </c>
    </row>
    <row r="2487" spans="2:27">
      <c r="B2487" s="317" t="s">
        <v>1335</v>
      </c>
      <c r="D2487" s="293">
        <f>D2496*AA2487</f>
        <v>331327.89448893128</v>
      </c>
      <c r="E2487" s="293">
        <f>ROUND(D2487/$D$2539*$E$2539,0)</f>
        <v>401055</v>
      </c>
      <c r="G2487" s="431"/>
      <c r="H2487" s="433"/>
      <c r="L2487" s="431">
        <f t="shared" ref="L2487:L2488" si="1456">L2279</f>
        <v>0</v>
      </c>
      <c r="M2487" s="433"/>
      <c r="N2487" s="431">
        <f t="shared" ref="N2487:N2488" si="1457">N2279</f>
        <v>0.8</v>
      </c>
      <c r="O2487" s="433"/>
      <c r="P2487" s="431">
        <f t="shared" ref="P2487:P2488" si="1458">P2279</f>
        <v>0</v>
      </c>
      <c r="Q2487" s="433"/>
      <c r="R2487" s="431">
        <f t="shared" ref="R2487:R2488" si="1459">R2279</f>
        <v>0.8</v>
      </c>
      <c r="S2487" s="433"/>
      <c r="T2487" s="294">
        <f t="shared" ref="T2487:T2488" si="1460">ROUND($E2487*L2487,0)</f>
        <v>0</v>
      </c>
      <c r="U2487" s="319"/>
      <c r="V2487" s="294">
        <f t="shared" ref="V2487:Z2488" si="1461">ROUND($E2487*N2487,0)</f>
        <v>320844</v>
      </c>
      <c r="W2487" s="319"/>
      <c r="X2487" s="294">
        <f t="shared" si="1461"/>
        <v>0</v>
      </c>
      <c r="Y2487" s="319"/>
      <c r="Z2487" s="294">
        <f t="shared" si="1461"/>
        <v>320844</v>
      </c>
      <c r="AA2487" s="291">
        <f t="shared" ref="AA2487:AA2488" si="1462">AA2383</f>
        <v>0.8153977208412958</v>
      </c>
    </row>
    <row r="2488" spans="2:27">
      <c r="B2488" s="317" t="s">
        <v>1336</v>
      </c>
      <c r="D2488" s="293">
        <f>D2497*AA2488</f>
        <v>164884.07078766191</v>
      </c>
      <c r="E2488" s="293">
        <f>ROUND(D2488/$D$2539*$E$2539,0)</f>
        <v>199584</v>
      </c>
      <c r="G2488" s="431"/>
      <c r="H2488" s="433"/>
      <c r="L2488" s="431">
        <f t="shared" si="1456"/>
        <v>0</v>
      </c>
      <c r="M2488" s="433"/>
      <c r="N2488" s="431">
        <f t="shared" si="1457"/>
        <v>0.71</v>
      </c>
      <c r="O2488" s="433"/>
      <c r="P2488" s="431">
        <f t="shared" si="1458"/>
        <v>0</v>
      </c>
      <c r="Q2488" s="433"/>
      <c r="R2488" s="431">
        <f t="shared" si="1459"/>
        <v>0.71</v>
      </c>
      <c r="S2488" s="433"/>
      <c r="T2488" s="294">
        <f t="shared" si="1460"/>
        <v>0</v>
      </c>
      <c r="U2488" s="319"/>
      <c r="V2488" s="294">
        <f t="shared" si="1461"/>
        <v>141705</v>
      </c>
      <c r="W2488" s="319"/>
      <c r="X2488" s="294">
        <f t="shared" si="1461"/>
        <v>0</v>
      </c>
      <c r="Y2488" s="319"/>
      <c r="Z2488" s="294">
        <f t="shared" si="1461"/>
        <v>141705</v>
      </c>
      <c r="AA2488" s="291">
        <f t="shared" si="1462"/>
        <v>1.1372413252842475</v>
      </c>
    </row>
    <row r="2489" spans="2:27">
      <c r="B2489" s="317" t="s">
        <v>1337</v>
      </c>
      <c r="G2489" s="432"/>
      <c r="H2489" s="434"/>
      <c r="L2489" s="432"/>
      <c r="M2489" s="434"/>
      <c r="N2489" s="432"/>
      <c r="O2489" s="434"/>
      <c r="P2489" s="432"/>
      <c r="Q2489" s="434"/>
      <c r="R2489" s="432"/>
      <c r="S2489" s="434"/>
    </row>
    <row r="2490" spans="2:27">
      <c r="B2490" s="317" t="s">
        <v>1335</v>
      </c>
      <c r="D2490" s="293">
        <f>D2499*AA2490</f>
        <v>0</v>
      </c>
      <c r="E2490" s="293">
        <f>ROUND(D2490/$D$2539*$E$2539,0)</f>
        <v>0</v>
      </c>
      <c r="G2490" s="432"/>
      <c r="H2490" s="434"/>
      <c r="L2490" s="432">
        <f t="shared" ref="L2490:L2491" si="1463">L2282</f>
        <v>0</v>
      </c>
      <c r="M2490" s="434"/>
      <c r="N2490" s="432">
        <f t="shared" ref="N2490:N2491" si="1464">N2282</f>
        <v>0.4</v>
      </c>
      <c r="O2490" s="434"/>
      <c r="P2490" s="432">
        <f t="shared" ref="P2490:P2491" si="1465">P2282</f>
        <v>0</v>
      </c>
      <c r="Q2490" s="434"/>
      <c r="R2490" s="432">
        <f t="shared" ref="R2490:R2491" si="1466">R2282</f>
        <v>0.4</v>
      </c>
      <c r="S2490" s="434"/>
      <c r="T2490" s="294">
        <f t="shared" ref="T2490:T2491" si="1467">ROUND($E2490*L2490,0)</f>
        <v>0</v>
      </c>
      <c r="V2490" s="294">
        <f t="shared" ref="V2490:Z2491" si="1468">ROUND($E2490*N2490,0)</f>
        <v>0</v>
      </c>
      <c r="X2490" s="294">
        <f t="shared" si="1468"/>
        <v>0</v>
      </c>
      <c r="Z2490" s="294">
        <f t="shared" si="1468"/>
        <v>0</v>
      </c>
      <c r="AA2490" s="291">
        <f t="shared" ref="AA2490:AA2491" si="1469">AA2386</f>
        <v>0.8153977208412958</v>
      </c>
    </row>
    <row r="2491" spans="2:27">
      <c r="B2491" s="317" t="s">
        <v>1336</v>
      </c>
      <c r="D2491" s="293">
        <f>D2500*AA2491</f>
        <v>124527.92511862511</v>
      </c>
      <c r="E2491" s="293">
        <f>ROUND(D2491/$D$2539*$E$2539,0)</f>
        <v>150735</v>
      </c>
      <c r="G2491" s="432"/>
      <c r="H2491" s="434"/>
      <c r="L2491" s="432">
        <f t="shared" si="1463"/>
        <v>0</v>
      </c>
      <c r="M2491" s="434"/>
      <c r="N2491" s="432">
        <f t="shared" si="1464"/>
        <v>0.35</v>
      </c>
      <c r="O2491" s="434"/>
      <c r="P2491" s="432">
        <f t="shared" si="1465"/>
        <v>0</v>
      </c>
      <c r="Q2491" s="434"/>
      <c r="R2491" s="432">
        <f t="shared" si="1466"/>
        <v>0.35</v>
      </c>
      <c r="S2491" s="434"/>
      <c r="T2491" s="294">
        <f t="shared" si="1467"/>
        <v>0</v>
      </c>
      <c r="V2491" s="294">
        <f t="shared" si="1468"/>
        <v>52757</v>
      </c>
      <c r="X2491" s="294">
        <f t="shared" si="1468"/>
        <v>0</v>
      </c>
      <c r="Z2491" s="294">
        <f t="shared" si="1468"/>
        <v>52757</v>
      </c>
      <c r="AA2491" s="291">
        <f t="shared" si="1469"/>
        <v>1.1372413252842475</v>
      </c>
    </row>
    <row r="2492" spans="2:27">
      <c r="B2492" s="317" t="s">
        <v>1338</v>
      </c>
      <c r="G2492" s="431"/>
      <c r="H2492" s="318"/>
      <c r="L2492" s="431"/>
      <c r="M2492" s="318"/>
      <c r="N2492" s="431"/>
      <c r="O2492" s="318"/>
      <c r="P2492" s="431"/>
      <c r="Q2492" s="318"/>
      <c r="R2492" s="431"/>
      <c r="S2492" s="318"/>
      <c r="U2492" s="319"/>
      <c r="W2492" s="319"/>
      <c r="Y2492" s="319"/>
    </row>
    <row r="2493" spans="2:27">
      <c r="B2493" s="317" t="s">
        <v>1335</v>
      </c>
      <c r="D2493" s="293">
        <f>D2502*AA2493</f>
        <v>0</v>
      </c>
      <c r="E2493" s="293">
        <f>ROUND(D2493/$D$2539*$E$2539,0)</f>
        <v>0</v>
      </c>
      <c r="G2493" s="431"/>
      <c r="H2493" s="318"/>
      <c r="L2493" s="431">
        <f t="shared" ref="L2493:L2494" si="1470">L2285</f>
        <v>0</v>
      </c>
      <c r="M2493" s="318"/>
      <c r="N2493" s="431">
        <f t="shared" ref="N2493:N2494" si="1471">N2285</f>
        <v>33.950000000000003</v>
      </c>
      <c r="O2493" s="318"/>
      <c r="P2493" s="431">
        <f t="shared" ref="P2493:P2494" si="1472">P2285</f>
        <v>0</v>
      </c>
      <c r="Q2493" s="318"/>
      <c r="R2493" s="431">
        <f t="shared" ref="R2493:R2494" si="1473">R2285</f>
        <v>33.950000000000003</v>
      </c>
      <c r="S2493" s="318"/>
      <c r="T2493" s="294">
        <f t="shared" ref="T2493:T2494" si="1474">ROUND($E2493*L2493,0)</f>
        <v>0</v>
      </c>
      <c r="U2493" s="319"/>
      <c r="V2493" s="294">
        <f t="shared" ref="V2493:Z2494" si="1475">ROUND($E2493*N2493,0)</f>
        <v>0</v>
      </c>
      <c r="W2493" s="319"/>
      <c r="X2493" s="294">
        <f t="shared" si="1475"/>
        <v>0</v>
      </c>
      <c r="Y2493" s="319"/>
      <c r="Z2493" s="294">
        <f t="shared" si="1475"/>
        <v>0</v>
      </c>
      <c r="AA2493" s="291">
        <f t="shared" ref="AA2493:AA2494" si="1476">AA2389</f>
        <v>0.8153977208412958</v>
      </c>
    </row>
    <row r="2494" spans="2:27">
      <c r="B2494" s="317" t="s">
        <v>1336</v>
      </c>
      <c r="D2494" s="293">
        <f>D2503*AA2494</f>
        <v>0</v>
      </c>
      <c r="E2494" s="293">
        <f>ROUND(D2494/$D$2539*$E$2539,0)</f>
        <v>0</v>
      </c>
      <c r="G2494" s="431"/>
      <c r="H2494" s="318"/>
      <c r="L2494" s="431">
        <f t="shared" si="1470"/>
        <v>0</v>
      </c>
      <c r="M2494" s="318"/>
      <c r="N2494" s="431">
        <f t="shared" si="1471"/>
        <v>30.04</v>
      </c>
      <c r="O2494" s="318"/>
      <c r="P2494" s="431">
        <f t="shared" si="1472"/>
        <v>0</v>
      </c>
      <c r="Q2494" s="318"/>
      <c r="R2494" s="431">
        <f t="shared" si="1473"/>
        <v>30.04</v>
      </c>
      <c r="S2494" s="318"/>
      <c r="T2494" s="294">
        <f t="shared" si="1474"/>
        <v>0</v>
      </c>
      <c r="U2494" s="319"/>
      <c r="V2494" s="294">
        <f t="shared" si="1475"/>
        <v>0</v>
      </c>
      <c r="W2494" s="319"/>
      <c r="X2494" s="294">
        <f t="shared" si="1475"/>
        <v>0</v>
      </c>
      <c r="Y2494" s="319"/>
      <c r="Z2494" s="294">
        <f t="shared" si="1475"/>
        <v>0</v>
      </c>
      <c r="AA2494" s="291">
        <f t="shared" si="1476"/>
        <v>1.1372413252842475</v>
      </c>
    </row>
    <row r="2495" spans="2:27">
      <c r="B2495" s="317" t="s">
        <v>1334</v>
      </c>
      <c r="G2495" s="431"/>
      <c r="H2495" s="433"/>
      <c r="L2495" s="431"/>
      <c r="M2495" s="433"/>
      <c r="N2495" s="431"/>
      <c r="O2495" s="433"/>
      <c r="P2495" s="431"/>
      <c r="Q2495" s="433"/>
      <c r="R2495" s="431"/>
      <c r="S2495" s="433"/>
      <c r="U2495" s="319"/>
      <c r="W2495" s="319"/>
      <c r="Y2495" s="319"/>
    </row>
    <row r="2496" spans="2:27">
      <c r="B2496" s="317" t="s">
        <v>1339</v>
      </c>
      <c r="D2496" s="293">
        <f>'[7]31'!N4</f>
        <v>406339</v>
      </c>
      <c r="E2496" s="293">
        <f>ROUND(D2496/$D$2539*$E$2539,0)</f>
        <v>491852</v>
      </c>
      <c r="G2496" s="431">
        <v>0.76</v>
      </c>
      <c r="H2496" s="433"/>
      <c r="I2496" s="294">
        <f>ROUND($G2496*D2496,0)</f>
        <v>308818</v>
      </c>
      <c r="J2496" s="294">
        <f>ROUND($G2496*E2496,0)</f>
        <v>373808</v>
      </c>
      <c r="L2496" s="431"/>
      <c r="M2496" s="433"/>
      <c r="N2496" s="431"/>
      <c r="O2496" s="433"/>
      <c r="P2496" s="431"/>
      <c r="Q2496" s="433"/>
      <c r="R2496" s="431"/>
      <c r="S2496" s="433"/>
      <c r="U2496" s="319"/>
      <c r="W2496" s="319"/>
      <c r="Y2496" s="319"/>
    </row>
    <row r="2497" spans="2:27">
      <c r="B2497" s="317" t="s">
        <v>1340</v>
      </c>
      <c r="D2497" s="293">
        <f>'[7]31'!O4</f>
        <v>144986</v>
      </c>
      <c r="E2497" s="293">
        <f>ROUND(D2497/$D$2539*$E$2539,0)</f>
        <v>175498</v>
      </c>
      <c r="G2497" s="431">
        <v>0.51</v>
      </c>
      <c r="H2497" s="433"/>
      <c r="I2497" s="294">
        <f>ROUND($G2497*D2497,0)</f>
        <v>73943</v>
      </c>
      <c r="J2497" s="294">
        <f>ROUND($G2497*E2497,0)</f>
        <v>89504</v>
      </c>
      <c r="L2497" s="431"/>
      <c r="M2497" s="433"/>
      <c r="N2497" s="431"/>
      <c r="O2497" s="433"/>
      <c r="P2497" s="431"/>
      <c r="Q2497" s="433"/>
      <c r="R2497" s="431"/>
      <c r="S2497" s="433"/>
      <c r="U2497" s="319"/>
      <c r="W2497" s="319"/>
      <c r="Y2497" s="319"/>
    </row>
    <row r="2498" spans="2:27">
      <c r="B2498" s="317" t="s">
        <v>1337</v>
      </c>
      <c r="G2498" s="432"/>
      <c r="H2498" s="434"/>
      <c r="L2498" s="432"/>
      <c r="M2498" s="434"/>
      <c r="N2498" s="432"/>
      <c r="O2498" s="434"/>
      <c r="P2498" s="432"/>
      <c r="Q2498" s="434"/>
      <c r="R2498" s="432"/>
      <c r="S2498" s="434"/>
    </row>
    <row r="2499" spans="2:27">
      <c r="B2499" s="317" t="s">
        <v>1339</v>
      </c>
      <c r="D2499" s="293">
        <f>'[7]31'!Q4</f>
        <v>0</v>
      </c>
      <c r="E2499" s="293">
        <f>ROUND(D2499/$D$2539*$E$2539,0)</f>
        <v>0</v>
      </c>
      <c r="G2499" s="432">
        <v>0.38</v>
      </c>
      <c r="H2499" s="434"/>
      <c r="I2499" s="294">
        <f>ROUND($G2499*D2499,0)</f>
        <v>0</v>
      </c>
      <c r="J2499" s="294">
        <f>ROUND($G2499*E2499,0)</f>
        <v>0</v>
      </c>
      <c r="L2499" s="432"/>
      <c r="M2499" s="434"/>
      <c r="N2499" s="432"/>
      <c r="O2499" s="434"/>
      <c r="P2499" s="432"/>
      <c r="Q2499" s="434"/>
      <c r="R2499" s="432"/>
      <c r="S2499" s="434"/>
    </row>
    <row r="2500" spans="2:27">
      <c r="B2500" s="317" t="s">
        <v>1340</v>
      </c>
      <c r="D2500" s="293">
        <f>'[7]31'!R4</f>
        <v>109500</v>
      </c>
      <c r="E2500" s="293">
        <f>ROUND(D2500/$D$2539*$E$2539,0)</f>
        <v>132544</v>
      </c>
      <c r="G2500" s="432">
        <v>0.255</v>
      </c>
      <c r="H2500" s="434"/>
      <c r="I2500" s="294">
        <f>ROUND($G2500*D2500,0)</f>
        <v>27923</v>
      </c>
      <c r="J2500" s="294">
        <f>ROUND($G2500*E2500,0)</f>
        <v>33799</v>
      </c>
      <c r="L2500" s="432"/>
      <c r="M2500" s="434"/>
      <c r="N2500" s="432"/>
      <c r="O2500" s="434"/>
      <c r="P2500" s="432"/>
      <c r="Q2500" s="434"/>
      <c r="R2500" s="432"/>
      <c r="S2500" s="434"/>
    </row>
    <row r="2501" spans="2:27">
      <c r="B2501" s="317" t="s">
        <v>1338</v>
      </c>
      <c r="G2501" s="431"/>
      <c r="H2501" s="318"/>
      <c r="L2501" s="431"/>
      <c r="M2501" s="318"/>
      <c r="N2501" s="431"/>
      <c r="O2501" s="318"/>
      <c r="P2501" s="431"/>
      <c r="Q2501" s="318"/>
      <c r="R2501" s="431"/>
      <c r="S2501" s="318"/>
      <c r="U2501" s="319"/>
      <c r="W2501" s="319"/>
      <c r="Y2501" s="319"/>
    </row>
    <row r="2502" spans="2:27">
      <c r="B2502" s="317" t="s">
        <v>1339</v>
      </c>
      <c r="D2502" s="293">
        <f>'[7]31'!T4</f>
        <v>0</v>
      </c>
      <c r="E2502" s="293">
        <f>ROUND(D2502/$D$2539*$E$2539,0)</f>
        <v>0</v>
      </c>
      <c r="G2502" s="431">
        <v>32.35</v>
      </c>
      <c r="H2502" s="318"/>
      <c r="I2502" s="294">
        <f>ROUND($G2502*D2502,0)</f>
        <v>0</v>
      </c>
      <c r="J2502" s="294">
        <f>ROUND($G2502*E2502,0)</f>
        <v>0</v>
      </c>
      <c r="L2502" s="431"/>
      <c r="M2502" s="318"/>
      <c r="N2502" s="431"/>
      <c r="O2502" s="318"/>
      <c r="P2502" s="431"/>
      <c r="Q2502" s="318"/>
      <c r="R2502" s="431"/>
      <c r="S2502" s="318"/>
      <c r="U2502" s="319"/>
      <c r="W2502" s="319"/>
      <c r="Y2502" s="319"/>
    </row>
    <row r="2503" spans="2:27">
      <c r="B2503" s="317" t="s">
        <v>1340</v>
      </c>
      <c r="D2503" s="293">
        <f>'[7]31'!U4</f>
        <v>0</v>
      </c>
      <c r="E2503" s="293">
        <f>ROUND(D2503/$D$2539*$E$2539,0)</f>
        <v>0</v>
      </c>
      <c r="G2503" s="431">
        <v>23.36</v>
      </c>
      <c r="H2503" s="318"/>
      <c r="I2503" s="294">
        <f>ROUND($G2503*D2503,0)</f>
        <v>0</v>
      </c>
      <c r="J2503" s="294">
        <f>ROUND($G2503*E2503,0)</f>
        <v>0</v>
      </c>
      <c r="L2503" s="431"/>
      <c r="M2503" s="318"/>
      <c r="N2503" s="431"/>
      <c r="O2503" s="318"/>
      <c r="P2503" s="431"/>
      <c r="Q2503" s="318"/>
      <c r="R2503" s="431"/>
      <c r="S2503" s="318"/>
      <c r="U2503" s="319"/>
      <c r="W2503" s="319"/>
      <c r="Y2503" s="319"/>
    </row>
    <row r="2504" spans="2:27">
      <c r="B2504" s="317" t="s">
        <v>1300</v>
      </c>
      <c r="D2504" s="412"/>
      <c r="E2504" s="412"/>
      <c r="G2504" s="377"/>
      <c r="H2504" s="377"/>
      <c r="I2504" s="358">
        <f>SUM(I2439:I2503)</f>
        <v>932265</v>
      </c>
      <c r="J2504" s="358">
        <f>SUM(J2439:J2503)</f>
        <v>1123321</v>
      </c>
      <c r="L2504" s="377"/>
      <c r="M2504" s="377"/>
      <c r="N2504" s="377"/>
      <c r="O2504" s="377"/>
      <c r="P2504" s="377"/>
      <c r="Q2504" s="377"/>
      <c r="R2504" s="377"/>
      <c r="S2504" s="377"/>
      <c r="T2504" s="358">
        <f>SUM(T2439:T2503)</f>
        <v>25249</v>
      </c>
      <c r="V2504" s="358">
        <f>SUM(V2439:V2503)</f>
        <v>1147202</v>
      </c>
      <c r="X2504" s="358">
        <f>SUM(X2439:X2503)</f>
        <v>0</v>
      </c>
      <c r="Z2504" s="358">
        <f>SUM(Z2439:Z2503)</f>
        <v>1172451</v>
      </c>
    </row>
    <row r="2505" spans="2:27">
      <c r="B2505" s="428" t="s">
        <v>1343</v>
      </c>
    </row>
    <row r="2506" spans="2:27">
      <c r="B2506" s="314" t="s">
        <v>1030</v>
      </c>
      <c r="G2506" s="339"/>
      <c r="H2506" s="339"/>
      <c r="L2506" s="339"/>
      <c r="M2506" s="339"/>
      <c r="N2506" s="339"/>
      <c r="O2506" s="339"/>
      <c r="P2506" s="339"/>
      <c r="Q2506" s="339"/>
      <c r="R2506" s="339"/>
      <c r="S2506" s="339"/>
    </row>
    <row r="2507" spans="2:27">
      <c r="B2507" s="317" t="s">
        <v>1101</v>
      </c>
      <c r="G2507" s="339">
        <v>4.76</v>
      </c>
      <c r="H2507" s="339"/>
      <c r="I2507" s="294">
        <f t="shared" ref="I2507:J2516" si="1477">ROUND($G2507*D2507,0)</f>
        <v>0</v>
      </c>
      <c r="J2507" s="294">
        <f t="shared" si="1477"/>
        <v>0</v>
      </c>
      <c r="L2507" s="339">
        <f t="shared" ref="L2507:L2513" si="1478">L2299</f>
        <v>4.95</v>
      </c>
      <c r="M2507" s="339"/>
      <c r="N2507" s="339">
        <f t="shared" ref="N2507:N2513" si="1479">N2299</f>
        <v>0</v>
      </c>
      <c r="O2507" s="339"/>
      <c r="P2507" s="339">
        <f t="shared" ref="P2507:P2513" si="1480">P2299</f>
        <v>0</v>
      </c>
      <c r="Q2507" s="339"/>
      <c r="R2507" s="339">
        <f t="shared" ref="R2507:R2513" si="1481">R2299</f>
        <v>4.95</v>
      </c>
      <c r="S2507" s="339"/>
      <c r="T2507" s="294">
        <f t="shared" ref="T2507:Z2509" si="1482">ROUND($E2507*L2507,0)</f>
        <v>0</v>
      </c>
      <c r="V2507" s="294">
        <f t="shared" si="1482"/>
        <v>0</v>
      </c>
      <c r="X2507" s="294">
        <f t="shared" si="1482"/>
        <v>0</v>
      </c>
      <c r="Z2507" s="294">
        <f t="shared" si="1482"/>
        <v>0</v>
      </c>
      <c r="AA2507" s="291" t="s">
        <v>1173</v>
      </c>
    </row>
    <row r="2508" spans="2:27">
      <c r="B2508" s="317" t="s">
        <v>1164</v>
      </c>
      <c r="G2508" s="339"/>
      <c r="H2508" s="339"/>
      <c r="L2508" s="339">
        <f t="shared" si="1478"/>
        <v>0.2</v>
      </c>
      <c r="M2508" s="339"/>
      <c r="N2508" s="339">
        <f t="shared" si="1479"/>
        <v>15.970000000000002</v>
      </c>
      <c r="O2508" s="339"/>
      <c r="P2508" s="339">
        <f t="shared" si="1480"/>
        <v>0</v>
      </c>
      <c r="Q2508" s="339"/>
      <c r="R2508" s="339">
        <f t="shared" si="1481"/>
        <v>16.170000000000002</v>
      </c>
      <c r="S2508" s="339"/>
      <c r="T2508" s="294">
        <f t="shared" si="1482"/>
        <v>0</v>
      </c>
      <c r="V2508" s="294">
        <f t="shared" si="1482"/>
        <v>0</v>
      </c>
      <c r="X2508" s="294">
        <f t="shared" si="1482"/>
        <v>0</v>
      </c>
      <c r="Z2508" s="294">
        <f t="shared" si="1482"/>
        <v>0</v>
      </c>
      <c r="AA2508" s="291">
        <f t="shared" ref="AA2508:AA2512" si="1483">AA2404</f>
        <v>0.81379813427318903</v>
      </c>
    </row>
    <row r="2509" spans="2:27">
      <c r="B2509" s="317" t="s">
        <v>1165</v>
      </c>
      <c r="G2509" s="339"/>
      <c r="H2509" s="339"/>
      <c r="L2509" s="339">
        <f t="shared" si="1478"/>
        <v>0.18</v>
      </c>
      <c r="M2509" s="339"/>
      <c r="N2509" s="339">
        <f t="shared" si="1479"/>
        <v>14.13</v>
      </c>
      <c r="O2509" s="339"/>
      <c r="P2509" s="339">
        <f t="shared" si="1480"/>
        <v>0</v>
      </c>
      <c r="Q2509" s="339"/>
      <c r="R2509" s="339">
        <f t="shared" si="1481"/>
        <v>14.31</v>
      </c>
      <c r="S2509" s="339"/>
      <c r="T2509" s="294">
        <f t="shared" si="1482"/>
        <v>0</v>
      </c>
      <c r="V2509" s="294">
        <f t="shared" si="1482"/>
        <v>0</v>
      </c>
      <c r="X2509" s="294">
        <f t="shared" si="1482"/>
        <v>0</v>
      </c>
      <c r="Z2509" s="294">
        <f t="shared" si="1482"/>
        <v>0</v>
      </c>
      <c r="AA2509" s="291">
        <f t="shared" si="1483"/>
        <v>1.1185941099117263</v>
      </c>
    </row>
    <row r="2510" spans="2:27">
      <c r="B2510" s="317" t="s">
        <v>1061</v>
      </c>
      <c r="G2510" s="377"/>
      <c r="H2510" s="343"/>
      <c r="L2510" s="377">
        <f t="shared" si="1478"/>
        <v>0</v>
      </c>
      <c r="M2510" s="343" t="s">
        <v>1062</v>
      </c>
      <c r="N2510" s="377">
        <f t="shared" si="1479"/>
        <v>1.4694</v>
      </c>
      <c r="O2510" s="343" t="s">
        <v>1062</v>
      </c>
      <c r="P2510" s="377">
        <f t="shared" si="1480"/>
        <v>3.80394495015</v>
      </c>
      <c r="Q2510" s="343" t="s">
        <v>1062</v>
      </c>
      <c r="R2510" s="377">
        <f t="shared" si="1481"/>
        <v>5.2733449501500003</v>
      </c>
      <c r="S2510" s="343" t="s">
        <v>1062</v>
      </c>
      <c r="T2510" s="294">
        <f>ROUND($E2510*L2510/100,0)</f>
        <v>0</v>
      </c>
      <c r="U2510" s="346"/>
      <c r="V2510" s="294">
        <f>ROUND($E2510*N2510/100,0)</f>
        <v>0</v>
      </c>
      <c r="W2510" s="346"/>
      <c r="X2510" s="294">
        <f>ROUND($E2510*P2510/100,0)</f>
        <v>0</v>
      </c>
      <c r="Y2510" s="346"/>
      <c r="Z2510" s="294">
        <f>ROUND($E2510*R2510/100,0)</f>
        <v>0</v>
      </c>
      <c r="AA2510" s="291">
        <f t="shared" si="1483"/>
        <v>0.97865323398143234</v>
      </c>
    </row>
    <row r="2511" spans="2:27">
      <c r="B2511" s="317" t="s">
        <v>1166</v>
      </c>
      <c r="G2511" s="377"/>
      <c r="H2511" s="343"/>
      <c r="L2511" s="377">
        <f t="shared" si="1478"/>
        <v>0</v>
      </c>
      <c r="M2511" s="343" t="s">
        <v>1062</v>
      </c>
      <c r="N2511" s="377">
        <f t="shared" si="1479"/>
        <v>1.4694</v>
      </c>
      <c r="O2511" s="343" t="s">
        <v>1062</v>
      </c>
      <c r="P2511" s="377">
        <f t="shared" si="1480"/>
        <v>3.1972769470349993</v>
      </c>
      <c r="Q2511" s="343" t="s">
        <v>1062</v>
      </c>
      <c r="R2511" s="377">
        <f t="shared" si="1481"/>
        <v>4.6666769470349996</v>
      </c>
      <c r="S2511" s="343" t="s">
        <v>1062</v>
      </c>
      <c r="T2511" s="294">
        <f t="shared" ref="T2511:Z2513" si="1484">ROUND($E2511*L2511/100,0)</f>
        <v>0</v>
      </c>
      <c r="U2511" s="346"/>
      <c r="V2511" s="294">
        <f t="shared" si="1484"/>
        <v>0</v>
      </c>
      <c r="W2511" s="346"/>
      <c r="X2511" s="294">
        <f t="shared" si="1484"/>
        <v>0</v>
      </c>
      <c r="Y2511" s="346"/>
      <c r="Z2511" s="294">
        <f t="shared" si="1484"/>
        <v>0</v>
      </c>
      <c r="AA2511" s="291">
        <f t="shared" si="1483"/>
        <v>0.69995827735124105</v>
      </c>
    </row>
    <row r="2512" spans="2:27">
      <c r="B2512" s="317" t="s">
        <v>1064</v>
      </c>
      <c r="G2512" s="377"/>
      <c r="H2512" s="343"/>
      <c r="L2512" s="377">
        <f t="shared" si="1478"/>
        <v>0</v>
      </c>
      <c r="M2512" s="343" t="s">
        <v>1062</v>
      </c>
      <c r="N2512" s="377">
        <f t="shared" si="1479"/>
        <v>1.4694</v>
      </c>
      <c r="O2512" s="343" t="s">
        <v>1062</v>
      </c>
      <c r="P2512" s="377">
        <f t="shared" si="1480"/>
        <v>1.5074530237289998</v>
      </c>
      <c r="Q2512" s="343" t="s">
        <v>1062</v>
      </c>
      <c r="R2512" s="377">
        <f t="shared" si="1481"/>
        <v>2.9768530237289998</v>
      </c>
      <c r="S2512" s="343" t="s">
        <v>1062</v>
      </c>
      <c r="T2512" s="294">
        <f t="shared" si="1484"/>
        <v>0</v>
      </c>
      <c r="U2512" s="346"/>
      <c r="V2512" s="294">
        <f t="shared" si="1484"/>
        <v>0</v>
      </c>
      <c r="W2512" s="346"/>
      <c r="X2512" s="294">
        <f t="shared" si="1484"/>
        <v>0</v>
      </c>
      <c r="Y2512" s="346"/>
      <c r="Z2512" s="294">
        <f t="shared" si="1484"/>
        <v>0</v>
      </c>
      <c r="AA2512" s="291">
        <f t="shared" si="1483"/>
        <v>0.24756464999612296</v>
      </c>
    </row>
    <row r="2513" spans="2:27">
      <c r="B2513" s="317" t="s">
        <v>1167</v>
      </c>
      <c r="G2513" s="377"/>
      <c r="H2513" s="343"/>
      <c r="I2513" s="438"/>
      <c r="J2513" s="438"/>
      <c r="L2513" s="377">
        <f t="shared" si="1478"/>
        <v>0</v>
      </c>
      <c r="M2513" s="343" t="s">
        <v>1062</v>
      </c>
      <c r="N2513" s="377">
        <f t="shared" si="1479"/>
        <v>1.4694</v>
      </c>
      <c r="O2513" s="343" t="s">
        <v>1062</v>
      </c>
      <c r="P2513" s="377">
        <f t="shared" si="1480"/>
        <v>1.1649832068399999</v>
      </c>
      <c r="Q2513" s="343" t="s">
        <v>1062</v>
      </c>
      <c r="R2513" s="377">
        <f t="shared" si="1481"/>
        <v>2.6343832068399999</v>
      </c>
      <c r="S2513" s="343" t="s">
        <v>1062</v>
      </c>
      <c r="T2513" s="294">
        <f t="shared" si="1484"/>
        <v>0</v>
      </c>
      <c r="U2513" s="346"/>
      <c r="V2513" s="294">
        <f t="shared" si="1484"/>
        <v>0</v>
      </c>
      <c r="W2513" s="346"/>
      <c r="X2513" s="294">
        <f t="shared" si="1484"/>
        <v>0</v>
      </c>
      <c r="Y2513" s="346"/>
      <c r="Z2513" s="294">
        <f t="shared" si="1484"/>
        <v>0</v>
      </c>
    </row>
    <row r="2514" spans="2:27">
      <c r="B2514" s="317" t="s">
        <v>1169</v>
      </c>
      <c r="G2514" s="339">
        <v>15.56</v>
      </c>
      <c r="H2514" s="339"/>
      <c r="I2514" s="294">
        <f t="shared" si="1477"/>
        <v>0</v>
      </c>
      <c r="J2514" s="294">
        <f t="shared" si="1477"/>
        <v>0</v>
      </c>
      <c r="L2514" s="339"/>
      <c r="M2514" s="339"/>
      <c r="N2514" s="339"/>
      <c r="O2514" s="339"/>
      <c r="P2514" s="339"/>
      <c r="Q2514" s="339"/>
      <c r="R2514" s="339"/>
      <c r="S2514" s="339"/>
    </row>
    <row r="2515" spans="2:27">
      <c r="B2515" s="317" t="s">
        <v>1171</v>
      </c>
      <c r="G2515" s="339">
        <v>11.19</v>
      </c>
      <c r="H2515" s="339"/>
      <c r="I2515" s="294">
        <f t="shared" si="1477"/>
        <v>0</v>
      </c>
      <c r="J2515" s="294">
        <f t="shared" si="1477"/>
        <v>0</v>
      </c>
      <c r="L2515" s="339"/>
      <c r="M2515" s="339"/>
      <c r="N2515" s="339"/>
      <c r="O2515" s="339"/>
      <c r="P2515" s="339"/>
      <c r="Q2515" s="339"/>
      <c r="R2515" s="339"/>
      <c r="S2515" s="339"/>
    </row>
    <row r="2516" spans="2:27">
      <c r="B2516" s="317" t="s">
        <v>1098</v>
      </c>
      <c r="G2516" s="339">
        <v>-1.1299999999999999</v>
      </c>
      <c r="H2516" s="339"/>
      <c r="I2516" s="294">
        <f t="shared" si="1477"/>
        <v>0</v>
      </c>
      <c r="J2516" s="294">
        <f t="shared" si="1477"/>
        <v>0</v>
      </c>
      <c r="L2516" s="339">
        <f>L2308</f>
        <v>-1.1299999999999999</v>
      </c>
      <c r="M2516" s="339"/>
      <c r="N2516" s="339">
        <f>N2308</f>
        <v>0</v>
      </c>
      <c r="O2516" s="339"/>
      <c r="P2516" s="339">
        <f>P2308</f>
        <v>0</v>
      </c>
      <c r="Q2516" s="339"/>
      <c r="R2516" s="339">
        <f>R2308</f>
        <v>-1.1299999999999999</v>
      </c>
      <c r="S2516" s="339"/>
      <c r="T2516" s="294">
        <f t="shared" ref="T2516:Z2516" si="1485">ROUND($E2516*L2516,0)</f>
        <v>0</v>
      </c>
      <c r="V2516" s="294">
        <f t="shared" si="1485"/>
        <v>0</v>
      </c>
      <c r="X2516" s="294">
        <f t="shared" si="1485"/>
        <v>0</v>
      </c>
      <c r="Z2516" s="294">
        <f t="shared" si="1485"/>
        <v>0</v>
      </c>
    </row>
    <row r="2517" spans="2:27">
      <c r="B2517" s="317" t="s">
        <v>1070</v>
      </c>
      <c r="G2517" s="377">
        <v>5.0473999999999997</v>
      </c>
      <c r="H2517" s="343" t="s">
        <v>1062</v>
      </c>
      <c r="I2517" s="294">
        <f t="shared" ref="I2517:J2519" si="1486">ROUND($G2517*D2517/100,0)</f>
        <v>0</v>
      </c>
      <c r="J2517" s="294">
        <f t="shared" si="1486"/>
        <v>0</v>
      </c>
      <c r="L2517" s="377"/>
      <c r="M2517" s="343"/>
      <c r="N2517" s="377"/>
      <c r="O2517" s="343"/>
      <c r="P2517" s="377"/>
      <c r="Q2517" s="343"/>
      <c r="R2517" s="377"/>
      <c r="S2517" s="343"/>
      <c r="U2517" s="346"/>
      <c r="W2517" s="346"/>
      <c r="Y2517" s="346"/>
    </row>
    <row r="2518" spans="2:27">
      <c r="B2518" s="317" t="s">
        <v>1126</v>
      </c>
      <c r="G2518" s="377">
        <v>3.9510999999999998</v>
      </c>
      <c r="H2518" s="343" t="s">
        <v>1062</v>
      </c>
      <c r="I2518" s="294">
        <f t="shared" si="1486"/>
        <v>0</v>
      </c>
      <c r="J2518" s="294">
        <f t="shared" si="1486"/>
        <v>0</v>
      </c>
      <c r="L2518" s="377"/>
      <c r="M2518" s="343"/>
      <c r="N2518" s="377"/>
      <c r="O2518" s="343"/>
      <c r="P2518" s="377"/>
      <c r="Q2518" s="343"/>
      <c r="R2518" s="377"/>
      <c r="S2518" s="343"/>
      <c r="U2518" s="346"/>
      <c r="W2518" s="346"/>
      <c r="Y2518" s="346"/>
    </row>
    <row r="2519" spans="2:27">
      <c r="B2519" s="317" t="s">
        <v>1086</v>
      </c>
      <c r="D2519" s="424"/>
      <c r="E2519" s="424"/>
      <c r="G2519" s="377">
        <v>3.4001999999999999</v>
      </c>
      <c r="H2519" s="343" t="s">
        <v>1062</v>
      </c>
      <c r="I2519" s="438">
        <f t="shared" si="1486"/>
        <v>0</v>
      </c>
      <c r="J2519" s="438">
        <f t="shared" si="1486"/>
        <v>0</v>
      </c>
      <c r="L2519" s="377"/>
      <c r="M2519" s="343"/>
      <c r="N2519" s="377"/>
      <c r="O2519" s="343"/>
      <c r="P2519" s="377"/>
      <c r="Q2519" s="343"/>
      <c r="R2519" s="377"/>
      <c r="S2519" s="343"/>
      <c r="T2519" s="438"/>
      <c r="U2519" s="346"/>
      <c r="V2519" s="438"/>
      <c r="W2519" s="346"/>
      <c r="X2519" s="438"/>
      <c r="Y2519" s="346"/>
      <c r="Z2519" s="438"/>
    </row>
    <row r="2520" spans="2:27">
      <c r="B2520" s="317" t="s">
        <v>1079</v>
      </c>
      <c r="G2520" s="338">
        <v>-3.1800000000000002E-2</v>
      </c>
      <c r="H2520" s="339"/>
      <c r="I2520" s="294">
        <f>SUM(I2514:I2515,I2517:I2519)*$G2520</f>
        <v>0</v>
      </c>
      <c r="J2520" s="294">
        <f>SUM(J2514:J2515,J2517:J2519)*$G2520</f>
        <v>0</v>
      </c>
      <c r="L2520" s="338"/>
      <c r="M2520" s="339"/>
      <c r="N2520" s="338"/>
      <c r="O2520" s="339"/>
      <c r="P2520" s="359" t="str">
        <f>$P$43</f>
        <v>Tax Year 1</v>
      </c>
      <c r="Q2520" s="339"/>
      <c r="R2520" s="338">
        <f t="shared" ref="R2520:R2521" si="1487">R2312</f>
        <v>-2.3300000000000001E-2</v>
      </c>
      <c r="S2520" s="339"/>
      <c r="Z2520" s="294">
        <f>R2520*SUM(Z2508:Z2513)</f>
        <v>0</v>
      </c>
    </row>
    <row r="2521" spans="2:27">
      <c r="B2521" s="317"/>
      <c r="G2521" s="338"/>
      <c r="H2521" s="339"/>
      <c r="L2521" s="338"/>
      <c r="M2521" s="339"/>
      <c r="N2521" s="338"/>
      <c r="O2521" s="339"/>
      <c r="P2521" s="359" t="str">
        <f>$P$44</f>
        <v>Tax Year 2</v>
      </c>
      <c r="Q2521" s="339"/>
      <c r="R2521" s="338">
        <f t="shared" si="1487"/>
        <v>-1.1599999999999999E-2</v>
      </c>
      <c r="S2521" s="339"/>
      <c r="Z2521" s="294">
        <f>R2521*SUM(Z2508:Z2513)</f>
        <v>0</v>
      </c>
    </row>
    <row r="2522" spans="2:27">
      <c r="B2522" s="314" t="s">
        <v>1031</v>
      </c>
      <c r="G2522" s="377"/>
      <c r="H2522" s="343"/>
      <c r="L2522" s="377"/>
      <c r="M2522" s="343"/>
      <c r="N2522" s="377"/>
      <c r="O2522" s="343"/>
      <c r="P2522" s="377"/>
      <c r="Q2522" s="343"/>
      <c r="R2522" s="377"/>
      <c r="S2522" s="343"/>
      <c r="U2522" s="346"/>
      <c r="W2522" s="346"/>
      <c r="Y2522" s="346"/>
    </row>
    <row r="2523" spans="2:27">
      <c r="B2523" s="317" t="s">
        <v>1101</v>
      </c>
      <c r="D2523" s="293">
        <f>'[7]31'!K4</f>
        <v>91799</v>
      </c>
      <c r="E2523" s="293">
        <f>ROUND(D2523/$D$2539*$E$2539,0)</f>
        <v>111118</v>
      </c>
      <c r="G2523" s="339">
        <v>2.2200000000000002</v>
      </c>
      <c r="H2523" s="339"/>
      <c r="I2523" s="294">
        <f t="shared" ref="I2523:J2531" si="1488">ROUND($G2523*D2523,0)</f>
        <v>203794</v>
      </c>
      <c r="J2523" s="294">
        <f t="shared" si="1488"/>
        <v>246682</v>
      </c>
      <c r="L2523" s="339">
        <f t="shared" ref="L2523:L2529" si="1489">L2315</f>
        <v>0</v>
      </c>
      <c r="M2523" s="339"/>
      <c r="N2523" s="339">
        <f t="shared" ref="N2523:N2529" si="1490">N2315</f>
        <v>2.33</v>
      </c>
      <c r="O2523" s="339"/>
      <c r="P2523" s="339">
        <f t="shared" ref="P2523:R2529" si="1491">P2315</f>
        <v>0</v>
      </c>
      <c r="Q2523" s="339"/>
      <c r="R2523" s="339">
        <f t="shared" si="1491"/>
        <v>2.33</v>
      </c>
      <c r="S2523" s="339"/>
      <c r="T2523" s="294">
        <f t="shared" ref="T2523:Z2525" si="1492">ROUND($E2523*L2523,0)</f>
        <v>0</v>
      </c>
      <c r="V2523" s="294">
        <f t="shared" si="1492"/>
        <v>258905</v>
      </c>
      <c r="X2523" s="294">
        <f t="shared" si="1492"/>
        <v>0</v>
      </c>
      <c r="Z2523" s="294">
        <f t="shared" si="1492"/>
        <v>258905</v>
      </c>
      <c r="AA2523" s="291" t="s">
        <v>1173</v>
      </c>
    </row>
    <row r="2524" spans="2:27">
      <c r="B2524" s="317" t="s">
        <v>1164</v>
      </c>
      <c r="D2524" s="293">
        <f>D2530*AA2524</f>
        <v>26595.827460680546</v>
      </c>
      <c r="E2524" s="293">
        <f>ROUND(D2524/$D$2539*$E$2539,0)</f>
        <v>32193</v>
      </c>
      <c r="G2524" s="339"/>
      <c r="H2524" s="339"/>
      <c r="L2524" s="339">
        <f t="shared" si="1489"/>
        <v>0</v>
      </c>
      <c r="M2524" s="339"/>
      <c r="N2524" s="339">
        <f t="shared" si="1490"/>
        <v>14.65</v>
      </c>
      <c r="O2524" s="339"/>
      <c r="P2524" s="339">
        <f t="shared" si="1491"/>
        <v>0</v>
      </c>
      <c r="Q2524" s="339"/>
      <c r="R2524" s="339">
        <f t="shared" si="1491"/>
        <v>14.65</v>
      </c>
      <c r="S2524" s="339"/>
      <c r="T2524" s="294">
        <f t="shared" si="1492"/>
        <v>0</v>
      </c>
      <c r="V2524" s="294">
        <f t="shared" si="1492"/>
        <v>471627</v>
      </c>
      <c r="X2524" s="294">
        <f t="shared" si="1492"/>
        <v>0</v>
      </c>
      <c r="Z2524" s="294">
        <f t="shared" si="1492"/>
        <v>471627</v>
      </c>
      <c r="AA2524" s="291">
        <f t="shared" ref="AA2524:AA2527" si="1493">AA2420</f>
        <v>0.8153977208412958</v>
      </c>
    </row>
    <row r="2525" spans="2:27">
      <c r="B2525" s="317" t="s">
        <v>1165</v>
      </c>
      <c r="D2525" s="293">
        <f>D2531*AA2525</f>
        <v>65788.27342636844</v>
      </c>
      <c r="E2525" s="293">
        <f>ROUND(D2525/$D$2539*$E$2539,0)</f>
        <v>79633</v>
      </c>
      <c r="G2525" s="339"/>
      <c r="H2525" s="339"/>
      <c r="L2525" s="339">
        <f t="shared" si="1489"/>
        <v>0</v>
      </c>
      <c r="M2525" s="339"/>
      <c r="N2525" s="339">
        <f t="shared" si="1490"/>
        <v>12.96</v>
      </c>
      <c r="O2525" s="339"/>
      <c r="P2525" s="339">
        <f t="shared" si="1491"/>
        <v>0</v>
      </c>
      <c r="Q2525" s="339"/>
      <c r="R2525" s="339">
        <f t="shared" si="1491"/>
        <v>12.96</v>
      </c>
      <c r="S2525" s="339"/>
      <c r="T2525" s="294">
        <f t="shared" si="1492"/>
        <v>0</v>
      </c>
      <c r="V2525" s="294">
        <f t="shared" si="1492"/>
        <v>1032044</v>
      </c>
      <c r="X2525" s="294">
        <f t="shared" si="1492"/>
        <v>0</v>
      </c>
      <c r="Z2525" s="294">
        <f t="shared" si="1492"/>
        <v>1032044</v>
      </c>
      <c r="AA2525" s="291">
        <f t="shared" si="1493"/>
        <v>1.1372413252842475</v>
      </c>
    </row>
    <row r="2526" spans="2:27">
      <c r="B2526" s="317" t="s">
        <v>1061</v>
      </c>
      <c r="D2526" s="293">
        <f>D2532*AA2526</f>
        <v>4401161.9969648849</v>
      </c>
      <c r="E2526" s="293">
        <f>ROUND(D2526/($D$2539-$D$2538)*$E$2539,0)</f>
        <v>5241019</v>
      </c>
      <c r="G2526" s="376"/>
      <c r="H2526" s="343"/>
      <c r="L2526" s="376">
        <f t="shared" si="1489"/>
        <v>0</v>
      </c>
      <c r="M2526" s="343" t="s">
        <v>1062</v>
      </c>
      <c r="N2526" s="376">
        <f t="shared" si="1490"/>
        <v>1.1506000000000001</v>
      </c>
      <c r="O2526" s="343" t="s">
        <v>1062</v>
      </c>
      <c r="P2526" s="376">
        <f t="shared" si="1491"/>
        <v>3.8523835124000003</v>
      </c>
      <c r="Q2526" s="343" t="s">
        <v>1062</v>
      </c>
      <c r="R2526" s="376">
        <f t="shared" si="1491"/>
        <v>5.0029835124000002</v>
      </c>
      <c r="S2526" s="343" t="s">
        <v>1062</v>
      </c>
      <c r="T2526" s="294">
        <f>ROUND($E2526*L2526/100,0)</f>
        <v>0</v>
      </c>
      <c r="U2526" s="346"/>
      <c r="V2526" s="294">
        <f>ROUND($E2526*N2526/100,0)</f>
        <v>60303</v>
      </c>
      <c r="W2526" s="346"/>
      <c r="X2526" s="294">
        <f>ROUND($E2526*P2526/100,0)</f>
        <v>201904</v>
      </c>
      <c r="Y2526" s="346"/>
      <c r="Z2526" s="294">
        <f>ROUND($E2526*R2526/100,0)</f>
        <v>262207</v>
      </c>
      <c r="AA2526" s="291">
        <f t="shared" si="1493"/>
        <v>0.78917940501629313</v>
      </c>
    </row>
    <row r="2527" spans="2:27">
      <c r="B2527" s="317" t="s">
        <v>1166</v>
      </c>
      <c r="D2527" s="293">
        <f>D2533*AA2527</f>
        <v>7929440.0499907155</v>
      </c>
      <c r="E2527" s="293">
        <f>ROUND(D2527/($D$2539-$D$2538)*$E$2539,0)</f>
        <v>9442585</v>
      </c>
      <c r="G2527" s="376"/>
      <c r="H2527" s="343"/>
      <c r="L2527" s="376">
        <f t="shared" si="1489"/>
        <v>0</v>
      </c>
      <c r="M2527" s="343" t="s">
        <v>1062</v>
      </c>
      <c r="N2527" s="376">
        <f t="shared" si="1490"/>
        <v>1.1506000000000001</v>
      </c>
      <c r="O2527" s="343" t="s">
        <v>1062</v>
      </c>
      <c r="P2527" s="376">
        <f t="shared" si="1491"/>
        <v>3.2768190375220003</v>
      </c>
      <c r="Q2527" s="343" t="s">
        <v>1062</v>
      </c>
      <c r="R2527" s="376">
        <f t="shared" si="1491"/>
        <v>4.4274190375220002</v>
      </c>
      <c r="S2527" s="343" t="s">
        <v>1062</v>
      </c>
      <c r="T2527" s="294">
        <f t="shared" ref="T2527:Z2529" si="1494">ROUND($E2527*L2527/100,0)</f>
        <v>0</v>
      </c>
      <c r="U2527" s="346"/>
      <c r="V2527" s="294">
        <f t="shared" si="1494"/>
        <v>108646</v>
      </c>
      <c r="W2527" s="346"/>
      <c r="X2527" s="294">
        <f t="shared" si="1494"/>
        <v>309416</v>
      </c>
      <c r="Y2527" s="346"/>
      <c r="Z2527" s="294">
        <f t="shared" si="1494"/>
        <v>418063</v>
      </c>
      <c r="AA2527" s="291">
        <f t="shared" si="1493"/>
        <v>0.56972975514840463</v>
      </c>
    </row>
    <row r="2528" spans="2:27">
      <c r="B2528" s="317" t="s">
        <v>1064</v>
      </c>
      <c r="D2528" s="293">
        <f>SUM(D2532:D2534)*AA2528</f>
        <v>13220292.6598287</v>
      </c>
      <c r="E2528" s="293">
        <f>ROUND(D2528/($D$2539-$D$2538)*$E$2539,0)</f>
        <v>15743072</v>
      </c>
      <c r="G2528" s="376"/>
      <c r="H2528" s="343"/>
      <c r="L2528" s="376">
        <f t="shared" si="1489"/>
        <v>0</v>
      </c>
      <c r="M2528" s="343" t="s">
        <v>1062</v>
      </c>
      <c r="N2528" s="376">
        <f t="shared" si="1490"/>
        <v>1.1506000000000001</v>
      </c>
      <c r="O2528" s="343" t="s">
        <v>1062</v>
      </c>
      <c r="P2528" s="376">
        <f t="shared" si="1491"/>
        <v>1.5002843230069998</v>
      </c>
      <c r="Q2528" s="343" t="s">
        <v>1062</v>
      </c>
      <c r="R2528" s="376">
        <f t="shared" si="1491"/>
        <v>2.6508843230069998</v>
      </c>
      <c r="S2528" s="343" t="s">
        <v>1062</v>
      </c>
      <c r="T2528" s="294">
        <f t="shared" si="1494"/>
        <v>0</v>
      </c>
      <c r="U2528" s="346"/>
      <c r="V2528" s="294">
        <f t="shared" si="1494"/>
        <v>181140</v>
      </c>
      <c r="W2528" s="346"/>
      <c r="X2528" s="294">
        <f t="shared" si="1494"/>
        <v>236191</v>
      </c>
      <c r="Y2528" s="346"/>
      <c r="Z2528" s="294">
        <f t="shared" si="1494"/>
        <v>417331</v>
      </c>
      <c r="AA2528" s="291">
        <f>AA2424</f>
        <v>0.2622704003879433</v>
      </c>
    </row>
    <row r="2529" spans="1:31">
      <c r="B2529" s="317" t="s">
        <v>1167</v>
      </c>
      <c r="D2529" s="293">
        <f>SUM(D2532:D2534)-SUM(D2526:D2528)</f>
        <v>24856214.293215699</v>
      </c>
      <c r="E2529" s="293">
        <f>E2539-SUM(E2510:E2513,E2526:E2528)</f>
        <v>29599433</v>
      </c>
      <c r="G2529" s="440"/>
      <c r="H2529" s="343"/>
      <c r="I2529" s="438"/>
      <c r="J2529" s="438"/>
      <c r="L2529" s="440">
        <f t="shared" si="1489"/>
        <v>0</v>
      </c>
      <c r="M2529" s="343" t="s">
        <v>1062</v>
      </c>
      <c r="N2529" s="440">
        <f t="shared" si="1490"/>
        <v>1.1506000000000001</v>
      </c>
      <c r="O2529" s="343" t="s">
        <v>1062</v>
      </c>
      <c r="P2529" s="440">
        <f t="shared" si="1491"/>
        <v>1.1953153300949999</v>
      </c>
      <c r="Q2529" s="343" t="s">
        <v>1062</v>
      </c>
      <c r="R2529" s="440">
        <f t="shared" si="1491"/>
        <v>2.345915330095</v>
      </c>
      <c r="S2529" s="343" t="s">
        <v>1062</v>
      </c>
      <c r="T2529" s="294">
        <f t="shared" si="1494"/>
        <v>0</v>
      </c>
      <c r="U2529" s="346"/>
      <c r="V2529" s="294">
        <f t="shared" si="1494"/>
        <v>340571</v>
      </c>
      <c r="W2529" s="346"/>
      <c r="X2529" s="294">
        <f t="shared" si="1494"/>
        <v>353807</v>
      </c>
      <c r="Y2529" s="346"/>
      <c r="Z2529" s="294">
        <f t="shared" si="1494"/>
        <v>694378</v>
      </c>
    </row>
    <row r="2530" spans="1:31">
      <c r="B2530" s="317" t="s">
        <v>1169</v>
      </c>
      <c r="D2530" s="293">
        <f>'[7]31'!W4</f>
        <v>32617</v>
      </c>
      <c r="E2530" s="293">
        <f>ROUND(D2530/$D$2539*$E$2539,0)</f>
        <v>39481</v>
      </c>
      <c r="G2530" s="339">
        <v>13.96</v>
      </c>
      <c r="H2530" s="339"/>
      <c r="I2530" s="294">
        <f t="shared" si="1488"/>
        <v>455333</v>
      </c>
      <c r="J2530" s="294">
        <f t="shared" si="1488"/>
        <v>551155</v>
      </c>
      <c r="L2530" s="339"/>
      <c r="M2530" s="339"/>
      <c r="N2530" s="339"/>
      <c r="O2530" s="339"/>
      <c r="P2530" s="339"/>
      <c r="Q2530" s="339"/>
      <c r="R2530" s="339"/>
      <c r="S2530" s="339"/>
    </row>
    <row r="2531" spans="1:31">
      <c r="B2531" s="317" t="s">
        <v>1171</v>
      </c>
      <c r="D2531" s="293">
        <f>'[7]31'!X4</f>
        <v>57849</v>
      </c>
      <c r="E2531" s="293">
        <f>ROUND(D2531/$D$2539*$E$2539,0)</f>
        <v>70023</v>
      </c>
      <c r="G2531" s="339">
        <v>9.4700000000000006</v>
      </c>
      <c r="H2531" s="339"/>
      <c r="I2531" s="294">
        <f t="shared" si="1488"/>
        <v>547830</v>
      </c>
      <c r="J2531" s="294">
        <f t="shared" si="1488"/>
        <v>663118</v>
      </c>
      <c r="L2531" s="339"/>
      <c r="M2531" s="339"/>
      <c r="N2531" s="339"/>
      <c r="O2531" s="339"/>
      <c r="P2531" s="339"/>
      <c r="Q2531" s="339"/>
      <c r="R2531" s="339"/>
      <c r="S2531" s="339"/>
    </row>
    <row r="2532" spans="1:31">
      <c r="B2532" s="317" t="s">
        <v>1177</v>
      </c>
      <c r="D2532" s="293">
        <f>'[7]31'!AA4</f>
        <v>5576884</v>
      </c>
      <c r="E2532" s="293">
        <f>ROUND(D2532/($D$2539-$D$2538)*$E$2539,0)</f>
        <v>6641100</v>
      </c>
      <c r="G2532" s="376">
        <v>4.6531000000000002</v>
      </c>
      <c r="H2532" s="343" t="s">
        <v>1062</v>
      </c>
      <c r="I2532" s="294">
        <f t="shared" ref="I2532:J2534" si="1495">ROUND($G2532*D2532/100,0)</f>
        <v>259498</v>
      </c>
      <c r="J2532" s="294">
        <f t="shared" si="1495"/>
        <v>309017</v>
      </c>
      <c r="L2532" s="376"/>
      <c r="M2532" s="343"/>
      <c r="N2532" s="376"/>
      <c r="O2532" s="343"/>
      <c r="P2532" s="376"/>
      <c r="Q2532" s="343"/>
      <c r="R2532" s="376"/>
      <c r="S2532" s="343"/>
      <c r="U2532" s="346"/>
      <c r="W2532" s="346"/>
      <c r="Y2532" s="346"/>
    </row>
    <row r="2533" spans="1:31">
      <c r="B2533" s="317" t="s">
        <v>1179</v>
      </c>
      <c r="D2533" s="293">
        <f>'[7]31'!AB4</f>
        <v>13917897</v>
      </c>
      <c r="E2533" s="293">
        <f>ROUND(D2533/($D$2539-$D$2538)*$E$2539,0)</f>
        <v>16573797</v>
      </c>
      <c r="G2533" s="376">
        <v>3.4988999999999999</v>
      </c>
      <c r="H2533" s="343" t="s">
        <v>1062</v>
      </c>
      <c r="I2533" s="294">
        <f t="shared" si="1495"/>
        <v>486973</v>
      </c>
      <c r="J2533" s="294">
        <f t="shared" si="1495"/>
        <v>579901</v>
      </c>
      <c r="L2533" s="376"/>
      <c r="M2533" s="343"/>
      <c r="N2533" s="376"/>
      <c r="O2533" s="343"/>
      <c r="P2533" s="376"/>
      <c r="Q2533" s="343"/>
      <c r="R2533" s="376"/>
      <c r="S2533" s="343"/>
      <c r="U2533" s="346"/>
      <c r="W2533" s="346"/>
      <c r="Y2533" s="346"/>
    </row>
    <row r="2534" spans="1:31">
      <c r="B2534" s="317" t="s">
        <v>1086</v>
      </c>
      <c r="D2534" s="424">
        <f>'[7]31'!AC4</f>
        <v>30912328</v>
      </c>
      <c r="E2534" s="424">
        <f>ROUND(D2534/($D$2539-$D$2538)*$E$2539,0)</f>
        <v>36811212</v>
      </c>
      <c r="G2534" s="440">
        <v>2.9224999999999999</v>
      </c>
      <c r="H2534" s="343" t="s">
        <v>1062</v>
      </c>
      <c r="I2534" s="438">
        <f t="shared" si="1495"/>
        <v>903413</v>
      </c>
      <c r="J2534" s="438">
        <f t="shared" si="1495"/>
        <v>1075808</v>
      </c>
      <c r="L2534" s="440"/>
      <c r="M2534" s="343"/>
      <c r="N2534" s="440"/>
      <c r="O2534" s="343"/>
      <c r="P2534" s="440"/>
      <c r="Q2534" s="343"/>
      <c r="R2534" s="440"/>
      <c r="S2534" s="343"/>
      <c r="T2534" s="438"/>
      <c r="U2534" s="346"/>
      <c r="V2534" s="438"/>
      <c r="W2534" s="346"/>
      <c r="X2534" s="438"/>
      <c r="Y2534" s="346"/>
      <c r="Z2534" s="438"/>
    </row>
    <row r="2535" spans="1:31">
      <c r="B2535" s="317" t="s">
        <v>1079</v>
      </c>
      <c r="G2535" s="441">
        <v>-3.0700000000000002E-2</v>
      </c>
      <c r="H2535" s="339"/>
      <c r="I2535" s="442">
        <f>SUM(I2530:I2534)*$G2535</f>
        <v>-81448.5429</v>
      </c>
      <c r="J2535" s="442">
        <f>SUM(J2530:J2534)*$G2535</f>
        <v>-97595.2693</v>
      </c>
      <c r="L2535" s="441"/>
      <c r="M2535" s="339"/>
      <c r="N2535" s="441"/>
      <c r="O2535" s="339"/>
      <c r="P2535" s="359" t="str">
        <f>$P$43</f>
        <v>Tax Year 1</v>
      </c>
      <c r="Q2535" s="339"/>
      <c r="R2535" s="338">
        <f t="shared" ref="R2535:R2536" si="1496">R2327</f>
        <v>-2.2599999999999999E-2</v>
      </c>
      <c r="S2535" s="339"/>
      <c r="Z2535" s="294">
        <f>R2535*SUM(Z2524:Z2529)</f>
        <v>-74481.69</v>
      </c>
    </row>
    <row r="2536" spans="1:31">
      <c r="B2536" s="317"/>
      <c r="G2536" s="338"/>
      <c r="H2536" s="339"/>
      <c r="L2536" s="338"/>
      <c r="M2536" s="339"/>
      <c r="N2536" s="338"/>
      <c r="O2536" s="339"/>
      <c r="P2536" s="359" t="str">
        <f>$P$44</f>
        <v>Tax Year 2</v>
      </c>
      <c r="Q2536" s="339"/>
      <c r="R2536" s="338">
        <f t="shared" si="1496"/>
        <v>-1.1299999999999999E-2</v>
      </c>
      <c r="S2536" s="339"/>
      <c r="Z2536" s="294">
        <f>R2536*SUM(Z2524:Z2529)</f>
        <v>-37240.845000000001</v>
      </c>
    </row>
    <row r="2537" spans="1:31">
      <c r="B2537" s="317" t="s">
        <v>1300</v>
      </c>
      <c r="G2537" s="376"/>
      <c r="H2537" s="343"/>
      <c r="I2537" s="294">
        <f>SUM(I2507:I2535)</f>
        <v>2775392.4571000002</v>
      </c>
      <c r="J2537" s="294">
        <f>SUM(J2507:J2535)</f>
        <v>3328085.7307000002</v>
      </c>
      <c r="L2537" s="376"/>
      <c r="M2537" s="343"/>
      <c r="N2537" s="376"/>
      <c r="O2537" s="343"/>
      <c r="P2537" s="376"/>
      <c r="Q2537" s="343"/>
      <c r="R2537" s="376"/>
      <c r="S2537" s="343"/>
      <c r="T2537" s="294">
        <f>SUM(T2507:T2519,T2523:T2534)</f>
        <v>0</v>
      </c>
      <c r="U2537" s="346"/>
      <c r="V2537" s="294">
        <f>SUM(V2507:V2519,V2523:V2534)</f>
        <v>2453236</v>
      </c>
      <c r="W2537" s="346"/>
      <c r="X2537" s="294">
        <f>SUM(X2507:X2519,X2523:X2534)</f>
        <v>1101318</v>
      </c>
      <c r="Y2537" s="346"/>
      <c r="Z2537" s="294">
        <f>SUM(Z2507:Z2519,Z2523:Z2534)</f>
        <v>3554555</v>
      </c>
    </row>
    <row r="2538" spans="1:31">
      <c r="B2538" s="292" t="s">
        <v>1158</v>
      </c>
      <c r="D2538" s="412">
        <f>'[7]Table 2'!J98</f>
        <v>-817118</v>
      </c>
      <c r="E2538" s="412">
        <v>0</v>
      </c>
      <c r="G2538" s="377"/>
      <c r="H2538" s="377"/>
      <c r="I2538" s="358">
        <f>'[7]Table 3'!F98</f>
        <v>-56334</v>
      </c>
      <c r="J2538" s="358">
        <v>0</v>
      </c>
      <c r="L2538" s="377"/>
      <c r="M2538" s="377"/>
      <c r="N2538" s="377"/>
      <c r="O2538" s="377"/>
      <c r="P2538" s="377"/>
      <c r="Q2538" s="377"/>
      <c r="R2538" s="377"/>
      <c r="S2538" s="377"/>
      <c r="T2538" s="358"/>
      <c r="V2538" s="358"/>
      <c r="X2538" s="358"/>
      <c r="Z2538" s="358"/>
    </row>
    <row r="2539" spans="1:31" ht="16.5" thickBot="1">
      <c r="B2539" s="317" t="s">
        <v>1344</v>
      </c>
      <c r="D2539" s="381">
        <f>SUM(D2517:D2519,D2532:D2534,D2538)</f>
        <v>49589991</v>
      </c>
      <c r="E2539" s="381">
        <f>[7]Energy!P67</f>
        <v>60026109</v>
      </c>
      <c r="G2539" s="368"/>
      <c r="I2539" s="369">
        <f>I2504+I2537+I2538</f>
        <v>3651323.4571000002</v>
      </c>
      <c r="J2539" s="369">
        <f>J2504+J2537+J2538</f>
        <v>4451406.7307000002</v>
      </c>
      <c r="L2539" s="368"/>
      <c r="N2539" s="368"/>
      <c r="P2539" s="368"/>
      <c r="R2539" s="368"/>
      <c r="T2539" s="369">
        <f>T2504+T2537</f>
        <v>25249</v>
      </c>
      <c r="V2539" s="369">
        <f>V2504+V2537</f>
        <v>3600438</v>
      </c>
      <c r="X2539" s="369">
        <f>X2504+X2537</f>
        <v>1101318</v>
      </c>
      <c r="Z2539" s="369">
        <f>Z2504+Z2537</f>
        <v>4727006</v>
      </c>
      <c r="AB2539" s="305" t="s">
        <v>939</v>
      </c>
      <c r="AC2539" s="304">
        <f>Z2539/J2539-1</f>
        <v>6.1912848223748096E-2</v>
      </c>
    </row>
    <row r="2540" spans="1:31" s="305" customFormat="1" ht="16.5" thickTop="1">
      <c r="B2540" s="317"/>
      <c r="D2540" s="355"/>
      <c r="E2540" s="355"/>
      <c r="F2540" s="355"/>
      <c r="G2540" s="355"/>
      <c r="H2540" s="388"/>
      <c r="I2540" s="325"/>
      <c r="J2540" s="325"/>
      <c r="T2540" s="325"/>
      <c r="U2540" s="325"/>
      <c r="V2540" s="325"/>
      <c r="W2540" s="325"/>
      <c r="X2540" s="325"/>
      <c r="Y2540" s="325"/>
      <c r="Z2540" s="325"/>
      <c r="AA2540" s="329"/>
      <c r="AC2540" s="443"/>
      <c r="AD2540" s="443"/>
      <c r="AE2540" s="443"/>
    </row>
    <row r="2541" spans="1:31" s="305" customFormat="1" ht="18.75">
      <c r="A2541" s="305">
        <v>1</v>
      </c>
      <c r="B2541" s="444" t="s">
        <v>1034</v>
      </c>
      <c r="D2541" s="355"/>
      <c r="E2541" s="355"/>
      <c r="F2541" s="355"/>
      <c r="G2541" s="355"/>
      <c r="H2541" s="388"/>
      <c r="I2541" s="325"/>
      <c r="J2541" s="325"/>
      <c r="T2541" s="325"/>
      <c r="U2541" s="325"/>
      <c r="V2541" s="325"/>
      <c r="W2541" s="325"/>
      <c r="X2541" s="325"/>
      <c r="Y2541" s="325"/>
      <c r="Z2541" s="325"/>
      <c r="AA2541" s="329"/>
    </row>
    <row r="2542" spans="1:31" s="305" customFormat="1">
      <c r="B2542" s="353" t="s">
        <v>1345</v>
      </c>
      <c r="D2542" s="355"/>
      <c r="E2542" s="355"/>
      <c r="F2542" s="355"/>
      <c r="G2542" s="355"/>
      <c r="I2542" s="325"/>
      <c r="J2542" s="325"/>
      <c r="T2542" s="325"/>
      <c r="U2542" s="325"/>
      <c r="V2542" s="325"/>
      <c r="W2542" s="325"/>
      <c r="X2542" s="325"/>
      <c r="Y2542" s="325"/>
      <c r="Z2542" s="325"/>
      <c r="AA2542" s="329"/>
      <c r="AB2542" s="305" t="s">
        <v>1346</v>
      </c>
      <c r="AC2542" s="355"/>
    </row>
    <row r="2543" spans="1:31" s="305" customFormat="1">
      <c r="B2543" s="353" t="s">
        <v>1347</v>
      </c>
      <c r="C2543" s="353"/>
      <c r="D2543" s="355"/>
      <c r="E2543" s="355"/>
      <c r="F2543" s="355"/>
      <c r="G2543" s="445">
        <v>54</v>
      </c>
      <c r="H2543" s="324"/>
      <c r="I2543" s="326"/>
      <c r="J2543" s="325">
        <f>ROUND($G2543*E2543,0)</f>
        <v>0</v>
      </c>
      <c r="K2543" s="325"/>
      <c r="L2543" s="431">
        <f>ROUND($R2543*L2231/$R2231,2)</f>
        <v>57</v>
      </c>
      <c r="M2543" s="318"/>
      <c r="N2543" s="431">
        <f>ROUND($R2543*N2231/$R2231,2)</f>
        <v>0</v>
      </c>
      <c r="O2543" s="318"/>
      <c r="P2543" s="431">
        <f>R2543-L2543-N2543</f>
        <v>0</v>
      </c>
      <c r="Q2543" s="325"/>
      <c r="R2543" s="445">
        <f>ROUND(G2543*(1+$AC$1483),0)</f>
        <v>57</v>
      </c>
      <c r="S2543" s="325"/>
      <c r="T2543" s="325">
        <f>ROUND($E2543*L2543,0)</f>
        <v>0</v>
      </c>
      <c r="U2543" s="325"/>
      <c r="V2543" s="325">
        <f>ROUND($E2543*N2543,0)</f>
        <v>0</v>
      </c>
      <c r="W2543" s="325"/>
      <c r="X2543" s="325">
        <f>ROUND($E2543*P2543,0)</f>
        <v>0</v>
      </c>
      <c r="Y2543" s="325"/>
      <c r="Z2543" s="325">
        <f>ROUND($E2543*R2543,0)</f>
        <v>0</v>
      </c>
      <c r="AA2543" s="329"/>
      <c r="AB2543" s="320" t="s">
        <v>1042</v>
      </c>
      <c r="AC2543" s="321">
        <f>Z2606</f>
        <v>13543973</v>
      </c>
    </row>
    <row r="2544" spans="1:31" s="305" customFormat="1">
      <c r="B2544" s="353" t="s">
        <v>1348</v>
      </c>
      <c r="C2544" s="353"/>
      <c r="D2544" s="355"/>
      <c r="E2544" s="355"/>
      <c r="F2544" s="355"/>
      <c r="G2544" s="445">
        <v>70</v>
      </c>
      <c r="H2544" s="324"/>
      <c r="I2544" s="326"/>
      <c r="J2544" s="325">
        <f>ROUND($G2544*E2544,0)</f>
        <v>0</v>
      </c>
      <c r="K2544" s="325"/>
      <c r="L2544" s="431">
        <f>ROUND($R2544*L2543/$R2543,2)</f>
        <v>73</v>
      </c>
      <c r="M2544" s="318"/>
      <c r="N2544" s="431">
        <f>ROUND($R2544*N2543/$R2543,2)</f>
        <v>0</v>
      </c>
      <c r="O2544" s="318"/>
      <c r="P2544" s="431">
        <f t="shared" ref="P2544:P2548" si="1497">R2544-L2544-N2544</f>
        <v>0</v>
      </c>
      <c r="Q2544" s="325"/>
      <c r="R2544" s="445">
        <f>ROUND(G2544*(1+$AC$1483),0)</f>
        <v>73</v>
      </c>
      <c r="S2544" s="325"/>
      <c r="T2544" s="325">
        <f t="shared" ref="T2544:T2545" si="1498">ROUND($E2544*L2544,0)</f>
        <v>0</v>
      </c>
      <c r="U2544" s="325"/>
      <c r="V2544" s="325">
        <f t="shared" ref="V2544:V2545" si="1499">ROUND($E2544*N2544,0)</f>
        <v>0</v>
      </c>
      <c r="W2544" s="325"/>
      <c r="X2544" s="325">
        <f t="shared" ref="X2544:Z2545" si="1500">ROUND($E2544*P2544,0)</f>
        <v>0</v>
      </c>
      <c r="Y2544" s="325"/>
      <c r="Z2544" s="325">
        <f t="shared" si="1500"/>
        <v>0</v>
      </c>
      <c r="AA2544" s="329"/>
      <c r="AB2544" s="322" t="s">
        <v>1044</v>
      </c>
      <c r="AC2544" s="323">
        <f>[7]RateSpread!M48*1000</f>
        <v>13649724.453500001</v>
      </c>
    </row>
    <row r="2545" spans="2:34" s="305" customFormat="1">
      <c r="B2545" s="353" t="s">
        <v>1349</v>
      </c>
      <c r="C2545" s="353"/>
      <c r="D2545" s="355">
        <f>'[7]32-9'!G2+'[7]32'!G2</f>
        <v>36.133359073359102</v>
      </c>
      <c r="E2545" s="355">
        <f>'[7]32-forecast'!E17</f>
        <v>36</v>
      </c>
      <c r="F2545" s="355"/>
      <c r="G2545" s="446">
        <v>259</v>
      </c>
      <c r="H2545" s="340"/>
      <c r="I2545" s="325">
        <f>ROUND($G2545*D2545,0)</f>
        <v>9359</v>
      </c>
      <c r="J2545" s="325">
        <f>ROUND($G2545*E2545,0)</f>
        <v>9324</v>
      </c>
      <c r="K2545" s="325"/>
      <c r="L2545" s="431">
        <f>ROUND($R2545*L2275/$R2275,2)</f>
        <v>268.31</v>
      </c>
      <c r="M2545" s="318"/>
      <c r="N2545" s="431">
        <f>ROUND($R2545*N2275/$R2275,2)</f>
        <v>3.69</v>
      </c>
      <c r="O2545" s="318"/>
      <c r="P2545" s="431">
        <f t="shared" si="1497"/>
        <v>0</v>
      </c>
      <c r="Q2545" s="325"/>
      <c r="R2545" s="445">
        <f>ROUND(G2545*(1+$AC$1483),0)</f>
        <v>272</v>
      </c>
      <c r="S2545" s="325"/>
      <c r="T2545" s="325">
        <f t="shared" si="1498"/>
        <v>9659</v>
      </c>
      <c r="U2545" s="325"/>
      <c r="V2545" s="325">
        <f t="shared" si="1499"/>
        <v>133</v>
      </c>
      <c r="W2545" s="325"/>
      <c r="X2545" s="325">
        <f t="shared" si="1500"/>
        <v>0</v>
      </c>
      <c r="Y2545" s="325"/>
      <c r="Z2545" s="325">
        <f t="shared" si="1500"/>
        <v>9792</v>
      </c>
      <c r="AA2545" s="329"/>
      <c r="AB2545" s="327" t="s">
        <v>789</v>
      </c>
      <c r="AC2545" s="328">
        <f>AC2544-AC2543</f>
        <v>105751.45350000076</v>
      </c>
    </row>
    <row r="2546" spans="2:34" s="305" customFormat="1">
      <c r="B2546" s="353" t="s">
        <v>1350</v>
      </c>
      <c r="C2546" s="353"/>
      <c r="D2546" s="355"/>
      <c r="E2546" s="355"/>
      <c r="F2546" s="355"/>
      <c r="G2546" s="445"/>
      <c r="H2546" s="447"/>
      <c r="I2546" s="326"/>
      <c r="J2546" s="325"/>
      <c r="K2546" s="325"/>
      <c r="L2546" s="445"/>
      <c r="M2546" s="325"/>
      <c r="N2546" s="445"/>
      <c r="O2546" s="325"/>
      <c r="P2546" s="445"/>
      <c r="Q2546" s="325"/>
      <c r="R2546" s="445"/>
      <c r="S2546" s="325"/>
      <c r="T2546" s="325"/>
      <c r="U2546" s="325"/>
      <c r="V2546" s="325"/>
      <c r="W2546" s="325"/>
      <c r="X2546" s="325"/>
      <c r="Y2546" s="325"/>
      <c r="Z2546" s="325"/>
      <c r="AA2546" s="329"/>
      <c r="AB2546" s="320" t="s">
        <v>939</v>
      </c>
      <c r="AC2546" s="389">
        <f>AC2543/J2606-1</f>
        <v>4.1239641035889729E-2</v>
      </c>
    </row>
    <row r="2547" spans="2:34" s="305" customFormat="1">
      <c r="B2547" s="353" t="s">
        <v>1351</v>
      </c>
      <c r="C2547" s="353"/>
      <c r="D2547" s="355">
        <f>'[7]32'!U2</f>
        <v>2</v>
      </c>
      <c r="E2547" s="355">
        <f>'[7]32-forecast'!S17</f>
        <v>12.83952950842653</v>
      </c>
      <c r="F2547" s="355"/>
      <c r="G2547" s="445">
        <v>110</v>
      </c>
      <c r="H2547" s="447"/>
      <c r="I2547" s="325">
        <f t="shared" ref="I2547:I2548" si="1501">ROUND($G2547*D2547,0)</f>
        <v>220</v>
      </c>
      <c r="J2547" s="325">
        <f>ROUND($G2547*E2547,0)</f>
        <v>1412</v>
      </c>
      <c r="K2547" s="325"/>
      <c r="L2547" s="445">
        <f>R2547</f>
        <v>115</v>
      </c>
      <c r="M2547" s="325"/>
      <c r="N2547" s="445">
        <v>0</v>
      </c>
      <c r="O2547" s="325"/>
      <c r="P2547" s="431">
        <f t="shared" si="1497"/>
        <v>0</v>
      </c>
      <c r="Q2547" s="325"/>
      <c r="R2547" s="445">
        <f>ROUND(G2547*(1+$AC$1483),0)</f>
        <v>115</v>
      </c>
      <c r="S2547" s="325"/>
      <c r="T2547" s="325">
        <f t="shared" ref="T2547:T2548" si="1502">ROUND($E2547*L2547,0)</f>
        <v>1477</v>
      </c>
      <c r="U2547" s="325"/>
      <c r="V2547" s="325">
        <f t="shared" ref="V2547:V2548" si="1503">ROUND($E2547*N2547,0)</f>
        <v>0</v>
      </c>
      <c r="W2547" s="325"/>
      <c r="X2547" s="325">
        <f t="shared" ref="X2547:Z2548" si="1504">ROUND($E2547*P2547,0)</f>
        <v>0</v>
      </c>
      <c r="Y2547" s="325"/>
      <c r="Z2547" s="325">
        <f t="shared" si="1504"/>
        <v>1477</v>
      </c>
      <c r="AA2547" s="329"/>
      <c r="AB2547" s="322" t="s">
        <v>1048</v>
      </c>
      <c r="AC2547" s="384">
        <f>AC2544/J2610-1</f>
        <v>4.7741618560574794E-2</v>
      </c>
    </row>
    <row r="2548" spans="2:34" s="443" customFormat="1">
      <c r="B2548" s="353" t="s">
        <v>1352</v>
      </c>
      <c r="C2548" s="353"/>
      <c r="D2548" s="355">
        <f>'[7]32'!V2</f>
        <v>6</v>
      </c>
      <c r="E2548" s="355">
        <f>'[7]32-forecast'!T17</f>
        <v>38.518588525279576</v>
      </c>
      <c r="F2548" s="355"/>
      <c r="G2548" s="445">
        <v>150</v>
      </c>
      <c r="H2548" s="447"/>
      <c r="I2548" s="325">
        <f t="shared" si="1501"/>
        <v>900</v>
      </c>
      <c r="J2548" s="325">
        <f>ROUND($G2548*E2548,0)</f>
        <v>5778</v>
      </c>
      <c r="K2548" s="325"/>
      <c r="L2548" s="445">
        <f>R2548</f>
        <v>157</v>
      </c>
      <c r="M2548" s="325"/>
      <c r="N2548" s="445">
        <v>0</v>
      </c>
      <c r="O2548" s="325"/>
      <c r="P2548" s="431">
        <f t="shared" si="1497"/>
        <v>0</v>
      </c>
      <c r="Q2548" s="325"/>
      <c r="R2548" s="445">
        <f>ROUND(G2548*(1+$AC$1483),0)</f>
        <v>157</v>
      </c>
      <c r="S2548" s="325"/>
      <c r="T2548" s="325">
        <f t="shared" si="1502"/>
        <v>6047</v>
      </c>
      <c r="U2548" s="325"/>
      <c r="V2548" s="325">
        <f t="shared" si="1503"/>
        <v>0</v>
      </c>
      <c r="W2548" s="325"/>
      <c r="X2548" s="325">
        <f t="shared" si="1504"/>
        <v>0</v>
      </c>
      <c r="Y2548" s="325"/>
      <c r="Z2548" s="325">
        <f t="shared" si="1504"/>
        <v>6047</v>
      </c>
      <c r="AA2548" s="329"/>
      <c r="AB2548" s="335"/>
      <c r="AC2548" s="385"/>
      <c r="AD2548" s="305"/>
      <c r="AE2548" s="305"/>
      <c r="AF2548" s="305"/>
      <c r="AG2548" s="305"/>
      <c r="AH2548" s="305"/>
    </row>
    <row r="2549" spans="2:34" s="443" customFormat="1">
      <c r="B2549" s="353" t="s">
        <v>1353</v>
      </c>
      <c r="C2549" s="353"/>
      <c r="D2549" s="355"/>
      <c r="E2549" s="355"/>
      <c r="F2549" s="355"/>
      <c r="G2549" s="446"/>
      <c r="H2549" s="448"/>
      <c r="I2549" s="325"/>
      <c r="J2549" s="325"/>
      <c r="K2549" s="325"/>
      <c r="L2549" s="446"/>
      <c r="M2549" s="325"/>
      <c r="N2549" s="446"/>
      <c r="O2549" s="325"/>
      <c r="P2549" s="446"/>
      <c r="Q2549" s="325"/>
      <c r="R2549" s="446"/>
      <c r="S2549" s="325"/>
      <c r="T2549" s="325"/>
      <c r="U2549" s="325"/>
      <c r="V2549" s="325"/>
      <c r="W2549" s="325"/>
      <c r="X2549" s="325"/>
      <c r="Y2549" s="325"/>
      <c r="Z2549" s="325"/>
      <c r="AA2549" s="329"/>
      <c r="AB2549" s="305"/>
      <c r="AC2549" s="305"/>
      <c r="AD2549" s="305"/>
      <c r="AE2549" s="305"/>
      <c r="AF2549" s="305"/>
      <c r="AG2549" s="305"/>
      <c r="AH2549" s="305"/>
    </row>
    <row r="2550" spans="2:34" s="443" customFormat="1">
      <c r="B2550" s="353" t="s">
        <v>1354</v>
      </c>
      <c r="C2550" s="353"/>
      <c r="D2550" s="355"/>
      <c r="E2550" s="355"/>
      <c r="F2550" s="355"/>
      <c r="G2550" s="445">
        <v>7.62</v>
      </c>
      <c r="H2550" s="447"/>
      <c r="I2550" s="326"/>
      <c r="J2550" s="325">
        <f>ROUND($G2550*E2550,0)</f>
        <v>0</v>
      </c>
      <c r="K2550" s="325"/>
      <c r="L2550" s="431">
        <f>'[7]Sch32 COS'!B15</f>
        <v>9.71933359316143</v>
      </c>
      <c r="M2550" s="318"/>
      <c r="N2550" s="431">
        <v>0</v>
      </c>
      <c r="O2550" s="318"/>
      <c r="P2550" s="431">
        <f>R2550-L2550-N2550</f>
        <v>0</v>
      </c>
      <c r="Q2550" s="325"/>
      <c r="R2550" s="445">
        <f>MAX(ROUND(G2550*(1+$AC$1483),2),L2550)</f>
        <v>9.71933359316143</v>
      </c>
      <c r="S2550" s="325"/>
      <c r="T2550" s="325">
        <f t="shared" ref="T2550:T2554" si="1505">ROUND($E2550*L2550,0)</f>
        <v>0</v>
      </c>
      <c r="U2550" s="325"/>
      <c r="V2550" s="325">
        <f t="shared" ref="V2550:V2554" si="1506">ROUND($E2550*N2550,0)</f>
        <v>0</v>
      </c>
      <c r="W2550" s="325"/>
      <c r="X2550" s="325">
        <f t="shared" ref="X2550:Z2554" si="1507">ROUND($E2550*P2550,0)</f>
        <v>0</v>
      </c>
      <c r="Y2550" s="325"/>
      <c r="Z2550" s="325">
        <f t="shared" si="1507"/>
        <v>0</v>
      </c>
      <c r="AA2550" s="329"/>
      <c r="AB2550" s="305"/>
      <c r="AC2550" s="305"/>
      <c r="AD2550" s="305"/>
      <c r="AE2550" s="305"/>
      <c r="AF2550" s="305"/>
      <c r="AG2550" s="305"/>
      <c r="AH2550" s="305"/>
    </row>
    <row r="2551" spans="2:34" s="443" customFormat="1">
      <c r="B2551" s="353" t="s">
        <v>1355</v>
      </c>
      <c r="C2551" s="353"/>
      <c r="D2551" s="355"/>
      <c r="E2551" s="355"/>
      <c r="F2551" s="355"/>
      <c r="G2551" s="445">
        <v>6.67</v>
      </c>
      <c r="H2551" s="447"/>
      <c r="I2551" s="326"/>
      <c r="J2551" s="325">
        <f>ROUND($G2551*E2551,0)</f>
        <v>0</v>
      </c>
      <c r="K2551" s="325"/>
      <c r="L2551" s="431">
        <f>'[7]Sch32 COS'!C15</f>
        <v>8.7593335931614291</v>
      </c>
      <c r="M2551" s="318"/>
      <c r="N2551" s="431">
        <v>0</v>
      </c>
      <c r="O2551" s="318"/>
      <c r="P2551" s="431">
        <f t="shared" ref="P2551:P2553" si="1508">R2551-L2551-N2551</f>
        <v>0</v>
      </c>
      <c r="Q2551" s="325"/>
      <c r="R2551" s="445">
        <f>MAX(ROUND(G2551*(1+$AC$1483),2),L2551)</f>
        <v>8.7593335931614291</v>
      </c>
      <c r="S2551" s="325"/>
      <c r="T2551" s="325">
        <f t="shared" si="1505"/>
        <v>0</v>
      </c>
      <c r="U2551" s="325"/>
      <c r="V2551" s="325">
        <f t="shared" si="1506"/>
        <v>0</v>
      </c>
      <c r="W2551" s="325"/>
      <c r="X2551" s="325">
        <f t="shared" si="1507"/>
        <v>0</v>
      </c>
      <c r="Y2551" s="325"/>
      <c r="Z2551" s="325">
        <f t="shared" si="1507"/>
        <v>0</v>
      </c>
      <c r="AA2551" s="329"/>
      <c r="AB2551" s="305"/>
      <c r="AC2551" s="305"/>
      <c r="AD2551" s="305"/>
      <c r="AE2551" s="305"/>
      <c r="AF2551" s="305"/>
      <c r="AG2551" s="305"/>
      <c r="AH2551" s="305"/>
    </row>
    <row r="2552" spans="2:34" s="443" customFormat="1">
      <c r="B2552" s="353" t="s">
        <v>1356</v>
      </c>
      <c r="C2552" s="353"/>
      <c r="D2552" s="355"/>
      <c r="E2552" s="355"/>
      <c r="F2552" s="355"/>
      <c r="G2552" s="445">
        <v>7.9</v>
      </c>
      <c r="H2552" s="324"/>
      <c r="I2552" s="326"/>
      <c r="J2552" s="325">
        <f>ROUND($G2552*E2552,0)</f>
        <v>0</v>
      </c>
      <c r="K2552" s="325"/>
      <c r="L2552" s="431">
        <f>'[7]Sch32 COS'!D15</f>
        <v>9.2301884729287451</v>
      </c>
      <c r="M2552" s="318"/>
      <c r="N2552" s="431">
        <v>0</v>
      </c>
      <c r="O2552" s="318"/>
      <c r="P2552" s="431">
        <f t="shared" si="1508"/>
        <v>0</v>
      </c>
      <c r="Q2552" s="325"/>
      <c r="R2552" s="445">
        <f>MAX(ROUND(G2552*(1+$AC$1483),2),L2552)</f>
        <v>9.2301884729287451</v>
      </c>
      <c r="S2552" s="325"/>
      <c r="T2552" s="325">
        <f t="shared" si="1505"/>
        <v>0</v>
      </c>
      <c r="U2552" s="325"/>
      <c r="V2552" s="325">
        <f t="shared" si="1506"/>
        <v>0</v>
      </c>
      <c r="W2552" s="325"/>
      <c r="X2552" s="325">
        <f t="shared" si="1507"/>
        <v>0</v>
      </c>
      <c r="Y2552" s="325"/>
      <c r="Z2552" s="325">
        <f t="shared" si="1507"/>
        <v>0</v>
      </c>
      <c r="AA2552" s="329"/>
      <c r="AB2552" s="305"/>
      <c r="AC2552" s="305"/>
      <c r="AD2552" s="305"/>
      <c r="AE2552" s="305"/>
      <c r="AF2552" s="305"/>
      <c r="AG2552" s="305"/>
      <c r="AH2552" s="305"/>
    </row>
    <row r="2553" spans="2:34" s="443" customFormat="1">
      <c r="B2553" s="353" t="s">
        <v>1357</v>
      </c>
      <c r="C2553" s="353"/>
      <c r="D2553" s="355"/>
      <c r="E2553" s="355"/>
      <c r="F2553" s="355"/>
      <c r="G2553" s="445">
        <v>6.75</v>
      </c>
      <c r="H2553" s="447"/>
      <c r="I2553" s="326"/>
      <c r="J2553" s="325">
        <f>ROUND($G2553*E2553,0)</f>
        <v>0</v>
      </c>
      <c r="K2553" s="325"/>
      <c r="L2553" s="431">
        <f>'[7]Sch32 COS'!E15</f>
        <v>8.1001884729287461</v>
      </c>
      <c r="M2553" s="318"/>
      <c r="N2553" s="431">
        <v>0</v>
      </c>
      <c r="O2553" s="318"/>
      <c r="P2553" s="431">
        <f t="shared" si="1508"/>
        <v>0</v>
      </c>
      <c r="Q2553" s="325"/>
      <c r="R2553" s="445">
        <f>MAX(ROUND(G2553*(1+$AC$1483),2),L2553)</f>
        <v>8.1001884729287461</v>
      </c>
      <c r="S2553" s="325"/>
      <c r="T2553" s="325">
        <f t="shared" si="1505"/>
        <v>0</v>
      </c>
      <c r="U2553" s="325"/>
      <c r="V2553" s="325">
        <f t="shared" si="1506"/>
        <v>0</v>
      </c>
      <c r="W2553" s="325"/>
      <c r="X2553" s="325">
        <f t="shared" si="1507"/>
        <v>0</v>
      </c>
      <c r="Y2553" s="325"/>
      <c r="Z2553" s="325">
        <f t="shared" si="1507"/>
        <v>0</v>
      </c>
      <c r="AA2553" s="329"/>
      <c r="AB2553" s="305"/>
      <c r="AC2553" s="305"/>
      <c r="AD2553" s="305"/>
      <c r="AE2553" s="305"/>
      <c r="AF2553" s="305"/>
      <c r="AG2553" s="305"/>
      <c r="AH2553" s="305"/>
    </row>
    <row r="2554" spans="2:34" s="443" customFormat="1">
      <c r="B2554" s="353" t="s">
        <v>1349</v>
      </c>
      <c r="C2554" s="353"/>
      <c r="D2554" s="355">
        <f>'[7]32'!H2</f>
        <v>38848</v>
      </c>
      <c r="E2554" s="355">
        <f>'[7]32-forecast'!F17</f>
        <v>245395.50772980196</v>
      </c>
      <c r="F2554" s="355"/>
      <c r="G2554" s="445">
        <v>3.85</v>
      </c>
      <c r="H2554" s="447"/>
      <c r="I2554" s="325">
        <f>ROUND($G2554*D2554,0)</f>
        <v>149565</v>
      </c>
      <c r="J2554" s="325">
        <f>ROUND($G2554*E2554,0)</f>
        <v>944773</v>
      </c>
      <c r="K2554" s="325"/>
      <c r="L2554" s="431">
        <f>'[7]Sch32 COS'!F15</f>
        <v>5.3167732031743373</v>
      </c>
      <c r="M2554" s="318"/>
      <c r="N2554" s="431">
        <v>0</v>
      </c>
      <c r="O2554" s="318"/>
      <c r="P2554" s="431">
        <f>R2554-L2554-N2554</f>
        <v>0</v>
      </c>
      <c r="Q2554" s="325"/>
      <c r="R2554" s="445">
        <f>MAX(ROUND(G2554*(1+$AC$1483),2),L2554)</f>
        <v>5.3167732031743373</v>
      </c>
      <c r="S2554" s="325"/>
      <c r="T2554" s="325">
        <f t="shared" si="1505"/>
        <v>1304712</v>
      </c>
      <c r="U2554" s="325"/>
      <c r="V2554" s="325">
        <f t="shared" si="1506"/>
        <v>0</v>
      </c>
      <c r="W2554" s="325"/>
      <c r="X2554" s="325">
        <f t="shared" si="1507"/>
        <v>0</v>
      </c>
      <c r="Y2554" s="325"/>
      <c r="Z2554" s="325">
        <f t="shared" si="1507"/>
        <v>1304712</v>
      </c>
      <c r="AA2554" s="329"/>
      <c r="AB2554" s="305"/>
      <c r="AC2554" s="305"/>
      <c r="AD2554" s="305"/>
      <c r="AE2554" s="305"/>
      <c r="AF2554" s="305"/>
      <c r="AG2554" s="305"/>
      <c r="AH2554" s="305"/>
    </row>
    <row r="2555" spans="2:34" s="443" customFormat="1">
      <c r="B2555" s="353" t="s">
        <v>1358</v>
      </c>
      <c r="C2555" s="305"/>
      <c r="D2555" s="355"/>
      <c r="E2555" s="355"/>
      <c r="F2555" s="355"/>
      <c r="G2555" s="446"/>
      <c r="H2555" s="305"/>
      <c r="I2555" s="325"/>
      <c r="J2555" s="325"/>
      <c r="K2555" s="305"/>
      <c r="L2555" s="446"/>
      <c r="M2555" s="305"/>
      <c r="N2555" s="446"/>
      <c r="O2555" s="305"/>
      <c r="P2555" s="446"/>
      <c r="Q2555" s="305"/>
      <c r="R2555" s="446"/>
      <c r="S2555" s="305"/>
      <c r="T2555" s="325"/>
      <c r="U2555" s="325"/>
      <c r="V2555" s="325"/>
      <c r="W2555" s="325"/>
      <c r="X2555" s="325"/>
      <c r="Y2555" s="325"/>
      <c r="Z2555" s="325"/>
      <c r="AA2555" s="329"/>
      <c r="AB2555" s="305"/>
      <c r="AC2555" s="305"/>
      <c r="AD2555" s="305"/>
      <c r="AE2555" s="305"/>
      <c r="AF2555" s="305"/>
      <c r="AG2555" s="305"/>
      <c r="AH2555" s="305"/>
    </row>
    <row r="2556" spans="2:34" s="443" customFormat="1">
      <c r="B2556" s="353" t="s">
        <v>1359</v>
      </c>
      <c r="C2556" s="305"/>
      <c r="D2556" s="355"/>
      <c r="E2556" s="355"/>
      <c r="F2556" s="355"/>
      <c r="G2556" s="445"/>
      <c r="H2556" s="324"/>
      <c r="I2556" s="326"/>
      <c r="J2556" s="325"/>
      <c r="K2556" s="325"/>
      <c r="L2556" s="445"/>
      <c r="M2556" s="325"/>
      <c r="N2556" s="445"/>
      <c r="O2556" s="325"/>
      <c r="P2556" s="445"/>
      <c r="Q2556" s="325"/>
      <c r="R2556" s="445"/>
      <c r="S2556" s="325"/>
      <c r="T2556" s="325"/>
      <c r="U2556" s="325"/>
      <c r="V2556" s="325"/>
      <c r="W2556" s="325"/>
      <c r="X2556" s="325"/>
      <c r="Y2556" s="325"/>
      <c r="Z2556" s="325"/>
      <c r="AA2556" s="329"/>
      <c r="AB2556" s="305"/>
      <c r="AC2556" s="305"/>
      <c r="AD2556" s="305"/>
      <c r="AE2556" s="305"/>
      <c r="AF2556" s="305"/>
      <c r="AG2556" s="305"/>
      <c r="AH2556" s="305"/>
    </row>
    <row r="2557" spans="2:34" s="443" customFormat="1">
      <c r="B2557" s="353" t="s">
        <v>1360</v>
      </c>
      <c r="C2557" s="305"/>
      <c r="D2557" s="355"/>
      <c r="E2557" s="355"/>
      <c r="F2557" s="355"/>
      <c r="G2557" s="445"/>
      <c r="H2557" s="324"/>
      <c r="I2557" s="326"/>
      <c r="J2557" s="325"/>
      <c r="K2557" s="325"/>
      <c r="L2557" s="431">
        <f>ROUND($R2557*L1379/$R1379,2)</f>
        <v>0.01</v>
      </c>
      <c r="M2557" s="433"/>
      <c r="N2557" s="431">
        <f>ROUND($R2557*N1379/$R1379,2)</f>
        <v>0.47</v>
      </c>
      <c r="O2557" s="433"/>
      <c r="P2557" s="431">
        <f>R2557-L2557-N2557</f>
        <v>-4.666681950672269E-3</v>
      </c>
      <c r="Q2557" s="325"/>
      <c r="R2557" s="445">
        <f>'[7]Sch32 COS'!B29</f>
        <v>0.47533331804932771</v>
      </c>
      <c r="S2557" s="325"/>
      <c r="T2557" s="325">
        <f t="shared" ref="T2557:T2558" si="1509">ROUND($E2557*L2557,0)</f>
        <v>0</v>
      </c>
      <c r="U2557" s="325"/>
      <c r="V2557" s="325">
        <f t="shared" ref="V2557:V2558" si="1510">ROUND($E2557*N2557,0)</f>
        <v>0</v>
      </c>
      <c r="W2557" s="325"/>
      <c r="X2557" s="325">
        <f t="shared" ref="X2557:Z2558" si="1511">ROUND($E2557*P2557,0)</f>
        <v>0</v>
      </c>
      <c r="Y2557" s="325"/>
      <c r="Z2557" s="325">
        <f t="shared" si="1511"/>
        <v>0</v>
      </c>
      <c r="AA2557" s="329">
        <f>AA2339</f>
        <v>0.8153977208412958</v>
      </c>
      <c r="AB2557" s="305"/>
      <c r="AC2557" s="305"/>
      <c r="AD2557" s="305"/>
      <c r="AE2557" s="305"/>
      <c r="AF2557" s="305"/>
      <c r="AG2557" s="305"/>
      <c r="AH2557" s="305"/>
    </row>
    <row r="2558" spans="2:34" s="443" customFormat="1">
      <c r="B2558" s="353" t="s">
        <v>1361</v>
      </c>
      <c r="C2558" s="305"/>
      <c r="D2558" s="355"/>
      <c r="E2558" s="355"/>
      <c r="F2558" s="355"/>
      <c r="G2558" s="445"/>
      <c r="H2558" s="324"/>
      <c r="I2558" s="326"/>
      <c r="J2558" s="325"/>
      <c r="K2558" s="325"/>
      <c r="L2558" s="431">
        <f>ROUND($R2558*L1380/$R1380,2)</f>
        <v>0</v>
      </c>
      <c r="M2558" s="433"/>
      <c r="N2558" s="431">
        <f>ROUND($R2558*N1380/$R1380,2)</f>
        <v>0.38</v>
      </c>
      <c r="O2558" s="433"/>
      <c r="P2558" s="431">
        <f>R2558-L2558-N2558</f>
        <v>2.9803768728570712E-3</v>
      </c>
      <c r="Q2558" s="325"/>
      <c r="R2558" s="445">
        <f>'[7]Sch32 COS'!B42</f>
        <v>0.38298037687285708</v>
      </c>
      <c r="S2558" s="325"/>
      <c r="T2558" s="325">
        <f t="shared" si="1509"/>
        <v>0</v>
      </c>
      <c r="U2558" s="325"/>
      <c r="V2558" s="325">
        <f t="shared" si="1510"/>
        <v>0</v>
      </c>
      <c r="W2558" s="325"/>
      <c r="X2558" s="325">
        <f t="shared" si="1511"/>
        <v>0</v>
      </c>
      <c r="Y2558" s="325"/>
      <c r="Z2558" s="325">
        <f t="shared" si="1511"/>
        <v>0</v>
      </c>
      <c r="AA2558" s="329">
        <f>AA2340</f>
        <v>1.1372413252842475</v>
      </c>
      <c r="AB2558" s="305"/>
      <c r="AC2558" s="305"/>
      <c r="AD2558" s="305"/>
      <c r="AE2558" s="305"/>
      <c r="AF2558" s="305"/>
      <c r="AG2558" s="305"/>
      <c r="AH2558" s="305"/>
    </row>
    <row r="2559" spans="2:34" s="443" customFormat="1">
      <c r="B2559" s="353" t="s">
        <v>1362</v>
      </c>
      <c r="C2559" s="305"/>
      <c r="D2559" s="355"/>
      <c r="E2559" s="355"/>
      <c r="F2559" s="355"/>
      <c r="G2559" s="445"/>
      <c r="H2559" s="447"/>
      <c r="I2559" s="326"/>
      <c r="J2559" s="325"/>
      <c r="K2559" s="325"/>
      <c r="L2559" s="445"/>
      <c r="M2559" s="325"/>
      <c r="N2559" s="445"/>
      <c r="O2559" s="325"/>
      <c r="P2559" s="445"/>
      <c r="Q2559" s="325"/>
      <c r="R2559" s="445"/>
      <c r="S2559" s="325"/>
      <c r="T2559" s="325"/>
      <c r="U2559" s="325"/>
      <c r="V2559" s="325"/>
      <c r="W2559" s="325"/>
      <c r="X2559" s="325"/>
      <c r="Y2559" s="325"/>
      <c r="Z2559" s="325"/>
      <c r="AA2559" s="329"/>
      <c r="AB2559" s="305"/>
      <c r="AC2559" s="305"/>
      <c r="AD2559" s="305"/>
      <c r="AE2559" s="305"/>
      <c r="AF2559" s="305"/>
      <c r="AG2559" s="305"/>
      <c r="AH2559" s="305"/>
    </row>
    <row r="2560" spans="2:34" s="443" customFormat="1">
      <c r="B2560" s="353" t="s">
        <v>1360</v>
      </c>
      <c r="C2560" s="305"/>
      <c r="D2560" s="355"/>
      <c r="E2560" s="355"/>
      <c r="F2560" s="355"/>
      <c r="G2560" s="445"/>
      <c r="H2560" s="447"/>
      <c r="I2560" s="326"/>
      <c r="J2560" s="325"/>
      <c r="K2560" s="325"/>
      <c r="L2560" s="445">
        <f>ROUND($R2560*L2557/$R2557,2)</f>
        <v>0.01</v>
      </c>
      <c r="M2560" s="325"/>
      <c r="N2560" s="445">
        <f>ROUND($R2560*N2557/$R2557,2)</f>
        <v>0.46</v>
      </c>
      <c r="O2560" s="325"/>
      <c r="P2560" s="445">
        <f t="shared" ref="P2560:P2561" si="1512">R2560-L2560-N2560</f>
        <v>-1.0222778384979536E-3</v>
      </c>
      <c r="Q2560" s="325"/>
      <c r="R2560" s="445">
        <f>'[7]Sch32 COS'!C29</f>
        <v>0.46897772216150208</v>
      </c>
      <c r="S2560" s="325"/>
      <c r="T2560" s="325">
        <f t="shared" ref="T2560:T2561" si="1513">ROUND($E2560*L2560,0)</f>
        <v>0</v>
      </c>
      <c r="U2560" s="325"/>
      <c r="V2560" s="325">
        <f t="shared" ref="V2560:V2561" si="1514">ROUND($E2560*N2560,0)</f>
        <v>0</v>
      </c>
      <c r="W2560" s="325"/>
      <c r="X2560" s="325">
        <f t="shared" ref="X2560:Z2561" si="1515">ROUND($E2560*P2560,0)</f>
        <v>0</v>
      </c>
      <c r="Y2560" s="325"/>
      <c r="Z2560" s="325">
        <f t="shared" si="1515"/>
        <v>0</v>
      </c>
      <c r="AA2560" s="329">
        <f>AA2557</f>
        <v>0.8153977208412958</v>
      </c>
      <c r="AB2560" s="305"/>
      <c r="AC2560" s="305"/>
      <c r="AD2560" s="305"/>
      <c r="AE2560" s="305"/>
      <c r="AF2560" s="305"/>
      <c r="AG2560" s="305"/>
      <c r="AH2560" s="305"/>
    </row>
    <row r="2561" spans="2:34" s="443" customFormat="1">
      <c r="B2561" s="353" t="s">
        <v>1361</v>
      </c>
      <c r="C2561" s="305"/>
      <c r="D2561" s="355"/>
      <c r="E2561" s="355"/>
      <c r="F2561" s="355"/>
      <c r="G2561" s="445"/>
      <c r="H2561" s="447"/>
      <c r="I2561" s="326"/>
      <c r="J2561" s="325"/>
      <c r="K2561" s="325"/>
      <c r="L2561" s="445">
        <f>ROUND($R2561*L2558/$R2558,2)</f>
        <v>0</v>
      </c>
      <c r="M2561" s="325"/>
      <c r="N2561" s="445">
        <f>ROUND($R2561*N2558/$R2558,2)</f>
        <v>0.37</v>
      </c>
      <c r="O2561" s="325"/>
      <c r="P2561" s="445">
        <f t="shared" si="1512"/>
        <v>3.4881289618801103E-3</v>
      </c>
      <c r="Q2561" s="325"/>
      <c r="R2561" s="445">
        <f>'[7]Sch32 COS'!C42</f>
        <v>0.37348812896188011</v>
      </c>
      <c r="S2561" s="325"/>
      <c r="T2561" s="325">
        <f t="shared" si="1513"/>
        <v>0</v>
      </c>
      <c r="U2561" s="325"/>
      <c r="V2561" s="325">
        <f t="shared" si="1514"/>
        <v>0</v>
      </c>
      <c r="W2561" s="325"/>
      <c r="X2561" s="325">
        <f t="shared" si="1515"/>
        <v>0</v>
      </c>
      <c r="Y2561" s="325"/>
      <c r="Z2561" s="325">
        <f t="shared" si="1515"/>
        <v>0</v>
      </c>
      <c r="AA2561" s="329">
        <f>AA2558</f>
        <v>1.1372413252842475</v>
      </c>
      <c r="AB2561" s="305"/>
      <c r="AC2561" s="305"/>
      <c r="AD2561" s="305"/>
      <c r="AE2561" s="305"/>
      <c r="AF2561" s="305"/>
      <c r="AG2561" s="305"/>
      <c r="AH2561" s="305"/>
    </row>
    <row r="2562" spans="2:34" s="443" customFormat="1">
      <c r="B2562" s="353" t="s">
        <v>1363</v>
      </c>
      <c r="C2562" s="305"/>
      <c r="D2562" s="355"/>
      <c r="E2562" s="355"/>
      <c r="F2562" s="355"/>
      <c r="G2562" s="446"/>
      <c r="H2562" s="448"/>
      <c r="I2562" s="325"/>
      <c r="J2562" s="325"/>
      <c r="K2562" s="325"/>
      <c r="L2562" s="446"/>
      <c r="M2562" s="325"/>
      <c r="N2562" s="446"/>
      <c r="O2562" s="325"/>
      <c r="P2562" s="446"/>
      <c r="Q2562" s="325"/>
      <c r="R2562" s="446"/>
      <c r="S2562" s="325"/>
      <c r="T2562" s="325"/>
      <c r="U2562" s="325"/>
      <c r="V2562" s="325"/>
      <c r="W2562" s="325"/>
      <c r="X2562" s="325"/>
      <c r="Y2562" s="325"/>
      <c r="Z2562" s="325"/>
      <c r="AA2562" s="329"/>
      <c r="AB2562" s="305"/>
      <c r="AC2562" s="305"/>
      <c r="AD2562" s="305"/>
      <c r="AE2562" s="305"/>
      <c r="AF2562" s="305"/>
      <c r="AG2562" s="305"/>
      <c r="AH2562" s="305"/>
    </row>
    <row r="2563" spans="2:34" s="443" customFormat="1">
      <c r="B2563" s="353" t="s">
        <v>1360</v>
      </c>
      <c r="C2563" s="305"/>
      <c r="D2563" s="355"/>
      <c r="E2563" s="355"/>
      <c r="F2563" s="355"/>
      <c r="G2563" s="445"/>
      <c r="H2563" s="447"/>
      <c r="I2563" s="326"/>
      <c r="J2563" s="325"/>
      <c r="K2563" s="325"/>
      <c r="L2563" s="445">
        <f>ROUND($R2563*L2560/$R2560,2)</f>
        <v>0.01</v>
      </c>
      <c r="M2563" s="325"/>
      <c r="N2563" s="445">
        <f>ROUND($R2563*N2560/$R2560,2)</f>
        <v>0.69</v>
      </c>
      <c r="O2563" s="325"/>
      <c r="P2563" s="445">
        <f t="shared" ref="P2563:P2564" si="1516">R2563-L2563-N2563</f>
        <v>-5.993219369849756E-4</v>
      </c>
      <c r="Q2563" s="325"/>
      <c r="R2563" s="445">
        <f>'[7]Sch32 COS'!D29</f>
        <v>0.69940067806301498</v>
      </c>
      <c r="S2563" s="325"/>
      <c r="T2563" s="325">
        <f t="shared" ref="T2563:T2564" si="1517">ROUND($E2563*L2563,0)</f>
        <v>0</v>
      </c>
      <c r="U2563" s="325"/>
      <c r="V2563" s="325">
        <f t="shared" ref="V2563:V2564" si="1518">ROUND($E2563*N2563,0)</f>
        <v>0</v>
      </c>
      <c r="W2563" s="325"/>
      <c r="X2563" s="325">
        <f t="shared" ref="X2563:Z2564" si="1519">ROUND($E2563*P2563,0)</f>
        <v>0</v>
      </c>
      <c r="Y2563" s="325"/>
      <c r="Z2563" s="325">
        <f t="shared" si="1519"/>
        <v>0</v>
      </c>
      <c r="AA2563" s="329">
        <f>AA2557</f>
        <v>0.8153977208412958</v>
      </c>
      <c r="AB2563" s="305"/>
      <c r="AC2563" s="305"/>
      <c r="AD2563" s="305"/>
      <c r="AE2563" s="305"/>
      <c r="AF2563" s="305"/>
      <c r="AG2563" s="305"/>
      <c r="AH2563" s="305"/>
    </row>
    <row r="2564" spans="2:34" s="443" customFormat="1">
      <c r="B2564" s="353" t="s">
        <v>1361</v>
      </c>
      <c r="C2564" s="305"/>
      <c r="D2564" s="355"/>
      <c r="E2564" s="355"/>
      <c r="F2564" s="355"/>
      <c r="G2564" s="445"/>
      <c r="H2564" s="447"/>
      <c r="I2564" s="326"/>
      <c r="J2564" s="325"/>
      <c r="K2564" s="325"/>
      <c r="L2564" s="445">
        <f>ROUND($R2564*L2561/$R2561,2)</f>
        <v>0</v>
      </c>
      <c r="M2564" s="325"/>
      <c r="N2564" s="445">
        <f>ROUND($R2564*N2561/$R2561,2)</f>
        <v>0.57999999999999996</v>
      </c>
      <c r="O2564" s="325"/>
      <c r="P2564" s="445">
        <f t="shared" si="1516"/>
        <v>9.9889133571327005E-3</v>
      </c>
      <c r="Q2564" s="325"/>
      <c r="R2564" s="445">
        <f>'[7]Sch32 COS'!D42</f>
        <v>0.58998891335713266</v>
      </c>
      <c r="S2564" s="325"/>
      <c r="T2564" s="325">
        <f t="shared" si="1517"/>
        <v>0</v>
      </c>
      <c r="U2564" s="325"/>
      <c r="V2564" s="325">
        <f t="shared" si="1518"/>
        <v>0</v>
      </c>
      <c r="W2564" s="325"/>
      <c r="X2564" s="325">
        <f t="shared" si="1519"/>
        <v>0</v>
      </c>
      <c r="Y2564" s="325"/>
      <c r="Z2564" s="325">
        <f t="shared" si="1519"/>
        <v>0</v>
      </c>
      <c r="AA2564" s="329">
        <f>AA2558</f>
        <v>1.1372413252842475</v>
      </c>
      <c r="AB2564" s="305"/>
      <c r="AC2564" s="305"/>
      <c r="AD2564" s="305"/>
      <c r="AE2564" s="305"/>
      <c r="AF2564" s="305"/>
      <c r="AG2564" s="305"/>
      <c r="AH2564" s="305"/>
    </row>
    <row r="2565" spans="2:34" s="443" customFormat="1">
      <c r="B2565" s="353" t="s">
        <v>1364</v>
      </c>
      <c r="C2565" s="305"/>
      <c r="D2565" s="355"/>
      <c r="E2565" s="355"/>
      <c r="F2565" s="355"/>
      <c r="G2565" s="445"/>
      <c r="H2565" s="324"/>
      <c r="I2565" s="326"/>
      <c r="J2565" s="325"/>
      <c r="K2565" s="325"/>
      <c r="L2565" s="445"/>
      <c r="M2565" s="325"/>
      <c r="N2565" s="445"/>
      <c r="O2565" s="325"/>
      <c r="P2565" s="445"/>
      <c r="Q2565" s="325"/>
      <c r="R2565" s="445"/>
      <c r="S2565" s="325"/>
      <c r="T2565" s="325"/>
      <c r="U2565" s="325"/>
      <c r="V2565" s="325"/>
      <c r="W2565" s="325"/>
      <c r="X2565" s="325"/>
      <c r="Y2565" s="325"/>
      <c r="Z2565" s="325"/>
      <c r="AA2565" s="329"/>
      <c r="AB2565" s="305"/>
      <c r="AC2565" s="305"/>
      <c r="AD2565" s="305"/>
      <c r="AE2565" s="305"/>
      <c r="AF2565" s="305"/>
      <c r="AG2565" s="305"/>
      <c r="AH2565" s="305"/>
    </row>
    <row r="2566" spans="2:34" s="443" customFormat="1">
      <c r="B2566" s="353" t="s">
        <v>1360</v>
      </c>
      <c r="C2566" s="305"/>
      <c r="D2566" s="355"/>
      <c r="E2566" s="355"/>
      <c r="F2566" s="355"/>
      <c r="G2566" s="445"/>
      <c r="H2566" s="447"/>
      <c r="I2566" s="326"/>
      <c r="J2566" s="325"/>
      <c r="K2566" s="325"/>
      <c r="L2566" s="445">
        <f>ROUND($R2566*L2563/$R2563,2)</f>
        <v>0.01</v>
      </c>
      <c r="M2566" s="325"/>
      <c r="N2566" s="445">
        <f>ROUND($R2566*N2563/$R2563,2)</f>
        <v>0.68</v>
      </c>
      <c r="O2566" s="325"/>
      <c r="P2566" s="445">
        <f t="shared" ref="P2566:P2567" si="1520">R2566-L2566-N2566</f>
        <v>4.9118000527426098E-5</v>
      </c>
      <c r="Q2566" s="325"/>
      <c r="R2566" s="445">
        <f>'[7]Sch32 COS'!E29</f>
        <v>0.69004911800052748</v>
      </c>
      <c r="S2566" s="325"/>
      <c r="T2566" s="325">
        <f t="shared" ref="T2566:T2567" si="1521">ROUND($E2566*L2566,0)</f>
        <v>0</v>
      </c>
      <c r="U2566" s="325"/>
      <c r="V2566" s="325">
        <f t="shared" ref="V2566:V2567" si="1522">ROUND($E2566*N2566,0)</f>
        <v>0</v>
      </c>
      <c r="W2566" s="325"/>
      <c r="X2566" s="325">
        <f t="shared" ref="X2566:Z2567" si="1523">ROUND($E2566*P2566,0)</f>
        <v>0</v>
      </c>
      <c r="Y2566" s="325"/>
      <c r="Z2566" s="325">
        <f t="shared" si="1523"/>
        <v>0</v>
      </c>
      <c r="AA2566" s="329">
        <f>AA2557</f>
        <v>0.8153977208412958</v>
      </c>
      <c r="AB2566" s="305"/>
      <c r="AC2566" s="305"/>
      <c r="AD2566" s="305"/>
      <c r="AE2566" s="305"/>
      <c r="AF2566" s="305"/>
      <c r="AG2566" s="305"/>
      <c r="AH2566" s="305"/>
    </row>
    <row r="2567" spans="2:34" s="443" customFormat="1">
      <c r="B2567" s="353" t="s">
        <v>1361</v>
      </c>
      <c r="C2567" s="305"/>
      <c r="D2567" s="355"/>
      <c r="E2567" s="355"/>
      <c r="F2567" s="355"/>
      <c r="G2567" s="445"/>
      <c r="H2567" s="447"/>
      <c r="I2567" s="326"/>
      <c r="J2567" s="325"/>
      <c r="K2567" s="325"/>
      <c r="L2567" s="445">
        <f>ROUND($R2567*L2564/$R2564,2)</f>
        <v>0</v>
      </c>
      <c r="M2567" s="325"/>
      <c r="N2567" s="445">
        <f>ROUND($R2567*N2564/$R2564,2)</f>
        <v>0.56999999999999995</v>
      </c>
      <c r="O2567" s="325"/>
      <c r="P2567" s="445">
        <f t="shared" si="1520"/>
        <v>5.3659160222769842E-3</v>
      </c>
      <c r="Q2567" s="325"/>
      <c r="R2567" s="445">
        <f>'[7]Sch32 COS'!E42</f>
        <v>0.57536591602227694</v>
      </c>
      <c r="S2567" s="325"/>
      <c r="T2567" s="325">
        <f t="shared" si="1521"/>
        <v>0</v>
      </c>
      <c r="U2567" s="325"/>
      <c r="V2567" s="325">
        <f t="shared" si="1522"/>
        <v>0</v>
      </c>
      <c r="W2567" s="325"/>
      <c r="X2567" s="325">
        <f t="shared" si="1523"/>
        <v>0</v>
      </c>
      <c r="Y2567" s="325"/>
      <c r="Z2567" s="325">
        <f t="shared" si="1523"/>
        <v>0</v>
      </c>
      <c r="AA2567" s="329">
        <f>AA2558</f>
        <v>1.1372413252842475</v>
      </c>
      <c r="AB2567" s="305"/>
      <c r="AC2567" s="305"/>
      <c r="AD2567" s="305"/>
      <c r="AE2567" s="305"/>
      <c r="AF2567" s="305"/>
      <c r="AG2567" s="305"/>
      <c r="AH2567" s="305"/>
    </row>
    <row r="2568" spans="2:34" s="443" customFormat="1">
      <c r="B2568" s="353" t="s">
        <v>1365</v>
      </c>
      <c r="C2568" s="305"/>
      <c r="D2568" s="355"/>
      <c r="E2568" s="355"/>
      <c r="F2568" s="355"/>
      <c r="G2568" s="446"/>
      <c r="H2568" s="305"/>
      <c r="I2568" s="325"/>
      <c r="J2568" s="325"/>
      <c r="K2568" s="305"/>
      <c r="L2568" s="446"/>
      <c r="M2568" s="305"/>
      <c r="N2568" s="446"/>
      <c r="O2568" s="305"/>
      <c r="P2568" s="446"/>
      <c r="Q2568" s="305"/>
      <c r="R2568" s="446"/>
      <c r="S2568" s="305"/>
      <c r="T2568" s="325"/>
      <c r="U2568" s="325"/>
      <c r="V2568" s="325"/>
      <c r="W2568" s="325"/>
      <c r="X2568" s="325"/>
      <c r="Y2568" s="325"/>
      <c r="Z2568" s="325"/>
      <c r="AA2568" s="329"/>
      <c r="AB2568" s="305"/>
      <c r="AC2568" s="305"/>
      <c r="AD2568" s="305"/>
      <c r="AE2568" s="305"/>
      <c r="AF2568" s="305"/>
      <c r="AG2568" s="305"/>
      <c r="AH2568" s="305"/>
    </row>
    <row r="2569" spans="2:34" s="443" customFormat="1">
      <c r="B2569" s="353" t="s">
        <v>1360</v>
      </c>
      <c r="C2569" s="305"/>
      <c r="D2569" s="355">
        <f>D2584</f>
        <v>0</v>
      </c>
      <c r="E2569" s="355">
        <f>E2584*AA2569</f>
        <v>529201.58931031614</v>
      </c>
      <c r="F2569" s="355"/>
      <c r="G2569" s="445"/>
      <c r="H2569" s="324"/>
      <c r="I2569" s="325"/>
      <c r="J2569" s="325"/>
      <c r="K2569" s="325"/>
      <c r="L2569" s="431">
        <f>ROUND($R2569*L1481/$R1481,2)</f>
        <v>0</v>
      </c>
      <c r="M2569" s="433"/>
      <c r="N2569" s="431">
        <f>ROUND($R2569*N1481/$R1481,2)</f>
        <v>0.65</v>
      </c>
      <c r="O2569" s="433"/>
      <c r="P2569" s="431">
        <f>R2569-L2569-N2569</f>
        <v>-4.2850216290289955E-3</v>
      </c>
      <c r="Q2569" s="325"/>
      <c r="R2569" s="445">
        <f>'[7]Sch32 COS'!F29</f>
        <v>0.64571497837097103</v>
      </c>
      <c r="S2569" s="325"/>
      <c r="T2569" s="325">
        <f t="shared" ref="T2569:T2570" si="1524">ROUND($E2569*L2569,0)</f>
        <v>0</v>
      </c>
      <c r="U2569" s="325"/>
      <c r="V2569" s="325">
        <f t="shared" ref="V2569:V2570" si="1525">ROUND($E2569*N2569,0)</f>
        <v>343981</v>
      </c>
      <c r="W2569" s="325"/>
      <c r="X2569" s="325">
        <f t="shared" ref="X2569:Z2570" si="1526">ROUND($E2569*P2569,0)</f>
        <v>-2268</v>
      </c>
      <c r="Y2569" s="325"/>
      <c r="Z2569" s="325">
        <f t="shared" si="1526"/>
        <v>341713</v>
      </c>
      <c r="AA2569" s="329">
        <f>AA2557</f>
        <v>0.8153977208412958</v>
      </c>
      <c r="AB2569" s="305"/>
      <c r="AC2569" s="305"/>
      <c r="AD2569" s="305"/>
      <c r="AE2569" s="305"/>
      <c r="AF2569" s="305"/>
      <c r="AG2569" s="305"/>
      <c r="AH2569" s="305"/>
    </row>
    <row r="2570" spans="2:34" s="443" customFormat="1">
      <c r="B2570" s="353" t="s">
        <v>1361</v>
      </c>
      <c r="C2570" s="305"/>
      <c r="D2570" s="355">
        <f>D2585</f>
        <v>249715</v>
      </c>
      <c r="E2570" s="355">
        <f>E2585*AA2570</f>
        <v>914320.86246344307</v>
      </c>
      <c r="F2570" s="355"/>
      <c r="G2570" s="445"/>
      <c r="H2570" s="324"/>
      <c r="I2570" s="325"/>
      <c r="J2570" s="325"/>
      <c r="K2570" s="325"/>
      <c r="L2570" s="431">
        <f>ROUND($R2570*L1482/$R1482,2)</f>
        <v>0</v>
      </c>
      <c r="M2570" s="433"/>
      <c r="N2570" s="431">
        <f>ROUND($R2570*N1482/$R1482,2)</f>
        <v>0.55000000000000004</v>
      </c>
      <c r="O2570" s="433"/>
      <c r="P2570" s="431">
        <f>R2570-L2570-N2570</f>
        <v>2.15096453014052E-3</v>
      </c>
      <c r="Q2570" s="325"/>
      <c r="R2570" s="445">
        <f>'[7]Sch32 COS'!F42</f>
        <v>0.55215096453014056</v>
      </c>
      <c r="S2570" s="325"/>
      <c r="T2570" s="325">
        <f t="shared" si="1524"/>
        <v>0</v>
      </c>
      <c r="U2570" s="325"/>
      <c r="V2570" s="325">
        <f t="shared" si="1525"/>
        <v>502876</v>
      </c>
      <c r="W2570" s="325"/>
      <c r="X2570" s="325">
        <f t="shared" si="1526"/>
        <v>1967</v>
      </c>
      <c r="Y2570" s="325"/>
      <c r="Z2570" s="325">
        <f t="shared" si="1526"/>
        <v>504843</v>
      </c>
      <c r="AA2570" s="329">
        <f>AA2558</f>
        <v>1.1372413252842475</v>
      </c>
      <c r="AB2570" s="305"/>
      <c r="AC2570" s="305"/>
      <c r="AD2570" s="305"/>
      <c r="AE2570" s="305"/>
      <c r="AF2570" s="305"/>
      <c r="AG2570" s="305"/>
      <c r="AH2570" s="305"/>
    </row>
    <row r="2571" spans="2:34" s="443" customFormat="1">
      <c r="B2571" s="353" t="s">
        <v>1359</v>
      </c>
      <c r="C2571" s="305"/>
      <c r="D2571" s="355"/>
      <c r="E2571" s="355"/>
      <c r="F2571" s="355"/>
      <c r="G2571" s="445"/>
      <c r="H2571" s="324"/>
      <c r="I2571" s="326"/>
      <c r="J2571" s="325"/>
      <c r="K2571" s="325"/>
      <c r="L2571" s="325"/>
      <c r="M2571" s="325"/>
      <c r="N2571" s="325"/>
      <c r="O2571" s="325"/>
      <c r="P2571" s="325"/>
      <c r="Q2571" s="325"/>
      <c r="R2571" s="325"/>
      <c r="S2571" s="325"/>
      <c r="T2571" s="325"/>
      <c r="U2571" s="325"/>
      <c r="V2571" s="325"/>
      <c r="W2571" s="325"/>
      <c r="X2571" s="325"/>
      <c r="Y2571" s="325"/>
      <c r="Z2571" s="325"/>
      <c r="AA2571" s="329"/>
      <c r="AB2571" s="305"/>
      <c r="AC2571" s="305"/>
      <c r="AD2571" s="305"/>
      <c r="AE2571" s="305"/>
      <c r="AF2571" s="305"/>
      <c r="AG2571" s="305"/>
      <c r="AH2571" s="305"/>
    </row>
    <row r="2572" spans="2:34" s="443" customFormat="1">
      <c r="B2572" s="353" t="s">
        <v>1366</v>
      </c>
      <c r="C2572" s="305"/>
      <c r="D2572" s="355"/>
      <c r="E2572" s="355"/>
      <c r="F2572" s="355"/>
      <c r="G2572" s="445">
        <v>0.64</v>
      </c>
      <c r="H2572" s="324"/>
      <c r="I2572" s="326"/>
      <c r="J2572" s="325">
        <f>ROUND($G2572*E2572,0)</f>
        <v>0</v>
      </c>
      <c r="K2572" s="325"/>
      <c r="L2572" s="325"/>
      <c r="M2572" s="325"/>
      <c r="N2572" s="325"/>
      <c r="O2572" s="325"/>
      <c r="P2572" s="325"/>
      <c r="Q2572" s="325"/>
      <c r="R2572" s="325"/>
      <c r="S2572" s="325"/>
      <c r="T2572" s="325"/>
      <c r="U2572" s="325"/>
      <c r="V2572" s="325"/>
      <c r="W2572" s="325"/>
      <c r="X2572" s="325"/>
      <c r="Y2572" s="325"/>
      <c r="Z2572" s="325"/>
      <c r="AA2572" s="329"/>
      <c r="AB2572" s="305"/>
      <c r="AC2572" s="305"/>
      <c r="AD2572" s="305"/>
      <c r="AE2572" s="305"/>
      <c r="AF2572" s="305"/>
      <c r="AG2572" s="305"/>
      <c r="AH2572" s="305"/>
    </row>
    <row r="2573" spans="2:34" s="443" customFormat="1">
      <c r="B2573" s="353" t="s">
        <v>1367</v>
      </c>
      <c r="C2573" s="305"/>
      <c r="D2573" s="355"/>
      <c r="E2573" s="355"/>
      <c r="F2573" s="355"/>
      <c r="G2573" s="445">
        <v>0.42</v>
      </c>
      <c r="H2573" s="324"/>
      <c r="I2573" s="326"/>
      <c r="J2573" s="325">
        <f>ROUND($G2573*E2573,0)</f>
        <v>0</v>
      </c>
      <c r="K2573" s="325"/>
      <c r="L2573" s="325"/>
      <c r="M2573" s="325"/>
      <c r="N2573" s="325"/>
      <c r="O2573" s="325"/>
      <c r="P2573" s="325"/>
      <c r="Q2573" s="325"/>
      <c r="R2573" s="325"/>
      <c r="S2573" s="325"/>
      <c r="T2573" s="325"/>
      <c r="U2573" s="325"/>
      <c r="V2573" s="325"/>
      <c r="W2573" s="325"/>
      <c r="X2573" s="325"/>
      <c r="Y2573" s="325"/>
      <c r="Z2573" s="325"/>
      <c r="AA2573" s="329"/>
      <c r="AB2573" s="305"/>
      <c r="AC2573" s="305"/>
      <c r="AD2573" s="305"/>
      <c r="AE2573" s="305"/>
      <c r="AF2573" s="305"/>
      <c r="AG2573" s="305"/>
      <c r="AH2573" s="305"/>
    </row>
    <row r="2574" spans="2:34" s="443" customFormat="1">
      <c r="B2574" s="353" t="s">
        <v>1362</v>
      </c>
      <c r="C2574" s="305"/>
      <c r="D2574" s="355"/>
      <c r="E2574" s="355"/>
      <c r="F2574" s="355"/>
      <c r="G2574" s="445"/>
      <c r="H2574" s="447"/>
      <c r="I2574" s="326"/>
      <c r="J2574" s="325"/>
      <c r="K2574" s="325"/>
      <c r="L2574" s="325"/>
      <c r="M2574" s="325"/>
      <c r="N2574" s="325"/>
      <c r="O2574" s="325"/>
      <c r="P2574" s="325"/>
      <c r="Q2574" s="325"/>
      <c r="R2574" s="325"/>
      <c r="S2574" s="325"/>
      <c r="T2574" s="325"/>
      <c r="U2574" s="325"/>
      <c r="V2574" s="325"/>
      <c r="W2574" s="325"/>
      <c r="X2574" s="325"/>
      <c r="Y2574" s="325"/>
      <c r="Z2574" s="325"/>
      <c r="AA2574" s="329"/>
      <c r="AB2574" s="305"/>
      <c r="AC2574" s="305"/>
      <c r="AD2574" s="305"/>
      <c r="AE2574" s="305"/>
      <c r="AF2574" s="305"/>
      <c r="AG2574" s="305"/>
      <c r="AH2574" s="305"/>
    </row>
    <row r="2575" spans="2:34" s="443" customFormat="1">
      <c r="B2575" s="353" t="s">
        <v>1366</v>
      </c>
      <c r="C2575" s="305"/>
      <c r="D2575" s="355"/>
      <c r="E2575" s="355"/>
      <c r="F2575" s="355"/>
      <c r="G2575" s="445">
        <v>0.63</v>
      </c>
      <c r="H2575" s="447"/>
      <c r="I2575" s="326"/>
      <c r="J2575" s="325">
        <f>ROUND($G2575*E2575,0)</f>
        <v>0</v>
      </c>
      <c r="K2575" s="325"/>
      <c r="L2575" s="325"/>
      <c r="M2575" s="325"/>
      <c r="N2575" s="325"/>
      <c r="O2575" s="325"/>
      <c r="P2575" s="325"/>
      <c r="Q2575" s="325"/>
      <c r="R2575" s="325"/>
      <c r="S2575" s="325"/>
      <c r="T2575" s="325"/>
      <c r="U2575" s="325"/>
      <c r="V2575" s="325"/>
      <c r="W2575" s="325"/>
      <c r="X2575" s="325"/>
      <c r="Y2575" s="325"/>
      <c r="Z2575" s="325"/>
      <c r="AA2575" s="329"/>
      <c r="AB2575" s="305"/>
      <c r="AC2575" s="305"/>
      <c r="AD2575" s="305"/>
      <c r="AE2575" s="305"/>
      <c r="AF2575" s="305"/>
      <c r="AG2575" s="305"/>
      <c r="AH2575" s="305"/>
    </row>
    <row r="2576" spans="2:34" s="443" customFormat="1">
      <c r="B2576" s="353" t="s">
        <v>1367</v>
      </c>
      <c r="C2576" s="305"/>
      <c r="D2576" s="355"/>
      <c r="E2576" s="355"/>
      <c r="F2576" s="355"/>
      <c r="G2576" s="445">
        <v>0.41</v>
      </c>
      <c r="H2576" s="447"/>
      <c r="I2576" s="326"/>
      <c r="J2576" s="325">
        <f>ROUND($G2576*E2576,0)</f>
        <v>0</v>
      </c>
      <c r="K2576" s="325"/>
      <c r="L2576" s="325"/>
      <c r="M2576" s="325"/>
      <c r="N2576" s="325"/>
      <c r="O2576" s="325"/>
      <c r="P2576" s="325"/>
      <c r="Q2576" s="325"/>
      <c r="R2576" s="325"/>
      <c r="S2576" s="325"/>
      <c r="T2576" s="325"/>
      <c r="U2576" s="325"/>
      <c r="V2576" s="325"/>
      <c r="W2576" s="325"/>
      <c r="X2576" s="325"/>
      <c r="Y2576" s="325"/>
      <c r="Z2576" s="325"/>
      <c r="AA2576" s="329"/>
      <c r="AB2576" s="305"/>
      <c r="AC2576" s="305"/>
      <c r="AD2576" s="305"/>
      <c r="AE2576" s="305"/>
      <c r="AF2576" s="305"/>
      <c r="AG2576" s="305"/>
      <c r="AH2576" s="305"/>
    </row>
    <row r="2577" spans="1:34" s="443" customFormat="1">
      <c r="B2577" s="353" t="s">
        <v>1363</v>
      </c>
      <c r="C2577" s="305"/>
      <c r="D2577" s="355"/>
      <c r="E2577" s="355"/>
      <c r="F2577" s="355"/>
      <c r="G2577" s="446"/>
      <c r="H2577" s="448"/>
      <c r="I2577" s="325"/>
      <c r="J2577" s="325"/>
      <c r="K2577" s="325"/>
      <c r="L2577" s="325"/>
      <c r="M2577" s="325"/>
      <c r="N2577" s="325"/>
      <c r="O2577" s="325"/>
      <c r="P2577" s="325"/>
      <c r="Q2577" s="325"/>
      <c r="R2577" s="325"/>
      <c r="S2577" s="325"/>
      <c r="T2577" s="325"/>
      <c r="U2577" s="325"/>
      <c r="V2577" s="325"/>
      <c r="W2577" s="325"/>
      <c r="X2577" s="325"/>
      <c r="Y2577" s="325"/>
      <c r="Z2577" s="325"/>
      <c r="AA2577" s="329"/>
      <c r="AB2577" s="305"/>
      <c r="AC2577" s="305"/>
      <c r="AD2577" s="305"/>
      <c r="AE2577" s="305"/>
      <c r="AF2577" s="305"/>
      <c r="AG2577" s="305"/>
      <c r="AH2577" s="305"/>
    </row>
    <row r="2578" spans="1:34" s="443" customFormat="1">
      <c r="B2578" s="353" t="s">
        <v>1366</v>
      </c>
      <c r="C2578" s="305"/>
      <c r="D2578" s="355"/>
      <c r="E2578" s="355"/>
      <c r="F2578" s="355"/>
      <c r="G2578" s="445">
        <v>0.72</v>
      </c>
      <c r="H2578" s="447"/>
      <c r="I2578" s="326"/>
      <c r="J2578" s="325">
        <f>ROUND($G2578*E2578,0)</f>
        <v>0</v>
      </c>
      <c r="K2578" s="325"/>
      <c r="L2578" s="325"/>
      <c r="M2578" s="325"/>
      <c r="N2578" s="325"/>
      <c r="O2578" s="325"/>
      <c r="P2578" s="325"/>
      <c r="Q2578" s="325"/>
      <c r="R2578" s="325"/>
      <c r="S2578" s="325"/>
      <c r="T2578" s="325"/>
      <c r="U2578" s="325"/>
      <c r="V2578" s="325"/>
      <c r="W2578" s="325"/>
      <c r="X2578" s="325"/>
      <c r="Y2578" s="325"/>
      <c r="Z2578" s="325"/>
      <c r="AA2578" s="329"/>
      <c r="AB2578" s="305"/>
      <c r="AC2578" s="305"/>
      <c r="AD2578" s="305"/>
      <c r="AE2578" s="305"/>
      <c r="AF2578" s="305"/>
      <c r="AG2578" s="305"/>
      <c r="AH2578" s="305"/>
    </row>
    <row r="2579" spans="1:34" s="443" customFormat="1">
      <c r="B2579" s="353" t="s">
        <v>1367</v>
      </c>
      <c r="C2579" s="305"/>
      <c r="D2579" s="355"/>
      <c r="E2579" s="355"/>
      <c r="F2579" s="355"/>
      <c r="G2579" s="445">
        <v>0.46</v>
      </c>
      <c r="H2579" s="447"/>
      <c r="I2579" s="326"/>
      <c r="J2579" s="325">
        <f>ROUND($G2579*E2579,0)</f>
        <v>0</v>
      </c>
      <c r="K2579" s="325"/>
      <c r="L2579" s="325"/>
      <c r="M2579" s="325"/>
      <c r="N2579" s="325"/>
      <c r="O2579" s="325"/>
      <c r="P2579" s="325"/>
      <c r="Q2579" s="325"/>
      <c r="R2579" s="325"/>
      <c r="S2579" s="325"/>
      <c r="T2579" s="325"/>
      <c r="U2579" s="325"/>
      <c r="V2579" s="325"/>
      <c r="W2579" s="325"/>
      <c r="X2579" s="325"/>
      <c r="Y2579" s="325"/>
      <c r="Z2579" s="325"/>
      <c r="AA2579" s="329"/>
      <c r="AB2579" s="305"/>
      <c r="AC2579" s="305"/>
      <c r="AD2579" s="305"/>
      <c r="AE2579" s="305"/>
      <c r="AF2579" s="305"/>
      <c r="AG2579" s="305"/>
      <c r="AH2579" s="305"/>
    </row>
    <row r="2580" spans="1:34" s="443" customFormat="1">
      <c r="B2580" s="353" t="s">
        <v>1364</v>
      </c>
      <c r="C2580" s="305"/>
      <c r="D2580" s="355"/>
      <c r="E2580" s="355"/>
      <c r="F2580" s="355"/>
      <c r="G2580" s="445"/>
      <c r="H2580" s="324"/>
      <c r="I2580" s="326"/>
      <c r="J2580" s="325"/>
      <c r="K2580" s="325"/>
      <c r="L2580" s="325"/>
      <c r="M2580" s="325"/>
      <c r="N2580" s="325"/>
      <c r="O2580" s="325"/>
      <c r="P2580" s="325"/>
      <c r="Q2580" s="325"/>
      <c r="R2580" s="325"/>
      <c r="S2580" s="325"/>
      <c r="T2580" s="325"/>
      <c r="U2580" s="325"/>
      <c r="V2580" s="325"/>
      <c r="W2580" s="325"/>
      <c r="X2580" s="325"/>
      <c r="Y2580" s="325"/>
      <c r="Z2580" s="325"/>
      <c r="AA2580" s="329"/>
      <c r="AB2580" s="305"/>
      <c r="AC2580" s="305"/>
      <c r="AD2580" s="305"/>
      <c r="AE2580" s="305"/>
      <c r="AF2580" s="305"/>
      <c r="AG2580" s="305"/>
      <c r="AH2580" s="305"/>
    </row>
    <row r="2581" spans="1:34" s="443" customFormat="1">
      <c r="B2581" s="353" t="s">
        <v>1366</v>
      </c>
      <c r="C2581" s="305"/>
      <c r="D2581" s="355"/>
      <c r="E2581" s="355"/>
      <c r="F2581" s="355"/>
      <c r="G2581" s="445">
        <v>0.7</v>
      </c>
      <c r="H2581" s="447"/>
      <c r="I2581" s="326"/>
      <c r="J2581" s="325">
        <f>ROUND($G2581*E2581,0)</f>
        <v>0</v>
      </c>
      <c r="K2581" s="325"/>
      <c r="L2581" s="325"/>
      <c r="M2581" s="325"/>
      <c r="N2581" s="325"/>
      <c r="O2581" s="325"/>
      <c r="P2581" s="325"/>
      <c r="Q2581" s="325"/>
      <c r="R2581" s="325"/>
      <c r="S2581" s="325"/>
      <c r="T2581" s="325"/>
      <c r="U2581" s="325"/>
      <c r="V2581" s="325"/>
      <c r="W2581" s="325"/>
      <c r="X2581" s="325"/>
      <c r="Y2581" s="325"/>
      <c r="Z2581" s="325"/>
      <c r="AA2581" s="329"/>
      <c r="AB2581" s="305"/>
      <c r="AC2581" s="305"/>
      <c r="AD2581" s="305"/>
      <c r="AE2581" s="305"/>
      <c r="AF2581" s="305"/>
      <c r="AG2581" s="305"/>
      <c r="AH2581" s="305"/>
    </row>
    <row r="2582" spans="1:34" s="443" customFormat="1">
      <c r="B2582" s="353" t="s">
        <v>1367</v>
      </c>
      <c r="C2582" s="305"/>
      <c r="D2582" s="355"/>
      <c r="E2582" s="355"/>
      <c r="F2582" s="355"/>
      <c r="G2582" s="445">
        <v>0.45</v>
      </c>
      <c r="H2582" s="447"/>
      <c r="I2582" s="326"/>
      <c r="J2582" s="325">
        <f>ROUND($G2582*E2582,0)</f>
        <v>0</v>
      </c>
      <c r="K2582" s="325"/>
      <c r="L2582" s="325"/>
      <c r="M2582" s="325"/>
      <c r="N2582" s="325"/>
      <c r="O2582" s="325"/>
      <c r="P2582" s="325"/>
      <c r="Q2582" s="325"/>
      <c r="R2582" s="325"/>
      <c r="S2582" s="325"/>
      <c r="T2582" s="325"/>
      <c r="U2582" s="325"/>
      <c r="V2582" s="325"/>
      <c r="W2582" s="325"/>
      <c r="X2582" s="325"/>
      <c r="Y2582" s="325"/>
      <c r="Z2582" s="325"/>
      <c r="AA2582" s="329"/>
      <c r="AB2582" s="305"/>
      <c r="AC2582" s="305"/>
      <c r="AD2582" s="305"/>
      <c r="AE2582" s="305"/>
      <c r="AF2582" s="305"/>
      <c r="AG2582" s="305"/>
      <c r="AH2582" s="305"/>
    </row>
    <row r="2583" spans="1:34" s="443" customFormat="1">
      <c r="B2583" s="353" t="s">
        <v>1365</v>
      </c>
      <c r="C2583" s="305"/>
      <c r="D2583" s="355"/>
      <c r="E2583" s="355"/>
      <c r="F2583" s="355"/>
      <c r="G2583" s="446"/>
      <c r="H2583" s="305"/>
      <c r="I2583" s="325"/>
      <c r="J2583" s="325"/>
      <c r="K2583" s="305"/>
      <c r="L2583" s="305"/>
      <c r="M2583" s="305"/>
      <c r="N2583" s="305"/>
      <c r="O2583" s="305"/>
      <c r="P2583" s="305"/>
      <c r="Q2583" s="305"/>
      <c r="R2583" s="305"/>
      <c r="S2583" s="305"/>
      <c r="T2583" s="325"/>
      <c r="U2583" s="325"/>
      <c r="V2583" s="325"/>
      <c r="W2583" s="325"/>
      <c r="X2583" s="325"/>
      <c r="Y2583" s="325"/>
      <c r="Z2583" s="325"/>
      <c r="AA2583" s="329"/>
      <c r="AB2583" s="305"/>
      <c r="AC2583" s="305"/>
      <c r="AD2583" s="305"/>
      <c r="AE2583" s="305"/>
      <c r="AF2583" s="305"/>
      <c r="AG2583" s="305"/>
      <c r="AH2583" s="305"/>
    </row>
    <row r="2584" spans="1:34" s="443" customFormat="1">
      <c r="B2584" s="353" t="s">
        <v>1366</v>
      </c>
      <c r="C2584" s="305"/>
      <c r="D2584" s="355">
        <f>'[7]32'!AA2</f>
        <v>0</v>
      </c>
      <c r="E2584" s="355">
        <f>'[7]32-forecast'!X15</f>
        <v>649010.38571006362</v>
      </c>
      <c r="F2584" s="355"/>
      <c r="G2584" s="445">
        <v>0.66</v>
      </c>
      <c r="H2584" s="324"/>
      <c r="I2584" s="325">
        <f t="shared" ref="I2584:I2585" si="1527">ROUND($G2584*D2584,0)</f>
        <v>0</v>
      </c>
      <c r="J2584" s="325">
        <f>ROUND($G2584*E2584,0)</f>
        <v>428347</v>
      </c>
      <c r="K2584" s="325"/>
      <c r="L2584" s="325"/>
      <c r="M2584" s="325"/>
      <c r="N2584" s="325"/>
      <c r="O2584" s="325"/>
      <c r="P2584" s="325"/>
      <c r="Q2584" s="325"/>
      <c r="R2584" s="325"/>
      <c r="S2584" s="325"/>
      <c r="T2584" s="325"/>
      <c r="U2584" s="325"/>
      <c r="V2584" s="325"/>
      <c r="W2584" s="325"/>
      <c r="X2584" s="325"/>
      <c r="Y2584" s="325"/>
      <c r="Z2584" s="325"/>
      <c r="AA2584" s="329"/>
      <c r="AB2584" s="305"/>
      <c r="AC2584" s="305"/>
      <c r="AD2584" s="305"/>
      <c r="AE2584" s="305"/>
      <c r="AF2584" s="305"/>
      <c r="AG2584" s="305"/>
      <c r="AH2584" s="305"/>
    </row>
    <row r="2585" spans="1:34" s="443" customFormat="1">
      <c r="B2585" s="353" t="s">
        <v>1368</v>
      </c>
      <c r="C2585" s="305"/>
      <c r="D2585" s="355">
        <f>'[7]32'!AB2</f>
        <v>249715</v>
      </c>
      <c r="E2585" s="355">
        <f>'[7]32-forecast'!X16</f>
        <v>803981.39087577863</v>
      </c>
      <c r="F2585" s="355"/>
      <c r="G2585" s="445">
        <v>0.41</v>
      </c>
      <c r="H2585" s="324"/>
      <c r="I2585" s="325">
        <f t="shared" si="1527"/>
        <v>102383</v>
      </c>
      <c r="J2585" s="325">
        <f>ROUND($G2585*E2585,0)</f>
        <v>329632</v>
      </c>
      <c r="K2585" s="325"/>
      <c r="L2585" s="325"/>
      <c r="M2585" s="325"/>
      <c r="N2585" s="325"/>
      <c r="O2585" s="325"/>
      <c r="P2585" s="325"/>
      <c r="Q2585" s="325"/>
      <c r="R2585" s="325"/>
      <c r="S2585" s="325"/>
      <c r="T2585" s="325"/>
      <c r="U2585" s="325"/>
      <c r="V2585" s="325"/>
      <c r="W2585" s="325"/>
      <c r="X2585" s="325"/>
      <c r="Y2585" s="325"/>
      <c r="Z2585" s="325"/>
      <c r="AA2585" s="329"/>
      <c r="AB2585" s="305"/>
      <c r="AC2585" s="305"/>
      <c r="AD2585" s="305"/>
      <c r="AE2585" s="305"/>
      <c r="AF2585" s="305"/>
      <c r="AG2585" s="305"/>
      <c r="AH2585" s="305"/>
    </row>
    <row r="2586" spans="1:34" s="443" customFormat="1">
      <c r="B2586" s="353" t="s">
        <v>1369</v>
      </c>
      <c r="C2586" s="305"/>
      <c r="D2586" s="355">
        <f>'[7]32'!AC2</f>
        <v>24611000</v>
      </c>
      <c r="E2586" s="355">
        <f>'[7]32-forecast'!AA17</f>
        <v>172556856.82849827</v>
      </c>
      <c r="F2586" s="355"/>
      <c r="G2586" s="449">
        <v>5.7290000000000001</v>
      </c>
      <c r="H2586" s="450" t="s">
        <v>1062</v>
      </c>
      <c r="I2586" s="325">
        <f t="shared" ref="I2586:J2586" si="1528">ROUND($G2586*D2586/100,0)</f>
        <v>1409964</v>
      </c>
      <c r="J2586" s="325">
        <f t="shared" si="1528"/>
        <v>9885782</v>
      </c>
      <c r="K2586" s="325"/>
      <c r="L2586" s="449">
        <f>ROUND(R2586*AB1495/(AB1495+AC1495),4)</f>
        <v>1.4999999999999999E-2</v>
      </c>
      <c r="M2586" s="450" t="s">
        <v>1062</v>
      </c>
      <c r="N2586" s="449">
        <f>R2586-L2586-P2586</f>
        <v>5.7140000000000004</v>
      </c>
      <c r="O2586" s="450" t="s">
        <v>1062</v>
      </c>
      <c r="P2586" s="449">
        <v>0</v>
      </c>
      <c r="Q2586" s="450" t="s">
        <v>1062</v>
      </c>
      <c r="R2586" s="449">
        <f>G2586</f>
        <v>5.7290000000000001</v>
      </c>
      <c r="S2586" s="450" t="s">
        <v>1062</v>
      </c>
      <c r="T2586" s="325">
        <f>ROUND($E2586*L2586/100,0)</f>
        <v>25884</v>
      </c>
      <c r="U2586" s="451"/>
      <c r="V2586" s="325">
        <f>ROUND($E2586*N2586/100,0)</f>
        <v>9859899</v>
      </c>
      <c r="W2586" s="451"/>
      <c r="X2586" s="325">
        <f>ROUND($E2586*P2586/100,0)</f>
        <v>0</v>
      </c>
      <c r="Y2586" s="451"/>
      <c r="Z2586" s="325">
        <f>ROUND($E2586*R2586/100,0)</f>
        <v>9885782</v>
      </c>
      <c r="AA2586" s="329"/>
      <c r="AB2586" s="305"/>
      <c r="AC2586" s="305"/>
      <c r="AD2586" s="305"/>
      <c r="AE2586" s="305"/>
      <c r="AF2586" s="305"/>
      <c r="AG2586" s="305"/>
      <c r="AH2586" s="305"/>
    </row>
    <row r="2587" spans="1:34" s="305" customFormat="1">
      <c r="A2587" s="305">
        <v>1</v>
      </c>
      <c r="B2587" s="353" t="s">
        <v>1300</v>
      </c>
      <c r="D2587" s="313"/>
      <c r="E2587" s="452">
        <f>E2586</f>
        <v>172556856.82849827</v>
      </c>
      <c r="F2587" s="313"/>
      <c r="G2587" s="388"/>
      <c r="H2587" s="388"/>
      <c r="I2587" s="372">
        <f>SUM(I2543:I2586)</f>
        <v>1672391</v>
      </c>
      <c r="J2587" s="372">
        <f>SUM(J2543:J2586)</f>
        <v>11605048</v>
      </c>
      <c r="K2587" s="325"/>
      <c r="L2587" s="325"/>
      <c r="M2587" s="325"/>
      <c r="N2587" s="325"/>
      <c r="O2587" s="325"/>
      <c r="P2587" s="325"/>
      <c r="Q2587" s="325"/>
      <c r="R2587" s="325"/>
      <c r="S2587" s="325"/>
      <c r="T2587" s="372">
        <f>SUM(T2543:T2586)</f>
        <v>1347779</v>
      </c>
      <c r="U2587" s="325"/>
      <c r="V2587" s="372">
        <f>SUM(V2543:V2586)</f>
        <v>10706889</v>
      </c>
      <c r="W2587" s="325"/>
      <c r="X2587" s="372">
        <f>SUM(X2543:X2586)</f>
        <v>-301</v>
      </c>
      <c r="Y2587" s="325"/>
      <c r="Z2587" s="372">
        <f>SUM(Z2543:Z2586)</f>
        <v>12054366</v>
      </c>
      <c r="AA2587" s="329"/>
    </row>
    <row r="2588" spans="1:34" s="305" customFormat="1">
      <c r="A2588" s="305">
        <v>1</v>
      </c>
      <c r="B2588" s="453" t="s">
        <v>1343</v>
      </c>
      <c r="D2588" s="355"/>
      <c r="E2588" s="355"/>
      <c r="I2588" s="325"/>
      <c r="J2588" s="325"/>
      <c r="T2588" s="325"/>
      <c r="U2588" s="325"/>
      <c r="V2588" s="325"/>
      <c r="W2588" s="325"/>
      <c r="X2588" s="325"/>
      <c r="Y2588" s="325"/>
      <c r="Z2588" s="325"/>
      <c r="AA2588" s="329"/>
    </row>
    <row r="2589" spans="1:34" s="305" customFormat="1">
      <c r="A2589" s="305">
        <v>1</v>
      </c>
      <c r="B2589" s="370" t="s">
        <v>1031</v>
      </c>
      <c r="D2589" s="355"/>
      <c r="E2589" s="355"/>
      <c r="F2589" s="355"/>
      <c r="G2589" s="340"/>
      <c r="H2589" s="340"/>
      <c r="I2589" s="325"/>
      <c r="J2589" s="325"/>
      <c r="K2589" s="325"/>
      <c r="L2589" s="325"/>
      <c r="M2589" s="325"/>
      <c r="N2589" s="325"/>
      <c r="O2589" s="325"/>
      <c r="P2589" s="325"/>
      <c r="Q2589" s="325"/>
      <c r="R2589" s="325"/>
      <c r="S2589" s="325"/>
      <c r="T2589" s="325"/>
      <c r="U2589" s="325"/>
      <c r="V2589" s="325"/>
      <c r="W2589" s="325"/>
      <c r="X2589" s="325"/>
      <c r="Y2589" s="325"/>
      <c r="Z2589" s="325"/>
      <c r="AA2589" s="329"/>
    </row>
    <row r="2590" spans="1:34" s="305" customFormat="1">
      <c r="B2590" s="353" t="s">
        <v>1101</v>
      </c>
      <c r="D2590" s="355">
        <f>'[7]32-9'!H2+'[7]32'!W2</f>
        <v>271679.46396396402</v>
      </c>
      <c r="E2590" s="355">
        <f>'[7]32-forecast'!U17</f>
        <v>41882.545256487327</v>
      </c>
      <c r="F2590" s="355"/>
      <c r="G2590" s="340">
        <v>2.2200000000000002</v>
      </c>
      <c r="H2590" s="340"/>
      <c r="I2590" s="325">
        <f t="shared" ref="I2590:J2598" si="1529">ROUND($G2590*D2590,0)</f>
        <v>603128</v>
      </c>
      <c r="J2590" s="325">
        <f t="shared" si="1529"/>
        <v>92979</v>
      </c>
      <c r="K2590" s="325"/>
      <c r="L2590" s="340">
        <f t="shared" ref="L2590:L2596" si="1530">L1480</f>
        <v>0</v>
      </c>
      <c r="M2590" s="340"/>
      <c r="N2590" s="340">
        <f t="shared" ref="N2590:N2596" si="1531">N1480</f>
        <v>2.33</v>
      </c>
      <c r="O2590" s="340"/>
      <c r="P2590" s="340">
        <f t="shared" ref="P2590:P2596" si="1532">P1480</f>
        <v>0</v>
      </c>
      <c r="Q2590" s="325"/>
      <c r="R2590" s="340">
        <f t="shared" ref="R2590:R2596" si="1533">R1480</f>
        <v>2.33</v>
      </c>
      <c r="S2590" s="340"/>
      <c r="T2590" s="454">
        <f t="shared" ref="T2590:T2592" si="1534">ROUND($E2590*L2590,0)</f>
        <v>0</v>
      </c>
      <c r="U2590" s="325"/>
      <c r="V2590" s="454">
        <f t="shared" ref="V2590:Z2592" si="1535">ROUND($E2590*N2590,0)</f>
        <v>97586</v>
      </c>
      <c r="W2590" s="325"/>
      <c r="X2590" s="454">
        <f t="shared" si="1535"/>
        <v>0</v>
      </c>
      <c r="Y2590" s="325"/>
      <c r="Z2590" s="454">
        <f t="shared" si="1535"/>
        <v>97586</v>
      </c>
      <c r="AA2590" s="291" t="s">
        <v>1173</v>
      </c>
    </row>
    <row r="2591" spans="1:34" s="305" customFormat="1">
      <c r="B2591" s="317" t="s">
        <v>1164</v>
      </c>
      <c r="D2591" s="293">
        <f>D2597*AA2591</f>
        <v>113840.12199981583</v>
      </c>
      <c r="E2591" s="293">
        <f>E2597*AA2591</f>
        <v>15254.256680085813</v>
      </c>
      <c r="F2591" s="355"/>
      <c r="G2591" s="340"/>
      <c r="H2591" s="340"/>
      <c r="I2591" s="325"/>
      <c r="J2591" s="325"/>
      <c r="K2591" s="325"/>
      <c r="L2591" s="340">
        <f t="shared" si="1530"/>
        <v>0</v>
      </c>
      <c r="M2591" s="340"/>
      <c r="N2591" s="340">
        <f t="shared" si="1531"/>
        <v>14.65</v>
      </c>
      <c r="O2591" s="340"/>
      <c r="P2591" s="340">
        <f t="shared" si="1532"/>
        <v>0</v>
      </c>
      <c r="Q2591" s="304"/>
      <c r="R2591" s="340">
        <f t="shared" si="1533"/>
        <v>14.65</v>
      </c>
      <c r="S2591" s="340"/>
      <c r="T2591" s="294">
        <f t="shared" si="1534"/>
        <v>0</v>
      </c>
      <c r="U2591" s="325"/>
      <c r="V2591" s="294">
        <f t="shared" si="1535"/>
        <v>223475</v>
      </c>
      <c r="W2591" s="325"/>
      <c r="X2591" s="294">
        <f t="shared" si="1535"/>
        <v>0</v>
      </c>
      <c r="Y2591" s="325"/>
      <c r="Z2591" s="294">
        <f t="shared" si="1535"/>
        <v>223475</v>
      </c>
      <c r="AA2591" s="291">
        <f>AA1502</f>
        <v>0.8153977208412958</v>
      </c>
    </row>
    <row r="2592" spans="1:34" s="305" customFormat="1">
      <c r="B2592" s="317" t="s">
        <v>1165</v>
      </c>
      <c r="D2592" s="293">
        <f>D2598*AA2592</f>
        <v>147190.26380024152</v>
      </c>
      <c r="E2592" s="293">
        <f>E2598*AA2592</f>
        <v>26355.334915285584</v>
      </c>
      <c r="F2592" s="355"/>
      <c r="G2592" s="340"/>
      <c r="H2592" s="340"/>
      <c r="I2592" s="325"/>
      <c r="J2592" s="325"/>
      <c r="K2592" s="325"/>
      <c r="L2592" s="340">
        <f t="shared" si="1530"/>
        <v>0</v>
      </c>
      <c r="M2592" s="340"/>
      <c r="N2592" s="340">
        <f t="shared" si="1531"/>
        <v>12.96</v>
      </c>
      <c r="O2592" s="340"/>
      <c r="P2592" s="340">
        <f t="shared" si="1532"/>
        <v>0</v>
      </c>
      <c r="Q2592" s="304"/>
      <c r="R2592" s="340">
        <f t="shared" si="1533"/>
        <v>12.96</v>
      </c>
      <c r="S2592" s="340"/>
      <c r="T2592" s="294">
        <f t="shared" si="1534"/>
        <v>0</v>
      </c>
      <c r="U2592" s="325"/>
      <c r="V2592" s="294">
        <f t="shared" si="1535"/>
        <v>341565</v>
      </c>
      <c r="W2592" s="325"/>
      <c r="X2592" s="294">
        <f t="shared" si="1535"/>
        <v>0</v>
      </c>
      <c r="Y2592" s="325"/>
      <c r="Z2592" s="294">
        <f t="shared" si="1535"/>
        <v>341565</v>
      </c>
      <c r="AA2592" s="291">
        <f>AA1503</f>
        <v>1.1372413252842475</v>
      </c>
    </row>
    <row r="2593" spans="1:29" s="305" customFormat="1">
      <c r="B2593" s="317" t="s">
        <v>1061</v>
      </c>
      <c r="D2593" s="293">
        <f>D2599*AA2593</f>
        <v>15758334.359365342</v>
      </c>
      <c r="E2593" s="293">
        <f>E2599*AA2593</f>
        <v>5366854.7887849584</v>
      </c>
      <c r="F2593" s="355"/>
      <c r="G2593" s="449"/>
      <c r="H2593" s="450"/>
      <c r="I2593" s="325"/>
      <c r="J2593" s="325"/>
      <c r="K2593" s="325"/>
      <c r="L2593" s="449">
        <f t="shared" si="1530"/>
        <v>0</v>
      </c>
      <c r="M2593" s="450" t="s">
        <v>1062</v>
      </c>
      <c r="N2593" s="449">
        <f t="shared" si="1531"/>
        <v>1.1506000000000001</v>
      </c>
      <c r="O2593" s="450" t="s">
        <v>1062</v>
      </c>
      <c r="P2593" s="449">
        <f t="shared" si="1532"/>
        <v>3.8523835124000003</v>
      </c>
      <c r="Q2593" s="450" t="s">
        <v>1062</v>
      </c>
      <c r="R2593" s="449">
        <f t="shared" si="1533"/>
        <v>5.0029835124000002</v>
      </c>
      <c r="S2593" s="450" t="s">
        <v>1062</v>
      </c>
      <c r="T2593" s="294">
        <f>ROUND($E2593*L2593/100,0)</f>
        <v>0</v>
      </c>
      <c r="U2593" s="451"/>
      <c r="V2593" s="294">
        <f>ROUND($E2593*N2593/100,0)</f>
        <v>61751</v>
      </c>
      <c r="W2593" s="451"/>
      <c r="X2593" s="294">
        <f>ROUND($E2593*P2593/100,0)</f>
        <v>206752</v>
      </c>
      <c r="Y2593" s="451"/>
      <c r="Z2593" s="294">
        <f>ROUND($E2593*R2593/100,0)</f>
        <v>268503</v>
      </c>
      <c r="AA2593" s="291">
        <f>AA1504</f>
        <v>0.78917940501629313</v>
      </c>
    </row>
    <row r="2594" spans="1:29" s="305" customFormat="1">
      <c r="B2594" s="317" t="s">
        <v>1166</v>
      </c>
      <c r="D2594" s="293">
        <f>D2600*AA2594</f>
        <v>21931915.564445361</v>
      </c>
      <c r="E2594" s="293">
        <f>E2600*AA2594</f>
        <v>4799625.516077471</v>
      </c>
      <c r="F2594" s="355"/>
      <c r="G2594" s="449"/>
      <c r="H2594" s="450"/>
      <c r="I2594" s="325"/>
      <c r="J2594" s="325"/>
      <c r="K2594" s="325"/>
      <c r="L2594" s="449">
        <f t="shared" si="1530"/>
        <v>0</v>
      </c>
      <c r="M2594" s="450" t="s">
        <v>1062</v>
      </c>
      <c r="N2594" s="449">
        <f t="shared" si="1531"/>
        <v>1.1506000000000001</v>
      </c>
      <c r="O2594" s="450" t="s">
        <v>1062</v>
      </c>
      <c r="P2594" s="449">
        <f t="shared" si="1532"/>
        <v>3.2768190375220003</v>
      </c>
      <c r="Q2594" s="450" t="s">
        <v>1062</v>
      </c>
      <c r="R2594" s="449">
        <f t="shared" si="1533"/>
        <v>4.4274190375220002</v>
      </c>
      <c r="S2594" s="450" t="s">
        <v>1062</v>
      </c>
      <c r="T2594" s="294">
        <f t="shared" ref="T2594:T2596" si="1536">ROUND($E2594*L2594/100,0)</f>
        <v>0</v>
      </c>
      <c r="U2594" s="451"/>
      <c r="V2594" s="294">
        <f t="shared" ref="V2594:Z2596" si="1537">ROUND($E2594*N2594/100,0)</f>
        <v>55224</v>
      </c>
      <c r="W2594" s="451"/>
      <c r="X2594" s="294">
        <f t="shared" si="1537"/>
        <v>157275</v>
      </c>
      <c r="Y2594" s="451"/>
      <c r="Z2594" s="294">
        <f t="shared" si="1537"/>
        <v>212500</v>
      </c>
      <c r="AA2594" s="291">
        <f>AA1505</f>
        <v>0.56972975514840463</v>
      </c>
    </row>
    <row r="2595" spans="1:29" s="305" customFormat="1">
      <c r="B2595" s="317" t="s">
        <v>1064</v>
      </c>
      <c r="D2595" s="293">
        <f>SUM(D2599:D2601)*AA2595</f>
        <v>40652169.609664395</v>
      </c>
      <c r="E2595" s="293">
        <f>SUM(E2599:E2601)*AA2595</f>
        <v>6318915.683489792</v>
      </c>
      <c r="F2595" s="355"/>
      <c r="G2595" s="449"/>
      <c r="H2595" s="450"/>
      <c r="I2595" s="325"/>
      <c r="J2595" s="325"/>
      <c r="K2595" s="325"/>
      <c r="L2595" s="449">
        <f t="shared" si="1530"/>
        <v>0</v>
      </c>
      <c r="M2595" s="450" t="s">
        <v>1062</v>
      </c>
      <c r="N2595" s="449">
        <f t="shared" si="1531"/>
        <v>1.1506000000000001</v>
      </c>
      <c r="O2595" s="450" t="s">
        <v>1062</v>
      </c>
      <c r="P2595" s="449">
        <f t="shared" si="1532"/>
        <v>1.5002843230069998</v>
      </c>
      <c r="Q2595" s="450" t="s">
        <v>1062</v>
      </c>
      <c r="R2595" s="449">
        <f t="shared" si="1533"/>
        <v>2.6508843230069998</v>
      </c>
      <c r="S2595" s="450" t="s">
        <v>1062</v>
      </c>
      <c r="T2595" s="294">
        <f t="shared" si="1536"/>
        <v>0</v>
      </c>
      <c r="U2595" s="451"/>
      <c r="V2595" s="294">
        <f t="shared" si="1537"/>
        <v>72705</v>
      </c>
      <c r="W2595" s="451"/>
      <c r="X2595" s="294">
        <f t="shared" si="1537"/>
        <v>94802</v>
      </c>
      <c r="Y2595" s="451"/>
      <c r="Z2595" s="294">
        <f t="shared" si="1537"/>
        <v>167507</v>
      </c>
      <c r="AA2595" s="291">
        <f>AA1506</f>
        <v>0.2622704003879433</v>
      </c>
    </row>
    <row r="2596" spans="1:29" s="305" customFormat="1">
      <c r="B2596" s="317" t="s">
        <v>1167</v>
      </c>
      <c r="D2596" s="293">
        <f>SUM(D2599:D2601)-SUM(D2593:D2595)</f>
        <v>76658562.466524899</v>
      </c>
      <c r="E2596" s="293">
        <f>SUM(E2599:E2601)-SUM(E2593:E2595)</f>
        <v>7607737.1831494905</v>
      </c>
      <c r="F2596" s="355"/>
      <c r="G2596" s="455"/>
      <c r="H2596" s="450"/>
      <c r="I2596" s="456"/>
      <c r="J2596" s="456"/>
      <c r="K2596" s="325"/>
      <c r="L2596" s="455">
        <f t="shared" si="1530"/>
        <v>0</v>
      </c>
      <c r="M2596" s="450" t="s">
        <v>1062</v>
      </c>
      <c r="N2596" s="455">
        <f t="shared" si="1531"/>
        <v>1.1506000000000001</v>
      </c>
      <c r="O2596" s="450" t="s">
        <v>1062</v>
      </c>
      <c r="P2596" s="455">
        <f t="shared" si="1532"/>
        <v>1.1953153300949999</v>
      </c>
      <c r="Q2596" s="450" t="s">
        <v>1062</v>
      </c>
      <c r="R2596" s="455">
        <f t="shared" si="1533"/>
        <v>2.345915330095</v>
      </c>
      <c r="S2596" s="450" t="s">
        <v>1062</v>
      </c>
      <c r="T2596" s="294">
        <f t="shared" si="1536"/>
        <v>0</v>
      </c>
      <c r="U2596" s="451"/>
      <c r="V2596" s="294">
        <f t="shared" si="1537"/>
        <v>87535</v>
      </c>
      <c r="W2596" s="451"/>
      <c r="X2596" s="294">
        <f t="shared" si="1537"/>
        <v>90936</v>
      </c>
      <c r="Y2596" s="451"/>
      <c r="Z2596" s="294">
        <f t="shared" si="1537"/>
        <v>178471</v>
      </c>
      <c r="AA2596" s="291"/>
    </row>
    <row r="2597" spans="1:29" s="305" customFormat="1">
      <c r="B2597" s="353" t="s">
        <v>1169</v>
      </c>
      <c r="D2597" s="355">
        <f>'[7]32-9'!J2+'[7]32'!J2</f>
        <v>139613</v>
      </c>
      <c r="E2597" s="355">
        <f>'[7]32-forecast'!G15</f>
        <v>18707.749960776273</v>
      </c>
      <c r="F2597" s="355"/>
      <c r="G2597" s="340">
        <v>13.96</v>
      </c>
      <c r="H2597" s="340"/>
      <c r="I2597" s="325">
        <f t="shared" si="1529"/>
        <v>1948997</v>
      </c>
      <c r="J2597" s="325">
        <f t="shared" si="1529"/>
        <v>261160</v>
      </c>
      <c r="K2597" s="325"/>
      <c r="L2597" s="325"/>
      <c r="M2597" s="304"/>
      <c r="N2597" s="325"/>
      <c r="O2597" s="304"/>
      <c r="P2597" s="325"/>
      <c r="Q2597" s="304"/>
      <c r="R2597" s="325"/>
      <c r="S2597" s="304"/>
      <c r="T2597" s="325"/>
      <c r="U2597" s="325"/>
      <c r="V2597" s="325"/>
      <c r="W2597" s="325"/>
      <c r="X2597" s="325"/>
      <c r="Y2597" s="325"/>
      <c r="Z2597" s="325"/>
      <c r="AA2597" s="329"/>
    </row>
    <row r="2598" spans="1:29" s="305" customFormat="1">
      <c r="B2598" s="353" t="s">
        <v>1171</v>
      </c>
      <c r="D2598" s="355">
        <f>'[7]32-9'!K2+'[7]32'!K2</f>
        <v>129427.46673706399</v>
      </c>
      <c r="E2598" s="355">
        <f>'[7]32-forecast'!G16</f>
        <v>23174.795295711054</v>
      </c>
      <c r="F2598" s="355"/>
      <c r="G2598" s="340">
        <v>9.4700000000000006</v>
      </c>
      <c r="H2598" s="340"/>
      <c r="I2598" s="325">
        <f t="shared" si="1529"/>
        <v>1225678</v>
      </c>
      <c r="J2598" s="325">
        <f t="shared" si="1529"/>
        <v>219465</v>
      </c>
      <c r="K2598" s="325"/>
      <c r="L2598" s="325"/>
      <c r="M2598" s="304"/>
      <c r="N2598" s="325"/>
      <c r="O2598" s="304"/>
      <c r="P2598" s="325"/>
      <c r="Q2598" s="304"/>
      <c r="R2598" s="325"/>
      <c r="S2598" s="304"/>
      <c r="T2598" s="325"/>
      <c r="U2598" s="325"/>
      <c r="V2598" s="325"/>
      <c r="W2598" s="325"/>
      <c r="X2598" s="325"/>
      <c r="Y2598" s="325"/>
      <c r="Z2598" s="325"/>
      <c r="AA2598" s="329"/>
    </row>
    <row r="2599" spans="1:29" s="305" customFormat="1">
      <c r="B2599" s="353" t="s">
        <v>1177</v>
      </c>
      <c r="D2599" s="355">
        <f>'[7]32-9'!M2+'[7]32'!M2</f>
        <v>19968000</v>
      </c>
      <c r="E2599" s="355">
        <f>'[7]32-forecast'!L15</f>
        <v>6800550.9959730338</v>
      </c>
      <c r="F2599" s="355"/>
      <c r="G2599" s="449">
        <v>4.6531000000000002</v>
      </c>
      <c r="H2599" s="450" t="s">
        <v>1062</v>
      </c>
      <c r="I2599" s="325">
        <f t="shared" ref="I2599:J2601" si="1538">ROUND($G2599*D2599/100,0)</f>
        <v>929131</v>
      </c>
      <c r="J2599" s="325">
        <f t="shared" si="1538"/>
        <v>316436</v>
      </c>
      <c r="K2599" s="325"/>
      <c r="L2599" s="325"/>
      <c r="M2599" s="304"/>
      <c r="N2599" s="325"/>
      <c r="O2599" s="304"/>
      <c r="P2599" s="325"/>
      <c r="Q2599" s="304"/>
      <c r="R2599" s="325"/>
      <c r="S2599" s="304"/>
      <c r="T2599" s="325"/>
      <c r="U2599" s="325"/>
      <c r="V2599" s="325"/>
      <c r="W2599" s="325"/>
      <c r="X2599" s="325"/>
      <c r="Y2599" s="325"/>
      <c r="Z2599" s="325"/>
      <c r="AA2599" s="329"/>
    </row>
    <row r="2600" spans="1:29" s="305" customFormat="1">
      <c r="B2600" s="353" t="s">
        <v>1179</v>
      </c>
      <c r="D2600" s="355">
        <f>'[7]32-9'!N2+'[7]32'!N2</f>
        <v>38495296</v>
      </c>
      <c r="E2600" s="355">
        <f>'[7]32-forecast'!L16</f>
        <v>8424389.7614707742</v>
      </c>
      <c r="F2600" s="355"/>
      <c r="G2600" s="449">
        <v>3.4988999999999999</v>
      </c>
      <c r="H2600" s="450" t="s">
        <v>1062</v>
      </c>
      <c r="I2600" s="325">
        <f t="shared" si="1538"/>
        <v>1346912</v>
      </c>
      <c r="J2600" s="325">
        <f t="shared" si="1538"/>
        <v>294761</v>
      </c>
      <c r="K2600" s="325"/>
      <c r="L2600" s="325"/>
      <c r="M2600" s="304"/>
      <c r="N2600" s="325"/>
      <c r="O2600" s="304"/>
      <c r="P2600" s="325"/>
      <c r="Q2600" s="304"/>
      <c r="R2600" s="325"/>
      <c r="S2600" s="304"/>
      <c r="T2600" s="325"/>
      <c r="U2600" s="325"/>
      <c r="V2600" s="325"/>
      <c r="W2600" s="325"/>
      <c r="X2600" s="325"/>
      <c r="Y2600" s="325"/>
      <c r="Z2600" s="325"/>
      <c r="AA2600" s="329"/>
    </row>
    <row r="2601" spans="1:29" s="305" customFormat="1">
      <c r="B2601" s="353" t="s">
        <v>1086</v>
      </c>
      <c r="D2601" s="457">
        <f>'[7]32-9'!O2+'[7]32'!O2</f>
        <v>96537686</v>
      </c>
      <c r="E2601" s="457">
        <f>'[7]32-forecast'!M17</f>
        <v>8868192.4140579049</v>
      </c>
      <c r="F2601" s="355"/>
      <c r="G2601" s="455">
        <v>2.9224999999999999</v>
      </c>
      <c r="H2601" s="450" t="s">
        <v>1062</v>
      </c>
      <c r="I2601" s="456">
        <f t="shared" si="1538"/>
        <v>2821314</v>
      </c>
      <c r="J2601" s="456">
        <f t="shared" si="1538"/>
        <v>259173</v>
      </c>
      <c r="K2601" s="325"/>
      <c r="L2601" s="325"/>
      <c r="M2601" s="304"/>
      <c r="N2601" s="325"/>
      <c r="O2601" s="304"/>
      <c r="P2601" s="325"/>
      <c r="Q2601" s="304"/>
      <c r="R2601" s="325"/>
      <c r="S2601" s="304"/>
      <c r="T2601" s="325"/>
      <c r="U2601" s="325"/>
      <c r="V2601" s="325"/>
      <c r="W2601" s="325"/>
      <c r="X2601" s="325"/>
      <c r="Y2601" s="325"/>
      <c r="Z2601" s="325"/>
      <c r="AA2601" s="329"/>
    </row>
    <row r="2602" spans="1:29">
      <c r="B2602" s="317" t="s">
        <v>1079</v>
      </c>
      <c r="G2602" s="441">
        <v>-3.0700000000000002E-2</v>
      </c>
      <c r="H2602" s="339"/>
      <c r="I2602" s="442">
        <f>SUM(I2597:I2601)*$G2602</f>
        <v>-253951.3824</v>
      </c>
      <c r="J2602" s="442">
        <f>SUM(J2597:J2601)*$G2602</f>
        <v>-41475.546500000004</v>
      </c>
      <c r="L2602" s="441"/>
      <c r="M2602" s="339"/>
      <c r="N2602" s="441"/>
      <c r="O2602" s="339"/>
      <c r="P2602" s="359" t="str">
        <f>$P$43</f>
        <v>Tax Year 1</v>
      </c>
      <c r="Q2602" s="339"/>
      <c r="R2602" s="338">
        <f>R1493</f>
        <v>-2.2599999999999999E-2</v>
      </c>
      <c r="S2602" s="339"/>
      <c r="Z2602" s="294">
        <f>R2602*SUM(Z2591:Z2596)</f>
        <v>-31459.674599999998</v>
      </c>
    </row>
    <row r="2603" spans="1:29">
      <c r="B2603" s="317"/>
      <c r="G2603" s="338"/>
      <c r="H2603" s="339"/>
      <c r="L2603" s="338"/>
      <c r="M2603" s="339"/>
      <c r="N2603" s="338"/>
      <c r="O2603" s="339"/>
      <c r="P2603" s="359" t="str">
        <f>$P$44</f>
        <v>Tax Year 2</v>
      </c>
      <c r="Q2603" s="339"/>
      <c r="R2603" s="338">
        <f>R1494</f>
        <v>-1.1299999999999999E-2</v>
      </c>
      <c r="S2603" s="339"/>
      <c r="Z2603" s="294">
        <f>R2603*SUM(Z2591:Z2596)</f>
        <v>-15729.837299999999</v>
      </c>
    </row>
    <row r="2604" spans="1:29" s="305" customFormat="1">
      <c r="A2604" s="305">
        <v>1</v>
      </c>
      <c r="B2604" s="353" t="s">
        <v>1300</v>
      </c>
      <c r="D2604" s="355"/>
      <c r="E2604" s="355"/>
      <c r="F2604" s="355"/>
      <c r="G2604" s="449"/>
      <c r="H2604" s="450"/>
      <c r="I2604" s="325">
        <f>SUM(I2590:I2602)</f>
        <v>8621208.6175999995</v>
      </c>
      <c r="J2604" s="325">
        <f>SUM(J2590:J2602)</f>
        <v>1402498.4535000001</v>
      </c>
      <c r="K2604" s="325"/>
      <c r="L2604" s="325"/>
      <c r="M2604" s="325"/>
      <c r="N2604" s="325"/>
      <c r="O2604" s="325"/>
      <c r="P2604" s="325"/>
      <c r="Q2604" s="325"/>
      <c r="R2604" s="325"/>
      <c r="S2604" s="325"/>
      <c r="T2604" s="325">
        <f>SUM(T2590:T2596)</f>
        <v>0</v>
      </c>
      <c r="U2604" s="325"/>
      <c r="V2604" s="325">
        <f>SUM(V2590:V2596)</f>
        <v>939841</v>
      </c>
      <c r="W2604" s="325"/>
      <c r="X2604" s="325">
        <f>SUM(X2590:X2596)</f>
        <v>549765</v>
      </c>
      <c r="Y2604" s="325"/>
      <c r="Z2604" s="325">
        <f>SUM(Z2590:Z2596)</f>
        <v>1489607</v>
      </c>
      <c r="AA2604" s="329"/>
    </row>
    <row r="2605" spans="1:29">
      <c r="B2605" s="292" t="s">
        <v>1158</v>
      </c>
      <c r="D2605" s="412">
        <f>'[7]Table 2'!J64</f>
        <v>952892</v>
      </c>
      <c r="E2605" s="412">
        <v>0</v>
      </c>
      <c r="G2605" s="377"/>
      <c r="H2605" s="377"/>
      <c r="I2605" s="358">
        <f>'[7]Table 3'!F64</f>
        <v>60349</v>
      </c>
      <c r="J2605" s="358">
        <v>0</v>
      </c>
      <c r="L2605" s="377"/>
      <c r="M2605" s="377"/>
      <c r="N2605" s="377"/>
      <c r="O2605" s="377"/>
      <c r="P2605" s="377"/>
      <c r="Q2605" s="377"/>
      <c r="R2605" s="377"/>
      <c r="S2605" s="377"/>
      <c r="T2605" s="358"/>
      <c r="V2605" s="358"/>
      <c r="X2605" s="358"/>
      <c r="Z2605" s="358"/>
    </row>
    <row r="2606" spans="1:29" s="305" customFormat="1" ht="16.5" thickBot="1">
      <c r="A2606" s="305">
        <v>1</v>
      </c>
      <c r="B2606" s="353" t="s">
        <v>1344</v>
      </c>
      <c r="D2606" s="458">
        <f>SUM(D2586,D2599:D2601,D2605)</f>
        <v>180564874</v>
      </c>
      <c r="E2606" s="458">
        <f>SUM(E2587,E2599:E2601,E2605)</f>
        <v>196649989.99999997</v>
      </c>
      <c r="F2606" s="355"/>
      <c r="G2606" s="374"/>
      <c r="I2606" s="375">
        <f>I2587+I2604+I2605</f>
        <v>10353948.6176</v>
      </c>
      <c r="J2606" s="375">
        <f>J2587+J2604+J2605</f>
        <v>13007546.453500001</v>
      </c>
      <c r="K2606" s="325"/>
      <c r="L2606" s="325"/>
      <c r="M2606" s="325"/>
      <c r="N2606" s="325"/>
      <c r="O2606" s="325"/>
      <c r="P2606" s="325"/>
      <c r="Q2606" s="325"/>
      <c r="R2606" s="325"/>
      <c r="S2606" s="325"/>
      <c r="T2606" s="375">
        <f>T2587+T2604</f>
        <v>1347779</v>
      </c>
      <c r="U2606" s="325"/>
      <c r="V2606" s="375">
        <f>V2587+V2604</f>
        <v>11646730</v>
      </c>
      <c r="W2606" s="325"/>
      <c r="X2606" s="375">
        <f>X2587+X2604</f>
        <v>549464</v>
      </c>
      <c r="Y2606" s="325"/>
      <c r="Z2606" s="375">
        <f>Z2587+Z2604</f>
        <v>13543973</v>
      </c>
      <c r="AA2606" s="329"/>
      <c r="AB2606" s="305" t="s">
        <v>939</v>
      </c>
      <c r="AC2606" s="304">
        <f>Z2606/J2606-1</f>
        <v>4.1239641035889729E-2</v>
      </c>
    </row>
    <row r="2607" spans="1:29" s="305" customFormat="1" ht="16.5" thickTop="1">
      <c r="A2607" s="305">
        <v>1</v>
      </c>
      <c r="D2607" s="355"/>
      <c r="E2607" s="355"/>
      <c r="I2607" s="325"/>
      <c r="J2607" s="325"/>
      <c r="T2607" s="325"/>
      <c r="U2607" s="325"/>
      <c r="V2607" s="325"/>
      <c r="W2607" s="325"/>
      <c r="X2607" s="325"/>
      <c r="Y2607" s="325"/>
      <c r="Z2607" s="325"/>
      <c r="AA2607" s="329"/>
    </row>
    <row r="2608" spans="1:29" s="305" customFormat="1">
      <c r="A2608" s="305">
        <v>1</v>
      </c>
      <c r="B2608" s="370" t="s">
        <v>1035</v>
      </c>
      <c r="D2608" s="355"/>
      <c r="E2608" s="355"/>
      <c r="F2608" s="355"/>
      <c r="G2608" s="355"/>
      <c r="H2608" s="388"/>
      <c r="I2608" s="325"/>
      <c r="J2608" s="325"/>
      <c r="T2608" s="325"/>
      <c r="U2608" s="325"/>
      <c r="V2608" s="325"/>
      <c r="W2608" s="325"/>
      <c r="X2608" s="325"/>
      <c r="Y2608" s="325"/>
      <c r="Z2608" s="325"/>
      <c r="AA2608" s="329"/>
    </row>
    <row r="2609" spans="1:33" s="305" customFormat="1">
      <c r="B2609" s="317" t="s">
        <v>1370</v>
      </c>
      <c r="D2609" s="355"/>
      <c r="E2609" s="355">
        <v>12</v>
      </c>
      <c r="F2609" s="355"/>
      <c r="G2609" s="355"/>
      <c r="H2609" s="388"/>
      <c r="I2609" s="325"/>
      <c r="J2609" s="325"/>
      <c r="T2609" s="325"/>
      <c r="U2609" s="325"/>
      <c r="V2609" s="325"/>
      <c r="W2609" s="325"/>
      <c r="X2609" s="325"/>
      <c r="Y2609" s="325"/>
      <c r="Z2609" s="325"/>
      <c r="AA2609" s="329"/>
    </row>
    <row r="2610" spans="1:33" s="305" customFormat="1" ht="16.5" thickBot="1">
      <c r="A2610" s="305">
        <v>1</v>
      </c>
      <c r="B2610" s="353" t="s">
        <v>1036</v>
      </c>
      <c r="D2610" s="355"/>
      <c r="E2610" s="458">
        <f>('[7]34'!B17+'[7]34'!B18+'[7]34'!B20)*1000</f>
        <v>242230000</v>
      </c>
      <c r="F2610" s="355"/>
      <c r="G2610" s="355"/>
      <c r="H2610" s="388"/>
      <c r="I2610" s="325"/>
      <c r="J2610" s="365">
        <f>'[7]34'!B22+'[7]34'!B23</f>
        <v>13027758.191234671</v>
      </c>
      <c r="K2610" s="325"/>
      <c r="L2610" s="449">
        <f>ROUND(R2610*AB1495/(AB1495+AC1495),4)</f>
        <v>1.41E-2</v>
      </c>
      <c r="M2610" s="450" t="s">
        <v>1062</v>
      </c>
      <c r="N2610" s="449">
        <f>R2610-L2610-P2610</f>
        <v>5.3642000000000003</v>
      </c>
      <c r="O2610" s="450" t="s">
        <v>1062</v>
      </c>
      <c r="P2610" s="449">
        <v>0</v>
      </c>
      <c r="Q2610" s="343" t="s">
        <v>1062</v>
      </c>
      <c r="R2610" s="376">
        <f>ROUND(Z2610/E2610*100,4)</f>
        <v>5.3783000000000003</v>
      </c>
      <c r="S2610" s="343" t="s">
        <v>1062</v>
      </c>
      <c r="T2610" s="365">
        <f>ROUND($E2610*L2610/100,0)</f>
        <v>34154</v>
      </c>
      <c r="U2610" s="364"/>
      <c r="V2610" s="365">
        <f>ROUND($E2610*N2610/100,0)</f>
        <v>12993702</v>
      </c>
      <c r="W2610" s="364"/>
      <c r="X2610" s="365">
        <f>ROUND($E2610*P2610/100,0)</f>
        <v>0</v>
      </c>
      <c r="Y2610" s="325"/>
      <c r="Z2610" s="365">
        <f>J2610</f>
        <v>13027758.191234671</v>
      </c>
      <c r="AA2610" s="329"/>
      <c r="AB2610" s="366"/>
      <c r="AC2610" s="366"/>
      <c r="AD2610" s="366"/>
      <c r="AE2610" s="366"/>
      <c r="AF2610" s="366"/>
      <c r="AG2610" s="379"/>
    </row>
    <row r="2611" spans="1:33" ht="16.5" thickTop="1">
      <c r="AB2611" s="366"/>
      <c r="AC2611" s="366"/>
      <c r="AD2611" s="366"/>
      <c r="AE2611" s="366"/>
      <c r="AF2611" s="366"/>
    </row>
    <row r="2612" spans="1:33">
      <c r="A2612" s="292">
        <v>1</v>
      </c>
      <c r="B2612" s="314" t="s">
        <v>1371</v>
      </c>
    </row>
    <row r="2613" spans="1:33">
      <c r="B2613" s="317" t="s">
        <v>1372</v>
      </c>
      <c r="D2613" s="293">
        <v>12</v>
      </c>
      <c r="E2613" s="293">
        <f>[7]Bill!P68</f>
        <v>12</v>
      </c>
      <c r="G2613" s="340">
        <v>235.66</v>
      </c>
      <c r="H2613" s="377"/>
      <c r="I2613" s="294">
        <f t="shared" ref="I2613:J2616" si="1539">ROUND($G2613*D2613,0)</f>
        <v>2828</v>
      </c>
      <c r="J2613" s="294">
        <f t="shared" si="1539"/>
        <v>2828</v>
      </c>
      <c r="L2613" s="340">
        <f t="shared" ref="L2613:L2615" si="1540">ROUND(T2613/$E2613,2)</f>
        <v>239</v>
      </c>
      <c r="M2613" s="377"/>
      <c r="N2613" s="340">
        <f t="shared" ref="N2613:N2615" si="1541">ROUND(V2613/$E2613,2)</f>
        <v>0</v>
      </c>
      <c r="O2613" s="377"/>
      <c r="P2613" s="340">
        <f t="shared" ref="P2613:P2615" si="1542">ROUND(R2613-L2613-N2613,2)</f>
        <v>0</v>
      </c>
      <c r="Q2613" s="377"/>
      <c r="R2613" s="340">
        <f>ROUND(G2613*(1+$AC$2617),0)</f>
        <v>239</v>
      </c>
      <c r="S2613" s="377"/>
      <c r="T2613" s="294">
        <f>MIN(T2623,Z2613)</f>
        <v>2868</v>
      </c>
      <c r="Z2613" s="294">
        <f>ROUND($E2613*R2613,0)</f>
        <v>2868</v>
      </c>
      <c r="AB2613" s="320" t="s">
        <v>1042</v>
      </c>
      <c r="AC2613" s="321">
        <f>Z2623</f>
        <v>32884315</v>
      </c>
    </row>
    <row r="2614" spans="1:33">
      <c r="B2614" s="317" t="s">
        <v>1373</v>
      </c>
      <c r="D2614" s="293">
        <f>[7]C1!G21</f>
        <v>981560</v>
      </c>
      <c r="E2614" s="293">
        <f t="shared" ref="E2614:E2620" si="1543">ROUND(D2614/$D$2623*$E$2623,0)</f>
        <v>1004562</v>
      </c>
      <c r="G2614" s="340">
        <v>1.95</v>
      </c>
      <c r="H2614" s="377"/>
      <c r="I2614" s="294">
        <f t="shared" si="1539"/>
        <v>1914042</v>
      </c>
      <c r="J2614" s="294">
        <f t="shared" si="1539"/>
        <v>1958896</v>
      </c>
      <c r="L2614" s="340">
        <f t="shared" si="1540"/>
        <v>0.17</v>
      </c>
      <c r="M2614" s="377"/>
      <c r="N2614" s="340">
        <f t="shared" si="1541"/>
        <v>1.81</v>
      </c>
      <c r="O2614" s="377"/>
      <c r="P2614" s="340">
        <f t="shared" si="1542"/>
        <v>0</v>
      </c>
      <c r="Q2614" s="377"/>
      <c r="R2614" s="340">
        <f>ROUND(G2614*(1+$AC$2617),2)</f>
        <v>1.98</v>
      </c>
      <c r="S2614" s="377"/>
      <c r="T2614" s="294">
        <f>MIN(T2623-T2613,Z2614)</f>
        <v>170929.06392614366</v>
      </c>
      <c r="V2614" s="294">
        <f>MIN($V$2623,$Z$2614-$T$2614)</f>
        <v>1818103.9360738564</v>
      </c>
      <c r="X2614" s="294">
        <f>Z2614-T2614-V2614</f>
        <v>0</v>
      </c>
      <c r="Z2614" s="294">
        <f t="shared" ref="Z2614:Z2616" si="1544">ROUND($E2614*R2614,0)</f>
        <v>1989033</v>
      </c>
      <c r="AB2614" s="322" t="s">
        <v>1044</v>
      </c>
      <c r="AC2614" s="323">
        <f>[7]RateSpread!M50*1000</f>
        <v>32883941.961600002</v>
      </c>
    </row>
    <row r="2615" spans="1:33">
      <c r="B2615" s="317" t="s">
        <v>1374</v>
      </c>
      <c r="D2615" s="293">
        <f>SUM([7]C1!K11:K15)</f>
        <v>373210</v>
      </c>
      <c r="E2615" s="293">
        <f t="shared" si="1543"/>
        <v>381956</v>
      </c>
      <c r="G2615" s="340">
        <v>13.15</v>
      </c>
      <c r="H2615" s="377"/>
      <c r="I2615" s="294">
        <f t="shared" si="1539"/>
        <v>4907712</v>
      </c>
      <c r="J2615" s="294">
        <f t="shared" si="1539"/>
        <v>5022721</v>
      </c>
      <c r="L2615" s="340">
        <f t="shared" si="1540"/>
        <v>0</v>
      </c>
      <c r="M2615" s="377"/>
      <c r="N2615" s="340">
        <f t="shared" si="1541"/>
        <v>13.34</v>
      </c>
      <c r="O2615" s="377"/>
      <c r="P2615" s="340">
        <f t="shared" si="1542"/>
        <v>0</v>
      </c>
      <c r="Q2615" s="377"/>
      <c r="R2615" s="340">
        <f>ROUND(G2615*(1+$AC$2617),2)</f>
        <v>13.34</v>
      </c>
      <c r="S2615" s="377"/>
      <c r="T2615" s="294">
        <f>MIN($T$2623-$T$2613-$T$2614,SUM($Z$2615:$Z$2616))*Z2615/SUM($Z$2615:$Z$2616)</f>
        <v>0</v>
      </c>
      <c r="V2615" s="294">
        <f>MIN($V$2623-$V$2614,SUM($Z$2615:$Z$2616))*Z2615/SUM($Z$2615:$Z$2616)</f>
        <v>5095293</v>
      </c>
      <c r="X2615" s="294">
        <f>Z2615-T2615-V2615</f>
        <v>0</v>
      </c>
      <c r="Z2615" s="294">
        <f t="shared" si="1544"/>
        <v>5095293</v>
      </c>
      <c r="AB2615" s="404" t="s">
        <v>789</v>
      </c>
      <c r="AC2615" s="323">
        <f>AC2614-AC2613</f>
        <v>-373.03839999809861</v>
      </c>
    </row>
    <row r="2616" spans="1:33">
      <c r="B2616" s="317" t="s">
        <v>1375</v>
      </c>
      <c r="D2616" s="293">
        <f>-D2615+[7]C1!K21</f>
        <v>608350</v>
      </c>
      <c r="E2616" s="293">
        <f t="shared" si="1543"/>
        <v>622606</v>
      </c>
      <c r="G2616" s="340">
        <v>8.81</v>
      </c>
      <c r="H2616" s="377"/>
      <c r="I2616" s="294">
        <f t="shared" si="1539"/>
        <v>5359564</v>
      </c>
      <c r="J2616" s="294">
        <f t="shared" si="1539"/>
        <v>5485159</v>
      </c>
      <c r="L2616" s="340">
        <f>ROUND(T2616/$E2616,2)</f>
        <v>0</v>
      </c>
      <c r="M2616" s="377"/>
      <c r="N2616" s="340">
        <f>ROUND(V2616/$E2616,2)</f>
        <v>8.94</v>
      </c>
      <c r="O2616" s="377"/>
      <c r="P2616" s="340">
        <f>ROUND(R2616-L2616-N2616,2)</f>
        <v>0</v>
      </c>
      <c r="Q2616" s="377"/>
      <c r="R2616" s="340">
        <f>ROUND(G2616*(1+$AC$2617),2)</f>
        <v>8.94</v>
      </c>
      <c r="S2616" s="377"/>
      <c r="V2616" s="294">
        <f>MIN($V$2623-$V$2614,SUM($Z$2615:$Z$2616))*Z2616/SUM($Z$2615:$Z$2616)</f>
        <v>5566098</v>
      </c>
      <c r="X2616" s="294">
        <f>Z2616-T2616-V2616</f>
        <v>0</v>
      </c>
      <c r="Z2616" s="294">
        <f t="shared" si="1544"/>
        <v>5566098</v>
      </c>
      <c r="AB2616" s="320" t="s">
        <v>939</v>
      </c>
      <c r="AC2616" s="389">
        <f>AC2613/J2623-1</f>
        <v>4.7864524569581013E-2</v>
      </c>
    </row>
    <row r="2617" spans="1:33">
      <c r="B2617" s="317" t="s">
        <v>1376</v>
      </c>
      <c r="D2617" s="293">
        <f>SUM([7]C1!O11:O15)</f>
        <v>98922553</v>
      </c>
      <c r="E2617" s="293">
        <f t="shared" si="1543"/>
        <v>101240704</v>
      </c>
      <c r="G2617" s="376">
        <v>4.47</v>
      </c>
      <c r="H2617" s="343" t="s">
        <v>1062</v>
      </c>
      <c r="I2617" s="294">
        <f t="shared" ref="I2617:J2620" si="1545">ROUND($G2617*D2617/100,0)</f>
        <v>4421838</v>
      </c>
      <c r="J2617" s="294">
        <f t="shared" si="1545"/>
        <v>4525459</v>
      </c>
      <c r="L2617" s="376">
        <f>ROUND(T2617/$E2617*100,4)</f>
        <v>0</v>
      </c>
      <c r="M2617" s="343" t="s">
        <v>1062</v>
      </c>
      <c r="N2617" s="376">
        <f>ROUND(V2617/$E2617*100,4)</f>
        <v>2.2157</v>
      </c>
      <c r="O2617" s="343" t="s">
        <v>1062</v>
      </c>
      <c r="P2617" s="376">
        <f>ROUND(R2617-L2617-N2617,4)</f>
        <v>2.3222999999999998</v>
      </c>
      <c r="Q2617" s="343" t="s">
        <v>1062</v>
      </c>
      <c r="R2617" s="376">
        <f>ROUND((AC2614-SUM(Z2613:Z2616,Z2618:Z2620))/E2617*100,3)</f>
        <v>4.5380000000000003</v>
      </c>
      <c r="S2617" s="343" t="s">
        <v>1062</v>
      </c>
      <c r="T2617" s="346"/>
      <c r="U2617" s="346"/>
      <c r="V2617" s="294">
        <f>MIN($V$2623-$V$2614-$V$2615-$V$2616,SUM($Z$2617:$Z$2620))*Z2617/SUM($Z$2617:$Z$2620)</f>
        <v>2243237.3385647167</v>
      </c>
      <c r="W2617" s="346"/>
      <c r="X2617" s="294">
        <f t="shared" ref="X2617:X2620" si="1546">Z2617-T2617-V2617</f>
        <v>2351065.6614352833</v>
      </c>
      <c r="Y2617" s="346"/>
      <c r="Z2617" s="294">
        <f>ROUND($E2617*R2617/100,0)</f>
        <v>4594303</v>
      </c>
      <c r="AB2617" s="335" t="s">
        <v>1048</v>
      </c>
      <c r="AC2617" s="385">
        <f>AC2614/(J2623-J2621)-1</f>
        <v>1.4776183243647045E-2</v>
      </c>
      <c r="AD2617" s="292">
        <f>AC2614/J2623-1</f>
        <v>4.7852637634862916E-2</v>
      </c>
    </row>
    <row r="2618" spans="1:33">
      <c r="B2618" s="317" t="s">
        <v>1377</v>
      </c>
      <c r="D2618" s="293">
        <f>SUM([7]C1!S11:S15)</f>
        <v>139678447</v>
      </c>
      <c r="E2618" s="293">
        <f t="shared" si="1543"/>
        <v>142951672</v>
      </c>
      <c r="G2618" s="376">
        <v>2.806</v>
      </c>
      <c r="H2618" s="343" t="s">
        <v>1062</v>
      </c>
      <c r="I2618" s="294">
        <f t="shared" si="1545"/>
        <v>3919377</v>
      </c>
      <c r="J2618" s="294">
        <f t="shared" si="1545"/>
        <v>4011224</v>
      </c>
      <c r="L2618" s="376">
        <f t="shared" ref="L2618:L2620" si="1547">ROUND(T2618/$E2618*100,4)</f>
        <v>0</v>
      </c>
      <c r="M2618" s="343" t="s">
        <v>1062</v>
      </c>
      <c r="N2618" s="376">
        <f t="shared" ref="N2618:N2620" si="1548">ROUND(V2618/$E2618*100,4)</f>
        <v>1.3900999999999999</v>
      </c>
      <c r="O2618" s="343" t="s">
        <v>1062</v>
      </c>
      <c r="P2618" s="376">
        <f t="shared" ref="P2618:P2620" si="1549">ROUND(R2618-L2618-N2618,4)</f>
        <v>1.4569000000000001</v>
      </c>
      <c r="Q2618" s="343" t="s">
        <v>1062</v>
      </c>
      <c r="R2618" s="376">
        <f>ROUND(G2618*(1+$AC$2617),3)</f>
        <v>2.847</v>
      </c>
      <c r="S2618" s="343" t="s">
        <v>1062</v>
      </c>
      <c r="T2618" s="346"/>
      <c r="U2618" s="346"/>
      <c r="V2618" s="294">
        <f t="shared" ref="V2618:V2620" si="1550">MIN($V$2623-$V$2614-$V$2615-$V$2616,SUM($Z$2617:$Z$2620))*Z2618/SUM($Z$2617:$Z$2620)</f>
        <v>1987157.4840754287</v>
      </c>
      <c r="W2618" s="346"/>
      <c r="X2618" s="294">
        <f t="shared" si="1546"/>
        <v>2082676.5159245713</v>
      </c>
      <c r="Y2618" s="346"/>
      <c r="Z2618" s="294">
        <f t="shared" ref="Z2618:Z2620" si="1551">ROUND($E2618*R2618/100,0)</f>
        <v>4069834</v>
      </c>
      <c r="AB2618" s="322" t="s">
        <v>1011</v>
      </c>
      <c r="AC2618" s="459">
        <f>[7]RateSpread!V50*1000</f>
        <v>-695115</v>
      </c>
      <c r="AD2618" s="338">
        <f>ROUND(AC2618/SUM(Z2615:Z2620),4)</f>
        <v>-2.2499999999999999E-2</v>
      </c>
    </row>
    <row r="2619" spans="1:33">
      <c r="B2619" s="317" t="s">
        <v>1378</v>
      </c>
      <c r="D2619" s="293">
        <f>-D2617+[7]C1!O21</f>
        <v>164618614</v>
      </c>
      <c r="E2619" s="293">
        <f t="shared" si="1543"/>
        <v>168476287</v>
      </c>
      <c r="G2619" s="376">
        <v>3.3610000000000002</v>
      </c>
      <c r="H2619" s="343" t="s">
        <v>1062</v>
      </c>
      <c r="I2619" s="294">
        <f t="shared" si="1545"/>
        <v>5532832</v>
      </c>
      <c r="J2619" s="294">
        <f t="shared" si="1545"/>
        <v>5662488</v>
      </c>
      <c r="L2619" s="376">
        <f t="shared" si="1547"/>
        <v>0</v>
      </c>
      <c r="M2619" s="343" t="s">
        <v>1062</v>
      </c>
      <c r="N2619" s="376">
        <f t="shared" si="1548"/>
        <v>1.6655</v>
      </c>
      <c r="O2619" s="343" t="s">
        <v>1062</v>
      </c>
      <c r="P2619" s="376">
        <f t="shared" si="1549"/>
        <v>1.7455000000000001</v>
      </c>
      <c r="Q2619" s="343" t="s">
        <v>1062</v>
      </c>
      <c r="R2619" s="376">
        <f>ROUND(G2619*(1+$AC$2617),3)</f>
        <v>3.411</v>
      </c>
      <c r="S2619" s="343" t="s">
        <v>1062</v>
      </c>
      <c r="T2619" s="346"/>
      <c r="U2619" s="346"/>
      <c r="V2619" s="294">
        <f t="shared" si="1550"/>
        <v>2805925.1507139732</v>
      </c>
      <c r="W2619" s="346"/>
      <c r="X2619" s="294">
        <f t="shared" si="1546"/>
        <v>2940800.8492860268</v>
      </c>
      <c r="Y2619" s="346"/>
      <c r="Z2619" s="294">
        <f t="shared" si="1551"/>
        <v>5746726</v>
      </c>
      <c r="AB2619" s="335" t="s">
        <v>1057</v>
      </c>
      <c r="AC2619" s="460">
        <f>[7]RateSpread!W50*1000</f>
        <v>-347557</v>
      </c>
      <c r="AD2619" s="338">
        <f>ROUND(AC2619/SUM(Z2615:Z2620),4)</f>
        <v>-1.1299999999999999E-2</v>
      </c>
    </row>
    <row r="2620" spans="1:33">
      <c r="B2620" s="317" t="s">
        <v>1379</v>
      </c>
      <c r="D2620" s="423">
        <f>-D2618+[7]C1!S21</f>
        <v>199750386</v>
      </c>
      <c r="E2620" s="423">
        <f t="shared" si="1543"/>
        <v>204431337</v>
      </c>
      <c r="G2620" s="376">
        <v>2.806</v>
      </c>
      <c r="H2620" s="343" t="s">
        <v>1062</v>
      </c>
      <c r="I2620" s="358">
        <f t="shared" si="1545"/>
        <v>5604996</v>
      </c>
      <c r="J2620" s="358">
        <f t="shared" si="1545"/>
        <v>5736343</v>
      </c>
      <c r="L2620" s="376">
        <f t="shared" si="1547"/>
        <v>0</v>
      </c>
      <c r="M2620" s="343" t="s">
        <v>1062</v>
      </c>
      <c r="N2620" s="376">
        <f t="shared" si="1548"/>
        <v>1.3900999999999999</v>
      </c>
      <c r="O2620" s="343" t="s">
        <v>1062</v>
      </c>
      <c r="P2620" s="376">
        <f t="shared" si="1549"/>
        <v>1.4569000000000001</v>
      </c>
      <c r="Q2620" s="343" t="s">
        <v>1062</v>
      </c>
      <c r="R2620" s="376">
        <f>R2618</f>
        <v>2.847</v>
      </c>
      <c r="S2620" s="343" t="s">
        <v>1062</v>
      </c>
      <c r="T2620" s="346"/>
      <c r="U2620" s="346"/>
      <c r="V2620" s="294">
        <f t="shared" si="1550"/>
        <v>2841780.4024725454</v>
      </c>
      <c r="W2620" s="346"/>
      <c r="X2620" s="294">
        <f t="shared" si="1546"/>
        <v>2978379.5975274546</v>
      </c>
      <c r="Y2620" s="346"/>
      <c r="Z2620" s="294">
        <f t="shared" si="1551"/>
        <v>5820160</v>
      </c>
    </row>
    <row r="2621" spans="1:33">
      <c r="B2621" s="317" t="s">
        <v>1079</v>
      </c>
      <c r="G2621" s="441">
        <v>-3.3599999999999998E-2</v>
      </c>
      <c r="H2621" s="339"/>
      <c r="I2621" s="442">
        <f>SUM(I2615:I2620)*$G2621</f>
        <v>-999476.31839999999</v>
      </c>
      <c r="J2621" s="442">
        <f>SUM(J2615:J2620)*$G2621</f>
        <v>-1022898.0384</v>
      </c>
      <c r="L2621" s="441"/>
      <c r="M2621" s="339"/>
      <c r="N2621" s="441"/>
      <c r="O2621" s="339"/>
      <c r="P2621" s="359" t="str">
        <f>$P$43</f>
        <v>Tax Year 1</v>
      </c>
      <c r="Q2621" s="339"/>
      <c r="R2621" s="338">
        <f>AD2618</f>
        <v>-2.2499999999999999E-2</v>
      </c>
      <c r="S2621" s="339"/>
      <c r="Z2621" s="294">
        <f>R2621*SUM(Z2615:Z2620)</f>
        <v>-695079.31499999994</v>
      </c>
    </row>
    <row r="2622" spans="1:33">
      <c r="B2622" s="317"/>
      <c r="G2622" s="338"/>
      <c r="H2622" s="339"/>
      <c r="L2622" s="338"/>
      <c r="M2622" s="339"/>
      <c r="N2622" s="338"/>
      <c r="O2622" s="339"/>
      <c r="P2622" s="359" t="str">
        <f>$P$44</f>
        <v>Tax Year 2</v>
      </c>
      <c r="Q2622" s="339"/>
      <c r="R2622" s="338">
        <f>AD2619</f>
        <v>-1.1299999999999999E-2</v>
      </c>
      <c r="S2622" s="339"/>
      <c r="Z2622" s="294">
        <f>R2622*SUM(Z2615:Z2620)</f>
        <v>-349084.2782</v>
      </c>
      <c r="AB2622" s="361" t="s">
        <v>42</v>
      </c>
      <c r="AC2622" s="361" t="s">
        <v>43</v>
      </c>
      <c r="AD2622" s="361" t="s">
        <v>44</v>
      </c>
      <c r="AE2622" s="361" t="s">
        <v>45</v>
      </c>
    </row>
    <row r="2623" spans="1:33" ht="16.5" thickBot="1">
      <c r="A2623" s="292">
        <v>1</v>
      </c>
      <c r="B2623" s="317" t="s">
        <v>937</v>
      </c>
      <c r="D2623" s="381">
        <f>SUM(D2617:D2620)</f>
        <v>602970000</v>
      </c>
      <c r="E2623" s="381">
        <f>[7]Energy!P68</f>
        <v>617100000</v>
      </c>
      <c r="G2623" s="461"/>
      <c r="H2623" s="377"/>
      <c r="I2623" s="369">
        <f>SUM(I2613:I2621)</f>
        <v>30663712.681600001</v>
      </c>
      <c r="J2623" s="369">
        <f>SUM(J2613:J2621)</f>
        <v>31382219.961599998</v>
      </c>
      <c r="L2623" s="461"/>
      <c r="M2623" s="377"/>
      <c r="N2623" s="461"/>
      <c r="O2623" s="377"/>
      <c r="P2623" s="461"/>
      <c r="Q2623" s="377"/>
      <c r="R2623" s="461"/>
      <c r="S2623" s="377"/>
      <c r="T2623" s="364">
        <f>$Z2623*AB2623/$AE2623*$X$2683</f>
        <v>173797.06392614366</v>
      </c>
      <c r="U2623" s="364"/>
      <c r="V2623" s="364">
        <f>$Z2623*AC2623/$AE2623*$X$2683</f>
        <v>22357595.311900519</v>
      </c>
      <c r="W2623" s="364"/>
      <c r="X2623" s="364">
        <f>Z2623-T2623-V2623</f>
        <v>10352922.624173336</v>
      </c>
      <c r="Z2623" s="369">
        <f>SUM(Z2613:Z2620)</f>
        <v>32884315</v>
      </c>
      <c r="AB2623" s="366">
        <f>'[7]Unit Cost Target'!$M$87+'[7]Unit Cost Target'!$M$123+'[7]Unit Cost Target'!$M$129</f>
        <v>187462.41855138721</v>
      </c>
      <c r="AC2623" s="366">
        <f>'[7]Unit Cost Target'!$M$45+'[7]Unit Cost Target'!$M$51+'[7]Unit Cost Target'!$M$75+'[7]Unit Cost Target'!$M$81</f>
        <v>24115533.343780264</v>
      </c>
      <c r="AD2623" s="366">
        <f>'[7]Unit Cost Target'!$M$33+'[7]Unit Cost Target'!$M$39+'[7]Unit Cost Target'!$M$63+'[7]Unit Cost Target'!$M$69</f>
        <v>11905394.225810053</v>
      </c>
      <c r="AE2623" s="366">
        <f>SUM(AB2623:AD2623)</f>
        <v>36208389.988141701</v>
      </c>
      <c r="AF2623" s="366">
        <f>AE2623-'[7]Unit Cost Target'!$M$21</f>
        <v>0</v>
      </c>
    </row>
    <row r="2624" spans="1:33" ht="16.5" thickTop="1">
      <c r="A2624" s="292">
        <v>1</v>
      </c>
      <c r="AB2624" s="366">
        <f>T2623-SUM(T2613:T2622)</f>
        <v>0</v>
      </c>
      <c r="AC2624" s="366">
        <f>V2623-SUM(V2613:V2622)</f>
        <v>0</v>
      </c>
      <c r="AD2624" s="366">
        <f>X2623-SUM(X2613:X2622)</f>
        <v>0</v>
      </c>
      <c r="AE2624" s="366">
        <f>SUM(AB2624:AD2624)</f>
        <v>0</v>
      </c>
      <c r="AF2624" s="366"/>
    </row>
    <row r="2625" spans="1:32">
      <c r="A2625" s="292">
        <v>1</v>
      </c>
      <c r="B2625" s="314" t="s">
        <v>1380</v>
      </c>
      <c r="G2625" s="377"/>
      <c r="H2625" s="377"/>
      <c r="L2625" s="377"/>
      <c r="M2625" s="377"/>
      <c r="N2625" s="377"/>
      <c r="O2625" s="377"/>
      <c r="P2625" s="377"/>
      <c r="Q2625" s="377"/>
      <c r="R2625" s="377"/>
      <c r="S2625" s="377"/>
      <c r="AB2625" s="320" t="s">
        <v>1042</v>
      </c>
      <c r="AC2625" s="321">
        <f>Z2633</f>
        <v>32991668</v>
      </c>
    </row>
    <row r="2626" spans="1:32">
      <c r="B2626" s="317" t="s">
        <v>1089</v>
      </c>
      <c r="D2626" s="293">
        <v>12</v>
      </c>
      <c r="E2626" s="293">
        <f>[7]Bill!P69</f>
        <v>12</v>
      </c>
      <c r="AB2626" s="322" t="s">
        <v>1044</v>
      </c>
      <c r="AC2626" s="323">
        <f>[7]RateSpread!M51*1000</f>
        <v>32991778.144999996</v>
      </c>
    </row>
    <row r="2627" spans="1:32">
      <c r="B2627" s="353" t="s">
        <v>1177</v>
      </c>
      <c r="D2627" s="293">
        <f>SUM([7]C2!F11:F15)</f>
        <v>65661217</v>
      </c>
      <c r="E2627" s="293">
        <f>ROUND(D2627/(D2627+D2629)*[7]Energy!Q109,0)</f>
        <v>57264151</v>
      </c>
      <c r="G2627" s="376">
        <v>6.68</v>
      </c>
      <c r="H2627" s="343" t="s">
        <v>1062</v>
      </c>
      <c r="I2627" s="294">
        <f t="shared" ref="I2627:J2630" si="1552">ROUND($G2627*D2627/100,0)</f>
        <v>4386169</v>
      </c>
      <c r="J2627" s="294">
        <f t="shared" si="1552"/>
        <v>3825245</v>
      </c>
      <c r="L2627" s="376">
        <f>ROUND(T2627/$E2627*100,4)</f>
        <v>3.27E-2</v>
      </c>
      <c r="M2627" s="343" t="s">
        <v>1062</v>
      </c>
      <c r="N2627" s="376">
        <f>ROUND(V2627/$E2627*100,4)</f>
        <v>3.9973999999999998</v>
      </c>
      <c r="O2627" s="343" t="s">
        <v>1062</v>
      </c>
      <c r="P2627" s="376">
        <f>ROUND(R2627-L2627-N2627,4)</f>
        <v>2.7498999999999998</v>
      </c>
      <c r="Q2627" s="343" t="s">
        <v>1062</v>
      </c>
      <c r="R2627" s="376">
        <f>ROUND((AC2626-SUM(Z2628:Z2630))/E2627*100,3)</f>
        <v>6.78</v>
      </c>
      <c r="S2627" s="343" t="s">
        <v>1062</v>
      </c>
      <c r="T2627" s="346">
        <f>MIN($T$2633,SUM($Z$2627:$Z$2630))*$Z2627/SUM($Z$2627:$Z$2630)</f>
        <v>18704.689231306089</v>
      </c>
      <c r="U2627" s="346"/>
      <c r="V2627" s="346">
        <f>MIN($V$2633,SUM($Z$2627:$Z$2630)-SUM($T$2627:$T$2630))*($Z2627-$T2627)/(SUM($Z$2627:$Z$2630)-SUM($T$2627:$T$2630))</f>
        <v>2289091.1453311727</v>
      </c>
      <c r="W2627" s="346"/>
      <c r="X2627" s="346">
        <f>Z2627-T2627-V2627</f>
        <v>1574713.1654375209</v>
      </c>
      <c r="Y2627" s="346"/>
      <c r="Z2627" s="294">
        <f>ROUND($R2627*E2627/100,0)</f>
        <v>3882509</v>
      </c>
      <c r="AB2627" s="404" t="s">
        <v>789</v>
      </c>
      <c r="AC2627" s="323">
        <f>AC2626-AC2625</f>
        <v>110.14499999582767</v>
      </c>
    </row>
    <row r="2628" spans="1:32">
      <c r="B2628" s="353" t="s">
        <v>1179</v>
      </c>
      <c r="D2628" s="293">
        <f>-D2627+[7]C2!F21</f>
        <v>195234517</v>
      </c>
      <c r="E2628" s="293">
        <f>ROUND(D2628/(D2628+D2630)*[7]Energy!R109,0)</f>
        <v>179663027</v>
      </c>
      <c r="G2628" s="376">
        <v>5.0229999999999997</v>
      </c>
      <c r="H2628" s="343" t="s">
        <v>1062</v>
      </c>
      <c r="I2628" s="294">
        <f t="shared" si="1552"/>
        <v>9806630</v>
      </c>
      <c r="J2628" s="294">
        <f t="shared" si="1552"/>
        <v>9024474</v>
      </c>
      <c r="L2628" s="376">
        <f t="shared" ref="L2628:L2630" si="1553">ROUND(T2628/$E2628*100,4)</f>
        <v>2.46E-2</v>
      </c>
      <c r="M2628" s="343" t="s">
        <v>1062</v>
      </c>
      <c r="N2628" s="376">
        <f t="shared" ref="N2628:N2630" si="1554">ROUND(V2628/$E2628*100,4)</f>
        <v>3.0057</v>
      </c>
      <c r="O2628" s="343" t="s">
        <v>1062</v>
      </c>
      <c r="P2628" s="376">
        <f t="shared" ref="P2628:P2630" si="1555">ROUND(R2628-L2628-N2628,4)</f>
        <v>2.0676999999999999</v>
      </c>
      <c r="Q2628" s="343" t="s">
        <v>1062</v>
      </c>
      <c r="R2628" s="376">
        <f>ROUND(G2628*(1+$AC$2629),3)</f>
        <v>5.0979999999999999</v>
      </c>
      <c r="S2628" s="343" t="s">
        <v>1062</v>
      </c>
      <c r="T2628" s="346">
        <f t="shared" ref="T2628:T2630" si="1556">MIN($T$2633,SUM($Z$2627:$Z$2630))*$Z2628/SUM($Z$2627:$Z$2630)</f>
        <v>44126.203546689161</v>
      </c>
      <c r="U2628" s="346"/>
      <c r="V2628" s="346">
        <f t="shared" ref="V2628:V2630" si="1557">MIN($V$2633,SUM($Z$2627:$Z$2630)-SUM($T$2627:$T$2630))*($Z2628-$T2628)/(SUM($Z$2627:$Z$2630)-SUM($T$2627:$T$2630))</f>
        <v>5400191.3940782445</v>
      </c>
      <c r="W2628" s="346"/>
      <c r="X2628" s="346">
        <f t="shared" ref="X2628:X2630" si="1558">Z2628-T2628-V2628</f>
        <v>3714903.4023750657</v>
      </c>
      <c r="Y2628" s="346"/>
      <c r="Z2628" s="294">
        <f>ROUND($R2628*E2628/100,0)</f>
        <v>9159221</v>
      </c>
      <c r="AB2628" s="320" t="s">
        <v>939</v>
      </c>
      <c r="AC2628" s="389">
        <f>AC2625/J2633-1</f>
        <v>4.7849152924339888E-2</v>
      </c>
    </row>
    <row r="2629" spans="1:32">
      <c r="B2629" s="353" t="s">
        <v>1071</v>
      </c>
      <c r="D2629" s="293">
        <f>SUM([7]C2!J11:J15)</f>
        <v>274611200</v>
      </c>
      <c r="E2629" s="293">
        <f>[7]Energy!Q109-Blocking!E2627</f>
        <v>239492625.9472512</v>
      </c>
      <c r="G2629" s="376">
        <v>4.1959999999999997</v>
      </c>
      <c r="H2629" s="343" t="s">
        <v>1062</v>
      </c>
      <c r="I2629" s="294">
        <f t="shared" si="1552"/>
        <v>11522686</v>
      </c>
      <c r="J2629" s="294">
        <f t="shared" si="1552"/>
        <v>10049111</v>
      </c>
      <c r="L2629" s="376">
        <f t="shared" si="1553"/>
        <v>2.0500000000000001E-2</v>
      </c>
      <c r="M2629" s="343" t="s">
        <v>1062</v>
      </c>
      <c r="N2629" s="376">
        <f t="shared" si="1554"/>
        <v>2.5105</v>
      </c>
      <c r="O2629" s="343" t="s">
        <v>1062</v>
      </c>
      <c r="P2629" s="376">
        <f t="shared" si="1555"/>
        <v>1.7270000000000001</v>
      </c>
      <c r="Q2629" s="343" t="s">
        <v>1062</v>
      </c>
      <c r="R2629" s="376">
        <f>ROUND(G2629*(1+$AC$2629),3)</f>
        <v>4.258</v>
      </c>
      <c r="S2629" s="343" t="s">
        <v>1062</v>
      </c>
      <c r="T2629" s="346">
        <f t="shared" si="1556"/>
        <v>49128.76289183362</v>
      </c>
      <c r="U2629" s="346"/>
      <c r="V2629" s="346">
        <f t="shared" si="1557"/>
        <v>6012407.6228193138</v>
      </c>
      <c r="W2629" s="346"/>
      <c r="X2629" s="346">
        <f t="shared" si="1558"/>
        <v>4136059.6142888535</v>
      </c>
      <c r="Y2629" s="346"/>
      <c r="Z2629" s="294">
        <f>ROUND($R2629*E2629/100,0)</f>
        <v>10197596</v>
      </c>
      <c r="AB2629" s="335" t="s">
        <v>1048</v>
      </c>
      <c r="AC2629" s="385">
        <f>AC2626/(J2633-J2631)-1</f>
        <v>1.4845292728174808E-2</v>
      </c>
      <c r="AD2629" s="292">
        <f>AC2626/J2633-1</f>
        <v>4.785265124230742E-2</v>
      </c>
    </row>
    <row r="2630" spans="1:32">
      <c r="B2630" s="353" t="s">
        <v>1381</v>
      </c>
      <c r="D2630" s="423">
        <f>-D2629+[7]C2!J21</f>
        <v>248886394</v>
      </c>
      <c r="E2630" s="423">
        <f>[7]Energy!R109-Blocking!E2628</f>
        <v>229035744.99930882</v>
      </c>
      <c r="G2630" s="376">
        <v>4.1959999999999997</v>
      </c>
      <c r="H2630" s="343" t="s">
        <v>1062</v>
      </c>
      <c r="I2630" s="358">
        <f t="shared" si="1552"/>
        <v>10443273</v>
      </c>
      <c r="J2630" s="358">
        <f t="shared" si="1552"/>
        <v>9610340</v>
      </c>
      <c r="L2630" s="376">
        <f t="shared" si="1553"/>
        <v>2.0500000000000001E-2</v>
      </c>
      <c r="M2630" s="343" t="s">
        <v>1062</v>
      </c>
      <c r="N2630" s="376">
        <f t="shared" si="1554"/>
        <v>2.5105</v>
      </c>
      <c r="O2630" s="343" t="s">
        <v>1062</v>
      </c>
      <c r="P2630" s="376">
        <f t="shared" si="1555"/>
        <v>1.7270000000000001</v>
      </c>
      <c r="Q2630" s="343" t="s">
        <v>1062</v>
      </c>
      <c r="R2630" s="376">
        <f>R2629</f>
        <v>4.258</v>
      </c>
      <c r="S2630" s="343" t="s">
        <v>1062</v>
      </c>
      <c r="T2630" s="346">
        <f t="shared" si="1556"/>
        <v>46983.67122585269</v>
      </c>
      <c r="U2630" s="346"/>
      <c r="V2630" s="346">
        <f t="shared" si="1557"/>
        <v>5749890.0114439661</v>
      </c>
      <c r="W2630" s="346"/>
      <c r="X2630" s="346">
        <f t="shared" si="1558"/>
        <v>3955468.3173301807</v>
      </c>
      <c r="Y2630" s="346"/>
      <c r="Z2630" s="358">
        <f>ROUND($R2630*E2630/100,0)</f>
        <v>9752342</v>
      </c>
      <c r="AB2630" s="305" t="s">
        <v>1011</v>
      </c>
      <c r="AC2630" s="337">
        <f>[7]RateSpread!V51*1000</f>
        <v>-697394</v>
      </c>
      <c r="AD2630" s="338">
        <f>ROUND(AC2630/SUM(Z2627:Z2630),4)</f>
        <v>-2.1100000000000001E-2</v>
      </c>
    </row>
    <row r="2631" spans="1:32">
      <c r="B2631" s="317" t="s">
        <v>1079</v>
      </c>
      <c r="G2631" s="441">
        <v>-3.15E-2</v>
      </c>
      <c r="H2631" s="339"/>
      <c r="I2631" s="442">
        <f>SUM(I2627:I2630)*$G2631</f>
        <v>-1139000.8770000001</v>
      </c>
      <c r="J2631" s="442">
        <f>SUM(J2627:J2630)*$G2631</f>
        <v>-1024038.855</v>
      </c>
      <c r="L2631" s="441"/>
      <c r="M2631" s="339"/>
      <c r="N2631" s="441"/>
      <c r="O2631" s="339"/>
      <c r="P2631" s="359" t="str">
        <f>$P$43</f>
        <v>Tax Year 1</v>
      </c>
      <c r="Q2631" s="339"/>
      <c r="R2631" s="338">
        <f>AD2630</f>
        <v>-2.1100000000000001E-2</v>
      </c>
      <c r="S2631" s="339"/>
      <c r="Z2631" s="294">
        <f>R2631*SUM(Z2627:Z2630)</f>
        <v>-696124.19480000006</v>
      </c>
      <c r="AB2631" s="305" t="s">
        <v>1057</v>
      </c>
      <c r="AC2631" s="337">
        <f>[7]RateSpread!W51*1000</f>
        <v>-348697</v>
      </c>
      <c r="AD2631" s="338">
        <f>ROUND(AC2631/SUM(Z2627:Z2630),4)</f>
        <v>-1.06E-2</v>
      </c>
    </row>
    <row r="2632" spans="1:32">
      <c r="B2632" s="317"/>
      <c r="G2632" s="338"/>
      <c r="H2632" s="339"/>
      <c r="L2632" s="338"/>
      <c r="M2632" s="339"/>
      <c r="N2632" s="338"/>
      <c r="O2632" s="339"/>
      <c r="P2632" s="359" t="str">
        <f>$P$44</f>
        <v>Tax Year 2</v>
      </c>
      <c r="Q2632" s="339"/>
      <c r="R2632" s="338">
        <f>AD2631</f>
        <v>-1.06E-2</v>
      </c>
      <c r="S2632" s="339"/>
      <c r="Z2632" s="294">
        <f>R2632*SUM(Z2627:Z2630)</f>
        <v>-349711.68079999997</v>
      </c>
      <c r="AB2632" s="361" t="s">
        <v>42</v>
      </c>
      <c r="AC2632" s="361" t="s">
        <v>43</v>
      </c>
      <c r="AD2632" s="361" t="s">
        <v>44</v>
      </c>
      <c r="AE2632" s="361" t="s">
        <v>45</v>
      </c>
    </row>
    <row r="2633" spans="1:32" ht="16.5" thickBot="1">
      <c r="A2633" s="292">
        <v>1</v>
      </c>
      <c r="B2633" s="317" t="s">
        <v>937</v>
      </c>
      <c r="D2633" s="462">
        <f>SUM(D2627:D2630)</f>
        <v>784393328</v>
      </c>
      <c r="E2633" s="462">
        <f>SUM(E2627:E2630)</f>
        <v>705455548.94656003</v>
      </c>
      <c r="G2633" s="463"/>
      <c r="H2633" s="377"/>
      <c r="I2633" s="364">
        <f>SUM(I2627:I2631)</f>
        <v>35019757.123000003</v>
      </c>
      <c r="J2633" s="364">
        <f>SUM(J2627:J2631)</f>
        <v>31485131.145</v>
      </c>
      <c r="L2633" s="463"/>
      <c r="M2633" s="377"/>
      <c r="N2633" s="463"/>
      <c r="O2633" s="377"/>
      <c r="P2633" s="463"/>
      <c r="Q2633" s="377"/>
      <c r="R2633" s="463"/>
      <c r="S2633" s="377"/>
      <c r="T2633" s="364">
        <f>$Z2633*AB2633/$AE2633*$X$2683</f>
        <v>158943.32689568156</v>
      </c>
      <c r="U2633" s="364"/>
      <c r="V2633" s="364">
        <f>$Z2633*AC2633/$AE2633*$X$2683</f>
        <v>19451580.173672698</v>
      </c>
      <c r="W2633" s="364"/>
      <c r="X2633" s="364">
        <f>Z2633-T2633-V2633</f>
        <v>13381144.499431621</v>
      </c>
      <c r="Z2633" s="364">
        <f>SUM(Z2627:Z2630)</f>
        <v>32991668</v>
      </c>
      <c r="AB2633" s="366">
        <f>'[7]Unit Cost Target'!$N$87+'[7]Unit Cost Target'!$N$123+'[7]Unit Cost Target'!$N$129</f>
        <v>148926.81599929871</v>
      </c>
      <c r="AC2633" s="366">
        <f>'[7]Unit Cost Target'!$N$45+'[7]Unit Cost Target'!$N$51+'[7]Unit Cost Target'!$N$75+'[7]Unit Cost Target'!$N$81</f>
        <v>18225753.531140339</v>
      </c>
      <c r="AD2633" s="366">
        <f>'[7]Unit Cost Target'!$N$33+'[7]Unit Cost Target'!$N$39+'[7]Unit Cost Target'!$N$63+'[7]Unit Cost Target'!$N$69</f>
        <v>13181433.39745575</v>
      </c>
      <c r="AE2633" s="366">
        <f>SUM(AB2633:AD2633)</f>
        <v>31556113.744595386</v>
      </c>
      <c r="AF2633" s="366">
        <f>AE2633-'[7]Unit Cost Target'!$N$21</f>
        <v>0</v>
      </c>
    </row>
    <row r="2634" spans="1:32" ht="16.5" thickTop="1">
      <c r="A2634" s="292">
        <v>1</v>
      </c>
      <c r="B2634" s="317"/>
      <c r="G2634" s="426"/>
      <c r="H2634" s="426"/>
      <c r="L2634" s="426"/>
      <c r="M2634" s="426"/>
      <c r="N2634" s="426"/>
      <c r="O2634" s="426"/>
      <c r="P2634" s="426"/>
      <c r="Q2634" s="426"/>
      <c r="R2634" s="426"/>
      <c r="S2634" s="426"/>
      <c r="T2634" s="427"/>
      <c r="U2634" s="427"/>
      <c r="V2634" s="427"/>
      <c r="W2634" s="427"/>
      <c r="X2634" s="427"/>
      <c r="Y2634" s="427"/>
      <c r="AB2634" s="366">
        <f>T2633-SUM(T2627:T2632)</f>
        <v>0</v>
      </c>
      <c r="AC2634" s="366">
        <f>V2633-SUM(V2627:V2632)</f>
        <v>0</v>
      </c>
      <c r="AD2634" s="366">
        <f>X2633-SUM(X2627:X2632)</f>
        <v>0</v>
      </c>
      <c r="AE2634" s="366">
        <f>SUM(AB2634:AD2634)</f>
        <v>0</v>
      </c>
      <c r="AF2634" s="366"/>
    </row>
    <row r="2635" spans="1:32">
      <c r="A2635" s="292">
        <v>1</v>
      </c>
      <c r="B2635" s="314" t="s">
        <v>1382</v>
      </c>
      <c r="G2635" s="377"/>
      <c r="H2635" s="377"/>
      <c r="L2635" s="377"/>
      <c r="M2635" s="377"/>
      <c r="N2635" s="377"/>
      <c r="O2635" s="377"/>
      <c r="P2635" s="377"/>
      <c r="Q2635" s="377"/>
      <c r="R2635" s="377"/>
      <c r="S2635" s="377"/>
    </row>
    <row r="2636" spans="1:32">
      <c r="B2636" s="317" t="s">
        <v>1089</v>
      </c>
      <c r="D2636" s="293">
        <v>12</v>
      </c>
      <c r="E2636" s="293">
        <f>[7]Bill!P70</f>
        <v>12</v>
      </c>
    </row>
    <row r="2637" spans="1:32">
      <c r="B2637" s="317" t="s">
        <v>1383</v>
      </c>
      <c r="D2637" s="293">
        <f>[7]C3!F21</f>
        <v>375537561</v>
      </c>
      <c r="E2637" s="293">
        <f>'[7]C3-Forecast'!N5</f>
        <v>376680000</v>
      </c>
      <c r="G2637" s="376">
        <f>ROUND(I2637/D2637*100,4)</f>
        <v>5.6154999999999999</v>
      </c>
      <c r="H2637" s="343" t="s">
        <v>1062</v>
      </c>
      <c r="I2637" s="294">
        <f>[7]C3!H21</f>
        <v>21088466.710000001</v>
      </c>
      <c r="J2637" s="294">
        <f>'[7]C3-Forecast'!N9</f>
        <v>22005408.239999995</v>
      </c>
      <c r="L2637" s="449">
        <f>ROUND(R2637*AB1495/(AB1495+AC1495),4)</f>
        <v>1.5299999999999999E-2</v>
      </c>
      <c r="M2637" s="450" t="s">
        <v>1062</v>
      </c>
      <c r="N2637" s="449">
        <f>R2637-L2637-P2637</f>
        <v>5.8266</v>
      </c>
      <c r="O2637" s="450" t="s">
        <v>1062</v>
      </c>
      <c r="P2637" s="449">
        <v>0</v>
      </c>
      <c r="Q2637" s="343" t="s">
        <v>1062</v>
      </c>
      <c r="R2637" s="376">
        <f>ROUND(Z2637/E2637*100,4)</f>
        <v>5.8418999999999999</v>
      </c>
      <c r="S2637" s="343" t="s">
        <v>1062</v>
      </c>
      <c r="T2637" s="454">
        <f>ROUND($E2637*L2637/100,0)</f>
        <v>57632</v>
      </c>
      <c r="U2637" s="325"/>
      <c r="V2637" s="454">
        <f>ROUND($E2637*N2637/100,0)</f>
        <v>21947637</v>
      </c>
      <c r="W2637" s="325"/>
      <c r="X2637" s="454">
        <f>ROUND($E2637*P2637/100,0)</f>
        <v>0</v>
      </c>
      <c r="Y2637" s="346"/>
      <c r="Z2637" s="294">
        <f>J2637</f>
        <v>22005408.239999995</v>
      </c>
    </row>
    <row r="2638" spans="1:32">
      <c r="B2638" s="317" t="s">
        <v>1384</v>
      </c>
      <c r="G2638" s="376"/>
      <c r="H2638" s="343"/>
      <c r="L2638" s="376"/>
      <c r="M2638" s="343"/>
      <c r="N2638" s="376"/>
      <c r="O2638" s="343"/>
      <c r="P2638" s="376"/>
      <c r="Q2638" s="343"/>
      <c r="R2638" s="376"/>
      <c r="S2638" s="343"/>
      <c r="T2638" s="346"/>
      <c r="U2638" s="346"/>
      <c r="V2638" s="346"/>
      <c r="W2638" s="346"/>
      <c r="X2638" s="346"/>
      <c r="Y2638" s="346"/>
    </row>
    <row r="2639" spans="1:32">
      <c r="B2639" s="317" t="s">
        <v>1385</v>
      </c>
      <c r="D2639" s="293">
        <f>[7]C3!N21</f>
        <v>909325685</v>
      </c>
      <c r="E2639" s="293">
        <f>E2640-E2637-E2638</f>
        <v>911946197</v>
      </c>
      <c r="G2639" s="376">
        <f>ROUND(I2639/D2639*100,4)</f>
        <v>4.9291</v>
      </c>
      <c r="H2639" s="343" t="s">
        <v>1062</v>
      </c>
      <c r="I2639" s="294">
        <f>[7]C3!P21</f>
        <v>44821227.529999994</v>
      </c>
      <c r="J2639" s="294">
        <f>'[7]C3-Forecast'!N14</f>
        <v>40952184.777309686</v>
      </c>
      <c r="L2639" s="449">
        <f>ROUND(R2639*AB1495/(AB1495+AC1495),4)</f>
        <v>1.18E-2</v>
      </c>
      <c r="M2639" s="450" t="s">
        <v>1062</v>
      </c>
      <c r="N2639" s="449">
        <f>R2639-L2639-P2639</f>
        <v>4.4787999999999997</v>
      </c>
      <c r="O2639" s="450" t="s">
        <v>1062</v>
      </c>
      <c r="P2639" s="449">
        <v>0</v>
      </c>
      <c r="Q2639" s="343" t="s">
        <v>1062</v>
      </c>
      <c r="R2639" s="376">
        <f>ROUND(Z2639/E2639*100,4)</f>
        <v>4.4905999999999997</v>
      </c>
      <c r="S2639" s="343" t="s">
        <v>1062</v>
      </c>
      <c r="T2639" s="454">
        <f>ROUND($E2639*L2639/100,0)</f>
        <v>107610</v>
      </c>
      <c r="U2639" s="325"/>
      <c r="V2639" s="454">
        <f>ROUND($E2639*N2639/100,0)</f>
        <v>40844246</v>
      </c>
      <c r="W2639" s="325"/>
      <c r="X2639" s="454">
        <f>ROUND($E2639*P2639/100,0)</f>
        <v>0</v>
      </c>
      <c r="Y2639" s="346"/>
      <c r="Z2639" s="294">
        <f>J2639</f>
        <v>40952184.777309686</v>
      </c>
      <c r="AB2639" s="361"/>
      <c r="AC2639" s="361"/>
      <c r="AD2639" s="361"/>
      <c r="AE2639" s="361"/>
    </row>
    <row r="2640" spans="1:32" ht="16.5" thickBot="1">
      <c r="A2640" s="292">
        <v>1</v>
      </c>
      <c r="B2640" s="317" t="s">
        <v>1036</v>
      </c>
      <c r="D2640" s="381">
        <f>SUM(D2637:D2639)</f>
        <v>1284863246</v>
      </c>
      <c r="E2640" s="381">
        <f>[7]Energy!P70</f>
        <v>1288626197</v>
      </c>
      <c r="G2640" s="461"/>
      <c r="H2640" s="377"/>
      <c r="I2640" s="369">
        <f>SUM(I2637:I2639)</f>
        <v>65909694.239999995</v>
      </c>
      <c r="J2640" s="369">
        <f>SUM(J2637:J2639)</f>
        <v>62957593.017309681</v>
      </c>
      <c r="L2640" s="461"/>
      <c r="M2640" s="377"/>
      <c r="N2640" s="461"/>
      <c r="O2640" s="377"/>
      <c r="P2640" s="461"/>
      <c r="Q2640" s="377"/>
      <c r="R2640" s="461"/>
      <c r="S2640" s="377"/>
      <c r="T2640" s="369">
        <f>SUM(T2637:T2639)</f>
        <v>165242</v>
      </c>
      <c r="U2640" s="364"/>
      <c r="V2640" s="369">
        <f>SUM(V2637:V2639)</f>
        <v>62791883</v>
      </c>
      <c r="W2640" s="364"/>
      <c r="X2640" s="369">
        <f>SUM(X2637:X2639)</f>
        <v>0</v>
      </c>
      <c r="Z2640" s="369">
        <f>SUM(Z2637:Z2639)</f>
        <v>62957593.017309681</v>
      </c>
      <c r="AB2640" s="366"/>
      <c r="AC2640" s="366"/>
      <c r="AD2640" s="366"/>
      <c r="AE2640" s="366"/>
      <c r="AF2640" s="366"/>
    </row>
    <row r="2641" spans="1:32" ht="16.5" thickTop="1">
      <c r="A2641" s="292">
        <v>1</v>
      </c>
      <c r="G2641" s="377"/>
      <c r="H2641" s="377"/>
      <c r="L2641" s="377"/>
      <c r="M2641" s="377"/>
      <c r="N2641" s="377"/>
      <c r="O2641" s="377"/>
      <c r="P2641" s="377"/>
      <c r="Q2641" s="377"/>
      <c r="R2641" s="377"/>
      <c r="S2641" s="377"/>
      <c r="AB2641" s="366"/>
      <c r="AC2641" s="366"/>
      <c r="AD2641" s="366"/>
      <c r="AE2641" s="366"/>
      <c r="AF2641" s="366"/>
    </row>
    <row r="2642" spans="1:32">
      <c r="A2642" s="292">
        <v>1</v>
      </c>
      <c r="B2642" s="314" t="s">
        <v>1386</v>
      </c>
    </row>
    <row r="2643" spans="1:32">
      <c r="B2643" s="317" t="s">
        <v>1159</v>
      </c>
      <c r="D2643" s="392">
        <f t="shared" ref="D2643:E2645" si="1559">D2652+D2661</f>
        <v>4</v>
      </c>
      <c r="E2643" s="392">
        <f t="shared" si="1559"/>
        <v>4</v>
      </c>
    </row>
    <row r="2644" spans="1:32">
      <c r="B2644" s="317" t="s">
        <v>1387</v>
      </c>
      <c r="D2644" s="293">
        <f t="shared" si="1559"/>
        <v>48</v>
      </c>
      <c r="E2644" s="293">
        <f t="shared" si="1559"/>
        <v>48</v>
      </c>
      <c r="G2644" s="433">
        <v>2.1800000000000002</v>
      </c>
      <c r="H2644" s="318"/>
      <c r="I2644" s="294">
        <f>ROUND($G2644*D2644,0)</f>
        <v>105</v>
      </c>
      <c r="J2644" s="294">
        <f>ROUND($G2644*E2644,0)</f>
        <v>105</v>
      </c>
      <c r="L2644" s="318">
        <f>ROUND(T2644/$E2644,4)</f>
        <v>1.5084</v>
      </c>
      <c r="M2644" s="318"/>
      <c r="N2644" s="318">
        <f>ROUND(V2644/$E2644,4)</f>
        <v>0.35809999999999997</v>
      </c>
      <c r="O2644" s="318"/>
      <c r="P2644" s="318">
        <f>ROUND(R2644-L2644-N2644,4)</f>
        <v>0.3135</v>
      </c>
      <c r="Q2644" s="318"/>
      <c r="R2644" s="433">
        <v>2.1800000000000002</v>
      </c>
      <c r="S2644" s="318"/>
      <c r="T2644" s="319">
        <f>$Z2644*T$2649/$Z$2649</f>
        <v>72.402423141690548</v>
      </c>
      <c r="U2644" s="319"/>
      <c r="V2644" s="319">
        <f>$Z2644*V$2649/$Z$2649</f>
        <v>17.189523481264548</v>
      </c>
      <c r="W2644" s="319"/>
      <c r="X2644" s="319">
        <f>Z2644-T2644-V2644</f>
        <v>15.408053377044904</v>
      </c>
      <c r="Y2644" s="319"/>
      <c r="Z2644" s="294">
        <f>ROUND($E2644*R2644,0)</f>
        <v>105</v>
      </c>
    </row>
    <row r="2645" spans="1:32">
      <c r="B2645" s="317" t="s">
        <v>1388</v>
      </c>
      <c r="D2645" s="293">
        <f t="shared" si="1559"/>
        <v>206.830451093421</v>
      </c>
      <c r="E2645" s="293">
        <f t="shared" si="1559"/>
        <v>207</v>
      </c>
      <c r="G2645" s="434">
        <v>2.1858</v>
      </c>
      <c r="H2645" s="343"/>
      <c r="I2645" s="294">
        <f>ROUND($G2645*D2645,0)</f>
        <v>452</v>
      </c>
      <c r="J2645" s="294">
        <f>ROUND($G2645*E2645,0)</f>
        <v>452</v>
      </c>
      <c r="L2645" s="318">
        <f>ROUND(T2645/$E2645,4)</f>
        <v>1.5057</v>
      </c>
      <c r="M2645" s="318"/>
      <c r="N2645" s="318">
        <f>ROUND(V2645/$E2645,4)</f>
        <v>0.35749999999999998</v>
      </c>
      <c r="O2645" s="318"/>
      <c r="P2645" s="318">
        <f>ROUND(R2645-L2645-N2645,4)</f>
        <v>0.3226</v>
      </c>
      <c r="Q2645" s="343"/>
      <c r="R2645" s="434">
        <v>2.1858</v>
      </c>
      <c r="S2645" s="343"/>
      <c r="T2645" s="319">
        <f>$Z2645*T$2649/$Z$2649</f>
        <v>311.67519295280118</v>
      </c>
      <c r="U2645" s="346"/>
      <c r="V2645" s="319">
        <f>$Z2645*V$2649/$Z$2649</f>
        <v>73.996805843157844</v>
      </c>
      <c r="W2645" s="346"/>
      <c r="X2645" s="319">
        <f>Z2645-T2645-V2645</f>
        <v>66.328001204040973</v>
      </c>
      <c r="Y2645" s="346"/>
      <c r="Z2645" s="294">
        <f>ROUND($E2645*R2645,0)</f>
        <v>452</v>
      </c>
    </row>
    <row r="2646" spans="1:32">
      <c r="B2646" s="317" t="s">
        <v>1252</v>
      </c>
      <c r="D2646" s="423">
        <f>SUM(D2644:D2645)</f>
        <v>254.830451093421</v>
      </c>
      <c r="E2646" s="423">
        <f>SUM(E2644:E2645)</f>
        <v>255</v>
      </c>
      <c r="G2646" s="464"/>
      <c r="H2646" s="343"/>
      <c r="I2646" s="395">
        <f>SUM(I2644:I2645)</f>
        <v>557</v>
      </c>
      <c r="J2646" s="395">
        <f>SUM(J2644:J2645)</f>
        <v>557</v>
      </c>
      <c r="L2646" s="464"/>
      <c r="M2646" s="343"/>
      <c r="N2646" s="464"/>
      <c r="O2646" s="343"/>
      <c r="P2646" s="464"/>
      <c r="Q2646" s="343"/>
      <c r="R2646" s="464"/>
      <c r="S2646" s="343"/>
      <c r="T2646" s="346"/>
      <c r="U2646" s="346"/>
      <c r="V2646" s="346"/>
      <c r="W2646" s="346"/>
      <c r="X2646" s="346"/>
      <c r="Y2646" s="346"/>
      <c r="Z2646" s="395">
        <f>SUM(Z2644:Z2645)</f>
        <v>557</v>
      </c>
    </row>
    <row r="2647" spans="1:32">
      <c r="B2647" s="317" t="s">
        <v>1389</v>
      </c>
      <c r="D2647" s="392">
        <f>D2656+D2665</f>
        <v>7390.0830817092101</v>
      </c>
      <c r="E2647" s="392">
        <f>E2656+E2665</f>
        <v>7387</v>
      </c>
    </row>
    <row r="2648" spans="1:32">
      <c r="B2648" s="317" t="s">
        <v>1158</v>
      </c>
      <c r="D2648" s="392">
        <f>D2657+D2666</f>
        <v>40</v>
      </c>
      <c r="E2648" s="392">
        <f>E2657+E2666</f>
        <v>0</v>
      </c>
      <c r="I2648" s="294">
        <f>I2657+I2666</f>
        <v>4</v>
      </c>
      <c r="J2648" s="294">
        <f>J2657+J2666</f>
        <v>0</v>
      </c>
    </row>
    <row r="2649" spans="1:32" ht="16.5" thickBot="1">
      <c r="A2649" s="292">
        <v>1</v>
      </c>
      <c r="B2649" s="317" t="s">
        <v>45</v>
      </c>
      <c r="D2649" s="411">
        <f>D2648+D2647</f>
        <v>7430.0830817092101</v>
      </c>
      <c r="E2649" s="411">
        <f>E2648+E2647</f>
        <v>7387</v>
      </c>
      <c r="G2649" s="413"/>
      <c r="H2649" s="414"/>
      <c r="I2649" s="415">
        <f>I2648+I2646</f>
        <v>561</v>
      </c>
      <c r="J2649" s="415">
        <f>J2648+J2646</f>
        <v>557</v>
      </c>
      <c r="L2649" s="413"/>
      <c r="M2649" s="414"/>
      <c r="N2649" s="413"/>
      <c r="O2649" s="414"/>
      <c r="P2649" s="413"/>
      <c r="Q2649" s="414"/>
      <c r="R2649" s="413"/>
      <c r="S2649" s="414"/>
      <c r="T2649" s="415">
        <f>$Z2649*AB$1797/$AE$1797</f>
        <v>384.07761609449176</v>
      </c>
      <c r="V2649" s="415">
        <f>$Z2649*AC$1797/$AE$1797</f>
        <v>91.186329324422402</v>
      </c>
      <c r="X2649" s="415">
        <f>Z2649-T2649-V2649</f>
        <v>81.736054581085838</v>
      </c>
      <c r="Y2649" s="416"/>
      <c r="Z2649" s="415">
        <f>Z2648+Z2646</f>
        <v>557</v>
      </c>
      <c r="AB2649" s="305" t="s">
        <v>939</v>
      </c>
      <c r="AC2649" s="304">
        <f>Z2649/J2649-1</f>
        <v>0</v>
      </c>
    </row>
    <row r="2650" spans="1:32" ht="16.5" thickTop="1">
      <c r="A2650" s="292">
        <v>1</v>
      </c>
      <c r="G2650" s="377"/>
      <c r="H2650" s="377"/>
      <c r="L2650" s="377"/>
      <c r="M2650" s="377"/>
      <c r="N2650" s="377"/>
      <c r="O2650" s="377"/>
      <c r="P2650" s="377"/>
      <c r="Q2650" s="377"/>
      <c r="R2650" s="377"/>
      <c r="S2650" s="377"/>
    </row>
    <row r="2651" spans="1:32">
      <c r="B2651" s="314" t="s">
        <v>1390</v>
      </c>
    </row>
    <row r="2652" spans="1:32">
      <c r="B2652" s="317" t="s">
        <v>1159</v>
      </c>
      <c r="D2652" s="392">
        <f>'[7]Table 2'!F66</f>
        <v>2</v>
      </c>
      <c r="E2652" s="392">
        <f>ROUND([7]Bill!P45/12,0)</f>
        <v>2</v>
      </c>
    </row>
    <row r="2653" spans="1:32">
      <c r="B2653" s="317" t="s">
        <v>1387</v>
      </c>
      <c r="D2653" s="293">
        <v>0</v>
      </c>
      <c r="E2653" s="293">
        <f>ROUND(D2653/D2656*E2656,0)</f>
        <v>0</v>
      </c>
      <c r="G2653" s="433">
        <v>2.1800000000000002</v>
      </c>
      <c r="H2653" s="318"/>
      <c r="I2653" s="294">
        <f>ROUND($G2653*D2653,0)</f>
        <v>0</v>
      </c>
      <c r="J2653" s="294">
        <f>ROUND($G2653*E2653,0)</f>
        <v>0</v>
      </c>
      <c r="L2653" s="433">
        <f>L2644</f>
        <v>1.5084</v>
      </c>
      <c r="M2653" s="318"/>
      <c r="N2653" s="433">
        <f>N2644</f>
        <v>0.35809999999999997</v>
      </c>
      <c r="O2653" s="318"/>
      <c r="P2653" s="433">
        <f>P2644</f>
        <v>0.3135</v>
      </c>
      <c r="Q2653" s="318"/>
      <c r="R2653" s="433">
        <v>2.1800000000000002</v>
      </c>
      <c r="S2653" s="318"/>
      <c r="T2653" s="294">
        <f t="shared" ref="T2653:T2654" si="1560">ROUND($E2653*L2653,0)</f>
        <v>0</v>
      </c>
      <c r="V2653" s="294">
        <f t="shared" ref="V2653:V2654" si="1561">ROUND($E2653*N2653,0)</f>
        <v>0</v>
      </c>
      <c r="X2653" s="294">
        <f t="shared" ref="X2653:X2654" si="1562">ROUND($E2653*P2653,0)</f>
        <v>0</v>
      </c>
      <c r="Y2653" s="319"/>
      <c r="Z2653" s="294">
        <f>ROUND($E2653*R2653,0)</f>
        <v>0</v>
      </c>
    </row>
    <row r="2654" spans="1:32">
      <c r="B2654" s="317" t="s">
        <v>1388</v>
      </c>
      <c r="D2654" s="293">
        <f>[7]PTL!K2</f>
        <v>206.830451093421</v>
      </c>
      <c r="E2654" s="293">
        <f>ROUND(D2654/D2656*E2656,0)</f>
        <v>207</v>
      </c>
      <c r="G2654" s="434">
        <v>2.1858</v>
      </c>
      <c r="H2654" s="343"/>
      <c r="I2654" s="294">
        <f>ROUND($G2654*D2654,0)</f>
        <v>452</v>
      </c>
      <c r="J2654" s="294">
        <f>ROUND($G2654*E2654,0)</f>
        <v>452</v>
      </c>
      <c r="L2654" s="433">
        <f>L2645</f>
        <v>1.5057</v>
      </c>
      <c r="M2654" s="343"/>
      <c r="N2654" s="433">
        <f>N2645</f>
        <v>0.35749999999999998</v>
      </c>
      <c r="O2654" s="343"/>
      <c r="P2654" s="433">
        <f>P2645</f>
        <v>0.3226</v>
      </c>
      <c r="Q2654" s="343"/>
      <c r="R2654" s="434">
        <v>2.1858</v>
      </c>
      <c r="S2654" s="343"/>
      <c r="T2654" s="294">
        <f t="shared" si="1560"/>
        <v>312</v>
      </c>
      <c r="V2654" s="294">
        <f t="shared" si="1561"/>
        <v>74</v>
      </c>
      <c r="X2654" s="294">
        <f t="shared" si="1562"/>
        <v>67</v>
      </c>
      <c r="Y2654" s="346"/>
      <c r="Z2654" s="294">
        <f>ROUND($E2654*R2654,0)</f>
        <v>452</v>
      </c>
    </row>
    <row r="2655" spans="1:32">
      <c r="B2655" s="317" t="s">
        <v>1252</v>
      </c>
      <c r="D2655" s="423">
        <f>SUM(D2653:D2654)</f>
        <v>206.830451093421</v>
      </c>
      <c r="E2655" s="423">
        <f>SUM(E2653:E2654)</f>
        <v>207</v>
      </c>
      <c r="G2655" s="464"/>
      <c r="H2655" s="343"/>
      <c r="I2655" s="395">
        <f>SUM(I2653:I2654)</f>
        <v>452</v>
      </c>
      <c r="J2655" s="395">
        <f>SUM(J2653:J2654)</f>
        <v>452</v>
      </c>
      <c r="L2655" s="464"/>
      <c r="M2655" s="343"/>
      <c r="N2655" s="464"/>
      <c r="O2655" s="343"/>
      <c r="P2655" s="464"/>
      <c r="Q2655" s="343"/>
      <c r="R2655" s="464"/>
      <c r="S2655" s="343"/>
      <c r="T2655" s="395">
        <f>SUM(T2653:T2654)</f>
        <v>312</v>
      </c>
      <c r="U2655" s="346"/>
      <c r="V2655" s="395">
        <f>SUM(V2653:V2654)</f>
        <v>74</v>
      </c>
      <c r="W2655" s="346"/>
      <c r="X2655" s="395">
        <f>SUM(X2653:X2654)</f>
        <v>67</v>
      </c>
      <c r="Y2655" s="346"/>
      <c r="Z2655" s="395">
        <f>SUM(Z2653:Z2654)</f>
        <v>452</v>
      </c>
    </row>
    <row r="2656" spans="1:32">
      <c r="B2656" s="317" t="s">
        <v>1389</v>
      </c>
      <c r="D2656" s="392">
        <f>[7]PTL!L2</f>
        <v>5998.0830817092101</v>
      </c>
      <c r="E2656" s="392">
        <f>E2658-E2657</f>
        <v>5995</v>
      </c>
    </row>
    <row r="2657" spans="1:29">
      <c r="B2657" s="317" t="s">
        <v>1158</v>
      </c>
      <c r="D2657" s="392">
        <f>'[7]Table 2'!J66</f>
        <v>32</v>
      </c>
      <c r="E2657" s="392">
        <v>0</v>
      </c>
      <c r="I2657" s="294">
        <f>'[7]Table 3'!F66</f>
        <v>3</v>
      </c>
      <c r="J2657" s="294">
        <v>0</v>
      </c>
    </row>
    <row r="2658" spans="1:29" ht="16.5" thickBot="1">
      <c r="B2658" s="317" t="s">
        <v>45</v>
      </c>
      <c r="D2658" s="411">
        <f>D2657+D2656</f>
        <v>6030.0830817092101</v>
      </c>
      <c r="E2658" s="411">
        <f>[7]Energy!P45</f>
        <v>5995</v>
      </c>
      <c r="G2658" s="413"/>
      <c r="H2658" s="414"/>
      <c r="I2658" s="415">
        <f>I2657+I2655</f>
        <v>455</v>
      </c>
      <c r="J2658" s="415">
        <f>J2657+J2655</f>
        <v>452</v>
      </c>
      <c r="L2658" s="413"/>
      <c r="M2658" s="414"/>
      <c r="N2658" s="413"/>
      <c r="O2658" s="414"/>
      <c r="P2658" s="413"/>
      <c r="Q2658" s="414"/>
      <c r="R2658" s="413"/>
      <c r="S2658" s="414"/>
      <c r="T2658" s="415">
        <f>T2657+T2655</f>
        <v>312</v>
      </c>
      <c r="U2658" s="416"/>
      <c r="V2658" s="415">
        <f>V2657+V2655</f>
        <v>74</v>
      </c>
      <c r="W2658" s="416"/>
      <c r="X2658" s="415">
        <f>X2657+X2655</f>
        <v>67</v>
      </c>
      <c r="Y2658" s="416"/>
      <c r="Z2658" s="415">
        <f>Z2657+Z2655</f>
        <v>452</v>
      </c>
      <c r="AB2658" s="305" t="s">
        <v>939</v>
      </c>
      <c r="AC2658" s="304">
        <f>Z2658/J2658-1</f>
        <v>0</v>
      </c>
    </row>
    <row r="2659" spans="1:29" ht="16.5" thickTop="1">
      <c r="G2659" s="377"/>
      <c r="H2659" s="377"/>
      <c r="L2659" s="377"/>
      <c r="M2659" s="377"/>
      <c r="N2659" s="377"/>
      <c r="O2659" s="377"/>
      <c r="P2659" s="377"/>
      <c r="Q2659" s="377"/>
      <c r="R2659" s="377"/>
      <c r="S2659" s="377"/>
    </row>
    <row r="2660" spans="1:29">
      <c r="B2660" s="314" t="s">
        <v>1391</v>
      </c>
    </row>
    <row r="2661" spans="1:29">
      <c r="B2661" s="317" t="s">
        <v>1159</v>
      </c>
      <c r="D2661" s="392">
        <f>'[7]Table 2'!F28</f>
        <v>2</v>
      </c>
      <c r="E2661" s="392">
        <f>ROUND([7]Bill!P15/12,0)</f>
        <v>2</v>
      </c>
    </row>
    <row r="2662" spans="1:29">
      <c r="B2662" s="317" t="s">
        <v>1387</v>
      </c>
      <c r="D2662" s="293">
        <f>[7]PTL!K3</f>
        <v>48</v>
      </c>
      <c r="E2662" s="293">
        <f>ROUND(D2662/D2665*E2665,0)</f>
        <v>48</v>
      </c>
      <c r="G2662" s="318">
        <v>2.1800000000000002</v>
      </c>
      <c r="H2662" s="318"/>
      <c r="I2662" s="294">
        <f>ROUND($G2662*D2662,0)</f>
        <v>105</v>
      </c>
      <c r="J2662" s="294">
        <f>ROUND($G2662*E2662,0)</f>
        <v>105</v>
      </c>
      <c r="L2662" s="433">
        <f>L2653</f>
        <v>1.5084</v>
      </c>
      <c r="M2662" s="318"/>
      <c r="N2662" s="433">
        <f>N2653</f>
        <v>0.35809999999999997</v>
      </c>
      <c r="O2662" s="318"/>
      <c r="P2662" s="433">
        <f>P2653</f>
        <v>0.3135</v>
      </c>
      <c r="Q2662" s="318"/>
      <c r="R2662" s="318">
        <v>2.1800000000000002</v>
      </c>
      <c r="S2662" s="318"/>
      <c r="T2662" s="294">
        <f t="shared" ref="T2662:T2663" si="1563">ROUND($E2662*L2662,0)</f>
        <v>72</v>
      </c>
      <c r="V2662" s="294">
        <f t="shared" ref="V2662:V2663" si="1564">ROUND($E2662*N2662,0)</f>
        <v>17</v>
      </c>
      <c r="X2662" s="294">
        <f t="shared" ref="X2662:X2663" si="1565">ROUND($E2662*P2662,0)</f>
        <v>15</v>
      </c>
      <c r="Y2662" s="319"/>
      <c r="Z2662" s="294">
        <f>ROUND($E2662*R2662,0)</f>
        <v>105</v>
      </c>
    </row>
    <row r="2663" spans="1:29">
      <c r="B2663" s="317" t="s">
        <v>1388</v>
      </c>
      <c r="D2663" s="293">
        <v>0</v>
      </c>
      <c r="E2663" s="293">
        <f>ROUND(D2663/D2665*E2665,0)</f>
        <v>0</v>
      </c>
      <c r="G2663" s="434">
        <v>2.1858</v>
      </c>
      <c r="H2663" s="343"/>
      <c r="I2663" s="294">
        <f>ROUND($G2663*D2663,0)</f>
        <v>0</v>
      </c>
      <c r="J2663" s="294">
        <f>ROUND($G2663*E2663,0)</f>
        <v>0</v>
      </c>
      <c r="L2663" s="433">
        <f>L2654</f>
        <v>1.5057</v>
      </c>
      <c r="M2663" s="343"/>
      <c r="N2663" s="433">
        <f>N2654</f>
        <v>0.35749999999999998</v>
      </c>
      <c r="O2663" s="343"/>
      <c r="P2663" s="433">
        <f>P2654</f>
        <v>0.3226</v>
      </c>
      <c r="Q2663" s="343"/>
      <c r="R2663" s="434">
        <v>2.1858</v>
      </c>
      <c r="S2663" s="343"/>
      <c r="T2663" s="294">
        <f t="shared" si="1563"/>
        <v>0</v>
      </c>
      <c r="V2663" s="294">
        <f t="shared" si="1564"/>
        <v>0</v>
      </c>
      <c r="X2663" s="294">
        <f t="shared" si="1565"/>
        <v>0</v>
      </c>
      <c r="Y2663" s="346"/>
      <c r="Z2663" s="294">
        <f>ROUND($E2663*R2663,0)</f>
        <v>0</v>
      </c>
    </row>
    <row r="2664" spans="1:29">
      <c r="B2664" s="317" t="s">
        <v>1252</v>
      </c>
      <c r="D2664" s="423">
        <f>SUM(D2662:D2663)</f>
        <v>48</v>
      </c>
      <c r="E2664" s="423">
        <f>SUM(E2662:E2663)</f>
        <v>48</v>
      </c>
      <c r="G2664" s="464"/>
      <c r="H2664" s="343"/>
      <c r="I2664" s="395">
        <f>SUM(I2662:I2663)</f>
        <v>105</v>
      </c>
      <c r="J2664" s="395">
        <f>SUM(J2662:J2663)</f>
        <v>105</v>
      </c>
      <c r="L2664" s="464"/>
      <c r="M2664" s="343"/>
      <c r="N2664" s="464"/>
      <c r="O2664" s="343"/>
      <c r="P2664" s="464"/>
      <c r="Q2664" s="343"/>
      <c r="R2664" s="464"/>
      <c r="S2664" s="343"/>
      <c r="T2664" s="395">
        <f>SUM(T2662:T2663)</f>
        <v>72</v>
      </c>
      <c r="U2664" s="346"/>
      <c r="V2664" s="395">
        <f>SUM(V2662:V2663)</f>
        <v>17</v>
      </c>
      <c r="W2664" s="346"/>
      <c r="X2664" s="395">
        <f>SUM(X2662:X2663)</f>
        <v>15</v>
      </c>
      <c r="Y2664" s="346"/>
      <c r="Z2664" s="395">
        <f>SUM(Z2662:Z2663)</f>
        <v>105</v>
      </c>
    </row>
    <row r="2665" spans="1:29">
      <c r="B2665" s="317" t="s">
        <v>1389</v>
      </c>
      <c r="D2665" s="392">
        <f>[7]PTL!L3</f>
        <v>1392</v>
      </c>
      <c r="E2665" s="392">
        <f>E2667-E2666</f>
        <v>1392</v>
      </c>
    </row>
    <row r="2666" spans="1:29">
      <c r="B2666" s="317" t="s">
        <v>1158</v>
      </c>
      <c r="D2666" s="392">
        <f>'[7]Table 2'!J28</f>
        <v>8</v>
      </c>
      <c r="E2666" s="392">
        <v>0</v>
      </c>
      <c r="I2666" s="294">
        <f>'[7]Table 3'!F28</f>
        <v>1</v>
      </c>
      <c r="J2666" s="294">
        <v>0</v>
      </c>
    </row>
    <row r="2667" spans="1:29" ht="16.5" thickBot="1">
      <c r="B2667" s="317" t="s">
        <v>45</v>
      </c>
      <c r="D2667" s="411">
        <f>D2666+D2665</f>
        <v>1400</v>
      </c>
      <c r="E2667" s="411">
        <f>[7]Energy!P15</f>
        <v>1392</v>
      </c>
      <c r="G2667" s="413"/>
      <c r="H2667" s="414"/>
      <c r="I2667" s="415">
        <f>I2666+I2664</f>
        <v>106</v>
      </c>
      <c r="J2667" s="415">
        <f>J2666+J2664</f>
        <v>105</v>
      </c>
      <c r="L2667" s="413"/>
      <c r="M2667" s="414"/>
      <c r="N2667" s="413"/>
      <c r="O2667" s="414"/>
      <c r="P2667" s="413"/>
      <c r="Q2667" s="414"/>
      <c r="R2667" s="413"/>
      <c r="S2667" s="414"/>
      <c r="T2667" s="415">
        <f>T2666+T2664</f>
        <v>72</v>
      </c>
      <c r="U2667" s="416"/>
      <c r="V2667" s="415">
        <f>V2666+V2664</f>
        <v>17</v>
      </c>
      <c r="W2667" s="416"/>
      <c r="X2667" s="415">
        <f>X2666+X2664</f>
        <v>15</v>
      </c>
      <c r="Y2667" s="416"/>
      <c r="Z2667" s="415">
        <f>Z2666+Z2664</f>
        <v>105</v>
      </c>
      <c r="AB2667" s="305" t="s">
        <v>939</v>
      </c>
      <c r="AC2667" s="304">
        <f>Z2667/J2667-1</f>
        <v>0</v>
      </c>
    </row>
    <row r="2669" spans="1:29">
      <c r="A2669" s="292">
        <v>1</v>
      </c>
      <c r="B2669" s="314" t="s">
        <v>1392</v>
      </c>
      <c r="G2669" s="377"/>
      <c r="H2669" s="377"/>
      <c r="L2669" s="377"/>
      <c r="M2669" s="377"/>
      <c r="N2669" s="377"/>
      <c r="O2669" s="377"/>
      <c r="P2669" s="377"/>
      <c r="Q2669" s="377"/>
      <c r="R2669" s="377"/>
      <c r="S2669" s="377"/>
    </row>
    <row r="2670" spans="1:29">
      <c r="B2670" s="317" t="s">
        <v>1393</v>
      </c>
      <c r="D2670" s="465"/>
      <c r="E2670" s="465"/>
      <c r="G2670" s="377"/>
      <c r="H2670" s="377"/>
      <c r="I2670" s="294">
        <f>'[7]Table 3'!L41</f>
        <v>6795.090000000062</v>
      </c>
      <c r="J2670" s="294">
        <f t="shared" ref="J2670:J2675" si="1566">I2670</f>
        <v>6795.090000000062</v>
      </c>
      <c r="L2670" s="377"/>
      <c r="M2670" s="377"/>
      <c r="N2670" s="377"/>
      <c r="O2670" s="377"/>
      <c r="P2670" s="377"/>
      <c r="Q2670" s="377"/>
      <c r="R2670" s="377"/>
      <c r="S2670" s="377"/>
      <c r="T2670" s="339">
        <f>$Z2670*T$2679/($T$2679+$V$2679)</f>
        <v>1998.6824527535071</v>
      </c>
      <c r="V2670" s="339">
        <f>$Z2670*V$2679/($T$2679+$V$2679)</f>
        <v>4796.4075472465556</v>
      </c>
      <c r="Z2670" s="294">
        <f>J2670</f>
        <v>6795.090000000062</v>
      </c>
    </row>
    <row r="2671" spans="1:29">
      <c r="B2671" s="317" t="s">
        <v>1394</v>
      </c>
      <c r="D2671" s="465"/>
      <c r="E2671" s="465"/>
      <c r="G2671" s="377"/>
      <c r="H2671" s="377"/>
      <c r="I2671" s="294">
        <f>'[7]Table 3'!L79</f>
        <v>3742344.1399999997</v>
      </c>
      <c r="J2671" s="294">
        <f t="shared" si="1566"/>
        <v>3742344.1399999997</v>
      </c>
      <c r="L2671" s="377"/>
      <c r="M2671" s="377"/>
      <c r="N2671" s="377"/>
      <c r="O2671" s="377"/>
      <c r="P2671" s="377"/>
      <c r="Q2671" s="377"/>
      <c r="R2671" s="377"/>
      <c r="S2671" s="377"/>
      <c r="T2671" s="339">
        <f t="shared" ref="T2671:V2674" si="1567">$Z2671*T$2679/($T$2679+$V$2679)</f>
        <v>1100759.1606266943</v>
      </c>
      <c r="V2671" s="339">
        <f t="shared" si="1567"/>
        <v>2641584.9793733056</v>
      </c>
      <c r="Z2671" s="294">
        <f t="shared" ref="Z2671:Z2675" si="1568">J2671</f>
        <v>3742344.1399999997</v>
      </c>
    </row>
    <row r="2672" spans="1:29">
      <c r="B2672" s="317" t="s">
        <v>1395</v>
      </c>
      <c r="D2672" s="465"/>
      <c r="E2672" s="465"/>
      <c r="G2672" s="377"/>
      <c r="H2672" s="377"/>
      <c r="I2672" s="294">
        <f>'[7]Table 3'!L114</f>
        <v>823369.79999999993</v>
      </c>
      <c r="J2672" s="294">
        <f t="shared" si="1566"/>
        <v>823369.79999999993</v>
      </c>
      <c r="L2672" s="377"/>
      <c r="M2672" s="377"/>
      <c r="N2672" s="377"/>
      <c r="O2672" s="377"/>
      <c r="P2672" s="377"/>
      <c r="Q2672" s="377"/>
      <c r="R2672" s="377"/>
      <c r="S2672" s="377"/>
      <c r="T2672" s="339">
        <f t="shared" si="1567"/>
        <v>242182.92493361371</v>
      </c>
      <c r="V2672" s="339">
        <f t="shared" si="1567"/>
        <v>581186.8750663863</v>
      </c>
      <c r="Z2672" s="294">
        <f t="shared" si="1568"/>
        <v>823369.79999999993</v>
      </c>
    </row>
    <row r="2673" spans="1:32">
      <c r="B2673" s="317" t="s">
        <v>1396</v>
      </c>
      <c r="D2673" s="465"/>
      <c r="E2673" s="465"/>
      <c r="G2673" s="377"/>
      <c r="H2673" s="377"/>
      <c r="I2673" s="294">
        <f>'[7]Table 3'!L132</f>
        <v>231622.84</v>
      </c>
      <c r="J2673" s="294">
        <f t="shared" si="1566"/>
        <v>231622.84</v>
      </c>
      <c r="L2673" s="377"/>
      <c r="M2673" s="377"/>
      <c r="N2673" s="377"/>
      <c r="O2673" s="377"/>
      <c r="P2673" s="377"/>
      <c r="Q2673" s="377"/>
      <c r="R2673" s="377"/>
      <c r="S2673" s="377"/>
      <c r="T2673" s="339">
        <f t="shared" si="1567"/>
        <v>68128.679085181924</v>
      </c>
      <c r="V2673" s="339">
        <f t="shared" si="1567"/>
        <v>163494.16091481809</v>
      </c>
      <c r="Z2673" s="294">
        <f t="shared" si="1568"/>
        <v>231622.84</v>
      </c>
    </row>
    <row r="2674" spans="1:32">
      <c r="B2674" s="317" t="s">
        <v>1397</v>
      </c>
      <c r="D2674" s="465"/>
      <c r="E2674" s="465"/>
      <c r="G2674" s="377"/>
      <c r="H2674" s="377"/>
      <c r="I2674" s="294">
        <f>'[7]Table 3'!L155</f>
        <v>4655.0400000000009</v>
      </c>
      <c r="J2674" s="294">
        <f t="shared" si="1566"/>
        <v>4655.0400000000009</v>
      </c>
      <c r="L2674" s="377"/>
      <c r="M2674" s="377"/>
      <c r="N2674" s="377"/>
      <c r="O2674" s="377"/>
      <c r="P2674" s="377"/>
      <c r="Q2674" s="377"/>
      <c r="R2674" s="377"/>
      <c r="S2674" s="377"/>
      <c r="T2674" s="339">
        <f t="shared" si="1567"/>
        <v>1369.2161200021783</v>
      </c>
      <c r="V2674" s="339">
        <f t="shared" si="1567"/>
        <v>3285.8238799978226</v>
      </c>
      <c r="Z2674" s="294">
        <f t="shared" si="1568"/>
        <v>4655.0400000000009</v>
      </c>
    </row>
    <row r="2675" spans="1:32" ht="16.5" thickBot="1">
      <c r="A2675" s="292">
        <v>1</v>
      </c>
      <c r="B2675" s="317" t="s">
        <v>1398</v>
      </c>
      <c r="D2675" s="466"/>
      <c r="E2675" s="466"/>
      <c r="G2675" s="463"/>
      <c r="H2675" s="377"/>
      <c r="I2675" s="364">
        <f>SUM(I2670:I2674)</f>
        <v>4808786.9099999992</v>
      </c>
      <c r="J2675" s="364">
        <f t="shared" si="1566"/>
        <v>4808786.9099999992</v>
      </c>
      <c r="L2675" s="463"/>
      <c r="M2675" s="377"/>
      <c r="N2675" s="463"/>
      <c r="O2675" s="377"/>
      <c r="P2675" s="463"/>
      <c r="Q2675" s="377"/>
      <c r="R2675" s="463"/>
      <c r="S2675" s="377"/>
      <c r="T2675" s="364">
        <f>SUM(T2670:T2674)</f>
        <v>1414438.6632182456</v>
      </c>
      <c r="V2675" s="364">
        <f>SUM(V2670:V2674)</f>
        <v>3394348.2467817543</v>
      </c>
      <c r="X2675" s="364"/>
      <c r="Z2675" s="364">
        <f t="shared" si="1568"/>
        <v>4808786.9099999992</v>
      </c>
    </row>
    <row r="2676" spans="1:32" ht="16.5" thickTop="1">
      <c r="A2676" s="292">
        <v>1</v>
      </c>
      <c r="G2676" s="377"/>
      <c r="H2676" s="377"/>
      <c r="L2676" s="377"/>
      <c r="M2676" s="377"/>
      <c r="N2676" s="377"/>
      <c r="O2676" s="377"/>
      <c r="P2676" s="377"/>
      <c r="Q2676" s="377"/>
      <c r="R2676" s="377"/>
      <c r="S2676" s="377"/>
    </row>
    <row r="2677" spans="1:32" ht="16.5" thickBot="1">
      <c r="A2677" s="292">
        <v>1</v>
      </c>
      <c r="B2677" s="363" t="s">
        <v>1399</v>
      </c>
      <c r="C2677" s="363"/>
      <c r="D2677" s="466">
        <f>D45+D82+D111+D148+D185+D222+D690+D772+D848+D904+D982+D1076+D1164+D1206+D1394+D1456+D1476+D1495+D1557+D1619+D1639+D1657+D1716+D1807+D1818+D1859+D1935+D1998+D2092+D2181+D2331+D2606+D2610+D2623+D2633+D2640+D2649+D2675</f>
        <v>24473583899.403015</v>
      </c>
      <c r="E2677" s="466">
        <f>E45+E82+E111+E148+E185+E222+E690+E772+E848+E904+E982+E1076+E1164+E1206+E1394+E1456+E1476+E1495+E1557+E1619+E1639+E1657+E1716+E1807+E1818+E1859+E1935+E1998+E2092+E2181+E2331+E2606+E2610+E2623+E2633+E2640+E2649+E2675</f>
        <v>24837388160.662254</v>
      </c>
      <c r="G2677" s="363"/>
      <c r="I2677" s="364">
        <f>I45+I82+I111+I148+I185+I222+I690+I772+I848+I904+I982+I1076+I1164+I1206+I1394+I1456+I1476+I1495+I1557+I1619+I1639+I1657+I1716+I1807+I1818+I1859+I1935+I1998+I2092+I2181+I2331+I2606+I2610+I2623+I2633+I2640+I2649+I2675</f>
        <v>1981660112.7811136</v>
      </c>
      <c r="J2677" s="364">
        <f>J45+J82+J111+J148+J185+J222+J690+J772+J848+J904+J982+J1076+J1164+J1206+J1394+J1456+J1476+J1495+J1557+J1619+J1639+J1657+J1716+J1807+J1818+J1859+J1935+J1998+J2092+J2181+J2331+J2606+J2610+J2623+J2633+J2640+J2649+J2675</f>
        <v>2001695942.310344</v>
      </c>
      <c r="L2677" s="363"/>
      <c r="N2677" s="363"/>
      <c r="P2677" s="363"/>
      <c r="R2677" s="363"/>
      <c r="T2677" s="364">
        <f ca="1">T45+T82+T111+T148+T185+T222+T690+T772+T848+T904+T982+T1076+T1164+T1206+T1394+T1456+T1476+T1495+T1557+T1619+T1639+T1657+T1716+T1807+T1818+T1859+T1935+1970+T1998+T2092+T2181+T2331+T2606+T2610+T2623+T2633+T2640+T2649+T2675-T258+T238-T400+T382-T536+T518-T569+T552</f>
        <v>468805660.16987675</v>
      </c>
      <c r="V2677" s="364">
        <f ca="1">V45+V82+V111+V148+V185+V222+V690+V772+V848+V904+V982+V1076+V1164+V1206+V1394+V1456+V1476+V1495+V1557+V1619+V1639+V1657+V1716+V1807+V1818+V1859+V1935+1970+V1998+V2092+V2181+V2331+V2606+V2610+V2623+V2633+V2640+V2649+V2675-V258+V238-V400+V382-V536+V518-V569+V552</f>
        <v>1169962442.2662046</v>
      </c>
      <c r="X2677" s="364">
        <f ca="1">X45+X82+X111+X148+X185+X222+X690+X772+X848+X904+X982+X1076+X1164+X1206+X1394+X1456+X1476+X1495+X1557+X1619+X1639+X1657+X1716+X1807+X1818+X1859+X1935+1970+X1998+X2092+X2181+X2331+X2606+X2610+X2623+X2633+X2640+X2649+X2675-X258+X238-X400+X382-X536+X518-X569+X552</f>
        <v>458776593.93161213</v>
      </c>
      <c r="Z2677" s="364">
        <f>Z45+Z82+Z111+Z148+Z185+Z222+Z690+Z772+Z848+Z904+Z982+Z1076+Z1164+Z1206+Z1394+Z1456+Z1476+Z1495+Z1557+Z1619+Z1639+Z1657+Z1716+Z1807+Z1818+Z1859+Z1935+1970+Z1998+Z2092+Z2181+Z2331+Z2606+Z2610+Z2623+Z2633+Z2640+Z2649+Z2675-Z258+Z238-Z400+Z382-Z536+Z518-Z569+Z552</f>
        <v>2097541139.5762377</v>
      </c>
      <c r="AB2677" s="305" t="s">
        <v>939</v>
      </c>
      <c r="AC2677" s="304">
        <f>Z2677/J2677-1</f>
        <v>4.7881996081417855E-2</v>
      </c>
      <c r="AD2677" s="294">
        <f ca="1">Z2677-T2677-V2677-X2677</f>
        <v>-3556.7914558649063</v>
      </c>
    </row>
    <row r="2678" spans="1:32" ht="16.5" thickTop="1"/>
    <row r="2679" spans="1:32">
      <c r="P2679" s="399" t="s">
        <v>1400</v>
      </c>
      <c r="Q2679" s="399"/>
      <c r="R2679" s="399" t="s">
        <v>1401</v>
      </c>
      <c r="T2679" s="294">
        <f>'[7]Unit Cost Target'!C87+'[7]Unit Cost Target'!C123+'[7]Unit Cost Target'!C129</f>
        <v>450703773.33896762</v>
      </c>
      <c r="V2679" s="294">
        <f>Z2679-T2679-X2679</f>
        <v>1081592014.2978961</v>
      </c>
      <c r="X2679" s="294">
        <f>'[7]Unit Cost Target'!C33+'[7]Unit Cost Target'!C39+'[7]Unit Cost Target'!C63+'[7]Unit Cost Target'!C69</f>
        <v>458776590.6475361</v>
      </c>
      <c r="Z2679" s="294">
        <f>'[7]Unit Cost Target'!C21</f>
        <v>1991072378.2843997</v>
      </c>
    </row>
    <row r="2680" spans="1:32">
      <c r="T2680" s="291">
        <f>T2679/$Z$2679</f>
        <v>0.22636232527484254</v>
      </c>
      <c r="U2680" s="291"/>
      <c r="V2680" s="291">
        <f>V2679/$Z$2679</f>
        <v>0.54322084224273448</v>
      </c>
      <c r="W2680" s="291"/>
      <c r="X2680" s="291">
        <f>X2679/$Z$2679</f>
        <v>0.23041683248242301</v>
      </c>
      <c r="Y2680" s="291"/>
      <c r="Z2680" s="291">
        <f>SUM(T2680:X2680)</f>
        <v>1</v>
      </c>
    </row>
    <row r="2681" spans="1:32">
      <c r="R2681" s="292" t="s">
        <v>1402</v>
      </c>
      <c r="T2681" s="291">
        <f ca="1">T2677/$Z$2677</f>
        <v>0.22350248647070098</v>
      </c>
      <c r="U2681" s="291"/>
      <c r="V2681" s="291">
        <f ca="1">V2677/$Z$2677</f>
        <v>0.55777806699065269</v>
      </c>
      <c r="W2681" s="291"/>
      <c r="X2681" s="291">
        <f ca="1">X2677/$Z$2677</f>
        <v>0.21872114223432962</v>
      </c>
      <c r="Y2681" s="291"/>
      <c r="Z2681" s="291">
        <f ca="1">SUM(T2681:X2681)</f>
        <v>1.0000016956956832</v>
      </c>
      <c r="AA2681" s="294"/>
      <c r="AB2681" s="291"/>
      <c r="AC2681" s="294"/>
      <c r="AD2681" s="291"/>
      <c r="AE2681" s="294"/>
      <c r="AF2681" s="291"/>
    </row>
    <row r="2682" spans="1:32">
      <c r="T2682" s="294">
        <f ca="1">T2677-T2679</f>
        <v>18101886.830909133</v>
      </c>
      <c r="V2682" s="294">
        <f ca="1">V2677-V2679</f>
        <v>88370427.968308449</v>
      </c>
      <c r="X2682" s="294">
        <f ca="1">X2677-X2679</f>
        <v>3.2840760350227356</v>
      </c>
    </row>
    <row r="2683" spans="1:32">
      <c r="V2683" s="467" t="s">
        <v>1114</v>
      </c>
      <c r="X2683" s="468">
        <v>1.0208187399999999</v>
      </c>
    </row>
    <row r="2684" spans="1:32">
      <c r="X2684" s="469"/>
    </row>
  </sheetData>
  <scenarios current="1" show="0">
    <scenario name="Present Basic" locked="1" count="14" user="Michael Reid" comment="Created by Michael Reid on 3/2/2001_x000a_Modified by Michael Reid on 3/13/2001">
      <inputCells r="G1399" val="3.54" numFmtId="7"/>
      <inputCells r="G1407" val="10.62" numFmtId="7"/>
      <inputCells r="G1743" val="14.74" numFmtId="7"/>
      <inputCells r="G1802" val="29.49" numFmtId="7"/>
      <inputCells r="G1479" val="98.29" numFmtId="7"/>
      <inputCells r="G1582" val="176.93" numFmtId="7"/>
      <inputCells r="G1560" val="10.5" numFmtId="7"/>
      <inputCells r="G1604" val="78.63" numFmtId="7"/>
      <inputCells r="G1605" val="24.57" numFmtId="7"/>
      <inputCells r="G1606" val="9.83" numFmtId="7"/>
      <inputCells r="G1613" val="9.83" numFmtId="7"/>
      <inputCells r="G2335" val="54.06" numFmtId="7"/>
      <inputCells r="G2357" val="245.73" numFmtId="7"/>
      <inputCells r="G2379" val="275.22" numFmtId="7"/>
    </scenario>
    <scenario name="Present Energy" locked="1" count="9" user="Michael Reid" comment="Created by Michael Reid on 3/2/2001">
      <inputCells r="G1746" val="2.6294" numFmtId="164"/>
      <inputCells r="G1596" val="4.4789" numFmtId="164"/>
      <inputCells r="G1597" val="1.9244" numFmtId="164"/>
      <inputCells r="G1609" val="3.9804" numFmtId="164"/>
      <inputCells r="G1610" val="2.9319" numFmtId="164"/>
      <inputCells r="G1614" val="2.7286" numFmtId="164"/>
      <inputCells r="G1647" val="7.9366" numFmtId="166"/>
      <inputCells r="G1648" val="2.2624" numFmtId="166"/>
      <inputCells r="J616" undone="1" val="2.0165" numFmtId="165"/>
    </scenario>
    <scenario name="Present Demand" locked="1" count="14" user="Michael Reid" comment="Created by Michael Reid on 3/2/2001">
      <inputCells r="G1744" val="7.67" numFmtId="7"/>
      <inputCells r="G1803" val="3.27" numFmtId="7"/>
      <inputCells r="G1480" val="5.71" numFmtId="7"/>
      <inputCells r="G1583" val="1.31" numFmtId="7"/>
      <inputCells r="G1607" val="3.99" numFmtId="7"/>
      <inputCells r="G2336" val="2.59" numFmtId="7"/>
      <inputCells r="G2347" val="0.3511" numFmtId="173"/>
      <inputCells r="G2353" val="33.22" numFmtId="7"/>
      <inputCells r="G2358" val="2.08" numFmtId="7"/>
      <inputCells r="G2369" val="0.3511" numFmtId="173"/>
      <inputCells r="G2375" val="31.22" numFmtId="7"/>
      <inputCells r="G2380" val="1.4" numFmtId="7"/>
      <inputCells r="G2391" val="0.2684" numFmtId="173"/>
      <inputCells r="G2397" val="23.08" numFmtId="7"/>
    </scenario>
    <scenario name="Present 7" locked="1" count="29" user="Michael Reid" comment="Created by Michael Reid on 3/5/2001">
      <inputCells r="G1168" val="3.93" numFmtId="7"/>
      <inputCells r="G1169" val="11.32" numFmtId="7"/>
      <inputCells r="G1170" val="5.57" numFmtId="7"/>
      <inputCells r="G1171" val="18.5" numFmtId="7"/>
      <inputCells r="G1173" val="10.08" numFmtId="7"/>
      <inputCells r="G1174" val="8.45" numFmtId="7"/>
      <inputCells r="G1175" val="10.7" numFmtId="7"/>
      <inputCells r="G1176" val="9.2" numFmtId="7"/>
      <inputCells r="G1177" val="13.44" numFmtId="7"/>
      <inputCells r="G1178" val="11.84" numFmtId="7"/>
      <inputCells r="G1179" val="14.55" numFmtId="7"/>
      <inputCells r="G1180" val="16.25" numFmtId="7"/>
      <inputCells r="G1181" val="14.66" numFmtId="7"/>
      <inputCells r="G1182" val="19.55" numFmtId="7"/>
      <inputCells r="G1183" val="17.97" numFmtId="7"/>
      <inputCells r="G1185" val="13.44" numFmtId="7"/>
      <inputCells r="G1186" val="11.84" numFmtId="7"/>
      <inputCells r="G1187" val="16.25" numFmtId="7"/>
      <inputCells r="G1188" val="14.66" numFmtId="7"/>
      <inputCells r="G1189" val="19.55" numFmtId="7"/>
      <inputCells r="G1190" val="17.97" numFmtId="7"/>
      <inputCells r="G1192" val="20.32" numFmtId="7"/>
      <inputCells r="G1193" val="15.06" numFmtId="7"/>
      <inputCells r="G1194" val="23.73" numFmtId="7"/>
      <inputCells r="G1195" val="18.95" numFmtId="7"/>
      <inputCells r="G1196" val="25.36" numFmtId="7"/>
      <inputCells r="G1197" val="20.54" numFmtId="7"/>
      <inputCells r="G1198" val="39.79" numFmtId="7"/>
      <inputCells r="G1199" val="34.84" numFmtId="7"/>
    </scenario>
    <scenario name="Proposed Demand" locked="1" count="14" user="Michael Reid" comment="Created by Michael Reid on 3/5/2001_x000a_Modified by Michael Reid on 3/5/2001">
      <inputCells r="G1744" val="9.07" numFmtId="7"/>
      <inputCells r="G1803" val="3.89" numFmtId="7"/>
      <inputCells r="G1480" val="6.75" numFmtId="7"/>
      <inputCells r="G1583" val="2.02" numFmtId="7"/>
      <inputCells r="G1607" val="4.73" numFmtId="7"/>
      <inputCells r="G2336" val="3.08" numFmtId="7"/>
      <inputCells r="G2347" val="0.4177" numFmtId="173"/>
      <inputCells r="G2353" val="39.5" numFmtId="7"/>
      <inputCells r="G2358" val="2.47" numFmtId="7"/>
      <inputCells r="G2369" val="0.4175" numFmtId="173"/>
      <inputCells r="G2375" val="37.11" numFmtId="7"/>
      <inputCells r="G2380" val="1.66" numFmtId="7"/>
      <inputCells r="G2391" val="0.3193" numFmtId="173"/>
      <inputCells r="G2397" val="27.44" numFmtId="7"/>
    </scenario>
    <scenario name="Proposed Energy" locked="1" count="9" user="Michael Reid" comment="Created by Michael Reid on 3/5/2001_x000a_Modified by Michael Reid on 3/5/2001">
      <inputCells r="G1746" val="3.1106" numFmtId="164"/>
      <inputCells r="G1596" val="4.7317" numFmtId="164"/>
      <inputCells r="G1597" val="2.3449" numFmtId="164"/>
      <inputCells r="G1609" val="4.7233" numFmtId="164"/>
      <inputCells r="G1610" val="3.4792" numFmtId="164"/>
      <inputCells r="G1614" val="3.2379" numFmtId="164"/>
      <inputCells r="G1647" val="9.418" numFmtId="166"/>
      <inputCells r="G1648" val="2.6847" numFmtId="166"/>
      <inputCells r="J616" undone="1" val="2.3826" numFmtId="165"/>
    </scenario>
    <scenario name="Proposed 7" locked="1" count="29" user="Michael Reid" comment="Created by Michael Reid on 3/5/2001">
      <inputCells r="G1168" val="4.64" numFmtId="7"/>
      <inputCells r="G1169" val="13.35" numFmtId="7"/>
      <inputCells r="G1170" val="6.57" numFmtId="7"/>
      <inputCells r="G1171" val="21.82" numFmtId="7"/>
      <inputCells r="G1173" val="11.89" numFmtId="7"/>
      <inputCells r="G1174" val="9.97" numFmtId="7"/>
      <inputCells r="G1175" val="12.62" numFmtId="7"/>
      <inputCells r="G1176" val="10.85" numFmtId="7"/>
      <inputCells r="G1177" val="15.85" numFmtId="7"/>
      <inputCells r="G1178" val="13.96" numFmtId="7"/>
      <inputCells r="G1179" val="17.16" numFmtId="7"/>
      <inputCells r="G1180" val="19.17" numFmtId="7"/>
      <inputCells r="G1181" val="17.29" numFmtId="7"/>
      <inputCells r="G1182" val="23.06" numFmtId="7"/>
      <inputCells r="G1183" val="21.19" numFmtId="7"/>
      <inputCells r="G1185" val="15.85" numFmtId="7"/>
      <inputCells r="G1186" val="13.96" numFmtId="7"/>
      <inputCells r="G1187" val="19.17" numFmtId="7"/>
      <inputCells r="G1188" val="17.29" numFmtId="7"/>
      <inputCells r="G1189" val="23.06" numFmtId="7"/>
      <inputCells r="G1190" val="21.19" numFmtId="7"/>
      <inputCells r="G1192" val="23.97" numFmtId="7"/>
      <inputCells r="G1193" val="17.76" numFmtId="7"/>
      <inputCells r="G1194" val="27.99" numFmtId="7"/>
      <inputCells r="G1195" val="22.35" numFmtId="7"/>
      <inputCells r="G1196" val="29.91" numFmtId="7"/>
      <inputCells r="G1197" val="24.23" numFmtId="7"/>
      <inputCells r="G1198" val="46.93" numFmtId="7"/>
      <inputCells r="G1199" val="41.09" numFmtId="7"/>
    </scenario>
  </scenarios>
  <autoFilter ref="B1:B4"/>
  <printOptions horizontalCentered="1"/>
  <pageMargins left="1" right="0.5" top="1" bottom="0.55000000000000004" header="0.25" footer="0.25"/>
  <pageSetup scale="42" fitToHeight="88" orientation="landscape" r:id="rId1"/>
  <headerFooter alignWithMargins="0">
    <oddFooter>Page &amp;P of &amp;N</oddFooter>
  </headerFooter>
  <rowBreaks count="26" manualBreakCount="26">
    <brk id="45" min="1" max="25" man="1"/>
    <brk id="82" min="1" max="25" man="1"/>
    <brk id="112" min="1" max="25" man="1"/>
    <brk id="149" min="1" max="25" man="1"/>
    <brk id="186" min="1" max="25" man="1"/>
    <brk id="223" min="1" max="25" man="1"/>
    <brk id="367" min="1" max="25" man="1"/>
    <brk id="537" min="1" max="25" man="1"/>
    <brk id="670" min="1" max="25" man="1"/>
    <brk id="830" min="1" max="25" man="1"/>
    <brk id="959" min="1" max="25" man="1"/>
    <brk id="1165" min="1" max="25" man="1"/>
    <brk id="1375" min="1" max="25" man="1"/>
    <brk id="1536" min="1" max="25" man="1"/>
    <brk id="1620" min="1" max="25" man="1"/>
    <brk id="1658" min="1" max="25" man="1"/>
    <brk id="1717" min="1" max="25" man="1"/>
    <brk id="1774" min="1" max="25" man="1"/>
    <brk id="1852" min="1" max="25" man="1"/>
    <brk id="1936" min="1" max="25" man="1"/>
    <brk id="1975" min="1" max="25" man="1"/>
    <brk id="2159" min="1" max="25" man="1"/>
    <brk id="2251" min="1" max="25" man="1"/>
    <brk id="2313" min="1" max="25" man="1"/>
    <brk id="2587" min="1" max="25" man="1"/>
    <brk id="2634" min="1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workbookViewId="0">
      <pane ySplit="1" topLeftCell="A2" activePane="bottomLeft" state="frozen"/>
      <selection activeCell="B1" sqref="B1"/>
      <selection pane="bottomLeft" activeCell="B35" sqref="A35:XFD64"/>
    </sheetView>
  </sheetViews>
  <sheetFormatPr defaultColWidth="9.140625" defaultRowHeight="15"/>
  <cols>
    <col min="1" max="1" width="20.140625" style="470" bestFit="1" customWidth="1"/>
    <col min="2" max="2" width="12.28515625" style="470" bestFit="1" customWidth="1"/>
    <col min="3" max="3" width="16.85546875" style="470" bestFit="1" customWidth="1"/>
    <col min="4" max="4" width="26.85546875" style="470" bestFit="1" customWidth="1"/>
    <col min="5" max="5" width="16.5703125" style="470" bestFit="1" customWidth="1"/>
    <col min="6" max="7" width="14.85546875" style="470" bestFit="1" customWidth="1"/>
    <col min="8" max="8" width="16.5703125" style="470" bestFit="1" customWidth="1"/>
    <col min="9" max="10" width="17.85546875" style="470" bestFit="1" customWidth="1"/>
    <col min="11" max="11" width="14.85546875" style="470" bestFit="1" customWidth="1"/>
    <col min="12" max="13" width="13.7109375" style="470" customWidth="1"/>
    <col min="14" max="14" width="14.85546875" style="470" bestFit="1" customWidth="1"/>
    <col min="15" max="16" width="13.7109375" style="470" customWidth="1"/>
    <col min="17" max="17" width="14.85546875" style="470" bestFit="1" customWidth="1"/>
    <col min="18" max="18" width="16.42578125" style="470" bestFit="1" customWidth="1"/>
    <col min="19" max="19" width="13.7109375" style="470" customWidth="1"/>
    <col min="20" max="20" width="16.140625" style="470" bestFit="1" customWidth="1"/>
    <col min="21" max="21" width="12.5703125" style="470" customWidth="1"/>
    <col min="22" max="22" width="11.85546875" style="470" bestFit="1" customWidth="1"/>
    <col min="23" max="23" width="6" style="470" bestFit="1" customWidth="1"/>
    <col min="24" max="24" width="26.7109375" style="470" bestFit="1" customWidth="1"/>
    <col min="25" max="26" width="14.85546875" style="470" bestFit="1" customWidth="1"/>
    <col min="27" max="16384" width="9.140625" style="470"/>
  </cols>
  <sheetData>
    <row r="1" spans="2:26" ht="45">
      <c r="E1" s="476" t="s">
        <v>102</v>
      </c>
      <c r="F1" s="477" t="str">
        <f>'Unit Cost Target'!D12</f>
        <v>Residential
Sch 1</v>
      </c>
      <c r="G1" s="477" t="str">
        <f>'Unit Cost Target'!E12</f>
        <v>General
Large Dist.
Sch 6</v>
      </c>
      <c r="H1" s="477" t="str">
        <f>'Unit Cost Target'!F12</f>
        <v>General
+1 MW
Sch 8</v>
      </c>
      <c r="I1" s="477" t="str">
        <f>'Unit Cost Target'!G12</f>
        <v>Street &amp; Area
Lighting
Sch. 7,11,12</v>
      </c>
      <c r="J1" s="477" t="str">
        <f>'Unit Cost Target'!H12</f>
        <v>General
Trans
Sch 9</v>
      </c>
      <c r="K1" s="477" t="str">
        <f>'Unit Cost Target'!I12</f>
        <v>Irrigation
Sch 10</v>
      </c>
      <c r="L1" s="477" t="str">
        <f>'Unit Cost Target'!J12</f>
        <v>Traffic
Signals
Sch 15</v>
      </c>
      <c r="M1" s="477" t="str">
        <f>'Unit Cost Target'!K12</f>
        <v>Outdoor
Lighting
Sch 15</v>
      </c>
      <c r="N1" s="477" t="str">
        <f>'Unit Cost Target'!L12</f>
        <v>General
Small Dist.
Sch 23</v>
      </c>
      <c r="O1" s="477" t="str">
        <f>'Unit Cost Target'!M12</f>
        <v>Industrial
Cust 1</v>
      </c>
      <c r="P1" s="477" t="str">
        <f>'Unit Cost Target'!N12</f>
        <v>Industrial
Cust 2</v>
      </c>
      <c r="Q1" s="477" t="str">
        <f>'Unit Cost Target'!O12</f>
        <v>Aggregated
Industrial</v>
      </c>
      <c r="R1" s="38"/>
      <c r="S1" s="38"/>
      <c r="T1" s="38" t="s">
        <v>104</v>
      </c>
      <c r="V1" s="38" t="s">
        <v>102</v>
      </c>
      <c r="W1" s="38" t="s">
        <v>103</v>
      </c>
      <c r="Y1" s="38" t="s">
        <v>105</v>
      </c>
      <c r="Z1" s="38" t="s">
        <v>884</v>
      </c>
    </row>
    <row r="2" spans="2:26">
      <c r="B2" s="36" t="s">
        <v>88</v>
      </c>
      <c r="C2" s="36" t="s">
        <v>89</v>
      </c>
      <c r="D2" s="36" t="s">
        <v>90</v>
      </c>
      <c r="R2" s="471"/>
      <c r="S2" s="471"/>
      <c r="T2" s="472">
        <f t="shared" ref="T2:T12" si="0">F3/E3</f>
        <v>0.35813996172964169</v>
      </c>
      <c r="V2" s="472">
        <f t="shared" ref="V2:V12" si="1">E3/E$15</f>
        <v>9.3170679987528617E-3</v>
      </c>
      <c r="W2" s="472">
        <f t="shared" ref="W2:W12" si="2">F3/F$15</f>
        <v>8.0627614034895993E-3</v>
      </c>
      <c r="Y2" s="473">
        <f>E3</f>
        <v>18550956.738914341</v>
      </c>
      <c r="Z2" s="471">
        <v>-84653843</v>
      </c>
    </row>
    <row r="3" spans="2:26">
      <c r="B3" s="482" t="s">
        <v>22</v>
      </c>
      <c r="C3" s="37" t="s">
        <v>92</v>
      </c>
      <c r="D3" s="36" t="s">
        <v>44</v>
      </c>
      <c r="E3" s="471">
        <f>'Unit Cost Target'!C33</f>
        <v>18550956.738914341</v>
      </c>
      <c r="F3" s="471">
        <f>'Unit Cost Target'!D33</f>
        <v>6643838.9365230203</v>
      </c>
      <c r="G3" s="471">
        <f>'Unit Cost Target'!E33</f>
        <v>5037057.1483448297</v>
      </c>
      <c r="H3" s="471">
        <f>'Unit Cost Target'!F33</f>
        <v>1479850.7141364384</v>
      </c>
      <c r="I3" s="471">
        <f>'Unit Cost Target'!G33</f>
        <v>19914.684412632851</v>
      </c>
      <c r="J3" s="471">
        <f>'Unit Cost Target'!H33</f>
        <v>3305314.8221868798</v>
      </c>
      <c r="K3" s="471">
        <f>'Unit Cost Target'!I33</f>
        <v>155752.45477454085</v>
      </c>
      <c r="L3" s="471">
        <f>'Unit Cost Target'!J33</f>
        <v>5235.8391670886958</v>
      </c>
      <c r="M3" s="471">
        <f>'Unit Cost Target'!K33</f>
        <v>6748.2626197401551</v>
      </c>
      <c r="N3" s="471">
        <f>'Unit Cost Target'!L33</f>
        <v>1171219.6737667816</v>
      </c>
      <c r="O3" s="471">
        <f>'Unit Cost Target'!M33</f>
        <v>411947.45664541377</v>
      </c>
      <c r="P3" s="471">
        <f>'Unit Cost Target'!N33</f>
        <v>314076.74633698328</v>
      </c>
      <c r="Q3" s="471">
        <f>'Unit Cost Target'!O33</f>
        <v>726024.20298239705</v>
      </c>
      <c r="R3" s="471"/>
      <c r="S3" s="471"/>
      <c r="T3" s="472">
        <f t="shared" si="0"/>
        <v>0.29925001543748531</v>
      </c>
      <c r="V3" s="472">
        <f t="shared" si="1"/>
        <v>0.20971658007614355</v>
      </c>
      <c r="W3" s="472">
        <f t="shared" si="2"/>
        <v>0.15164172237393794</v>
      </c>
      <c r="Y3" s="473">
        <f>E4</f>
        <v>417560889.85787803</v>
      </c>
      <c r="Z3" s="471">
        <v>-28217947.500740632</v>
      </c>
    </row>
    <row r="4" spans="2:26">
      <c r="B4" s="482"/>
      <c r="C4" s="37" t="s">
        <v>93</v>
      </c>
      <c r="D4" s="36" t="s">
        <v>44</v>
      </c>
      <c r="E4" s="471">
        <f>'Unit Cost Target'!C39</f>
        <v>417560889.85787803</v>
      </c>
      <c r="F4" s="471">
        <f>'Unit Cost Target'!D39</f>
        <v>124955102.7360601</v>
      </c>
      <c r="G4" s="471">
        <f>'Unit Cost Target'!E39</f>
        <v>113690719.46072581</v>
      </c>
      <c r="H4" s="471">
        <f>'Unit Cost Target'!F39</f>
        <v>36798257.025808528</v>
      </c>
      <c r="I4" s="471">
        <f>'Unit Cost Target'!G39</f>
        <v>928535.63343446807</v>
      </c>
      <c r="J4" s="471">
        <f>'Unit Cost Target'!H39</f>
        <v>87198154.067556977</v>
      </c>
      <c r="K4" s="471">
        <f>'Unit Cost Target'!I39</f>
        <v>4220941.1519937059</v>
      </c>
      <c r="L4" s="471">
        <f>'Unit Cost Target'!J39</f>
        <v>142461.12882800435</v>
      </c>
      <c r="M4" s="471">
        <f>'Unit Cost Target'!K39</f>
        <v>291107.61921613471</v>
      </c>
      <c r="N4" s="471">
        <f>'Unit Cost Target'!L39</f>
        <v>25804401.069614425</v>
      </c>
      <c r="O4" s="471">
        <f>'Unit Cost Target'!M39</f>
        <v>11003979.606329594</v>
      </c>
      <c r="P4" s="471">
        <f>'Unit Cost Target'!N39</f>
        <v>12527230.358310167</v>
      </c>
      <c r="Q4" s="471">
        <f>'Unit Cost Target'!O39</f>
        <v>23531209.964639761</v>
      </c>
      <c r="R4" s="471"/>
      <c r="S4" s="471"/>
      <c r="T4" s="472">
        <f t="shared" si="0"/>
        <v>0.35833304083180029</v>
      </c>
      <c r="V4" s="472">
        <f t="shared" si="1"/>
        <v>0.30691306874912622</v>
      </c>
      <c r="W4" s="472">
        <f t="shared" si="2"/>
        <v>0.26573820483726407</v>
      </c>
    </row>
    <row r="5" spans="2:26">
      <c r="B5" s="482"/>
      <c r="C5" s="37" t="s">
        <v>94</v>
      </c>
      <c r="D5" s="36" t="s">
        <v>43</v>
      </c>
      <c r="E5" s="471">
        <f>'Unit Cost Target'!C45</f>
        <v>611086133.72088647</v>
      </c>
      <c r="F5" s="471">
        <f>'Unit Cost Target'!D45</f>
        <v>218972352.50635338</v>
      </c>
      <c r="G5" s="471">
        <f>'Unit Cost Target'!E45</f>
        <v>165926068.4354316</v>
      </c>
      <c r="H5" s="471">
        <f>'Unit Cost Target'!F45</f>
        <v>48724682.401492566</v>
      </c>
      <c r="I5" s="471">
        <f>'Unit Cost Target'!G45</f>
        <v>598462.17642188619</v>
      </c>
      <c r="J5" s="471">
        <f>'Unit Cost Target'!H45</f>
        <v>109018081.74075963</v>
      </c>
      <c r="K5" s="471">
        <f>'Unit Cost Target'!I45</f>
        <v>5106794.7625593301</v>
      </c>
      <c r="L5" s="471">
        <f>'Unit Cost Target'!J45</f>
        <v>170968.59537950539</v>
      </c>
      <c r="M5" s="471">
        <f>'Unit Cost Target'!K45</f>
        <v>217579.90542771126</v>
      </c>
      <c r="N5" s="471">
        <f>'Unit Cost Target'!L45</f>
        <v>38493422.027725816</v>
      </c>
      <c r="O5" s="471">
        <f>'Unit Cost Target'!M45</f>
        <v>13598256.965943886</v>
      </c>
      <c r="P5" s="471">
        <f>'Unit Cost Target'!N45</f>
        <v>10259464.203391405</v>
      </c>
      <c r="Q5" s="471">
        <f>'Unit Cost Target'!O45</f>
        <v>23857721.169335291</v>
      </c>
      <c r="R5" s="471"/>
      <c r="S5" s="471"/>
      <c r="T5" s="472">
        <f t="shared" si="0"/>
        <v>0.35835124932318324</v>
      </c>
      <c r="V5" s="472">
        <f t="shared" si="1"/>
        <v>6.4472662959197319E-2</v>
      </c>
      <c r="W5" s="472">
        <f t="shared" si="2"/>
        <v>5.5825971770385376E-2</v>
      </c>
    </row>
    <row r="6" spans="2:26">
      <c r="B6" s="482"/>
      <c r="C6" s="37" t="s">
        <v>95</v>
      </c>
      <c r="D6" s="36" t="s">
        <v>43</v>
      </c>
      <c r="E6" s="471">
        <f>'Unit Cost Target'!C51</f>
        <v>128369738.37249757</v>
      </c>
      <c r="F6" s="471">
        <f>'Unit Cost Target'!D51</f>
        <v>46001456.121074684</v>
      </c>
      <c r="G6" s="471">
        <f>'Unit Cost Target'!E51</f>
        <v>34805458.811280563</v>
      </c>
      <c r="H6" s="471">
        <f>'Unit Cost Target'!F51</f>
        <v>10232142.437238598</v>
      </c>
      <c r="I6" s="471">
        <f>'Unit Cost Target'!G51</f>
        <v>119897.52674820059</v>
      </c>
      <c r="J6" s="471">
        <f>'Unit Cost Target'!H51</f>
        <v>22966656.586086728</v>
      </c>
      <c r="K6" s="471">
        <f>'Unit Cost Target'!I51</f>
        <v>1072514.8066086005</v>
      </c>
      <c r="L6" s="471">
        <f>'Unit Cost Target'!J51</f>
        <v>35754.987843016461</v>
      </c>
      <c r="M6" s="471">
        <f>'Unit Cost Target'!K51</f>
        <v>44963.39737821083</v>
      </c>
      <c r="N6" s="471">
        <f>'Unit Cost Target'!L51</f>
        <v>8060247.5597681096</v>
      </c>
      <c r="O6" s="471">
        <f>'Unit Cost Target'!M51</f>
        <v>2870817.2907364927</v>
      </c>
      <c r="P6" s="471">
        <f>'Unit Cost Target'!N51</f>
        <v>2159828.8477343894</v>
      </c>
      <c r="Q6" s="471">
        <f>'Unit Cost Target'!O51</f>
        <v>5030646.1384708825</v>
      </c>
      <c r="R6" s="471"/>
      <c r="S6" s="471"/>
      <c r="T6" s="472">
        <f t="shared" si="0"/>
        <v>0.3581399617296418</v>
      </c>
      <c r="V6" s="472">
        <f t="shared" si="1"/>
        <v>9.7752681273539956E-3</v>
      </c>
      <c r="W6" s="472">
        <f t="shared" si="2"/>
        <v>8.4592765209550638E-3</v>
      </c>
      <c r="Y6" s="473">
        <f>E7</f>
        <v>19463266.358698417</v>
      </c>
    </row>
    <row r="7" spans="2:26">
      <c r="B7" s="482" t="s">
        <v>23</v>
      </c>
      <c r="C7" s="37" t="s">
        <v>92</v>
      </c>
      <c r="D7" s="36" t="s">
        <v>44</v>
      </c>
      <c r="E7" s="471">
        <f>'Unit Cost Target'!C63</f>
        <v>19463266.358698417</v>
      </c>
      <c r="F7" s="471">
        <f>'Unit Cost Target'!D63</f>
        <v>6970573.4688380752</v>
      </c>
      <c r="G7" s="471">
        <f>'Unit Cost Target'!E63</f>
        <v>5284772.441766724</v>
      </c>
      <c r="H7" s="471">
        <f>'Unit Cost Target'!F63</f>
        <v>1552627.6636680458</v>
      </c>
      <c r="I7" s="471">
        <f>'Unit Cost Target'!G63</f>
        <v>20894.060216280563</v>
      </c>
      <c r="J7" s="471">
        <f>'Unit Cost Target'!H63</f>
        <v>3467865.4955098554</v>
      </c>
      <c r="K7" s="471">
        <f>'Unit Cost Target'!I63</f>
        <v>163412.13857390665</v>
      </c>
      <c r="L7" s="471">
        <f>'Unit Cost Target'!J63</f>
        <v>5493.3302769545899</v>
      </c>
      <c r="M7" s="471">
        <f>'Unit Cost Target'!K63</f>
        <v>7080.1325600060227</v>
      </c>
      <c r="N7" s="471">
        <f>'Unit Cost Target'!L63</f>
        <v>1228818.5884910219</v>
      </c>
      <c r="O7" s="471">
        <f>'Unit Cost Target'!M63</f>
        <v>432206.44559312868</v>
      </c>
      <c r="P7" s="471">
        <f>'Unit Cost Target'!N63</f>
        <v>329522.59320442012</v>
      </c>
      <c r="Q7" s="471">
        <f>'Unit Cost Target'!O63</f>
        <v>761729.03879754874</v>
      </c>
      <c r="R7" s="471"/>
      <c r="S7" s="471"/>
      <c r="T7" s="472">
        <f t="shared" si="0"/>
        <v>0.41949842907093621</v>
      </c>
      <c r="V7" s="472">
        <f t="shared" si="1"/>
        <v>1.6079162801725345E-3</v>
      </c>
      <c r="W7" s="472">
        <f t="shared" si="2"/>
        <v>1.6298420990162213E-3</v>
      </c>
      <c r="Y7" s="473">
        <f>E8</f>
        <v>3201477.6920453347</v>
      </c>
    </row>
    <row r="8" spans="2:26">
      <c r="B8" s="482"/>
      <c r="C8" s="37" t="s">
        <v>93</v>
      </c>
      <c r="D8" s="36" t="s">
        <v>44</v>
      </c>
      <c r="E8" s="471">
        <f>'Unit Cost Target'!C69</f>
        <v>3201477.6920453347</v>
      </c>
      <c r="F8" s="471">
        <f>'Unit Cost Target'!D69</f>
        <v>1343014.8625186644</v>
      </c>
      <c r="G8" s="471">
        <f>'Unit Cost Target'!E69</f>
        <v>866787.87792556547</v>
      </c>
      <c r="H8" s="471">
        <f>'Unit Cost Target'!F69</f>
        <v>227521.09502075426</v>
      </c>
      <c r="I8" s="471">
        <f>'Unit Cost Target'!G69</f>
        <v>-399.86983808426885</v>
      </c>
      <c r="J8" s="471">
        <f>'Unit Cost Target'!H69</f>
        <v>468176.16064473661</v>
      </c>
      <c r="K8" s="471">
        <f>'Unit Cost Target'!I69</f>
        <v>21166.561560956179</v>
      </c>
      <c r="L8" s="471">
        <f>'Unit Cost Target'!J69</f>
        <v>707.00471351692886</v>
      </c>
      <c r="M8" s="471">
        <f>'Unit Cost Target'!K69</f>
        <v>52.507000688207881</v>
      </c>
      <c r="N8" s="471">
        <f>'Unit Cost Target'!L69</f>
        <v>206587.07565243845</v>
      </c>
      <c r="O8" s="471">
        <f>'Unit Cost Target'!M69</f>
        <v>57260.717241917213</v>
      </c>
      <c r="P8" s="471">
        <f>'Unit Cost Target'!N69</f>
        <v>10603.699604179186</v>
      </c>
      <c r="Q8" s="471">
        <f>'Unit Cost Target'!O69</f>
        <v>67864.416846096399</v>
      </c>
      <c r="R8" s="471"/>
      <c r="S8" s="471"/>
      <c r="T8" s="472">
        <f t="shared" si="0"/>
        <v>0.3600129791502914</v>
      </c>
      <c r="V8" s="472">
        <f t="shared" si="1"/>
        <v>0.1312332893671258</v>
      </c>
      <c r="W8" s="472">
        <f t="shared" si="2"/>
        <v>0.11415999286219666</v>
      </c>
    </row>
    <row r="9" spans="2:26">
      <c r="B9" s="482"/>
      <c r="C9" s="37" t="s">
        <v>94</v>
      </c>
      <c r="D9" s="36" t="s">
        <v>43</v>
      </c>
      <c r="E9" s="471">
        <f>'Unit Cost Target'!C75</f>
        <v>261294977.57028809</v>
      </c>
      <c r="F9" s="471">
        <f>'Unit Cost Target'!D75</f>
        <v>94069583.312087983</v>
      </c>
      <c r="G9" s="471">
        <f>'Unit Cost Target'!E75</f>
        <v>71248583.679144189</v>
      </c>
      <c r="H9" s="471">
        <f>'Unit Cost Target'!F75</f>
        <v>20947338.739968527</v>
      </c>
      <c r="I9" s="471">
        <f>'Unit Cost Target'!G75</f>
        <v>277758.54033255205</v>
      </c>
      <c r="J9" s="471">
        <f>'Unit Cost Target'!H75</f>
        <v>46748424.886199988</v>
      </c>
      <c r="K9" s="471">
        <f>'Unit Cost Target'!I75</f>
        <v>2213651.5187218385</v>
      </c>
      <c r="L9" s="471">
        <f>'Unit Cost Target'!J75</f>
        <v>66864.736405323842</v>
      </c>
      <c r="M9" s="471">
        <f>'Unit Cost Target'!K75</f>
        <v>83497.771767512211</v>
      </c>
      <c r="N9" s="471">
        <f>'Unit Cost Target'!L75</f>
        <v>15367660.310593411</v>
      </c>
      <c r="O9" s="471">
        <f>'Unit Cost Target'!M75</f>
        <v>5835456.8205666803</v>
      </c>
      <c r="P9" s="471">
        <f>'Unit Cost Target'!N75</f>
        <v>4436157.254500214</v>
      </c>
      <c r="Q9" s="471">
        <f>'Unit Cost Target'!O75</f>
        <v>10271614.075066894</v>
      </c>
      <c r="R9" s="471"/>
      <c r="S9" s="471"/>
      <c r="T9" s="472">
        <f t="shared" si="0"/>
        <v>0.36071617411295387</v>
      </c>
      <c r="V9" s="472">
        <f t="shared" si="1"/>
        <v>4.060182116728512E-2</v>
      </c>
      <c r="W9" s="472">
        <f t="shared" si="2"/>
        <v>3.5388559931513838E-2</v>
      </c>
    </row>
    <row r="10" spans="2:26">
      <c r="B10" s="482"/>
      <c r="C10" s="37" t="s">
        <v>95</v>
      </c>
      <c r="D10" s="36" t="s">
        <v>43</v>
      </c>
      <c r="E10" s="471">
        <f>'Unit Cost Target'!C81</f>
        <v>80841164.634224296</v>
      </c>
      <c r="F10" s="471">
        <f>'Unit Cost Target'!D81</f>
        <v>29160715.617692821</v>
      </c>
      <c r="G10" s="471">
        <f>'Unit Cost Target'!E81</f>
        <v>21999330.300989889</v>
      </c>
      <c r="H10" s="471">
        <f>'Unit Cost Target'!F81</f>
        <v>6471365.1665644329</v>
      </c>
      <c r="I10" s="471">
        <f>'Unit Cost Target'!G81</f>
        <v>84855.061080723404</v>
      </c>
      <c r="J10" s="471">
        <f>'Unit Cost Target'!H81</f>
        <v>14476115.053927442</v>
      </c>
      <c r="K10" s="471">
        <f>'Unit Cost Target'!I81</f>
        <v>684984.5517875771</v>
      </c>
      <c r="L10" s="471">
        <f>'Unit Cost Target'!J81</f>
        <v>20592.182203977056</v>
      </c>
      <c r="M10" s="471">
        <f>'Unit Cost Target'!K81</f>
        <v>25308.046139523918</v>
      </c>
      <c r="N10" s="471">
        <f>'Unit Cost Target'!L81</f>
        <v>4736593.1617903765</v>
      </c>
      <c r="O10" s="471">
        <f>'Unit Cost Target'!M81</f>
        <v>1811002.266533202</v>
      </c>
      <c r="P10" s="471">
        <f>'Unit Cost Target'!N81</f>
        <v>1370303.2255143309</v>
      </c>
      <c r="Q10" s="471">
        <f>'Unit Cost Target'!O81</f>
        <v>3181305.4920475329</v>
      </c>
      <c r="R10" s="471"/>
      <c r="S10" s="471"/>
      <c r="T10" s="472">
        <f t="shared" si="0"/>
        <v>0.63143557440599685</v>
      </c>
      <c r="V10" s="472">
        <f t="shared" si="1"/>
        <v>0.19890288650070512</v>
      </c>
      <c r="W10" s="472">
        <f t="shared" si="2"/>
        <v>0.30347428147079175</v>
      </c>
    </row>
    <row r="11" spans="2:26">
      <c r="B11" s="481" t="s">
        <v>24</v>
      </c>
      <c r="C11" s="481"/>
      <c r="D11" s="36" t="s">
        <v>42</v>
      </c>
      <c r="E11" s="471">
        <f>'Unit Cost Target'!C87</f>
        <v>396030043.27259111</v>
      </c>
      <c r="F11" s="471">
        <f>'Unit Cost Target'!D87</f>
        <v>250067457.85586035</v>
      </c>
      <c r="G11" s="471">
        <f>'Unit Cost Target'!E87</f>
        <v>84674851.488026157</v>
      </c>
      <c r="H11" s="471">
        <f>'Unit Cost Target'!F87</f>
        <v>18847578.117117625</v>
      </c>
      <c r="I11" s="471">
        <f>'Unit Cost Target'!G87</f>
        <v>4263633.5059369728</v>
      </c>
      <c r="J11" s="471">
        <f>'Unit Cost Target'!H87</f>
        <v>-246424.59216785041</v>
      </c>
      <c r="K11" s="471">
        <f>'Unit Cost Target'!I87</f>
        <v>5021876.2856555711</v>
      </c>
      <c r="L11" s="471">
        <f>'Unit Cost Target'!J87</f>
        <v>209401.08330370492</v>
      </c>
      <c r="M11" s="471">
        <f>'Unit Cost Target'!K87</f>
        <v>88505.272376643043</v>
      </c>
      <c r="N11" s="471">
        <f>'Unit Cost Target'!L87</f>
        <v>33007281.825248934</v>
      </c>
      <c r="O11" s="471">
        <f>'Unit Cost Target'!M87</f>
        <v>51088.43418781778</v>
      </c>
      <c r="P11" s="471">
        <f>'Unit Cost Target'!N87</f>
        <v>44793.997045342818</v>
      </c>
      <c r="Q11" s="471">
        <f>'Unit Cost Target'!O87</f>
        <v>95882.431233160605</v>
      </c>
      <c r="R11" s="471"/>
      <c r="S11" s="471"/>
      <c r="T11" s="472">
        <f t="shared" si="0"/>
        <v>0.95581184015941334</v>
      </c>
      <c r="V11" s="472">
        <f t="shared" si="1"/>
        <v>2.1505836467192702E-2</v>
      </c>
      <c r="W11" s="472">
        <f t="shared" si="2"/>
        <v>4.9668438346016676E-2</v>
      </c>
    </row>
    <row r="12" spans="2:26">
      <c r="B12" s="481" t="s">
        <v>25</v>
      </c>
      <c r="C12" s="481"/>
      <c r="D12" s="36" t="s">
        <v>42</v>
      </c>
      <c r="E12" s="471">
        <f>'Unit Cost Target'!C123</f>
        <v>42819676.961728759</v>
      </c>
      <c r="F12" s="471">
        <f>'Unit Cost Target'!D123</f>
        <v>40927554.231821604</v>
      </c>
      <c r="G12" s="471">
        <f>'Unit Cost Target'!E123</f>
        <v>175970.39642602939</v>
      </c>
      <c r="H12" s="471">
        <f>'Unit Cost Target'!F123</f>
        <v>-457902.83071156684</v>
      </c>
      <c r="I12" s="471">
        <f>'Unit Cost Target'!G123</f>
        <v>256976.61768138179</v>
      </c>
      <c r="J12" s="471">
        <f>'Unit Cost Target'!H123</f>
        <v>-922734.30665142229</v>
      </c>
      <c r="K12" s="471">
        <f>'Unit Cost Target'!I123</f>
        <v>-72886.896880993212</v>
      </c>
      <c r="L12" s="471">
        <f>'Unit Cost Target'!J123</f>
        <v>103939.01386230187</v>
      </c>
      <c r="M12" s="471">
        <f>'Unit Cost Target'!K123</f>
        <v>21989.581060871355</v>
      </c>
      <c r="N12" s="471">
        <f>'Unit Cost Target'!L123</f>
        <v>2914417.4185308069</v>
      </c>
      <c r="O12" s="471">
        <f>'Unit Cost Target'!M123</f>
        <v>-72523.722417710684</v>
      </c>
      <c r="P12" s="471">
        <f>'Unit Cost Target'!N123</f>
        <v>-55122.540992552531</v>
      </c>
      <c r="Q12" s="471">
        <f>'Unit Cost Target'!O123</f>
        <v>-127646.26341026321</v>
      </c>
      <c r="R12" s="471"/>
      <c r="S12" s="471"/>
      <c r="T12" s="472">
        <f t="shared" si="0"/>
        <v>0.41367054860461672</v>
      </c>
      <c r="V12" s="472">
        <f t="shared" si="1"/>
        <v>5.9536023069446387E-3</v>
      </c>
      <c r="W12" s="472">
        <f t="shared" si="2"/>
        <v>5.9509483844327011E-3</v>
      </c>
    </row>
    <row r="13" spans="2:26">
      <c r="B13" s="481" t="s">
        <v>91</v>
      </c>
      <c r="C13" s="481"/>
      <c r="D13" s="36" t="s">
        <v>42</v>
      </c>
      <c r="E13" s="471">
        <f>'Unit Cost Target'!C129</f>
        <v>11854053.104647756</v>
      </c>
      <c r="F13" s="471">
        <f>'Unit Cost Target'!D129</f>
        <v>4903672.6509878971</v>
      </c>
      <c r="G13" s="471">
        <f>'Unit Cost Target'!E129</f>
        <v>3082588.8905694364</v>
      </c>
      <c r="H13" s="471">
        <f>'Unit Cost Target'!F129</f>
        <v>865533.26765299472</v>
      </c>
      <c r="I13" s="471">
        <f>'Unit Cost Target'!G129</f>
        <v>32458.883129849906</v>
      </c>
      <c r="J13" s="471">
        <f>'Unit Cost Target'!H129</f>
        <v>1677260.8527207696</v>
      </c>
      <c r="K13" s="471">
        <f>'Unit Cost Target'!I129</f>
        <v>111849.5048177623</v>
      </c>
      <c r="L13" s="471">
        <f>'Unit Cost Target'!J129</f>
        <v>3981.0599280691022</v>
      </c>
      <c r="M13" s="471">
        <f>'Unit Cost Target'!K129</f>
        <v>4042.3531283768598</v>
      </c>
      <c r="N13" s="471">
        <f>'Unit Cost Target'!L129</f>
        <v>804512.57498480892</v>
      </c>
      <c r="O13" s="471">
        <f>'Unit Cost Target'!M129</f>
        <v>208897.70678128011</v>
      </c>
      <c r="P13" s="471">
        <f>'Unit Cost Target'!N129</f>
        <v>159255.35994650843</v>
      </c>
      <c r="Q13" s="471">
        <f>'Unit Cost Target'!O129</f>
        <v>368153.06672778854</v>
      </c>
    </row>
    <row r="14" spans="2:26">
      <c r="R14" s="473"/>
      <c r="S14" s="473"/>
      <c r="T14" s="472">
        <f>F15/E15</f>
        <v>0.41385503173411914</v>
      </c>
      <c r="V14" s="472">
        <f>E15/E$15</f>
        <v>1</v>
      </c>
      <c r="W14" s="472">
        <f>F15/F$15</f>
        <v>1</v>
      </c>
      <c r="Y14" s="473">
        <f>SUM(Y2:Y12)</f>
        <v>458776590.6475361</v>
      </c>
      <c r="Z14" s="473">
        <f>Y14-Z2-Z3</f>
        <v>571648381.14827669</v>
      </c>
    </row>
    <row r="15" spans="2:26">
      <c r="E15" s="473">
        <f t="shared" ref="E15:Q15" si="3">SUM(E3:E13)</f>
        <v>1991072378.2844005</v>
      </c>
      <c r="F15" s="473">
        <f t="shared" si="3"/>
        <v>824015322.29981863</v>
      </c>
      <c r="G15" s="473">
        <f t="shared" si="3"/>
        <v>506792188.9306308</v>
      </c>
      <c r="H15" s="473">
        <f t="shared" si="3"/>
        <v>145688993.79795694</v>
      </c>
      <c r="I15" s="473">
        <f t="shared" si="3"/>
        <v>6602986.819556864</v>
      </c>
      <c r="J15" s="473">
        <f t="shared" si="3"/>
        <v>288156890.76677376</v>
      </c>
      <c r="K15" s="473">
        <f t="shared" si="3"/>
        <v>18700056.840172797</v>
      </c>
      <c r="L15" s="473">
        <f t="shared" si="3"/>
        <v>765398.96191146318</v>
      </c>
      <c r="M15" s="473">
        <f t="shared" si="3"/>
        <v>790874.84867541865</v>
      </c>
      <c r="N15" s="473">
        <f t="shared" si="3"/>
        <v>131795161.28616691</v>
      </c>
      <c r="O15" s="473">
        <f t="shared" si="3"/>
        <v>36208389.988141701</v>
      </c>
      <c r="P15" s="473">
        <f t="shared" si="3"/>
        <v>31556113.744595382</v>
      </c>
      <c r="Q15" s="473">
        <f t="shared" si="3"/>
        <v>67764503.732737079</v>
      </c>
    </row>
    <row r="16" spans="2:26">
      <c r="T16" s="38" t="s">
        <v>104</v>
      </c>
      <c r="V16" s="470" t="s">
        <v>926</v>
      </c>
      <c r="W16" s="470" t="s">
        <v>927</v>
      </c>
    </row>
    <row r="17" spans="1:23">
      <c r="D17" s="470" t="s">
        <v>44</v>
      </c>
      <c r="E17" s="473">
        <f t="shared" ref="E17:Q17" si="4">E3+E4+E7+E8</f>
        <v>458776590.6475361</v>
      </c>
      <c r="F17" s="473">
        <f t="shared" si="4"/>
        <v>139912530.00393987</v>
      </c>
      <c r="G17" s="473">
        <f t="shared" si="4"/>
        <v>124879336.92876293</v>
      </c>
      <c r="H17" s="473">
        <f t="shared" si="4"/>
        <v>40058256.498633765</v>
      </c>
      <c r="I17" s="473">
        <f t="shared" si="4"/>
        <v>968944.50822529709</v>
      </c>
      <c r="J17" s="473">
        <f t="shared" si="4"/>
        <v>94439510.545898467</v>
      </c>
      <c r="K17" s="473">
        <f t="shared" si="4"/>
        <v>4561272.306903109</v>
      </c>
      <c r="L17" s="473">
        <f t="shared" si="4"/>
        <v>153897.30298556457</v>
      </c>
      <c r="M17" s="473">
        <f t="shared" si="4"/>
        <v>304988.52139656909</v>
      </c>
      <c r="N17" s="473">
        <f t="shared" si="4"/>
        <v>28411026.407524668</v>
      </c>
      <c r="O17" s="473">
        <f t="shared" si="4"/>
        <v>11905394.225810053</v>
      </c>
      <c r="P17" s="473">
        <f t="shared" si="4"/>
        <v>13181433.39745575</v>
      </c>
      <c r="Q17" s="473">
        <f t="shared" si="4"/>
        <v>25086827.623265803</v>
      </c>
      <c r="R17" s="473"/>
      <c r="S17" s="473"/>
      <c r="T17" s="472">
        <f t="shared" ref="T17:T18" si="5">F17/E17</f>
        <v>0.30496876444035992</v>
      </c>
      <c r="V17" s="472">
        <f>V2+V3+V6+V7</f>
        <v>0.23041683248242295</v>
      </c>
      <c r="W17" s="472">
        <f>W2+W3+W6+W7</f>
        <v>0.16979360239739885</v>
      </c>
    </row>
    <row r="18" spans="1:23">
      <c r="D18" s="470" t="s">
        <v>43</v>
      </c>
      <c r="E18" s="473">
        <f t="shared" ref="E18:Q18" si="6">E5+E6+E9+E10</f>
        <v>1081592014.2978964</v>
      </c>
      <c r="F18" s="473">
        <f t="shared" si="6"/>
        <v>388204107.5572089</v>
      </c>
      <c r="G18" s="473">
        <f t="shared" si="6"/>
        <v>293979441.22684622</v>
      </c>
      <c r="H18" s="473">
        <f t="shared" si="6"/>
        <v>86375528.745264128</v>
      </c>
      <c r="I18" s="473">
        <f t="shared" si="6"/>
        <v>1080973.3045833621</v>
      </c>
      <c r="J18" s="473">
        <f t="shared" si="6"/>
        <v>193209278.26697379</v>
      </c>
      <c r="K18" s="473">
        <f t="shared" si="6"/>
        <v>9077945.6396773458</v>
      </c>
      <c r="L18" s="473">
        <f t="shared" si="6"/>
        <v>294180.50183182274</v>
      </c>
      <c r="M18" s="473">
        <f t="shared" si="6"/>
        <v>371349.12071295822</v>
      </c>
      <c r="N18" s="473">
        <f t="shared" si="6"/>
        <v>66657923.059877716</v>
      </c>
      <c r="O18" s="473">
        <f t="shared" si="6"/>
        <v>24115533.343780264</v>
      </c>
      <c r="P18" s="473">
        <f t="shared" si="6"/>
        <v>18225753.531140339</v>
      </c>
      <c r="Q18" s="473">
        <f t="shared" si="6"/>
        <v>42341286.874920599</v>
      </c>
      <c r="R18" s="473"/>
      <c r="S18" s="473"/>
      <c r="T18" s="472">
        <f t="shared" si="5"/>
        <v>0.35891916954398684</v>
      </c>
      <c r="V18" s="472">
        <f>V4+V5+V8+V9</f>
        <v>0.54322084224273448</v>
      </c>
      <c r="W18" s="472">
        <f>W4+W5+W8+W9</f>
        <v>0.47111272940136001</v>
      </c>
    </row>
    <row r="19" spans="1:23">
      <c r="D19" s="470" t="s">
        <v>42</v>
      </c>
      <c r="E19" s="473">
        <f t="shared" ref="E19:Q19" si="7">E11+E12+E13</f>
        <v>450703773.33896762</v>
      </c>
      <c r="F19" s="473">
        <f t="shared" si="7"/>
        <v>295898684.73866987</v>
      </c>
      <c r="G19" s="473">
        <f t="shared" si="7"/>
        <v>87933410.775021613</v>
      </c>
      <c r="H19" s="473">
        <f t="shared" si="7"/>
        <v>19255208.554059055</v>
      </c>
      <c r="I19" s="473">
        <f t="shared" si="7"/>
        <v>4553069.0067482051</v>
      </c>
      <c r="J19" s="473">
        <f t="shared" si="7"/>
        <v>508101.95390149695</v>
      </c>
      <c r="K19" s="473">
        <f t="shared" si="7"/>
        <v>5060838.8935923399</v>
      </c>
      <c r="L19" s="473">
        <f t="shared" si="7"/>
        <v>317321.15709407593</v>
      </c>
      <c r="M19" s="473">
        <f t="shared" si="7"/>
        <v>114537.20656589125</v>
      </c>
      <c r="N19" s="473">
        <f t="shared" si="7"/>
        <v>36726211.818764552</v>
      </c>
      <c r="O19" s="473">
        <f t="shared" si="7"/>
        <v>187462.41855138721</v>
      </c>
      <c r="P19" s="473">
        <f t="shared" si="7"/>
        <v>148926.81599929871</v>
      </c>
      <c r="Q19" s="473">
        <f t="shared" si="7"/>
        <v>336389.23455068591</v>
      </c>
      <c r="R19" s="473"/>
      <c r="S19" s="473"/>
      <c r="T19" s="472">
        <f>F19/E19</f>
        <v>0.65652586519644884</v>
      </c>
      <c r="V19" s="472">
        <f>V10+V11+V12</f>
        <v>0.22636232527484246</v>
      </c>
      <c r="W19" s="472">
        <f>W10+W11+W12</f>
        <v>0.35909366820124117</v>
      </c>
    </row>
    <row r="20" spans="1:23">
      <c r="D20" s="470" t="s">
        <v>45</v>
      </c>
      <c r="E20" s="473">
        <f>SUM(E17:E19)</f>
        <v>1991072378.2844</v>
      </c>
      <c r="F20" s="473">
        <f t="shared" ref="F20:Q20" si="8">SUM(F17:F19)</f>
        <v>824015322.29981863</v>
      </c>
      <c r="G20" s="473">
        <f t="shared" si="8"/>
        <v>506792188.93063074</v>
      </c>
      <c r="H20" s="473">
        <f t="shared" si="8"/>
        <v>145688993.79795694</v>
      </c>
      <c r="I20" s="473">
        <f t="shared" si="8"/>
        <v>6602986.819556864</v>
      </c>
      <c r="J20" s="473">
        <f t="shared" si="8"/>
        <v>288156890.76677376</v>
      </c>
      <c r="K20" s="473">
        <f t="shared" si="8"/>
        <v>18700056.840172794</v>
      </c>
      <c r="L20" s="473">
        <f t="shared" si="8"/>
        <v>765398.96191146318</v>
      </c>
      <c r="M20" s="473">
        <f t="shared" si="8"/>
        <v>790874.84867541853</v>
      </c>
      <c r="N20" s="473">
        <f t="shared" si="8"/>
        <v>131795161.28616694</v>
      </c>
      <c r="O20" s="473">
        <f t="shared" si="8"/>
        <v>36208389.988141701</v>
      </c>
      <c r="P20" s="473">
        <f t="shared" si="8"/>
        <v>31556113.744595386</v>
      </c>
      <c r="Q20" s="473">
        <f t="shared" si="8"/>
        <v>67764503.732737094</v>
      </c>
    </row>
    <row r="22" spans="1:23">
      <c r="D22" s="470" t="s">
        <v>830</v>
      </c>
      <c r="E22" s="473">
        <f t="shared" ref="E22:Q22" si="9">E4+E6+E8+E10</f>
        <v>629973270.55664527</v>
      </c>
      <c r="F22" s="473">
        <f t="shared" si="9"/>
        <v>201460289.33734629</v>
      </c>
      <c r="G22" s="473">
        <f t="shared" si="9"/>
        <v>171362296.45092186</v>
      </c>
      <c r="H22" s="473">
        <f t="shared" si="9"/>
        <v>53729285.724632315</v>
      </c>
      <c r="I22" s="473">
        <f t="shared" si="9"/>
        <v>1132888.3514253076</v>
      </c>
      <c r="J22" s="473">
        <f t="shared" si="9"/>
        <v>125109101.86821587</v>
      </c>
      <c r="K22" s="473">
        <f t="shared" si="9"/>
        <v>5999607.0719508398</v>
      </c>
      <c r="L22" s="473">
        <f t="shared" si="9"/>
        <v>199515.30358851477</v>
      </c>
      <c r="M22" s="473">
        <f t="shared" si="9"/>
        <v>361431.56973455771</v>
      </c>
      <c r="N22" s="473">
        <f t="shared" si="9"/>
        <v>38807828.86682535</v>
      </c>
      <c r="O22" s="473">
        <f t="shared" si="9"/>
        <v>15743059.880841205</v>
      </c>
      <c r="P22" s="473">
        <f t="shared" si="9"/>
        <v>16067966.131163068</v>
      </c>
      <c r="Q22" s="473">
        <f t="shared" si="9"/>
        <v>31811026.012004271</v>
      </c>
    </row>
    <row r="23" spans="1:23">
      <c r="D23" s="470" t="s">
        <v>831</v>
      </c>
      <c r="E23" s="473">
        <f t="shared" ref="E23:Q23" si="10">E3+E5+E7+E9</f>
        <v>910395334.38878727</v>
      </c>
      <c r="F23" s="473">
        <f t="shared" si="10"/>
        <v>326656348.22380245</v>
      </c>
      <c r="G23" s="473">
        <f t="shared" si="10"/>
        <v>247496481.70468736</v>
      </c>
      <c r="H23" s="473">
        <f t="shared" si="10"/>
        <v>72704499.519265577</v>
      </c>
      <c r="I23" s="473">
        <f t="shared" si="10"/>
        <v>917029.46138335159</v>
      </c>
      <c r="J23" s="473">
        <f t="shared" si="10"/>
        <v>162539686.94465634</v>
      </c>
      <c r="K23" s="473">
        <f t="shared" si="10"/>
        <v>7639610.8746296158</v>
      </c>
      <c r="L23" s="473">
        <f t="shared" si="10"/>
        <v>248562.50122887254</v>
      </c>
      <c r="M23" s="473">
        <f t="shared" si="10"/>
        <v>314906.07237496966</v>
      </c>
      <c r="N23" s="473">
        <f t="shared" si="10"/>
        <v>56261120.600577034</v>
      </c>
      <c r="O23" s="473">
        <f t="shared" si="10"/>
        <v>20277867.688749108</v>
      </c>
      <c r="P23" s="473">
        <f t="shared" si="10"/>
        <v>15339220.797433022</v>
      </c>
      <c r="Q23" s="473">
        <f t="shared" si="10"/>
        <v>35617088.486182131</v>
      </c>
    </row>
    <row r="24" spans="1:23">
      <c r="D24" s="470" t="s">
        <v>42</v>
      </c>
      <c r="E24" s="473">
        <f t="shared" ref="E24:Q24" si="11">E11+E12+E13</f>
        <v>450703773.33896762</v>
      </c>
      <c r="F24" s="473">
        <f t="shared" si="11"/>
        <v>295898684.73866987</v>
      </c>
      <c r="G24" s="473">
        <f t="shared" si="11"/>
        <v>87933410.775021613</v>
      </c>
      <c r="H24" s="473">
        <f t="shared" si="11"/>
        <v>19255208.554059055</v>
      </c>
      <c r="I24" s="473">
        <f t="shared" si="11"/>
        <v>4553069.0067482051</v>
      </c>
      <c r="J24" s="473">
        <f t="shared" si="11"/>
        <v>508101.95390149695</v>
      </c>
      <c r="K24" s="473">
        <f t="shared" si="11"/>
        <v>5060838.8935923399</v>
      </c>
      <c r="L24" s="473">
        <f t="shared" si="11"/>
        <v>317321.15709407593</v>
      </c>
      <c r="M24" s="473">
        <f t="shared" si="11"/>
        <v>114537.20656589125</v>
      </c>
      <c r="N24" s="473">
        <f t="shared" si="11"/>
        <v>36726211.818764552</v>
      </c>
      <c r="O24" s="473">
        <f t="shared" si="11"/>
        <v>187462.41855138721</v>
      </c>
      <c r="P24" s="473">
        <f t="shared" si="11"/>
        <v>148926.81599929871</v>
      </c>
      <c r="Q24" s="473">
        <f t="shared" si="11"/>
        <v>336389.23455068591</v>
      </c>
    </row>
    <row r="25" spans="1:23">
      <c r="D25" s="470" t="s">
        <v>45</v>
      </c>
      <c r="E25" s="473">
        <f>SUM(E22:E24)</f>
        <v>1991072378.2844002</v>
      </c>
      <c r="F25" s="473">
        <f t="shared" ref="F25" si="12">SUM(F22:F24)</f>
        <v>824015322.29981863</v>
      </c>
      <c r="G25" s="473">
        <f t="shared" ref="G25" si="13">SUM(G22:G24)</f>
        <v>506792188.93063086</v>
      </c>
      <c r="H25" s="473">
        <f t="shared" ref="H25" si="14">SUM(H22:H24)</f>
        <v>145688993.79795694</v>
      </c>
      <c r="I25" s="473">
        <f t="shared" ref="I25" si="15">SUM(I22:I24)</f>
        <v>6602986.819556864</v>
      </c>
      <c r="J25" s="473">
        <f t="shared" ref="J25" si="16">SUM(J22:J24)</f>
        <v>288156890.7667737</v>
      </c>
      <c r="K25" s="473">
        <f t="shared" ref="K25" si="17">SUM(K22:K24)</f>
        <v>18700056.840172794</v>
      </c>
      <c r="L25" s="473">
        <f t="shared" ref="L25" si="18">SUM(L22:L24)</f>
        <v>765398.96191146318</v>
      </c>
      <c r="M25" s="473">
        <f t="shared" ref="M25" si="19">SUM(M22:M24)</f>
        <v>790874.84867541865</v>
      </c>
      <c r="N25" s="473">
        <f t="shared" ref="N25" si="20">SUM(N22:N24)</f>
        <v>131795161.28616694</v>
      </c>
      <c r="O25" s="473">
        <f t="shared" ref="O25" si="21">SUM(O22:O24)</f>
        <v>36208389.988141701</v>
      </c>
      <c r="P25" s="473">
        <f t="shared" ref="P25" si="22">SUM(P22:P24)</f>
        <v>31556113.74459539</v>
      </c>
      <c r="Q25" s="473">
        <f t="shared" ref="Q25" si="23">SUM(Q22:Q24)</f>
        <v>67764503.732737094</v>
      </c>
    </row>
    <row r="26" spans="1:23"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73"/>
      <c r="P26" s="473"/>
      <c r="Q26" s="473"/>
    </row>
    <row r="27" spans="1:23">
      <c r="D27" s="474" t="s">
        <v>830</v>
      </c>
      <c r="E27" s="475">
        <f t="shared" ref="E27:F27" si="24">E22/SUM(E$22:E$24)</f>
        <v>0.31639898048279858</v>
      </c>
      <c r="F27" s="475">
        <f t="shared" si="24"/>
        <v>0.2444860961748534</v>
      </c>
      <c r="G27" s="475">
        <f>G22/SUM(G$22:G$24)</f>
        <v>0.3381312896958989</v>
      </c>
      <c r="H27" s="475">
        <f t="shared" ref="H27:M27" si="25">H22/SUM(H$22:H$24)</f>
        <v>0.36879440460097257</v>
      </c>
      <c r="I27" s="475">
        <f t="shared" si="25"/>
        <v>0.17157210553107499</v>
      </c>
      <c r="J27" s="475">
        <f t="shared" si="25"/>
        <v>0.43417008538406171</v>
      </c>
      <c r="K27" s="475">
        <f t="shared" si="25"/>
        <v>0.32083362757818235</v>
      </c>
      <c r="L27" s="475">
        <f t="shared" si="25"/>
        <v>0.26066837494821887</v>
      </c>
      <c r="M27" s="475">
        <f t="shared" si="25"/>
        <v>0.45700223030217024</v>
      </c>
      <c r="N27" s="475">
        <f t="shared" ref="N27:P27" si="26">N22/SUM(N$22:N$24)</f>
        <v>0.29445564228691129</v>
      </c>
      <c r="O27" s="475">
        <f t="shared" si="26"/>
        <v>0.43479038659263997</v>
      </c>
      <c r="P27" s="475">
        <f t="shared" si="26"/>
        <v>0.50918710273425305</v>
      </c>
      <c r="Q27" s="475">
        <f t="shared" ref="Q27" si="27">Q22/SUM(Q$22:Q$24)</f>
        <v>0.4694349439563052</v>
      </c>
    </row>
    <row r="28" spans="1:23">
      <c r="D28" s="474" t="s">
        <v>831</v>
      </c>
      <c r="E28" s="475">
        <f t="shared" ref="E28:F28" si="28">E23/SUM(E$22:E$24)</f>
        <v>0.45723869424235891</v>
      </c>
      <c r="F28" s="475">
        <f t="shared" si="28"/>
        <v>0.39642023562390538</v>
      </c>
      <c r="G28" s="475">
        <f>G23/SUM(G$22:G$24)</f>
        <v>0.48835891142466759</v>
      </c>
      <c r="H28" s="475">
        <f t="shared" ref="H28:M29" si="29">H23/SUM(H$22:H$24)</f>
        <v>0.49903906687757726</v>
      </c>
      <c r="I28" s="475">
        <f t="shared" si="29"/>
        <v>0.13888100740520556</v>
      </c>
      <c r="J28" s="475">
        <f t="shared" si="29"/>
        <v>0.56406663228543619</v>
      </c>
      <c r="K28" s="475">
        <f t="shared" si="29"/>
        <v>0.40853409911662192</v>
      </c>
      <c r="L28" s="475">
        <f t="shared" si="29"/>
        <v>0.3247489395701908</v>
      </c>
      <c r="M28" s="475">
        <f t="shared" si="29"/>
        <v>0.39817434187265405</v>
      </c>
      <c r="N28" s="475">
        <f t="shared" ref="N28:P28" si="30">N23/SUM(N$22:N$24)</f>
        <v>0.42688305133158277</v>
      </c>
      <c r="O28" s="475">
        <f t="shared" si="30"/>
        <v>0.5600322934930313</v>
      </c>
      <c r="P28" s="475">
        <f t="shared" si="30"/>
        <v>0.48609346897350969</v>
      </c>
      <c r="Q28" s="475">
        <f t="shared" ref="Q28" si="31">Q23/SUM(Q$22:Q$24)</f>
        <v>0.52560096398928513</v>
      </c>
    </row>
    <row r="29" spans="1:23">
      <c r="D29" s="474" t="s">
        <v>42</v>
      </c>
      <c r="E29" s="475">
        <f t="shared" ref="E29:F29" si="32">E24/SUM(E$22:E$24)</f>
        <v>0.22636232527484249</v>
      </c>
      <c r="F29" s="475">
        <f t="shared" si="32"/>
        <v>0.35909366820124117</v>
      </c>
      <c r="G29" s="475">
        <f>G24/SUM(G$22:G$24)</f>
        <v>0.17350979887943346</v>
      </c>
      <c r="H29" s="475">
        <f t="shared" si="29"/>
        <v>0.13216652852145017</v>
      </c>
      <c r="I29" s="475">
        <f t="shared" si="29"/>
        <v>0.68954688706371947</v>
      </c>
      <c r="J29" s="475">
        <f t="shared" si="29"/>
        <v>1.7632823305021735E-3</v>
      </c>
      <c r="K29" s="475">
        <f t="shared" si="29"/>
        <v>0.27063227330519579</v>
      </c>
      <c r="L29" s="475">
        <f t="shared" si="29"/>
        <v>0.41458268548159039</v>
      </c>
      <c r="M29" s="475">
        <f t="shared" si="29"/>
        <v>0.14482342782517571</v>
      </c>
      <c r="N29" s="475">
        <f t="shared" ref="N29:P29" si="33">N24/SUM(N$22:N$24)</f>
        <v>0.27866130638150594</v>
      </c>
      <c r="O29" s="475">
        <f t="shared" si="33"/>
        <v>5.1773199143287348E-3</v>
      </c>
      <c r="P29" s="475">
        <f t="shared" si="33"/>
        <v>4.7194282922372018E-3</v>
      </c>
      <c r="Q29" s="475">
        <f t="shared" ref="Q29" si="34">Q24/SUM(Q$22:Q$24)</f>
        <v>4.9640920544095409E-3</v>
      </c>
    </row>
    <row r="30" spans="1:23">
      <c r="D30" s="474"/>
      <c r="E30" s="475"/>
      <c r="F30" s="475"/>
      <c r="G30" s="475"/>
      <c r="H30" s="475"/>
      <c r="I30" s="475"/>
      <c r="J30" s="475"/>
      <c r="K30" s="475"/>
      <c r="L30" s="475"/>
      <c r="M30" s="475"/>
      <c r="N30" s="475"/>
      <c r="O30" s="475"/>
      <c r="P30" s="475"/>
      <c r="Q30" s="475"/>
    </row>
    <row r="31" spans="1:23">
      <c r="A31" s="472">
        <f>(E27-E31)/E27</f>
        <v>0.2717522915818944</v>
      </c>
      <c r="D31" s="474" t="s">
        <v>1404</v>
      </c>
      <c r="E31" s="475">
        <f>E17/SUM(E$17:E$19)</f>
        <v>0.23041683248242298</v>
      </c>
      <c r="F31" s="475">
        <f t="shared" ref="F31:M31" si="35">F17/SUM(F$17:F$19)</f>
        <v>0.16979360239739885</v>
      </c>
      <c r="G31" s="475">
        <f t="shared" si="35"/>
        <v>0.24641132925167539</v>
      </c>
      <c r="H31" s="475">
        <f t="shared" si="35"/>
        <v>0.27495732830845809</v>
      </c>
      <c r="I31" s="475">
        <f t="shared" si="35"/>
        <v>0.14674336549566586</v>
      </c>
      <c r="J31" s="475">
        <f t="shared" si="35"/>
        <v>0.32773642960471561</v>
      </c>
      <c r="K31" s="475">
        <f t="shared" si="35"/>
        <v>0.24391756377468646</v>
      </c>
      <c r="L31" s="475">
        <f t="shared" si="35"/>
        <v>0.20106808428539064</v>
      </c>
      <c r="M31" s="475">
        <f t="shared" si="35"/>
        <v>0.38563436668566869</v>
      </c>
      <c r="N31" s="475">
        <f t="shared" ref="N31:P31" si="36">N17/SUM(N$17:N$19)</f>
        <v>0.21556957122147893</v>
      </c>
      <c r="O31" s="475">
        <f t="shared" si="36"/>
        <v>0.32880208785060827</v>
      </c>
      <c r="P31" s="475">
        <f t="shared" si="36"/>
        <v>0.41771409192341796</v>
      </c>
      <c r="Q31" s="475">
        <f t="shared" ref="Q31" si="37">Q17/SUM(Q$17:Q$19)</f>
        <v>0.37020602588942642</v>
      </c>
    </row>
    <row r="32" spans="1:23">
      <c r="D32" s="474" t="s">
        <v>1403</v>
      </c>
      <c r="E32" s="475">
        <f>E18/SUM(E$17:E$19)</f>
        <v>0.54322084224273459</v>
      </c>
      <c r="F32" s="475">
        <f t="shared" ref="F32:M33" si="38">F18/SUM(F$17:F$19)</f>
        <v>0.47111272940136001</v>
      </c>
      <c r="G32" s="475">
        <f t="shared" si="38"/>
        <v>0.58007887186889118</v>
      </c>
      <c r="H32" s="475">
        <f t="shared" si="38"/>
        <v>0.59287614317009174</v>
      </c>
      <c r="I32" s="475">
        <f t="shared" si="38"/>
        <v>0.16370974744061473</v>
      </c>
      <c r="J32" s="475">
        <f t="shared" si="38"/>
        <v>0.67050028806478223</v>
      </c>
      <c r="K32" s="475">
        <f t="shared" si="38"/>
        <v>0.48545016292011778</v>
      </c>
      <c r="L32" s="475">
        <f t="shared" si="38"/>
        <v>0.38434923023301903</v>
      </c>
      <c r="M32" s="475">
        <f t="shared" si="38"/>
        <v>0.4695422054891556</v>
      </c>
      <c r="N32" s="475">
        <f t="shared" ref="N32:P32" si="39">N18/SUM(N$17:N$19)</f>
        <v>0.5057691223970151</v>
      </c>
      <c r="O32" s="475">
        <f t="shared" si="39"/>
        <v>0.66602059223506305</v>
      </c>
      <c r="P32" s="475">
        <f t="shared" si="39"/>
        <v>0.57756647978434483</v>
      </c>
      <c r="Q32" s="475">
        <f t="shared" ref="Q32" si="40">Q18/SUM(Q$17:Q$19)</f>
        <v>0.62482988205616397</v>
      </c>
    </row>
    <row r="33" spans="4:17">
      <c r="D33" s="474" t="s">
        <v>42</v>
      </c>
      <c r="E33" s="475">
        <f>E19/SUM(E$17:E$19)</f>
        <v>0.22636232527484251</v>
      </c>
      <c r="F33" s="475">
        <f t="shared" si="38"/>
        <v>0.35909366820124117</v>
      </c>
      <c r="G33" s="475">
        <f t="shared" si="38"/>
        <v>0.17350979887943352</v>
      </c>
      <c r="H33" s="475">
        <f t="shared" si="38"/>
        <v>0.13216652852145017</v>
      </c>
      <c r="I33" s="475">
        <f t="shared" si="38"/>
        <v>0.68954688706371947</v>
      </c>
      <c r="J33" s="475">
        <f t="shared" si="38"/>
        <v>1.7632823305021731E-3</v>
      </c>
      <c r="K33" s="475">
        <f t="shared" si="38"/>
        <v>0.27063227330519579</v>
      </c>
      <c r="L33" s="475">
        <f t="shared" si="38"/>
        <v>0.41458268548159039</v>
      </c>
      <c r="M33" s="475">
        <f t="shared" si="38"/>
        <v>0.14482342782517571</v>
      </c>
      <c r="N33" s="475">
        <f t="shared" ref="N33:P33" si="41">N19/SUM(N$17:N$19)</f>
        <v>0.27866130638150594</v>
      </c>
      <c r="O33" s="475">
        <f t="shared" si="41"/>
        <v>5.1773199143287348E-3</v>
      </c>
      <c r="P33" s="475">
        <f t="shared" si="41"/>
        <v>4.7194282922372018E-3</v>
      </c>
      <c r="Q33" s="475">
        <f t="shared" ref="Q33" si="42">Q19/SUM(Q$17:Q$19)</f>
        <v>4.9640920544095409E-3</v>
      </c>
    </row>
  </sheetData>
  <mergeCells count="5">
    <mergeCell ref="B12:C12"/>
    <mergeCell ref="B3:B6"/>
    <mergeCell ref="B7:B10"/>
    <mergeCell ref="B13:C13"/>
    <mergeCell ref="B11:C1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tabSelected="1" workbookViewId="0">
      <selection activeCell="P15" sqref="P15"/>
    </sheetView>
  </sheetViews>
  <sheetFormatPr defaultRowHeight="15"/>
  <cols>
    <col min="2" max="2" width="11.42578125" customWidth="1"/>
    <col min="15" max="15" width="9.28515625" customWidth="1"/>
  </cols>
  <sheetData>
    <row r="2" spans="2:15" ht="75">
      <c r="B2" s="49"/>
      <c r="C2" s="478" t="s">
        <v>47</v>
      </c>
      <c r="D2" s="478" t="s">
        <v>48</v>
      </c>
      <c r="E2" s="478" t="s">
        <v>49</v>
      </c>
      <c r="F2" s="478" t="s">
        <v>50</v>
      </c>
      <c r="G2" s="478" t="s">
        <v>51</v>
      </c>
      <c r="H2" s="478" t="s">
        <v>52</v>
      </c>
      <c r="I2" s="478" t="s">
        <v>53</v>
      </c>
      <c r="J2" s="478" t="s">
        <v>54</v>
      </c>
      <c r="K2" s="478" t="s">
        <v>55</v>
      </c>
      <c r="L2" s="478" t="s">
        <v>56</v>
      </c>
      <c r="M2" s="478" t="s">
        <v>57</v>
      </c>
      <c r="N2" s="478" t="s">
        <v>58</v>
      </c>
      <c r="O2" s="478" t="s">
        <v>59</v>
      </c>
    </row>
    <row r="3" spans="2:15">
      <c r="B3" s="479" t="s">
        <v>830</v>
      </c>
      <c r="C3" s="480">
        <v>0.31639898048279858</v>
      </c>
      <c r="D3" s="480">
        <v>0.2444860961748534</v>
      </c>
      <c r="E3" s="480">
        <v>0.3381312896958989</v>
      </c>
      <c r="F3" s="480">
        <v>0.36879440460097257</v>
      </c>
      <c r="G3" s="480">
        <v>0.17157210553107499</v>
      </c>
      <c r="H3" s="480">
        <v>0.43417008538406171</v>
      </c>
      <c r="I3" s="480">
        <v>0.32083362757818235</v>
      </c>
      <c r="J3" s="480">
        <v>0.26066837494821887</v>
      </c>
      <c r="K3" s="480">
        <v>0.45700223030217024</v>
      </c>
      <c r="L3" s="480">
        <v>0.29445564228691129</v>
      </c>
      <c r="M3" s="480">
        <v>0.43479038659263997</v>
      </c>
      <c r="N3" s="480">
        <v>0.50918710273425305</v>
      </c>
      <c r="O3" s="480">
        <v>0.4694349439563052</v>
      </c>
    </row>
    <row r="4" spans="2:15">
      <c r="B4" s="479" t="s">
        <v>831</v>
      </c>
      <c r="C4" s="480">
        <v>0.45723869424235891</v>
      </c>
      <c r="D4" s="480">
        <v>0.39642023562390538</v>
      </c>
      <c r="E4" s="480">
        <v>0.48835891142466759</v>
      </c>
      <c r="F4" s="480">
        <v>0.49903906687757726</v>
      </c>
      <c r="G4" s="480">
        <v>0.13888100740520556</v>
      </c>
      <c r="H4" s="480">
        <v>0.56406663228543619</v>
      </c>
      <c r="I4" s="480">
        <v>0.40853409911662192</v>
      </c>
      <c r="J4" s="480">
        <v>0.3247489395701908</v>
      </c>
      <c r="K4" s="480">
        <v>0.39817434187265405</v>
      </c>
      <c r="L4" s="480">
        <v>0.42688305133158277</v>
      </c>
      <c r="M4" s="480">
        <v>0.5600322934930313</v>
      </c>
      <c r="N4" s="480">
        <v>0.48609346897350969</v>
      </c>
      <c r="O4" s="480">
        <v>0.52560096398928513</v>
      </c>
    </row>
    <row r="5" spans="2:15">
      <c r="B5" s="479" t="s">
        <v>42</v>
      </c>
      <c r="C5" s="480">
        <v>0.22636232527484249</v>
      </c>
      <c r="D5" s="480">
        <v>0.35909366820124117</v>
      </c>
      <c r="E5" s="480">
        <v>0.17350979887943346</v>
      </c>
      <c r="F5" s="480">
        <v>0.13216652852145017</v>
      </c>
      <c r="G5" s="480">
        <v>0.68954688706371947</v>
      </c>
      <c r="H5" s="480">
        <v>1.7632823305021735E-3</v>
      </c>
      <c r="I5" s="480">
        <v>0.27063227330519579</v>
      </c>
      <c r="J5" s="480">
        <v>0.41458268548159039</v>
      </c>
      <c r="K5" s="480">
        <v>0.14482342782517571</v>
      </c>
      <c r="L5" s="480">
        <v>0.27866130638150594</v>
      </c>
      <c r="M5" s="480">
        <v>5.1773199143287348E-3</v>
      </c>
      <c r="N5" s="480">
        <v>4.7194282922372018E-3</v>
      </c>
      <c r="O5" s="480">
        <v>4.9640920544095409E-3</v>
      </c>
    </row>
    <row r="6" spans="2:15">
      <c r="B6" s="479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</row>
    <row r="7" spans="2:15">
      <c r="B7" s="479" t="s">
        <v>1404</v>
      </c>
      <c r="C7" s="480">
        <v>0.23041683248242298</v>
      </c>
      <c r="D7" s="480">
        <v>0.16979360239739885</v>
      </c>
      <c r="E7" s="480">
        <v>0.24641132925167539</v>
      </c>
      <c r="F7" s="480">
        <v>0.27495732830845809</v>
      </c>
      <c r="G7" s="480">
        <v>0.14674336549566586</v>
      </c>
      <c r="H7" s="480">
        <v>0.32773642960471561</v>
      </c>
      <c r="I7" s="480">
        <v>0.24391756377468646</v>
      </c>
      <c r="J7" s="480">
        <v>0.20106808428539064</v>
      </c>
      <c r="K7" s="480">
        <v>0.38563436668566869</v>
      </c>
      <c r="L7" s="480">
        <v>0.21556957122147893</v>
      </c>
      <c r="M7" s="480">
        <v>0.32880208785060827</v>
      </c>
      <c r="N7" s="480">
        <v>0.41771409192341796</v>
      </c>
      <c r="O7" s="480">
        <v>0.37020602588942642</v>
      </c>
    </row>
    <row r="8" spans="2:15">
      <c r="B8" s="479" t="s">
        <v>1403</v>
      </c>
      <c r="C8" s="480">
        <v>0.54322084224273459</v>
      </c>
      <c r="D8" s="480">
        <v>0.47111272940136001</v>
      </c>
      <c r="E8" s="480">
        <v>0.58007887186889118</v>
      </c>
      <c r="F8" s="480">
        <v>0.59287614317009174</v>
      </c>
      <c r="G8" s="480">
        <v>0.16370974744061473</v>
      </c>
      <c r="H8" s="480">
        <v>0.67050028806478223</v>
      </c>
      <c r="I8" s="480">
        <v>0.48545016292011778</v>
      </c>
      <c r="J8" s="480">
        <v>0.38434923023301903</v>
      </c>
      <c r="K8" s="480">
        <v>0.4695422054891556</v>
      </c>
      <c r="L8" s="480">
        <v>0.5057691223970151</v>
      </c>
      <c r="M8" s="480">
        <v>0.66602059223506305</v>
      </c>
      <c r="N8" s="480">
        <v>0.57756647978434483</v>
      </c>
      <c r="O8" s="480">
        <v>0.62482988205616397</v>
      </c>
    </row>
    <row r="9" spans="2:15">
      <c r="B9" s="479" t="s">
        <v>42</v>
      </c>
      <c r="C9" s="480">
        <v>0.22636232527484251</v>
      </c>
      <c r="D9" s="480">
        <v>0.35909366820124117</v>
      </c>
      <c r="E9" s="480">
        <v>0.17350979887943352</v>
      </c>
      <c r="F9" s="480">
        <v>0.13216652852145017</v>
      </c>
      <c r="G9" s="480">
        <v>0.68954688706371947</v>
      </c>
      <c r="H9" s="480">
        <v>1.7632823305021731E-3</v>
      </c>
      <c r="I9" s="480">
        <v>0.27063227330519579</v>
      </c>
      <c r="J9" s="480">
        <v>0.41458268548159039</v>
      </c>
      <c r="K9" s="480">
        <v>0.14482342782517571</v>
      </c>
      <c r="L9" s="480">
        <v>0.27866130638150594</v>
      </c>
      <c r="M9" s="480">
        <v>5.1773199143287348E-3</v>
      </c>
      <c r="N9" s="480">
        <v>4.7194282922372018E-3</v>
      </c>
      <c r="O9" s="480">
        <v>4.9640920544095409E-3</v>
      </c>
    </row>
    <row r="11" spans="2:15">
      <c r="C11" s="479" t="s">
        <v>830</v>
      </c>
      <c r="D11" s="479" t="s">
        <v>1404</v>
      </c>
    </row>
    <row r="12" spans="2:15" ht="30">
      <c r="B12" s="478" t="s">
        <v>1405</v>
      </c>
      <c r="C12" s="480">
        <v>0.31639898048279858</v>
      </c>
      <c r="D12" s="480">
        <v>0.23041683248242298</v>
      </c>
    </row>
    <row r="13" spans="2:15">
      <c r="B13" s="478" t="s">
        <v>1406</v>
      </c>
      <c r="C13" s="480">
        <v>0.2444860961748534</v>
      </c>
      <c r="D13" s="480">
        <v>0.16979360239739885</v>
      </c>
    </row>
    <row r="14" spans="2:15" ht="30">
      <c r="B14" s="478" t="s">
        <v>1407</v>
      </c>
      <c r="C14" s="480">
        <v>0.3381312896958989</v>
      </c>
      <c r="D14" s="480">
        <v>0.24641132925167539</v>
      </c>
    </row>
    <row r="15" spans="2:15" ht="30">
      <c r="B15" s="478" t="s">
        <v>1408</v>
      </c>
      <c r="C15" s="480">
        <v>0.36879440460097257</v>
      </c>
      <c r="D15" s="480">
        <v>0.27495732830845809</v>
      </c>
    </row>
    <row r="16" spans="2:15" ht="45">
      <c r="B16" s="478" t="s">
        <v>52</v>
      </c>
      <c r="C16" s="480">
        <v>0.43417008538406171</v>
      </c>
      <c r="D16" s="480">
        <v>0.32773642960471561</v>
      </c>
    </row>
    <row r="17" spans="2:4" ht="30">
      <c r="B17" s="478" t="s">
        <v>53</v>
      </c>
      <c r="C17" s="480">
        <v>0.32083362757818235</v>
      </c>
      <c r="D17" s="480">
        <v>0.24391756377468646</v>
      </c>
    </row>
    <row r="18" spans="2:4" ht="45">
      <c r="B18" s="478" t="s">
        <v>56</v>
      </c>
      <c r="C18" s="480">
        <v>0.29445564228691129</v>
      </c>
      <c r="D18" s="480">
        <v>0.21556957122147893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2466"/>
  <sheetViews>
    <sheetView zoomScale="85" zoomScaleNormal="85" workbookViewId="0">
      <pane xSplit="2" ySplit="4" topLeftCell="C42" activePane="bottomRight" state="frozen"/>
      <selection activeCell="Y240" sqref="Y240"/>
      <selection pane="topRight" activeCell="Y240" sqref="Y240"/>
      <selection pane="bottomLeft" activeCell="Y240" sqref="Y240"/>
      <selection pane="bottomRight" activeCell="D444" sqref="D444:N444"/>
    </sheetView>
  </sheetViews>
  <sheetFormatPr defaultRowHeight="15"/>
  <cols>
    <col min="1" max="1" width="5" bestFit="1" customWidth="1"/>
    <col min="3" max="3" width="9.7109375" customWidth="1"/>
    <col min="4" max="4" width="25.140625" customWidth="1"/>
    <col min="5" max="5" width="3.42578125" customWidth="1"/>
    <col min="6" max="6" width="11.5703125" customWidth="1"/>
    <col min="7" max="7" width="9.85546875" customWidth="1"/>
    <col min="8" max="8" width="4" customWidth="1"/>
    <col min="9" max="9" width="17.7109375" bestFit="1" customWidth="1"/>
    <col min="10" max="10" width="16.7109375" bestFit="1" customWidth="1"/>
    <col min="11" max="11" width="2.140625" customWidth="1"/>
    <col min="12" max="12" width="17.42578125" bestFit="1" customWidth="1"/>
    <col min="13" max="13" width="17.28515625" bestFit="1" customWidth="1"/>
    <col min="14" max="14" width="17.140625" bestFit="1" customWidth="1"/>
    <col min="15" max="15" width="10" bestFit="1" customWidth="1"/>
    <col min="16" max="16" width="17.140625" customWidth="1"/>
    <col min="17" max="17" width="14.42578125" bestFit="1" customWidth="1"/>
    <col min="18" max="18" width="22.42578125" customWidth="1"/>
    <col min="19" max="19" width="17.28515625" bestFit="1" customWidth="1"/>
    <col min="23" max="23" width="49.140625" style="53" bestFit="1" customWidth="1"/>
    <col min="24" max="24" width="17.140625" bestFit="1" customWidth="1"/>
    <col min="25" max="25" width="19.140625" bestFit="1" customWidth="1"/>
    <col min="26" max="26" width="12.28515625" bestFit="1" customWidth="1"/>
  </cols>
  <sheetData>
    <row r="1" spans="1:26">
      <c r="A1" s="5"/>
      <c r="B1" s="39"/>
      <c r="C1" s="40" t="s">
        <v>106</v>
      </c>
      <c r="D1" s="40"/>
      <c r="E1" s="40"/>
      <c r="F1" s="40"/>
      <c r="G1" s="40"/>
      <c r="H1" s="41"/>
      <c r="I1" s="41"/>
      <c r="J1" s="41"/>
      <c r="K1" s="41"/>
      <c r="L1" s="42"/>
      <c r="M1" s="40"/>
      <c r="N1" s="43"/>
      <c r="W1" s="44" t="s">
        <v>107</v>
      </c>
    </row>
    <row r="2" spans="1:26">
      <c r="A2" s="5"/>
      <c r="B2" s="39" t="s">
        <v>108</v>
      </c>
      <c r="C2" s="45" t="s">
        <v>109</v>
      </c>
      <c r="D2" s="40"/>
      <c r="E2" s="40"/>
      <c r="F2" s="40"/>
      <c r="G2" s="40"/>
      <c r="H2" s="41"/>
      <c r="I2" s="46" t="s">
        <v>110</v>
      </c>
      <c r="J2" s="47"/>
      <c r="K2" s="41"/>
      <c r="L2" s="46" t="s">
        <v>111</v>
      </c>
      <c r="M2" s="48"/>
      <c r="N2" s="48"/>
      <c r="W2" s="44" t="s">
        <v>112</v>
      </c>
      <c r="X2" s="49" t="s">
        <v>113</v>
      </c>
      <c r="Y2" s="49" t="s">
        <v>114</v>
      </c>
      <c r="Z2" s="49" t="s">
        <v>115</v>
      </c>
    </row>
    <row r="3" spans="1:26">
      <c r="A3" s="5"/>
      <c r="B3" s="39" t="s">
        <v>108</v>
      </c>
      <c r="C3" s="45" t="s">
        <v>116</v>
      </c>
      <c r="D3" s="50"/>
      <c r="E3" s="51"/>
      <c r="F3" s="45" t="s">
        <v>117</v>
      </c>
      <c r="G3" s="45"/>
      <c r="H3" s="41"/>
      <c r="I3" s="52" t="s">
        <v>118</v>
      </c>
      <c r="J3" s="52"/>
      <c r="K3" s="41"/>
      <c r="L3" s="52" t="s">
        <v>119</v>
      </c>
      <c r="M3" s="48"/>
      <c r="N3" s="48"/>
      <c r="W3" s="53">
        <v>103</v>
      </c>
      <c r="X3" s="54">
        <f t="shared" ref="X3:X66" si="0">SUMIFS(JAMValue,$P$6:$P$2441,$W3,$Q$6:$Q$2441,"&lt;&gt;"&amp;"NA")</f>
        <v>0</v>
      </c>
      <c r="Y3" s="54" t="e">
        <f>SUMIFS(FuncStudy!$G$93:$G$2216,FuncStudy!$AI$93:$AI$2216,$W3,FuncStudy!$AJ$93:$AJ$2216,"&lt;&gt;"&amp;"NA")</f>
        <v>#VALUE!</v>
      </c>
      <c r="Z3" s="55" t="e">
        <f>X3-Y3</f>
        <v>#VALUE!</v>
      </c>
    </row>
    <row r="4" spans="1:26">
      <c r="A4" s="5"/>
      <c r="B4" s="39" t="s">
        <v>108</v>
      </c>
      <c r="C4" s="56" t="s">
        <v>120</v>
      </c>
      <c r="D4" s="56" t="s">
        <v>121</v>
      </c>
      <c r="E4" s="56"/>
      <c r="F4" s="56" t="s">
        <v>122</v>
      </c>
      <c r="G4" s="56" t="s">
        <v>123</v>
      </c>
      <c r="H4" s="57" t="s">
        <v>124</v>
      </c>
      <c r="I4" s="57" t="s">
        <v>31</v>
      </c>
      <c r="J4" s="58" t="s">
        <v>125</v>
      </c>
      <c r="K4" s="57"/>
      <c r="L4" s="58" t="s">
        <v>31</v>
      </c>
      <c r="M4" s="58" t="s">
        <v>126</v>
      </c>
      <c r="N4" s="58" t="s">
        <v>125</v>
      </c>
      <c r="W4" s="53">
        <v>105</v>
      </c>
      <c r="X4" s="54">
        <f t="shared" si="0"/>
        <v>6357563.9663493512</v>
      </c>
      <c r="Y4" s="54" t="e">
        <f>SUMIFS(FuncStudy!$G$93:$G$2216,FuncStudy!$AI$93:$AI$2216,$W4,FuncStudy!$AJ$93:$AJ$2216,"&lt;&gt;"&amp;"NA")</f>
        <v>#VALUE!</v>
      </c>
      <c r="Z4" s="55" t="e">
        <f t="shared" ref="Z4:Z67" si="1">X4-Y4</f>
        <v>#VALUE!</v>
      </c>
    </row>
    <row r="5" spans="1:26" hidden="1">
      <c r="A5" s="5">
        <v>70</v>
      </c>
      <c r="B5" s="59"/>
      <c r="C5" s="60" t="s">
        <v>127</v>
      </c>
      <c r="D5" s="61"/>
      <c r="E5" s="61"/>
      <c r="F5" s="61"/>
      <c r="G5" s="61"/>
      <c r="H5" s="62"/>
      <c r="I5" s="62"/>
      <c r="J5" s="62"/>
      <c r="K5" s="62"/>
      <c r="L5" s="61"/>
      <c r="M5" s="61"/>
      <c r="N5" s="61"/>
      <c r="P5" s="49" t="s">
        <v>116</v>
      </c>
      <c r="Q5" s="49" t="s">
        <v>128</v>
      </c>
      <c r="R5" s="49" t="s">
        <v>129</v>
      </c>
      <c r="S5" s="49" t="s">
        <v>130</v>
      </c>
      <c r="W5" s="53">
        <v>114</v>
      </c>
      <c r="X5" s="54">
        <f t="shared" si="0"/>
        <v>75430230.941832513</v>
      </c>
      <c r="Y5" s="54" t="e">
        <f>SUMIFS(FuncStudy!$G$93:$G$2216,FuncStudy!$AI$93:$AI$2216,$W5,FuncStudy!$AJ$93:$AJ$2216,"&lt;&gt;"&amp;"NA")</f>
        <v>#VALUE!</v>
      </c>
      <c r="Z5" s="55" t="e">
        <f t="shared" si="1"/>
        <v>#VALUE!</v>
      </c>
    </row>
    <row r="6" spans="1:26" hidden="1">
      <c r="A6" s="5">
        <v>71</v>
      </c>
      <c r="B6" s="59"/>
      <c r="C6" s="60">
        <v>440</v>
      </c>
      <c r="D6" s="61" t="s">
        <v>131</v>
      </c>
      <c r="E6" s="63"/>
      <c r="F6" s="63"/>
      <c r="G6" s="63"/>
      <c r="H6" s="62"/>
      <c r="I6" s="62"/>
      <c r="J6" s="62"/>
      <c r="K6" s="62"/>
      <c r="L6" s="63"/>
      <c r="M6" s="63"/>
      <c r="N6" s="64"/>
      <c r="P6">
        <f>IF(OR(C6="",C6=" ",C6="  ",C6="   "),P5,C6)</f>
        <v>440</v>
      </c>
      <c r="Q6" t="str">
        <f>IF(G6="","NA",G6)</f>
        <v>NA</v>
      </c>
      <c r="R6" t="str">
        <f>IF(ISERROR(MATCH(P6&amp;"."&amp;Q6,R$5:R5,0)),P6&amp;"."&amp;Q6,P6&amp;"."&amp;Q6&amp;COUNTIFS(P$5:P5,P6,Q$5:Q5,Q6))</f>
        <v>440.NA</v>
      </c>
      <c r="S6" s="55">
        <f>N6</f>
        <v>0</v>
      </c>
      <c r="W6" s="53">
        <v>115</v>
      </c>
      <c r="X6" s="54">
        <f t="shared" si="0"/>
        <v>-62605499.202232167</v>
      </c>
      <c r="Y6" s="54" t="e">
        <f>SUMIFS(FuncStudy!$G$93:$G$2216,FuncStudy!$AI$93:$AI$2216,$W6,FuncStudy!$AJ$93:$AJ$2216,"&lt;&gt;"&amp;"NA")</f>
        <v>#VALUE!</v>
      </c>
      <c r="Z6" s="55" t="e">
        <f t="shared" si="1"/>
        <v>#VALUE!</v>
      </c>
    </row>
    <row r="7" spans="1:26" hidden="1">
      <c r="A7" s="5">
        <v>72</v>
      </c>
      <c r="B7" s="59"/>
      <c r="C7" s="60"/>
      <c r="D7" s="63"/>
      <c r="E7" s="63"/>
      <c r="F7" s="60">
        <v>0</v>
      </c>
      <c r="G7" s="61" t="s">
        <v>12</v>
      </c>
      <c r="H7" s="62"/>
      <c r="I7" s="65">
        <v>1815760352.5399997</v>
      </c>
      <c r="J7" s="65">
        <v>762483088.64999998</v>
      </c>
      <c r="K7" s="62"/>
      <c r="L7" s="65">
        <v>1807769884.0473998</v>
      </c>
      <c r="M7" s="65">
        <v>1053277263.8899996</v>
      </c>
      <c r="N7" s="64">
        <v>754492620.15740013</v>
      </c>
      <c r="P7">
        <f t="shared" ref="P7:P70" si="2">IF(OR(C7="",C7=" ",C7="  ",C7="   "),P6,C7)</f>
        <v>440</v>
      </c>
      <c r="Q7" t="str">
        <f t="shared" ref="Q7:Q70" si="3">IF(G7="","NA",G7)</f>
        <v>S</v>
      </c>
      <c r="R7" t="str">
        <f>IF(ISERROR(MATCH(P7&amp;"."&amp;Q7,R$5:R6,0)),P7&amp;"."&amp;Q7,P7&amp;"."&amp;Q7&amp;COUNTIFS(P$5:P6,P7,Q$5:Q6,Q7))</f>
        <v>440.S</v>
      </c>
      <c r="S7" s="55">
        <f>N7</f>
        <v>754492620.15740013</v>
      </c>
      <c r="W7" s="53">
        <v>124</v>
      </c>
      <c r="X7" s="54">
        <f t="shared" si="0"/>
        <v>-0.52870369694276398</v>
      </c>
      <c r="Y7" s="54" t="e">
        <f>SUMIFS(FuncStudy!$G$93:$G$2216,FuncStudy!$AI$93:$AI$2216,$W7,FuncStudy!$AJ$93:$AJ$2216,"&lt;&gt;"&amp;"NA")</f>
        <v>#VALUE!</v>
      </c>
      <c r="Z7" s="55" t="e">
        <f t="shared" si="1"/>
        <v>#VALUE!</v>
      </c>
    </row>
    <row r="8" spans="1:26" hidden="1">
      <c r="A8" s="5">
        <v>73</v>
      </c>
      <c r="B8" s="59"/>
      <c r="C8" s="60"/>
      <c r="D8" s="63"/>
      <c r="E8" s="63"/>
      <c r="F8" s="63"/>
      <c r="G8" s="63"/>
      <c r="H8" s="62"/>
      <c r="I8" s="65"/>
      <c r="J8" s="65"/>
      <c r="K8" s="62"/>
      <c r="L8" s="65"/>
      <c r="M8" s="65"/>
      <c r="N8" s="65"/>
      <c r="P8">
        <f t="shared" si="2"/>
        <v>440</v>
      </c>
      <c r="Q8" t="str">
        <f t="shared" si="3"/>
        <v>NA</v>
      </c>
      <c r="R8" t="str">
        <f>IF(ISERROR(MATCH(P8&amp;"."&amp;Q8,R$5:R7,0)),P8&amp;"."&amp;Q8,P8&amp;"."&amp;Q8&amp;COUNTIFS(P$5:P7,P8,Q$5:Q7,Q8))</f>
        <v>440.NA1</v>
      </c>
      <c r="S8" s="55">
        <f t="shared" ref="S8:S71" si="4">N8</f>
        <v>0</v>
      </c>
      <c r="W8" s="53">
        <v>128</v>
      </c>
      <c r="X8" s="54">
        <f t="shared" si="0"/>
        <v>15224593.470853347</v>
      </c>
      <c r="Y8" s="54" t="e">
        <f>SUMIFS(FuncStudy!$G$93:$G$2216,FuncStudy!$AI$93:$AI$2216,$W8,FuncStudy!$AJ$93:$AJ$2216,"&lt;&gt;"&amp;"NA")</f>
        <v>#VALUE!</v>
      </c>
      <c r="Z8" s="55" t="e">
        <f t="shared" si="1"/>
        <v>#VALUE!</v>
      </c>
    </row>
    <row r="9" spans="1:26" hidden="1">
      <c r="A9" s="5">
        <v>74</v>
      </c>
      <c r="B9" s="59"/>
      <c r="C9" s="60"/>
      <c r="D9" s="63"/>
      <c r="E9" s="63"/>
      <c r="F9" s="63"/>
      <c r="G9" s="63"/>
      <c r="H9" s="62" t="s">
        <v>132</v>
      </c>
      <c r="I9" s="66">
        <v>1815760352.5399997</v>
      </c>
      <c r="J9" s="66">
        <v>762483088.64999998</v>
      </c>
      <c r="K9" s="62"/>
      <c r="L9" s="66">
        <v>1807769884.0473998</v>
      </c>
      <c r="M9" s="66">
        <v>1053277263.8899996</v>
      </c>
      <c r="N9" s="66">
        <v>754492620.15740013</v>
      </c>
      <c r="P9">
        <f t="shared" si="2"/>
        <v>440</v>
      </c>
      <c r="Q9" t="str">
        <f t="shared" si="3"/>
        <v>NA</v>
      </c>
      <c r="R9" t="str">
        <f>IF(ISERROR(MATCH(P9&amp;"."&amp;Q9,R$5:R8,0)),P9&amp;"."&amp;Q9,P9&amp;"."&amp;Q9&amp;COUNTIFS(P$5:P8,P9,Q$5:Q8,Q9))</f>
        <v>440.NA2</v>
      </c>
      <c r="S9" s="55">
        <f t="shared" si="4"/>
        <v>754492620.15740013</v>
      </c>
      <c r="W9" s="53">
        <v>131</v>
      </c>
      <c r="X9" s="54">
        <f t="shared" si="0"/>
        <v>0</v>
      </c>
      <c r="Y9" s="54" t="e">
        <f>SUMIFS(FuncStudy!$G$93:$G$2216,FuncStudy!$AI$93:$AI$2216,$W9,FuncStudy!$AJ$93:$AJ$2216,"&lt;&gt;"&amp;"NA")</f>
        <v>#VALUE!</v>
      </c>
      <c r="Z9" s="55" t="e">
        <f t="shared" si="1"/>
        <v>#VALUE!</v>
      </c>
    </row>
    <row r="10" spans="1:26" hidden="1">
      <c r="A10" s="5">
        <v>75</v>
      </c>
      <c r="B10" s="59"/>
      <c r="C10" s="60"/>
      <c r="D10" s="63"/>
      <c r="E10" s="63"/>
      <c r="F10" s="63"/>
      <c r="G10" s="63"/>
      <c r="H10" s="62"/>
      <c r="I10" s="65"/>
      <c r="J10" s="65"/>
      <c r="K10" s="62"/>
      <c r="L10" s="65"/>
      <c r="M10" s="65"/>
      <c r="N10" s="65"/>
      <c r="P10">
        <f t="shared" si="2"/>
        <v>440</v>
      </c>
      <c r="Q10" t="str">
        <f t="shared" si="3"/>
        <v>NA</v>
      </c>
      <c r="R10" t="str">
        <f>IF(ISERROR(MATCH(P10&amp;"."&amp;Q10,R$5:R9,0)),P10&amp;"."&amp;Q10,P10&amp;"."&amp;Q10&amp;COUNTIFS(P$5:P9,P10,Q$5:Q9,Q10))</f>
        <v>440.NA3</v>
      </c>
      <c r="S10" s="55">
        <f t="shared" si="4"/>
        <v>0</v>
      </c>
      <c r="W10" s="53">
        <v>135</v>
      </c>
      <c r="X10" s="54">
        <f t="shared" si="0"/>
        <v>0</v>
      </c>
      <c r="Y10" s="54">
        <f>SUMIFS(FuncStudy!$G$93:$G$2216,FuncStudy!$AI$93:$AI$2216,$W10,FuncStudy!$AJ$93:$AJ$2216,"&lt;&gt;"&amp;"NA")</f>
        <v>0</v>
      </c>
      <c r="Z10" s="55">
        <f t="shared" si="1"/>
        <v>0</v>
      </c>
    </row>
    <row r="11" spans="1:26" hidden="1">
      <c r="A11" s="5">
        <v>76</v>
      </c>
      <c r="B11" s="59"/>
      <c r="C11" s="60">
        <v>442</v>
      </c>
      <c r="D11" s="61" t="s">
        <v>133</v>
      </c>
      <c r="E11" s="63"/>
      <c r="F11" s="63"/>
      <c r="G11" s="63"/>
      <c r="H11" s="62"/>
      <c r="I11" s="65"/>
      <c r="J11" s="65"/>
      <c r="K11" s="62"/>
      <c r="L11" s="65"/>
      <c r="M11" s="65"/>
      <c r="N11" s="65"/>
      <c r="P11">
        <f t="shared" si="2"/>
        <v>442</v>
      </c>
      <c r="Q11" t="str">
        <f t="shared" si="3"/>
        <v>NA</v>
      </c>
      <c r="R11" t="str">
        <f>IF(ISERROR(MATCH(P11&amp;"."&amp;Q11,R$5:R10,0)),P11&amp;"."&amp;Q11,P11&amp;"."&amp;Q11&amp;COUNTIFS(P$5:P10,P11,Q$5:Q10,Q11))</f>
        <v>442.NA</v>
      </c>
      <c r="S11" s="55">
        <f t="shared" si="4"/>
        <v>0</v>
      </c>
      <c r="W11" s="53">
        <v>141</v>
      </c>
      <c r="X11" s="54">
        <f t="shared" si="0"/>
        <v>0</v>
      </c>
      <c r="Y11" s="54" t="e">
        <f>SUMIFS(FuncStudy!$G$93:$G$2216,FuncStudy!$AI$93:$AI$2216,$W11,FuncStudy!$AJ$93:$AJ$2216,"&lt;&gt;"&amp;"NA")</f>
        <v>#VALUE!</v>
      </c>
      <c r="Z11" s="55" t="e">
        <f t="shared" si="1"/>
        <v>#VALUE!</v>
      </c>
    </row>
    <row r="12" spans="1:26" hidden="1">
      <c r="A12" s="5">
        <v>77</v>
      </c>
      <c r="B12" s="59"/>
      <c r="C12" s="60"/>
      <c r="D12" s="63"/>
      <c r="E12" s="63"/>
      <c r="F12" s="60">
        <v>0</v>
      </c>
      <c r="G12" s="61" t="s">
        <v>12</v>
      </c>
      <c r="H12" s="62"/>
      <c r="I12" s="65">
        <v>2863596712.9799995</v>
      </c>
      <c r="J12" s="65">
        <v>1218669565.3</v>
      </c>
      <c r="K12" s="62"/>
      <c r="L12" s="65">
        <v>2885523279.0304437</v>
      </c>
      <c r="M12" s="65">
        <v>1644927147.6799994</v>
      </c>
      <c r="N12" s="64">
        <v>1240596131.3504443</v>
      </c>
      <c r="P12">
        <f t="shared" si="2"/>
        <v>442</v>
      </c>
      <c r="Q12" t="str">
        <f t="shared" si="3"/>
        <v>S</v>
      </c>
      <c r="R12" t="str">
        <f>IF(ISERROR(MATCH(P12&amp;"."&amp;Q12,R$5:R11,0)),P12&amp;"."&amp;Q12,P12&amp;"."&amp;Q12&amp;COUNTIFS(P$5:P11,P12,Q$5:Q11,Q12))</f>
        <v>442.S</v>
      </c>
      <c r="S12" s="55">
        <f t="shared" si="4"/>
        <v>1240596131.3504443</v>
      </c>
      <c r="W12" s="53">
        <v>143</v>
      </c>
      <c r="X12" s="54">
        <f t="shared" si="0"/>
        <v>17072786.899066489</v>
      </c>
      <c r="Y12" s="54" t="e">
        <f>SUMIFS(FuncStudy!$G$93:$G$2216,FuncStudy!$AI$93:$AI$2216,$W12,FuncStudy!$AJ$93:$AJ$2216,"&lt;&gt;"&amp;"NA")</f>
        <v>#VALUE!</v>
      </c>
      <c r="Z12" s="55" t="e">
        <f t="shared" si="1"/>
        <v>#VALUE!</v>
      </c>
    </row>
    <row r="13" spans="1:26" hidden="1">
      <c r="A13" s="5">
        <v>78</v>
      </c>
      <c r="B13" s="59"/>
      <c r="C13" s="60"/>
      <c r="D13" s="63"/>
      <c r="E13" s="63"/>
      <c r="F13" s="60" t="s">
        <v>13</v>
      </c>
      <c r="G13" s="61" t="s">
        <v>16</v>
      </c>
      <c r="H13" s="62"/>
      <c r="I13" s="65">
        <v>0</v>
      </c>
      <c r="J13" s="65">
        <v>0</v>
      </c>
      <c r="K13" s="62"/>
      <c r="L13" s="65">
        <v>0</v>
      </c>
      <c r="M13" s="65">
        <v>0</v>
      </c>
      <c r="N13" s="64">
        <v>0</v>
      </c>
      <c r="P13">
        <f t="shared" si="2"/>
        <v>442</v>
      </c>
      <c r="Q13" t="str">
        <f t="shared" si="3"/>
        <v>SE</v>
      </c>
      <c r="R13" t="str">
        <f>IF(ISERROR(MATCH(P13&amp;"."&amp;Q13,R$5:R12,0)),P13&amp;"."&amp;Q13,P13&amp;"."&amp;Q13&amp;COUNTIFS(P$5:P12,P13,Q$5:Q12,Q13))</f>
        <v>442.SE</v>
      </c>
      <c r="S13" s="55">
        <f t="shared" si="4"/>
        <v>0</v>
      </c>
      <c r="W13" s="53">
        <v>151</v>
      </c>
      <c r="X13" s="54">
        <f t="shared" si="0"/>
        <v>76413147.217159674</v>
      </c>
      <c r="Y13" s="54" t="e">
        <f>SUMIFS(FuncStudy!$G$93:$G$2216,FuncStudy!$AI$93:$AI$2216,$W13,FuncStudy!$AJ$93:$AJ$2216,"&lt;&gt;"&amp;"NA")</f>
        <v>#VALUE!</v>
      </c>
      <c r="Z13" s="55" t="e">
        <f t="shared" si="1"/>
        <v>#VALUE!</v>
      </c>
    </row>
    <row r="14" spans="1:26" hidden="1">
      <c r="A14" s="5">
        <v>79</v>
      </c>
      <c r="B14" s="59"/>
      <c r="C14" s="60"/>
      <c r="D14" s="63"/>
      <c r="E14" s="63"/>
      <c r="F14" s="60" t="s">
        <v>134</v>
      </c>
      <c r="G14" s="61" t="s">
        <v>15</v>
      </c>
      <c r="H14" s="62"/>
      <c r="I14" s="65">
        <v>0</v>
      </c>
      <c r="J14" s="65">
        <v>0</v>
      </c>
      <c r="K14" s="62"/>
      <c r="L14" s="65">
        <v>0</v>
      </c>
      <c r="M14" s="65">
        <v>0</v>
      </c>
      <c r="N14" s="64">
        <v>0</v>
      </c>
      <c r="P14">
        <f t="shared" si="2"/>
        <v>442</v>
      </c>
      <c r="Q14" t="str">
        <f t="shared" si="3"/>
        <v>SG</v>
      </c>
      <c r="R14" t="str">
        <f>IF(ISERROR(MATCH(P14&amp;"."&amp;Q14,R$5:R13,0)),P14&amp;"."&amp;Q14,P14&amp;"."&amp;Q14&amp;COUNTIFS(P$5:P13,P14,Q$5:Q13,Q14))</f>
        <v>442.SG</v>
      </c>
      <c r="S14" s="55">
        <f t="shared" si="4"/>
        <v>0</v>
      </c>
      <c r="W14" s="53">
        <v>152</v>
      </c>
      <c r="X14" s="54">
        <f t="shared" si="0"/>
        <v>0</v>
      </c>
      <c r="Y14" s="54" t="e">
        <f>SUMIFS(FuncStudy!$G$93:$G$2216,FuncStudy!$AI$93:$AI$2216,$W14,FuncStudy!$AJ$93:$AJ$2216,"&lt;&gt;"&amp;"NA")</f>
        <v>#VALUE!</v>
      </c>
      <c r="Z14" s="55" t="e">
        <f t="shared" si="1"/>
        <v>#VALUE!</v>
      </c>
    </row>
    <row r="15" spans="1:26" hidden="1">
      <c r="A15" s="5">
        <v>80</v>
      </c>
      <c r="B15" s="59"/>
      <c r="C15" s="60"/>
      <c r="D15" s="63"/>
      <c r="E15" s="63"/>
      <c r="F15" s="63"/>
      <c r="G15" s="63"/>
      <c r="H15" s="62"/>
      <c r="I15" s="67"/>
      <c r="J15" s="67"/>
      <c r="K15" s="62"/>
      <c r="L15" s="67"/>
      <c r="M15" s="65"/>
      <c r="N15" s="65"/>
      <c r="P15">
        <f t="shared" si="2"/>
        <v>442</v>
      </c>
      <c r="Q15" t="str">
        <f t="shared" si="3"/>
        <v>NA</v>
      </c>
      <c r="R15" t="str">
        <f>IF(ISERROR(MATCH(P15&amp;"."&amp;Q15,R$5:R14,0)),P15&amp;"."&amp;Q15,P15&amp;"."&amp;Q15&amp;COUNTIFS(P$5:P14,P15,Q$5:Q14,Q15))</f>
        <v>442.NA1</v>
      </c>
      <c r="S15" s="55">
        <f t="shared" si="4"/>
        <v>0</v>
      </c>
      <c r="W15" s="53">
        <v>154</v>
      </c>
      <c r="X15" s="54">
        <f t="shared" si="0"/>
        <v>101431251.00837147</v>
      </c>
      <c r="Y15" s="54" t="e">
        <f>SUMIFS(FuncStudy!$G$93:$G$2216,FuncStudy!$AI$93:$AI$2216,$W15,FuncStudy!$AJ$93:$AJ$2216,"&lt;&gt;"&amp;"NA")</f>
        <v>#VALUE!</v>
      </c>
      <c r="Z15" s="55" t="e">
        <f t="shared" si="1"/>
        <v>#VALUE!</v>
      </c>
    </row>
    <row r="16" spans="1:26" hidden="1">
      <c r="A16" s="5">
        <v>81</v>
      </c>
      <c r="B16" s="59"/>
      <c r="C16" s="60"/>
      <c r="D16" s="63"/>
      <c r="E16" s="63"/>
      <c r="F16" s="63"/>
      <c r="G16" s="63"/>
      <c r="H16" s="62"/>
      <c r="I16" s="65"/>
      <c r="J16" s="65"/>
      <c r="K16" s="62"/>
      <c r="L16" s="65"/>
      <c r="M16" s="65"/>
      <c r="N16" s="65"/>
      <c r="P16">
        <f t="shared" si="2"/>
        <v>442</v>
      </c>
      <c r="Q16" t="str">
        <f t="shared" si="3"/>
        <v>NA</v>
      </c>
      <c r="R16" t="str">
        <f>IF(ISERROR(MATCH(P16&amp;"."&amp;Q16,R$5:R15,0)),P16&amp;"."&amp;Q16,P16&amp;"."&amp;Q16&amp;COUNTIFS(P$5:P15,P16,Q$5:Q15,Q16))</f>
        <v>442.NA2</v>
      </c>
      <c r="S16" s="55">
        <f t="shared" si="4"/>
        <v>0</v>
      </c>
      <c r="W16" s="53">
        <v>163</v>
      </c>
      <c r="X16" s="54">
        <f t="shared" si="0"/>
        <v>0</v>
      </c>
      <c r="Y16" s="54" t="e">
        <f>SUMIFS(FuncStudy!$G$93:$G$2216,FuncStudy!$AI$93:$AI$2216,$W16,FuncStudy!$AJ$93:$AJ$2216,"&lt;&gt;"&amp;"NA")</f>
        <v>#VALUE!</v>
      </c>
      <c r="Z16" s="55" t="e">
        <f t="shared" si="1"/>
        <v>#VALUE!</v>
      </c>
    </row>
    <row r="17" spans="1:27" hidden="1">
      <c r="A17" s="5">
        <v>82</v>
      </c>
      <c r="B17" s="59"/>
      <c r="C17" s="60"/>
      <c r="D17" s="63"/>
      <c r="E17" s="63"/>
      <c r="F17" s="63"/>
      <c r="G17" s="63"/>
      <c r="H17" s="62" t="s">
        <v>132</v>
      </c>
      <c r="I17" s="66">
        <v>2863596712.9799995</v>
      </c>
      <c r="J17" s="66">
        <v>1218669565.3</v>
      </c>
      <c r="K17" s="62"/>
      <c r="L17" s="66">
        <v>2885523279.0304437</v>
      </c>
      <c r="M17" s="66">
        <v>1644927147.6799994</v>
      </c>
      <c r="N17" s="66">
        <v>1240596131.3504443</v>
      </c>
      <c r="P17">
        <f t="shared" si="2"/>
        <v>442</v>
      </c>
      <c r="Q17" t="str">
        <f t="shared" si="3"/>
        <v>NA</v>
      </c>
      <c r="R17" t="str">
        <f>IF(ISERROR(MATCH(P17&amp;"."&amp;Q17,R$5:R16,0)),P17&amp;"."&amp;Q17,P17&amp;"."&amp;Q17&amp;COUNTIFS(P$5:P16,P17,Q$5:Q16,Q17))</f>
        <v>442.NA3</v>
      </c>
      <c r="S17" s="55">
        <f t="shared" si="4"/>
        <v>1240596131.3504443</v>
      </c>
      <c r="W17" s="53">
        <v>165</v>
      </c>
      <c r="X17" s="54">
        <f t="shared" si="0"/>
        <v>16466050.790897196</v>
      </c>
      <c r="Y17" s="54" t="e">
        <f>SUMIFS(FuncStudy!$G$93:$G$2216,FuncStudy!$AI$93:$AI$2216,$W17,FuncStudy!$AJ$93:$AJ$2216,"&lt;&gt;"&amp;"NA")</f>
        <v>#VALUE!</v>
      </c>
      <c r="Z17" s="55" t="e">
        <f t="shared" si="1"/>
        <v>#VALUE!</v>
      </c>
    </row>
    <row r="18" spans="1:27" hidden="1">
      <c r="A18" s="5">
        <v>83</v>
      </c>
      <c r="B18" s="59"/>
      <c r="C18" s="60"/>
      <c r="D18" s="63"/>
      <c r="E18" s="63"/>
      <c r="F18" s="63"/>
      <c r="G18" s="63"/>
      <c r="H18" s="62"/>
      <c r="I18" s="65"/>
      <c r="J18" s="65"/>
      <c r="K18" s="62"/>
      <c r="L18" s="65"/>
      <c r="M18" s="65"/>
      <c r="N18" s="65"/>
      <c r="P18">
        <f t="shared" si="2"/>
        <v>442</v>
      </c>
      <c r="Q18" t="str">
        <f t="shared" si="3"/>
        <v>NA</v>
      </c>
      <c r="R18" t="str">
        <f>IF(ISERROR(MATCH(P18&amp;"."&amp;Q18,R$5:R17,0)),P18&amp;"."&amp;Q18,P18&amp;"."&amp;Q18&amp;COUNTIFS(P$5:P17,P18,Q$5:Q17,Q18))</f>
        <v>442.NA4</v>
      </c>
      <c r="S18" s="55">
        <f t="shared" si="4"/>
        <v>0</v>
      </c>
      <c r="W18" s="53">
        <v>190</v>
      </c>
      <c r="X18" s="54">
        <f t="shared" si="0"/>
        <v>197326089.96176213</v>
      </c>
      <c r="Y18" s="54" t="e">
        <f>SUMIFS(FuncStudy!$G$93:$G$2216,FuncStudy!$AI$93:$AI$2216,$W18,FuncStudy!$AJ$93:$AJ$2216,"&lt;&gt;"&amp;"NA")</f>
        <v>#VALUE!</v>
      </c>
      <c r="Z18" s="55" t="e">
        <f t="shared" si="1"/>
        <v>#VALUE!</v>
      </c>
    </row>
    <row r="19" spans="1:27" hidden="1">
      <c r="A19" s="5">
        <v>84</v>
      </c>
      <c r="B19" s="59"/>
      <c r="C19" s="60">
        <v>444</v>
      </c>
      <c r="D19" s="61" t="s">
        <v>135</v>
      </c>
      <c r="E19" s="63"/>
      <c r="F19" s="63"/>
      <c r="G19" s="63"/>
      <c r="H19" s="62"/>
      <c r="I19" s="65"/>
      <c r="J19" s="65"/>
      <c r="K19" s="62"/>
      <c r="L19" s="65"/>
      <c r="M19" s="65"/>
      <c r="N19" s="65"/>
      <c r="P19">
        <f t="shared" si="2"/>
        <v>444</v>
      </c>
      <c r="Q19" t="str">
        <f t="shared" si="3"/>
        <v>NA</v>
      </c>
      <c r="R19" t="str">
        <f>IF(ISERROR(MATCH(P19&amp;"."&amp;Q19,R$5:R18,0)),P19&amp;"."&amp;Q19,P19&amp;"."&amp;Q19&amp;COUNTIFS(P$5:P18,P19,Q$5:Q18,Q19))</f>
        <v>444.NA</v>
      </c>
      <c r="S19" s="55">
        <f t="shared" si="4"/>
        <v>0</v>
      </c>
      <c r="W19" s="53">
        <v>230</v>
      </c>
      <c r="X19" s="54">
        <f t="shared" si="0"/>
        <v>-1301810.3078051887</v>
      </c>
      <c r="Y19" s="54" t="e">
        <f>SUMIFS(FuncStudy!$G$93:$G$2216,FuncStudy!$AI$93:$AI$2216,$W19,FuncStudy!$AJ$93:$AJ$2216,"&lt;&gt;"&amp;"NA")</f>
        <v>#VALUE!</v>
      </c>
      <c r="Z19" s="55" t="e">
        <f t="shared" si="1"/>
        <v>#VALUE!</v>
      </c>
    </row>
    <row r="20" spans="1:27" hidden="1">
      <c r="A20" s="5">
        <v>85</v>
      </c>
      <c r="B20" s="59"/>
      <c r="C20" s="60"/>
      <c r="D20" s="63"/>
      <c r="E20" s="63"/>
      <c r="F20" s="60">
        <v>0</v>
      </c>
      <c r="G20" s="61" t="s">
        <v>12</v>
      </c>
      <c r="H20" s="62"/>
      <c r="I20" s="65">
        <v>18198043.640000001</v>
      </c>
      <c r="J20" s="65">
        <v>7562856.3399999999</v>
      </c>
      <c r="K20" s="62"/>
      <c r="L20" s="65">
        <v>17242381.2007</v>
      </c>
      <c r="M20" s="65">
        <v>10635187.299999999</v>
      </c>
      <c r="N20" s="64">
        <v>6607193.900700001</v>
      </c>
      <c r="P20">
        <f t="shared" si="2"/>
        <v>444</v>
      </c>
      <c r="Q20" t="str">
        <f t="shared" si="3"/>
        <v>S</v>
      </c>
      <c r="R20" t="str">
        <f>IF(ISERROR(MATCH(P20&amp;"."&amp;Q20,R$5:R19,0)),P20&amp;"."&amp;Q20,P20&amp;"."&amp;Q20&amp;COUNTIFS(P$5:P19,P20,Q$5:Q19,Q20))</f>
        <v>444.S</v>
      </c>
      <c r="S20" s="55">
        <f t="shared" si="4"/>
        <v>6607193.900700001</v>
      </c>
      <c r="W20" s="53">
        <v>232</v>
      </c>
      <c r="X20" s="54">
        <f t="shared" si="0"/>
        <v>-5120930.5065889414</v>
      </c>
      <c r="Y20" s="54" t="e">
        <f>SUMIFS(FuncStudy!$G$93:$G$2216,FuncStudy!$AI$93:$AI$2216,$W20,FuncStudy!$AJ$93:$AJ$2216,"&lt;&gt;"&amp;"NA")</f>
        <v>#VALUE!</v>
      </c>
      <c r="Z20" s="55" t="e">
        <f t="shared" si="1"/>
        <v>#VALUE!</v>
      </c>
    </row>
    <row r="21" spans="1:27" hidden="1">
      <c r="A21" s="5">
        <v>86</v>
      </c>
      <c r="B21" s="59"/>
      <c r="C21" s="60"/>
      <c r="D21" s="63"/>
      <c r="E21" s="63"/>
      <c r="F21" s="60">
        <v>0</v>
      </c>
      <c r="G21" s="61" t="s">
        <v>136</v>
      </c>
      <c r="H21" s="62"/>
      <c r="I21" s="65">
        <v>0</v>
      </c>
      <c r="J21" s="65">
        <v>0</v>
      </c>
      <c r="K21" s="62"/>
      <c r="L21" s="65">
        <v>0</v>
      </c>
      <c r="M21" s="65">
        <v>0</v>
      </c>
      <c r="N21" s="64">
        <v>0</v>
      </c>
      <c r="P21">
        <f t="shared" si="2"/>
        <v>444</v>
      </c>
      <c r="Q21" t="str">
        <f t="shared" si="3"/>
        <v>SO</v>
      </c>
      <c r="R21" t="str">
        <f>IF(ISERROR(MATCH(P21&amp;"."&amp;Q21,R$5:R20,0)),P21&amp;"."&amp;Q21,P21&amp;"."&amp;Q21&amp;COUNTIFS(P$5:P20,P21,Q$5:Q20,Q21))</f>
        <v>444.SO</v>
      </c>
      <c r="S21" s="55">
        <f t="shared" si="4"/>
        <v>0</v>
      </c>
      <c r="W21" s="53">
        <v>235</v>
      </c>
      <c r="X21" s="54">
        <f t="shared" si="0"/>
        <v>-16275584.48076923</v>
      </c>
      <c r="Y21" s="54" t="e">
        <f>SUMIFS(FuncStudy!$G$93:$G$2216,FuncStudy!$AI$93:$AI$2216,$W21,FuncStudy!$AJ$93:$AJ$2216,"&lt;&gt;"&amp;"NA")</f>
        <v>#VALUE!</v>
      </c>
      <c r="Z21" s="55" t="e">
        <f t="shared" si="1"/>
        <v>#VALUE!</v>
      </c>
    </row>
    <row r="22" spans="1:27" hidden="1">
      <c r="A22" s="5">
        <v>87</v>
      </c>
      <c r="B22" s="59"/>
      <c r="C22" s="60"/>
      <c r="D22" s="63"/>
      <c r="E22" s="63"/>
      <c r="F22" s="63"/>
      <c r="G22" s="63"/>
      <c r="H22" s="62" t="s">
        <v>132</v>
      </c>
      <c r="I22" s="66">
        <v>18198043.640000001</v>
      </c>
      <c r="J22" s="66">
        <v>7562856.3399999999</v>
      </c>
      <c r="K22" s="62"/>
      <c r="L22" s="66">
        <v>17242381.2007</v>
      </c>
      <c r="M22" s="66">
        <v>10635187.299999999</v>
      </c>
      <c r="N22" s="66">
        <v>6607193.900700001</v>
      </c>
      <c r="P22">
        <f t="shared" si="2"/>
        <v>444</v>
      </c>
      <c r="Q22" t="str">
        <f t="shared" si="3"/>
        <v>NA</v>
      </c>
      <c r="R22" t="str">
        <f>IF(ISERROR(MATCH(P22&amp;"."&amp;Q22,R$5:R21,0)),P22&amp;"."&amp;Q22,P22&amp;"."&amp;Q22&amp;COUNTIFS(P$5:P21,P22,Q$5:Q21,Q22))</f>
        <v>444.NA1</v>
      </c>
      <c r="S22" s="55">
        <f t="shared" si="4"/>
        <v>6607193.900700001</v>
      </c>
      <c r="W22" s="53">
        <v>252</v>
      </c>
      <c r="X22" s="54">
        <f t="shared" si="0"/>
        <v>-38042159.690947056</v>
      </c>
      <c r="Y22" s="54" t="e">
        <f>SUMIFS(FuncStudy!$G$93:$G$2216,FuncStudy!$AI$93:$AI$2216,$W22,FuncStudy!$AJ$93:$AJ$2216,"&lt;&gt;"&amp;"NA")</f>
        <v>#VALUE!</v>
      </c>
      <c r="Z22" s="55" t="e">
        <f t="shared" si="1"/>
        <v>#VALUE!</v>
      </c>
    </row>
    <row r="23" spans="1:27" hidden="1">
      <c r="A23" s="5">
        <v>88</v>
      </c>
      <c r="B23" s="59"/>
      <c r="C23" s="60"/>
      <c r="D23" s="63"/>
      <c r="E23" s="63"/>
      <c r="F23" s="63"/>
      <c r="G23" s="63"/>
      <c r="H23" s="62"/>
      <c r="I23" s="65"/>
      <c r="J23" s="65"/>
      <c r="K23" s="62"/>
      <c r="L23" s="65"/>
      <c r="M23" s="65"/>
      <c r="N23" s="65"/>
      <c r="P23">
        <f t="shared" si="2"/>
        <v>444</v>
      </c>
      <c r="Q23" t="str">
        <f t="shared" si="3"/>
        <v>NA</v>
      </c>
      <c r="R23" t="str">
        <f>IF(ISERROR(MATCH(P23&amp;"."&amp;Q23,R$5:R22,0)),P23&amp;"."&amp;Q23,P23&amp;"."&amp;Q23&amp;COUNTIFS(P$5:P22,P23,Q$5:Q22,Q23))</f>
        <v>444.NA2</v>
      </c>
      <c r="S23" s="55">
        <f t="shared" si="4"/>
        <v>0</v>
      </c>
      <c r="W23" s="53">
        <v>254</v>
      </c>
      <c r="X23" s="54">
        <f t="shared" si="0"/>
        <v>-677115935.63752604</v>
      </c>
      <c r="Y23" s="54" t="e">
        <f>SUMIFS(FuncStudy!$G$93:$G$2216,FuncStudy!$AI$93:$AI$2216,$W23,FuncStudy!$AJ$93:$AJ$2216,"&lt;&gt;"&amp;"NA")</f>
        <v>#VALUE!</v>
      </c>
      <c r="Z23" s="55" t="e">
        <f t="shared" si="1"/>
        <v>#VALUE!</v>
      </c>
    </row>
    <row r="24" spans="1:27" hidden="1">
      <c r="A24" s="5">
        <v>89</v>
      </c>
      <c r="B24" s="59"/>
      <c r="C24" s="60">
        <v>445</v>
      </c>
      <c r="D24" s="61" t="s">
        <v>137</v>
      </c>
      <c r="E24" s="63"/>
      <c r="F24" s="63"/>
      <c r="G24" s="63"/>
      <c r="H24" s="62"/>
      <c r="I24" s="65"/>
      <c r="J24" s="65"/>
      <c r="K24" s="62"/>
      <c r="L24" s="65"/>
      <c r="M24" s="65"/>
      <c r="N24" s="65"/>
      <c r="P24">
        <f t="shared" si="2"/>
        <v>445</v>
      </c>
      <c r="Q24" t="str">
        <f t="shared" si="3"/>
        <v>NA</v>
      </c>
      <c r="R24" t="str">
        <f>IF(ISERROR(MATCH(P24&amp;"."&amp;Q24,R$5:R23,0)),P24&amp;"."&amp;Q24,P24&amp;"."&amp;Q24&amp;COUNTIFS(P$5:P23,P24,Q$5:Q23,Q24))</f>
        <v>445.NA</v>
      </c>
      <c r="S24" s="55">
        <f t="shared" si="4"/>
        <v>0</v>
      </c>
      <c r="W24" s="53">
        <v>255</v>
      </c>
      <c r="X24" s="54">
        <f t="shared" si="0"/>
        <v>-84977.084561841402</v>
      </c>
      <c r="Y24" s="54" t="e">
        <f>SUMIFS(FuncStudy!$G$93:$G$2216,FuncStudy!$AI$93:$AI$2216,$W24,FuncStudy!$AJ$93:$AJ$2216,"&lt;&gt;"&amp;"NA")</f>
        <v>#VALUE!</v>
      </c>
      <c r="Z24" s="55" t="e">
        <f t="shared" si="1"/>
        <v>#VALUE!</v>
      </c>
    </row>
    <row r="25" spans="1:27" hidden="1">
      <c r="A25" s="5">
        <v>90</v>
      </c>
      <c r="B25" s="59"/>
      <c r="C25" s="60"/>
      <c r="D25" s="63"/>
      <c r="E25" s="63"/>
      <c r="F25" s="60">
        <v>0</v>
      </c>
      <c r="G25" s="61" t="s">
        <v>12</v>
      </c>
      <c r="H25" s="62"/>
      <c r="I25" s="65">
        <v>0</v>
      </c>
      <c r="J25" s="65">
        <v>0</v>
      </c>
      <c r="K25" s="62"/>
      <c r="L25" s="65">
        <v>0</v>
      </c>
      <c r="M25" s="65">
        <v>0</v>
      </c>
      <c r="N25" s="64">
        <v>0</v>
      </c>
      <c r="P25">
        <f t="shared" si="2"/>
        <v>445</v>
      </c>
      <c r="Q25" t="str">
        <f t="shared" si="3"/>
        <v>S</v>
      </c>
      <c r="R25" t="str">
        <f>IF(ISERROR(MATCH(P25&amp;"."&amp;Q25,R$5:R24,0)),P25&amp;"."&amp;Q25,P25&amp;"."&amp;Q25&amp;COUNTIFS(P$5:P24,P25,Q$5:Q24,Q25))</f>
        <v>445.S</v>
      </c>
      <c r="S25" s="55">
        <f t="shared" si="4"/>
        <v>0</v>
      </c>
      <c r="W25" s="53">
        <v>281</v>
      </c>
      <c r="X25" s="54">
        <f t="shared" si="0"/>
        <v>-2.3690867334736515E-3</v>
      </c>
      <c r="Y25" s="54" t="e">
        <f>SUMIFS(FuncStudy!$G$93:$G$2216,FuncStudy!$AI$93:$AI$2216,$W25,FuncStudy!$AJ$93:$AJ$2216,"&lt;&gt;"&amp;"NA")</f>
        <v>#VALUE!</v>
      </c>
      <c r="Z25" s="55" t="e">
        <f t="shared" si="1"/>
        <v>#VALUE!</v>
      </c>
    </row>
    <row r="26" spans="1:27" hidden="1">
      <c r="A26" s="5">
        <v>91</v>
      </c>
      <c r="B26" s="59"/>
      <c r="C26" s="60"/>
      <c r="D26" s="63"/>
      <c r="E26" s="63"/>
      <c r="F26" s="63"/>
      <c r="G26" s="63"/>
      <c r="H26" s="62"/>
      <c r="I26" s="65"/>
      <c r="J26" s="65"/>
      <c r="K26" s="62"/>
      <c r="L26" s="65"/>
      <c r="M26" s="65"/>
      <c r="N26" s="65"/>
      <c r="P26">
        <f t="shared" si="2"/>
        <v>445</v>
      </c>
      <c r="Q26" t="str">
        <f t="shared" si="3"/>
        <v>NA</v>
      </c>
      <c r="R26" t="str">
        <f>IF(ISERROR(MATCH(P26&amp;"."&amp;Q26,R$5:R25,0)),P26&amp;"."&amp;Q26,P26&amp;"."&amp;Q26&amp;COUNTIFS(P$5:P25,P26,Q$5:Q25,Q26))</f>
        <v>445.NA1</v>
      </c>
      <c r="S26" s="55">
        <f t="shared" si="4"/>
        <v>0</v>
      </c>
      <c r="W26" s="53">
        <v>282</v>
      </c>
      <c r="X26" s="54">
        <f t="shared" si="0"/>
        <v>-1325835979.0953341</v>
      </c>
      <c r="Y26" s="54" t="e">
        <f>SUMIFS(FuncStudy!$G$93:$G$2216,FuncStudy!$AI$93:$AI$2216,$W26,FuncStudy!$AJ$93:$AJ$2216,"&lt;&gt;"&amp;"NA")</f>
        <v>#VALUE!</v>
      </c>
      <c r="Z26" s="55" t="e">
        <f t="shared" si="1"/>
        <v>#VALUE!</v>
      </c>
    </row>
    <row r="27" spans="1:27" hidden="1">
      <c r="A27" s="5">
        <v>92</v>
      </c>
      <c r="B27" s="59"/>
      <c r="C27" s="60"/>
      <c r="D27" s="63"/>
      <c r="E27" s="63"/>
      <c r="F27" s="63"/>
      <c r="G27" s="63"/>
      <c r="H27" s="62" t="s">
        <v>132</v>
      </c>
      <c r="I27" s="66">
        <v>0</v>
      </c>
      <c r="J27" s="66">
        <v>0</v>
      </c>
      <c r="K27" s="62"/>
      <c r="L27" s="66">
        <v>0</v>
      </c>
      <c r="M27" s="66">
        <v>0</v>
      </c>
      <c r="N27" s="66">
        <v>0</v>
      </c>
      <c r="P27">
        <f t="shared" si="2"/>
        <v>445</v>
      </c>
      <c r="Q27" t="str">
        <f t="shared" si="3"/>
        <v>NA</v>
      </c>
      <c r="R27" t="str">
        <f>IF(ISERROR(MATCH(P27&amp;"."&amp;Q27,R$5:R26,0)),P27&amp;"."&amp;Q27,P27&amp;"."&amp;Q27&amp;COUNTIFS(P$5:P26,P27,Q$5:Q26,Q27))</f>
        <v>445.NA2</v>
      </c>
      <c r="S27" s="55">
        <f t="shared" si="4"/>
        <v>0</v>
      </c>
      <c r="W27" s="53">
        <v>283</v>
      </c>
      <c r="X27" s="54">
        <f t="shared" si="0"/>
        <v>-49041895.739760473</v>
      </c>
      <c r="Y27" s="54" t="e">
        <f>SUMIFS(FuncStudy!$G$93:$G$2216,FuncStudy!$AI$93:$AI$2216,$W27,FuncStudy!$AJ$93:$AJ$2216,"&lt;&gt;"&amp;"NA")</f>
        <v>#VALUE!</v>
      </c>
      <c r="Z27" s="55" t="e">
        <f t="shared" si="1"/>
        <v>#VALUE!</v>
      </c>
    </row>
    <row r="28" spans="1:27" hidden="1">
      <c r="A28" s="5">
        <v>93</v>
      </c>
      <c r="B28" s="59"/>
      <c r="C28" s="60"/>
      <c r="D28" s="63"/>
      <c r="E28" s="63"/>
      <c r="F28" s="63"/>
      <c r="G28" s="63"/>
      <c r="H28" s="62"/>
      <c r="I28" s="65"/>
      <c r="J28" s="65"/>
      <c r="K28" s="62"/>
      <c r="L28" s="65"/>
      <c r="M28" s="65"/>
      <c r="N28" s="65"/>
      <c r="P28">
        <f t="shared" si="2"/>
        <v>445</v>
      </c>
      <c r="Q28" t="str">
        <f t="shared" si="3"/>
        <v>NA</v>
      </c>
      <c r="R28" t="str">
        <f>IF(ISERROR(MATCH(P28&amp;"."&amp;Q28,R$5:R27,0)),P28&amp;"."&amp;Q28,P28&amp;"."&amp;Q28&amp;COUNTIFS(P$5:P27,P28,Q$5:Q27,Q28))</f>
        <v>445.NA3</v>
      </c>
      <c r="S28" s="55">
        <f t="shared" si="4"/>
        <v>0</v>
      </c>
      <c r="W28" s="53">
        <v>301</v>
      </c>
      <c r="X28" s="54">
        <f t="shared" si="0"/>
        <v>0</v>
      </c>
      <c r="Y28" s="54" t="e">
        <f>SUMIFS(FuncStudy!$G$93:$G$2216,FuncStudy!$AI$93:$AI$2216,$W28,FuncStudy!$AJ$93:$AJ$2216,"&lt;&gt;"&amp;"NA")</f>
        <v>#VALUE!</v>
      </c>
      <c r="Z28" s="55" t="e">
        <f t="shared" si="1"/>
        <v>#VALUE!</v>
      </c>
    </row>
    <row r="29" spans="1:27" hidden="1">
      <c r="A29" s="5">
        <v>94</v>
      </c>
      <c r="B29" s="59"/>
      <c r="C29" s="60">
        <v>448</v>
      </c>
      <c r="D29" s="61" t="s">
        <v>138</v>
      </c>
      <c r="E29" s="63"/>
      <c r="F29" s="63"/>
      <c r="G29" s="63"/>
      <c r="H29" s="62"/>
      <c r="I29" s="65"/>
      <c r="J29" s="65"/>
      <c r="K29" s="62"/>
      <c r="L29" s="65"/>
      <c r="M29" s="65"/>
      <c r="N29" s="65"/>
      <c r="P29">
        <f t="shared" si="2"/>
        <v>448</v>
      </c>
      <c r="Q29" t="str">
        <f t="shared" si="3"/>
        <v>NA</v>
      </c>
      <c r="R29" t="str">
        <f>IF(ISERROR(MATCH(P29&amp;"."&amp;Q29,R$5:R28,0)),P29&amp;"."&amp;Q29,P29&amp;"."&amp;Q29&amp;COUNTIFS(P$5:P28,P29,Q$5:Q28,Q29))</f>
        <v>448.NA</v>
      </c>
      <c r="S29" s="55">
        <f t="shared" si="4"/>
        <v>0</v>
      </c>
      <c r="W29" s="53">
        <v>302</v>
      </c>
      <c r="X29" s="54">
        <f t="shared" si="0"/>
        <v>55614118.998771161</v>
      </c>
      <c r="Y29" s="54" t="e">
        <f>SUMIFS(FuncStudy!$G$93:$G$2216,FuncStudy!$AI$93:$AI$2216,$W29,FuncStudy!$AJ$93:$AJ$2216,"&lt;&gt;"&amp;"NA")</f>
        <v>#VALUE!</v>
      </c>
      <c r="Z29" s="55" t="e">
        <f t="shared" si="1"/>
        <v>#VALUE!</v>
      </c>
    </row>
    <row r="30" spans="1:27" hidden="1">
      <c r="A30" s="5">
        <v>95</v>
      </c>
      <c r="B30" s="59"/>
      <c r="C30" s="60"/>
      <c r="D30" s="63"/>
      <c r="E30" s="63"/>
      <c r="F30" s="60" t="s">
        <v>139</v>
      </c>
      <c r="G30" s="61" t="s">
        <v>12</v>
      </c>
      <c r="H30" s="62"/>
      <c r="I30" s="65">
        <v>0</v>
      </c>
      <c r="J30" s="65">
        <v>0</v>
      </c>
      <c r="K30" s="62"/>
      <c r="L30" s="65">
        <v>0</v>
      </c>
      <c r="M30" s="65">
        <v>0</v>
      </c>
      <c r="N30" s="64">
        <v>0</v>
      </c>
      <c r="P30">
        <f t="shared" si="2"/>
        <v>448</v>
      </c>
      <c r="Q30" t="str">
        <f t="shared" si="3"/>
        <v>S</v>
      </c>
      <c r="R30" t="str">
        <f>IF(ISERROR(MATCH(P30&amp;"."&amp;Q30,R$5:R29,0)),P30&amp;"."&amp;Q30,P30&amp;"."&amp;Q30&amp;COUNTIFS(P$5:P29,P30,Q$5:Q29,Q30))</f>
        <v>448.S</v>
      </c>
      <c r="S30" s="55">
        <f t="shared" si="4"/>
        <v>0</v>
      </c>
      <c r="W30" s="53">
        <v>303</v>
      </c>
      <c r="X30" s="54">
        <f t="shared" si="0"/>
        <v>354830388.24872565</v>
      </c>
      <c r="Y30" s="54" t="e">
        <f>SUMIFS(FuncStudy!$G$93:$G$2216,FuncStudy!$AI$93:$AI$2216,$W30,FuncStudy!$AJ$93:$AJ$2216,"&lt;&gt;"&amp;"NA")</f>
        <v>#VALUE!</v>
      </c>
      <c r="Z30" s="55" t="e">
        <f t="shared" si="1"/>
        <v>#VALUE!</v>
      </c>
    </row>
    <row r="31" spans="1:27" hidden="1">
      <c r="A31" s="5">
        <v>96</v>
      </c>
      <c r="B31" s="59"/>
      <c r="C31" s="60"/>
      <c r="D31" s="63"/>
      <c r="E31" s="63"/>
      <c r="F31" s="60" t="s">
        <v>140</v>
      </c>
      <c r="G31" s="61" t="s">
        <v>136</v>
      </c>
      <c r="H31" s="62"/>
      <c r="I31" s="65">
        <v>0</v>
      </c>
      <c r="J31" s="65">
        <v>0</v>
      </c>
      <c r="K31" s="62"/>
      <c r="L31" s="65">
        <v>0</v>
      </c>
      <c r="M31" s="65">
        <v>0</v>
      </c>
      <c r="N31" s="64">
        <v>0</v>
      </c>
      <c r="P31">
        <f t="shared" si="2"/>
        <v>448</v>
      </c>
      <c r="Q31" t="str">
        <f t="shared" si="3"/>
        <v>SO</v>
      </c>
      <c r="R31" t="str">
        <f>IF(ISERROR(MATCH(P31&amp;"."&amp;Q31,R$5:R30,0)),P31&amp;"."&amp;Q31,P31&amp;"."&amp;Q31&amp;COUNTIFS(P$5:P30,P31,Q$5:Q30,Q31))</f>
        <v>448.SO</v>
      </c>
      <c r="S31" s="55">
        <f t="shared" si="4"/>
        <v>0</v>
      </c>
      <c r="W31" s="53">
        <v>310</v>
      </c>
      <c r="X31" s="54">
        <f t="shared" si="0"/>
        <v>40913063.549015351</v>
      </c>
      <c r="Y31" s="54" t="e">
        <f>SUMIFS(FuncStudy!$G$93:$G$2216,FuncStudy!$AI$93:$AI$2216,$W31,FuncStudy!$AJ$93:$AJ$2216,"&lt;&gt;"&amp;"NA")</f>
        <v>#VALUE!</v>
      </c>
      <c r="Z31" s="55" t="e">
        <f t="shared" si="1"/>
        <v>#VALUE!</v>
      </c>
      <c r="AA31" t="s">
        <v>141</v>
      </c>
    </row>
    <row r="32" spans="1:27" hidden="1">
      <c r="A32" s="5">
        <v>97</v>
      </c>
      <c r="B32" s="59"/>
      <c r="C32" s="60"/>
      <c r="D32" s="63"/>
      <c r="E32" s="63"/>
      <c r="F32" s="63"/>
      <c r="G32" s="63"/>
      <c r="H32" s="62" t="s">
        <v>132</v>
      </c>
      <c r="I32" s="66">
        <v>0</v>
      </c>
      <c r="J32" s="66">
        <v>0</v>
      </c>
      <c r="K32" s="62"/>
      <c r="L32" s="66">
        <v>0</v>
      </c>
      <c r="M32" s="66">
        <v>0</v>
      </c>
      <c r="N32" s="66">
        <v>0</v>
      </c>
      <c r="P32">
        <f t="shared" si="2"/>
        <v>448</v>
      </c>
      <c r="Q32" t="str">
        <f t="shared" si="3"/>
        <v>NA</v>
      </c>
      <c r="R32" t="str">
        <f>IF(ISERROR(MATCH(P32&amp;"."&amp;Q32,R$5:R31,0)),P32&amp;"."&amp;Q32,P32&amp;"."&amp;Q32&amp;COUNTIFS(P$5:P31,P32,Q$5:Q31,Q32))</f>
        <v>448.NA1</v>
      </c>
      <c r="S32" s="55">
        <f t="shared" si="4"/>
        <v>0</v>
      </c>
      <c r="W32" s="53">
        <v>311</v>
      </c>
      <c r="X32" s="54">
        <f t="shared" si="0"/>
        <v>456757115.6621474</v>
      </c>
      <c r="Y32" s="54" t="e">
        <f>SUMIFS(FuncStudy!$G$93:$G$2216,FuncStudy!$AI$93:$AI$2216,$W32,FuncStudy!$AJ$93:$AJ$2216,"&lt;&gt;"&amp;"NA")</f>
        <v>#VALUE!</v>
      </c>
      <c r="Z32" s="55" t="e">
        <f t="shared" si="1"/>
        <v>#VALUE!</v>
      </c>
    </row>
    <row r="33" spans="1:26" hidden="1">
      <c r="A33" s="5">
        <v>98</v>
      </c>
      <c r="B33" s="59"/>
      <c r="C33" s="60"/>
      <c r="D33" s="63"/>
      <c r="E33" s="63"/>
      <c r="F33" s="63"/>
      <c r="G33" s="63"/>
      <c r="H33" s="62"/>
      <c r="I33" s="65"/>
      <c r="J33" s="65"/>
      <c r="K33" s="62"/>
      <c r="L33" s="65"/>
      <c r="M33" s="65"/>
      <c r="N33" s="65"/>
      <c r="P33">
        <f t="shared" si="2"/>
        <v>448</v>
      </c>
      <c r="Q33" t="str">
        <f t="shared" si="3"/>
        <v>NA</v>
      </c>
      <c r="R33" t="str">
        <f>IF(ISERROR(MATCH(P33&amp;"."&amp;Q33,R$5:R32,0)),P33&amp;"."&amp;Q33,P33&amp;"."&amp;Q33&amp;COUNTIFS(P$5:P32,P33,Q$5:Q32,Q33))</f>
        <v>448.NA2</v>
      </c>
      <c r="S33" s="55">
        <f t="shared" si="4"/>
        <v>0</v>
      </c>
      <c r="W33" s="53">
        <v>312</v>
      </c>
      <c r="X33" s="54">
        <f t="shared" si="0"/>
        <v>1830499750.0301502</v>
      </c>
      <c r="Y33" s="54" t="e">
        <f>SUMIFS(FuncStudy!$G$93:$G$2216,FuncStudy!$AI$93:$AI$2216,$W33,FuncStudy!$AJ$93:$AJ$2216,"&lt;&gt;"&amp;"NA")</f>
        <v>#VALUE!</v>
      </c>
      <c r="Z33" s="55" t="e">
        <f t="shared" si="1"/>
        <v>#VALUE!</v>
      </c>
    </row>
    <row r="34" spans="1:26" ht="15.75" hidden="1" thickBot="1">
      <c r="A34" s="5">
        <v>99</v>
      </c>
      <c r="B34" s="59"/>
      <c r="C34" s="45" t="s">
        <v>142</v>
      </c>
      <c r="D34" s="63"/>
      <c r="E34" s="63"/>
      <c r="F34" s="63"/>
      <c r="G34" s="63"/>
      <c r="H34" s="41" t="s">
        <v>132</v>
      </c>
      <c r="I34" s="68">
        <v>4697555109.1599998</v>
      </c>
      <c r="J34" s="68">
        <v>1988715510.2899997</v>
      </c>
      <c r="K34" s="41"/>
      <c r="L34" s="68">
        <v>4710535544.2785435</v>
      </c>
      <c r="M34" s="68">
        <v>2708839598.8699989</v>
      </c>
      <c r="N34" s="68">
        <v>2001695945.4085445</v>
      </c>
      <c r="P34" t="str">
        <f t="shared" si="2"/>
        <v>Total Sales to Ultimate Customers</v>
      </c>
      <c r="Q34" t="str">
        <f t="shared" si="3"/>
        <v>NA</v>
      </c>
      <c r="R34" t="str">
        <f>IF(ISERROR(MATCH(P34&amp;"."&amp;Q34,R$5:R33,0)),P34&amp;"."&amp;Q34,P34&amp;"."&amp;Q34&amp;COUNTIFS(P$5:P33,P34,Q$5:Q33,Q34))</f>
        <v>Total Sales to Ultimate Customers.NA</v>
      </c>
      <c r="S34" s="55">
        <f t="shared" si="4"/>
        <v>2001695945.4085445</v>
      </c>
      <c r="W34" s="53">
        <v>314</v>
      </c>
      <c r="X34" s="54">
        <f t="shared" si="0"/>
        <v>440490016.55806589</v>
      </c>
      <c r="Y34" s="54" t="e">
        <f>SUMIFS(FuncStudy!$G$93:$G$2216,FuncStudy!$AI$93:$AI$2216,$W34,FuncStudy!$AJ$93:$AJ$2216,"&lt;&gt;"&amp;"NA")</f>
        <v>#VALUE!</v>
      </c>
      <c r="Z34" s="55" t="e">
        <f t="shared" si="1"/>
        <v>#VALUE!</v>
      </c>
    </row>
    <row r="35" spans="1:26" hidden="1">
      <c r="A35" s="5">
        <v>100</v>
      </c>
      <c r="B35" s="59"/>
      <c r="C35" s="60"/>
      <c r="D35" s="63"/>
      <c r="E35" s="63"/>
      <c r="F35" s="63"/>
      <c r="G35" s="63"/>
      <c r="H35" s="62"/>
      <c r="I35" s="69"/>
      <c r="J35" s="69"/>
      <c r="K35" s="62"/>
      <c r="L35" s="69"/>
      <c r="M35" s="65"/>
      <c r="N35" s="65"/>
      <c r="P35" t="str">
        <f t="shared" si="2"/>
        <v>Total Sales to Ultimate Customers</v>
      </c>
      <c r="Q35" t="str">
        <f t="shared" si="3"/>
        <v>NA</v>
      </c>
      <c r="R35" t="str">
        <f>IF(ISERROR(MATCH(P35&amp;"."&amp;Q35,R$5:R34,0)),P35&amp;"."&amp;Q35,P35&amp;"."&amp;Q35&amp;COUNTIFS(P$5:P34,P35,Q$5:Q34,Q35))</f>
        <v>Total Sales to Ultimate Customers.NA1</v>
      </c>
      <c r="S35" s="55">
        <f t="shared" si="4"/>
        <v>0</v>
      </c>
      <c r="W35" s="53">
        <v>315</v>
      </c>
      <c r="X35" s="54">
        <f t="shared" si="0"/>
        <v>214936583.55991024</v>
      </c>
      <c r="Y35" s="54" t="e">
        <f>SUMIFS(FuncStudy!$G$93:$G$2216,FuncStudy!$AI$93:$AI$2216,$W35,FuncStudy!$AJ$93:$AJ$2216,"&lt;&gt;"&amp;"NA")</f>
        <v>#VALUE!</v>
      </c>
      <c r="Z35" s="55" t="e">
        <f t="shared" si="1"/>
        <v>#VALUE!</v>
      </c>
    </row>
    <row r="36" spans="1:26" hidden="1">
      <c r="A36" s="5">
        <v>101</v>
      </c>
      <c r="B36" s="59"/>
      <c r="C36" s="60"/>
      <c r="D36" s="63"/>
      <c r="E36" s="70"/>
      <c r="F36" s="63"/>
      <c r="G36" s="63"/>
      <c r="H36" s="62"/>
      <c r="I36" s="69"/>
      <c r="J36" s="69"/>
      <c r="K36" s="62"/>
      <c r="L36" s="69"/>
      <c r="M36" s="69"/>
      <c r="N36" s="69"/>
      <c r="P36" t="str">
        <f t="shared" si="2"/>
        <v>Total Sales to Ultimate Customers</v>
      </c>
      <c r="Q36" t="str">
        <f t="shared" si="3"/>
        <v>NA</v>
      </c>
      <c r="R36" t="str">
        <f>IF(ISERROR(MATCH(P36&amp;"."&amp;Q36,R$5:R35,0)),P36&amp;"."&amp;Q36,P36&amp;"."&amp;Q36&amp;COUNTIFS(P$5:P35,P36,Q$5:Q35,Q36))</f>
        <v>Total Sales to Ultimate Customers.NA2</v>
      </c>
      <c r="S36" s="55">
        <f t="shared" si="4"/>
        <v>0</v>
      </c>
      <c r="W36" s="53">
        <v>316</v>
      </c>
      <c r="X36" s="54">
        <f t="shared" si="0"/>
        <v>14633332.154074583</v>
      </c>
      <c r="Y36" s="54" t="e">
        <f>SUMIFS(FuncStudy!$G$93:$G$2216,FuncStudy!$AI$93:$AI$2216,$W36,FuncStudy!$AJ$93:$AJ$2216,"&lt;&gt;"&amp;"NA")</f>
        <v>#VALUE!</v>
      </c>
      <c r="Z36" s="55" t="e">
        <f t="shared" si="1"/>
        <v>#VALUE!</v>
      </c>
    </row>
    <row r="37" spans="1:26" hidden="1">
      <c r="A37" s="5">
        <v>102</v>
      </c>
      <c r="B37" s="59"/>
      <c r="C37" s="71"/>
      <c r="D37" s="72"/>
      <c r="E37" s="73"/>
      <c r="F37" s="63"/>
      <c r="G37" s="72"/>
      <c r="H37" s="74"/>
      <c r="I37" s="75"/>
      <c r="J37" s="75"/>
      <c r="K37" s="62"/>
      <c r="L37" s="75"/>
      <c r="M37" s="75"/>
      <c r="N37" s="75"/>
      <c r="P37" t="str">
        <f t="shared" si="2"/>
        <v>Total Sales to Ultimate Customers</v>
      </c>
      <c r="Q37" t="str">
        <f t="shared" si="3"/>
        <v>NA</v>
      </c>
      <c r="R37" t="str">
        <f>IF(ISERROR(MATCH(P37&amp;"."&amp;Q37,R$5:R36,0)),P37&amp;"."&amp;Q37,P37&amp;"."&amp;Q37&amp;COUNTIFS(P$5:P36,P37,Q$5:Q36,Q37))</f>
        <v>Total Sales to Ultimate Customers.NA3</v>
      </c>
      <c r="S37" s="55">
        <f t="shared" si="4"/>
        <v>0</v>
      </c>
      <c r="W37" s="53">
        <v>317</v>
      </c>
      <c r="X37" s="54">
        <f t="shared" si="0"/>
        <v>0</v>
      </c>
      <c r="Y37" s="54">
        <f>SUMIFS(FuncStudy!$G$93:$G$2216,FuncStudy!$AI$93:$AI$2216,$W37,FuncStudy!$AJ$93:$AJ$2216,"&lt;&gt;"&amp;"NA")</f>
        <v>0</v>
      </c>
      <c r="Z37" s="55">
        <f t="shared" si="1"/>
        <v>0</v>
      </c>
    </row>
    <row r="38" spans="1:26" hidden="1">
      <c r="A38" s="5">
        <v>103</v>
      </c>
      <c r="B38" s="59"/>
      <c r="C38" s="60">
        <v>447</v>
      </c>
      <c r="D38" s="61" t="s">
        <v>143</v>
      </c>
      <c r="E38" s="63"/>
      <c r="F38" s="63"/>
      <c r="G38" s="63"/>
      <c r="H38" s="62"/>
      <c r="I38" s="65"/>
      <c r="J38" s="65"/>
      <c r="K38" s="62"/>
      <c r="L38" s="65"/>
      <c r="M38" s="65"/>
      <c r="N38" s="65"/>
      <c r="P38">
        <f t="shared" si="2"/>
        <v>447</v>
      </c>
      <c r="Q38" t="str">
        <f t="shared" si="3"/>
        <v>NA</v>
      </c>
      <c r="R38" t="str">
        <f>IF(ISERROR(MATCH(P38&amp;"."&amp;Q38,R$5:R37,0)),P38&amp;"."&amp;Q38,P38&amp;"."&amp;Q38&amp;COUNTIFS(P$5:P37,P38,Q$5:Q37,Q38))</f>
        <v>447.NA</v>
      </c>
      <c r="S38" s="55">
        <f t="shared" si="4"/>
        <v>0</v>
      </c>
      <c r="W38" s="53">
        <v>320</v>
      </c>
      <c r="X38" s="54">
        <f t="shared" si="0"/>
        <v>0</v>
      </c>
      <c r="Y38" s="54" t="e">
        <f>SUMIFS(FuncStudy!$G$93:$G$2216,FuncStudy!$AI$93:$AI$2216,$W38,FuncStudy!$AJ$93:$AJ$2216,"&lt;&gt;"&amp;"NA")</f>
        <v>#VALUE!</v>
      </c>
      <c r="Z38" s="55" t="e">
        <f t="shared" si="1"/>
        <v>#VALUE!</v>
      </c>
    </row>
    <row r="39" spans="1:26" hidden="1">
      <c r="A39" s="5">
        <v>104</v>
      </c>
      <c r="B39" s="59"/>
      <c r="C39" s="60"/>
      <c r="D39" s="63"/>
      <c r="E39" s="63"/>
      <c r="F39" s="60" t="s">
        <v>13</v>
      </c>
      <c r="G39" s="61" t="s">
        <v>12</v>
      </c>
      <c r="H39" s="62"/>
      <c r="I39" s="65">
        <v>14230442.66</v>
      </c>
      <c r="J39" s="65">
        <v>-77250.37</v>
      </c>
      <c r="K39" s="62"/>
      <c r="L39" s="65">
        <v>14582703.754973996</v>
      </c>
      <c r="M39" s="65">
        <v>701548.26999999769</v>
      </c>
      <c r="N39" s="64">
        <v>13881155.484973999</v>
      </c>
      <c r="P39">
        <f t="shared" si="2"/>
        <v>447</v>
      </c>
      <c r="Q39" t="str">
        <f t="shared" si="3"/>
        <v>S</v>
      </c>
      <c r="R39" t="str">
        <f>IF(ISERROR(MATCH(P39&amp;"."&amp;Q39,R$5:R38,0)),P39&amp;"."&amp;Q39,P39&amp;"."&amp;Q39&amp;COUNTIFS(P$5:P38,P39,Q$5:Q38,Q39))</f>
        <v>447.S</v>
      </c>
      <c r="S39" s="55">
        <f t="shared" si="4"/>
        <v>13881155.484973999</v>
      </c>
      <c r="W39" s="53">
        <v>321</v>
      </c>
      <c r="X39" s="54">
        <f t="shared" si="0"/>
        <v>0</v>
      </c>
      <c r="Y39" s="54" t="e">
        <f>SUMIFS(FuncStudy!$G$93:$G$2216,FuncStudy!$AI$93:$AI$2216,$W39,FuncStudy!$AJ$93:$AJ$2216,"&lt;&gt;"&amp;"NA")</f>
        <v>#VALUE!</v>
      </c>
      <c r="Z39" s="55" t="e">
        <f t="shared" si="1"/>
        <v>#VALUE!</v>
      </c>
    </row>
    <row r="40" spans="1:26" hidden="1">
      <c r="A40" s="5">
        <v>105</v>
      </c>
      <c r="B40" s="59"/>
      <c r="C40" s="60"/>
      <c r="D40" s="63"/>
      <c r="E40" s="63"/>
      <c r="F40" s="60"/>
      <c r="G40" s="63"/>
      <c r="H40" s="62" t="s">
        <v>132</v>
      </c>
      <c r="I40" s="66">
        <v>14230442.66</v>
      </c>
      <c r="J40" s="66">
        <v>-77250.37</v>
      </c>
      <c r="K40" s="62"/>
      <c r="L40" s="66">
        <v>14582703.754973996</v>
      </c>
      <c r="M40" s="66">
        <v>701548.26999999769</v>
      </c>
      <c r="N40" s="76">
        <v>13881155.484973999</v>
      </c>
      <c r="P40">
        <f t="shared" si="2"/>
        <v>447</v>
      </c>
      <c r="Q40" t="str">
        <f t="shared" si="3"/>
        <v>NA</v>
      </c>
      <c r="R40" t="str">
        <f>IF(ISERROR(MATCH(P40&amp;"."&amp;Q40,R$5:R39,0)),P40&amp;"."&amp;Q40,P40&amp;"."&amp;Q40&amp;COUNTIFS(P$5:P39,P40,Q$5:Q39,Q40))</f>
        <v>447.NA1</v>
      </c>
      <c r="S40" s="55">
        <f t="shared" si="4"/>
        <v>13881155.484973999</v>
      </c>
      <c r="W40" s="53">
        <v>322</v>
      </c>
      <c r="X40" s="54">
        <f t="shared" si="0"/>
        <v>0</v>
      </c>
      <c r="Y40" s="54" t="e">
        <f>SUMIFS(FuncStudy!$G$93:$G$2216,FuncStudy!$AI$93:$AI$2216,$W40,FuncStudy!$AJ$93:$AJ$2216,"&lt;&gt;"&amp;"NA")</f>
        <v>#VALUE!</v>
      </c>
      <c r="Z40" s="55" t="e">
        <f t="shared" si="1"/>
        <v>#VALUE!</v>
      </c>
    </row>
    <row r="41" spans="1:26" hidden="1">
      <c r="A41" s="5">
        <v>106</v>
      </c>
      <c r="B41" s="59"/>
      <c r="C41" s="60"/>
      <c r="D41" s="63"/>
      <c r="E41" s="63"/>
      <c r="F41" s="60"/>
      <c r="G41" s="63"/>
      <c r="H41" s="62"/>
      <c r="I41" s="77"/>
      <c r="J41" s="77"/>
      <c r="K41" s="62"/>
      <c r="L41" s="77"/>
      <c r="M41" s="77"/>
      <c r="N41" s="78"/>
      <c r="P41">
        <f t="shared" si="2"/>
        <v>447</v>
      </c>
      <c r="Q41" t="str">
        <f t="shared" si="3"/>
        <v>NA</v>
      </c>
      <c r="R41" t="str">
        <f>IF(ISERROR(MATCH(P41&amp;"."&amp;Q41,R$5:R40,0)),P41&amp;"."&amp;Q41,P41&amp;"."&amp;Q41&amp;COUNTIFS(P$5:P40,P41,Q$5:Q40,Q41))</f>
        <v>447.NA2</v>
      </c>
      <c r="S41" s="55">
        <f t="shared" si="4"/>
        <v>0</v>
      </c>
      <c r="W41" s="53">
        <v>323</v>
      </c>
      <c r="X41" s="54">
        <f t="shared" si="0"/>
        <v>0</v>
      </c>
      <c r="Y41" s="54" t="e">
        <f>SUMIFS(FuncStudy!$G$93:$G$2216,FuncStudy!$AI$93:$AI$2216,$W41,FuncStudy!$AJ$93:$AJ$2216,"&lt;&gt;"&amp;"NA")</f>
        <v>#VALUE!</v>
      </c>
      <c r="Z41" s="55" t="e">
        <f t="shared" si="1"/>
        <v>#VALUE!</v>
      </c>
    </row>
    <row r="42" spans="1:26">
      <c r="A42" s="5">
        <v>107</v>
      </c>
      <c r="B42" s="59" t="s">
        <v>105</v>
      </c>
      <c r="C42" s="60" t="s">
        <v>0</v>
      </c>
      <c r="D42" s="61" t="s">
        <v>144</v>
      </c>
      <c r="E42" s="63"/>
      <c r="F42" s="60"/>
      <c r="G42" s="63"/>
      <c r="H42" s="62"/>
      <c r="I42" s="65"/>
      <c r="J42" s="65"/>
      <c r="K42" s="62"/>
      <c r="L42" s="65"/>
      <c r="M42" s="65"/>
      <c r="N42" s="64"/>
      <c r="P42" t="str">
        <f t="shared" si="2"/>
        <v>447NPC</v>
      </c>
      <c r="Q42" t="str">
        <f t="shared" si="3"/>
        <v>NA</v>
      </c>
      <c r="R42" t="str">
        <f>IF(ISERROR(MATCH(P42&amp;"."&amp;Q42,R$5:R41,0)),P42&amp;"."&amp;Q42,P42&amp;"."&amp;Q42&amp;COUNTIFS(P$5:P41,P42,Q$5:Q41,Q42))</f>
        <v>447NPC.NA</v>
      </c>
      <c r="S42" s="55">
        <f t="shared" si="4"/>
        <v>0</v>
      </c>
      <c r="W42" s="53">
        <v>324</v>
      </c>
      <c r="X42" s="54">
        <f t="shared" si="0"/>
        <v>0</v>
      </c>
      <c r="Y42" s="54" t="e">
        <f>SUMIFS(FuncStudy!$G$93:$G$2216,FuncStudy!$AI$93:$AI$2216,$W42,FuncStudy!$AJ$93:$AJ$2216,"&lt;&gt;"&amp;"NA")</f>
        <v>#VALUE!</v>
      </c>
      <c r="Z42" s="55" t="e">
        <f t="shared" si="1"/>
        <v>#VALUE!</v>
      </c>
    </row>
    <row r="43" spans="1:26">
      <c r="A43" s="5">
        <v>108</v>
      </c>
      <c r="B43" s="59" t="s">
        <v>105</v>
      </c>
      <c r="C43" s="60" t="s">
        <v>141</v>
      </c>
      <c r="D43" s="63"/>
      <c r="E43" s="63"/>
      <c r="F43" s="60" t="s">
        <v>13</v>
      </c>
      <c r="G43" s="61" t="s">
        <v>15</v>
      </c>
      <c r="H43" s="62"/>
      <c r="I43" s="65">
        <v>182171613.18000001</v>
      </c>
      <c r="J43" s="65">
        <v>80150952.106398955</v>
      </c>
      <c r="K43" s="62"/>
      <c r="L43" s="65">
        <v>223493856.22</v>
      </c>
      <c r="M43" s="65">
        <v>125162151.00386445</v>
      </c>
      <c r="N43" s="64">
        <v>98331705.216135547</v>
      </c>
      <c r="P43" t="str">
        <f t="shared" si="2"/>
        <v>447NPC</v>
      </c>
      <c r="Q43" t="str">
        <f t="shared" si="3"/>
        <v>SG</v>
      </c>
      <c r="R43" t="str">
        <f>IF(ISERROR(MATCH(P43&amp;"."&amp;Q43,R$5:R42,0)),P43&amp;"."&amp;Q43,P43&amp;"."&amp;Q43&amp;COUNTIFS(P$5:P42,P43,Q$5:Q42,Q43))</f>
        <v>447NPC.SG</v>
      </c>
      <c r="S43" s="55">
        <f t="shared" si="4"/>
        <v>98331705.216135547</v>
      </c>
      <c r="W43" s="53">
        <v>325</v>
      </c>
      <c r="X43" s="54">
        <f t="shared" si="0"/>
        <v>0</v>
      </c>
      <c r="Y43" s="54" t="e">
        <f>SUMIFS(FuncStudy!$G$93:$G$2216,FuncStudy!$AI$93:$AI$2216,$W43,FuncStudy!$AJ$93:$AJ$2216,"&lt;&gt;"&amp;"NA")</f>
        <v>#VALUE!</v>
      </c>
      <c r="Z43" s="55" t="e">
        <f t="shared" si="1"/>
        <v>#VALUE!</v>
      </c>
    </row>
    <row r="44" spans="1:26">
      <c r="A44" s="5">
        <v>109</v>
      </c>
      <c r="B44" s="59" t="s">
        <v>105</v>
      </c>
      <c r="C44" s="60"/>
      <c r="D44" s="63"/>
      <c r="E44" s="63"/>
      <c r="F44" s="60" t="s">
        <v>13</v>
      </c>
      <c r="G44" s="61" t="s">
        <v>16</v>
      </c>
      <c r="H44" s="62"/>
      <c r="I44" s="65">
        <v>-4130399.07</v>
      </c>
      <c r="J44" s="65">
        <v>-1790784.4739445685</v>
      </c>
      <c r="K44" s="62"/>
      <c r="L44" s="65">
        <v>0</v>
      </c>
      <c r="M44" s="65">
        <v>0</v>
      </c>
      <c r="N44" s="64">
        <v>0</v>
      </c>
      <c r="P44" t="str">
        <f t="shared" si="2"/>
        <v>447NPC</v>
      </c>
      <c r="Q44" t="str">
        <f t="shared" si="3"/>
        <v>SE</v>
      </c>
      <c r="R44" t="str">
        <f>IF(ISERROR(MATCH(P44&amp;"."&amp;Q44,R$5:R43,0)),P44&amp;"."&amp;Q44,P44&amp;"."&amp;Q44&amp;COUNTIFS(P$5:P43,P44,Q$5:Q43,Q44))</f>
        <v>447NPC.SE</v>
      </c>
      <c r="S44" s="55">
        <f t="shared" si="4"/>
        <v>0</v>
      </c>
      <c r="W44" s="53">
        <v>330</v>
      </c>
      <c r="X44" s="54">
        <f t="shared" si="0"/>
        <v>15979937.123036483</v>
      </c>
      <c r="Y44" s="54" t="e">
        <f>SUMIFS(FuncStudy!$G$93:$G$2216,FuncStudy!$AI$93:$AI$2216,$W44,FuncStudy!$AJ$93:$AJ$2216,"&lt;&gt;"&amp;"NA")</f>
        <v>#VALUE!</v>
      </c>
      <c r="Z44" s="55" t="e">
        <f t="shared" si="1"/>
        <v>#VALUE!</v>
      </c>
    </row>
    <row r="45" spans="1:26">
      <c r="A45" s="5">
        <v>110</v>
      </c>
      <c r="B45" s="59" t="s">
        <v>105</v>
      </c>
      <c r="C45" s="60"/>
      <c r="D45" s="63"/>
      <c r="E45" s="63"/>
      <c r="F45" s="60" t="s">
        <v>13</v>
      </c>
      <c r="G45" s="61" t="s">
        <v>15</v>
      </c>
      <c r="H45" s="62"/>
      <c r="I45" s="65">
        <v>0</v>
      </c>
      <c r="J45" s="65">
        <v>0</v>
      </c>
      <c r="K45" s="62"/>
      <c r="L45" s="65">
        <v>0</v>
      </c>
      <c r="M45" s="65">
        <v>0</v>
      </c>
      <c r="N45" s="64">
        <v>0</v>
      </c>
      <c r="P45" t="str">
        <f t="shared" si="2"/>
        <v>447NPC</v>
      </c>
      <c r="Q45" t="str">
        <f t="shared" si="3"/>
        <v>SG</v>
      </c>
      <c r="R45" t="str">
        <f>IF(ISERROR(MATCH(P45&amp;"."&amp;Q45,R$5:R44,0)),P45&amp;"."&amp;Q45,P45&amp;"."&amp;Q45&amp;COUNTIFS(P$5:P44,P45,Q$5:Q44,Q45))</f>
        <v>447NPC.SG1</v>
      </c>
      <c r="S45" s="55">
        <f t="shared" si="4"/>
        <v>0</v>
      </c>
      <c r="W45" s="53">
        <v>331</v>
      </c>
      <c r="X45" s="54">
        <f t="shared" si="0"/>
        <v>122161275.85385236</v>
      </c>
      <c r="Y45" s="54" t="e">
        <f>SUMIFS(FuncStudy!$G$93:$G$2216,FuncStudy!$AI$93:$AI$2216,$W45,FuncStudy!$AJ$93:$AJ$2216,"&lt;&gt;"&amp;"NA")</f>
        <v>#VALUE!</v>
      </c>
      <c r="Z45" s="55" t="e">
        <f t="shared" si="1"/>
        <v>#VALUE!</v>
      </c>
    </row>
    <row r="46" spans="1:26">
      <c r="A46" s="5">
        <v>111</v>
      </c>
      <c r="B46" s="59" t="s">
        <v>105</v>
      </c>
      <c r="C46" s="60"/>
      <c r="D46" s="63"/>
      <c r="E46" s="63"/>
      <c r="F46" s="60"/>
      <c r="G46" s="63"/>
      <c r="H46" s="62" t="s">
        <v>132</v>
      </c>
      <c r="I46" s="66">
        <v>178041214.11000001</v>
      </c>
      <c r="J46" s="66">
        <v>78360167.63245438</v>
      </c>
      <c r="K46" s="62"/>
      <c r="L46" s="66">
        <v>223493856.22</v>
      </c>
      <c r="M46" s="66">
        <v>125162151.00386445</v>
      </c>
      <c r="N46" s="76">
        <v>98331705.216135547</v>
      </c>
      <c r="P46" t="str">
        <f t="shared" si="2"/>
        <v>447NPC</v>
      </c>
      <c r="Q46" t="str">
        <f t="shared" si="3"/>
        <v>NA</v>
      </c>
      <c r="R46" t="str">
        <f>IF(ISERROR(MATCH(P46&amp;"."&amp;Q46,R$5:R45,0)),P46&amp;"."&amp;Q46,P46&amp;"."&amp;Q46&amp;COUNTIFS(P$5:P45,P46,Q$5:Q45,Q46))</f>
        <v>447NPC.NA1</v>
      </c>
      <c r="S46" s="55">
        <f t="shared" si="4"/>
        <v>98331705.216135547</v>
      </c>
      <c r="W46" s="53">
        <v>332</v>
      </c>
      <c r="X46" s="54">
        <f t="shared" si="0"/>
        <v>244177514.0520657</v>
      </c>
      <c r="Y46" s="54" t="e">
        <f>SUMIFS(FuncStudy!$G$93:$G$2216,FuncStudy!$AI$93:$AI$2216,$W46,FuncStudy!$AJ$93:$AJ$2216,"&lt;&gt;"&amp;"NA")</f>
        <v>#VALUE!</v>
      </c>
      <c r="Z46" s="55" t="e">
        <f t="shared" si="1"/>
        <v>#VALUE!</v>
      </c>
    </row>
    <row r="47" spans="1:26" hidden="1">
      <c r="A47" s="5">
        <v>112</v>
      </c>
      <c r="B47" s="59"/>
      <c r="C47" s="60"/>
      <c r="D47" s="63"/>
      <c r="E47" s="63"/>
      <c r="F47" s="63"/>
      <c r="G47" s="63"/>
      <c r="H47" s="62"/>
      <c r="I47" s="65"/>
      <c r="J47" s="65"/>
      <c r="K47" s="62"/>
      <c r="L47" s="65"/>
      <c r="M47" s="65"/>
      <c r="N47" s="65"/>
      <c r="P47" t="str">
        <f t="shared" si="2"/>
        <v>447NPC</v>
      </c>
      <c r="Q47" t="str">
        <f t="shared" si="3"/>
        <v>NA</v>
      </c>
      <c r="R47" t="str">
        <f>IF(ISERROR(MATCH(P47&amp;"."&amp;Q47,R$5:R46,0)),P47&amp;"."&amp;Q47,P47&amp;"."&amp;Q47&amp;COUNTIFS(P$5:P46,P47,Q$5:Q46,Q47))</f>
        <v>447NPC.NA2</v>
      </c>
      <c r="S47" s="55">
        <f t="shared" si="4"/>
        <v>0</v>
      </c>
      <c r="W47" s="53">
        <v>333</v>
      </c>
      <c r="X47" s="54">
        <f t="shared" si="0"/>
        <v>61359735.651720531</v>
      </c>
      <c r="Y47" s="54" t="e">
        <f>SUMIFS(FuncStudy!$G$93:$G$2216,FuncStudy!$AI$93:$AI$2216,$W47,FuncStudy!$AJ$93:$AJ$2216,"&lt;&gt;"&amp;"NA")</f>
        <v>#VALUE!</v>
      </c>
      <c r="Z47" s="55" t="e">
        <f t="shared" si="1"/>
        <v>#VALUE!</v>
      </c>
    </row>
    <row r="48" spans="1:26" hidden="1">
      <c r="A48" s="5">
        <v>113</v>
      </c>
      <c r="B48" s="59"/>
      <c r="C48" s="60"/>
      <c r="D48" s="61" t="s">
        <v>145</v>
      </c>
      <c r="E48" s="63"/>
      <c r="F48" s="63"/>
      <c r="G48" s="63"/>
      <c r="H48" s="62" t="s">
        <v>132</v>
      </c>
      <c r="I48" s="66">
        <v>192271656.77000001</v>
      </c>
      <c r="J48" s="66">
        <v>78282917.262454376</v>
      </c>
      <c r="K48" s="62"/>
      <c r="L48" s="66">
        <v>238076559.97497401</v>
      </c>
      <c r="M48" s="66">
        <v>125863699.27386445</v>
      </c>
      <c r="N48" s="66">
        <v>112212860.70110954</v>
      </c>
      <c r="P48" t="str">
        <f t="shared" si="2"/>
        <v>447NPC</v>
      </c>
      <c r="Q48" t="str">
        <f t="shared" si="3"/>
        <v>NA</v>
      </c>
      <c r="R48" t="str">
        <f>IF(ISERROR(MATCH(P48&amp;"."&amp;Q48,R$5:R47,0)),P48&amp;"."&amp;Q48,P48&amp;"."&amp;Q48&amp;COUNTIFS(P$5:P47,P48,Q$5:Q47,Q48))</f>
        <v>447NPC.NA3</v>
      </c>
      <c r="S48" s="55">
        <f t="shared" si="4"/>
        <v>112212860.70110954</v>
      </c>
      <c r="W48" s="53">
        <v>334</v>
      </c>
      <c r="X48" s="54">
        <f t="shared" si="0"/>
        <v>37344286.519465275</v>
      </c>
      <c r="Y48" s="54" t="e">
        <f>SUMIFS(FuncStudy!$G$93:$G$2216,FuncStudy!$AI$93:$AI$2216,$W48,FuncStudy!$AJ$93:$AJ$2216,"&lt;&gt;"&amp;"NA")</f>
        <v>#VALUE!</v>
      </c>
      <c r="Z48" s="55" t="e">
        <f t="shared" si="1"/>
        <v>#VALUE!</v>
      </c>
    </row>
    <row r="49" spans="1:26" hidden="1">
      <c r="A49" s="5">
        <v>114</v>
      </c>
      <c r="B49" s="59"/>
      <c r="C49" s="60"/>
      <c r="D49" s="63"/>
      <c r="E49" s="63"/>
      <c r="F49" s="63"/>
      <c r="G49" s="63"/>
      <c r="H49" s="62"/>
      <c r="I49" s="77"/>
      <c r="J49" s="77"/>
      <c r="K49" s="62"/>
      <c r="L49" s="77"/>
      <c r="M49" s="77"/>
      <c r="N49" s="77"/>
      <c r="P49" t="str">
        <f t="shared" si="2"/>
        <v>447NPC</v>
      </c>
      <c r="Q49" t="str">
        <f t="shared" si="3"/>
        <v>NA</v>
      </c>
      <c r="R49" t="str">
        <f>IF(ISERROR(MATCH(P49&amp;"."&amp;Q49,R$5:R48,0)),P49&amp;"."&amp;Q49,P49&amp;"."&amp;Q49&amp;COUNTIFS(P$5:P48,P49,Q$5:Q48,Q49))</f>
        <v>447NPC.NA4</v>
      </c>
      <c r="S49" s="55">
        <f t="shared" si="4"/>
        <v>0</v>
      </c>
      <c r="W49" s="53">
        <v>335</v>
      </c>
      <c r="X49" s="54">
        <f t="shared" si="0"/>
        <v>1087171.4709221711</v>
      </c>
      <c r="Y49" s="54" t="e">
        <f>SUMIFS(FuncStudy!$G$93:$G$2216,FuncStudy!$AI$93:$AI$2216,$W49,FuncStudy!$AJ$93:$AJ$2216,"&lt;&gt;"&amp;"NA")</f>
        <v>#VALUE!</v>
      </c>
      <c r="Z49" s="55" t="e">
        <f t="shared" si="1"/>
        <v>#VALUE!</v>
      </c>
    </row>
    <row r="50" spans="1:26" hidden="1">
      <c r="A50" s="5">
        <v>115</v>
      </c>
      <c r="B50" s="59"/>
      <c r="C50" s="60">
        <v>449</v>
      </c>
      <c r="D50" s="61" t="s">
        <v>146</v>
      </c>
      <c r="E50" s="63"/>
      <c r="F50" s="63"/>
      <c r="G50" s="63"/>
      <c r="H50" s="62"/>
      <c r="I50" s="65"/>
      <c r="J50" s="65"/>
      <c r="K50" s="62"/>
      <c r="L50" s="65"/>
      <c r="M50" s="65"/>
      <c r="N50" s="65"/>
      <c r="P50">
        <f t="shared" si="2"/>
        <v>449</v>
      </c>
      <c r="Q50" t="str">
        <f t="shared" si="3"/>
        <v>NA</v>
      </c>
      <c r="R50" t="str">
        <f>IF(ISERROR(MATCH(P50&amp;"."&amp;Q50,R$5:R49,0)),P50&amp;"."&amp;Q50,P50&amp;"."&amp;Q50&amp;COUNTIFS(P$5:P49,P50,Q$5:Q49,Q50))</f>
        <v>449.NA</v>
      </c>
      <c r="S50" s="55">
        <f t="shared" si="4"/>
        <v>0</v>
      </c>
      <c r="W50" s="53">
        <v>336</v>
      </c>
      <c r="X50" s="54">
        <f t="shared" si="0"/>
        <v>10946675.901192551</v>
      </c>
      <c r="Y50" s="54" t="e">
        <f>SUMIFS(FuncStudy!$G$93:$G$2216,FuncStudy!$AI$93:$AI$2216,$W50,FuncStudy!$AJ$93:$AJ$2216,"&lt;&gt;"&amp;"NA")</f>
        <v>#VALUE!</v>
      </c>
      <c r="Z50" s="55" t="e">
        <f t="shared" si="1"/>
        <v>#VALUE!</v>
      </c>
    </row>
    <row r="51" spans="1:26" hidden="1">
      <c r="A51" s="5">
        <v>116</v>
      </c>
      <c r="B51" s="59"/>
      <c r="C51" s="60"/>
      <c r="D51" s="63"/>
      <c r="E51" s="63"/>
      <c r="F51" s="60" t="s">
        <v>13</v>
      </c>
      <c r="G51" s="61" t="s">
        <v>12</v>
      </c>
      <c r="H51" s="62"/>
      <c r="I51" s="65">
        <v>0</v>
      </c>
      <c r="J51" s="65">
        <v>0</v>
      </c>
      <c r="K51" s="62"/>
      <c r="L51" s="65">
        <v>0</v>
      </c>
      <c r="M51" s="65">
        <v>0</v>
      </c>
      <c r="N51" s="64">
        <v>0</v>
      </c>
      <c r="P51">
        <f t="shared" si="2"/>
        <v>449</v>
      </c>
      <c r="Q51" t="str">
        <f t="shared" si="3"/>
        <v>S</v>
      </c>
      <c r="R51" t="str">
        <f>IF(ISERROR(MATCH(P51&amp;"."&amp;Q51,R$5:R50,0)),P51&amp;"."&amp;Q51,P51&amp;"."&amp;Q51&amp;COUNTIFS(P$5:P50,P51,Q$5:Q50,Q51))</f>
        <v>449.S</v>
      </c>
      <c r="S51" s="55">
        <f t="shared" si="4"/>
        <v>0</v>
      </c>
      <c r="W51" s="53">
        <v>337</v>
      </c>
      <c r="X51" s="54">
        <f t="shared" si="0"/>
        <v>0</v>
      </c>
      <c r="Y51" s="54">
        <f>SUMIFS(FuncStudy!$G$93:$G$2216,FuncStudy!$AI$93:$AI$2216,$W51,FuncStudy!$AJ$93:$AJ$2216,"&lt;&gt;"&amp;"NA")</f>
        <v>0</v>
      </c>
      <c r="Z51" s="55">
        <f t="shared" si="1"/>
        <v>0</v>
      </c>
    </row>
    <row r="52" spans="1:26" hidden="1">
      <c r="A52" s="5">
        <v>117</v>
      </c>
      <c r="B52" s="59"/>
      <c r="C52" s="60"/>
      <c r="D52" s="63"/>
      <c r="E52" s="63"/>
      <c r="F52" s="60" t="s">
        <v>13</v>
      </c>
      <c r="G52" s="61" t="s">
        <v>15</v>
      </c>
      <c r="H52" s="62"/>
      <c r="I52" s="65">
        <v>0</v>
      </c>
      <c r="J52" s="65">
        <v>0</v>
      </c>
      <c r="K52" s="62"/>
      <c r="L52" s="65">
        <v>0</v>
      </c>
      <c r="M52" s="65">
        <v>0</v>
      </c>
      <c r="N52" s="64">
        <v>0</v>
      </c>
      <c r="P52">
        <f t="shared" si="2"/>
        <v>449</v>
      </c>
      <c r="Q52" t="str">
        <f t="shared" si="3"/>
        <v>SG</v>
      </c>
      <c r="R52" t="str">
        <f>IF(ISERROR(MATCH(P52&amp;"."&amp;Q52,R$5:R51,0)),P52&amp;"."&amp;Q52,P52&amp;"."&amp;Q52&amp;COUNTIFS(P$5:P51,P52,Q$5:Q51,Q52))</f>
        <v>449.SG</v>
      </c>
      <c r="S52" s="55">
        <f t="shared" si="4"/>
        <v>0</v>
      </c>
      <c r="W52" s="53">
        <v>340</v>
      </c>
      <c r="X52" s="54">
        <f t="shared" si="0"/>
        <v>20704119.048384886</v>
      </c>
      <c r="Y52" s="54" t="e">
        <f>SUMIFS(FuncStudy!$G$93:$G$2216,FuncStudy!$AI$93:$AI$2216,$W52,FuncStudy!$AJ$93:$AJ$2216,"&lt;&gt;"&amp;"NA")</f>
        <v>#VALUE!</v>
      </c>
      <c r="Z52" s="55" t="e">
        <f t="shared" si="1"/>
        <v>#VALUE!</v>
      </c>
    </row>
    <row r="53" spans="1:26" hidden="1">
      <c r="A53" s="5">
        <v>118</v>
      </c>
      <c r="B53" s="59"/>
      <c r="C53" s="60"/>
      <c r="D53" s="63"/>
      <c r="E53" s="63"/>
      <c r="F53" s="63"/>
      <c r="G53" s="63"/>
      <c r="H53" s="62"/>
      <c r="I53" s="65"/>
      <c r="J53" s="65"/>
      <c r="K53" s="62"/>
      <c r="L53" s="65"/>
      <c r="M53" s="65"/>
      <c r="N53" s="65"/>
      <c r="P53">
        <f t="shared" si="2"/>
        <v>449</v>
      </c>
      <c r="Q53" t="str">
        <f t="shared" si="3"/>
        <v>NA</v>
      </c>
      <c r="R53" t="str">
        <f>IF(ISERROR(MATCH(P53&amp;"."&amp;Q53,R$5:R52,0)),P53&amp;"."&amp;Q53,P53&amp;"."&amp;Q53&amp;COUNTIFS(P$5:P52,P53,Q$5:Q52,Q53))</f>
        <v>449.NA1</v>
      </c>
      <c r="S53" s="55">
        <f t="shared" si="4"/>
        <v>0</v>
      </c>
      <c r="W53" s="53">
        <v>341</v>
      </c>
      <c r="X53" s="54">
        <f t="shared" si="0"/>
        <v>100606310.91065243</v>
      </c>
      <c r="Y53" s="54" t="e">
        <f>SUMIFS(FuncStudy!$G$93:$G$2216,FuncStudy!$AI$93:$AI$2216,$W53,FuncStudy!$AJ$93:$AJ$2216,"&lt;&gt;"&amp;"NA")</f>
        <v>#VALUE!</v>
      </c>
      <c r="Z53" s="55" t="e">
        <f t="shared" si="1"/>
        <v>#VALUE!</v>
      </c>
    </row>
    <row r="54" spans="1:26" hidden="1">
      <c r="A54" s="5">
        <v>119</v>
      </c>
      <c r="B54" s="59"/>
      <c r="C54" s="60"/>
      <c r="D54" s="63"/>
      <c r="E54" s="63"/>
      <c r="F54" s="63"/>
      <c r="G54" s="63"/>
      <c r="H54" s="62"/>
      <c r="I54" s="65"/>
      <c r="J54" s="65"/>
      <c r="K54" s="62"/>
      <c r="L54" s="65"/>
      <c r="M54" s="65"/>
      <c r="N54" s="65"/>
      <c r="P54">
        <f t="shared" si="2"/>
        <v>449</v>
      </c>
      <c r="Q54" t="str">
        <f t="shared" si="3"/>
        <v>NA</v>
      </c>
      <c r="R54" t="str">
        <f>IF(ISERROR(MATCH(P54&amp;"."&amp;Q54,R$5:R53,0)),P54&amp;"."&amp;Q54,P54&amp;"."&amp;Q54&amp;COUNTIFS(P$5:P53,P54,Q$5:Q53,Q54))</f>
        <v>449.NA2</v>
      </c>
      <c r="S54" s="55">
        <f t="shared" si="4"/>
        <v>0</v>
      </c>
      <c r="W54" s="53">
        <v>342</v>
      </c>
      <c r="X54" s="54">
        <f t="shared" si="0"/>
        <v>7122413.2176669035</v>
      </c>
      <c r="Y54" s="54" t="e">
        <f>SUMIFS(FuncStudy!$G$93:$G$2216,FuncStudy!$AI$93:$AI$2216,$W54,FuncStudy!$AJ$93:$AJ$2216,"&lt;&gt;"&amp;"NA")</f>
        <v>#VALUE!</v>
      </c>
      <c r="Z54" s="55" t="e">
        <f t="shared" si="1"/>
        <v>#VALUE!</v>
      </c>
    </row>
    <row r="55" spans="1:26" hidden="1">
      <c r="A55" s="5">
        <v>120</v>
      </c>
      <c r="B55" s="59"/>
      <c r="C55" s="60"/>
      <c r="D55" s="63"/>
      <c r="E55" s="63"/>
      <c r="F55" s="63"/>
      <c r="G55" s="63"/>
      <c r="H55" s="62" t="s">
        <v>132</v>
      </c>
      <c r="I55" s="66">
        <v>0</v>
      </c>
      <c r="J55" s="66">
        <v>0</v>
      </c>
      <c r="K55" s="62"/>
      <c r="L55" s="66">
        <v>0</v>
      </c>
      <c r="M55" s="66">
        <v>0</v>
      </c>
      <c r="N55" s="66">
        <v>0</v>
      </c>
      <c r="P55">
        <f t="shared" si="2"/>
        <v>449</v>
      </c>
      <c r="Q55" t="str">
        <f t="shared" si="3"/>
        <v>NA</v>
      </c>
      <c r="R55" t="str">
        <f>IF(ISERROR(MATCH(P55&amp;"."&amp;Q55,R$5:R54,0)),P55&amp;"."&amp;Q55,P55&amp;"."&amp;Q55&amp;COUNTIFS(P$5:P54,P55,Q$5:Q54,Q55))</f>
        <v>449.NA3</v>
      </c>
      <c r="S55" s="55">
        <f t="shared" si="4"/>
        <v>0</v>
      </c>
      <c r="W55" s="53">
        <v>343</v>
      </c>
      <c r="X55" s="54">
        <f t="shared" si="0"/>
        <v>1962160038.3234272</v>
      </c>
      <c r="Y55" s="54" t="e">
        <f>SUMIFS(FuncStudy!$G$93:$G$2216,FuncStudy!$AI$93:$AI$2216,$W55,FuncStudy!$AJ$93:$AJ$2216,"&lt;&gt;"&amp;"NA")</f>
        <v>#VALUE!</v>
      </c>
      <c r="Z55" s="55" t="e">
        <f t="shared" si="1"/>
        <v>#VALUE!</v>
      </c>
    </row>
    <row r="56" spans="1:26" hidden="1">
      <c r="A56" s="5">
        <v>121</v>
      </c>
      <c r="B56" s="59"/>
      <c r="C56" s="60"/>
      <c r="D56" s="63"/>
      <c r="E56" s="63"/>
      <c r="F56" s="63"/>
      <c r="G56" s="63"/>
      <c r="H56" s="62"/>
      <c r="I56" s="65"/>
      <c r="J56" s="65"/>
      <c r="K56" s="62"/>
      <c r="L56" s="65"/>
      <c r="M56" s="65"/>
      <c r="N56" s="65"/>
      <c r="P56">
        <f t="shared" si="2"/>
        <v>449</v>
      </c>
      <c r="Q56" t="str">
        <f t="shared" si="3"/>
        <v>NA</v>
      </c>
      <c r="R56" t="str">
        <f>IF(ISERROR(MATCH(P56&amp;"."&amp;Q56,R$5:R55,0)),P56&amp;"."&amp;Q56,P56&amp;"."&amp;Q56&amp;COUNTIFS(P$5:P55,P56,Q$5:Q55,Q56))</f>
        <v>449.NA4</v>
      </c>
      <c r="S56" s="55">
        <f t="shared" si="4"/>
        <v>0</v>
      </c>
      <c r="W56" s="53">
        <v>344</v>
      </c>
      <c r="X56" s="54">
        <f t="shared" si="0"/>
        <v>211561215.35441744</v>
      </c>
      <c r="Y56" s="54" t="e">
        <f>SUMIFS(FuncStudy!$G$93:$G$2216,FuncStudy!$AI$93:$AI$2216,$W56,FuncStudy!$AJ$93:$AJ$2216,"&lt;&gt;"&amp;"NA")</f>
        <v>#VALUE!</v>
      </c>
      <c r="Z56" s="55" t="e">
        <f t="shared" si="1"/>
        <v>#VALUE!</v>
      </c>
    </row>
    <row r="57" spans="1:26" ht="15.75" hidden="1" thickBot="1">
      <c r="A57" s="5">
        <v>122</v>
      </c>
      <c r="B57" s="59"/>
      <c r="C57" s="45" t="s">
        <v>147</v>
      </c>
      <c r="D57" s="63"/>
      <c r="E57" s="63"/>
      <c r="F57" s="40"/>
      <c r="G57" s="40"/>
      <c r="H57" s="41" t="s">
        <v>132</v>
      </c>
      <c r="I57" s="68">
        <v>4889826765.9300003</v>
      </c>
      <c r="J57" s="68">
        <v>2066998427.552454</v>
      </c>
      <c r="K57" s="41"/>
      <c r="L57" s="68">
        <v>4948612104.2535172</v>
      </c>
      <c r="M57" s="68">
        <v>2834703298.1438632</v>
      </c>
      <c r="N57" s="68">
        <v>2113908806.1096542</v>
      </c>
      <c r="P57" t="str">
        <f t="shared" si="2"/>
        <v>Total Sales from Electricity</v>
      </c>
      <c r="Q57" t="str">
        <f t="shared" si="3"/>
        <v>NA</v>
      </c>
      <c r="R57" t="str">
        <f>IF(ISERROR(MATCH(P57&amp;"."&amp;Q57,R$5:R56,0)),P57&amp;"."&amp;Q57,P57&amp;"."&amp;Q57&amp;COUNTIFS(P$5:P56,P57,Q$5:Q56,Q57))</f>
        <v>Total Sales from Electricity.NA</v>
      </c>
      <c r="S57" s="55">
        <f t="shared" si="4"/>
        <v>2113908806.1096542</v>
      </c>
      <c r="W57" s="53">
        <v>345</v>
      </c>
      <c r="X57" s="54">
        <f t="shared" si="0"/>
        <v>144113189.72638726</v>
      </c>
      <c r="Y57" s="54" t="e">
        <f>SUMIFS(FuncStudy!$G$93:$G$2216,FuncStudy!$AI$93:$AI$2216,$W57,FuncStudy!$AJ$93:$AJ$2216,"&lt;&gt;"&amp;"NA")</f>
        <v>#VALUE!</v>
      </c>
      <c r="Z57" s="55" t="e">
        <f t="shared" si="1"/>
        <v>#VALUE!</v>
      </c>
    </row>
    <row r="58" spans="1:26" hidden="1">
      <c r="A58" s="5">
        <v>123</v>
      </c>
      <c r="B58" s="59"/>
      <c r="C58" s="60">
        <v>450</v>
      </c>
      <c r="D58" s="61" t="s">
        <v>148</v>
      </c>
      <c r="E58" s="63"/>
      <c r="F58" s="63"/>
      <c r="G58" s="63"/>
      <c r="H58" s="62"/>
      <c r="I58" s="65"/>
      <c r="J58" s="65"/>
      <c r="K58" s="62"/>
      <c r="L58" s="65"/>
      <c r="M58" s="65"/>
      <c r="N58" s="65"/>
      <c r="P58">
        <f t="shared" si="2"/>
        <v>450</v>
      </c>
      <c r="Q58" t="str">
        <f t="shared" si="3"/>
        <v>NA</v>
      </c>
      <c r="R58" t="str">
        <f>IF(ISERROR(MATCH(P58&amp;"."&amp;Q58,R$5:R57,0)),P58&amp;"."&amp;Q58,P58&amp;"."&amp;Q58&amp;COUNTIFS(P$5:P57,P58,Q$5:Q57,Q58))</f>
        <v>450.NA</v>
      </c>
      <c r="S58" s="55">
        <f t="shared" si="4"/>
        <v>0</v>
      </c>
      <c r="W58" s="53">
        <v>346</v>
      </c>
      <c r="X58" s="54">
        <f t="shared" si="0"/>
        <v>7006302.8741496308</v>
      </c>
      <c r="Y58" s="54" t="e">
        <f>SUMIFS(FuncStudy!$G$93:$G$2216,FuncStudy!$AI$93:$AI$2216,$W58,FuncStudy!$AJ$93:$AJ$2216,"&lt;&gt;"&amp;"NA")</f>
        <v>#VALUE!</v>
      </c>
      <c r="Z58" s="55" t="e">
        <f t="shared" si="1"/>
        <v>#VALUE!</v>
      </c>
    </row>
    <row r="59" spans="1:26" hidden="1">
      <c r="A59" s="5">
        <v>124</v>
      </c>
      <c r="B59" s="59"/>
      <c r="C59" s="60"/>
      <c r="D59" s="63"/>
      <c r="E59" s="63"/>
      <c r="F59" s="60" t="s">
        <v>149</v>
      </c>
      <c r="G59" s="61" t="s">
        <v>12</v>
      </c>
      <c r="H59" s="62"/>
      <c r="I59" s="65">
        <v>9415630.4499999993</v>
      </c>
      <c r="J59" s="65">
        <v>3311424.15</v>
      </c>
      <c r="K59" s="62"/>
      <c r="L59" s="65">
        <v>9415630.4499999993</v>
      </c>
      <c r="M59" s="65">
        <v>6104206.2999999989</v>
      </c>
      <c r="N59" s="64">
        <v>3311424.15</v>
      </c>
      <c r="P59">
        <f t="shared" si="2"/>
        <v>450</v>
      </c>
      <c r="Q59" t="str">
        <f t="shared" si="3"/>
        <v>S</v>
      </c>
      <c r="R59" t="str">
        <f>IF(ISERROR(MATCH(P59&amp;"."&amp;Q59,R$5:R58,0)),P59&amp;"."&amp;Q59,P59&amp;"."&amp;Q59&amp;COUNTIFS(P$5:P58,P59,Q$5:Q58,Q59))</f>
        <v>450.S</v>
      </c>
      <c r="S59" s="55">
        <f t="shared" si="4"/>
        <v>3311424.15</v>
      </c>
      <c r="W59" s="53">
        <v>347</v>
      </c>
      <c r="X59" s="54">
        <f t="shared" si="0"/>
        <v>0</v>
      </c>
      <c r="Y59" s="54">
        <f>SUMIFS(FuncStudy!$G$93:$G$2216,FuncStudy!$AI$93:$AI$2216,$W59,FuncStudy!$AJ$93:$AJ$2216,"&lt;&gt;"&amp;"NA")</f>
        <v>0</v>
      </c>
      <c r="Z59" s="55">
        <f t="shared" si="1"/>
        <v>0</v>
      </c>
    </row>
    <row r="60" spans="1:26" hidden="1">
      <c r="A60" s="5">
        <v>125</v>
      </c>
      <c r="B60" s="59"/>
      <c r="C60" s="60"/>
      <c r="D60" s="63"/>
      <c r="E60" s="63"/>
      <c r="F60" s="60" t="s">
        <v>149</v>
      </c>
      <c r="G60" s="61" t="s">
        <v>136</v>
      </c>
      <c r="H60" s="62"/>
      <c r="I60" s="65">
        <v>0</v>
      </c>
      <c r="J60" s="65">
        <v>0</v>
      </c>
      <c r="K60" s="62"/>
      <c r="L60" s="65">
        <v>0</v>
      </c>
      <c r="M60" s="65">
        <v>0</v>
      </c>
      <c r="N60" s="64">
        <v>0</v>
      </c>
      <c r="P60">
        <f t="shared" si="2"/>
        <v>450</v>
      </c>
      <c r="Q60" t="str">
        <f t="shared" si="3"/>
        <v>SO</v>
      </c>
      <c r="R60" t="str">
        <f>IF(ISERROR(MATCH(P60&amp;"."&amp;Q60,R$5:R59,0)),P60&amp;"."&amp;Q60,P60&amp;"."&amp;Q60&amp;COUNTIFS(P$5:P59,P60,Q$5:Q59,Q60))</f>
        <v>450.SO</v>
      </c>
      <c r="S60" s="55">
        <f t="shared" si="4"/>
        <v>0</v>
      </c>
      <c r="W60" s="53">
        <v>350</v>
      </c>
      <c r="X60" s="54">
        <f t="shared" si="0"/>
        <v>120848448.43770692</v>
      </c>
      <c r="Y60" s="54" t="e">
        <f>SUMIFS(FuncStudy!$G$93:$G$2216,FuncStudy!$AI$93:$AI$2216,$W60,FuncStudy!$AJ$93:$AJ$2216,"&lt;&gt;"&amp;"NA")</f>
        <v>#VALUE!</v>
      </c>
      <c r="Z60" s="55" t="e">
        <f t="shared" si="1"/>
        <v>#VALUE!</v>
      </c>
    </row>
    <row r="61" spans="1:26" hidden="1">
      <c r="A61" s="5">
        <v>126</v>
      </c>
      <c r="B61" s="59"/>
      <c r="C61" s="60"/>
      <c r="D61" s="63"/>
      <c r="E61" s="63"/>
      <c r="F61" s="63"/>
      <c r="G61" s="63"/>
      <c r="H61" s="62" t="s">
        <v>132</v>
      </c>
      <c r="I61" s="66">
        <v>9415630.4499999993</v>
      </c>
      <c r="J61" s="66">
        <v>3311424.15</v>
      </c>
      <c r="K61" s="62"/>
      <c r="L61" s="66">
        <v>9415630.4499999993</v>
      </c>
      <c r="M61" s="66">
        <v>6104206.2999999989</v>
      </c>
      <c r="N61" s="66">
        <v>3311424.15</v>
      </c>
      <c r="P61">
        <f t="shared" si="2"/>
        <v>450</v>
      </c>
      <c r="Q61" t="str">
        <f t="shared" si="3"/>
        <v>NA</v>
      </c>
      <c r="R61" t="str">
        <f>IF(ISERROR(MATCH(P61&amp;"."&amp;Q61,R$5:R60,0)),P61&amp;"."&amp;Q61,P61&amp;"."&amp;Q61&amp;COUNTIFS(P$5:P60,P61,Q$5:Q60,Q61))</f>
        <v>450.NA1</v>
      </c>
      <c r="S61" s="55">
        <f t="shared" si="4"/>
        <v>3311424.15</v>
      </c>
      <c r="W61" s="53">
        <v>352</v>
      </c>
      <c r="X61" s="54">
        <f t="shared" si="0"/>
        <v>122309903.82936865</v>
      </c>
      <c r="Y61" s="54" t="e">
        <f>SUMIFS(FuncStudy!$G$93:$G$2216,FuncStudy!$AI$93:$AI$2216,$W61,FuncStudy!$AJ$93:$AJ$2216,"&lt;&gt;"&amp;"NA")</f>
        <v>#VALUE!</v>
      </c>
      <c r="Z61" s="55" t="e">
        <f t="shared" si="1"/>
        <v>#VALUE!</v>
      </c>
    </row>
    <row r="62" spans="1:26" hidden="1">
      <c r="A62" s="5">
        <v>127</v>
      </c>
      <c r="B62" s="59"/>
      <c r="C62" s="60"/>
      <c r="D62" s="63"/>
      <c r="E62" s="63"/>
      <c r="F62" s="63"/>
      <c r="G62" s="63"/>
      <c r="H62" s="62"/>
      <c r="I62" s="65"/>
      <c r="J62" s="65"/>
      <c r="K62" s="62"/>
      <c r="L62" s="65"/>
      <c r="M62" s="65"/>
      <c r="N62" s="65"/>
      <c r="P62">
        <f t="shared" si="2"/>
        <v>450</v>
      </c>
      <c r="Q62" t="str">
        <f t="shared" si="3"/>
        <v>NA</v>
      </c>
      <c r="R62" t="str">
        <f>IF(ISERROR(MATCH(P62&amp;"."&amp;Q62,R$5:R61,0)),P62&amp;"."&amp;Q62,P62&amp;"."&amp;Q62&amp;COUNTIFS(P$5:P61,P62,Q$5:Q61,Q62))</f>
        <v>450.NA2</v>
      </c>
      <c r="S62" s="55">
        <f t="shared" si="4"/>
        <v>0</v>
      </c>
      <c r="W62" s="53">
        <v>353</v>
      </c>
      <c r="X62" s="54">
        <f t="shared" si="0"/>
        <v>967834954.61911201</v>
      </c>
      <c r="Y62" s="54" t="e">
        <f>SUMIFS(FuncStudy!$G$93:$G$2216,FuncStudy!$AI$93:$AI$2216,$W62,FuncStudy!$AJ$93:$AJ$2216,"&lt;&gt;"&amp;"NA")</f>
        <v>#VALUE!</v>
      </c>
      <c r="Z62" s="55" t="e">
        <f t="shared" si="1"/>
        <v>#VALUE!</v>
      </c>
    </row>
    <row r="63" spans="1:26" hidden="1">
      <c r="A63" s="5">
        <v>128</v>
      </c>
      <c r="B63" s="59"/>
      <c r="C63" s="60">
        <v>451</v>
      </c>
      <c r="D63" s="61" t="s">
        <v>150</v>
      </c>
      <c r="E63" s="63"/>
      <c r="F63" s="63"/>
      <c r="G63" s="63"/>
      <c r="H63" s="62"/>
      <c r="I63" s="65"/>
      <c r="J63" s="65"/>
      <c r="K63" s="62"/>
      <c r="L63" s="65"/>
      <c r="M63" s="65"/>
      <c r="N63" s="65"/>
      <c r="P63">
        <f t="shared" si="2"/>
        <v>451</v>
      </c>
      <c r="Q63" t="str">
        <f t="shared" si="3"/>
        <v>NA</v>
      </c>
      <c r="R63" t="str">
        <f>IF(ISERROR(MATCH(P63&amp;"."&amp;Q63,R$5:R62,0)),P63&amp;"."&amp;Q63,P63&amp;"."&amp;Q63&amp;COUNTIFS(P$5:P62,P63,Q$5:Q62,Q63))</f>
        <v>451.NA</v>
      </c>
      <c r="S63" s="55">
        <f t="shared" si="4"/>
        <v>0</v>
      </c>
      <c r="W63" s="53">
        <v>354</v>
      </c>
      <c r="X63" s="54">
        <f t="shared" si="0"/>
        <v>573276387.71471846</v>
      </c>
      <c r="Y63" s="54" t="e">
        <f>SUMIFS(FuncStudy!$G$93:$G$2216,FuncStudy!$AI$93:$AI$2216,$W63,FuncStudy!$AJ$93:$AJ$2216,"&lt;&gt;"&amp;"NA")</f>
        <v>#VALUE!</v>
      </c>
      <c r="Z63" s="55" t="e">
        <f t="shared" si="1"/>
        <v>#VALUE!</v>
      </c>
    </row>
    <row r="64" spans="1:26" hidden="1">
      <c r="A64" s="5">
        <v>129</v>
      </c>
      <c r="B64" s="59"/>
      <c r="C64" s="60"/>
      <c r="D64" s="63"/>
      <c r="E64" s="63"/>
      <c r="F64" s="60" t="s">
        <v>149</v>
      </c>
      <c r="G64" s="61" t="s">
        <v>12</v>
      </c>
      <c r="H64" s="62"/>
      <c r="I64" s="65">
        <v>8817083.4600000009</v>
      </c>
      <c r="J64" s="65">
        <v>4310261.29</v>
      </c>
      <c r="K64" s="62"/>
      <c r="L64" s="65">
        <v>6101002.1276694695</v>
      </c>
      <c r="M64" s="65">
        <v>4506822.17</v>
      </c>
      <c r="N64" s="64">
        <v>1594179.9576694695</v>
      </c>
      <c r="P64">
        <f t="shared" si="2"/>
        <v>451</v>
      </c>
      <c r="Q64" t="str">
        <f t="shared" si="3"/>
        <v>S</v>
      </c>
      <c r="R64" t="str">
        <f>IF(ISERROR(MATCH(P64&amp;"."&amp;Q64,R$5:R63,0)),P64&amp;"."&amp;Q64,P64&amp;"."&amp;Q64&amp;COUNTIFS(P$5:P63,P64,Q$5:Q63,Q64))</f>
        <v>451.S</v>
      </c>
      <c r="S64" s="55">
        <f t="shared" si="4"/>
        <v>1594179.9576694695</v>
      </c>
      <c r="W64" s="53">
        <v>355</v>
      </c>
      <c r="X64" s="54">
        <f t="shared" si="0"/>
        <v>968786612.62416995</v>
      </c>
      <c r="Y64" s="54" t="e">
        <f>SUMIFS(FuncStudy!$G$93:$G$2216,FuncStudy!$AI$93:$AI$2216,$W64,FuncStudy!$AJ$93:$AJ$2216,"&lt;&gt;"&amp;"NA")</f>
        <v>#VALUE!</v>
      </c>
      <c r="Z64" s="55" t="e">
        <f t="shared" si="1"/>
        <v>#VALUE!</v>
      </c>
    </row>
    <row r="65" spans="1:26" hidden="1">
      <c r="A65" s="5">
        <v>130</v>
      </c>
      <c r="B65" s="59"/>
      <c r="C65" s="60"/>
      <c r="D65" s="63"/>
      <c r="E65" s="63"/>
      <c r="F65" s="60" t="s">
        <v>140</v>
      </c>
      <c r="G65" s="61" t="s">
        <v>15</v>
      </c>
      <c r="H65" s="62"/>
      <c r="I65" s="65">
        <v>0</v>
      </c>
      <c r="J65" s="65">
        <v>0</v>
      </c>
      <c r="K65" s="62"/>
      <c r="L65" s="65">
        <v>0</v>
      </c>
      <c r="M65" s="65">
        <v>0</v>
      </c>
      <c r="N65" s="64">
        <v>0</v>
      </c>
      <c r="P65">
        <f t="shared" si="2"/>
        <v>451</v>
      </c>
      <c r="Q65" t="str">
        <f t="shared" si="3"/>
        <v>SG</v>
      </c>
      <c r="R65" t="str">
        <f>IF(ISERROR(MATCH(P65&amp;"."&amp;Q65,R$5:R64,0)),P65&amp;"."&amp;Q65,P65&amp;"."&amp;Q65&amp;COUNTIFS(P$5:P64,P65,Q$5:Q64,Q65))</f>
        <v>451.SG</v>
      </c>
      <c r="S65" s="55">
        <f t="shared" si="4"/>
        <v>0</v>
      </c>
      <c r="W65" s="53">
        <v>356</v>
      </c>
      <c r="X65" s="54">
        <f t="shared" si="0"/>
        <v>557094551.43198657</v>
      </c>
      <c r="Y65" s="54" t="e">
        <f>SUMIFS(FuncStudy!$G$93:$G$2216,FuncStudy!$AI$93:$AI$2216,$W65,FuncStudy!$AJ$93:$AJ$2216,"&lt;&gt;"&amp;"NA")</f>
        <v>#VALUE!</v>
      </c>
      <c r="Z65" s="55" t="e">
        <f t="shared" si="1"/>
        <v>#VALUE!</v>
      </c>
    </row>
    <row r="66" spans="1:26" hidden="1">
      <c r="A66" s="5">
        <v>131</v>
      </c>
      <c r="B66" s="59"/>
      <c r="C66" s="60"/>
      <c r="D66" s="63"/>
      <c r="E66" s="63"/>
      <c r="F66" s="60" t="s">
        <v>140</v>
      </c>
      <c r="G66" s="61" t="s">
        <v>136</v>
      </c>
      <c r="H66" s="62"/>
      <c r="I66" s="65">
        <v>28719.73</v>
      </c>
      <c r="J66" s="65">
        <v>12463.940808964826</v>
      </c>
      <c r="K66" s="62"/>
      <c r="L66" s="65">
        <v>28719.73</v>
      </c>
      <c r="M66" s="65">
        <v>16170.781713886321</v>
      </c>
      <c r="N66" s="64">
        <v>12548.948286113678</v>
      </c>
      <c r="P66">
        <f t="shared" si="2"/>
        <v>451</v>
      </c>
      <c r="Q66" t="str">
        <f t="shared" si="3"/>
        <v>SO</v>
      </c>
      <c r="R66" t="str">
        <f>IF(ISERROR(MATCH(P66&amp;"."&amp;Q66,R$5:R65,0)),P66&amp;"."&amp;Q66,P66&amp;"."&amp;Q66&amp;COUNTIFS(P$5:P65,P66,Q$5:Q65,Q66))</f>
        <v>451.SO</v>
      </c>
      <c r="S66" s="55">
        <f t="shared" si="4"/>
        <v>12548.948286113678</v>
      </c>
      <c r="W66" s="53">
        <v>357</v>
      </c>
      <c r="X66" s="54">
        <f t="shared" si="0"/>
        <v>1628363.0046806575</v>
      </c>
      <c r="Y66" s="54" t="e">
        <f>SUMIFS(FuncStudy!$G$93:$G$2216,FuncStudy!$AI$93:$AI$2216,$W66,FuncStudy!$AJ$93:$AJ$2216,"&lt;&gt;"&amp;"NA")</f>
        <v>#VALUE!</v>
      </c>
      <c r="Z66" s="55" t="e">
        <f t="shared" si="1"/>
        <v>#VALUE!</v>
      </c>
    </row>
    <row r="67" spans="1:26" hidden="1">
      <c r="A67" s="5">
        <v>132</v>
      </c>
      <c r="B67" s="59"/>
      <c r="C67" s="60"/>
      <c r="D67" s="63"/>
      <c r="E67" s="63"/>
      <c r="F67" s="63"/>
      <c r="G67" s="63"/>
      <c r="H67" s="62" t="s">
        <v>132</v>
      </c>
      <c r="I67" s="66">
        <v>8845803.1900000013</v>
      </c>
      <c r="J67" s="66">
        <v>4322725.2308089649</v>
      </c>
      <c r="K67" s="62"/>
      <c r="L67" s="66">
        <v>6129721.8576694699</v>
      </c>
      <c r="M67" s="66">
        <v>4522992.9517138861</v>
      </c>
      <c r="N67" s="66">
        <v>1606728.9059555833</v>
      </c>
      <c r="P67">
        <f t="shared" si="2"/>
        <v>451</v>
      </c>
      <c r="Q67" t="str">
        <f t="shared" si="3"/>
        <v>NA</v>
      </c>
      <c r="R67" t="str">
        <f>IF(ISERROR(MATCH(P67&amp;"."&amp;Q67,R$5:R66,0)),P67&amp;"."&amp;Q67,P67&amp;"."&amp;Q67&amp;COUNTIFS(P$5:P66,P67,Q$5:Q66,Q67))</f>
        <v>451.NA1</v>
      </c>
      <c r="S67" s="55">
        <f t="shared" si="4"/>
        <v>1606728.9059555833</v>
      </c>
      <c r="W67" s="53">
        <v>358</v>
      </c>
      <c r="X67" s="54">
        <f t="shared" ref="X67:X130" si="5">SUMIFS(JAMValue,$P$6:$P$2441,$W67,$Q$6:$Q$2441,"&lt;&gt;"&amp;"NA")</f>
        <v>3629291.8409979474</v>
      </c>
      <c r="Y67" s="54" t="e">
        <f>SUMIFS(FuncStudy!$G$93:$G$2216,FuncStudy!$AI$93:$AI$2216,$W67,FuncStudy!$AJ$93:$AJ$2216,"&lt;&gt;"&amp;"NA")</f>
        <v>#VALUE!</v>
      </c>
      <c r="Z67" s="55" t="e">
        <f t="shared" si="1"/>
        <v>#VALUE!</v>
      </c>
    </row>
    <row r="68" spans="1:26" hidden="1">
      <c r="A68" s="5">
        <v>133</v>
      </c>
      <c r="B68" s="59"/>
      <c r="C68" s="60"/>
      <c r="D68" s="63"/>
      <c r="E68" s="63"/>
      <c r="F68" s="63"/>
      <c r="G68" s="63"/>
      <c r="H68" s="62"/>
      <c r="I68" s="65"/>
      <c r="J68" s="65"/>
      <c r="K68" s="62"/>
      <c r="L68" s="65"/>
      <c r="M68" s="65"/>
      <c r="N68" s="65"/>
      <c r="P68">
        <f t="shared" si="2"/>
        <v>451</v>
      </c>
      <c r="Q68" t="str">
        <f t="shared" si="3"/>
        <v>NA</v>
      </c>
      <c r="R68" t="str">
        <f>IF(ISERROR(MATCH(P68&amp;"."&amp;Q68,R$5:R67,0)),P68&amp;"."&amp;Q68,P68&amp;"."&amp;Q68&amp;COUNTIFS(P$5:P67,P68,Q$5:Q67,Q68))</f>
        <v>451.NA2</v>
      </c>
      <c r="S68" s="55">
        <f t="shared" si="4"/>
        <v>0</v>
      </c>
      <c r="W68" s="53">
        <v>359</v>
      </c>
      <c r="X68" s="54">
        <f t="shared" si="5"/>
        <v>5252069.50543648</v>
      </c>
      <c r="Y68" s="54" t="e">
        <f>SUMIFS(FuncStudy!$G$93:$G$2216,FuncStudy!$AI$93:$AI$2216,$W68,FuncStudy!$AJ$93:$AJ$2216,"&lt;&gt;"&amp;"NA")</f>
        <v>#VALUE!</v>
      </c>
      <c r="Z68" s="55" t="e">
        <f t="shared" ref="Z68:Z131" si="6">X68-Y68</f>
        <v>#VALUE!</v>
      </c>
    </row>
    <row r="69" spans="1:26" hidden="1">
      <c r="A69" s="5">
        <v>134</v>
      </c>
      <c r="B69" s="59"/>
      <c r="C69" s="60">
        <v>453</v>
      </c>
      <c r="D69" s="61" t="s">
        <v>151</v>
      </c>
      <c r="E69" s="63"/>
      <c r="F69" s="63"/>
      <c r="G69" s="63"/>
      <c r="H69" s="62"/>
      <c r="I69" s="65"/>
      <c r="J69" s="65"/>
      <c r="K69" s="62"/>
      <c r="L69" s="65"/>
      <c r="M69" s="65"/>
      <c r="N69" s="65"/>
      <c r="P69">
        <f t="shared" si="2"/>
        <v>453</v>
      </c>
      <c r="Q69" t="str">
        <f t="shared" si="3"/>
        <v>NA</v>
      </c>
      <c r="R69" t="str">
        <f>IF(ISERROR(MATCH(P69&amp;"."&amp;Q69,R$5:R68,0)),P69&amp;"."&amp;Q69,P69&amp;"."&amp;Q69&amp;COUNTIFS(P$5:P68,P69,Q$5:Q68,Q69))</f>
        <v>453.NA</v>
      </c>
      <c r="S69" s="55">
        <f t="shared" si="4"/>
        <v>0</v>
      </c>
      <c r="W69" s="53">
        <v>360</v>
      </c>
      <c r="X69" s="54">
        <f t="shared" si="5"/>
        <v>40781048.378355831</v>
      </c>
      <c r="Y69" s="54" t="e">
        <f>SUMIFS(FuncStudy!$G$93:$G$2216,FuncStudy!$AI$93:$AI$2216,$W69,FuncStudy!$AJ$93:$AJ$2216,"&lt;&gt;"&amp;"NA")</f>
        <v>#VALUE!</v>
      </c>
      <c r="Z69" s="55" t="e">
        <f t="shared" si="6"/>
        <v>#VALUE!</v>
      </c>
    </row>
    <row r="70" spans="1:26" hidden="1">
      <c r="A70" s="5">
        <v>135</v>
      </c>
      <c r="B70" s="59"/>
      <c r="C70" s="60"/>
      <c r="D70" s="63"/>
      <c r="E70" s="63"/>
      <c r="F70" s="60" t="s">
        <v>13</v>
      </c>
      <c r="G70" s="61" t="s">
        <v>15</v>
      </c>
      <c r="H70" s="62"/>
      <c r="I70" s="65">
        <v>53658.17</v>
      </c>
      <c r="J70" s="65">
        <v>23608.252343560944</v>
      </c>
      <c r="K70" s="62"/>
      <c r="L70" s="65">
        <v>53658.17</v>
      </c>
      <c r="M70" s="65">
        <v>30049.917656439055</v>
      </c>
      <c r="N70" s="64">
        <v>23608.252343560944</v>
      </c>
      <c r="P70">
        <f t="shared" si="2"/>
        <v>453</v>
      </c>
      <c r="Q70" t="str">
        <f t="shared" si="3"/>
        <v>SG</v>
      </c>
      <c r="R70" t="str">
        <f>IF(ISERROR(MATCH(P70&amp;"."&amp;Q70,R$5:R69,0)),P70&amp;"."&amp;Q70,P70&amp;"."&amp;Q70&amp;COUNTIFS(P$5:P69,P70,Q$5:Q69,Q70))</f>
        <v>453.SG</v>
      </c>
      <c r="S70" s="55">
        <f t="shared" si="4"/>
        <v>23608.252343560944</v>
      </c>
      <c r="W70" s="53">
        <v>361</v>
      </c>
      <c r="X70" s="54">
        <f t="shared" si="5"/>
        <v>65451635.798290074</v>
      </c>
      <c r="Y70" s="54" t="e">
        <f>SUMIFS(FuncStudy!$G$93:$G$2216,FuncStudy!$AI$93:$AI$2216,$W70,FuncStudy!$AJ$93:$AJ$2216,"&lt;&gt;"&amp;"NA")</f>
        <v>#VALUE!</v>
      </c>
      <c r="Z70" s="55" t="e">
        <f t="shared" si="6"/>
        <v>#VALUE!</v>
      </c>
    </row>
    <row r="71" spans="1:26" hidden="1">
      <c r="A71" s="5">
        <v>136</v>
      </c>
      <c r="B71" s="59"/>
      <c r="C71" s="60"/>
      <c r="D71" s="63"/>
      <c r="E71" s="63"/>
      <c r="F71" s="63"/>
      <c r="G71" s="63"/>
      <c r="H71" s="62" t="s">
        <v>132</v>
      </c>
      <c r="I71" s="66">
        <v>53658.17</v>
      </c>
      <c r="J71" s="66">
        <v>23608.252343560944</v>
      </c>
      <c r="K71" s="62"/>
      <c r="L71" s="66">
        <v>53658.17</v>
      </c>
      <c r="M71" s="66">
        <v>30049.917656439055</v>
      </c>
      <c r="N71" s="66">
        <v>23608.252343560944</v>
      </c>
      <c r="P71">
        <f t="shared" ref="P71:P134" si="7">IF(OR(C71="",C71=" ",C71="  ",C71="   "),P70,C71)</f>
        <v>453</v>
      </c>
      <c r="Q71" t="str">
        <f t="shared" ref="Q71:Q134" si="8">IF(G71="","NA",G71)</f>
        <v>NA</v>
      </c>
      <c r="R71" t="str">
        <f>IF(ISERROR(MATCH(P71&amp;"."&amp;Q71,R$5:R70,0)),P71&amp;"."&amp;Q71,P71&amp;"."&amp;Q71&amp;COUNTIFS(P$5:P70,P71,Q$5:Q70,Q71))</f>
        <v>453.NA1</v>
      </c>
      <c r="S71" s="55">
        <f t="shared" si="4"/>
        <v>23608.252343560944</v>
      </c>
      <c r="W71" s="53">
        <v>362</v>
      </c>
      <c r="X71" s="54">
        <f t="shared" si="5"/>
        <v>528766932.23912287</v>
      </c>
      <c r="Y71" s="54" t="e">
        <f>SUMIFS(FuncStudy!$G$93:$G$2216,FuncStudy!$AI$93:$AI$2216,$W71,FuncStudy!$AJ$93:$AJ$2216,"&lt;&gt;"&amp;"NA")</f>
        <v>#VALUE!</v>
      </c>
      <c r="Z71" s="55" t="e">
        <f t="shared" si="6"/>
        <v>#VALUE!</v>
      </c>
    </row>
    <row r="72" spans="1:26" hidden="1">
      <c r="A72" s="5">
        <v>137</v>
      </c>
      <c r="B72" s="59"/>
      <c r="C72" s="60"/>
      <c r="D72" s="63"/>
      <c r="E72" s="63"/>
      <c r="F72" s="63"/>
      <c r="G72" s="63"/>
      <c r="H72" s="62"/>
      <c r="I72" s="65"/>
      <c r="J72" s="65"/>
      <c r="K72" s="62"/>
      <c r="L72" s="65"/>
      <c r="M72" s="65"/>
      <c r="N72" s="65"/>
      <c r="P72">
        <f t="shared" si="7"/>
        <v>453</v>
      </c>
      <c r="Q72" t="str">
        <f t="shared" si="8"/>
        <v>NA</v>
      </c>
      <c r="R72" t="str">
        <f>IF(ISERROR(MATCH(P72&amp;"."&amp;Q72,R$5:R71,0)),P72&amp;"."&amp;Q72,P72&amp;"."&amp;Q72&amp;COUNTIFS(P$5:P71,P72,Q$5:Q71,Q72))</f>
        <v>453.NA2</v>
      </c>
      <c r="S72" s="55">
        <f t="shared" ref="S72:S135" si="9">N72</f>
        <v>0</v>
      </c>
      <c r="W72" s="53">
        <v>363</v>
      </c>
      <c r="X72" s="54">
        <f t="shared" si="5"/>
        <v>0</v>
      </c>
      <c r="Y72" s="54" t="e">
        <f>SUMIFS(FuncStudy!$G$93:$G$2216,FuncStudy!$AI$93:$AI$2216,$W72,FuncStudy!$AJ$93:$AJ$2216,"&lt;&gt;"&amp;"NA")</f>
        <v>#VALUE!</v>
      </c>
      <c r="Z72" s="55" t="e">
        <f t="shared" si="6"/>
        <v>#VALUE!</v>
      </c>
    </row>
    <row r="73" spans="1:26" hidden="1">
      <c r="A73" s="5">
        <v>138</v>
      </c>
      <c r="B73" s="59"/>
      <c r="C73" s="60">
        <v>454</v>
      </c>
      <c r="D73" s="61" t="s">
        <v>152</v>
      </c>
      <c r="E73" s="63"/>
      <c r="F73" s="63"/>
      <c r="G73" s="63"/>
      <c r="H73" s="62"/>
      <c r="I73" s="65"/>
      <c r="J73" s="65"/>
      <c r="K73" s="62"/>
      <c r="L73" s="65"/>
      <c r="M73" s="65"/>
      <c r="N73" s="65"/>
      <c r="P73">
        <f t="shared" si="7"/>
        <v>454</v>
      </c>
      <c r="Q73" t="str">
        <f t="shared" si="8"/>
        <v>NA</v>
      </c>
      <c r="R73" t="str">
        <f>IF(ISERROR(MATCH(P73&amp;"."&amp;Q73,R$5:R72,0)),P73&amp;"."&amp;Q73,P73&amp;"."&amp;Q73&amp;COUNTIFS(P$5:P72,P73,Q$5:Q72,Q73))</f>
        <v>454.NA</v>
      </c>
      <c r="S73" s="55">
        <f t="shared" si="9"/>
        <v>0</v>
      </c>
      <c r="W73" s="53">
        <v>364</v>
      </c>
      <c r="X73" s="54">
        <f t="shared" si="5"/>
        <v>480241863.45574307</v>
      </c>
      <c r="Y73" s="54" t="e">
        <f>SUMIFS(FuncStudy!$G$93:$G$2216,FuncStudy!$AI$93:$AI$2216,$W73,FuncStudy!$AJ$93:$AJ$2216,"&lt;&gt;"&amp;"NA")</f>
        <v>#VALUE!</v>
      </c>
      <c r="Z73" s="55" t="e">
        <f t="shared" si="6"/>
        <v>#VALUE!</v>
      </c>
    </row>
    <row r="74" spans="1:26" hidden="1">
      <c r="A74" s="5">
        <v>139</v>
      </c>
      <c r="B74" s="59"/>
      <c r="C74" s="60"/>
      <c r="D74" s="63"/>
      <c r="E74" s="63"/>
      <c r="F74" s="60" t="s">
        <v>139</v>
      </c>
      <c r="G74" s="61" t="s">
        <v>12</v>
      </c>
      <c r="H74" s="62"/>
      <c r="I74" s="65">
        <v>9431667.0299999993</v>
      </c>
      <c r="J74" s="65">
        <v>3537422.44</v>
      </c>
      <c r="K74" s="62"/>
      <c r="L74" s="65">
        <v>9868917.0299999993</v>
      </c>
      <c r="M74" s="65">
        <v>5894244.5899999999</v>
      </c>
      <c r="N74" s="64">
        <v>3974672.44</v>
      </c>
      <c r="P74">
        <f t="shared" si="7"/>
        <v>454</v>
      </c>
      <c r="Q74" t="str">
        <f t="shared" si="8"/>
        <v>S</v>
      </c>
      <c r="R74" t="str">
        <f>IF(ISERROR(MATCH(P74&amp;"."&amp;Q74,R$5:R73,0)),P74&amp;"."&amp;Q74,P74&amp;"."&amp;Q74&amp;COUNTIFS(P$5:P73,P74,Q$5:Q73,Q74))</f>
        <v>454.S</v>
      </c>
      <c r="S74" s="55">
        <f t="shared" si="9"/>
        <v>3974672.44</v>
      </c>
      <c r="W74" s="53">
        <v>365</v>
      </c>
      <c r="X74" s="54">
        <f t="shared" si="5"/>
        <v>294663991.15054965</v>
      </c>
      <c r="Y74" s="54" t="e">
        <f>SUMIFS(FuncStudy!$G$93:$G$2216,FuncStudy!$AI$93:$AI$2216,$W74,FuncStudy!$AJ$93:$AJ$2216,"&lt;&gt;"&amp;"NA")</f>
        <v>#VALUE!</v>
      </c>
      <c r="Z74" s="55" t="e">
        <f t="shared" si="6"/>
        <v>#VALUE!</v>
      </c>
    </row>
    <row r="75" spans="1:26" hidden="1">
      <c r="A75" s="5">
        <v>140</v>
      </c>
      <c r="B75" s="59"/>
      <c r="C75" s="60"/>
      <c r="D75" s="63"/>
      <c r="E75" s="63"/>
      <c r="F75" s="60" t="s">
        <v>18</v>
      </c>
      <c r="G75" s="61" t="s">
        <v>15</v>
      </c>
      <c r="H75" s="62"/>
      <c r="I75" s="65">
        <v>5409673.04</v>
      </c>
      <c r="J75" s="65">
        <v>2380120.7947359825</v>
      </c>
      <c r="K75" s="62"/>
      <c r="L75" s="65">
        <v>5409673.04</v>
      </c>
      <c r="M75" s="65">
        <v>3029552.2452640175</v>
      </c>
      <c r="N75" s="64">
        <v>2380120.7947359825</v>
      </c>
      <c r="P75">
        <f t="shared" si="7"/>
        <v>454</v>
      </c>
      <c r="Q75" t="str">
        <f t="shared" si="8"/>
        <v>SG</v>
      </c>
      <c r="R75" t="str">
        <f>IF(ISERROR(MATCH(P75&amp;"."&amp;Q75,R$5:R74,0)),P75&amp;"."&amp;Q75,P75&amp;"."&amp;Q75&amp;COUNTIFS(P$5:P74,P75,Q$5:Q74,Q75))</f>
        <v>454.SG</v>
      </c>
      <c r="S75" s="55">
        <f t="shared" si="9"/>
        <v>2380120.7947359825</v>
      </c>
      <c r="W75" s="53">
        <v>366</v>
      </c>
      <c r="X75" s="54">
        <f t="shared" si="5"/>
        <v>240262992.98801321</v>
      </c>
      <c r="Y75" s="54" t="e">
        <f>SUMIFS(FuncStudy!$G$93:$G$2216,FuncStudy!$AI$93:$AI$2216,$W75,FuncStudy!$AJ$93:$AJ$2216,"&lt;&gt;"&amp;"NA")</f>
        <v>#VALUE!</v>
      </c>
      <c r="Z75" s="55" t="e">
        <f t="shared" si="6"/>
        <v>#VALUE!</v>
      </c>
    </row>
    <row r="76" spans="1:26" hidden="1">
      <c r="A76" s="5">
        <v>141</v>
      </c>
      <c r="B76" s="59"/>
      <c r="C76" s="60"/>
      <c r="D76" s="63"/>
      <c r="E76" s="63"/>
      <c r="F76" s="60" t="s">
        <v>18</v>
      </c>
      <c r="G76" s="61" t="s">
        <v>15</v>
      </c>
      <c r="H76" s="62"/>
      <c r="I76" s="65">
        <v>0</v>
      </c>
      <c r="J76" s="65">
        <v>0</v>
      </c>
      <c r="K76" s="62"/>
      <c r="L76" s="65">
        <v>0</v>
      </c>
      <c r="M76" s="65">
        <v>0</v>
      </c>
      <c r="N76" s="64">
        <v>0</v>
      </c>
      <c r="P76">
        <f t="shared" si="7"/>
        <v>454</v>
      </c>
      <c r="Q76" t="str">
        <f t="shared" si="8"/>
        <v>SG</v>
      </c>
      <c r="R76" t="str">
        <f>IF(ISERROR(MATCH(P76&amp;"."&amp;Q76,R$5:R75,0)),P76&amp;"."&amp;Q76,P76&amp;"."&amp;Q76&amp;COUNTIFS(P$5:P75,P76,Q$5:Q75,Q76))</f>
        <v>454.SG1</v>
      </c>
      <c r="S76" s="55">
        <f t="shared" si="9"/>
        <v>0</v>
      </c>
      <c r="W76" s="53">
        <v>367</v>
      </c>
      <c r="X76" s="54">
        <f t="shared" si="5"/>
        <v>639810166.33446276</v>
      </c>
      <c r="Y76" s="54" t="e">
        <f>SUMIFS(FuncStudy!$G$93:$G$2216,FuncStudy!$AI$93:$AI$2216,$W76,FuncStudy!$AJ$93:$AJ$2216,"&lt;&gt;"&amp;"NA")</f>
        <v>#VALUE!</v>
      </c>
      <c r="Z76" s="55" t="e">
        <f t="shared" si="6"/>
        <v>#VALUE!</v>
      </c>
    </row>
    <row r="77" spans="1:26" hidden="1">
      <c r="A77" s="5">
        <v>142</v>
      </c>
      <c r="B77" s="59"/>
      <c r="C77" s="60"/>
      <c r="D77" s="63"/>
      <c r="E77" s="63"/>
      <c r="F77" s="60" t="s">
        <v>140</v>
      </c>
      <c r="G77" s="61" t="s">
        <v>136</v>
      </c>
      <c r="H77" s="62"/>
      <c r="I77" s="65">
        <v>2618387.9</v>
      </c>
      <c r="J77" s="65">
        <v>1136341.8737052791</v>
      </c>
      <c r="K77" s="62"/>
      <c r="L77" s="65">
        <v>2618387.9</v>
      </c>
      <c r="M77" s="65">
        <v>1474295.8646610258</v>
      </c>
      <c r="N77" s="64">
        <v>1144092.0353389741</v>
      </c>
      <c r="P77">
        <f t="shared" si="7"/>
        <v>454</v>
      </c>
      <c r="Q77" t="str">
        <f t="shared" si="8"/>
        <v>SO</v>
      </c>
      <c r="R77" t="str">
        <f>IF(ISERROR(MATCH(P77&amp;"."&amp;Q77,R$5:R76,0)),P77&amp;"."&amp;Q77,P77&amp;"."&amp;Q77&amp;COUNTIFS(P$5:P76,P77,Q$5:Q76,Q77))</f>
        <v>454.SO</v>
      </c>
      <c r="S77" s="55">
        <f t="shared" si="9"/>
        <v>1144092.0353389741</v>
      </c>
      <c r="W77" s="53">
        <v>368</v>
      </c>
      <c r="X77" s="54">
        <f t="shared" si="5"/>
        <v>647989548.02447546</v>
      </c>
      <c r="Y77" s="54" t="e">
        <f>SUMIFS(FuncStudy!$G$93:$G$2216,FuncStudy!$AI$93:$AI$2216,$W77,FuncStudy!$AJ$93:$AJ$2216,"&lt;&gt;"&amp;"NA")</f>
        <v>#VALUE!</v>
      </c>
      <c r="Z77" s="55" t="e">
        <f t="shared" si="6"/>
        <v>#VALUE!</v>
      </c>
    </row>
    <row r="78" spans="1:26" hidden="1">
      <c r="A78" s="5">
        <v>143</v>
      </c>
      <c r="B78" s="59"/>
      <c r="C78" s="60"/>
      <c r="D78" s="63"/>
      <c r="E78" s="63"/>
      <c r="F78" s="63"/>
      <c r="G78" s="63"/>
      <c r="H78" s="62" t="s">
        <v>132</v>
      </c>
      <c r="I78" s="66">
        <v>17459727.969999999</v>
      </c>
      <c r="J78" s="66">
        <v>7053885.1084412616</v>
      </c>
      <c r="K78" s="62"/>
      <c r="L78" s="66">
        <v>17896977.969999999</v>
      </c>
      <c r="M78" s="66">
        <v>10398092.699925043</v>
      </c>
      <c r="N78" s="66">
        <v>7498885.2700749561</v>
      </c>
      <c r="P78">
        <f t="shared" si="7"/>
        <v>454</v>
      </c>
      <c r="Q78" t="str">
        <f t="shared" si="8"/>
        <v>NA</v>
      </c>
      <c r="R78" t="str">
        <f>IF(ISERROR(MATCH(P78&amp;"."&amp;Q78,R$5:R77,0)),P78&amp;"."&amp;Q78,P78&amp;"."&amp;Q78&amp;COUNTIFS(P$5:P77,P78,Q$5:Q77,Q78))</f>
        <v>454.NA1</v>
      </c>
      <c r="S78" s="55">
        <f t="shared" si="9"/>
        <v>7498885.2700749561</v>
      </c>
      <c r="W78" s="53">
        <v>369</v>
      </c>
      <c r="X78" s="54">
        <f t="shared" si="5"/>
        <v>388034795.64364308</v>
      </c>
      <c r="Y78" s="54" t="e">
        <f>SUMIFS(FuncStudy!$G$93:$G$2216,FuncStudy!$AI$93:$AI$2216,$W78,FuncStudy!$AJ$93:$AJ$2216,"&lt;&gt;"&amp;"NA")</f>
        <v>#VALUE!</v>
      </c>
      <c r="Z78" s="55" t="e">
        <f t="shared" si="6"/>
        <v>#VALUE!</v>
      </c>
    </row>
    <row r="79" spans="1:26" hidden="1">
      <c r="A79" s="5">
        <v>144</v>
      </c>
      <c r="B79" s="59"/>
      <c r="C79" s="60"/>
      <c r="D79" s="63"/>
      <c r="E79" s="63"/>
      <c r="F79" s="63"/>
      <c r="G79" s="63"/>
      <c r="H79" s="62"/>
      <c r="I79" s="69"/>
      <c r="J79" s="69"/>
      <c r="K79" s="62"/>
      <c r="L79" s="69"/>
      <c r="M79" s="65"/>
      <c r="N79" s="65"/>
      <c r="P79">
        <f t="shared" si="7"/>
        <v>454</v>
      </c>
      <c r="Q79" t="str">
        <f t="shared" si="8"/>
        <v>NA</v>
      </c>
      <c r="R79" t="str">
        <f>IF(ISERROR(MATCH(P79&amp;"."&amp;Q79,R$5:R78,0)),P79&amp;"."&amp;Q79,P79&amp;"."&amp;Q79&amp;COUNTIFS(P$5:P78,P79,Q$5:Q78,Q79))</f>
        <v>454.NA2</v>
      </c>
      <c r="S79" s="55">
        <f t="shared" si="9"/>
        <v>0</v>
      </c>
      <c r="W79" s="53">
        <v>370</v>
      </c>
      <c r="X79" s="54">
        <f t="shared" si="5"/>
        <v>108427442.09989564</v>
      </c>
      <c r="Y79" s="54" t="e">
        <f>SUMIFS(FuncStudy!$G$93:$G$2216,FuncStudy!$AI$93:$AI$2216,$W79,FuncStudy!$AJ$93:$AJ$2216,"&lt;&gt;"&amp;"NA")</f>
        <v>#VALUE!</v>
      </c>
      <c r="Z79" s="55" t="e">
        <f t="shared" si="6"/>
        <v>#VALUE!</v>
      </c>
    </row>
    <row r="80" spans="1:26" hidden="1">
      <c r="A80" s="5">
        <v>145</v>
      </c>
      <c r="B80" s="59"/>
      <c r="C80" s="60"/>
      <c r="D80" s="63"/>
      <c r="E80" s="70"/>
      <c r="F80" s="63"/>
      <c r="G80" s="63"/>
      <c r="H80" s="62"/>
      <c r="I80" s="69"/>
      <c r="J80" s="69"/>
      <c r="K80" s="62"/>
      <c r="L80" s="69"/>
      <c r="M80" s="69"/>
      <c r="N80" s="79"/>
      <c r="P80">
        <f t="shared" si="7"/>
        <v>454</v>
      </c>
      <c r="Q80" t="str">
        <f t="shared" si="8"/>
        <v>NA</v>
      </c>
      <c r="R80" t="str">
        <f>IF(ISERROR(MATCH(P80&amp;"."&amp;Q80,R$5:R79,0)),P80&amp;"."&amp;Q80,P80&amp;"."&amp;Q80&amp;COUNTIFS(P$5:P79,P80,Q$5:Q79,Q80))</f>
        <v>454.NA3</v>
      </c>
      <c r="S80" s="55">
        <f t="shared" si="9"/>
        <v>0</v>
      </c>
      <c r="W80" s="53">
        <v>371</v>
      </c>
      <c r="X80" s="54">
        <f t="shared" si="5"/>
        <v>4977292.1636574008</v>
      </c>
      <c r="Y80" s="54" t="e">
        <f>SUMIFS(FuncStudy!$G$93:$G$2216,FuncStudy!$AI$93:$AI$2216,$W80,FuncStudy!$AJ$93:$AJ$2216,"&lt;&gt;"&amp;"NA")</f>
        <v>#VALUE!</v>
      </c>
      <c r="Z80" s="55" t="e">
        <f t="shared" si="6"/>
        <v>#VALUE!</v>
      </c>
    </row>
    <row r="81" spans="1:26" hidden="1">
      <c r="A81" s="5">
        <v>146</v>
      </c>
      <c r="B81" s="59"/>
      <c r="C81" s="71"/>
      <c r="D81" s="72"/>
      <c r="E81" s="73"/>
      <c r="F81" s="63"/>
      <c r="G81" s="72"/>
      <c r="H81" s="74"/>
      <c r="I81" s="75"/>
      <c r="J81" s="75"/>
      <c r="K81" s="62"/>
      <c r="L81" s="75"/>
      <c r="M81" s="75"/>
      <c r="N81" s="80"/>
      <c r="P81">
        <f t="shared" si="7"/>
        <v>454</v>
      </c>
      <c r="Q81" t="str">
        <f t="shared" si="8"/>
        <v>NA</v>
      </c>
      <c r="R81" t="str">
        <f>IF(ISERROR(MATCH(P81&amp;"."&amp;Q81,R$5:R80,0)),P81&amp;"."&amp;Q81,P81&amp;"."&amp;Q81&amp;COUNTIFS(P$5:P80,P81,Q$5:Q80,Q81))</f>
        <v>454.NA4</v>
      </c>
      <c r="S81" s="55">
        <f t="shared" si="9"/>
        <v>0</v>
      </c>
      <c r="W81" s="53">
        <v>372</v>
      </c>
      <c r="X81" s="54">
        <f t="shared" si="5"/>
        <v>0</v>
      </c>
      <c r="Y81" s="54" t="e">
        <f>SUMIFS(FuncStudy!$G$93:$G$2216,FuncStudy!$AI$93:$AI$2216,$W81,FuncStudy!$AJ$93:$AJ$2216,"&lt;&gt;"&amp;"NA")</f>
        <v>#VALUE!</v>
      </c>
      <c r="Z81" s="55" t="e">
        <f t="shared" si="6"/>
        <v>#VALUE!</v>
      </c>
    </row>
    <row r="82" spans="1:26" hidden="1">
      <c r="A82" s="5">
        <v>147</v>
      </c>
      <c r="B82" s="59"/>
      <c r="C82" s="60">
        <v>456</v>
      </c>
      <c r="D82" s="61" t="s">
        <v>153</v>
      </c>
      <c r="E82" s="63"/>
      <c r="F82" s="63"/>
      <c r="G82" s="63"/>
      <c r="H82" s="62"/>
      <c r="I82" s="65"/>
      <c r="J82" s="65"/>
      <c r="K82" s="62"/>
      <c r="L82" s="65"/>
      <c r="M82" s="65"/>
      <c r="N82" s="65"/>
      <c r="P82">
        <f t="shared" si="7"/>
        <v>456</v>
      </c>
      <c r="Q82" t="str">
        <f t="shared" si="8"/>
        <v>NA</v>
      </c>
      <c r="R82" t="str">
        <f>IF(ISERROR(MATCH(P82&amp;"."&amp;Q82,R$5:R81,0)),P82&amp;"."&amp;Q82,P82&amp;"."&amp;Q82&amp;COUNTIFS(P$5:P81,P82,Q$5:Q81,Q82))</f>
        <v>456.NA</v>
      </c>
      <c r="S82" s="55">
        <f t="shared" si="9"/>
        <v>0</v>
      </c>
      <c r="W82" s="53">
        <v>373</v>
      </c>
      <c r="X82" s="54">
        <f t="shared" si="5"/>
        <v>25997416.98637015</v>
      </c>
      <c r="Y82" s="54" t="e">
        <f>SUMIFS(FuncStudy!$G$93:$G$2216,FuncStudy!$AI$93:$AI$2216,$W82,FuncStudy!$AJ$93:$AJ$2216,"&lt;&gt;"&amp;"NA")</f>
        <v>#VALUE!</v>
      </c>
      <c r="Z82" s="55" t="e">
        <f t="shared" si="6"/>
        <v>#VALUE!</v>
      </c>
    </row>
    <row r="83" spans="1:26" hidden="1">
      <c r="A83" s="5">
        <v>148</v>
      </c>
      <c r="B83" s="59"/>
      <c r="C83" s="60"/>
      <c r="D83" s="63"/>
      <c r="E83" s="63"/>
      <c r="F83" s="60" t="s">
        <v>154</v>
      </c>
      <c r="G83" s="61" t="s">
        <v>12</v>
      </c>
      <c r="H83" s="62"/>
      <c r="I83" s="65">
        <v>3243617.959999999</v>
      </c>
      <c r="J83" s="65">
        <v>-4728043.66</v>
      </c>
      <c r="K83" s="62"/>
      <c r="L83" s="65">
        <v>1520593.2401398886</v>
      </c>
      <c r="M83" s="65">
        <v>6133981.5498576714</v>
      </c>
      <c r="N83" s="64">
        <v>-4613388.3097177828</v>
      </c>
      <c r="P83">
        <f t="shared" si="7"/>
        <v>456</v>
      </c>
      <c r="Q83" t="str">
        <f t="shared" si="8"/>
        <v>S</v>
      </c>
      <c r="R83" t="str">
        <f>IF(ISERROR(MATCH(P83&amp;"."&amp;Q83,R$5:R82,0)),P83&amp;"."&amp;Q83,P83&amp;"."&amp;Q83&amp;COUNTIFS(P$5:P82,P83,Q$5:Q82,Q83))</f>
        <v>456.S</v>
      </c>
      <c r="S83" s="55">
        <f t="shared" si="9"/>
        <v>-4613388.3097177828</v>
      </c>
      <c r="W83" s="53">
        <v>389</v>
      </c>
      <c r="X83" s="54">
        <f t="shared" si="5"/>
        <v>7905029.9302407615</v>
      </c>
      <c r="Y83" s="54" t="e">
        <f>SUMIFS(FuncStudy!$G$93:$G$2216,FuncStudy!$AI$93:$AI$2216,$W83,FuncStudy!$AJ$93:$AJ$2216,"&lt;&gt;"&amp;"NA")</f>
        <v>#VALUE!</v>
      </c>
      <c r="Z83" s="55" t="e">
        <f t="shared" si="6"/>
        <v>#VALUE!</v>
      </c>
    </row>
    <row r="84" spans="1:26" hidden="1">
      <c r="A84" s="5">
        <v>149</v>
      </c>
      <c r="B84" s="59"/>
      <c r="C84" s="60"/>
      <c r="D84" s="63"/>
      <c r="E84" s="63"/>
      <c r="F84" s="60" t="s">
        <v>149</v>
      </c>
      <c r="G84" s="61" t="s">
        <v>155</v>
      </c>
      <c r="H84" s="62"/>
      <c r="I84" s="65">
        <v>0</v>
      </c>
      <c r="J84" s="65">
        <v>0</v>
      </c>
      <c r="K84" s="62"/>
      <c r="L84" s="65">
        <v>0</v>
      </c>
      <c r="M84" s="65">
        <v>0</v>
      </c>
      <c r="N84" s="64">
        <v>0</v>
      </c>
      <c r="P84">
        <f t="shared" si="7"/>
        <v>456</v>
      </c>
      <c r="Q84" t="str">
        <f t="shared" si="8"/>
        <v>CN</v>
      </c>
      <c r="R84" t="str">
        <f>IF(ISERROR(MATCH(P84&amp;"."&amp;Q84,R$5:R83,0)),P84&amp;"."&amp;Q84,P84&amp;"."&amp;Q84&amp;COUNTIFS(P$5:P83,P84,Q$5:Q83,Q84))</f>
        <v>456.CN</v>
      </c>
      <c r="S84" s="55">
        <f t="shared" si="9"/>
        <v>0</v>
      </c>
      <c r="W84" s="53">
        <v>390</v>
      </c>
      <c r="X84" s="54">
        <f t="shared" si="5"/>
        <v>94270933.091871053</v>
      </c>
      <c r="Y84" s="54" t="e">
        <f>SUMIFS(FuncStudy!$G$93:$G$2216,FuncStudy!$AI$93:$AI$2216,$W84,FuncStudy!$AJ$93:$AJ$2216,"&lt;&gt;"&amp;"NA")</f>
        <v>#VALUE!</v>
      </c>
      <c r="Z84" s="55" t="e">
        <f t="shared" si="6"/>
        <v>#VALUE!</v>
      </c>
    </row>
    <row r="85" spans="1:26" hidden="1">
      <c r="A85" s="5">
        <v>150</v>
      </c>
      <c r="B85" s="59"/>
      <c r="C85" s="60"/>
      <c r="D85" s="63"/>
      <c r="E85" s="63"/>
      <c r="F85" s="60" t="s">
        <v>156</v>
      </c>
      <c r="G85" s="61" t="s">
        <v>16</v>
      </c>
      <c r="H85" s="62"/>
      <c r="I85" s="65">
        <v>14558486.439999999</v>
      </c>
      <c r="J85" s="65">
        <v>6312007.8808473423</v>
      </c>
      <c r="K85" s="62"/>
      <c r="L85" s="65">
        <v>14558486.439999999</v>
      </c>
      <c r="M85" s="65">
        <v>8246478.5591526572</v>
      </c>
      <c r="N85" s="64">
        <v>6312007.8808473423</v>
      </c>
      <c r="P85">
        <f t="shared" si="7"/>
        <v>456</v>
      </c>
      <c r="Q85" t="str">
        <f t="shared" si="8"/>
        <v>SE</v>
      </c>
      <c r="R85" t="str">
        <f>IF(ISERROR(MATCH(P85&amp;"."&amp;Q85,R$5:R84,0)),P85&amp;"."&amp;Q85,P85&amp;"."&amp;Q85&amp;COUNTIFS(P$5:P84,P85,Q$5:Q84,Q85))</f>
        <v>456.SE</v>
      </c>
      <c r="S85" s="55">
        <f t="shared" si="9"/>
        <v>6312007.8808473423</v>
      </c>
      <c r="W85" s="53">
        <v>391</v>
      </c>
      <c r="X85" s="54">
        <f t="shared" si="5"/>
        <v>29170057.524804845</v>
      </c>
      <c r="Y85" s="54" t="e">
        <f>SUMIFS(FuncStudy!$G$93:$G$2216,FuncStudy!$AI$93:$AI$2216,$W85,FuncStudy!$AJ$93:$AJ$2216,"&lt;&gt;"&amp;"NA")</f>
        <v>#VALUE!</v>
      </c>
      <c r="Z85" s="55" t="e">
        <f t="shared" si="6"/>
        <v>#VALUE!</v>
      </c>
    </row>
    <row r="86" spans="1:26" hidden="1">
      <c r="A86" s="5">
        <v>151</v>
      </c>
      <c r="B86" s="59"/>
      <c r="C86" s="60"/>
      <c r="D86" s="63"/>
      <c r="E86" s="63"/>
      <c r="F86" s="60" t="s">
        <v>157</v>
      </c>
      <c r="G86" s="61" t="s">
        <v>136</v>
      </c>
      <c r="H86" s="62"/>
      <c r="I86" s="65">
        <v>4419730.09</v>
      </c>
      <c r="J86" s="65">
        <v>1918097.9150347437</v>
      </c>
      <c r="K86" s="62"/>
      <c r="L86" s="65">
        <v>4419730.09</v>
      </c>
      <c r="M86" s="65">
        <v>2488550.2238247069</v>
      </c>
      <c r="N86" s="64">
        <v>1931179.866175293</v>
      </c>
      <c r="P86">
        <f t="shared" si="7"/>
        <v>456</v>
      </c>
      <c r="Q86" t="str">
        <f t="shared" si="8"/>
        <v>SO</v>
      </c>
      <c r="R86" t="str">
        <f>IF(ISERROR(MATCH(P86&amp;"."&amp;Q86,R$5:R85,0)),P86&amp;"."&amp;Q86,P86&amp;"."&amp;Q86&amp;COUNTIFS(P$5:P85,P86,Q$5:Q85,Q86))</f>
        <v>456.SO</v>
      </c>
      <c r="S86" s="55">
        <f t="shared" si="9"/>
        <v>1931179.866175293</v>
      </c>
      <c r="W86" s="53">
        <v>392</v>
      </c>
      <c r="X86" s="54">
        <f t="shared" si="5"/>
        <v>50231190.777776204</v>
      </c>
      <c r="Y86" s="54" t="e">
        <f>SUMIFS(FuncStudy!$G$93:$G$2216,FuncStudy!$AI$93:$AI$2216,$W86,FuncStudy!$AJ$93:$AJ$2216,"&lt;&gt;"&amp;"NA")</f>
        <v>#VALUE!</v>
      </c>
      <c r="Z86" s="55" t="e">
        <f t="shared" si="6"/>
        <v>#VALUE!</v>
      </c>
    </row>
    <row r="87" spans="1:26" hidden="1">
      <c r="A87" s="5">
        <v>152</v>
      </c>
      <c r="B87" s="59"/>
      <c r="C87" s="60"/>
      <c r="D87" s="63"/>
      <c r="E87" s="63"/>
      <c r="F87" s="60" t="s">
        <v>158</v>
      </c>
      <c r="G87" s="61" t="s">
        <v>15</v>
      </c>
      <c r="H87" s="62"/>
      <c r="I87" s="65">
        <v>117885717.70999999</v>
      </c>
      <c r="J87" s="65">
        <v>51866766.447671831</v>
      </c>
      <c r="K87" s="62"/>
      <c r="L87" s="65">
        <v>130585490.32333469</v>
      </c>
      <c r="M87" s="65">
        <v>73131141.657308221</v>
      </c>
      <c r="N87" s="64">
        <v>57454348.666026466</v>
      </c>
      <c r="P87">
        <f t="shared" si="7"/>
        <v>456</v>
      </c>
      <c r="Q87" t="str">
        <f t="shared" si="8"/>
        <v>SG</v>
      </c>
      <c r="R87" t="str">
        <f>IF(ISERROR(MATCH(P87&amp;"."&amp;Q87,R$5:R86,0)),P87&amp;"."&amp;Q87,P87&amp;"."&amp;Q87&amp;COUNTIFS(P$5:P86,P87,Q$5:Q86,Q87))</f>
        <v>456.SG</v>
      </c>
      <c r="S87" s="55">
        <f t="shared" si="9"/>
        <v>57454348.666026466</v>
      </c>
      <c r="W87" s="53">
        <v>393</v>
      </c>
      <c r="X87" s="54">
        <f t="shared" si="5"/>
        <v>6015577.6625687024</v>
      </c>
      <c r="Y87" s="54" t="e">
        <f>SUMIFS(FuncStudy!$G$93:$G$2216,FuncStudy!$AI$93:$AI$2216,$W87,FuncStudy!$AJ$93:$AJ$2216,"&lt;&gt;"&amp;"NA")</f>
        <v>#VALUE!</v>
      </c>
      <c r="Z87" s="55" t="e">
        <f t="shared" si="6"/>
        <v>#VALUE!</v>
      </c>
    </row>
    <row r="88" spans="1:26" hidden="1">
      <c r="A88" s="5">
        <v>153</v>
      </c>
      <c r="B88" s="59"/>
      <c r="C88" s="60"/>
      <c r="D88" s="63"/>
      <c r="E88" s="63"/>
      <c r="F88" s="63"/>
      <c r="G88" s="63"/>
      <c r="H88" s="62"/>
      <c r="I88" s="65"/>
      <c r="J88" s="65"/>
      <c r="K88" s="62"/>
      <c r="L88" s="65"/>
      <c r="M88" s="65"/>
      <c r="N88" s="65"/>
      <c r="P88">
        <f t="shared" si="7"/>
        <v>456</v>
      </c>
      <c r="Q88" t="str">
        <f t="shared" si="8"/>
        <v>NA</v>
      </c>
      <c r="R88" t="str">
        <f>IF(ISERROR(MATCH(P88&amp;"."&amp;Q88,R$5:R87,0)),P88&amp;"."&amp;Q88,P88&amp;"."&amp;Q88&amp;COUNTIFS(P$5:P87,P88,Q$5:Q87,Q88))</f>
        <v>456.NA1</v>
      </c>
      <c r="S88" s="55">
        <f t="shared" si="9"/>
        <v>0</v>
      </c>
      <c r="W88" s="53">
        <v>394</v>
      </c>
      <c r="X88" s="54">
        <f t="shared" si="5"/>
        <v>26158802.488903917</v>
      </c>
      <c r="Y88" s="54" t="e">
        <f>SUMIFS(FuncStudy!$G$93:$G$2216,FuncStudy!$AI$93:$AI$2216,$W88,FuncStudy!$AJ$93:$AJ$2216,"&lt;&gt;"&amp;"NA")</f>
        <v>#VALUE!</v>
      </c>
      <c r="Z88" s="55" t="e">
        <f t="shared" si="6"/>
        <v>#VALUE!</v>
      </c>
    </row>
    <row r="89" spans="1:26" hidden="1">
      <c r="A89" s="5">
        <v>154</v>
      </c>
      <c r="B89" s="59"/>
      <c r="C89" s="60"/>
      <c r="D89" s="63"/>
      <c r="E89" s="63"/>
      <c r="F89" s="63"/>
      <c r="G89" s="63"/>
      <c r="H89" s="62"/>
      <c r="I89" s="65"/>
      <c r="J89" s="65"/>
      <c r="K89" s="62"/>
      <c r="L89" s="65"/>
      <c r="M89" s="65"/>
      <c r="N89" s="65"/>
      <c r="P89">
        <f t="shared" si="7"/>
        <v>456</v>
      </c>
      <c r="Q89" t="str">
        <f t="shared" si="8"/>
        <v>NA</v>
      </c>
      <c r="R89" t="str">
        <f>IF(ISERROR(MATCH(P89&amp;"."&amp;Q89,R$5:R88,0)),P89&amp;"."&amp;Q89,P89&amp;"."&amp;Q89&amp;COUNTIFS(P$5:P88,P89,Q$5:Q88,Q89))</f>
        <v>456.NA2</v>
      </c>
      <c r="S89" s="55">
        <f t="shared" si="9"/>
        <v>0</v>
      </c>
      <c r="W89" s="53">
        <v>395</v>
      </c>
      <c r="X89" s="54">
        <f t="shared" si="5"/>
        <v>13512487.680360608</v>
      </c>
      <c r="Y89" s="54" t="e">
        <f>SUMIFS(FuncStudy!$G$93:$G$2216,FuncStudy!$AI$93:$AI$2216,$W89,FuncStudy!$AJ$93:$AJ$2216,"&lt;&gt;"&amp;"NA")</f>
        <v>#VALUE!</v>
      </c>
      <c r="Z89" s="55" t="e">
        <f t="shared" si="6"/>
        <v>#VALUE!</v>
      </c>
    </row>
    <row r="90" spans="1:26" hidden="1">
      <c r="A90" s="5">
        <v>155</v>
      </c>
      <c r="B90" s="59"/>
      <c r="C90" s="60"/>
      <c r="D90" s="63"/>
      <c r="E90" s="63"/>
      <c r="F90" s="63"/>
      <c r="G90" s="63"/>
      <c r="H90" s="62" t="s">
        <v>132</v>
      </c>
      <c r="I90" s="66">
        <v>140107552.19999999</v>
      </c>
      <c r="J90" s="66">
        <v>55368828.583553918</v>
      </c>
      <c r="K90" s="62"/>
      <c r="L90" s="66">
        <v>151084300.09347457</v>
      </c>
      <c r="M90" s="66">
        <v>90000151.990143254</v>
      </c>
      <c r="N90" s="66">
        <v>61084148.10333132</v>
      </c>
      <c r="P90">
        <f t="shared" si="7"/>
        <v>456</v>
      </c>
      <c r="Q90" t="str">
        <f t="shared" si="8"/>
        <v>NA</v>
      </c>
      <c r="R90" t="str">
        <f>IF(ISERROR(MATCH(P90&amp;"."&amp;Q90,R$5:R89,0)),P90&amp;"."&amp;Q90,P90&amp;"."&amp;Q90&amp;COUNTIFS(P$5:P89,P90,Q$5:Q89,Q90))</f>
        <v>456.NA3</v>
      </c>
      <c r="S90" s="55">
        <f t="shared" si="9"/>
        <v>61084148.10333132</v>
      </c>
      <c r="W90" s="53">
        <v>396</v>
      </c>
      <c r="X90" s="54">
        <f t="shared" si="5"/>
        <v>74196776.421508968</v>
      </c>
      <c r="Y90" s="54" t="e">
        <f>SUMIFS(FuncStudy!$G$93:$G$2216,FuncStudy!$AI$93:$AI$2216,$W90,FuncStudy!$AJ$93:$AJ$2216,"&lt;&gt;"&amp;"NA")</f>
        <v>#VALUE!</v>
      </c>
      <c r="Z90" s="55" t="e">
        <f t="shared" si="6"/>
        <v>#VALUE!</v>
      </c>
    </row>
    <row r="91" spans="1:26" hidden="1">
      <c r="A91" s="5">
        <v>156</v>
      </c>
      <c r="B91" s="59"/>
      <c r="C91" s="60"/>
      <c r="D91" s="63"/>
      <c r="E91" s="63"/>
      <c r="F91" s="63"/>
      <c r="G91" s="63"/>
      <c r="H91" s="62"/>
      <c r="I91" s="65"/>
      <c r="J91" s="65"/>
      <c r="K91" s="62"/>
      <c r="L91" s="65"/>
      <c r="M91" s="65"/>
      <c r="N91" s="65"/>
      <c r="P91">
        <f t="shared" si="7"/>
        <v>456</v>
      </c>
      <c r="Q91" t="str">
        <f t="shared" si="8"/>
        <v>NA</v>
      </c>
      <c r="R91" t="str">
        <f>IF(ISERROR(MATCH(P91&amp;"."&amp;Q91,R$5:R90,0)),P91&amp;"."&amp;Q91,P91&amp;"."&amp;Q91&amp;COUNTIFS(P$5:P90,P91,Q$5:Q90,Q91))</f>
        <v>456.NA4</v>
      </c>
      <c r="S91" s="55">
        <f t="shared" si="9"/>
        <v>0</v>
      </c>
      <c r="W91" s="53">
        <v>397</v>
      </c>
      <c r="X91" s="54">
        <f t="shared" si="5"/>
        <v>257888338.16796136</v>
      </c>
      <c r="Y91" s="54" t="e">
        <f>SUMIFS(FuncStudy!$G$93:$G$2216,FuncStudy!$AI$93:$AI$2216,$W91,FuncStudy!$AJ$93:$AJ$2216,"&lt;&gt;"&amp;"NA")</f>
        <v>#VALUE!</v>
      </c>
      <c r="Z91" s="55" t="e">
        <f t="shared" si="6"/>
        <v>#VALUE!</v>
      </c>
    </row>
    <row r="92" spans="1:26" ht="15.75" hidden="1" thickBot="1">
      <c r="A92" s="5">
        <v>157</v>
      </c>
      <c r="B92" s="59"/>
      <c r="C92" s="40" t="s">
        <v>159</v>
      </c>
      <c r="D92" s="40"/>
      <c r="E92" s="63"/>
      <c r="F92" s="63"/>
      <c r="G92" s="63"/>
      <c r="H92" s="41" t="s">
        <v>132</v>
      </c>
      <c r="I92" s="68">
        <v>175882371.97999999</v>
      </c>
      <c r="J92" s="68">
        <v>70080471.325147703</v>
      </c>
      <c r="K92" s="41"/>
      <c r="L92" s="68">
        <v>184580288.54114404</v>
      </c>
      <c r="M92" s="68">
        <v>111055493.85943863</v>
      </c>
      <c r="N92" s="68">
        <v>73524794.681705415</v>
      </c>
      <c r="P92" t="str">
        <f t="shared" si="7"/>
        <v>Total Other Electric Revenues</v>
      </c>
      <c r="Q92" t="str">
        <f t="shared" si="8"/>
        <v>NA</v>
      </c>
      <c r="R92" t="str">
        <f>IF(ISERROR(MATCH(P92&amp;"."&amp;Q92,R$5:R91,0)),P92&amp;"."&amp;Q92,P92&amp;"."&amp;Q92&amp;COUNTIFS(P$5:P91,P92,Q$5:Q91,Q92))</f>
        <v>Total Other Electric Revenues.NA</v>
      </c>
      <c r="S92" s="55">
        <f t="shared" si="9"/>
        <v>73524794.681705415</v>
      </c>
      <c r="W92" s="53">
        <v>398</v>
      </c>
      <c r="X92" s="54">
        <f t="shared" si="5"/>
        <v>3553037.2687232634</v>
      </c>
      <c r="Y92" s="54" t="e">
        <f>SUMIFS(FuncStudy!$G$93:$G$2216,FuncStudy!$AI$93:$AI$2216,$W92,FuncStudy!$AJ$93:$AJ$2216,"&lt;&gt;"&amp;"NA")</f>
        <v>#VALUE!</v>
      </c>
      <c r="Z92" s="55" t="e">
        <f t="shared" si="6"/>
        <v>#VALUE!</v>
      </c>
    </row>
    <row r="93" spans="1:26" hidden="1">
      <c r="A93" s="5">
        <v>158</v>
      </c>
      <c r="B93" s="59"/>
      <c r="C93" s="60"/>
      <c r="D93" s="63"/>
      <c r="E93" s="63"/>
      <c r="F93" s="63"/>
      <c r="G93" s="63"/>
      <c r="H93" s="62"/>
      <c r="I93" s="65"/>
      <c r="J93" s="65"/>
      <c r="K93" s="62"/>
      <c r="L93" s="65"/>
      <c r="M93" s="65"/>
      <c r="N93" s="65"/>
      <c r="P93" t="str">
        <f t="shared" si="7"/>
        <v>Total Other Electric Revenues</v>
      </c>
      <c r="Q93" t="str">
        <f t="shared" si="8"/>
        <v>NA</v>
      </c>
      <c r="R93" t="str">
        <f>IF(ISERROR(MATCH(P93&amp;"."&amp;Q93,R$5:R92,0)),P93&amp;"."&amp;Q93,P93&amp;"."&amp;Q93&amp;COUNTIFS(P$5:P92,P93,Q$5:Q92,Q93))</f>
        <v>Total Other Electric Revenues.NA1</v>
      </c>
      <c r="S93" s="55">
        <f t="shared" si="9"/>
        <v>0</v>
      </c>
      <c r="W93" s="53">
        <v>399</v>
      </c>
      <c r="X93" s="54">
        <f t="shared" si="5"/>
        <v>34296720.931825802</v>
      </c>
      <c r="Y93" s="54" t="e">
        <f>SUMIFS(FuncStudy!$G$93:$G$2216,FuncStudy!$AI$93:$AI$2216,$W93,FuncStudy!$AJ$93:$AJ$2216,"&lt;&gt;"&amp;"NA")</f>
        <v>#VALUE!</v>
      </c>
      <c r="Z93" s="55" t="e">
        <f t="shared" si="6"/>
        <v>#VALUE!</v>
      </c>
    </row>
    <row r="94" spans="1:26" ht="15.75" hidden="1" thickBot="1">
      <c r="A94" s="5">
        <v>159</v>
      </c>
      <c r="B94" s="59"/>
      <c r="C94" s="45" t="s">
        <v>160</v>
      </c>
      <c r="D94" s="63"/>
      <c r="E94" s="63"/>
      <c r="F94" s="63"/>
      <c r="G94" s="63"/>
      <c r="H94" s="41" t="s">
        <v>132</v>
      </c>
      <c r="I94" s="68">
        <v>5065709137.9099998</v>
      </c>
      <c r="J94" s="68">
        <v>2137078898.8776016</v>
      </c>
      <c r="K94" s="41"/>
      <c r="L94" s="68">
        <v>5133192392.7946615</v>
      </c>
      <c r="M94" s="68">
        <v>2945758792.0033016</v>
      </c>
      <c r="N94" s="68">
        <v>2187433600.7913594</v>
      </c>
      <c r="P94" t="str">
        <f t="shared" si="7"/>
        <v>Total Electric Operating Revenues</v>
      </c>
      <c r="Q94" t="str">
        <f t="shared" si="8"/>
        <v>NA</v>
      </c>
      <c r="R94" t="str">
        <f>IF(ISERROR(MATCH(P94&amp;"."&amp;Q94,R$5:R93,0)),P94&amp;"."&amp;Q94,P94&amp;"."&amp;Q94&amp;COUNTIFS(P$5:P93,P94,Q$5:Q93,Q94))</f>
        <v>Total Electric Operating Revenues.NA</v>
      </c>
      <c r="S94" s="55">
        <f t="shared" si="9"/>
        <v>2187433600.7913594</v>
      </c>
      <c r="W94" s="53">
        <v>403</v>
      </c>
      <c r="X94" s="54">
        <f t="shared" si="5"/>
        <v>0</v>
      </c>
      <c r="Y94" s="54">
        <f>SUMIFS(FuncStudy!$G$93:$G$2216,FuncStudy!$AI$93:$AI$2216,$W94,FuncStudy!$AJ$93:$AJ$2216,"&lt;&gt;"&amp;"NA")</f>
        <v>0</v>
      </c>
      <c r="Z94" s="55">
        <f t="shared" si="6"/>
        <v>0</v>
      </c>
    </row>
    <row r="95" spans="1:26" hidden="1">
      <c r="A95" s="5">
        <v>160</v>
      </c>
      <c r="B95" s="59"/>
      <c r="C95" s="60"/>
      <c r="D95" s="63"/>
      <c r="E95" s="63"/>
      <c r="F95" s="63"/>
      <c r="G95" s="63"/>
      <c r="H95" s="62"/>
      <c r="I95" s="65"/>
      <c r="J95" s="65"/>
      <c r="K95" s="62"/>
      <c r="L95" s="65"/>
      <c r="M95" s="65"/>
      <c r="N95" s="65"/>
      <c r="P95" t="str">
        <f t="shared" si="7"/>
        <v>Total Electric Operating Revenues</v>
      </c>
      <c r="Q95" t="str">
        <f t="shared" si="8"/>
        <v>NA</v>
      </c>
      <c r="R95" t="str">
        <f>IF(ISERROR(MATCH(P95&amp;"."&amp;Q95,R$5:R94,0)),P95&amp;"."&amp;Q95,P95&amp;"."&amp;Q95&amp;COUNTIFS(P$5:P94,P95,Q$5:Q94,Q95))</f>
        <v>Total Electric Operating Revenues.NA1</v>
      </c>
      <c r="S95" s="55">
        <f t="shared" si="9"/>
        <v>0</v>
      </c>
      <c r="W95" s="53">
        <v>405</v>
      </c>
      <c r="X95" s="54">
        <f t="shared" si="5"/>
        <v>0</v>
      </c>
      <c r="Y95" s="54" t="e">
        <f>SUMIFS(FuncStudy!$G$93:$G$2216,FuncStudy!$AI$93:$AI$2216,$W95,FuncStudy!$AJ$93:$AJ$2216,"&lt;&gt;"&amp;"NA")</f>
        <v>#VALUE!</v>
      </c>
      <c r="Z95" s="55" t="e">
        <f t="shared" si="6"/>
        <v>#VALUE!</v>
      </c>
    </row>
    <row r="96" spans="1:26" hidden="1">
      <c r="A96" s="5">
        <v>161</v>
      </c>
      <c r="B96" s="59"/>
      <c r="C96" s="60" t="s">
        <v>161</v>
      </c>
      <c r="D96" s="63"/>
      <c r="E96" s="63"/>
      <c r="F96" s="63"/>
      <c r="G96" s="63"/>
      <c r="H96" s="62"/>
      <c r="I96" s="65"/>
      <c r="J96" s="65"/>
      <c r="K96" s="62"/>
      <c r="L96" s="65"/>
      <c r="M96" s="65"/>
      <c r="N96" s="65"/>
      <c r="P96" t="str">
        <f t="shared" si="7"/>
        <v>Summary of Revenues by Factor</v>
      </c>
      <c r="Q96" t="str">
        <f t="shared" si="8"/>
        <v>NA</v>
      </c>
      <c r="R96" t="str">
        <f>IF(ISERROR(MATCH(P96&amp;"."&amp;Q96,R$5:R95,0)),P96&amp;"."&amp;Q96,P96&amp;"."&amp;Q96&amp;COUNTIFS(P$5:P95,P96,Q$5:Q95,Q96))</f>
        <v>Summary of Revenues by Factor.NA</v>
      </c>
      <c r="S96" s="55">
        <f t="shared" si="9"/>
        <v>0</v>
      </c>
      <c r="W96" s="53">
        <v>406</v>
      </c>
      <c r="X96" s="54">
        <f t="shared" si="5"/>
        <v>2405401.9965079413</v>
      </c>
      <c r="Y96" s="54" t="e">
        <f>SUMIFS(FuncStudy!$G$93:$G$2216,FuncStudy!$AI$93:$AI$2216,$W96,FuncStudy!$AJ$93:$AJ$2216,"&lt;&gt;"&amp;"NA")</f>
        <v>#VALUE!</v>
      </c>
      <c r="Z96" s="55" t="e">
        <f t="shared" si="6"/>
        <v>#VALUE!</v>
      </c>
    </row>
    <row r="97" spans="1:26" hidden="1">
      <c r="A97" s="5">
        <v>162</v>
      </c>
      <c r="B97" s="59"/>
      <c r="C97" s="60"/>
      <c r="D97" s="60" t="s">
        <v>141</v>
      </c>
      <c r="E97" s="70" t="s">
        <v>12</v>
      </c>
      <c r="F97" s="63"/>
      <c r="G97" s="63"/>
      <c r="H97" s="62"/>
      <c r="I97" s="65">
        <v>4742693550.7199993</v>
      </c>
      <c r="J97" s="65">
        <v>1995069324.1399999</v>
      </c>
      <c r="K97" s="62"/>
      <c r="L97" s="65">
        <v>4752024390.8813267</v>
      </c>
      <c r="M97" s="65">
        <v>2732180401.7498565</v>
      </c>
      <c r="N97" s="64">
        <v>2019843989.1314702</v>
      </c>
      <c r="P97" t="str">
        <f t="shared" si="7"/>
        <v>Summary of Revenues by Factor</v>
      </c>
      <c r="Q97" t="str">
        <f t="shared" si="8"/>
        <v>NA</v>
      </c>
      <c r="R97" t="str">
        <f>IF(ISERROR(MATCH(P97&amp;"."&amp;Q97,R$5:R96,0)),P97&amp;"."&amp;Q97,P97&amp;"."&amp;Q97&amp;COUNTIFS(P$5:P96,P97,Q$5:Q96,Q97))</f>
        <v>Summary of Revenues by Factor.NA1</v>
      </c>
      <c r="S97" s="55">
        <f t="shared" si="9"/>
        <v>2019843989.1314702</v>
      </c>
      <c r="W97" s="53">
        <v>407</v>
      </c>
      <c r="X97" s="54">
        <f t="shared" si="5"/>
        <v>-18443578.181930199</v>
      </c>
      <c r="Y97" s="54" t="e">
        <f>SUMIFS(FuncStudy!$G$93:$G$2216,FuncStudy!$AI$93:$AI$2216,$W97,FuncStudy!$AJ$93:$AJ$2216,"&lt;&gt;"&amp;"NA")</f>
        <v>#VALUE!</v>
      </c>
      <c r="Z97" s="55" t="e">
        <f t="shared" si="6"/>
        <v>#VALUE!</v>
      </c>
    </row>
    <row r="98" spans="1:26" hidden="1">
      <c r="A98" s="5">
        <v>163</v>
      </c>
      <c r="B98" s="59"/>
      <c r="C98" s="60"/>
      <c r="D98" s="61" t="s">
        <v>141</v>
      </c>
      <c r="E98" s="61" t="s">
        <v>155</v>
      </c>
      <c r="F98" s="63"/>
      <c r="G98" s="63"/>
      <c r="H98" s="62"/>
      <c r="I98" s="65">
        <v>0</v>
      </c>
      <c r="J98" s="65">
        <v>0</v>
      </c>
      <c r="K98" s="62"/>
      <c r="L98" s="65">
        <v>0</v>
      </c>
      <c r="M98" s="65">
        <v>0</v>
      </c>
      <c r="N98" s="64">
        <v>0</v>
      </c>
      <c r="P98" t="str">
        <f t="shared" si="7"/>
        <v>Summary of Revenues by Factor</v>
      </c>
      <c r="Q98" t="str">
        <f t="shared" si="8"/>
        <v>NA</v>
      </c>
      <c r="R98" t="str">
        <f>IF(ISERROR(MATCH(P98&amp;"."&amp;Q98,R$5:R97,0)),P98&amp;"."&amp;Q98,P98&amp;"."&amp;Q98&amp;COUNTIFS(P$5:P97,P98,Q$5:Q97,Q98))</f>
        <v>Summary of Revenues by Factor.NA2</v>
      </c>
      <c r="S98" s="55">
        <f t="shared" si="9"/>
        <v>0</v>
      </c>
      <c r="W98" s="53">
        <v>408</v>
      </c>
      <c r="X98" s="54">
        <f t="shared" si="5"/>
        <v>86016982.977037162</v>
      </c>
      <c r="Y98" s="54" t="e">
        <f>SUMIFS(FuncStudy!$G$93:$G$2216,FuncStudy!$AI$93:$AI$2216,$W98,FuncStudy!$AJ$93:$AJ$2216,"&lt;&gt;"&amp;"NA")</f>
        <v>#VALUE!</v>
      </c>
      <c r="Z98" s="55" t="e">
        <f t="shared" si="6"/>
        <v>#VALUE!</v>
      </c>
    </row>
    <row r="99" spans="1:26" hidden="1">
      <c r="A99" s="5">
        <v>164</v>
      </c>
      <c r="B99" s="59"/>
      <c r="C99" s="60"/>
      <c r="D99" s="61" t="s">
        <v>141</v>
      </c>
      <c r="E99" s="61" t="s">
        <v>16</v>
      </c>
      <c r="F99" s="63"/>
      <c r="G99" s="63"/>
      <c r="H99" s="62"/>
      <c r="I99" s="65">
        <v>10428087.369999999</v>
      </c>
      <c r="J99" s="65">
        <v>4521223.4069027733</v>
      </c>
      <c r="K99" s="62"/>
      <c r="L99" s="65">
        <v>14558486.439999999</v>
      </c>
      <c r="M99" s="65">
        <v>8246478.5591526572</v>
      </c>
      <c r="N99" s="64">
        <v>6312007.8808473423</v>
      </c>
      <c r="P99" t="str">
        <f t="shared" si="7"/>
        <v>Summary of Revenues by Factor</v>
      </c>
      <c r="Q99" t="str">
        <f t="shared" si="8"/>
        <v>NA</v>
      </c>
      <c r="R99" t="str">
        <f>IF(ISERROR(MATCH(P99&amp;"."&amp;Q99,R$5:R98,0)),P99&amp;"."&amp;Q99,P99&amp;"."&amp;Q99&amp;COUNTIFS(P$5:P98,P99,Q$5:Q98,Q99))</f>
        <v>Summary of Revenues by Factor.NA3</v>
      </c>
      <c r="S99" s="55">
        <f t="shared" si="9"/>
        <v>6312007.8808473423</v>
      </c>
      <c r="W99" s="53">
        <v>419</v>
      </c>
      <c r="X99" s="54">
        <f t="shared" si="5"/>
        <v>-20327471.283515412</v>
      </c>
      <c r="Y99" s="54" t="e">
        <f>SUMIFS(FuncStudy!$G$93:$G$2216,FuncStudy!$AI$93:$AI$2216,$W99,FuncStudy!$AJ$93:$AJ$2216,"&lt;&gt;"&amp;"NA")</f>
        <v>#VALUE!</v>
      </c>
      <c r="Z99" s="55" t="e">
        <f t="shared" si="6"/>
        <v>#VALUE!</v>
      </c>
    </row>
    <row r="100" spans="1:26" hidden="1">
      <c r="A100" s="5">
        <v>165</v>
      </c>
      <c r="B100" s="59"/>
      <c r="C100" s="60"/>
      <c r="D100" s="61" t="s">
        <v>141</v>
      </c>
      <c r="E100" s="61" t="s">
        <v>136</v>
      </c>
      <c r="F100" s="63"/>
      <c r="G100" s="63"/>
      <c r="H100" s="62"/>
      <c r="I100" s="65">
        <v>7066837.7199999997</v>
      </c>
      <c r="J100" s="65">
        <v>3066903.7295489879</v>
      </c>
      <c r="K100" s="62"/>
      <c r="L100" s="65">
        <v>7066837.7199999997</v>
      </c>
      <c r="M100" s="65">
        <v>3979016.8701996189</v>
      </c>
      <c r="N100" s="64">
        <v>3087820.8498003809</v>
      </c>
      <c r="P100" t="str">
        <f t="shared" si="7"/>
        <v>Summary of Revenues by Factor</v>
      </c>
      <c r="Q100" t="str">
        <f t="shared" si="8"/>
        <v>NA</v>
      </c>
      <c r="R100" t="str">
        <f>IF(ISERROR(MATCH(P100&amp;"."&amp;Q100,R$5:R99,0)),P100&amp;"."&amp;Q100,P100&amp;"."&amp;Q100&amp;COUNTIFS(P$5:P99,P100,Q$5:Q99,Q100))</f>
        <v>Summary of Revenues by Factor.NA4</v>
      </c>
      <c r="S100" s="55">
        <f t="shared" si="9"/>
        <v>3087820.8498003809</v>
      </c>
      <c r="W100" s="53">
        <v>421</v>
      </c>
      <c r="X100" s="54">
        <f t="shared" si="5"/>
        <v>-469040.60904734134</v>
      </c>
      <c r="Y100" s="54" t="e">
        <f>SUMIFS(FuncStudy!$G$93:$G$2216,FuncStudy!$AI$93:$AI$2216,$W100,FuncStudy!$AJ$93:$AJ$2216,"&lt;&gt;"&amp;"NA")</f>
        <v>#VALUE!</v>
      </c>
      <c r="Z100" s="55" t="e">
        <f>X100-Y100</f>
        <v>#VALUE!</v>
      </c>
    </row>
    <row r="101" spans="1:26" hidden="1">
      <c r="A101" s="5">
        <v>166</v>
      </c>
      <c r="B101" s="59"/>
      <c r="C101" s="60"/>
      <c r="D101" s="61" t="s">
        <v>141</v>
      </c>
      <c r="E101" s="61" t="s">
        <v>15</v>
      </c>
      <c r="F101" s="63"/>
      <c r="G101" s="63"/>
      <c r="H101" s="62"/>
      <c r="I101" s="65">
        <v>305520662.09999996</v>
      </c>
      <c r="J101" s="65">
        <v>134421447.60115033</v>
      </c>
      <c r="K101" s="62"/>
      <c r="L101" s="65">
        <v>359542677.75333464</v>
      </c>
      <c r="M101" s="65">
        <v>201352894.82409307</v>
      </c>
      <c r="N101" s="64">
        <v>158189782.92924157</v>
      </c>
      <c r="P101" t="str">
        <f t="shared" si="7"/>
        <v>Summary of Revenues by Factor</v>
      </c>
      <c r="Q101" t="str">
        <f t="shared" si="8"/>
        <v>NA</v>
      </c>
      <c r="R101" t="str">
        <f>IF(ISERROR(MATCH(P101&amp;"."&amp;Q101,R$5:R100,0)),P101&amp;"."&amp;Q101,P101&amp;"."&amp;Q101&amp;COUNTIFS(P$5:P100,P101,Q$5:Q100,Q101))</f>
        <v>Summary of Revenues by Factor.NA5</v>
      </c>
      <c r="S101" s="55">
        <f t="shared" si="9"/>
        <v>158189782.92924157</v>
      </c>
      <c r="W101" s="53">
        <v>427</v>
      </c>
      <c r="X101" s="54">
        <f>SUMIFS(JAMValue,$P$6:$P$2441,$W101,$Q$6:$Q$2441,"&lt;&gt;"&amp;"NA")</f>
        <v>173591733.60657385</v>
      </c>
      <c r="Y101" s="54" t="e">
        <f>SUMIFS(FuncStudy!$G$93:$G$2216,FuncStudy!$AI$93:$AI$2216,$W101,FuncStudy!$AJ$93:$AJ$2216,"&lt;&gt;"&amp;"NA")</f>
        <v>#VALUE!</v>
      </c>
      <c r="Z101" s="55" t="e">
        <f>X101-Y101</f>
        <v>#VALUE!</v>
      </c>
    </row>
    <row r="102" spans="1:26" hidden="1">
      <c r="A102" s="5">
        <v>167</v>
      </c>
      <c r="B102" s="59"/>
      <c r="C102" s="60"/>
      <c r="D102" s="61" t="s">
        <v>141</v>
      </c>
      <c r="E102" s="61" t="s">
        <v>17</v>
      </c>
      <c r="F102" s="63"/>
      <c r="G102" s="63"/>
      <c r="H102" s="62"/>
      <c r="I102" s="65">
        <v>0</v>
      </c>
      <c r="J102" s="65">
        <v>0</v>
      </c>
      <c r="K102" s="62"/>
      <c r="L102" s="65">
        <v>0</v>
      </c>
      <c r="M102" s="65">
        <v>0</v>
      </c>
      <c r="N102" s="64">
        <v>0</v>
      </c>
      <c r="P102" t="str">
        <f t="shared" si="7"/>
        <v>Summary of Revenues by Factor</v>
      </c>
      <c r="Q102" t="str">
        <f t="shared" si="8"/>
        <v>NA</v>
      </c>
      <c r="R102" t="str">
        <f>IF(ISERROR(MATCH(P102&amp;"."&amp;Q102,R$5:R101,0)),P102&amp;"."&amp;Q102,P102&amp;"."&amp;Q102&amp;COUNTIFS(P$5:P101,P102,Q$5:Q101,Q102))</f>
        <v>Summary of Revenues by Factor.NA6</v>
      </c>
      <c r="S102" s="55">
        <f t="shared" si="9"/>
        <v>0</v>
      </c>
      <c r="W102" s="53">
        <v>428</v>
      </c>
      <c r="X102" s="54">
        <f t="shared" si="5"/>
        <v>1985048.3129876188</v>
      </c>
      <c r="Y102" s="54" t="e">
        <f>SUMIFS(FuncStudy!$G$93:$G$2216,FuncStudy!$AI$93:$AI$2216,$W102,FuncStudy!$AJ$93:$AJ$2216,"&lt;&gt;"&amp;"NA")</f>
        <v>#VALUE!</v>
      </c>
      <c r="Z102" s="55" t="e">
        <f t="shared" si="6"/>
        <v>#VALUE!</v>
      </c>
    </row>
    <row r="103" spans="1:26" hidden="1">
      <c r="A103" s="5">
        <v>168</v>
      </c>
      <c r="B103" s="59"/>
      <c r="C103" s="60"/>
      <c r="D103" s="63"/>
      <c r="E103" s="63"/>
      <c r="F103" s="63"/>
      <c r="G103" s="63"/>
      <c r="H103" s="62"/>
      <c r="I103" s="65"/>
      <c r="J103" s="65"/>
      <c r="K103" s="62"/>
      <c r="L103" s="65"/>
      <c r="M103" s="65"/>
      <c r="N103" s="65"/>
      <c r="P103" t="str">
        <f t="shared" si="7"/>
        <v>Summary of Revenues by Factor</v>
      </c>
      <c r="Q103" t="str">
        <f t="shared" si="8"/>
        <v>NA</v>
      </c>
      <c r="R103" t="str">
        <f>IF(ISERROR(MATCH(P103&amp;"."&amp;Q103,R$5:R102,0)),P103&amp;"."&amp;Q103,P103&amp;"."&amp;Q103&amp;COUNTIFS(P$5:P102,P103,Q$5:Q102,Q103))</f>
        <v>Summary of Revenues by Factor.NA7</v>
      </c>
      <c r="S103" s="55">
        <f t="shared" si="9"/>
        <v>0</v>
      </c>
      <c r="W103" s="53">
        <v>429</v>
      </c>
      <c r="X103" s="54">
        <f t="shared" si="5"/>
        <v>-4889.8887519795162</v>
      </c>
      <c r="Y103" s="54" t="e">
        <f>SUMIFS(FuncStudy!$G$93:$G$2216,FuncStudy!$AI$93:$AI$2216,$W103,FuncStudy!$AJ$93:$AJ$2216,"&lt;&gt;"&amp;"NA")</f>
        <v>#VALUE!</v>
      </c>
      <c r="Z103" s="55" t="e">
        <f t="shared" si="6"/>
        <v>#VALUE!</v>
      </c>
    </row>
    <row r="104" spans="1:26" ht="15.75" hidden="1" thickBot="1">
      <c r="A104" s="5">
        <v>169</v>
      </c>
      <c r="B104" s="59"/>
      <c r="C104" s="60" t="s">
        <v>160</v>
      </c>
      <c r="D104" s="63"/>
      <c r="E104" s="63"/>
      <c r="F104" s="63"/>
      <c r="G104" s="63"/>
      <c r="H104" s="62" t="s">
        <v>141</v>
      </c>
      <c r="I104" s="81">
        <v>5065709137.9099998</v>
      </c>
      <c r="J104" s="81">
        <v>2137078898.8776019</v>
      </c>
      <c r="K104" s="62"/>
      <c r="L104" s="81">
        <v>5133192392.7946615</v>
      </c>
      <c r="M104" s="81">
        <v>2945758792.0033016</v>
      </c>
      <c r="N104" s="81">
        <v>2187433600.7913594</v>
      </c>
      <c r="P104" t="str">
        <f t="shared" si="7"/>
        <v>Total Electric Operating Revenues</v>
      </c>
      <c r="Q104" t="str">
        <f t="shared" si="8"/>
        <v>NA</v>
      </c>
      <c r="R104" t="str">
        <f>IF(ISERROR(MATCH(P104&amp;"."&amp;Q104,R$5:R103,0)),P104&amp;"."&amp;Q104,P104&amp;"."&amp;Q104&amp;COUNTIFS(P$5:P103,P104,Q$5:Q103,Q104))</f>
        <v>Total Electric Operating Revenues.NA2</v>
      </c>
      <c r="S104" s="55">
        <f t="shared" si="9"/>
        <v>2187433600.7913594</v>
      </c>
      <c r="W104" s="53">
        <v>431</v>
      </c>
      <c r="X104" s="54">
        <f t="shared" si="5"/>
        <v>10919883.527237136</v>
      </c>
      <c r="Y104" s="54" t="e">
        <f>SUMIFS(FuncStudy!$G$93:$G$2216,FuncStudy!$AI$93:$AI$2216,$W104,FuncStudy!$AJ$93:$AJ$2216,"&lt;&gt;"&amp;"NA")</f>
        <v>#VALUE!</v>
      </c>
      <c r="Z104" s="55" t="e">
        <f t="shared" si="6"/>
        <v>#VALUE!</v>
      </c>
    </row>
    <row r="105" spans="1:26" hidden="1">
      <c r="A105" s="5">
        <v>170</v>
      </c>
      <c r="B105" s="59"/>
      <c r="C105" s="60" t="s">
        <v>162</v>
      </c>
      <c r="D105" s="63"/>
      <c r="E105" s="63"/>
      <c r="F105" s="63"/>
      <c r="G105" s="63"/>
      <c r="H105" s="62"/>
      <c r="I105" s="65"/>
      <c r="J105" s="65"/>
      <c r="K105" s="62"/>
      <c r="L105" s="65"/>
      <c r="M105" s="65"/>
      <c r="N105" s="65"/>
      <c r="P105" t="str">
        <f t="shared" si="7"/>
        <v>Miscellaneous Revenues</v>
      </c>
      <c r="Q105" t="str">
        <f t="shared" si="8"/>
        <v>NA</v>
      </c>
      <c r="R105" t="str">
        <f>IF(ISERROR(MATCH(P105&amp;"."&amp;Q105,R$5:R104,0)),P105&amp;"."&amp;Q105,P105&amp;"."&amp;Q105&amp;COUNTIFS(P$5:P104,P105,Q$5:Q104,Q105))</f>
        <v>Miscellaneous Revenues.NA</v>
      </c>
      <c r="S105" s="55">
        <f t="shared" si="9"/>
        <v>0</v>
      </c>
      <c r="W105" s="53">
        <v>432</v>
      </c>
      <c r="X105" s="54">
        <f t="shared" si="5"/>
        <v>-16091838.637547409</v>
      </c>
      <c r="Y105" s="54" t="e">
        <f>SUMIFS(FuncStudy!$G$93:$G$2216,FuncStudy!$AI$93:$AI$2216,$W105,FuncStudy!$AJ$93:$AJ$2216,"&lt;&gt;"&amp;"NA")</f>
        <v>#VALUE!</v>
      </c>
      <c r="Z105" s="55" t="e">
        <f t="shared" si="6"/>
        <v>#VALUE!</v>
      </c>
    </row>
    <row r="106" spans="1:26" hidden="1">
      <c r="A106" s="5">
        <v>171</v>
      </c>
      <c r="B106" s="59"/>
      <c r="C106" s="60">
        <v>41160</v>
      </c>
      <c r="D106" s="61" t="s">
        <v>163</v>
      </c>
      <c r="E106" s="63"/>
      <c r="F106" s="63"/>
      <c r="G106" s="63"/>
      <c r="H106" s="62"/>
      <c r="I106" s="65"/>
      <c r="J106" s="65"/>
      <c r="K106" s="62"/>
      <c r="L106" s="65"/>
      <c r="M106" s="65"/>
      <c r="N106" s="65"/>
      <c r="P106">
        <f t="shared" si="7"/>
        <v>41160</v>
      </c>
      <c r="Q106" t="str">
        <f t="shared" si="8"/>
        <v>NA</v>
      </c>
      <c r="R106" t="str">
        <f>IF(ISERROR(MATCH(P106&amp;"."&amp;Q106,R$5:R105,0)),P106&amp;"."&amp;Q106,P106&amp;"."&amp;Q106&amp;COUNTIFS(P$5:P105,P106,Q$5:Q105,Q106))</f>
        <v>41160.NA</v>
      </c>
      <c r="S106" s="55">
        <f t="shared" si="9"/>
        <v>0</v>
      </c>
      <c r="W106" s="53">
        <v>440</v>
      </c>
      <c r="X106" s="54">
        <f t="shared" si="5"/>
        <v>754492620.15740013</v>
      </c>
      <c r="Y106" s="54" t="e">
        <f>SUMIFS(FuncStudy!$G$93:$G$2216,FuncStudy!$AI$93:$AI$2216,$W106,FuncStudy!$AJ$93:$AJ$2216,"&lt;&gt;"&amp;"NA")</f>
        <v>#VALUE!</v>
      </c>
      <c r="Z106" s="55" t="e">
        <f t="shared" si="6"/>
        <v>#VALUE!</v>
      </c>
    </row>
    <row r="107" spans="1:26" hidden="1">
      <c r="A107" s="5">
        <v>172</v>
      </c>
      <c r="B107" s="59"/>
      <c r="C107" s="60"/>
      <c r="D107" s="63"/>
      <c r="E107" s="63"/>
      <c r="F107" s="60" t="s">
        <v>139</v>
      </c>
      <c r="G107" s="61" t="s">
        <v>12</v>
      </c>
      <c r="H107" s="62"/>
      <c r="I107" s="65">
        <v>0</v>
      </c>
      <c r="J107" s="65">
        <v>0</v>
      </c>
      <c r="K107" s="62"/>
      <c r="L107" s="65">
        <v>0</v>
      </c>
      <c r="M107" s="65">
        <v>0</v>
      </c>
      <c r="N107" s="64">
        <v>0</v>
      </c>
      <c r="P107">
        <f t="shared" si="7"/>
        <v>41160</v>
      </c>
      <c r="Q107" t="str">
        <f t="shared" si="8"/>
        <v>S</v>
      </c>
      <c r="R107" t="str">
        <f>IF(ISERROR(MATCH(P107&amp;"."&amp;Q107,R$5:R106,0)),P107&amp;"."&amp;Q107,P107&amp;"."&amp;Q107&amp;COUNTIFS(P$5:P106,P107,Q$5:Q106,Q107))</f>
        <v>41160.S</v>
      </c>
      <c r="S107" s="55">
        <f t="shared" si="9"/>
        <v>0</v>
      </c>
      <c r="W107" s="53">
        <v>442</v>
      </c>
      <c r="X107" s="54">
        <f t="shared" si="5"/>
        <v>1240596131.3504443</v>
      </c>
      <c r="Y107" s="54" t="e">
        <f>SUMIFS(FuncStudy!$G$93:$G$2216,FuncStudy!$AI$93:$AI$2216,$W107,FuncStudy!$AJ$93:$AJ$2216,"&lt;&gt;"&amp;"NA")</f>
        <v>#VALUE!</v>
      </c>
      <c r="Z107" s="55" t="e">
        <f t="shared" si="6"/>
        <v>#VALUE!</v>
      </c>
    </row>
    <row r="108" spans="1:26" hidden="1">
      <c r="A108" s="5">
        <v>173</v>
      </c>
      <c r="B108" s="59"/>
      <c r="C108" s="60"/>
      <c r="D108" s="63"/>
      <c r="E108" s="63"/>
      <c r="F108" s="60" t="s">
        <v>18</v>
      </c>
      <c r="G108" s="61" t="s">
        <v>15</v>
      </c>
      <c r="H108" s="62"/>
      <c r="I108" s="65">
        <v>0</v>
      </c>
      <c r="J108" s="65">
        <v>0</v>
      </c>
      <c r="K108" s="62"/>
      <c r="L108" s="65">
        <v>0</v>
      </c>
      <c r="M108" s="65">
        <v>0</v>
      </c>
      <c r="N108" s="64">
        <v>0</v>
      </c>
      <c r="P108">
        <f t="shared" si="7"/>
        <v>41160</v>
      </c>
      <c r="Q108" t="str">
        <f t="shared" si="8"/>
        <v>SG</v>
      </c>
      <c r="R108" t="str">
        <f>IF(ISERROR(MATCH(P108&amp;"."&amp;Q108,R$5:R107,0)),P108&amp;"."&amp;Q108,P108&amp;"."&amp;Q108&amp;COUNTIFS(P$5:P107,P108,Q$5:Q107,Q108))</f>
        <v>41160.SG</v>
      </c>
      <c r="S108" s="55">
        <f t="shared" si="9"/>
        <v>0</v>
      </c>
      <c r="W108" s="53">
        <v>444</v>
      </c>
      <c r="X108" s="54">
        <f t="shared" si="5"/>
        <v>6607193.900700001</v>
      </c>
      <c r="Y108" s="54" t="e">
        <f>SUMIFS(FuncStudy!$G$93:$G$2216,FuncStudy!$AI$93:$AI$2216,$W108,FuncStudy!$AJ$93:$AJ$2216,"&lt;&gt;"&amp;"NA")</f>
        <v>#VALUE!</v>
      </c>
      <c r="Z108" s="55" t="e">
        <f t="shared" si="6"/>
        <v>#VALUE!</v>
      </c>
    </row>
    <row r="109" spans="1:26" hidden="1">
      <c r="A109" s="5">
        <v>174</v>
      </c>
      <c r="B109" s="59"/>
      <c r="C109" s="60"/>
      <c r="D109" s="63"/>
      <c r="E109" s="63"/>
      <c r="F109" s="60" t="s">
        <v>164</v>
      </c>
      <c r="G109" s="61" t="s">
        <v>136</v>
      </c>
      <c r="H109" s="62"/>
      <c r="I109" s="65">
        <v>0</v>
      </c>
      <c r="J109" s="65">
        <v>0</v>
      </c>
      <c r="K109" s="62"/>
      <c r="L109" s="65">
        <v>0</v>
      </c>
      <c r="M109" s="65">
        <v>0</v>
      </c>
      <c r="N109" s="64">
        <v>0</v>
      </c>
      <c r="P109">
        <f t="shared" si="7"/>
        <v>41160</v>
      </c>
      <c r="Q109" t="str">
        <f t="shared" si="8"/>
        <v>SO</v>
      </c>
      <c r="R109" t="str">
        <f>IF(ISERROR(MATCH(P109&amp;"."&amp;Q109,R$5:R108,0)),P109&amp;"."&amp;Q109,P109&amp;"."&amp;Q109&amp;COUNTIFS(P$5:P108,P109,Q$5:Q108,Q109))</f>
        <v>41160.SO</v>
      </c>
      <c r="S109" s="55">
        <f t="shared" si="9"/>
        <v>0</v>
      </c>
      <c r="W109" s="53">
        <v>445</v>
      </c>
      <c r="X109" s="54">
        <f t="shared" si="5"/>
        <v>0</v>
      </c>
      <c r="Y109" s="54" t="e">
        <f>SUMIFS(FuncStudy!$G$93:$G$2216,FuncStudy!$AI$93:$AI$2216,$W109,FuncStudy!$AJ$93:$AJ$2216,"&lt;&gt;"&amp;"NA")</f>
        <v>#VALUE!</v>
      </c>
      <c r="Z109" s="55" t="e">
        <f t="shared" si="6"/>
        <v>#VALUE!</v>
      </c>
    </row>
    <row r="110" spans="1:26" hidden="1">
      <c r="A110" s="5">
        <v>175</v>
      </c>
      <c r="B110" s="59"/>
      <c r="C110" s="60"/>
      <c r="D110" s="63"/>
      <c r="E110" s="63"/>
      <c r="F110" s="60" t="s">
        <v>18</v>
      </c>
      <c r="G110" s="61" t="s">
        <v>15</v>
      </c>
      <c r="H110" s="62"/>
      <c r="I110" s="65">
        <v>0</v>
      </c>
      <c r="J110" s="65">
        <v>0</v>
      </c>
      <c r="K110" s="62"/>
      <c r="L110" s="65">
        <v>0</v>
      </c>
      <c r="M110" s="65">
        <v>0</v>
      </c>
      <c r="N110" s="64">
        <v>0</v>
      </c>
      <c r="P110">
        <f t="shared" si="7"/>
        <v>41160</v>
      </c>
      <c r="Q110" t="str">
        <f t="shared" si="8"/>
        <v>SG</v>
      </c>
      <c r="R110" t="str">
        <f>IF(ISERROR(MATCH(P110&amp;"."&amp;Q110,R$5:R109,0)),P110&amp;"."&amp;Q110,P110&amp;"."&amp;Q110&amp;COUNTIFS(P$5:P109,P110,Q$5:Q109,Q110))</f>
        <v>41160.SG1</v>
      </c>
      <c r="S110" s="55">
        <f t="shared" si="9"/>
        <v>0</v>
      </c>
      <c r="W110" s="53">
        <v>447</v>
      </c>
      <c r="X110" s="54">
        <f t="shared" si="5"/>
        <v>13881155.484973999</v>
      </c>
      <c r="Y110" s="54" t="e">
        <f>SUMIFS(FuncStudy!$G$93:$G$2216,FuncStudy!$AI$93:$AI$2216,$W110,FuncStudy!$AJ$93:$AJ$2216,"&lt;&gt;"&amp;"NA")</f>
        <v>#VALUE!</v>
      </c>
      <c r="Z110" s="55" t="e">
        <f t="shared" si="6"/>
        <v>#VALUE!</v>
      </c>
    </row>
    <row r="111" spans="1:26" hidden="1">
      <c r="A111" s="5">
        <v>176</v>
      </c>
      <c r="B111" s="59"/>
      <c r="C111" s="60"/>
      <c r="D111" s="63"/>
      <c r="E111" s="63"/>
      <c r="F111" s="60" t="s">
        <v>13</v>
      </c>
      <c r="G111" s="61" t="s">
        <v>15</v>
      </c>
      <c r="H111" s="62"/>
      <c r="I111" s="65">
        <v>0</v>
      </c>
      <c r="J111" s="65">
        <v>0</v>
      </c>
      <c r="K111" s="62"/>
      <c r="L111" s="65">
        <v>0</v>
      </c>
      <c r="M111" s="65">
        <v>0</v>
      </c>
      <c r="N111" s="64">
        <v>0</v>
      </c>
      <c r="P111">
        <f t="shared" si="7"/>
        <v>41160</v>
      </c>
      <c r="Q111" t="str">
        <f t="shared" si="8"/>
        <v>SG</v>
      </c>
      <c r="R111" t="str">
        <f>IF(ISERROR(MATCH(P111&amp;"."&amp;Q111,R$5:R110,0)),P111&amp;"."&amp;Q111,P111&amp;"."&amp;Q111&amp;COUNTIFS(P$5:P110,P111,Q$5:Q110,Q111))</f>
        <v>41160.SG2</v>
      </c>
      <c r="S111" s="55">
        <f t="shared" si="9"/>
        <v>0</v>
      </c>
      <c r="W111" s="53">
        <v>448</v>
      </c>
      <c r="X111" s="54">
        <f t="shared" si="5"/>
        <v>0</v>
      </c>
      <c r="Y111" s="54" t="e">
        <f>SUMIFS(FuncStudy!$G$93:$G$2216,FuncStudy!$AI$93:$AI$2216,$W111,FuncStudy!$AJ$93:$AJ$2216,"&lt;&gt;"&amp;"NA")</f>
        <v>#VALUE!</v>
      </c>
      <c r="Z111" s="55" t="e">
        <f t="shared" si="6"/>
        <v>#VALUE!</v>
      </c>
    </row>
    <row r="112" spans="1:26" hidden="1">
      <c r="A112" s="5">
        <v>177</v>
      </c>
      <c r="B112" s="59"/>
      <c r="C112" s="60"/>
      <c r="D112" s="63"/>
      <c r="E112" s="63"/>
      <c r="F112" s="63"/>
      <c r="G112" s="63"/>
      <c r="H112" s="62" t="s">
        <v>165</v>
      </c>
      <c r="I112" s="66">
        <v>0</v>
      </c>
      <c r="J112" s="66">
        <v>0</v>
      </c>
      <c r="K112" s="62"/>
      <c r="L112" s="66">
        <v>0</v>
      </c>
      <c r="M112" s="66">
        <v>0</v>
      </c>
      <c r="N112" s="66">
        <v>0</v>
      </c>
      <c r="P112">
        <f t="shared" si="7"/>
        <v>41160</v>
      </c>
      <c r="Q112" t="str">
        <f t="shared" si="8"/>
        <v>NA</v>
      </c>
      <c r="R112" t="str">
        <f>IF(ISERROR(MATCH(P112&amp;"."&amp;Q112,R$5:R111,0)),P112&amp;"."&amp;Q112,P112&amp;"."&amp;Q112&amp;COUNTIFS(P$5:P111,P112,Q$5:Q111,Q112))</f>
        <v>41160.NA1</v>
      </c>
      <c r="S112" s="55">
        <f t="shared" si="9"/>
        <v>0</v>
      </c>
      <c r="W112" s="53">
        <v>449</v>
      </c>
      <c r="X112" s="54">
        <f t="shared" si="5"/>
        <v>0</v>
      </c>
      <c r="Y112" s="54" t="e">
        <f>SUMIFS(FuncStudy!$G$93:$G$2216,FuncStudy!$AI$93:$AI$2216,$W112,FuncStudy!$AJ$93:$AJ$2216,"&lt;&gt;"&amp;"NA")</f>
        <v>#VALUE!</v>
      </c>
      <c r="Z112" s="55" t="e">
        <f t="shared" si="6"/>
        <v>#VALUE!</v>
      </c>
    </row>
    <row r="113" spans="1:26" hidden="1">
      <c r="A113" s="5">
        <v>178</v>
      </c>
      <c r="B113" s="59"/>
      <c r="C113" s="60"/>
      <c r="D113" s="63"/>
      <c r="E113" s="63"/>
      <c r="F113" s="63"/>
      <c r="G113" s="63"/>
      <c r="H113" s="62"/>
      <c r="I113" s="65"/>
      <c r="J113" s="65"/>
      <c r="K113" s="62"/>
      <c r="L113" s="65"/>
      <c r="M113" s="65"/>
      <c r="N113" s="65"/>
      <c r="P113">
        <f t="shared" si="7"/>
        <v>41160</v>
      </c>
      <c r="Q113" t="str">
        <f t="shared" si="8"/>
        <v>NA</v>
      </c>
      <c r="R113" t="str">
        <f>IF(ISERROR(MATCH(P113&amp;"."&amp;Q113,R$5:R112,0)),P113&amp;"."&amp;Q113,P113&amp;"."&amp;Q113&amp;COUNTIFS(P$5:P112,P113,Q$5:Q112,Q113))</f>
        <v>41160.NA2</v>
      </c>
      <c r="S113" s="55">
        <f t="shared" si="9"/>
        <v>0</v>
      </c>
      <c r="W113" s="53">
        <v>450</v>
      </c>
      <c r="X113" s="54">
        <f t="shared" si="5"/>
        <v>3311424.15</v>
      </c>
      <c r="Y113" s="54" t="e">
        <f>SUMIFS(FuncStudy!$G$93:$G$2216,FuncStudy!$AI$93:$AI$2216,$W113,FuncStudy!$AJ$93:$AJ$2216,"&lt;&gt;"&amp;"NA")</f>
        <v>#VALUE!</v>
      </c>
      <c r="Z113" s="55" t="e">
        <f t="shared" si="6"/>
        <v>#VALUE!</v>
      </c>
    </row>
    <row r="114" spans="1:26" hidden="1">
      <c r="A114" s="5">
        <v>179</v>
      </c>
      <c r="B114" s="59"/>
      <c r="C114" s="60">
        <v>41170</v>
      </c>
      <c r="D114" s="61" t="s">
        <v>166</v>
      </c>
      <c r="E114" s="63"/>
      <c r="F114" s="63"/>
      <c r="G114" s="63"/>
      <c r="H114" s="62"/>
      <c r="I114" s="65"/>
      <c r="J114" s="65"/>
      <c r="K114" s="62"/>
      <c r="L114" s="65"/>
      <c r="M114" s="65"/>
      <c r="N114" s="65"/>
      <c r="P114">
        <f t="shared" si="7"/>
        <v>41170</v>
      </c>
      <c r="Q114" t="str">
        <f t="shared" si="8"/>
        <v>NA</v>
      </c>
      <c r="R114" t="str">
        <f>IF(ISERROR(MATCH(P114&amp;"."&amp;Q114,R$5:R113,0)),P114&amp;"."&amp;Q114,P114&amp;"."&amp;Q114&amp;COUNTIFS(P$5:P113,P114,Q$5:Q113,Q114))</f>
        <v>41170.NA</v>
      </c>
      <c r="S114" s="55">
        <f t="shared" si="9"/>
        <v>0</v>
      </c>
      <c r="W114" s="53">
        <v>451</v>
      </c>
      <c r="X114" s="54">
        <f t="shared" si="5"/>
        <v>1606728.9059555833</v>
      </c>
      <c r="Y114" s="54" t="e">
        <f>SUMIFS(FuncStudy!$G$93:$G$2216,FuncStudy!$AI$93:$AI$2216,$W114,FuncStudy!$AJ$93:$AJ$2216,"&lt;&gt;"&amp;"NA")</f>
        <v>#VALUE!</v>
      </c>
      <c r="Z114" s="55" t="e">
        <f t="shared" si="6"/>
        <v>#VALUE!</v>
      </c>
    </row>
    <row r="115" spans="1:26" hidden="1">
      <c r="A115" s="5">
        <v>180</v>
      </c>
      <c r="B115" s="59"/>
      <c r="C115" s="60"/>
      <c r="D115" s="63"/>
      <c r="E115" s="63"/>
      <c r="F115" s="60" t="s">
        <v>139</v>
      </c>
      <c r="G115" s="61" t="s">
        <v>12</v>
      </c>
      <c r="H115" s="62"/>
      <c r="I115" s="65">
        <v>0</v>
      </c>
      <c r="J115" s="65">
        <v>0</v>
      </c>
      <c r="K115" s="62"/>
      <c r="L115" s="65">
        <v>0</v>
      </c>
      <c r="M115" s="65">
        <v>0</v>
      </c>
      <c r="N115" s="64">
        <v>0</v>
      </c>
      <c r="P115">
        <f t="shared" si="7"/>
        <v>41170</v>
      </c>
      <c r="Q115" t="str">
        <f t="shared" si="8"/>
        <v>S</v>
      </c>
      <c r="R115" t="str">
        <f>IF(ISERROR(MATCH(P115&amp;"."&amp;Q115,R$5:R114,0)),P115&amp;"."&amp;Q115,P115&amp;"."&amp;Q115&amp;COUNTIFS(P$5:P114,P115,Q$5:Q114,Q115))</f>
        <v>41170.S</v>
      </c>
      <c r="S115" s="55">
        <f t="shared" si="9"/>
        <v>0</v>
      </c>
      <c r="W115" s="53">
        <v>453</v>
      </c>
      <c r="X115" s="54">
        <f t="shared" si="5"/>
        <v>23608.252343560944</v>
      </c>
      <c r="Y115" s="54" t="e">
        <f>SUMIFS(FuncStudy!$G$93:$G$2216,FuncStudy!$AI$93:$AI$2216,$W115,FuncStudy!$AJ$93:$AJ$2216,"&lt;&gt;"&amp;"NA")</f>
        <v>#VALUE!</v>
      </c>
      <c r="Z115" s="55" t="e">
        <f t="shared" si="6"/>
        <v>#VALUE!</v>
      </c>
    </row>
    <row r="116" spans="1:26" hidden="1">
      <c r="A116" s="5">
        <v>181</v>
      </c>
      <c r="B116" s="59"/>
      <c r="C116" s="60"/>
      <c r="D116" s="63"/>
      <c r="E116" s="63"/>
      <c r="F116" s="60" t="s">
        <v>18</v>
      </c>
      <c r="G116" s="61" t="s">
        <v>15</v>
      </c>
      <c r="H116" s="62"/>
      <c r="I116" s="65">
        <v>0</v>
      </c>
      <c r="J116" s="65">
        <v>0</v>
      </c>
      <c r="K116" s="62"/>
      <c r="L116" s="65">
        <v>0</v>
      </c>
      <c r="M116" s="65">
        <v>0</v>
      </c>
      <c r="N116" s="64">
        <v>0</v>
      </c>
      <c r="P116">
        <f t="shared" si="7"/>
        <v>41170</v>
      </c>
      <c r="Q116" t="str">
        <f t="shared" si="8"/>
        <v>SG</v>
      </c>
      <c r="R116" t="str">
        <f>IF(ISERROR(MATCH(P116&amp;"."&amp;Q116,R$5:R115,0)),P116&amp;"."&amp;Q116,P116&amp;"."&amp;Q116&amp;COUNTIFS(P$5:P115,P116,Q$5:Q115,Q116))</f>
        <v>41170.SG</v>
      </c>
      <c r="S116" s="55">
        <f t="shared" si="9"/>
        <v>0</v>
      </c>
      <c r="W116" s="53">
        <v>454</v>
      </c>
      <c r="X116" s="54">
        <f t="shared" si="5"/>
        <v>7498885.2700749561</v>
      </c>
      <c r="Y116" s="54" t="e">
        <f>SUMIFS(FuncStudy!$G$93:$G$2216,FuncStudy!$AI$93:$AI$2216,$W116,FuncStudy!$AJ$93:$AJ$2216,"&lt;&gt;"&amp;"NA")</f>
        <v>#VALUE!</v>
      </c>
      <c r="Z116" s="55" t="e">
        <f t="shared" si="6"/>
        <v>#VALUE!</v>
      </c>
    </row>
    <row r="117" spans="1:26" hidden="1">
      <c r="A117" s="5">
        <v>182</v>
      </c>
      <c r="B117" s="59"/>
      <c r="C117" s="60"/>
      <c r="D117" s="63"/>
      <c r="E117" s="63"/>
      <c r="F117" s="63"/>
      <c r="G117" s="63"/>
      <c r="H117" s="62" t="s">
        <v>165</v>
      </c>
      <c r="I117" s="66">
        <v>0</v>
      </c>
      <c r="J117" s="66">
        <v>0</v>
      </c>
      <c r="K117" s="62"/>
      <c r="L117" s="66">
        <v>0</v>
      </c>
      <c r="M117" s="66">
        <v>0</v>
      </c>
      <c r="N117" s="66">
        <v>0</v>
      </c>
      <c r="P117">
        <f t="shared" si="7"/>
        <v>41170</v>
      </c>
      <c r="Q117" t="str">
        <f t="shared" si="8"/>
        <v>NA</v>
      </c>
      <c r="R117" t="str">
        <f>IF(ISERROR(MATCH(P117&amp;"."&amp;Q117,R$5:R116,0)),P117&amp;"."&amp;Q117,P117&amp;"."&amp;Q117&amp;COUNTIFS(P$5:P116,P117,Q$5:Q116,Q117))</f>
        <v>41170.NA1</v>
      </c>
      <c r="S117" s="55">
        <f t="shared" si="9"/>
        <v>0</v>
      </c>
      <c r="W117" s="53">
        <v>456</v>
      </c>
      <c r="X117" s="54">
        <f t="shared" si="5"/>
        <v>61084148.10333132</v>
      </c>
      <c r="Y117" s="54" t="e">
        <f>SUMIFS(FuncStudy!$G$93:$G$2216,FuncStudy!$AI$93:$AI$2216,$W117,FuncStudy!$AJ$93:$AJ$2216,"&lt;&gt;"&amp;"NA")</f>
        <v>#VALUE!</v>
      </c>
      <c r="Z117" s="55" t="e">
        <f t="shared" si="6"/>
        <v>#VALUE!</v>
      </c>
    </row>
    <row r="118" spans="1:26" hidden="1">
      <c r="A118" s="5">
        <v>183</v>
      </c>
      <c r="B118" s="59"/>
      <c r="C118" s="60"/>
      <c r="D118" s="63"/>
      <c r="E118" s="63"/>
      <c r="F118" s="63"/>
      <c r="G118" s="63"/>
      <c r="H118" s="62"/>
      <c r="I118" s="65"/>
      <c r="J118" s="65"/>
      <c r="K118" s="62"/>
      <c r="L118" s="65"/>
      <c r="M118" s="65"/>
      <c r="N118" s="65"/>
      <c r="P118">
        <f t="shared" si="7"/>
        <v>41170</v>
      </c>
      <c r="Q118" t="str">
        <f t="shared" si="8"/>
        <v>NA</v>
      </c>
      <c r="R118" t="str">
        <f>IF(ISERROR(MATCH(P118&amp;"."&amp;Q118,R$5:R117,0)),P118&amp;"."&amp;Q118,P118&amp;"."&amp;Q118&amp;COUNTIFS(P$5:P117,P118,Q$5:Q117,Q118))</f>
        <v>41170.NA2</v>
      </c>
      <c r="S118" s="55">
        <f t="shared" si="9"/>
        <v>0</v>
      </c>
      <c r="W118" s="53">
        <v>500</v>
      </c>
      <c r="X118" s="54">
        <f t="shared" si="5"/>
        <v>8603758.116606744</v>
      </c>
      <c r="Y118" s="54" t="e">
        <f>SUMIFS(FuncStudy!$G$93:$G$2216,FuncStudy!$AI$93:$AI$2216,$W118,FuncStudy!$AJ$93:$AJ$2216,"&lt;&gt;"&amp;"NA")</f>
        <v>#VALUE!</v>
      </c>
      <c r="Z118" s="55" t="e">
        <f t="shared" si="6"/>
        <v>#VALUE!</v>
      </c>
    </row>
    <row r="119" spans="1:26" hidden="1">
      <c r="A119" s="5">
        <v>184</v>
      </c>
      <c r="B119" s="59"/>
      <c r="C119" s="60">
        <v>4118</v>
      </c>
      <c r="D119" s="61" t="s">
        <v>167</v>
      </c>
      <c r="E119" s="63"/>
      <c r="F119" s="63"/>
      <c r="G119" s="63"/>
      <c r="H119" s="62"/>
      <c r="I119" s="65"/>
      <c r="J119" s="65"/>
      <c r="K119" s="62"/>
      <c r="L119" s="65"/>
      <c r="M119" s="65"/>
      <c r="N119" s="65"/>
      <c r="P119">
        <f t="shared" si="7"/>
        <v>4118</v>
      </c>
      <c r="Q119" t="str">
        <f t="shared" si="8"/>
        <v>NA</v>
      </c>
      <c r="R119" t="str">
        <f>IF(ISERROR(MATCH(P119&amp;"."&amp;Q119,R$5:R118,0)),P119&amp;"."&amp;Q119,P119&amp;"."&amp;Q119&amp;COUNTIFS(P$5:P118,P119,Q$5:Q118,Q119))</f>
        <v>4118.NA</v>
      </c>
      <c r="S119" s="55">
        <f t="shared" si="9"/>
        <v>0</v>
      </c>
      <c r="W119" s="53">
        <v>501</v>
      </c>
      <c r="X119" s="54">
        <f t="shared" si="5"/>
        <v>8086777.0700947046</v>
      </c>
      <c r="Y119" s="54" t="e">
        <f>SUMIFS(FuncStudy!$G$93:$G$2216,FuncStudy!$AI$93:$AI$2216,$W119,FuncStudy!$AJ$93:$AJ$2216,"&lt;&gt;"&amp;"NA")</f>
        <v>#VALUE!</v>
      </c>
      <c r="Z119" s="55" t="e">
        <f t="shared" si="6"/>
        <v>#VALUE!</v>
      </c>
    </row>
    <row r="120" spans="1:26" hidden="1">
      <c r="A120" s="5">
        <v>185</v>
      </c>
      <c r="B120" s="59"/>
      <c r="C120" s="60"/>
      <c r="D120" s="63"/>
      <c r="E120" s="63"/>
      <c r="F120" s="60" t="s">
        <v>13</v>
      </c>
      <c r="G120" s="61" t="s">
        <v>12</v>
      </c>
      <c r="H120" s="62"/>
      <c r="I120" s="65">
        <v>0</v>
      </c>
      <c r="J120" s="65">
        <v>0</v>
      </c>
      <c r="K120" s="62"/>
      <c r="L120" s="65">
        <v>0</v>
      </c>
      <c r="M120" s="65">
        <v>0</v>
      </c>
      <c r="N120" s="64">
        <v>0</v>
      </c>
      <c r="P120">
        <f t="shared" si="7"/>
        <v>4118</v>
      </c>
      <c r="Q120" t="str">
        <f t="shared" si="8"/>
        <v>S</v>
      </c>
      <c r="R120" t="str">
        <f>IF(ISERROR(MATCH(P120&amp;"."&amp;Q120,R$5:R119,0)),P120&amp;"."&amp;Q120,P120&amp;"."&amp;Q120&amp;COUNTIFS(P$5:P119,P120,Q$5:Q119,Q120))</f>
        <v>4118.S</v>
      </c>
      <c r="S120" s="55">
        <f t="shared" si="9"/>
        <v>0</v>
      </c>
      <c r="W120" s="53">
        <v>502</v>
      </c>
      <c r="X120" s="54">
        <f t="shared" si="5"/>
        <v>36772024.200892687</v>
      </c>
      <c r="Y120" s="54" t="e">
        <f>SUMIFS(FuncStudy!$G$93:$G$2216,FuncStudy!$AI$93:$AI$2216,$W120,FuncStudy!$AJ$93:$AJ$2216,"&lt;&gt;"&amp;"NA")</f>
        <v>#VALUE!</v>
      </c>
      <c r="Z120" s="55" t="e">
        <f t="shared" si="6"/>
        <v>#VALUE!</v>
      </c>
    </row>
    <row r="121" spans="1:26" hidden="1">
      <c r="A121" s="5">
        <v>186</v>
      </c>
      <c r="B121" s="59"/>
      <c r="C121" s="60"/>
      <c r="D121" s="63"/>
      <c r="E121" s="63"/>
      <c r="F121" s="60" t="s">
        <v>13</v>
      </c>
      <c r="G121" s="61" t="s">
        <v>16</v>
      </c>
      <c r="H121" s="62"/>
      <c r="I121" s="65">
        <v>-173.36</v>
      </c>
      <c r="J121" s="65">
        <v>-75.162324787912183</v>
      </c>
      <c r="K121" s="62"/>
      <c r="L121" s="65">
        <v>-173.36</v>
      </c>
      <c r="M121" s="65">
        <v>-98.19767521208783</v>
      </c>
      <c r="N121" s="64">
        <v>-75.162324787912183</v>
      </c>
      <c r="P121">
        <f t="shared" si="7"/>
        <v>4118</v>
      </c>
      <c r="Q121" t="str">
        <f t="shared" si="8"/>
        <v>SE</v>
      </c>
      <c r="R121" t="str">
        <f>IF(ISERROR(MATCH(P121&amp;"."&amp;Q121,R$5:R120,0)),P121&amp;"."&amp;Q121,P121&amp;"."&amp;Q121&amp;COUNTIFS(P$5:P120,P121,Q$5:Q120,Q121))</f>
        <v>4118.SE</v>
      </c>
      <c r="S121" s="55">
        <f t="shared" si="9"/>
        <v>-75.162324787912183</v>
      </c>
      <c r="W121" s="53">
        <v>503</v>
      </c>
      <c r="X121" s="54">
        <f t="shared" si="5"/>
        <v>4067.6341991875697</v>
      </c>
      <c r="Y121" s="54" t="e">
        <f>SUMIFS(FuncStudy!$G$93:$G$2216,FuncStudy!$AI$93:$AI$2216,$W121,FuncStudy!$AJ$93:$AJ$2216,"&lt;&gt;"&amp;"NA")</f>
        <v>#VALUE!</v>
      </c>
      <c r="Z121" s="55" t="e">
        <f t="shared" si="6"/>
        <v>#VALUE!</v>
      </c>
    </row>
    <row r="122" spans="1:26" hidden="1">
      <c r="A122" s="5">
        <v>187</v>
      </c>
      <c r="B122" s="59"/>
      <c r="C122" s="60"/>
      <c r="D122" s="63"/>
      <c r="E122" s="63"/>
      <c r="F122" s="63"/>
      <c r="G122" s="63"/>
      <c r="H122" s="62" t="s">
        <v>165</v>
      </c>
      <c r="I122" s="66">
        <v>-173.36</v>
      </c>
      <c r="J122" s="66">
        <v>-75.162324787912183</v>
      </c>
      <c r="K122" s="62"/>
      <c r="L122" s="66">
        <v>-173.36</v>
      </c>
      <c r="M122" s="66">
        <v>-98.19767521208783</v>
      </c>
      <c r="N122" s="66">
        <v>-75.162324787912183</v>
      </c>
      <c r="P122">
        <f t="shared" si="7"/>
        <v>4118</v>
      </c>
      <c r="Q122" t="str">
        <f t="shared" si="8"/>
        <v>NA</v>
      </c>
      <c r="R122" t="str">
        <f>IF(ISERROR(MATCH(P122&amp;"."&amp;Q122,R$5:R121,0)),P122&amp;"."&amp;Q122,P122&amp;"."&amp;Q122&amp;COUNTIFS(P$5:P121,P122,Q$5:Q121,Q122))</f>
        <v>4118.NA1</v>
      </c>
      <c r="S122" s="55">
        <f t="shared" si="9"/>
        <v>-75.162324787912183</v>
      </c>
      <c r="W122" s="53">
        <v>505</v>
      </c>
      <c r="X122" s="54">
        <f t="shared" si="5"/>
        <v>688916.24639732891</v>
      </c>
      <c r="Y122" s="54" t="e">
        <f>SUMIFS(FuncStudy!$G$93:$G$2216,FuncStudy!$AI$93:$AI$2216,$W122,FuncStudy!$AJ$93:$AJ$2216,"&lt;&gt;"&amp;"NA")</f>
        <v>#VALUE!</v>
      </c>
      <c r="Z122" s="55" t="e">
        <f t="shared" si="6"/>
        <v>#VALUE!</v>
      </c>
    </row>
    <row r="123" spans="1:26" hidden="1">
      <c r="A123" s="5">
        <v>188</v>
      </c>
      <c r="B123" s="59"/>
      <c r="C123" s="60"/>
      <c r="D123" s="63"/>
      <c r="E123" s="63"/>
      <c r="F123" s="63"/>
      <c r="G123" s="63"/>
      <c r="H123" s="62"/>
      <c r="I123" s="65"/>
      <c r="J123" s="65"/>
      <c r="K123" s="62"/>
      <c r="L123" s="65"/>
      <c r="M123" s="65"/>
      <c r="N123" s="65"/>
      <c r="P123">
        <f t="shared" si="7"/>
        <v>4118</v>
      </c>
      <c r="Q123" t="str">
        <f t="shared" si="8"/>
        <v>NA</v>
      </c>
      <c r="R123" t="str">
        <f>IF(ISERROR(MATCH(P123&amp;"."&amp;Q123,R$5:R122,0)),P123&amp;"."&amp;Q123,P123&amp;"."&amp;Q123&amp;COUNTIFS(P$5:P122,P123,Q$5:Q122,Q123))</f>
        <v>4118.NA2</v>
      </c>
      <c r="S123" s="55">
        <f t="shared" si="9"/>
        <v>0</v>
      </c>
      <c r="W123" s="53">
        <v>506</v>
      </c>
      <c r="X123" s="54">
        <f t="shared" si="5"/>
        <v>2592209.8346752534</v>
      </c>
      <c r="Y123" s="54" t="e">
        <f>SUMIFS(FuncStudy!$G$93:$G$2216,FuncStudy!$AI$93:$AI$2216,$W123,FuncStudy!$AJ$93:$AJ$2216,"&lt;&gt;"&amp;"NA")</f>
        <v>#VALUE!</v>
      </c>
      <c r="Z123" s="55" t="e">
        <f t="shared" si="6"/>
        <v>#VALUE!</v>
      </c>
    </row>
    <row r="124" spans="1:26" hidden="1">
      <c r="A124" s="5">
        <v>189</v>
      </c>
      <c r="B124" s="59"/>
      <c r="C124" s="60">
        <v>41181</v>
      </c>
      <c r="D124" s="70" t="s">
        <v>168</v>
      </c>
      <c r="E124" s="63"/>
      <c r="F124" s="63"/>
      <c r="G124" s="63"/>
      <c r="H124" s="62"/>
      <c r="I124" s="65"/>
      <c r="J124" s="65"/>
      <c r="K124" s="62"/>
      <c r="L124" s="65"/>
      <c r="M124" s="65"/>
      <c r="N124" s="65"/>
      <c r="P124">
        <f t="shared" si="7"/>
        <v>41181</v>
      </c>
      <c r="Q124" t="str">
        <f t="shared" si="8"/>
        <v>NA</v>
      </c>
      <c r="R124" t="str">
        <f>IF(ISERROR(MATCH(P124&amp;"."&amp;Q124,R$5:R123,0)),P124&amp;"."&amp;Q124,P124&amp;"."&amp;Q124&amp;COUNTIFS(P$5:P123,P124,Q$5:Q123,Q124))</f>
        <v>41181.NA</v>
      </c>
      <c r="S124" s="55">
        <f t="shared" si="9"/>
        <v>0</v>
      </c>
      <c r="W124" s="53">
        <v>507</v>
      </c>
      <c r="X124" s="54">
        <f t="shared" si="5"/>
        <v>221368.37937197686</v>
      </c>
      <c r="Y124" s="54" t="e">
        <f>SUMIFS(FuncStudy!$G$93:$G$2216,FuncStudy!$AI$93:$AI$2216,$W124,FuncStudy!$AJ$93:$AJ$2216,"&lt;&gt;"&amp;"NA")</f>
        <v>#VALUE!</v>
      </c>
      <c r="Z124" s="55" t="e">
        <f t="shared" si="6"/>
        <v>#VALUE!</v>
      </c>
    </row>
    <row r="125" spans="1:26" hidden="1">
      <c r="A125" s="5">
        <v>190</v>
      </c>
      <c r="B125" s="59"/>
      <c r="C125" s="60"/>
      <c r="D125" s="63"/>
      <c r="E125" s="63"/>
      <c r="F125" s="60" t="s">
        <v>13</v>
      </c>
      <c r="G125" s="61" t="s">
        <v>16</v>
      </c>
      <c r="H125" s="62"/>
      <c r="I125" s="65">
        <v>0</v>
      </c>
      <c r="J125" s="65">
        <v>0</v>
      </c>
      <c r="K125" s="62"/>
      <c r="L125" s="65">
        <v>0</v>
      </c>
      <c r="M125" s="65">
        <v>0</v>
      </c>
      <c r="N125" s="64">
        <v>0</v>
      </c>
      <c r="P125">
        <f t="shared" si="7"/>
        <v>41181</v>
      </c>
      <c r="Q125" t="str">
        <f t="shared" si="8"/>
        <v>SE</v>
      </c>
      <c r="R125" t="str">
        <f>IF(ISERROR(MATCH(P125&amp;"."&amp;Q125,R$5:R124,0)),P125&amp;"."&amp;Q125,P125&amp;"."&amp;Q125&amp;COUNTIFS(P$5:P124,P125,Q$5:Q124,Q125))</f>
        <v>41181.SE</v>
      </c>
      <c r="S125" s="55">
        <f t="shared" si="9"/>
        <v>0</v>
      </c>
      <c r="W125" s="53">
        <v>510</v>
      </c>
      <c r="X125" s="54">
        <f t="shared" si="5"/>
        <v>686397.2174825212</v>
      </c>
      <c r="Y125" s="54" t="e">
        <f>SUMIFS(FuncStudy!$G$93:$G$2216,FuncStudy!$AI$93:$AI$2216,$W125,FuncStudy!$AJ$93:$AJ$2216,"&lt;&gt;"&amp;"NA")</f>
        <v>#VALUE!</v>
      </c>
      <c r="Z125" s="55" t="e">
        <f t="shared" si="6"/>
        <v>#VALUE!</v>
      </c>
    </row>
    <row r="126" spans="1:26" hidden="1">
      <c r="A126" s="5">
        <v>191</v>
      </c>
      <c r="B126" s="59"/>
      <c r="C126" s="60"/>
      <c r="D126" s="63"/>
      <c r="E126" s="63"/>
      <c r="F126" s="63"/>
      <c r="G126" s="63"/>
      <c r="H126" s="62" t="s">
        <v>165</v>
      </c>
      <c r="I126" s="66">
        <v>0</v>
      </c>
      <c r="J126" s="66">
        <v>0</v>
      </c>
      <c r="K126" s="62"/>
      <c r="L126" s="66">
        <v>0</v>
      </c>
      <c r="M126" s="66">
        <v>0</v>
      </c>
      <c r="N126" s="66">
        <v>0</v>
      </c>
      <c r="P126">
        <f t="shared" si="7"/>
        <v>41181</v>
      </c>
      <c r="Q126" t="str">
        <f t="shared" si="8"/>
        <v>NA</v>
      </c>
      <c r="R126" t="str">
        <f>IF(ISERROR(MATCH(P126&amp;"."&amp;Q126,R$5:R125,0)),P126&amp;"."&amp;Q126,P126&amp;"."&amp;Q126&amp;COUNTIFS(P$5:P125,P126,Q$5:Q125,Q126))</f>
        <v>41181.NA1</v>
      </c>
      <c r="S126" s="55">
        <f t="shared" si="9"/>
        <v>0</v>
      </c>
      <c r="W126" s="53">
        <v>511</v>
      </c>
      <c r="X126" s="54">
        <f t="shared" si="5"/>
        <v>12680688.834275778</v>
      </c>
      <c r="Y126" s="54" t="e">
        <f>SUMIFS(FuncStudy!$G$93:$G$2216,FuncStudy!$AI$93:$AI$2216,$W126,FuncStudy!$AJ$93:$AJ$2216,"&lt;&gt;"&amp;"NA")</f>
        <v>#VALUE!</v>
      </c>
      <c r="Z126" s="55" t="e">
        <f t="shared" si="6"/>
        <v>#VALUE!</v>
      </c>
    </row>
    <row r="127" spans="1:26" hidden="1">
      <c r="A127" s="5">
        <v>192</v>
      </c>
      <c r="B127" s="59"/>
      <c r="C127" s="60"/>
      <c r="D127" s="63"/>
      <c r="E127" s="63"/>
      <c r="F127" s="63"/>
      <c r="G127" s="63"/>
      <c r="H127" s="62"/>
      <c r="I127" s="65"/>
      <c r="J127" s="65"/>
      <c r="K127" s="62"/>
      <c r="L127" s="65"/>
      <c r="M127" s="65"/>
      <c r="N127" s="65"/>
      <c r="P127">
        <f t="shared" si="7"/>
        <v>41181</v>
      </c>
      <c r="Q127" t="str">
        <f t="shared" si="8"/>
        <v>NA</v>
      </c>
      <c r="R127" t="str">
        <f>IF(ISERROR(MATCH(P127&amp;"."&amp;Q127,R$5:R126,0)),P127&amp;"."&amp;Q127,P127&amp;"."&amp;Q127&amp;COUNTIFS(P$5:P126,P127,Q$5:Q126,Q127))</f>
        <v>41181.NA2</v>
      </c>
      <c r="S127" s="55">
        <f t="shared" si="9"/>
        <v>0</v>
      </c>
      <c r="W127" s="53">
        <v>512</v>
      </c>
      <c r="X127" s="54">
        <f t="shared" si="5"/>
        <v>40977437.713705018</v>
      </c>
      <c r="Y127" s="54" t="e">
        <f>SUMIFS(FuncStudy!$G$93:$G$2216,FuncStudy!$AI$93:$AI$2216,$W127,FuncStudy!$AJ$93:$AJ$2216,"&lt;&gt;"&amp;"NA")</f>
        <v>#VALUE!</v>
      </c>
      <c r="Z127" s="55" t="e">
        <f t="shared" si="6"/>
        <v>#VALUE!</v>
      </c>
    </row>
    <row r="128" spans="1:26" hidden="1">
      <c r="A128" s="5">
        <v>193</v>
      </c>
      <c r="B128" s="59"/>
      <c r="C128" s="60">
        <v>4194</v>
      </c>
      <c r="D128" s="61" t="s">
        <v>169</v>
      </c>
      <c r="E128" s="63"/>
      <c r="F128" s="63"/>
      <c r="G128" s="63"/>
      <c r="H128" s="62"/>
      <c r="I128" s="65"/>
      <c r="J128" s="65"/>
      <c r="K128" s="62"/>
      <c r="L128" s="65"/>
      <c r="M128" s="65"/>
      <c r="N128" s="65"/>
      <c r="P128">
        <f t="shared" si="7"/>
        <v>4194</v>
      </c>
      <c r="Q128" t="str">
        <f t="shared" si="8"/>
        <v>NA</v>
      </c>
      <c r="R128" t="str">
        <f>IF(ISERROR(MATCH(P128&amp;"."&amp;Q128,R$5:R127,0)),P128&amp;"."&amp;Q128,P128&amp;"."&amp;Q128&amp;COUNTIFS(P$5:P127,P128,Q$5:Q127,Q128))</f>
        <v>4194.NA</v>
      </c>
      <c r="S128" s="55">
        <f t="shared" si="9"/>
        <v>0</v>
      </c>
      <c r="W128" s="53">
        <v>513</v>
      </c>
      <c r="X128" s="54">
        <f t="shared" si="5"/>
        <v>18160268.003135692</v>
      </c>
      <c r="Y128" s="54" t="e">
        <f>SUMIFS(FuncStudy!$G$93:$G$2216,FuncStudy!$AI$93:$AI$2216,$W128,FuncStudy!$AJ$93:$AJ$2216,"&lt;&gt;"&amp;"NA")</f>
        <v>#VALUE!</v>
      </c>
      <c r="Z128" s="55" t="e">
        <f t="shared" si="6"/>
        <v>#VALUE!</v>
      </c>
    </row>
    <row r="129" spans="1:26" hidden="1">
      <c r="A129" s="5">
        <v>194</v>
      </c>
      <c r="B129" s="59"/>
      <c r="C129" s="60"/>
      <c r="D129" s="63"/>
      <c r="E129" s="63"/>
      <c r="F129" s="60" t="s">
        <v>13</v>
      </c>
      <c r="G129" s="61" t="s">
        <v>15</v>
      </c>
      <c r="H129" s="62"/>
      <c r="I129" s="65">
        <v>0</v>
      </c>
      <c r="J129" s="65">
        <v>0</v>
      </c>
      <c r="K129" s="62"/>
      <c r="L129" s="65">
        <v>0</v>
      </c>
      <c r="M129" s="65">
        <v>0</v>
      </c>
      <c r="N129" s="64">
        <v>0</v>
      </c>
      <c r="P129">
        <f t="shared" si="7"/>
        <v>4194</v>
      </c>
      <c r="Q129" t="str">
        <f t="shared" si="8"/>
        <v>SG</v>
      </c>
      <c r="R129" t="str">
        <f>IF(ISERROR(MATCH(P129&amp;"."&amp;Q129,R$5:R128,0)),P129&amp;"."&amp;Q129,P129&amp;"."&amp;Q129&amp;COUNTIFS(P$5:P128,P129,Q$5:Q128,Q129))</f>
        <v>4194.SG</v>
      </c>
      <c r="S129" s="55">
        <f t="shared" si="9"/>
        <v>0</v>
      </c>
      <c r="W129" s="53">
        <v>514</v>
      </c>
      <c r="X129" s="54">
        <f t="shared" si="5"/>
        <v>4735319.8866244722</v>
      </c>
      <c r="Y129" s="54" t="e">
        <f>SUMIFS(FuncStudy!$G$93:$G$2216,FuncStudy!$AI$93:$AI$2216,$W129,FuncStudy!$AJ$93:$AJ$2216,"&lt;&gt;"&amp;"NA")</f>
        <v>#VALUE!</v>
      </c>
      <c r="Z129" s="55" t="e">
        <f t="shared" si="6"/>
        <v>#VALUE!</v>
      </c>
    </row>
    <row r="130" spans="1:26" hidden="1">
      <c r="A130" s="5">
        <v>195</v>
      </c>
      <c r="B130" s="59"/>
      <c r="C130" s="60"/>
      <c r="D130" s="63"/>
      <c r="E130" s="63"/>
      <c r="F130" s="63"/>
      <c r="G130" s="63"/>
      <c r="H130" s="62" t="s">
        <v>165</v>
      </c>
      <c r="I130" s="66">
        <v>0</v>
      </c>
      <c r="J130" s="66">
        <v>0</v>
      </c>
      <c r="K130" s="62"/>
      <c r="L130" s="66">
        <v>0</v>
      </c>
      <c r="M130" s="66">
        <v>0</v>
      </c>
      <c r="N130" s="66">
        <v>0</v>
      </c>
      <c r="P130">
        <f t="shared" si="7"/>
        <v>4194</v>
      </c>
      <c r="Q130" t="str">
        <f t="shared" si="8"/>
        <v>NA</v>
      </c>
      <c r="R130" t="str">
        <f>IF(ISERROR(MATCH(P130&amp;"."&amp;Q130,R$5:R129,0)),P130&amp;"."&amp;Q130,P130&amp;"."&amp;Q130&amp;COUNTIFS(P$5:P129,P130,Q$5:Q129,Q130))</f>
        <v>4194.NA1</v>
      </c>
      <c r="S130" s="55">
        <f t="shared" si="9"/>
        <v>0</v>
      </c>
      <c r="W130" s="53">
        <v>517</v>
      </c>
      <c r="X130" s="54">
        <f t="shared" si="5"/>
        <v>0</v>
      </c>
      <c r="Y130" s="54" t="e">
        <f>SUMIFS(FuncStudy!$G$93:$G$2216,FuncStudy!$AI$93:$AI$2216,$W130,FuncStudy!$AJ$93:$AJ$2216,"&lt;&gt;"&amp;"NA")</f>
        <v>#VALUE!</v>
      </c>
      <c r="Z130" s="55" t="e">
        <f t="shared" si="6"/>
        <v>#VALUE!</v>
      </c>
    </row>
    <row r="131" spans="1:26" hidden="1">
      <c r="A131" s="5">
        <v>196</v>
      </c>
      <c r="B131" s="59"/>
      <c r="C131" s="60"/>
      <c r="D131" s="63"/>
      <c r="E131" s="63"/>
      <c r="F131" s="63"/>
      <c r="G131" s="63"/>
      <c r="H131" s="62"/>
      <c r="I131" s="65"/>
      <c r="J131" s="65"/>
      <c r="K131" s="62"/>
      <c r="L131" s="65"/>
      <c r="M131" s="65"/>
      <c r="N131" s="65"/>
      <c r="P131">
        <f t="shared" si="7"/>
        <v>4194</v>
      </c>
      <c r="Q131" t="str">
        <f t="shared" si="8"/>
        <v>NA</v>
      </c>
      <c r="R131" t="str">
        <f>IF(ISERROR(MATCH(P131&amp;"."&amp;Q131,R$5:R130,0)),P131&amp;"."&amp;Q131,P131&amp;"."&amp;Q131&amp;COUNTIFS(P$5:P130,P131,Q$5:Q130,Q131))</f>
        <v>4194.NA2</v>
      </c>
      <c r="S131" s="55">
        <f t="shared" si="9"/>
        <v>0</v>
      </c>
      <c r="W131" s="53">
        <v>518</v>
      </c>
      <c r="X131" s="54">
        <f t="shared" ref="X131:X194" si="10">SUMIFS(JAMValue,$P$6:$P$2441,$W131,$Q$6:$Q$2441,"&lt;&gt;"&amp;"NA")</f>
        <v>0</v>
      </c>
      <c r="Y131" s="54" t="e">
        <f>SUMIFS(FuncStudy!$G$93:$G$2216,FuncStudy!$AI$93:$AI$2216,$W131,FuncStudy!$AJ$93:$AJ$2216,"&lt;&gt;"&amp;"NA")</f>
        <v>#VALUE!</v>
      </c>
      <c r="Z131" s="55" t="e">
        <f t="shared" si="6"/>
        <v>#VALUE!</v>
      </c>
    </row>
    <row r="132" spans="1:26" hidden="1">
      <c r="A132" s="5">
        <v>197</v>
      </c>
      <c r="B132" s="59"/>
      <c r="C132" s="60">
        <v>421</v>
      </c>
      <c r="D132" s="61" t="s">
        <v>170</v>
      </c>
      <c r="E132" s="63"/>
      <c r="F132" s="63"/>
      <c r="G132" s="63"/>
      <c r="H132" s="62"/>
      <c r="I132" s="65"/>
      <c r="J132" s="65"/>
      <c r="K132" s="62"/>
      <c r="L132" s="65"/>
      <c r="M132" s="65"/>
      <c r="N132" s="65"/>
      <c r="P132">
        <f t="shared" si="7"/>
        <v>421</v>
      </c>
      <c r="Q132" t="str">
        <f t="shared" si="8"/>
        <v>NA</v>
      </c>
      <c r="R132" t="str">
        <f>IF(ISERROR(MATCH(P132&amp;"."&amp;Q132,R$5:R131,0)),P132&amp;"."&amp;Q132,P132&amp;"."&amp;Q132&amp;COUNTIFS(P$5:P131,P132,Q$5:Q131,Q132))</f>
        <v>421.NA</v>
      </c>
      <c r="S132" s="55">
        <f t="shared" si="9"/>
        <v>0</v>
      </c>
      <c r="W132" s="53">
        <v>519</v>
      </c>
      <c r="X132" s="54">
        <f t="shared" si="10"/>
        <v>0</v>
      </c>
      <c r="Y132" s="54" t="e">
        <f>SUMIFS(FuncStudy!$G$93:$G$2216,FuncStudy!$AI$93:$AI$2216,$W132,FuncStudy!$AJ$93:$AJ$2216,"&lt;&gt;"&amp;"NA")</f>
        <v>#VALUE!</v>
      </c>
      <c r="Z132" s="55" t="e">
        <f t="shared" ref="Z132:Z195" si="11">X132-Y132</f>
        <v>#VALUE!</v>
      </c>
    </row>
    <row r="133" spans="1:26" hidden="1">
      <c r="A133" s="5">
        <v>198</v>
      </c>
      <c r="B133" s="59"/>
      <c r="C133" s="60"/>
      <c r="D133" s="63"/>
      <c r="E133" s="63"/>
      <c r="F133" s="60" t="s">
        <v>139</v>
      </c>
      <c r="G133" s="61" t="s">
        <v>12</v>
      </c>
      <c r="H133" s="62"/>
      <c r="I133" s="65">
        <v>222858.68</v>
      </c>
      <c r="J133" s="65">
        <v>0</v>
      </c>
      <c r="K133" s="62"/>
      <c r="L133" s="65">
        <v>795078.22</v>
      </c>
      <c r="M133" s="65">
        <v>795169.24</v>
      </c>
      <c r="N133" s="64">
        <v>-91.02</v>
      </c>
      <c r="P133">
        <f t="shared" si="7"/>
        <v>421</v>
      </c>
      <c r="Q133" t="str">
        <f t="shared" si="8"/>
        <v>S</v>
      </c>
      <c r="R133" t="str">
        <f>IF(ISERROR(MATCH(P133&amp;"."&amp;Q133,R$5:R132,0)),P133&amp;"."&amp;Q133,P133&amp;"."&amp;Q133&amp;COUNTIFS(P$5:P132,P133,Q$5:Q132,Q133))</f>
        <v>421.S</v>
      </c>
      <c r="S133" s="55">
        <f t="shared" si="9"/>
        <v>-91.02</v>
      </c>
      <c r="W133" s="53">
        <v>520</v>
      </c>
      <c r="X133" s="54">
        <f t="shared" si="10"/>
        <v>0</v>
      </c>
      <c r="Y133" s="54" t="e">
        <f>SUMIFS(FuncStudy!$G$93:$G$2216,FuncStudy!$AI$93:$AI$2216,$W133,FuncStudy!$AJ$93:$AJ$2216,"&lt;&gt;"&amp;"NA")</f>
        <v>#VALUE!</v>
      </c>
      <c r="Z133" s="55" t="e">
        <f t="shared" si="11"/>
        <v>#VALUE!</v>
      </c>
    </row>
    <row r="134" spans="1:26" hidden="1">
      <c r="A134" s="5">
        <v>199</v>
      </c>
      <c r="B134" s="59"/>
      <c r="C134" s="60"/>
      <c r="D134" s="63"/>
      <c r="E134" s="63"/>
      <c r="F134" s="60" t="s">
        <v>18</v>
      </c>
      <c r="G134" s="61" t="s">
        <v>15</v>
      </c>
      <c r="H134" s="62"/>
      <c r="I134" s="65">
        <v>0</v>
      </c>
      <c r="J134" s="65">
        <v>0</v>
      </c>
      <c r="K134" s="62"/>
      <c r="L134" s="65">
        <v>0</v>
      </c>
      <c r="M134" s="65">
        <v>0</v>
      </c>
      <c r="N134" s="64">
        <v>0</v>
      </c>
      <c r="P134">
        <f t="shared" si="7"/>
        <v>421</v>
      </c>
      <c r="Q134" t="str">
        <f t="shared" si="8"/>
        <v>SG</v>
      </c>
      <c r="R134" t="str">
        <f>IF(ISERROR(MATCH(P134&amp;"."&amp;Q134,R$5:R133,0)),P134&amp;"."&amp;Q134,P134&amp;"."&amp;Q134&amp;COUNTIFS(P$5:P133,P134,Q$5:Q133,Q134))</f>
        <v>421.SG</v>
      </c>
      <c r="S134" s="55">
        <f t="shared" si="9"/>
        <v>0</v>
      </c>
      <c r="W134" s="53">
        <v>523</v>
      </c>
      <c r="X134" s="54">
        <f t="shared" si="10"/>
        <v>0</v>
      </c>
      <c r="Y134" s="54" t="e">
        <f>SUMIFS(FuncStudy!$G$93:$G$2216,FuncStudy!$AI$93:$AI$2216,$W134,FuncStudy!$AJ$93:$AJ$2216,"&lt;&gt;"&amp;"NA")</f>
        <v>#VALUE!</v>
      </c>
      <c r="Z134" s="55" t="e">
        <f t="shared" si="11"/>
        <v>#VALUE!</v>
      </c>
    </row>
    <row r="135" spans="1:26" hidden="1">
      <c r="A135" s="5">
        <v>200</v>
      </c>
      <c r="B135" s="59"/>
      <c r="C135" s="60"/>
      <c r="D135" s="63"/>
      <c r="E135" s="63"/>
      <c r="F135" s="60" t="s">
        <v>18</v>
      </c>
      <c r="G135" s="61" t="s">
        <v>15</v>
      </c>
      <c r="H135" s="62"/>
      <c r="I135" s="65">
        <v>0</v>
      </c>
      <c r="J135" s="65">
        <v>0</v>
      </c>
      <c r="K135" s="62"/>
      <c r="L135" s="65">
        <v>0</v>
      </c>
      <c r="M135" s="65">
        <v>0</v>
      </c>
      <c r="N135" s="64">
        <v>0</v>
      </c>
      <c r="P135">
        <f t="shared" ref="P135:P198" si="12">IF(OR(C135="",C135=" ",C135="  ",C135="   "),P134,C135)</f>
        <v>421</v>
      </c>
      <c r="Q135" t="str">
        <f t="shared" ref="Q135:Q198" si="13">IF(G135="","NA",G135)</f>
        <v>SG</v>
      </c>
      <c r="R135" t="str">
        <f>IF(ISERROR(MATCH(P135&amp;"."&amp;Q135,R$5:R134,0)),P135&amp;"."&amp;Q135,P135&amp;"."&amp;Q135&amp;COUNTIFS(P$5:P134,P135,Q$5:Q134,Q135))</f>
        <v>421.SG1</v>
      </c>
      <c r="S135" s="55">
        <f t="shared" si="9"/>
        <v>0</v>
      </c>
      <c r="W135" s="53">
        <v>524</v>
      </c>
      <c r="X135" s="54">
        <f t="shared" si="10"/>
        <v>0</v>
      </c>
      <c r="Y135" s="54" t="e">
        <f>SUMIFS(FuncStudy!$G$93:$G$2216,FuncStudy!$AI$93:$AI$2216,$W135,FuncStudy!$AJ$93:$AJ$2216,"&lt;&gt;"&amp;"NA")</f>
        <v>#VALUE!</v>
      </c>
      <c r="Z135" s="55" t="e">
        <f t="shared" si="11"/>
        <v>#VALUE!</v>
      </c>
    </row>
    <row r="136" spans="1:26" hidden="1">
      <c r="A136" s="5">
        <v>201</v>
      </c>
      <c r="B136" s="59"/>
      <c r="C136" s="60"/>
      <c r="D136" s="63"/>
      <c r="E136" s="63"/>
      <c r="F136" s="60" t="s">
        <v>13</v>
      </c>
      <c r="G136" s="61" t="s">
        <v>155</v>
      </c>
      <c r="H136" s="62"/>
      <c r="I136" s="65">
        <v>0</v>
      </c>
      <c r="J136" s="65">
        <v>0</v>
      </c>
      <c r="K136" s="62"/>
      <c r="L136" s="65">
        <v>0</v>
      </c>
      <c r="M136" s="65">
        <v>0</v>
      </c>
      <c r="N136" s="64">
        <v>0</v>
      </c>
      <c r="P136">
        <f t="shared" si="12"/>
        <v>421</v>
      </c>
      <c r="Q136" t="str">
        <f t="shared" si="13"/>
        <v>CN</v>
      </c>
      <c r="R136" t="str">
        <f>IF(ISERROR(MATCH(P136&amp;"."&amp;Q136,R$5:R135,0)),P136&amp;"."&amp;Q136,P136&amp;"."&amp;Q136&amp;COUNTIFS(P$5:P135,P136,Q$5:Q135,Q136))</f>
        <v>421.CN</v>
      </c>
      <c r="S136" s="55">
        <f t="shared" ref="S136:S199" si="14">N136</f>
        <v>0</v>
      </c>
      <c r="W136" s="53">
        <v>528</v>
      </c>
      <c r="X136" s="54">
        <f t="shared" si="10"/>
        <v>0</v>
      </c>
      <c r="Y136" s="54" t="e">
        <f>SUMIFS(FuncStudy!$G$93:$G$2216,FuncStudy!$AI$93:$AI$2216,$W136,FuncStudy!$AJ$93:$AJ$2216,"&lt;&gt;"&amp;"NA")</f>
        <v>#VALUE!</v>
      </c>
      <c r="Z136" s="55" t="e">
        <f t="shared" si="11"/>
        <v>#VALUE!</v>
      </c>
    </row>
    <row r="137" spans="1:26" hidden="1">
      <c r="A137" s="5">
        <v>202</v>
      </c>
      <c r="B137" s="59"/>
      <c r="C137" s="60"/>
      <c r="D137" s="63"/>
      <c r="E137" s="63"/>
      <c r="F137" s="60" t="s">
        <v>171</v>
      </c>
      <c r="G137" s="61" t="s">
        <v>136</v>
      </c>
      <c r="H137" s="62"/>
      <c r="I137" s="65">
        <v>-1185024.82</v>
      </c>
      <c r="J137" s="65">
        <v>-514283.35898820072</v>
      </c>
      <c r="K137" s="62"/>
      <c r="L137" s="65">
        <v>-3838.6999999999534</v>
      </c>
      <c r="M137" s="65">
        <v>-2161.3984450792077</v>
      </c>
      <c r="N137" s="64">
        <v>-1677.3015549207457</v>
      </c>
      <c r="P137">
        <f t="shared" si="12"/>
        <v>421</v>
      </c>
      <c r="Q137" t="str">
        <f t="shared" si="13"/>
        <v>SO</v>
      </c>
      <c r="R137" t="str">
        <f>IF(ISERROR(MATCH(P137&amp;"."&amp;Q137,R$5:R136,0)),P137&amp;"."&amp;Q137,P137&amp;"."&amp;Q137&amp;COUNTIFS(P$5:P136,P137,Q$5:Q136,Q137))</f>
        <v>421.SO</v>
      </c>
      <c r="S137" s="55">
        <f t="shared" si="14"/>
        <v>-1677.3015549207457</v>
      </c>
      <c r="W137" s="53">
        <v>529</v>
      </c>
      <c r="X137" s="54">
        <f t="shared" si="10"/>
        <v>0</v>
      </c>
      <c r="Y137" s="54" t="e">
        <f>SUMIFS(FuncStudy!$G$93:$G$2216,FuncStudy!$AI$93:$AI$2216,$W137,FuncStudy!$AJ$93:$AJ$2216,"&lt;&gt;"&amp;"NA")</f>
        <v>#VALUE!</v>
      </c>
      <c r="Z137" s="55" t="e">
        <f t="shared" si="11"/>
        <v>#VALUE!</v>
      </c>
    </row>
    <row r="138" spans="1:26" hidden="1">
      <c r="A138" s="5">
        <v>203</v>
      </c>
      <c r="B138" s="59"/>
      <c r="C138" s="60"/>
      <c r="D138" s="63"/>
      <c r="E138" s="63"/>
      <c r="F138" s="60" t="s">
        <v>13</v>
      </c>
      <c r="G138" s="61" t="s">
        <v>15</v>
      </c>
      <c r="H138" s="62"/>
      <c r="I138" s="65">
        <v>-2433050.75</v>
      </c>
      <c r="J138" s="65">
        <v>-1070481.4582884621</v>
      </c>
      <c r="K138" s="62"/>
      <c r="L138" s="65">
        <v>-1062042.8600000003</v>
      </c>
      <c r="M138" s="65">
        <v>-594770.57250757981</v>
      </c>
      <c r="N138" s="64">
        <v>-467272.28749242058</v>
      </c>
      <c r="P138">
        <f t="shared" si="12"/>
        <v>421</v>
      </c>
      <c r="Q138" t="str">
        <f t="shared" si="13"/>
        <v>SG</v>
      </c>
      <c r="R138" t="str">
        <f>IF(ISERROR(MATCH(P138&amp;"."&amp;Q138,R$5:R137,0)),P138&amp;"."&amp;Q138,P138&amp;"."&amp;Q138&amp;COUNTIFS(P$5:P137,P138,Q$5:Q137,Q138))</f>
        <v>421.SG2</v>
      </c>
      <c r="S138" s="55">
        <f t="shared" si="14"/>
        <v>-467272.28749242058</v>
      </c>
      <c r="W138" s="53">
        <v>530</v>
      </c>
      <c r="X138" s="54">
        <f t="shared" si="10"/>
        <v>0</v>
      </c>
      <c r="Y138" s="54" t="e">
        <f>SUMIFS(FuncStudy!$G$93:$G$2216,FuncStudy!$AI$93:$AI$2216,$W138,FuncStudy!$AJ$93:$AJ$2216,"&lt;&gt;"&amp;"NA")</f>
        <v>#VALUE!</v>
      </c>
      <c r="Z138" s="55" t="e">
        <f t="shared" si="11"/>
        <v>#VALUE!</v>
      </c>
    </row>
    <row r="139" spans="1:26" hidden="1">
      <c r="A139" s="5">
        <v>204</v>
      </c>
      <c r="B139" s="59"/>
      <c r="C139" s="60"/>
      <c r="D139" s="63"/>
      <c r="E139" s="63"/>
      <c r="F139" s="63"/>
      <c r="G139" s="63"/>
      <c r="H139" s="62" t="s">
        <v>165</v>
      </c>
      <c r="I139" s="66">
        <v>-3395216.89</v>
      </c>
      <c r="J139" s="66">
        <v>-1584764.8172766629</v>
      </c>
      <c r="K139" s="62"/>
      <c r="L139" s="66">
        <v>-270803.34000000032</v>
      </c>
      <c r="M139" s="66">
        <v>198237.26904734096</v>
      </c>
      <c r="N139" s="66">
        <v>-469040.60904734134</v>
      </c>
      <c r="P139">
        <f t="shared" si="12"/>
        <v>421</v>
      </c>
      <c r="Q139" t="str">
        <f t="shared" si="13"/>
        <v>NA</v>
      </c>
      <c r="R139" t="str">
        <f>IF(ISERROR(MATCH(P139&amp;"."&amp;Q139,R$5:R138,0)),P139&amp;"."&amp;Q139,P139&amp;"."&amp;Q139&amp;COUNTIFS(P$5:P138,P139,Q$5:Q138,Q139))</f>
        <v>421.NA1</v>
      </c>
      <c r="S139" s="55">
        <f t="shared" si="14"/>
        <v>-469040.60904734134</v>
      </c>
      <c r="W139" s="53">
        <v>531</v>
      </c>
      <c r="X139" s="54">
        <f t="shared" si="10"/>
        <v>0</v>
      </c>
      <c r="Y139" s="54" t="e">
        <f>SUMIFS(FuncStudy!$G$93:$G$2216,FuncStudy!$AI$93:$AI$2216,$W139,FuncStudy!$AJ$93:$AJ$2216,"&lt;&gt;"&amp;"NA")</f>
        <v>#VALUE!</v>
      </c>
      <c r="Z139" s="55" t="e">
        <f t="shared" si="11"/>
        <v>#VALUE!</v>
      </c>
    </row>
    <row r="140" spans="1:26" hidden="1">
      <c r="A140" s="5">
        <v>205</v>
      </c>
      <c r="B140" s="59"/>
      <c r="C140" s="60"/>
      <c r="D140" s="63"/>
      <c r="E140" s="63"/>
      <c r="F140" s="63"/>
      <c r="G140" s="63"/>
      <c r="H140" s="62"/>
      <c r="I140" s="65"/>
      <c r="J140" s="65"/>
      <c r="K140" s="62"/>
      <c r="L140" s="65"/>
      <c r="M140" s="65"/>
      <c r="N140" s="65"/>
      <c r="P140">
        <f t="shared" si="12"/>
        <v>421</v>
      </c>
      <c r="Q140" t="str">
        <f t="shared" si="13"/>
        <v>NA</v>
      </c>
      <c r="R140" t="str">
        <f>IF(ISERROR(MATCH(P140&amp;"."&amp;Q140,R$5:R139,0)),P140&amp;"."&amp;Q140,P140&amp;"."&amp;Q140&amp;COUNTIFS(P$5:P139,P140,Q$5:Q139,Q140))</f>
        <v>421.NA2</v>
      </c>
      <c r="S140" s="55">
        <f t="shared" si="14"/>
        <v>0</v>
      </c>
      <c r="W140" s="53">
        <v>532</v>
      </c>
      <c r="X140" s="54">
        <f t="shared" si="10"/>
        <v>0</v>
      </c>
      <c r="Y140" s="54" t="e">
        <f>SUMIFS(FuncStudy!$G$93:$G$2216,FuncStudy!$AI$93:$AI$2216,$W140,FuncStudy!$AJ$93:$AJ$2216,"&lt;&gt;"&amp;"NA")</f>
        <v>#VALUE!</v>
      </c>
      <c r="Z140" s="55" t="e">
        <f t="shared" si="11"/>
        <v>#VALUE!</v>
      </c>
    </row>
    <row r="141" spans="1:26" ht="15.75" hidden="1" thickBot="1">
      <c r="A141" s="5">
        <v>206</v>
      </c>
      <c r="B141" s="59"/>
      <c r="C141" s="45" t="s">
        <v>172</v>
      </c>
      <c r="D141" s="63"/>
      <c r="E141" s="63"/>
      <c r="F141" s="63"/>
      <c r="G141" s="63"/>
      <c r="H141" s="41" t="s">
        <v>165</v>
      </c>
      <c r="I141" s="68">
        <v>-3395390.25</v>
      </c>
      <c r="J141" s="68">
        <v>-1584839.9796014507</v>
      </c>
      <c r="K141" s="41"/>
      <c r="L141" s="68">
        <v>-270976.7000000003</v>
      </c>
      <c r="M141" s="68">
        <v>198139.07137212891</v>
      </c>
      <c r="N141" s="68">
        <v>-469115.77137212927</v>
      </c>
      <c r="P141" t="str">
        <f t="shared" si="12"/>
        <v>Total Miscellaneous Revenues</v>
      </c>
      <c r="Q141" t="str">
        <f t="shared" si="13"/>
        <v>NA</v>
      </c>
      <c r="R141" t="str">
        <f>IF(ISERROR(MATCH(P141&amp;"."&amp;Q141,R$5:R140,0)),P141&amp;"."&amp;Q141,P141&amp;"."&amp;Q141&amp;COUNTIFS(P$5:P140,P141,Q$5:Q140,Q141))</f>
        <v>Total Miscellaneous Revenues.NA</v>
      </c>
      <c r="S141" s="55">
        <f t="shared" si="14"/>
        <v>-469115.77137212927</v>
      </c>
      <c r="W141" s="53">
        <v>535</v>
      </c>
      <c r="X141" s="54">
        <f t="shared" si="10"/>
        <v>4671571.6742291562</v>
      </c>
      <c r="Y141" s="54" t="e">
        <f>SUMIFS(FuncStudy!$G$93:$G$2216,FuncStudy!$AI$93:$AI$2216,$W141,FuncStudy!$AJ$93:$AJ$2216,"&lt;&gt;"&amp;"NA")</f>
        <v>#VALUE!</v>
      </c>
      <c r="Z141" s="55" t="e">
        <f t="shared" si="11"/>
        <v>#VALUE!</v>
      </c>
    </row>
    <row r="142" spans="1:26" hidden="1">
      <c r="A142" s="5">
        <v>207</v>
      </c>
      <c r="B142" s="59"/>
      <c r="C142" s="60" t="s">
        <v>173</v>
      </c>
      <c r="D142" s="63"/>
      <c r="E142" s="63"/>
      <c r="F142" s="63"/>
      <c r="G142" s="63"/>
      <c r="H142" s="62"/>
      <c r="I142" s="65"/>
      <c r="J142" s="65"/>
      <c r="K142" s="62"/>
      <c r="L142" s="65"/>
      <c r="M142" s="65"/>
      <c r="N142" s="65"/>
      <c r="P142" t="str">
        <f t="shared" si="12"/>
        <v>Miscellaneous Expenses</v>
      </c>
      <c r="Q142" t="str">
        <f t="shared" si="13"/>
        <v>NA</v>
      </c>
      <c r="R142" t="str">
        <f>IF(ISERROR(MATCH(P142&amp;"."&amp;Q142,R$5:R141,0)),P142&amp;"."&amp;Q142,P142&amp;"."&amp;Q142&amp;COUNTIFS(P$5:P141,P142,Q$5:Q141,Q142))</f>
        <v>Miscellaneous Expenses.NA</v>
      </c>
      <c r="S142" s="55">
        <f t="shared" si="14"/>
        <v>0</v>
      </c>
      <c r="W142" s="53">
        <v>536</v>
      </c>
      <c r="X142" s="54">
        <f t="shared" si="10"/>
        <v>17115.634555691518</v>
      </c>
      <c r="Y142" s="54" t="e">
        <f>SUMIFS(FuncStudy!$G$93:$G$2216,FuncStudy!$AI$93:$AI$2216,$W142,FuncStudy!$AJ$93:$AJ$2216,"&lt;&gt;"&amp;"NA")</f>
        <v>#VALUE!</v>
      </c>
      <c r="Z142" s="55" t="e">
        <f t="shared" si="11"/>
        <v>#VALUE!</v>
      </c>
    </row>
    <row r="143" spans="1:26" hidden="1">
      <c r="A143" s="5">
        <v>208</v>
      </c>
      <c r="B143" s="59"/>
      <c r="C143" s="60">
        <v>4311</v>
      </c>
      <c r="D143" s="61" t="s">
        <v>174</v>
      </c>
      <c r="E143" s="63"/>
      <c r="F143" s="63"/>
      <c r="G143" s="63"/>
      <c r="H143" s="62"/>
      <c r="I143" s="65"/>
      <c r="J143" s="65"/>
      <c r="K143" s="62"/>
      <c r="L143" s="65"/>
      <c r="M143" s="65"/>
      <c r="N143" s="65"/>
      <c r="P143">
        <f t="shared" si="12"/>
        <v>4311</v>
      </c>
      <c r="Q143" t="str">
        <f t="shared" si="13"/>
        <v>NA</v>
      </c>
      <c r="R143" t="str">
        <f>IF(ISERROR(MATCH(P143&amp;"."&amp;Q143,R$5:R142,0)),P143&amp;"."&amp;Q143,P143&amp;"."&amp;Q143&amp;COUNTIFS(P$5:P142,P143,Q$5:Q142,Q143))</f>
        <v>4311.NA</v>
      </c>
      <c r="S143" s="55">
        <f t="shared" si="14"/>
        <v>0</v>
      </c>
      <c r="W143" s="53">
        <v>537</v>
      </c>
      <c r="X143" s="54">
        <f t="shared" si="10"/>
        <v>1799193.7820135292</v>
      </c>
      <c r="Y143" s="54" t="e">
        <f>SUMIFS(FuncStudy!$G$93:$G$2216,FuncStudy!$AI$93:$AI$2216,$W143,FuncStudy!$AJ$93:$AJ$2216,"&lt;&gt;"&amp;"NA")</f>
        <v>#VALUE!</v>
      </c>
      <c r="Z143" s="55" t="e">
        <f t="shared" si="11"/>
        <v>#VALUE!</v>
      </c>
    </row>
    <row r="144" spans="1:26" hidden="1">
      <c r="A144" s="5">
        <v>209</v>
      </c>
      <c r="B144" s="59"/>
      <c r="C144" s="60"/>
      <c r="D144" s="63"/>
      <c r="E144" s="63"/>
      <c r="F144" s="60" t="s">
        <v>149</v>
      </c>
      <c r="G144" s="61" t="s">
        <v>12</v>
      </c>
      <c r="H144" s="62"/>
      <c r="I144" s="65">
        <v>0</v>
      </c>
      <c r="J144" s="65">
        <v>0</v>
      </c>
      <c r="K144" s="62"/>
      <c r="L144" s="65">
        <v>681135.72</v>
      </c>
      <c r="M144" s="65">
        <v>0</v>
      </c>
      <c r="N144" s="64">
        <v>681135.72</v>
      </c>
      <c r="P144">
        <f t="shared" si="12"/>
        <v>4311</v>
      </c>
      <c r="Q144" t="str">
        <f t="shared" si="13"/>
        <v>S</v>
      </c>
      <c r="R144" t="str">
        <f>IF(ISERROR(MATCH(P144&amp;"."&amp;Q144,R$5:R143,0)),P144&amp;"."&amp;Q144,P144&amp;"."&amp;Q144&amp;COUNTIFS(P$5:P143,P144,Q$5:Q143,Q144))</f>
        <v>4311.S</v>
      </c>
      <c r="S144" s="55">
        <f t="shared" si="14"/>
        <v>681135.72</v>
      </c>
      <c r="W144" s="53">
        <v>538</v>
      </c>
      <c r="X144" s="54">
        <f t="shared" si="10"/>
        <v>0</v>
      </c>
      <c r="Y144" s="54" t="e">
        <f>SUMIFS(FuncStudy!$G$93:$G$2216,FuncStudy!$AI$93:$AI$2216,$W144,FuncStudy!$AJ$93:$AJ$2216,"&lt;&gt;"&amp;"NA")</f>
        <v>#VALUE!</v>
      </c>
      <c r="Z144" s="55" t="e">
        <f t="shared" si="11"/>
        <v>#VALUE!</v>
      </c>
    </row>
    <row r="145" spans="1:26" hidden="1">
      <c r="A145" s="5">
        <v>210</v>
      </c>
      <c r="B145" s="59"/>
      <c r="C145" s="60"/>
      <c r="D145" s="63"/>
      <c r="E145" s="63"/>
      <c r="F145" s="63"/>
      <c r="G145" s="63"/>
      <c r="H145" s="62" t="s">
        <v>141</v>
      </c>
      <c r="I145" s="66">
        <v>0</v>
      </c>
      <c r="J145" s="66">
        <v>0</v>
      </c>
      <c r="K145" s="62"/>
      <c r="L145" s="66">
        <v>681135.72</v>
      </c>
      <c r="M145" s="66">
        <v>0</v>
      </c>
      <c r="N145" s="66">
        <v>681135.72</v>
      </c>
      <c r="P145">
        <f t="shared" si="12"/>
        <v>4311</v>
      </c>
      <c r="Q145" t="str">
        <f t="shared" si="13"/>
        <v>NA</v>
      </c>
      <c r="R145" t="str">
        <f>IF(ISERROR(MATCH(P145&amp;"."&amp;Q145,R$5:R144,0)),P145&amp;"."&amp;Q145,P145&amp;"."&amp;Q145&amp;COUNTIFS(P$5:P144,P145,Q$5:Q144,Q145))</f>
        <v>4311.NA1</v>
      </c>
      <c r="S145" s="55">
        <f t="shared" si="14"/>
        <v>681135.72</v>
      </c>
      <c r="W145" s="53">
        <v>539</v>
      </c>
      <c r="X145" s="54">
        <f t="shared" si="10"/>
        <v>9323452.6574012842</v>
      </c>
      <c r="Y145" s="54" t="e">
        <f>SUMIFS(FuncStudy!$G$93:$G$2216,FuncStudy!$AI$93:$AI$2216,$W145,FuncStudy!$AJ$93:$AJ$2216,"&lt;&gt;"&amp;"NA")</f>
        <v>#VALUE!</v>
      </c>
      <c r="Z145" s="55" t="e">
        <f t="shared" si="11"/>
        <v>#VALUE!</v>
      </c>
    </row>
    <row r="146" spans="1:26" hidden="1">
      <c r="A146" s="5">
        <v>211</v>
      </c>
      <c r="B146" s="59"/>
      <c r="C146" s="45" t="s">
        <v>175</v>
      </c>
      <c r="D146" s="63"/>
      <c r="E146" s="63"/>
      <c r="F146" s="63"/>
      <c r="G146" s="63"/>
      <c r="H146" s="62" t="s">
        <v>165</v>
      </c>
      <c r="I146" s="82">
        <v>0</v>
      </c>
      <c r="J146" s="82">
        <v>0</v>
      </c>
      <c r="K146" s="41"/>
      <c r="L146" s="82">
        <v>681135.72</v>
      </c>
      <c r="M146" s="82">
        <v>0</v>
      </c>
      <c r="N146" s="82">
        <v>681135.72</v>
      </c>
      <c r="P146" t="str">
        <f t="shared" si="12"/>
        <v>Total Miscellaneous Expenses</v>
      </c>
      <c r="Q146" t="str">
        <f t="shared" si="13"/>
        <v>NA</v>
      </c>
      <c r="R146" t="str">
        <f>IF(ISERROR(MATCH(P146&amp;"."&amp;Q146,R$5:R145,0)),P146&amp;"."&amp;Q146,P146&amp;"."&amp;Q146&amp;COUNTIFS(P$5:P145,P146,Q$5:Q145,Q146))</f>
        <v>Total Miscellaneous Expenses.NA</v>
      </c>
      <c r="S146" s="55">
        <f t="shared" si="14"/>
        <v>681135.72</v>
      </c>
      <c r="W146" s="53">
        <v>540</v>
      </c>
      <c r="X146" s="54">
        <f t="shared" si="10"/>
        <v>737224.91752825188</v>
      </c>
      <c r="Y146" s="54" t="e">
        <f>SUMIFS(FuncStudy!$G$93:$G$2216,FuncStudy!$AI$93:$AI$2216,$W146,FuncStudy!$AJ$93:$AJ$2216,"&lt;&gt;"&amp;"NA")</f>
        <v>#VALUE!</v>
      </c>
      <c r="Z146" s="55" t="e">
        <f t="shared" si="11"/>
        <v>#VALUE!</v>
      </c>
    </row>
    <row r="147" spans="1:26" hidden="1">
      <c r="A147" s="5">
        <v>212</v>
      </c>
      <c r="B147" s="59"/>
      <c r="C147" s="60"/>
      <c r="D147" s="63"/>
      <c r="E147" s="63"/>
      <c r="F147" s="63"/>
      <c r="G147" s="63"/>
      <c r="H147" s="62"/>
      <c r="I147" s="65"/>
      <c r="J147" s="65"/>
      <c r="K147" s="62"/>
      <c r="L147" s="65"/>
      <c r="M147" s="65"/>
      <c r="N147" s="65"/>
      <c r="P147" t="str">
        <f t="shared" si="12"/>
        <v>Total Miscellaneous Expenses</v>
      </c>
      <c r="Q147" t="str">
        <f t="shared" si="13"/>
        <v>NA</v>
      </c>
      <c r="R147" t="str">
        <f>IF(ISERROR(MATCH(P147&amp;"."&amp;Q147,R$5:R146,0)),P147&amp;"."&amp;Q147,P147&amp;"."&amp;Q147&amp;COUNTIFS(P$5:P146,P147,Q$5:Q146,Q147))</f>
        <v>Total Miscellaneous Expenses.NA1</v>
      </c>
      <c r="S147" s="55">
        <f t="shared" si="14"/>
        <v>0</v>
      </c>
      <c r="W147" s="53">
        <v>541</v>
      </c>
      <c r="X147" s="54">
        <f t="shared" si="10"/>
        <v>170.98436257296871</v>
      </c>
      <c r="Y147" s="54" t="e">
        <f>SUMIFS(FuncStudy!$G$93:$G$2216,FuncStudy!$AI$93:$AI$2216,$W147,FuncStudy!$AJ$93:$AJ$2216,"&lt;&gt;"&amp;"NA")</f>
        <v>#VALUE!</v>
      </c>
      <c r="Z147" s="55" t="e">
        <f t="shared" si="11"/>
        <v>#VALUE!</v>
      </c>
    </row>
    <row r="148" spans="1:26" ht="15.75" hidden="1" thickBot="1">
      <c r="A148" s="5">
        <v>213</v>
      </c>
      <c r="B148" s="59"/>
      <c r="C148" s="45" t="s">
        <v>176</v>
      </c>
      <c r="D148" s="63"/>
      <c r="E148" s="63"/>
      <c r="F148" s="63"/>
      <c r="G148" s="63"/>
      <c r="H148" s="41" t="s">
        <v>165</v>
      </c>
      <c r="I148" s="68">
        <v>-3395390.25</v>
      </c>
      <c r="J148" s="68">
        <v>-1584839.9796014507</v>
      </c>
      <c r="K148" s="41"/>
      <c r="L148" s="68">
        <v>410159.01999999967</v>
      </c>
      <c r="M148" s="68">
        <v>198139.07137212891</v>
      </c>
      <c r="N148" s="68">
        <v>212019.9486278707</v>
      </c>
      <c r="P148" t="str">
        <f t="shared" si="12"/>
        <v>Net Misc Revenue and Expense</v>
      </c>
      <c r="Q148" t="str">
        <f t="shared" si="13"/>
        <v>NA</v>
      </c>
      <c r="R148" t="str">
        <f>IF(ISERROR(MATCH(P148&amp;"."&amp;Q148,R$5:R147,0)),P148&amp;"."&amp;Q148,P148&amp;"."&amp;Q148&amp;COUNTIFS(P$5:P147,P148,Q$5:Q147,Q148))</f>
        <v>Net Misc Revenue and Expense.NA</v>
      </c>
      <c r="S148" s="55">
        <f t="shared" si="14"/>
        <v>212019.9486278707</v>
      </c>
      <c r="W148" s="53">
        <v>542</v>
      </c>
      <c r="X148" s="54">
        <f t="shared" si="10"/>
        <v>299571.11531919637</v>
      </c>
      <c r="Y148" s="54" t="e">
        <f>SUMIFS(FuncStudy!$G$93:$G$2216,FuncStudy!$AI$93:$AI$2216,$W148,FuncStudy!$AJ$93:$AJ$2216,"&lt;&gt;"&amp;"NA")</f>
        <v>#VALUE!</v>
      </c>
      <c r="Z148" s="55" t="e">
        <f t="shared" si="11"/>
        <v>#VALUE!</v>
      </c>
    </row>
    <row r="149" spans="1:26" hidden="1">
      <c r="A149" s="5">
        <v>214</v>
      </c>
      <c r="B149" s="59"/>
      <c r="C149" s="60"/>
      <c r="D149" s="63"/>
      <c r="E149" s="63"/>
      <c r="F149" s="63"/>
      <c r="G149" s="63"/>
      <c r="H149" s="62"/>
      <c r="I149" s="69"/>
      <c r="J149" s="69"/>
      <c r="K149" s="62"/>
      <c r="L149" s="69"/>
      <c r="M149" s="65"/>
      <c r="N149" s="65"/>
      <c r="P149" t="str">
        <f t="shared" si="12"/>
        <v>Net Misc Revenue and Expense</v>
      </c>
      <c r="Q149" t="str">
        <f t="shared" si="13"/>
        <v>NA</v>
      </c>
      <c r="R149" t="str">
        <f>IF(ISERROR(MATCH(P149&amp;"."&amp;Q149,R$5:R148,0)),P149&amp;"."&amp;Q149,P149&amp;"."&amp;Q149&amp;COUNTIFS(P$5:P148,P149,Q$5:Q148,Q149))</f>
        <v>Net Misc Revenue and Expense.NA1</v>
      </c>
      <c r="S149" s="55">
        <f t="shared" si="14"/>
        <v>0</v>
      </c>
      <c r="W149" s="53">
        <v>543</v>
      </c>
      <c r="X149" s="54">
        <f t="shared" si="10"/>
        <v>820482.77096595429</v>
      </c>
      <c r="Y149" s="54" t="e">
        <f>SUMIFS(FuncStudy!$G$93:$G$2216,FuncStudy!$AI$93:$AI$2216,$W149,FuncStudy!$AJ$93:$AJ$2216,"&lt;&gt;"&amp;"NA")</f>
        <v>#VALUE!</v>
      </c>
      <c r="Z149" s="55" t="e">
        <f t="shared" si="11"/>
        <v>#VALUE!</v>
      </c>
    </row>
    <row r="150" spans="1:26" hidden="1">
      <c r="A150" s="5">
        <v>215</v>
      </c>
      <c r="B150" s="59"/>
      <c r="C150" s="60">
        <v>500</v>
      </c>
      <c r="D150" s="61" t="s">
        <v>177</v>
      </c>
      <c r="E150" s="63"/>
      <c r="F150" s="63"/>
      <c r="G150" s="63"/>
      <c r="H150" s="62"/>
      <c r="I150" s="65"/>
      <c r="J150" s="65"/>
      <c r="K150" s="62"/>
      <c r="L150" s="65"/>
      <c r="M150" s="65"/>
      <c r="N150" s="65"/>
      <c r="P150">
        <f t="shared" si="12"/>
        <v>500</v>
      </c>
      <c r="Q150" t="str">
        <f t="shared" si="13"/>
        <v>NA</v>
      </c>
      <c r="R150" t="str">
        <f>IF(ISERROR(MATCH(P150&amp;"."&amp;Q150,R$5:R149,0)),P150&amp;"."&amp;Q150,P150&amp;"."&amp;Q150&amp;COUNTIFS(P$5:P149,P150,Q$5:Q149,Q150))</f>
        <v>500.NA</v>
      </c>
      <c r="S150" s="55">
        <f t="shared" si="14"/>
        <v>0</v>
      </c>
      <c r="W150" s="53">
        <v>544</v>
      </c>
      <c r="X150" s="54">
        <f t="shared" si="10"/>
        <v>944963.93224717479</v>
      </c>
      <c r="Y150" s="54" t="e">
        <f>SUMIFS(FuncStudy!$G$93:$G$2216,FuncStudy!$AI$93:$AI$2216,$W150,FuncStudy!$AJ$93:$AJ$2216,"&lt;&gt;"&amp;"NA")</f>
        <v>#VALUE!</v>
      </c>
      <c r="Z150" s="55" t="e">
        <f t="shared" si="11"/>
        <v>#VALUE!</v>
      </c>
    </row>
    <row r="151" spans="1:26" hidden="1">
      <c r="A151" s="5">
        <v>216</v>
      </c>
      <c r="B151" s="59"/>
      <c r="C151" s="60"/>
      <c r="D151" s="63"/>
      <c r="E151" s="63"/>
      <c r="F151" s="60" t="s">
        <v>13</v>
      </c>
      <c r="G151" s="61" t="s">
        <v>15</v>
      </c>
      <c r="H151" s="62"/>
      <c r="I151" s="65">
        <v>15517985.16</v>
      </c>
      <c r="J151" s="65">
        <v>6827525.2309371335</v>
      </c>
      <c r="K151" s="62"/>
      <c r="L151" s="65">
        <v>17144630.278971434</v>
      </c>
      <c r="M151" s="65">
        <v>9601421.8921961617</v>
      </c>
      <c r="N151" s="64">
        <v>7543208.386775272</v>
      </c>
      <c r="P151">
        <f t="shared" si="12"/>
        <v>500</v>
      </c>
      <c r="Q151" t="str">
        <f t="shared" si="13"/>
        <v>SG</v>
      </c>
      <c r="R151" t="str">
        <f>IF(ISERROR(MATCH(P151&amp;"."&amp;Q151,R$5:R150,0)),P151&amp;"."&amp;Q151,P151&amp;"."&amp;Q151&amp;COUNTIFS(P$5:P150,P151,Q$5:Q150,Q151))</f>
        <v>500.SG</v>
      </c>
      <c r="S151" s="55">
        <f t="shared" si="14"/>
        <v>7543208.386775272</v>
      </c>
      <c r="W151" s="53">
        <v>545</v>
      </c>
      <c r="X151" s="54">
        <f t="shared" si="10"/>
        <v>2003538.0727623506</v>
      </c>
      <c r="Y151" s="54" t="e">
        <f>SUMIFS(FuncStudy!$G$93:$G$2216,FuncStudy!$AI$93:$AI$2216,$W151,FuncStudy!$AJ$93:$AJ$2216,"&lt;&gt;"&amp;"NA")</f>
        <v>#VALUE!</v>
      </c>
      <c r="Z151" s="55" t="e">
        <f t="shared" si="11"/>
        <v>#VALUE!</v>
      </c>
    </row>
    <row r="152" spans="1:26" hidden="1">
      <c r="A152" s="5">
        <v>217</v>
      </c>
      <c r="B152" s="59"/>
      <c r="C152" s="60"/>
      <c r="D152" s="63"/>
      <c r="E152" s="63"/>
      <c r="F152" s="60" t="s">
        <v>13</v>
      </c>
      <c r="G152" s="61" t="s">
        <v>15</v>
      </c>
      <c r="H152" s="62"/>
      <c r="I152" s="65">
        <v>2307136.12</v>
      </c>
      <c r="J152" s="65">
        <v>1015082.171305956</v>
      </c>
      <c r="K152" s="62"/>
      <c r="L152" s="65">
        <v>2410477.3563330877</v>
      </c>
      <c r="M152" s="65">
        <v>1349927.6265016154</v>
      </c>
      <c r="N152" s="64">
        <v>1060549.7298314723</v>
      </c>
      <c r="P152">
        <f t="shared" si="12"/>
        <v>500</v>
      </c>
      <c r="Q152" t="str">
        <f t="shared" si="13"/>
        <v>SG</v>
      </c>
      <c r="R152" t="str">
        <f>IF(ISERROR(MATCH(P152&amp;"."&amp;Q152,R$5:R151,0)),P152&amp;"."&amp;Q152,P152&amp;"."&amp;Q152&amp;COUNTIFS(P$5:P151,P152,Q$5:Q151,Q152))</f>
        <v>500.SG1</v>
      </c>
      <c r="S152" s="55">
        <f t="shared" si="14"/>
        <v>1060549.7298314723</v>
      </c>
      <c r="W152" s="53">
        <v>546</v>
      </c>
      <c r="X152" s="54">
        <f t="shared" si="10"/>
        <v>157197.70852453299</v>
      </c>
      <c r="Y152" s="54" t="e">
        <f>SUMIFS(FuncStudy!$G$93:$G$2216,FuncStudy!$AI$93:$AI$2216,$W152,FuncStudy!$AJ$93:$AJ$2216,"&lt;&gt;"&amp;"NA")</f>
        <v>#VALUE!</v>
      </c>
      <c r="Z152" s="55" t="e">
        <f t="shared" si="11"/>
        <v>#VALUE!</v>
      </c>
    </row>
    <row r="153" spans="1:26" hidden="1">
      <c r="A153" s="5">
        <v>218</v>
      </c>
      <c r="B153" s="59"/>
      <c r="C153" s="60"/>
      <c r="D153" s="63"/>
      <c r="E153" s="63"/>
      <c r="F153" s="63" t="s">
        <v>13</v>
      </c>
      <c r="G153" s="63" t="s">
        <v>15</v>
      </c>
      <c r="H153" s="62"/>
      <c r="I153" s="66">
        <v>0</v>
      </c>
      <c r="J153" s="66">
        <v>0</v>
      </c>
      <c r="K153" s="62"/>
      <c r="L153" s="66">
        <v>0</v>
      </c>
      <c r="M153" s="66">
        <v>0</v>
      </c>
      <c r="N153" s="66">
        <v>0</v>
      </c>
      <c r="P153">
        <f t="shared" si="12"/>
        <v>500</v>
      </c>
      <c r="Q153" t="str">
        <f t="shared" si="13"/>
        <v>SG</v>
      </c>
      <c r="R153" t="str">
        <f>IF(ISERROR(MATCH(P153&amp;"."&amp;Q153,R$5:R152,0)),P153&amp;"."&amp;Q153,P153&amp;"."&amp;Q153&amp;COUNTIFS(P$5:P152,P153,Q$5:Q152,Q153))</f>
        <v>500.SG2</v>
      </c>
      <c r="S153" s="55">
        <f t="shared" si="14"/>
        <v>0</v>
      </c>
      <c r="W153" s="53">
        <v>547</v>
      </c>
      <c r="X153" s="54">
        <f t="shared" si="10"/>
        <v>0</v>
      </c>
      <c r="Y153" s="54">
        <f>SUMIFS(FuncStudy!$G$93:$G$2216,FuncStudy!$AI$93:$AI$2216,$W153,FuncStudy!$AJ$93:$AJ$2216,"&lt;&gt;"&amp;"NA")</f>
        <v>0</v>
      </c>
      <c r="Z153" s="55">
        <f t="shared" si="11"/>
        <v>0</v>
      </c>
    </row>
    <row r="154" spans="1:26" hidden="1">
      <c r="A154" s="5">
        <v>219</v>
      </c>
      <c r="B154" s="59"/>
      <c r="C154" s="60"/>
      <c r="D154" s="63"/>
      <c r="E154" s="63"/>
      <c r="F154" s="63"/>
      <c r="G154" s="63"/>
      <c r="H154" s="62" t="s">
        <v>178</v>
      </c>
      <c r="I154" s="65">
        <v>17825121.280000001</v>
      </c>
      <c r="J154" s="65">
        <v>7842607.4022430899</v>
      </c>
      <c r="K154" s="62"/>
      <c r="L154" s="65">
        <v>19555107.635304522</v>
      </c>
      <c r="M154" s="65">
        <v>10951349.518697778</v>
      </c>
      <c r="N154" s="65">
        <v>8603758.116606744</v>
      </c>
      <c r="P154">
        <f t="shared" si="12"/>
        <v>500</v>
      </c>
      <c r="Q154" t="str">
        <f t="shared" si="13"/>
        <v>NA</v>
      </c>
      <c r="R154" t="str">
        <f>IF(ISERROR(MATCH(P154&amp;"."&amp;Q154,R$5:R153,0)),P154&amp;"."&amp;Q154,P154&amp;"."&amp;Q154&amp;COUNTIFS(P$5:P153,P154,Q$5:Q153,Q154))</f>
        <v>500.NA1</v>
      </c>
      <c r="S154" s="55">
        <f t="shared" si="14"/>
        <v>8603758.116606744</v>
      </c>
      <c r="W154" s="53">
        <v>548</v>
      </c>
      <c r="X154" s="54">
        <f t="shared" si="10"/>
        <v>7893881.4856174113</v>
      </c>
      <c r="Y154" s="54" t="e">
        <f>SUMIFS(FuncStudy!$G$93:$G$2216,FuncStudy!$AI$93:$AI$2216,$W154,FuncStudy!$AJ$93:$AJ$2216,"&lt;&gt;"&amp;"NA")</f>
        <v>#VALUE!</v>
      </c>
      <c r="Z154" s="55" t="e">
        <f t="shared" si="11"/>
        <v>#VALUE!</v>
      </c>
    </row>
    <row r="155" spans="1:26" hidden="1">
      <c r="A155" s="5">
        <v>220</v>
      </c>
      <c r="B155" s="59"/>
      <c r="C155" s="60"/>
      <c r="D155" s="61"/>
      <c r="E155" s="63"/>
      <c r="F155" s="63"/>
      <c r="G155" s="63"/>
      <c r="H155" s="62"/>
      <c r="I155" s="65"/>
      <c r="J155" s="65"/>
      <c r="K155" s="62"/>
      <c r="L155" s="65"/>
      <c r="M155" s="65"/>
      <c r="N155" s="65"/>
      <c r="P155">
        <f t="shared" si="12"/>
        <v>500</v>
      </c>
      <c r="Q155" t="str">
        <f t="shared" si="13"/>
        <v>NA</v>
      </c>
      <c r="R155" t="str">
        <f>IF(ISERROR(MATCH(P155&amp;"."&amp;Q155,R$5:R154,0)),P155&amp;"."&amp;Q155,P155&amp;"."&amp;Q155&amp;COUNTIFS(P$5:P154,P155,Q$5:Q154,Q155))</f>
        <v>500.NA2</v>
      </c>
      <c r="S155" s="55">
        <f t="shared" si="14"/>
        <v>0</v>
      </c>
      <c r="W155" s="53">
        <v>549</v>
      </c>
      <c r="X155" s="54">
        <f t="shared" si="10"/>
        <v>12361761.059973223</v>
      </c>
      <c r="Y155" s="54" t="e">
        <f>SUMIFS(FuncStudy!$G$93:$G$2216,FuncStudy!$AI$93:$AI$2216,$W155,FuncStudy!$AJ$93:$AJ$2216,"&lt;&gt;"&amp;"NA")</f>
        <v>#VALUE!</v>
      </c>
      <c r="Z155" s="55" t="e">
        <f t="shared" si="11"/>
        <v>#VALUE!</v>
      </c>
    </row>
    <row r="156" spans="1:26" hidden="1">
      <c r="A156" s="5">
        <v>221</v>
      </c>
      <c r="C156" s="60">
        <v>501</v>
      </c>
      <c r="D156" s="63" t="s">
        <v>179</v>
      </c>
      <c r="E156" s="63"/>
      <c r="F156" s="60"/>
      <c r="G156" s="61"/>
      <c r="H156" s="62"/>
      <c r="I156" s="65"/>
      <c r="J156" s="65"/>
      <c r="K156" s="62"/>
      <c r="L156" s="65"/>
      <c r="M156" s="65"/>
      <c r="N156" s="64"/>
      <c r="P156">
        <f t="shared" si="12"/>
        <v>501</v>
      </c>
      <c r="Q156" t="str">
        <f t="shared" si="13"/>
        <v>NA</v>
      </c>
      <c r="R156" t="str">
        <f>IF(ISERROR(MATCH(P156&amp;"."&amp;Q156,R$5:R155,0)),P156&amp;"."&amp;Q156,P156&amp;"."&amp;Q156&amp;COUNTIFS(P$5:P155,P156,Q$5:Q155,Q156))</f>
        <v>501.NA</v>
      </c>
      <c r="S156" s="55">
        <f t="shared" si="14"/>
        <v>0</v>
      </c>
      <c r="W156" s="53">
        <v>550</v>
      </c>
      <c r="X156" s="54">
        <f t="shared" si="10"/>
        <v>1257757.7143428859</v>
      </c>
      <c r="Y156" s="54" t="e">
        <f>SUMIFS(FuncStudy!$G$93:$G$2216,FuncStudy!$AI$93:$AI$2216,$W156,FuncStudy!$AJ$93:$AJ$2216,"&lt;&gt;"&amp;"NA")</f>
        <v>#VALUE!</v>
      </c>
      <c r="Z156" s="55" t="e">
        <f t="shared" si="11"/>
        <v>#VALUE!</v>
      </c>
    </row>
    <row r="157" spans="1:26" hidden="1">
      <c r="A157" s="5">
        <v>222</v>
      </c>
      <c r="C157" s="60"/>
      <c r="D157" s="63"/>
      <c r="E157" s="63"/>
      <c r="F157" s="60" t="s">
        <v>13</v>
      </c>
      <c r="G157" s="61" t="s">
        <v>12</v>
      </c>
      <c r="H157" s="62"/>
      <c r="I157" s="65">
        <v>4028246.54</v>
      </c>
      <c r="J157" s="65">
        <v>0</v>
      </c>
      <c r="K157" s="62"/>
      <c r="L157" s="65">
        <v>4115548.0542104356</v>
      </c>
      <c r="M157" s="65">
        <v>4115548.0542104356</v>
      </c>
      <c r="N157" s="64">
        <v>0</v>
      </c>
      <c r="P157">
        <f t="shared" si="12"/>
        <v>501</v>
      </c>
      <c r="Q157" t="str">
        <f t="shared" si="13"/>
        <v>S</v>
      </c>
      <c r="R157" t="str">
        <f>IF(ISERROR(MATCH(P157&amp;"."&amp;Q157,R$5:R156,0)),P157&amp;"."&amp;Q157,P157&amp;"."&amp;Q157&amp;COUNTIFS(P$5:P156,P157,Q$5:Q156,Q157))</f>
        <v>501.S</v>
      </c>
      <c r="S157" s="55">
        <f t="shared" si="14"/>
        <v>0</v>
      </c>
      <c r="W157" s="53">
        <v>551</v>
      </c>
      <c r="X157" s="54">
        <f t="shared" si="10"/>
        <v>0</v>
      </c>
      <c r="Y157" s="54" t="e">
        <f>SUMIFS(FuncStudy!$G$93:$G$2216,FuncStudy!$AI$93:$AI$2216,$W157,FuncStudy!$AJ$93:$AJ$2216,"&lt;&gt;"&amp;"NA")</f>
        <v>#VALUE!</v>
      </c>
      <c r="Z157" s="55" t="e">
        <f t="shared" si="11"/>
        <v>#VALUE!</v>
      </c>
    </row>
    <row r="158" spans="1:26" hidden="1">
      <c r="A158" s="5">
        <v>223</v>
      </c>
      <c r="C158" s="60"/>
      <c r="D158" s="63"/>
      <c r="E158" s="63"/>
      <c r="F158" s="60" t="s">
        <v>13</v>
      </c>
      <c r="G158" s="61" t="s">
        <v>16</v>
      </c>
      <c r="H158" s="62"/>
      <c r="I158" s="65">
        <v>15215943.08</v>
      </c>
      <c r="J158" s="65">
        <v>6597056.1590525201</v>
      </c>
      <c r="K158" s="62"/>
      <c r="L158" s="65">
        <v>15701018.146572268</v>
      </c>
      <c r="M158" s="65">
        <v>8893651.8254280146</v>
      </c>
      <c r="N158" s="64">
        <v>6807366.321144253</v>
      </c>
      <c r="P158">
        <f t="shared" si="12"/>
        <v>501</v>
      </c>
      <c r="Q158" t="str">
        <f t="shared" si="13"/>
        <v>SE</v>
      </c>
      <c r="R158" t="str">
        <f>IF(ISERROR(MATCH(P158&amp;"."&amp;Q158,R$5:R157,0)),P158&amp;"."&amp;Q158,P158&amp;"."&amp;Q158&amp;COUNTIFS(P$5:P157,P158,Q$5:Q157,Q158))</f>
        <v>501.SE</v>
      </c>
      <c r="S158" s="55">
        <f t="shared" si="14"/>
        <v>6807366.321144253</v>
      </c>
      <c r="W158" s="53">
        <v>552</v>
      </c>
      <c r="X158" s="54">
        <f t="shared" si="10"/>
        <v>1097344.9678669826</v>
      </c>
      <c r="Y158" s="54" t="e">
        <f>SUMIFS(FuncStudy!$G$93:$G$2216,FuncStudy!$AI$93:$AI$2216,$W158,FuncStudy!$AJ$93:$AJ$2216,"&lt;&gt;"&amp;"NA")</f>
        <v>#VALUE!</v>
      </c>
      <c r="Z158" s="55" t="e">
        <f t="shared" si="11"/>
        <v>#VALUE!</v>
      </c>
    </row>
    <row r="159" spans="1:26" hidden="1">
      <c r="A159" s="5">
        <v>224</v>
      </c>
      <c r="C159" s="60"/>
      <c r="D159" s="63"/>
      <c r="E159" s="63"/>
      <c r="F159" s="60" t="s">
        <v>13</v>
      </c>
      <c r="G159" s="61" t="s">
        <v>16</v>
      </c>
      <c r="H159" s="62"/>
      <c r="I159" s="65">
        <v>0</v>
      </c>
      <c r="J159" s="65">
        <v>0</v>
      </c>
      <c r="K159" s="62"/>
      <c r="L159" s="65">
        <v>0</v>
      </c>
      <c r="M159" s="65">
        <v>0</v>
      </c>
      <c r="N159" s="64">
        <v>0</v>
      </c>
      <c r="P159">
        <f t="shared" si="12"/>
        <v>501</v>
      </c>
      <c r="Q159" t="str">
        <f t="shared" si="13"/>
        <v>SE</v>
      </c>
      <c r="R159" t="str">
        <f>IF(ISERROR(MATCH(P159&amp;"."&amp;Q159,R$5:R158,0)),P159&amp;"."&amp;Q159,P159&amp;"."&amp;Q159&amp;COUNTIFS(P$5:P158,P159,Q$5:Q158,Q159))</f>
        <v>501.SE1</v>
      </c>
      <c r="S159" s="55">
        <f t="shared" si="14"/>
        <v>0</v>
      </c>
      <c r="W159" s="53">
        <v>553</v>
      </c>
      <c r="X159" s="54">
        <f t="shared" si="10"/>
        <v>5791084.6436730521</v>
      </c>
      <c r="Y159" s="54" t="e">
        <f>SUMIFS(FuncStudy!$G$93:$G$2216,FuncStudy!$AI$93:$AI$2216,$W159,FuncStudy!$AJ$93:$AJ$2216,"&lt;&gt;"&amp;"NA")</f>
        <v>#VALUE!</v>
      </c>
      <c r="Z159" s="55" t="e">
        <f t="shared" si="11"/>
        <v>#VALUE!</v>
      </c>
    </row>
    <row r="160" spans="1:26" hidden="1">
      <c r="A160" s="5">
        <v>225</v>
      </c>
      <c r="C160" s="60"/>
      <c r="D160" s="63"/>
      <c r="E160" s="63"/>
      <c r="F160" s="60" t="s">
        <v>13</v>
      </c>
      <c r="G160" s="61" t="s">
        <v>16</v>
      </c>
      <c r="H160" s="62"/>
      <c r="I160" s="65">
        <v>0</v>
      </c>
      <c r="J160" s="65">
        <v>0</v>
      </c>
      <c r="K160" s="62"/>
      <c r="L160" s="65">
        <v>0</v>
      </c>
      <c r="M160" s="65">
        <v>0</v>
      </c>
      <c r="N160" s="64">
        <v>0</v>
      </c>
      <c r="P160">
        <f t="shared" si="12"/>
        <v>501</v>
      </c>
      <c r="Q160" t="str">
        <f t="shared" si="13"/>
        <v>SE</v>
      </c>
      <c r="R160" t="str">
        <f>IF(ISERROR(MATCH(P160&amp;"."&amp;Q160,R$5:R159,0)),P160&amp;"."&amp;Q160,P160&amp;"."&amp;Q160&amp;COUNTIFS(P$5:P159,P160,Q$5:Q159,Q160))</f>
        <v>501.SE2</v>
      </c>
      <c r="S160" s="55">
        <f t="shared" si="14"/>
        <v>0</v>
      </c>
      <c r="W160" s="53">
        <v>554</v>
      </c>
      <c r="X160" s="54">
        <f t="shared" si="10"/>
        <v>1348823.480410395</v>
      </c>
      <c r="Y160" s="54" t="e">
        <f>SUMIFS(FuncStudy!$G$93:$G$2216,FuncStudy!$AI$93:$AI$2216,$W160,FuncStudy!$AJ$93:$AJ$2216,"&lt;&gt;"&amp;"NA")</f>
        <v>#VALUE!</v>
      </c>
      <c r="Z160" s="55" t="e">
        <f t="shared" si="11"/>
        <v>#VALUE!</v>
      </c>
    </row>
    <row r="161" spans="1:26" hidden="1">
      <c r="A161" s="5">
        <v>226</v>
      </c>
      <c r="C161" s="60"/>
      <c r="D161" s="63"/>
      <c r="E161" s="63"/>
      <c r="F161" s="63" t="s">
        <v>13</v>
      </c>
      <c r="G161" s="63" t="s">
        <v>16</v>
      </c>
      <c r="H161" s="62"/>
      <c r="I161" s="66">
        <v>2888331.62</v>
      </c>
      <c r="J161" s="66">
        <v>1252271.1082004877</v>
      </c>
      <c r="K161" s="62"/>
      <c r="L161" s="66">
        <v>2950928.514570381</v>
      </c>
      <c r="M161" s="66">
        <v>1671517.7656199299</v>
      </c>
      <c r="N161" s="66">
        <v>1279410.7489504511</v>
      </c>
      <c r="P161">
        <f t="shared" si="12"/>
        <v>501</v>
      </c>
      <c r="Q161" t="str">
        <f t="shared" si="13"/>
        <v>SE</v>
      </c>
      <c r="R161" t="str">
        <f>IF(ISERROR(MATCH(P161&amp;"."&amp;Q161,R$5:R160,0)),P161&amp;"."&amp;Q161,P161&amp;"."&amp;Q161&amp;COUNTIFS(P$5:P160,P161,Q$5:Q160,Q161))</f>
        <v>501.SE3</v>
      </c>
      <c r="S161" s="55">
        <f t="shared" si="14"/>
        <v>1279410.7489504511</v>
      </c>
      <c r="W161" s="53">
        <v>555</v>
      </c>
      <c r="X161" s="54">
        <f t="shared" si="10"/>
        <v>0</v>
      </c>
      <c r="Y161" s="54">
        <f>SUMIFS(FuncStudy!$G$93:$G$2216,FuncStudy!$AI$93:$AI$2216,$W161,FuncStudy!$AJ$93:$AJ$2216,"&lt;&gt;"&amp;"NA")</f>
        <v>0</v>
      </c>
      <c r="Z161" s="55">
        <f t="shared" si="11"/>
        <v>0</v>
      </c>
    </row>
    <row r="162" spans="1:26" hidden="1">
      <c r="A162" s="5">
        <v>227</v>
      </c>
      <c r="B162" s="59"/>
      <c r="C162" s="60"/>
      <c r="D162" s="63"/>
      <c r="E162" s="63"/>
      <c r="F162" s="63"/>
      <c r="G162" s="63"/>
      <c r="H162" s="62" t="s">
        <v>178</v>
      </c>
      <c r="I162" s="65">
        <v>22132521.240000002</v>
      </c>
      <c r="J162" s="65">
        <v>7849327.2672530077</v>
      </c>
      <c r="K162" s="62"/>
      <c r="L162" s="65">
        <v>22767494.715353083</v>
      </c>
      <c r="M162" s="65">
        <v>14680717.64525838</v>
      </c>
      <c r="N162" s="65">
        <v>8086777.0700947046</v>
      </c>
      <c r="P162">
        <f t="shared" si="12"/>
        <v>501</v>
      </c>
      <c r="Q162" t="str">
        <f t="shared" si="13"/>
        <v>NA</v>
      </c>
      <c r="R162" t="str">
        <f>IF(ISERROR(MATCH(P162&amp;"."&amp;Q162,R$5:R161,0)),P162&amp;"."&amp;Q162,P162&amp;"."&amp;Q162&amp;COUNTIFS(P$5:P161,P162,Q$5:Q161,Q162))</f>
        <v>501.NA1</v>
      </c>
      <c r="S162" s="55">
        <f t="shared" si="14"/>
        <v>8086777.0700947046</v>
      </c>
      <c r="W162" s="53">
        <v>556</v>
      </c>
      <c r="X162" s="54">
        <f t="shared" si="10"/>
        <v>360128.5902025082</v>
      </c>
      <c r="Y162" s="54" t="e">
        <f>SUMIFS(FuncStudy!$G$93:$G$2216,FuncStudy!$AI$93:$AI$2216,$W162,FuncStudy!$AJ$93:$AJ$2216,"&lt;&gt;"&amp;"NA")</f>
        <v>#VALUE!</v>
      </c>
      <c r="Z162" s="55" t="e">
        <f t="shared" si="11"/>
        <v>#VALUE!</v>
      </c>
    </row>
    <row r="163" spans="1:26" hidden="1">
      <c r="A163" s="5">
        <v>228</v>
      </c>
      <c r="B163" s="59"/>
      <c r="C163" s="60"/>
      <c r="D163" s="61"/>
      <c r="E163" s="63"/>
      <c r="F163" s="63"/>
      <c r="G163" s="63"/>
      <c r="H163" s="62"/>
      <c r="I163" s="65"/>
      <c r="J163" s="65"/>
      <c r="K163" s="62"/>
      <c r="L163" s="65"/>
      <c r="M163" s="65"/>
      <c r="N163" s="65"/>
      <c r="P163">
        <f t="shared" si="12"/>
        <v>501</v>
      </c>
      <c r="Q163" t="str">
        <f t="shared" si="13"/>
        <v>NA</v>
      </c>
      <c r="R163" t="str">
        <f>IF(ISERROR(MATCH(P163&amp;"."&amp;Q163,R$5:R162,0)),P163&amp;"."&amp;Q163,P163&amp;"."&amp;Q163&amp;COUNTIFS(P$5:P162,P163,Q$5:Q162,Q163))</f>
        <v>501.NA2</v>
      </c>
      <c r="S163" s="55">
        <f t="shared" si="14"/>
        <v>0</v>
      </c>
      <c r="W163" s="53">
        <v>557</v>
      </c>
      <c r="X163" s="54">
        <f t="shared" si="10"/>
        <v>19233463.323220633</v>
      </c>
      <c r="Y163" s="54" t="e">
        <f>SUMIFS(FuncStudy!$G$93:$G$2216,FuncStudy!$AI$93:$AI$2216,$W163,FuncStudy!$AJ$93:$AJ$2216,"&lt;&gt;"&amp;"NA")</f>
        <v>#VALUE!</v>
      </c>
      <c r="Z163" s="55" t="e">
        <f t="shared" si="11"/>
        <v>#VALUE!</v>
      </c>
    </row>
    <row r="164" spans="1:26">
      <c r="A164" s="5">
        <v>229</v>
      </c>
      <c r="B164" s="59" t="s">
        <v>105</v>
      </c>
      <c r="C164" s="60" t="s">
        <v>2</v>
      </c>
      <c r="D164" s="63" t="s">
        <v>180</v>
      </c>
      <c r="E164" s="63"/>
      <c r="F164" s="60"/>
      <c r="G164" s="61"/>
      <c r="H164" s="62"/>
      <c r="I164" s="65"/>
      <c r="J164" s="65"/>
      <c r="K164" s="62"/>
      <c r="L164" s="65"/>
      <c r="M164" s="65"/>
      <c r="N164" s="64"/>
      <c r="P164" t="str">
        <f t="shared" si="12"/>
        <v>501NPC</v>
      </c>
      <c r="Q164" t="str">
        <f t="shared" si="13"/>
        <v>NA</v>
      </c>
      <c r="R164" t="str">
        <f>IF(ISERROR(MATCH(P164&amp;"."&amp;Q164,R$5:R163,0)),P164&amp;"."&amp;Q164,P164&amp;"."&amp;Q164&amp;COUNTIFS(P$5:P163,P164,Q$5:Q163,Q164))</f>
        <v>501NPC.NA</v>
      </c>
      <c r="S164" s="55">
        <f t="shared" si="14"/>
        <v>0</v>
      </c>
      <c r="W164" s="53">
        <v>560</v>
      </c>
      <c r="X164" s="54">
        <f t="shared" si="10"/>
        <v>3537076.347775266</v>
      </c>
      <c r="Y164" s="54" t="e">
        <f>SUMIFS(FuncStudy!$G$93:$G$2216,FuncStudy!$AI$93:$AI$2216,$W164,FuncStudy!$AJ$93:$AJ$2216,"&lt;&gt;"&amp;"NA")</f>
        <v>#VALUE!</v>
      </c>
      <c r="Z164" s="55" t="e">
        <f t="shared" si="11"/>
        <v>#VALUE!</v>
      </c>
    </row>
    <row r="165" spans="1:26">
      <c r="A165" s="5">
        <v>230</v>
      </c>
      <c r="B165" s="59" t="s">
        <v>105</v>
      </c>
      <c r="C165" s="60"/>
      <c r="D165" s="63"/>
      <c r="E165" s="63"/>
      <c r="F165" s="60" t="s">
        <v>13</v>
      </c>
      <c r="G165" s="61" t="s">
        <v>12</v>
      </c>
      <c r="H165" s="62"/>
      <c r="I165" s="65">
        <v>439816.87</v>
      </c>
      <c r="J165" s="65">
        <v>0</v>
      </c>
      <c r="K165" s="62"/>
      <c r="L165" s="65">
        <v>0</v>
      </c>
      <c r="M165" s="65">
        <v>0</v>
      </c>
      <c r="N165" s="64">
        <v>0</v>
      </c>
      <c r="P165" t="str">
        <f t="shared" si="12"/>
        <v>501NPC</v>
      </c>
      <c r="Q165" t="str">
        <f t="shared" si="13"/>
        <v>S</v>
      </c>
      <c r="R165" t="str">
        <f>IF(ISERROR(MATCH(P165&amp;"."&amp;Q165,R$5:R164,0)),P165&amp;"."&amp;Q165,P165&amp;"."&amp;Q165&amp;COUNTIFS(P$5:P164,P165,Q$5:Q164,Q165))</f>
        <v>501NPC.S</v>
      </c>
      <c r="S165" s="55">
        <f t="shared" si="14"/>
        <v>0</v>
      </c>
      <c r="W165" s="53">
        <v>561</v>
      </c>
      <c r="X165" s="54">
        <f t="shared" si="10"/>
        <v>9486325.9279093426</v>
      </c>
      <c r="Y165" s="54" t="e">
        <f>SUMIFS(FuncStudy!$G$93:$G$2216,FuncStudy!$AI$93:$AI$2216,$W165,FuncStudy!$AJ$93:$AJ$2216,"&lt;&gt;"&amp;"NA")</f>
        <v>#VALUE!</v>
      </c>
      <c r="Z165" s="55" t="e">
        <f t="shared" si="11"/>
        <v>#VALUE!</v>
      </c>
    </row>
    <row r="166" spans="1:26">
      <c r="A166" s="5">
        <v>231</v>
      </c>
      <c r="B166" s="59" t="s">
        <v>105</v>
      </c>
      <c r="C166" s="60"/>
      <c r="D166" s="63"/>
      <c r="E166" s="63"/>
      <c r="F166" s="60" t="s">
        <v>13</v>
      </c>
      <c r="G166" s="61" t="s">
        <v>16</v>
      </c>
      <c r="H166" s="62"/>
      <c r="I166" s="65">
        <v>673602867.62</v>
      </c>
      <c r="J166" s="65">
        <v>292048670.47833097</v>
      </c>
      <c r="K166" s="62"/>
      <c r="L166" s="65">
        <v>561117503.42712772</v>
      </c>
      <c r="M166" s="65">
        <v>317838223.10426086</v>
      </c>
      <c r="N166" s="64">
        <v>243279280.32286686</v>
      </c>
      <c r="P166" t="str">
        <f t="shared" si="12"/>
        <v>501NPC</v>
      </c>
      <c r="Q166" t="str">
        <f t="shared" si="13"/>
        <v>SE</v>
      </c>
      <c r="R166" t="str">
        <f>IF(ISERROR(MATCH(P166&amp;"."&amp;Q166,R$5:R165,0)),P166&amp;"."&amp;Q166,P166&amp;"."&amp;Q166&amp;COUNTIFS(P$5:P165,P166,Q$5:Q165,Q166))</f>
        <v>501NPC.SE</v>
      </c>
      <c r="S166" s="55">
        <f t="shared" si="14"/>
        <v>243279280.32286686</v>
      </c>
      <c r="W166" s="53">
        <v>562</v>
      </c>
      <c r="X166" s="54">
        <f t="shared" si="10"/>
        <v>1467788.5340357069</v>
      </c>
      <c r="Y166" s="54" t="e">
        <f>SUMIFS(FuncStudy!$G$93:$G$2216,FuncStudy!$AI$93:$AI$2216,$W166,FuncStudy!$AJ$93:$AJ$2216,"&lt;&gt;"&amp;"NA")</f>
        <v>#VALUE!</v>
      </c>
      <c r="Z166" s="55" t="e">
        <f t="shared" si="11"/>
        <v>#VALUE!</v>
      </c>
    </row>
    <row r="167" spans="1:26">
      <c r="A167" s="5">
        <v>232</v>
      </c>
      <c r="B167" s="59" t="s">
        <v>105</v>
      </c>
      <c r="C167" s="60"/>
      <c r="D167" s="63"/>
      <c r="E167" s="63"/>
      <c r="F167" s="60" t="s">
        <v>13</v>
      </c>
      <c r="G167" s="61" t="s">
        <v>16</v>
      </c>
      <c r="H167" s="62"/>
      <c r="I167" s="65">
        <v>0</v>
      </c>
      <c r="J167" s="65">
        <v>0</v>
      </c>
      <c r="K167" s="62"/>
      <c r="L167" s="65">
        <v>0</v>
      </c>
      <c r="M167" s="65">
        <v>0</v>
      </c>
      <c r="N167" s="64">
        <v>0</v>
      </c>
      <c r="P167" t="str">
        <f t="shared" si="12"/>
        <v>501NPC</v>
      </c>
      <c r="Q167" t="str">
        <f t="shared" si="13"/>
        <v>SE</v>
      </c>
      <c r="R167" t="str">
        <f>IF(ISERROR(MATCH(P167&amp;"."&amp;Q167,R$5:R166,0)),P167&amp;"."&amp;Q167,P167&amp;"."&amp;Q167&amp;COUNTIFS(P$5:P166,P167,Q$5:Q166,Q167))</f>
        <v>501NPC.SE1</v>
      </c>
      <c r="S167" s="55">
        <f t="shared" si="14"/>
        <v>0</v>
      </c>
      <c r="W167" s="53">
        <v>563</v>
      </c>
      <c r="X167" s="54">
        <f t="shared" si="10"/>
        <v>505142.32103497547</v>
      </c>
      <c r="Y167" s="54" t="e">
        <f>SUMIFS(FuncStudy!$G$93:$G$2216,FuncStudy!$AI$93:$AI$2216,$W167,FuncStudy!$AJ$93:$AJ$2216,"&lt;&gt;"&amp;"NA")</f>
        <v>#VALUE!</v>
      </c>
      <c r="Z167" s="55" t="e">
        <f t="shared" si="11"/>
        <v>#VALUE!</v>
      </c>
    </row>
    <row r="168" spans="1:26">
      <c r="A168" s="5">
        <v>233</v>
      </c>
      <c r="B168" s="59" t="s">
        <v>105</v>
      </c>
      <c r="C168" s="60"/>
      <c r="D168" s="63"/>
      <c r="E168" s="63"/>
      <c r="F168" s="60" t="s">
        <v>13</v>
      </c>
      <c r="G168" s="61" t="s">
        <v>16</v>
      </c>
      <c r="H168" s="62"/>
      <c r="I168" s="65">
        <v>0</v>
      </c>
      <c r="J168" s="65">
        <v>0</v>
      </c>
      <c r="K168" s="62"/>
      <c r="L168" s="65">
        <v>0</v>
      </c>
      <c r="M168" s="65">
        <v>0</v>
      </c>
      <c r="N168" s="64">
        <v>0</v>
      </c>
      <c r="P168" t="str">
        <f t="shared" si="12"/>
        <v>501NPC</v>
      </c>
      <c r="Q168" t="str">
        <f t="shared" si="13"/>
        <v>SE</v>
      </c>
      <c r="R168" t="str">
        <f>IF(ISERROR(MATCH(P168&amp;"."&amp;Q168,R$5:R167,0)),P168&amp;"."&amp;Q168,P168&amp;"."&amp;Q168&amp;COUNTIFS(P$5:P167,P168,Q$5:Q167,Q168))</f>
        <v>501NPC.SE2</v>
      </c>
      <c r="S168" s="55">
        <f t="shared" si="14"/>
        <v>0</v>
      </c>
      <c r="W168" s="53">
        <v>564</v>
      </c>
      <c r="X168" s="54">
        <f t="shared" si="10"/>
        <v>0</v>
      </c>
      <c r="Y168" s="54" t="e">
        <f>SUMIFS(FuncStudy!$G$93:$G$2216,FuncStudy!$AI$93:$AI$2216,$W168,FuncStudy!$AJ$93:$AJ$2216,"&lt;&gt;"&amp;"NA")</f>
        <v>#VALUE!</v>
      </c>
      <c r="Z168" s="55" t="e">
        <f t="shared" si="11"/>
        <v>#VALUE!</v>
      </c>
    </row>
    <row r="169" spans="1:26">
      <c r="A169" s="5">
        <v>234</v>
      </c>
      <c r="B169" s="59" t="s">
        <v>105</v>
      </c>
      <c r="C169" s="60"/>
      <c r="D169" s="63"/>
      <c r="E169" s="63"/>
      <c r="F169" s="63" t="s">
        <v>13</v>
      </c>
      <c r="G169" s="63" t="s">
        <v>16</v>
      </c>
      <c r="H169" s="62"/>
      <c r="I169" s="66">
        <v>38598189.189999998</v>
      </c>
      <c r="J169" s="66">
        <v>16734711.768136023</v>
      </c>
      <c r="K169" s="62"/>
      <c r="L169" s="66">
        <v>38598189.189999998</v>
      </c>
      <c r="M169" s="66">
        <v>21863477.421863973</v>
      </c>
      <c r="N169" s="66">
        <v>16734711.768136023</v>
      </c>
      <c r="P169" t="str">
        <f t="shared" si="12"/>
        <v>501NPC</v>
      </c>
      <c r="Q169" t="str">
        <f t="shared" si="13"/>
        <v>SE</v>
      </c>
      <c r="R169" t="str">
        <f>IF(ISERROR(MATCH(P169&amp;"."&amp;Q169,R$5:R168,0)),P169&amp;"."&amp;Q169,P169&amp;"."&amp;Q169&amp;COUNTIFS(P$5:P168,P169,Q$5:Q168,Q169))</f>
        <v>501NPC.SE3</v>
      </c>
      <c r="S169" s="55">
        <f t="shared" si="14"/>
        <v>16734711.768136023</v>
      </c>
      <c r="W169" s="53">
        <v>565</v>
      </c>
      <c r="X169" s="54">
        <f t="shared" si="10"/>
        <v>0</v>
      </c>
      <c r="Y169" s="54">
        <f>SUMIFS(FuncStudy!$G$93:$G$2216,FuncStudy!$AI$93:$AI$2216,$W169,FuncStudy!$AJ$93:$AJ$2216,"&lt;&gt;"&amp;"NA")</f>
        <v>0</v>
      </c>
      <c r="Z169" s="55">
        <f t="shared" si="11"/>
        <v>0</v>
      </c>
    </row>
    <row r="170" spans="1:26">
      <c r="A170" s="5">
        <v>235</v>
      </c>
      <c r="B170" s="59" t="s">
        <v>105</v>
      </c>
      <c r="C170" s="60"/>
      <c r="D170" s="63"/>
      <c r="E170" s="63"/>
      <c r="F170" s="63"/>
      <c r="G170" s="63"/>
      <c r="H170" s="62" t="s">
        <v>178</v>
      </c>
      <c r="I170" s="65">
        <v>712640873.68000007</v>
      </c>
      <c r="J170" s="65">
        <v>308783382.24646699</v>
      </c>
      <c r="K170" s="62"/>
      <c r="L170" s="65">
        <v>599715692.61712766</v>
      </c>
      <c r="M170" s="65">
        <v>339701700.52612484</v>
      </c>
      <c r="N170" s="65">
        <v>260013992.09100288</v>
      </c>
      <c r="P170" t="str">
        <f t="shared" si="12"/>
        <v>501NPC</v>
      </c>
      <c r="Q170" t="str">
        <f t="shared" si="13"/>
        <v>NA</v>
      </c>
      <c r="R170" t="str">
        <f>IF(ISERROR(MATCH(P170&amp;"."&amp;Q170,R$5:R169,0)),P170&amp;"."&amp;Q170,P170&amp;"."&amp;Q170&amp;COUNTIFS(P$5:P169,P170,Q$5:Q169,Q170))</f>
        <v>501NPC.NA1</v>
      </c>
      <c r="S170" s="55">
        <f t="shared" si="14"/>
        <v>260013992.09100288</v>
      </c>
      <c r="W170" s="53">
        <v>566</v>
      </c>
      <c r="X170" s="54">
        <f t="shared" si="10"/>
        <v>1337506.7808581977</v>
      </c>
      <c r="Y170" s="54" t="e">
        <f>SUMIFS(FuncStudy!$G$93:$G$2216,FuncStudy!$AI$93:$AI$2216,$W170,FuncStudy!$AJ$93:$AJ$2216,"&lt;&gt;"&amp;"NA")</f>
        <v>#VALUE!</v>
      </c>
      <c r="Z170" s="55" t="e">
        <f t="shared" si="11"/>
        <v>#VALUE!</v>
      </c>
    </row>
    <row r="171" spans="1:26" hidden="1">
      <c r="A171" s="5">
        <v>236</v>
      </c>
      <c r="B171" s="59"/>
      <c r="C171" s="60"/>
      <c r="D171" s="61"/>
      <c r="E171" s="63"/>
      <c r="F171" s="63"/>
      <c r="G171" s="63"/>
      <c r="H171" s="62"/>
      <c r="I171" s="66"/>
      <c r="J171" s="66"/>
      <c r="K171" s="62"/>
      <c r="L171" s="66"/>
      <c r="M171" s="66"/>
      <c r="N171" s="66"/>
      <c r="P171" t="str">
        <f t="shared" si="12"/>
        <v>501NPC</v>
      </c>
      <c r="Q171" t="str">
        <f t="shared" si="13"/>
        <v>NA</v>
      </c>
      <c r="R171" t="str">
        <f>IF(ISERROR(MATCH(P171&amp;"."&amp;Q171,R$5:R170,0)),P171&amp;"."&amp;Q171,P171&amp;"."&amp;Q171&amp;COUNTIFS(P$5:P170,P171,Q$5:Q170,Q171))</f>
        <v>501NPC.NA2</v>
      </c>
      <c r="S171" s="55">
        <f t="shared" si="14"/>
        <v>0</v>
      </c>
      <c r="W171" s="53">
        <v>567</v>
      </c>
      <c r="X171" s="54">
        <f t="shared" si="10"/>
        <v>1003804.0341276462</v>
      </c>
      <c r="Y171" s="54" t="e">
        <f>SUMIFS(FuncStudy!$G$93:$G$2216,FuncStudy!$AI$93:$AI$2216,$W171,FuncStudy!$AJ$93:$AJ$2216,"&lt;&gt;"&amp;"NA")</f>
        <v>#VALUE!</v>
      </c>
      <c r="Z171" s="55" t="e">
        <f t="shared" si="11"/>
        <v>#VALUE!</v>
      </c>
    </row>
    <row r="172" spans="1:26" hidden="1">
      <c r="A172" s="5">
        <v>237</v>
      </c>
      <c r="B172" s="59"/>
      <c r="C172" s="60"/>
      <c r="D172" s="63" t="s">
        <v>181</v>
      </c>
      <c r="E172" s="63"/>
      <c r="F172" s="63"/>
      <c r="G172" s="63"/>
      <c r="H172" s="62" t="s">
        <v>178</v>
      </c>
      <c r="I172" s="65">
        <v>734773394.92000008</v>
      </c>
      <c r="J172" s="65">
        <v>316632709.51371998</v>
      </c>
      <c r="K172" s="62"/>
      <c r="L172" s="65">
        <v>622483187.33248091</v>
      </c>
      <c r="M172" s="65">
        <v>354382418.1713832</v>
      </c>
      <c r="N172" s="65">
        <v>268100769.16109759</v>
      </c>
      <c r="P172" t="str">
        <f t="shared" si="12"/>
        <v>501NPC</v>
      </c>
      <c r="Q172" t="str">
        <f t="shared" si="13"/>
        <v>NA</v>
      </c>
      <c r="R172" t="str">
        <f>IF(ISERROR(MATCH(P172&amp;"."&amp;Q172,R$5:R171,0)),P172&amp;"."&amp;Q172,P172&amp;"."&amp;Q172&amp;COUNTIFS(P$5:P171,P172,Q$5:Q171,Q172))</f>
        <v>501NPC.NA3</v>
      </c>
      <c r="S172" s="55">
        <f t="shared" si="14"/>
        <v>268100769.16109759</v>
      </c>
      <c r="W172" s="53">
        <v>568</v>
      </c>
      <c r="X172" s="54">
        <f t="shared" si="10"/>
        <v>623702.49414208345</v>
      </c>
      <c r="Y172" s="54" t="e">
        <f>SUMIFS(FuncStudy!$G$93:$G$2216,FuncStudy!$AI$93:$AI$2216,$W172,FuncStudy!$AJ$93:$AJ$2216,"&lt;&gt;"&amp;"NA")</f>
        <v>#VALUE!</v>
      </c>
      <c r="Z172" s="55" t="e">
        <f t="shared" si="11"/>
        <v>#VALUE!</v>
      </c>
    </row>
    <row r="173" spans="1:26" hidden="1">
      <c r="A173" s="5">
        <v>238</v>
      </c>
      <c r="B173" s="59"/>
      <c r="C173" s="60"/>
      <c r="D173" s="61"/>
      <c r="E173" s="63"/>
      <c r="F173" s="63"/>
      <c r="G173" s="63"/>
      <c r="H173" s="62"/>
      <c r="I173" s="65"/>
      <c r="J173" s="65"/>
      <c r="K173" s="62"/>
      <c r="L173" s="65"/>
      <c r="M173" s="65"/>
      <c r="N173" s="65"/>
      <c r="P173" t="str">
        <f t="shared" si="12"/>
        <v>501NPC</v>
      </c>
      <c r="Q173" t="str">
        <f t="shared" si="13"/>
        <v>NA</v>
      </c>
      <c r="R173" t="str">
        <f>IF(ISERROR(MATCH(P173&amp;"."&amp;Q173,R$5:R172,0)),P173&amp;"."&amp;Q173,P173&amp;"."&amp;Q173&amp;COUNTIFS(P$5:P172,P173,Q$5:Q172,Q173))</f>
        <v>501NPC.NA4</v>
      </c>
      <c r="S173" s="55">
        <f t="shared" si="14"/>
        <v>0</v>
      </c>
      <c r="W173" s="53">
        <v>569</v>
      </c>
      <c r="X173" s="54">
        <f t="shared" si="10"/>
        <v>2704792.9847365902</v>
      </c>
      <c r="Y173" s="54" t="e">
        <f>SUMIFS(FuncStudy!$G$93:$G$2216,FuncStudy!$AI$93:$AI$2216,$W173,FuncStudy!$AJ$93:$AJ$2216,"&lt;&gt;"&amp;"NA")</f>
        <v>#VALUE!</v>
      </c>
      <c r="Z173" s="55" t="e">
        <f t="shared" si="11"/>
        <v>#VALUE!</v>
      </c>
    </row>
    <row r="174" spans="1:26" hidden="1">
      <c r="A174" s="5">
        <v>239</v>
      </c>
      <c r="B174" s="59"/>
      <c r="C174" s="60">
        <v>502</v>
      </c>
      <c r="D174" s="63" t="s">
        <v>182</v>
      </c>
      <c r="E174" s="63"/>
      <c r="F174" s="60"/>
      <c r="G174" s="61"/>
      <c r="H174" s="62"/>
      <c r="I174" s="65"/>
      <c r="J174" s="65"/>
      <c r="K174" s="62"/>
      <c r="L174" s="65"/>
      <c r="M174" s="65"/>
      <c r="N174" s="64"/>
      <c r="P174">
        <f t="shared" si="12"/>
        <v>502</v>
      </c>
      <c r="Q174" t="str">
        <f t="shared" si="13"/>
        <v>NA</v>
      </c>
      <c r="R174" t="str">
        <f>IF(ISERROR(MATCH(P174&amp;"."&amp;Q174,R$5:R173,0)),P174&amp;"."&amp;Q174,P174&amp;"."&amp;Q174&amp;COUNTIFS(P$5:P173,P174,Q$5:Q173,Q174))</f>
        <v>502.NA</v>
      </c>
      <c r="S174" s="55">
        <f t="shared" si="14"/>
        <v>0</v>
      </c>
      <c r="W174" s="53">
        <v>570</v>
      </c>
      <c r="X174" s="54">
        <f t="shared" si="10"/>
        <v>5541223.1905785929</v>
      </c>
      <c r="Y174" s="54" t="e">
        <f>SUMIFS(FuncStudy!$G$93:$G$2216,FuncStudy!$AI$93:$AI$2216,$W174,FuncStudy!$AJ$93:$AJ$2216,"&lt;&gt;"&amp;"NA")</f>
        <v>#VALUE!</v>
      </c>
      <c r="Z174" s="55" t="e">
        <f t="shared" si="11"/>
        <v>#VALUE!</v>
      </c>
    </row>
    <row r="175" spans="1:26" hidden="1">
      <c r="A175" s="5">
        <v>240</v>
      </c>
      <c r="B175" s="59"/>
      <c r="C175" s="60"/>
      <c r="D175" s="63"/>
      <c r="E175" s="63"/>
      <c r="F175" s="60" t="s">
        <v>13</v>
      </c>
      <c r="G175" s="61" t="s">
        <v>15</v>
      </c>
      <c r="H175" s="62"/>
      <c r="I175" s="65">
        <v>74134628.489999995</v>
      </c>
      <c r="J175" s="65">
        <v>32617381.785253994</v>
      </c>
      <c r="K175" s="62"/>
      <c r="L175" s="65">
        <v>76139122.062607542</v>
      </c>
      <c r="M175" s="65">
        <v>42639813.255184039</v>
      </c>
      <c r="N175" s="64">
        <v>33499308.807423498</v>
      </c>
      <c r="P175">
        <f t="shared" si="12"/>
        <v>502</v>
      </c>
      <c r="Q175" t="str">
        <f t="shared" si="13"/>
        <v>SG</v>
      </c>
      <c r="R175" t="str">
        <f>IF(ISERROR(MATCH(P175&amp;"."&amp;Q175,R$5:R174,0)),P175&amp;"."&amp;Q175,P175&amp;"."&amp;Q175&amp;COUNTIFS(P$5:P174,P175,Q$5:Q174,Q175))</f>
        <v>502.SG</v>
      </c>
      <c r="S175" s="55">
        <f t="shared" si="14"/>
        <v>33499308.807423498</v>
      </c>
      <c r="W175" s="53">
        <v>571</v>
      </c>
      <c r="X175" s="54">
        <f t="shared" si="10"/>
        <v>7393465.0071550207</v>
      </c>
      <c r="Y175" s="54" t="e">
        <f>SUMIFS(FuncStudy!$G$93:$G$2216,FuncStudy!$AI$93:$AI$2216,$W175,FuncStudy!$AJ$93:$AJ$2216,"&lt;&gt;"&amp;"NA")</f>
        <v>#VALUE!</v>
      </c>
      <c r="Z175" s="55" t="e">
        <f t="shared" si="11"/>
        <v>#VALUE!</v>
      </c>
    </row>
    <row r="176" spans="1:26" hidden="1">
      <c r="A176" s="5">
        <v>241</v>
      </c>
      <c r="B176" s="59"/>
      <c r="C176" s="60"/>
      <c r="D176" s="63"/>
      <c r="E176" s="63"/>
      <c r="F176" s="63" t="s">
        <v>13</v>
      </c>
      <c r="G176" s="63" t="s">
        <v>15</v>
      </c>
      <c r="H176" s="62"/>
      <c r="I176" s="66">
        <v>6114696.6500000004</v>
      </c>
      <c r="J176" s="66">
        <v>2690313.5443778043</v>
      </c>
      <c r="K176" s="62"/>
      <c r="L176" s="66">
        <v>7438412.4834332792</v>
      </c>
      <c r="M176" s="66">
        <v>4165697.089964089</v>
      </c>
      <c r="N176" s="66">
        <v>3272715.3934691902</v>
      </c>
      <c r="P176">
        <f t="shared" si="12"/>
        <v>502</v>
      </c>
      <c r="Q176" t="str">
        <f t="shared" si="13"/>
        <v>SG</v>
      </c>
      <c r="R176" t="str">
        <f>IF(ISERROR(MATCH(P176&amp;"."&amp;Q176,R$5:R175,0)),P176&amp;"."&amp;Q176,P176&amp;"."&amp;Q176&amp;COUNTIFS(P$5:P175,P176,Q$5:Q175,Q176))</f>
        <v>502.SG1</v>
      </c>
      <c r="S176" s="55">
        <f t="shared" si="14"/>
        <v>3272715.3934691902</v>
      </c>
      <c r="W176" s="53">
        <v>572</v>
      </c>
      <c r="X176" s="54">
        <f t="shared" si="10"/>
        <v>26707.835519230008</v>
      </c>
      <c r="Y176" s="54" t="e">
        <f>SUMIFS(FuncStudy!$G$93:$G$2216,FuncStudy!$AI$93:$AI$2216,$W176,FuncStudy!$AJ$93:$AJ$2216,"&lt;&gt;"&amp;"NA")</f>
        <v>#VALUE!</v>
      </c>
      <c r="Z176" s="55" t="e">
        <f t="shared" si="11"/>
        <v>#VALUE!</v>
      </c>
    </row>
    <row r="177" spans="1:26" hidden="1">
      <c r="A177" s="5">
        <v>242</v>
      </c>
      <c r="B177" s="59"/>
      <c r="C177" s="60"/>
      <c r="D177" s="63"/>
      <c r="E177" s="63"/>
      <c r="F177" s="63" t="s">
        <v>13</v>
      </c>
      <c r="G177" s="63" t="s">
        <v>15</v>
      </c>
      <c r="H177" s="62"/>
      <c r="I177" s="77">
        <v>0</v>
      </c>
      <c r="J177" s="77">
        <v>0</v>
      </c>
      <c r="K177" s="62"/>
      <c r="L177" s="77">
        <v>0</v>
      </c>
      <c r="M177" s="77">
        <v>0</v>
      </c>
      <c r="N177" s="77">
        <v>0</v>
      </c>
      <c r="P177">
        <f t="shared" si="12"/>
        <v>502</v>
      </c>
      <c r="Q177" t="str">
        <f t="shared" si="13"/>
        <v>SG</v>
      </c>
      <c r="R177" t="str">
        <f>IF(ISERROR(MATCH(P177&amp;"."&amp;Q177,R$5:R176,0)),P177&amp;"."&amp;Q177,P177&amp;"."&amp;Q177&amp;COUNTIFS(P$5:P176,P177,Q$5:Q176,Q177))</f>
        <v>502.SG2</v>
      </c>
      <c r="S177" s="55">
        <f t="shared" si="14"/>
        <v>0</v>
      </c>
      <c r="W177" s="53">
        <v>573</v>
      </c>
      <c r="X177" s="54">
        <f t="shared" si="10"/>
        <v>68435.480662651244</v>
      </c>
      <c r="Y177" s="54" t="e">
        <f>SUMIFS(FuncStudy!$G$93:$G$2216,FuncStudy!$AI$93:$AI$2216,$W177,FuncStudy!$AJ$93:$AJ$2216,"&lt;&gt;"&amp;"NA")</f>
        <v>#VALUE!</v>
      </c>
      <c r="Z177" s="55" t="e">
        <f t="shared" si="11"/>
        <v>#VALUE!</v>
      </c>
    </row>
    <row r="178" spans="1:26" hidden="1">
      <c r="A178" s="5">
        <v>243</v>
      </c>
      <c r="B178" s="59"/>
      <c r="C178" s="60"/>
      <c r="D178" s="61"/>
      <c r="E178" s="63"/>
      <c r="F178" s="63"/>
      <c r="G178" s="63"/>
      <c r="H178" s="62" t="s">
        <v>178</v>
      </c>
      <c r="I178" s="77">
        <v>80249325.140000001</v>
      </c>
      <c r="J178" s="77">
        <v>35307695.329631798</v>
      </c>
      <c r="K178" s="62"/>
      <c r="L178" s="77">
        <v>83577534.546040818</v>
      </c>
      <c r="M178" s="77">
        <v>46805510.345148131</v>
      </c>
      <c r="N178" s="77">
        <v>36772024.200892687</v>
      </c>
      <c r="P178">
        <f t="shared" si="12"/>
        <v>502</v>
      </c>
      <c r="Q178" t="str">
        <f t="shared" si="13"/>
        <v>NA</v>
      </c>
      <c r="R178" t="str">
        <f>IF(ISERROR(MATCH(P178&amp;"."&amp;Q178,R$5:R177,0)),P178&amp;"."&amp;Q178,P178&amp;"."&amp;Q178&amp;COUNTIFS(P$5:P177,P178,Q$5:Q177,Q178))</f>
        <v>502.NA1</v>
      </c>
      <c r="S178" s="55">
        <f t="shared" si="14"/>
        <v>36772024.200892687</v>
      </c>
      <c r="W178" s="53">
        <v>580</v>
      </c>
      <c r="X178" s="54">
        <f t="shared" si="10"/>
        <v>4833245.5066604838</v>
      </c>
      <c r="Y178" s="54" t="e">
        <f>SUMIFS(FuncStudy!$G$93:$G$2216,FuncStudy!$AI$93:$AI$2216,$W178,FuncStudy!$AJ$93:$AJ$2216,"&lt;&gt;"&amp;"NA")</f>
        <v>#VALUE!</v>
      </c>
      <c r="Z178" s="55" t="e">
        <f t="shared" si="11"/>
        <v>#VALUE!</v>
      </c>
    </row>
    <row r="179" spans="1:26" hidden="1">
      <c r="A179" s="5">
        <v>244</v>
      </c>
      <c r="B179" s="59"/>
      <c r="C179" s="60"/>
      <c r="D179" s="63"/>
      <c r="E179" s="63"/>
      <c r="F179" s="60"/>
      <c r="G179" s="61"/>
      <c r="H179" s="62"/>
      <c r="I179" s="65"/>
      <c r="J179" s="65"/>
      <c r="K179" s="62"/>
      <c r="L179" s="65"/>
      <c r="M179" s="65"/>
      <c r="N179" s="64"/>
      <c r="P179">
        <f t="shared" si="12"/>
        <v>502</v>
      </c>
      <c r="Q179" t="str">
        <f t="shared" si="13"/>
        <v>NA</v>
      </c>
      <c r="R179" t="str">
        <f>IF(ISERROR(MATCH(P179&amp;"."&amp;Q179,R$5:R178,0)),P179&amp;"."&amp;Q179,P179&amp;"."&amp;Q179&amp;COUNTIFS(P$5:P178,P179,Q$5:Q178,Q179))</f>
        <v>502.NA2</v>
      </c>
      <c r="S179" s="55">
        <f t="shared" si="14"/>
        <v>0</v>
      </c>
      <c r="W179" s="53">
        <v>581</v>
      </c>
      <c r="X179" s="54">
        <f t="shared" si="10"/>
        <v>6510079.0401218943</v>
      </c>
      <c r="Y179" s="54" t="e">
        <f>SUMIFS(FuncStudy!$G$93:$G$2216,FuncStudy!$AI$93:$AI$2216,$W179,FuncStudy!$AJ$93:$AJ$2216,"&lt;&gt;"&amp;"NA")</f>
        <v>#VALUE!</v>
      </c>
      <c r="Z179" s="55" t="e">
        <f t="shared" si="11"/>
        <v>#VALUE!</v>
      </c>
    </row>
    <row r="180" spans="1:26" hidden="1">
      <c r="A180" s="5">
        <v>245</v>
      </c>
      <c r="B180" s="59"/>
      <c r="C180" s="60">
        <v>503</v>
      </c>
      <c r="D180" s="63" t="s">
        <v>183</v>
      </c>
      <c r="E180" s="63"/>
      <c r="F180" s="63"/>
      <c r="G180" s="63"/>
      <c r="H180" s="62"/>
      <c r="I180" s="66"/>
      <c r="J180" s="66"/>
      <c r="K180" s="62"/>
      <c r="L180" s="66"/>
      <c r="M180" s="66"/>
      <c r="N180" s="66"/>
      <c r="P180">
        <f t="shared" si="12"/>
        <v>503</v>
      </c>
      <c r="Q180" t="str">
        <f t="shared" si="13"/>
        <v>NA</v>
      </c>
      <c r="R180" t="str">
        <f>IF(ISERROR(MATCH(P180&amp;"."&amp;Q180,R$5:R179,0)),P180&amp;"."&amp;Q180,P180&amp;"."&amp;Q180&amp;COUNTIFS(P$5:P179,P180,Q$5:Q179,Q180))</f>
        <v>503.NA</v>
      </c>
      <c r="S180" s="55">
        <f t="shared" si="14"/>
        <v>0</v>
      </c>
      <c r="W180" s="53">
        <v>582</v>
      </c>
      <c r="X180" s="54">
        <f t="shared" si="10"/>
        <v>2290376.0066818227</v>
      </c>
      <c r="Y180" s="54" t="e">
        <f>SUMIFS(FuncStudy!$G$93:$G$2216,FuncStudy!$AI$93:$AI$2216,$W180,FuncStudy!$AJ$93:$AJ$2216,"&lt;&gt;"&amp;"NA")</f>
        <v>#VALUE!</v>
      </c>
      <c r="Z180" s="55" t="e">
        <f t="shared" si="11"/>
        <v>#VALUE!</v>
      </c>
    </row>
    <row r="181" spans="1:26" hidden="1">
      <c r="A181" s="5">
        <v>246</v>
      </c>
      <c r="B181" s="59"/>
      <c r="C181" s="60"/>
      <c r="D181" s="63"/>
      <c r="E181" s="63"/>
      <c r="F181" s="63" t="s">
        <v>13</v>
      </c>
      <c r="G181" s="63" t="s">
        <v>16</v>
      </c>
      <c r="H181" s="62"/>
      <c r="I181" s="65">
        <v>0</v>
      </c>
      <c r="J181" s="65">
        <v>0</v>
      </c>
      <c r="K181" s="62"/>
      <c r="L181" s="65">
        <v>9381.8953413288218</v>
      </c>
      <c r="M181" s="65">
        <v>5314.2611421412521</v>
      </c>
      <c r="N181" s="65">
        <v>4067.6341991875697</v>
      </c>
      <c r="P181">
        <f t="shared" si="12"/>
        <v>503</v>
      </c>
      <c r="Q181" t="str">
        <f t="shared" si="13"/>
        <v>SE</v>
      </c>
      <c r="R181" t="str">
        <f>IF(ISERROR(MATCH(P181&amp;"."&amp;Q181,R$5:R180,0)),P181&amp;"."&amp;Q181,P181&amp;"."&amp;Q181&amp;COUNTIFS(P$5:P180,P181,Q$5:Q180,Q181))</f>
        <v>503.SE</v>
      </c>
      <c r="S181" s="55">
        <f t="shared" si="14"/>
        <v>4067.6341991875697</v>
      </c>
      <c r="W181" s="53">
        <v>583</v>
      </c>
      <c r="X181" s="54">
        <f t="shared" si="10"/>
        <v>7094163.6887947004</v>
      </c>
      <c r="Y181" s="54" t="e">
        <f>SUMIFS(FuncStudy!$G$93:$G$2216,FuncStudy!$AI$93:$AI$2216,$W181,FuncStudy!$AJ$93:$AJ$2216,"&lt;&gt;"&amp;"NA")</f>
        <v>#VALUE!</v>
      </c>
      <c r="Z181" s="55" t="e">
        <f t="shared" si="11"/>
        <v>#VALUE!</v>
      </c>
    </row>
    <row r="182" spans="1:26" hidden="1">
      <c r="A182" s="5">
        <v>247</v>
      </c>
      <c r="B182" s="59"/>
      <c r="C182" s="60"/>
      <c r="D182" s="61"/>
      <c r="E182" s="63"/>
      <c r="F182" s="63"/>
      <c r="G182" s="63"/>
      <c r="H182" s="62" t="s">
        <v>178</v>
      </c>
      <c r="I182" s="65">
        <v>0</v>
      </c>
      <c r="J182" s="65">
        <v>0</v>
      </c>
      <c r="K182" s="62"/>
      <c r="L182" s="65">
        <v>9381.8953413288218</v>
      </c>
      <c r="M182" s="65">
        <v>5314.2611421412521</v>
      </c>
      <c r="N182" s="65">
        <v>4067.6341991875697</v>
      </c>
      <c r="P182">
        <f t="shared" si="12"/>
        <v>503</v>
      </c>
      <c r="Q182" t="str">
        <f t="shared" si="13"/>
        <v>NA</v>
      </c>
      <c r="R182" t="str">
        <f>IF(ISERROR(MATCH(P182&amp;"."&amp;Q182,R$5:R181,0)),P182&amp;"."&amp;Q182,P182&amp;"."&amp;Q182&amp;COUNTIFS(P$5:P181,P182,Q$5:Q181,Q182))</f>
        <v>503.NA1</v>
      </c>
      <c r="S182" s="55">
        <f t="shared" si="14"/>
        <v>4067.6341991875697</v>
      </c>
      <c r="W182" s="53">
        <v>584</v>
      </c>
      <c r="X182" s="54">
        <f t="shared" si="10"/>
        <v>133.01885371544495</v>
      </c>
      <c r="Y182" s="54" t="e">
        <f>SUMIFS(FuncStudy!$G$93:$G$2216,FuncStudy!$AI$93:$AI$2216,$W182,FuncStudy!$AJ$93:$AJ$2216,"&lt;&gt;"&amp;"NA")</f>
        <v>#VALUE!</v>
      </c>
      <c r="Z182" s="55" t="e">
        <f t="shared" si="11"/>
        <v>#VALUE!</v>
      </c>
    </row>
    <row r="183" spans="1:26" hidden="1">
      <c r="A183" s="5">
        <v>248</v>
      </c>
      <c r="B183" s="59"/>
      <c r="C183" s="60"/>
      <c r="D183" s="63"/>
      <c r="E183" s="63"/>
      <c r="F183" s="60"/>
      <c r="G183" s="61"/>
      <c r="H183" s="62"/>
      <c r="I183" s="65"/>
      <c r="J183" s="65"/>
      <c r="K183" s="62"/>
      <c r="L183" s="65"/>
      <c r="M183" s="65"/>
      <c r="N183" s="64"/>
      <c r="P183">
        <f t="shared" si="12"/>
        <v>503</v>
      </c>
      <c r="Q183" t="str">
        <f t="shared" si="13"/>
        <v>NA</v>
      </c>
      <c r="R183" t="str">
        <f>IF(ISERROR(MATCH(P183&amp;"."&amp;Q183,R$5:R182,0)),P183&amp;"."&amp;Q183,P183&amp;"."&amp;Q183&amp;COUNTIFS(P$5:P182,P183,Q$5:Q182,Q183))</f>
        <v>503.NA2</v>
      </c>
      <c r="S183" s="55">
        <f t="shared" si="14"/>
        <v>0</v>
      </c>
      <c r="W183" s="53">
        <v>585</v>
      </c>
      <c r="X183" s="54">
        <f t="shared" si="10"/>
        <v>119335.88279137958</v>
      </c>
      <c r="Y183" s="54" t="e">
        <f>SUMIFS(FuncStudy!$G$93:$G$2216,FuncStudy!$AI$93:$AI$2216,$W183,FuncStudy!$AJ$93:$AJ$2216,"&lt;&gt;"&amp;"NA")</f>
        <v>#VALUE!</v>
      </c>
      <c r="Z183" s="55" t="e">
        <f t="shared" si="11"/>
        <v>#VALUE!</v>
      </c>
    </row>
    <row r="184" spans="1:26">
      <c r="A184" s="5">
        <v>249</v>
      </c>
      <c r="B184" s="59" t="s">
        <v>105</v>
      </c>
      <c r="C184" s="60" t="s">
        <v>4</v>
      </c>
      <c r="D184" s="63" t="s">
        <v>184</v>
      </c>
      <c r="E184" s="63"/>
      <c r="F184" s="63"/>
      <c r="G184" s="63"/>
      <c r="H184" s="62"/>
      <c r="I184" s="66"/>
      <c r="J184" s="66"/>
      <c r="K184" s="62"/>
      <c r="L184" s="66"/>
      <c r="M184" s="66"/>
      <c r="N184" s="66"/>
      <c r="P184" t="str">
        <f t="shared" si="12"/>
        <v>503NPC</v>
      </c>
      <c r="Q184" t="str">
        <f t="shared" si="13"/>
        <v>NA</v>
      </c>
      <c r="R184" t="str">
        <f>IF(ISERROR(MATCH(P184&amp;"."&amp;Q184,R$5:R183,0)),P184&amp;"."&amp;Q184,P184&amp;"."&amp;Q184&amp;COUNTIFS(P$5:P183,P184,Q$5:Q183,Q184))</f>
        <v>503NPC.NA</v>
      </c>
      <c r="S184" s="55">
        <f t="shared" si="14"/>
        <v>0</v>
      </c>
      <c r="W184" s="53">
        <v>586</v>
      </c>
      <c r="X184" s="54">
        <f t="shared" si="10"/>
        <v>883665.92949886736</v>
      </c>
      <c r="Y184" s="54" t="e">
        <f>SUMIFS(FuncStudy!$G$93:$G$2216,FuncStudy!$AI$93:$AI$2216,$W184,FuncStudy!$AJ$93:$AJ$2216,"&lt;&gt;"&amp;"NA")</f>
        <v>#VALUE!</v>
      </c>
      <c r="Z184" s="55" t="e">
        <f t="shared" si="11"/>
        <v>#VALUE!</v>
      </c>
    </row>
    <row r="185" spans="1:26">
      <c r="A185" s="5">
        <v>250</v>
      </c>
      <c r="B185" s="59" t="s">
        <v>105</v>
      </c>
      <c r="C185" s="60"/>
      <c r="D185" s="63"/>
      <c r="E185" s="63"/>
      <c r="F185" s="63" t="s">
        <v>13</v>
      </c>
      <c r="G185" s="63" t="s">
        <v>16</v>
      </c>
      <c r="H185" s="62"/>
      <c r="I185" s="65">
        <v>4836772.13</v>
      </c>
      <c r="J185" s="65">
        <v>2097041.0576844821</v>
      </c>
      <c r="K185" s="62"/>
      <c r="L185" s="65">
        <v>4497519.96</v>
      </c>
      <c r="M185" s="65">
        <v>2547565.7838714942</v>
      </c>
      <c r="N185" s="65">
        <v>1949954.176128506</v>
      </c>
      <c r="P185" t="str">
        <f t="shared" si="12"/>
        <v>503NPC</v>
      </c>
      <c r="Q185" t="str">
        <f t="shared" si="13"/>
        <v>SE</v>
      </c>
      <c r="R185" t="str">
        <f>IF(ISERROR(MATCH(P185&amp;"."&amp;Q185,R$5:R184,0)),P185&amp;"."&amp;Q185,P185&amp;"."&amp;Q185&amp;COUNTIFS(P$5:P184,P185,Q$5:Q184,Q185))</f>
        <v>503NPC.SE</v>
      </c>
      <c r="S185" s="55">
        <f t="shared" si="14"/>
        <v>1949954.176128506</v>
      </c>
      <c r="W185" s="53">
        <v>587</v>
      </c>
      <c r="X185" s="54">
        <f t="shared" si="10"/>
        <v>6014811.7596941069</v>
      </c>
      <c r="Y185" s="54" t="e">
        <f>SUMIFS(FuncStudy!$G$93:$G$2216,FuncStudy!$AI$93:$AI$2216,$W185,FuncStudy!$AJ$93:$AJ$2216,"&lt;&gt;"&amp;"NA")</f>
        <v>#VALUE!</v>
      </c>
      <c r="Z185" s="55" t="e">
        <f t="shared" si="11"/>
        <v>#VALUE!</v>
      </c>
    </row>
    <row r="186" spans="1:26" hidden="1">
      <c r="A186" s="5">
        <v>251</v>
      </c>
      <c r="B186" s="59"/>
      <c r="C186" s="60"/>
      <c r="D186" s="61"/>
      <c r="E186" s="63"/>
      <c r="F186" s="63"/>
      <c r="G186" s="63"/>
      <c r="H186" s="62" t="s">
        <v>178</v>
      </c>
      <c r="I186" s="65">
        <v>4836772.13</v>
      </c>
      <c r="J186" s="65">
        <v>2097041.0576844821</v>
      </c>
      <c r="K186" s="62"/>
      <c r="L186" s="65">
        <v>4497519.96</v>
      </c>
      <c r="M186" s="65">
        <v>2547565.7838714942</v>
      </c>
      <c r="N186" s="65">
        <v>1949954.176128506</v>
      </c>
      <c r="P186" t="str">
        <f t="shared" si="12"/>
        <v>503NPC</v>
      </c>
      <c r="Q186" t="str">
        <f t="shared" si="13"/>
        <v>NA</v>
      </c>
      <c r="R186" t="str">
        <f>IF(ISERROR(MATCH(P186&amp;"."&amp;Q186,R$5:R185,0)),P186&amp;"."&amp;Q186,P186&amp;"."&amp;Q186&amp;COUNTIFS(P$5:P185,P186,Q$5:Q185,Q186))</f>
        <v>503NPC.NA1</v>
      </c>
      <c r="S186" s="55">
        <f t="shared" si="14"/>
        <v>1949954.176128506</v>
      </c>
      <c r="W186" s="53">
        <v>588</v>
      </c>
      <c r="X186" s="54">
        <f t="shared" si="10"/>
        <v>474985.1508656459</v>
      </c>
      <c r="Y186" s="54" t="e">
        <f>SUMIFS(FuncStudy!$G$93:$G$2216,FuncStudy!$AI$93:$AI$2216,$W186,FuncStudy!$AJ$93:$AJ$2216,"&lt;&gt;"&amp;"NA")</f>
        <v>#VALUE!</v>
      </c>
      <c r="Z186" s="55" t="e">
        <f t="shared" si="11"/>
        <v>#VALUE!</v>
      </c>
    </row>
    <row r="187" spans="1:26" hidden="1">
      <c r="A187" s="5">
        <v>252</v>
      </c>
      <c r="B187" s="59"/>
      <c r="C187" s="60"/>
      <c r="D187" s="63"/>
      <c r="E187" s="63"/>
      <c r="F187" s="60"/>
      <c r="G187" s="61"/>
      <c r="H187" s="62"/>
      <c r="I187" s="65"/>
      <c r="J187" s="65"/>
      <c r="K187" s="62"/>
      <c r="L187" s="65"/>
      <c r="M187" s="65"/>
      <c r="N187" s="64"/>
      <c r="P187" t="str">
        <f t="shared" si="12"/>
        <v>503NPC</v>
      </c>
      <c r="Q187" t="str">
        <f t="shared" si="13"/>
        <v>NA</v>
      </c>
      <c r="R187" t="str">
        <f>IF(ISERROR(MATCH(P187&amp;"."&amp;Q187,R$5:R186,0)),P187&amp;"."&amp;Q187,P187&amp;"."&amp;Q187&amp;COUNTIFS(P$5:P186,P187,Q$5:Q186,Q187))</f>
        <v>503NPC.NA2</v>
      </c>
      <c r="S187" s="55">
        <f t="shared" si="14"/>
        <v>0</v>
      </c>
      <c r="W187" s="53">
        <v>589</v>
      </c>
      <c r="X187" s="54">
        <f t="shared" si="10"/>
        <v>512048.80697719072</v>
      </c>
      <c r="Y187" s="54" t="e">
        <f>SUMIFS(FuncStudy!$G$93:$G$2216,FuncStudy!$AI$93:$AI$2216,$W187,FuncStudy!$AJ$93:$AJ$2216,"&lt;&gt;"&amp;"NA")</f>
        <v>#VALUE!</v>
      </c>
      <c r="Z187" s="55" t="e">
        <f t="shared" si="11"/>
        <v>#VALUE!</v>
      </c>
    </row>
    <row r="188" spans="1:26" hidden="1">
      <c r="A188" s="5">
        <v>253</v>
      </c>
      <c r="B188" s="59"/>
      <c r="C188" s="60">
        <v>505</v>
      </c>
      <c r="D188" s="63" t="s">
        <v>185</v>
      </c>
      <c r="E188" s="63"/>
      <c r="F188" s="60"/>
      <c r="G188" s="61"/>
      <c r="H188" s="62"/>
      <c r="I188" s="65"/>
      <c r="J188" s="65"/>
      <c r="K188" s="62"/>
      <c r="L188" s="65"/>
      <c r="M188" s="65"/>
      <c r="N188" s="64"/>
      <c r="P188">
        <f t="shared" si="12"/>
        <v>505</v>
      </c>
      <c r="Q188" t="str">
        <f t="shared" si="13"/>
        <v>NA</v>
      </c>
      <c r="R188" t="str">
        <f>IF(ISERROR(MATCH(P188&amp;"."&amp;Q188,R$5:R187,0)),P188&amp;"."&amp;Q188,P188&amp;"."&amp;Q188&amp;COUNTIFS(P$5:P187,P188,Q$5:Q187,Q188))</f>
        <v>505.NA</v>
      </c>
      <c r="S188" s="55">
        <f t="shared" si="14"/>
        <v>0</v>
      </c>
      <c r="W188" s="53">
        <v>590</v>
      </c>
      <c r="X188" s="54">
        <f t="shared" si="10"/>
        <v>3157613.2421960211</v>
      </c>
      <c r="Y188" s="54" t="e">
        <f>SUMIFS(FuncStudy!$G$93:$G$2216,FuncStudy!$AI$93:$AI$2216,$W188,FuncStudy!$AJ$93:$AJ$2216,"&lt;&gt;"&amp;"NA")</f>
        <v>#VALUE!</v>
      </c>
      <c r="Z188" s="55" t="e">
        <f t="shared" si="11"/>
        <v>#VALUE!</v>
      </c>
    </row>
    <row r="189" spans="1:26" hidden="1">
      <c r="A189" s="5">
        <v>254</v>
      </c>
      <c r="B189" s="59"/>
      <c r="C189" s="60"/>
      <c r="D189" s="63"/>
      <c r="E189" s="63"/>
      <c r="F189" s="63" t="s">
        <v>13</v>
      </c>
      <c r="G189" s="63" t="s">
        <v>15</v>
      </c>
      <c r="H189" s="62"/>
      <c r="I189" s="66">
        <v>1223111.21</v>
      </c>
      <c r="J189" s="66">
        <v>538138.33177535061</v>
      </c>
      <c r="K189" s="62"/>
      <c r="L189" s="66">
        <v>1249691.1664275269</v>
      </c>
      <c r="M189" s="66">
        <v>699858.31881941669</v>
      </c>
      <c r="N189" s="66">
        <v>549832.84760811017</v>
      </c>
      <c r="P189">
        <f t="shared" si="12"/>
        <v>505</v>
      </c>
      <c r="Q189" t="str">
        <f t="shared" si="13"/>
        <v>SG</v>
      </c>
      <c r="R189" t="str">
        <f>IF(ISERROR(MATCH(P189&amp;"."&amp;Q189,R$5:R188,0)),P189&amp;"."&amp;Q189,P189&amp;"."&amp;Q189&amp;COUNTIFS(P$5:P188,P189,Q$5:Q188,Q189))</f>
        <v>505.SG</v>
      </c>
      <c r="S189" s="55">
        <f t="shared" si="14"/>
        <v>549832.84760811017</v>
      </c>
      <c r="W189" s="53">
        <v>591</v>
      </c>
      <c r="X189" s="54">
        <f t="shared" si="10"/>
        <v>1080112.2654146499</v>
      </c>
      <c r="Y189" s="54" t="e">
        <f>SUMIFS(FuncStudy!$G$93:$G$2216,FuncStudy!$AI$93:$AI$2216,$W189,FuncStudy!$AJ$93:$AJ$2216,"&lt;&gt;"&amp;"NA")</f>
        <v>#VALUE!</v>
      </c>
      <c r="Z189" s="55" t="e">
        <f t="shared" si="11"/>
        <v>#VALUE!</v>
      </c>
    </row>
    <row r="190" spans="1:26" hidden="1">
      <c r="A190" s="5">
        <v>255</v>
      </c>
      <c r="B190" s="59"/>
      <c r="C190" s="60"/>
      <c r="D190" s="63"/>
      <c r="E190" s="63"/>
      <c r="F190" s="63" t="s">
        <v>13</v>
      </c>
      <c r="G190" s="63" t="s">
        <v>15</v>
      </c>
      <c r="H190" s="62"/>
      <c r="I190" s="65">
        <v>309410.95</v>
      </c>
      <c r="J190" s="65">
        <v>136133.07694729281</v>
      </c>
      <c r="K190" s="62"/>
      <c r="L190" s="65">
        <v>316116.60820141918</v>
      </c>
      <c r="M190" s="65">
        <v>177033.20941220046</v>
      </c>
      <c r="N190" s="65">
        <v>139083.39878921871</v>
      </c>
      <c r="P190">
        <f t="shared" si="12"/>
        <v>505</v>
      </c>
      <c r="Q190" t="str">
        <f t="shared" si="13"/>
        <v>SG</v>
      </c>
      <c r="R190" t="str">
        <f>IF(ISERROR(MATCH(P190&amp;"."&amp;Q190,R$5:R189,0)),P190&amp;"."&amp;Q190,P190&amp;"."&amp;Q190&amp;COUNTIFS(P$5:P189,P190,Q$5:Q189,Q190))</f>
        <v>505.SG1</v>
      </c>
      <c r="S190" s="55">
        <f t="shared" si="14"/>
        <v>139083.39878921871</v>
      </c>
      <c r="W190" s="53">
        <v>592</v>
      </c>
      <c r="X190" s="54">
        <f t="shared" si="10"/>
        <v>4237884.6132811271</v>
      </c>
      <c r="Y190" s="54" t="e">
        <f>SUMIFS(FuncStudy!$G$93:$G$2216,FuncStudy!$AI$93:$AI$2216,$W190,FuncStudy!$AJ$93:$AJ$2216,"&lt;&gt;"&amp;"NA")</f>
        <v>#VALUE!</v>
      </c>
      <c r="Z190" s="55" t="e">
        <f t="shared" si="11"/>
        <v>#VALUE!</v>
      </c>
    </row>
    <row r="191" spans="1:26" hidden="1">
      <c r="A191" s="5">
        <v>256</v>
      </c>
      <c r="B191" s="59"/>
      <c r="C191" s="60"/>
      <c r="D191" s="61"/>
      <c r="E191" s="63"/>
      <c r="F191" s="63" t="s">
        <v>13</v>
      </c>
      <c r="G191" s="63" t="s">
        <v>15</v>
      </c>
      <c r="H191" s="62"/>
      <c r="I191" s="65">
        <v>0</v>
      </c>
      <c r="J191" s="83">
        <v>0</v>
      </c>
      <c r="K191" s="62"/>
      <c r="L191" s="65">
        <v>0</v>
      </c>
      <c r="M191" s="65">
        <v>0</v>
      </c>
      <c r="N191" s="83">
        <v>0</v>
      </c>
      <c r="P191">
        <f t="shared" si="12"/>
        <v>505</v>
      </c>
      <c r="Q191" t="str">
        <f t="shared" si="13"/>
        <v>SG</v>
      </c>
      <c r="R191" t="str">
        <f>IF(ISERROR(MATCH(P191&amp;"."&amp;Q191,R$5:R190,0)),P191&amp;"."&amp;Q191,P191&amp;"."&amp;Q191&amp;COUNTIFS(P$5:P190,P191,Q$5:Q190,Q191))</f>
        <v>505.SG2</v>
      </c>
      <c r="S191" s="55">
        <f t="shared" si="14"/>
        <v>0</v>
      </c>
      <c r="W191" s="53">
        <v>593</v>
      </c>
      <c r="X191" s="54">
        <f t="shared" si="10"/>
        <v>33718329.774317324</v>
      </c>
      <c r="Y191" s="54" t="e">
        <f>SUMIFS(FuncStudy!$G$93:$G$2216,FuncStudy!$AI$93:$AI$2216,$W191,FuncStudy!$AJ$93:$AJ$2216,"&lt;&gt;"&amp;"NA")</f>
        <v>#VALUE!</v>
      </c>
      <c r="Z191" s="55" t="e">
        <f t="shared" si="11"/>
        <v>#VALUE!</v>
      </c>
    </row>
    <row r="192" spans="1:26" hidden="1">
      <c r="A192" s="5">
        <v>257</v>
      </c>
      <c r="B192" s="59"/>
      <c r="C192" s="60"/>
      <c r="D192" s="63"/>
      <c r="E192" s="63"/>
      <c r="F192" s="60"/>
      <c r="G192" s="61"/>
      <c r="H192" s="62" t="s">
        <v>178</v>
      </c>
      <c r="I192" s="65">
        <v>1532522.16</v>
      </c>
      <c r="J192" s="65">
        <v>674271.40872264339</v>
      </c>
      <c r="K192" s="62"/>
      <c r="L192" s="65">
        <v>1565807.7746289461</v>
      </c>
      <c r="M192" s="65">
        <v>876891.52823161718</v>
      </c>
      <c r="N192" s="64">
        <v>688916.24639732891</v>
      </c>
      <c r="P192">
        <f t="shared" si="12"/>
        <v>505</v>
      </c>
      <c r="Q192" t="str">
        <f t="shared" si="13"/>
        <v>NA</v>
      </c>
      <c r="R192" t="str">
        <f>IF(ISERROR(MATCH(P192&amp;"."&amp;Q192,R$5:R191,0)),P192&amp;"."&amp;Q192,P192&amp;"."&amp;Q192&amp;COUNTIFS(P$5:P191,P192,Q$5:Q191,Q192))</f>
        <v>505.NA1</v>
      </c>
      <c r="S192" s="55">
        <f t="shared" si="14"/>
        <v>688916.24639732891</v>
      </c>
      <c r="W192" s="53">
        <v>594</v>
      </c>
      <c r="X192" s="54">
        <f t="shared" si="10"/>
        <v>16741360.722096134</v>
      </c>
      <c r="Y192" s="54" t="e">
        <f>SUMIFS(FuncStudy!$G$93:$G$2216,FuncStudy!$AI$93:$AI$2216,$W192,FuncStudy!$AJ$93:$AJ$2216,"&lt;&gt;"&amp;"NA")</f>
        <v>#VALUE!</v>
      </c>
      <c r="Z192" s="55" t="e">
        <f t="shared" si="11"/>
        <v>#VALUE!</v>
      </c>
    </row>
    <row r="193" spans="1:26" hidden="1">
      <c r="A193" s="5">
        <v>258</v>
      </c>
      <c r="B193" s="59"/>
      <c r="C193" s="60"/>
      <c r="D193" s="63"/>
      <c r="E193" s="63"/>
      <c r="F193" s="60"/>
      <c r="G193" s="61"/>
      <c r="H193" s="62"/>
      <c r="I193" s="65"/>
      <c r="J193" s="65"/>
      <c r="K193" s="62"/>
      <c r="L193" s="65"/>
      <c r="M193" s="65"/>
      <c r="N193" s="64"/>
      <c r="P193">
        <f t="shared" si="12"/>
        <v>505</v>
      </c>
      <c r="Q193" t="str">
        <f t="shared" si="13"/>
        <v>NA</v>
      </c>
      <c r="R193" t="str">
        <f>IF(ISERROR(MATCH(P193&amp;"."&amp;Q193,R$5:R192,0)),P193&amp;"."&amp;Q193,P193&amp;"."&amp;Q193&amp;COUNTIFS(P$5:P192,P193,Q$5:Q192,Q193))</f>
        <v>505.NA2</v>
      </c>
      <c r="S193" s="55">
        <f t="shared" si="14"/>
        <v>0</v>
      </c>
      <c r="W193" s="53">
        <v>595</v>
      </c>
      <c r="X193" s="54">
        <f t="shared" si="10"/>
        <v>529384.40563672804</v>
      </c>
      <c r="Y193" s="54" t="e">
        <f>SUMIFS(FuncStudy!$G$93:$G$2216,FuncStudy!$AI$93:$AI$2216,$W193,FuncStudy!$AJ$93:$AJ$2216,"&lt;&gt;"&amp;"NA")</f>
        <v>#VALUE!</v>
      </c>
      <c r="Z193" s="55" t="e">
        <f t="shared" si="11"/>
        <v>#VALUE!</v>
      </c>
    </row>
    <row r="194" spans="1:26" hidden="1">
      <c r="A194" s="5">
        <v>259</v>
      </c>
      <c r="B194" s="59"/>
      <c r="C194" s="60">
        <v>506</v>
      </c>
      <c r="D194" s="63" t="s">
        <v>186</v>
      </c>
      <c r="E194" s="63"/>
      <c r="F194" s="60"/>
      <c r="G194" s="61"/>
      <c r="H194" s="62"/>
      <c r="I194" s="65"/>
      <c r="J194" s="65" t="s">
        <v>141</v>
      </c>
      <c r="K194" s="62"/>
      <c r="L194" s="65"/>
      <c r="M194" s="65"/>
      <c r="N194" s="64" t="s">
        <v>141</v>
      </c>
      <c r="P194">
        <f t="shared" si="12"/>
        <v>506</v>
      </c>
      <c r="Q194" t="str">
        <f t="shared" si="13"/>
        <v>NA</v>
      </c>
      <c r="R194" t="str">
        <f>IF(ISERROR(MATCH(P194&amp;"."&amp;Q194,R$5:R193,0)),P194&amp;"."&amp;Q194,P194&amp;"."&amp;Q194&amp;COUNTIFS(P$5:P193,P194,Q$5:Q193,Q194))</f>
        <v>506.NA</v>
      </c>
      <c r="S194" s="55" t="str">
        <f t="shared" si="14"/>
        <v xml:space="preserve"> </v>
      </c>
      <c r="W194" s="53">
        <v>596</v>
      </c>
      <c r="X194" s="54">
        <f t="shared" si="10"/>
        <v>935755.71282365476</v>
      </c>
      <c r="Y194" s="54" t="e">
        <f>SUMIFS(FuncStudy!$G$93:$G$2216,FuncStudy!$AI$93:$AI$2216,$W194,FuncStudy!$AJ$93:$AJ$2216,"&lt;&gt;"&amp;"NA")</f>
        <v>#VALUE!</v>
      </c>
      <c r="Z194" s="55" t="e">
        <f t="shared" si="11"/>
        <v>#VALUE!</v>
      </c>
    </row>
    <row r="195" spans="1:26" hidden="1">
      <c r="A195" s="5">
        <v>260</v>
      </c>
      <c r="B195" s="59"/>
      <c r="C195" s="60"/>
      <c r="D195" s="63"/>
      <c r="E195" s="63"/>
      <c r="F195" s="63" t="s">
        <v>13</v>
      </c>
      <c r="G195" s="63" t="s">
        <v>12</v>
      </c>
      <c r="H195" s="62"/>
      <c r="I195" s="66">
        <v>0</v>
      </c>
      <c r="J195" s="66">
        <v>0</v>
      </c>
      <c r="K195" s="62"/>
      <c r="L195" s="66">
        <v>0</v>
      </c>
      <c r="M195" s="66">
        <v>0</v>
      </c>
      <c r="N195" s="66">
        <v>0</v>
      </c>
      <c r="P195">
        <f t="shared" si="12"/>
        <v>506</v>
      </c>
      <c r="Q195" t="str">
        <f t="shared" si="13"/>
        <v>S</v>
      </c>
      <c r="R195" t="str">
        <f>IF(ISERROR(MATCH(P195&amp;"."&amp;Q195,R$5:R194,0)),P195&amp;"."&amp;Q195,P195&amp;"."&amp;Q195&amp;COUNTIFS(P$5:P194,P195,Q$5:Q194,Q195))</f>
        <v>506.S</v>
      </c>
      <c r="S195" s="55">
        <f t="shared" si="14"/>
        <v>0</v>
      </c>
      <c r="W195" s="53">
        <v>597</v>
      </c>
      <c r="X195" s="54">
        <f t="shared" ref="X195:X238" si="15">SUMIFS(JAMValue,$P$6:$P$2441,$W195,$Q$6:$Q$2441,"&lt;&gt;"&amp;"NA")</f>
        <v>205700.51371649699</v>
      </c>
      <c r="Y195" s="54" t="e">
        <f>SUMIFS(FuncStudy!$G$93:$G$2216,FuncStudy!$AI$93:$AI$2216,$W195,FuncStudy!$AJ$93:$AJ$2216,"&lt;&gt;"&amp;"NA")</f>
        <v>#VALUE!</v>
      </c>
      <c r="Z195" s="55" t="e">
        <f t="shared" si="11"/>
        <v>#VALUE!</v>
      </c>
    </row>
    <row r="196" spans="1:26" hidden="1">
      <c r="A196" s="5">
        <v>261</v>
      </c>
      <c r="B196" s="59"/>
      <c r="C196" s="60"/>
      <c r="D196" s="63"/>
      <c r="E196" s="63"/>
      <c r="F196" s="63" t="s">
        <v>13</v>
      </c>
      <c r="G196" s="63" t="s">
        <v>15</v>
      </c>
      <c r="H196" s="62"/>
      <c r="I196" s="65">
        <v>24989869.460000001</v>
      </c>
      <c r="J196" s="65">
        <v>10994917.34892053</v>
      </c>
      <c r="K196" s="62"/>
      <c r="L196" s="65">
        <v>28147836.141767908</v>
      </c>
      <c r="M196" s="65">
        <v>15763492.461018793</v>
      </c>
      <c r="N196" s="65">
        <v>12384343.680749115</v>
      </c>
      <c r="P196">
        <f t="shared" si="12"/>
        <v>506</v>
      </c>
      <c r="Q196" t="str">
        <f t="shared" si="13"/>
        <v>SG</v>
      </c>
      <c r="R196" t="str">
        <f>IF(ISERROR(MATCH(P196&amp;"."&amp;Q196,R$5:R195,0)),P196&amp;"."&amp;Q196,P196&amp;"."&amp;Q196&amp;COUNTIFS(P$5:P195,P196,Q$5:Q195,Q196))</f>
        <v>506.SG</v>
      </c>
      <c r="S196" s="55">
        <f t="shared" si="14"/>
        <v>12384343.680749115</v>
      </c>
      <c r="W196" s="53">
        <v>598</v>
      </c>
      <c r="X196" s="54">
        <f t="shared" si="15"/>
        <v>2894581.1219900511</v>
      </c>
      <c r="Y196" s="54" t="e">
        <f>SUMIFS(FuncStudy!$G$93:$G$2216,FuncStudy!$AI$93:$AI$2216,$W196,FuncStudy!$AJ$93:$AJ$2216,"&lt;&gt;"&amp;"NA")</f>
        <v>#VALUE!</v>
      </c>
      <c r="Z196" s="55" t="e">
        <f t="shared" ref="Z196:Z259" si="16">X196-Y196</f>
        <v>#VALUE!</v>
      </c>
    </row>
    <row r="197" spans="1:26" hidden="1">
      <c r="A197" s="5">
        <v>262</v>
      </c>
      <c r="B197" s="59"/>
      <c r="C197" s="60"/>
      <c r="D197" s="61"/>
      <c r="E197" s="63"/>
      <c r="F197" s="63" t="s">
        <v>13</v>
      </c>
      <c r="G197" s="63" t="s">
        <v>15</v>
      </c>
      <c r="H197" s="62"/>
      <c r="I197" s="65">
        <v>0</v>
      </c>
      <c r="J197" s="65">
        <v>0</v>
      </c>
      <c r="K197" s="62"/>
      <c r="L197" s="65">
        <v>-24353505.847024951</v>
      </c>
      <c r="M197" s="65">
        <v>-13638572.566837573</v>
      </c>
      <c r="N197" s="65">
        <v>-10714933.280187378</v>
      </c>
      <c r="P197">
        <f t="shared" si="12"/>
        <v>506</v>
      </c>
      <c r="Q197" t="str">
        <f t="shared" si="13"/>
        <v>SG</v>
      </c>
      <c r="R197" t="str">
        <f>IF(ISERROR(MATCH(P197&amp;"."&amp;Q197,R$5:R196,0)),P197&amp;"."&amp;Q197,P197&amp;"."&amp;Q197&amp;COUNTIFS(P$5:P196,P197,Q$5:Q196,Q197))</f>
        <v>506.SG1</v>
      </c>
      <c r="S197" s="55">
        <f t="shared" si="14"/>
        <v>-10714933.280187378</v>
      </c>
      <c r="W197" s="53">
        <v>901</v>
      </c>
      <c r="X197" s="54">
        <f t="shared" si="15"/>
        <v>1184751.1541556783</v>
      </c>
      <c r="Y197" s="54" t="e">
        <f>SUMIFS(FuncStudy!$G$93:$G$2216,FuncStudy!$AI$93:$AI$2216,$W197,FuncStudy!$AJ$93:$AJ$2216,"&lt;&gt;"&amp;"NA")</f>
        <v>#VALUE!</v>
      </c>
      <c r="Z197" s="55" t="e">
        <f t="shared" si="16"/>
        <v>#VALUE!</v>
      </c>
    </row>
    <row r="198" spans="1:26" hidden="1">
      <c r="A198" s="5">
        <v>263</v>
      </c>
      <c r="B198" s="59"/>
      <c r="C198" s="60"/>
      <c r="D198" s="63"/>
      <c r="E198" s="63"/>
      <c r="F198" s="60" t="s">
        <v>13</v>
      </c>
      <c r="G198" s="61" t="s">
        <v>15</v>
      </c>
      <c r="H198" s="62"/>
      <c r="I198" s="65">
        <v>2052899.57</v>
      </c>
      <c r="J198" s="65">
        <v>903224.44996815501</v>
      </c>
      <c r="K198" s="62"/>
      <c r="L198" s="65">
        <v>2097390.7001240645</v>
      </c>
      <c r="M198" s="65">
        <v>1174591.266010548</v>
      </c>
      <c r="N198" s="64">
        <v>922799.43411351659</v>
      </c>
      <c r="P198">
        <f t="shared" si="12"/>
        <v>506</v>
      </c>
      <c r="Q198" t="str">
        <f t="shared" si="13"/>
        <v>SG</v>
      </c>
      <c r="R198" t="str">
        <f>IF(ISERROR(MATCH(P198&amp;"."&amp;Q198,R$5:R197,0)),P198&amp;"."&amp;Q198,P198&amp;"."&amp;Q198&amp;COUNTIFS(P$5:P197,P198,Q$5:Q197,Q198))</f>
        <v>506.SG2</v>
      </c>
      <c r="S198" s="55">
        <f t="shared" si="14"/>
        <v>922799.43411351659</v>
      </c>
      <c r="W198" s="53">
        <v>902</v>
      </c>
      <c r="X198" s="54">
        <f t="shared" si="15"/>
        <v>5473310.5605877526</v>
      </c>
      <c r="Y198" s="54" t="e">
        <f>SUMIFS(FuncStudy!$G$93:$G$2216,FuncStudy!$AI$93:$AI$2216,$W198,FuncStudy!$AJ$93:$AJ$2216,"&lt;&gt;"&amp;"NA")</f>
        <v>#VALUE!</v>
      </c>
      <c r="Z198" s="55" t="e">
        <f t="shared" si="16"/>
        <v>#VALUE!</v>
      </c>
    </row>
    <row r="199" spans="1:26" hidden="1">
      <c r="A199" s="5">
        <v>264</v>
      </c>
      <c r="B199" s="59"/>
      <c r="C199" s="60"/>
      <c r="D199" s="63"/>
      <c r="E199" s="63"/>
      <c r="F199" s="60"/>
      <c r="G199" s="61"/>
      <c r="H199" s="62" t="s">
        <v>178</v>
      </c>
      <c r="I199" s="65">
        <v>27042769.030000001</v>
      </c>
      <c r="J199" s="65">
        <v>11898141.798888685</v>
      </c>
      <c r="K199" s="62"/>
      <c r="L199" s="65">
        <v>5891720.9948670212</v>
      </c>
      <c r="M199" s="65">
        <v>3299511.1601917678</v>
      </c>
      <c r="N199" s="64">
        <v>2592209.8346752534</v>
      </c>
      <c r="P199">
        <f t="shared" ref="P199:P262" si="17">IF(OR(C199="",C199=" ",C199="  ",C199="   "),P198,C199)</f>
        <v>506</v>
      </c>
      <c r="Q199" t="str">
        <f t="shared" ref="Q199:Q262" si="18">IF(G199="","NA",G199)</f>
        <v>NA</v>
      </c>
      <c r="R199" t="str">
        <f>IF(ISERROR(MATCH(P199&amp;"."&amp;Q199,R$5:R198,0)),P199&amp;"."&amp;Q199,P199&amp;"."&amp;Q199&amp;COUNTIFS(P$5:P198,P199,Q$5:Q198,Q199))</f>
        <v>506.NA1</v>
      </c>
      <c r="S199" s="55">
        <f t="shared" si="14"/>
        <v>2592209.8346752534</v>
      </c>
      <c r="W199" s="53">
        <v>903</v>
      </c>
      <c r="X199" s="54">
        <f t="shared" si="15"/>
        <v>24270546.001370929</v>
      </c>
      <c r="Y199" s="54" t="e">
        <f>SUMIFS(FuncStudy!$G$93:$G$2216,FuncStudy!$AI$93:$AI$2216,$W199,FuncStudy!$AJ$93:$AJ$2216,"&lt;&gt;"&amp;"NA")</f>
        <v>#VALUE!</v>
      </c>
      <c r="Z199" s="55" t="e">
        <f t="shared" si="16"/>
        <v>#VALUE!</v>
      </c>
    </row>
    <row r="200" spans="1:26" hidden="1">
      <c r="A200" s="5">
        <v>265</v>
      </c>
      <c r="B200" s="59"/>
      <c r="C200" s="60"/>
      <c r="D200" s="63"/>
      <c r="E200" s="63"/>
      <c r="F200" s="63"/>
      <c r="G200" s="63"/>
      <c r="H200" s="62"/>
      <c r="I200" s="66"/>
      <c r="J200" s="66"/>
      <c r="K200" s="62"/>
      <c r="L200" s="66"/>
      <c r="M200" s="66"/>
      <c r="N200" s="66"/>
      <c r="P200">
        <f t="shared" si="17"/>
        <v>506</v>
      </c>
      <c r="Q200" t="str">
        <f t="shared" si="18"/>
        <v>NA</v>
      </c>
      <c r="R200" t="str">
        <f>IF(ISERROR(MATCH(P200&amp;"."&amp;Q200,R$5:R199,0)),P200&amp;"."&amp;Q200,P200&amp;"."&amp;Q200&amp;COUNTIFS(P$5:P199,P200,Q$5:Q199,Q200))</f>
        <v>506.NA2</v>
      </c>
      <c r="S200" s="55">
        <f t="shared" ref="S200:S263" si="19">N200</f>
        <v>0</v>
      </c>
      <c r="W200" s="53">
        <v>904</v>
      </c>
      <c r="X200" s="54">
        <f t="shared" si="15"/>
        <v>4499285.2130334424</v>
      </c>
      <c r="Y200" s="54" t="e">
        <f>SUMIFS(FuncStudy!$G$93:$G$2216,FuncStudy!$AI$93:$AI$2216,$W200,FuncStudy!$AJ$93:$AJ$2216,"&lt;&gt;"&amp;"NA")</f>
        <v>#VALUE!</v>
      </c>
      <c r="Z200" s="55" t="e">
        <f t="shared" si="16"/>
        <v>#VALUE!</v>
      </c>
    </row>
    <row r="201" spans="1:26" hidden="1">
      <c r="A201" s="5">
        <v>266</v>
      </c>
      <c r="B201" s="59"/>
      <c r="C201" s="60">
        <v>507</v>
      </c>
      <c r="D201" s="63" t="s">
        <v>187</v>
      </c>
      <c r="E201" s="63"/>
      <c r="F201" s="63"/>
      <c r="G201" s="63"/>
      <c r="H201" s="62"/>
      <c r="I201" s="65"/>
      <c r="J201" s="65"/>
      <c r="K201" s="62"/>
      <c r="L201" s="65"/>
      <c r="M201" s="65"/>
      <c r="N201" s="65"/>
      <c r="P201">
        <f t="shared" si="17"/>
        <v>507</v>
      </c>
      <c r="Q201" t="str">
        <f t="shared" si="18"/>
        <v>NA</v>
      </c>
      <c r="R201" t="str">
        <f>IF(ISERROR(MATCH(P201&amp;"."&amp;Q201,R$5:R200,0)),P201&amp;"."&amp;Q201,P201&amp;"."&amp;Q201&amp;COUNTIFS(P$5:P200,P201,Q$5:Q200,Q201))</f>
        <v>507.NA</v>
      </c>
      <c r="S201" s="55">
        <f t="shared" si="19"/>
        <v>0</v>
      </c>
      <c r="W201" s="53">
        <v>905</v>
      </c>
      <c r="X201" s="54">
        <f t="shared" si="15"/>
        <v>348877.10486967058</v>
      </c>
      <c r="Y201" s="54" t="e">
        <f>SUMIFS(FuncStudy!$G$93:$G$2216,FuncStudy!$AI$93:$AI$2216,$W201,FuncStudy!$AJ$93:$AJ$2216,"&lt;&gt;"&amp;"NA")</f>
        <v>#VALUE!</v>
      </c>
      <c r="Z201" s="55" t="e">
        <f t="shared" si="16"/>
        <v>#VALUE!</v>
      </c>
    </row>
    <row r="202" spans="1:26" hidden="1">
      <c r="A202" s="5">
        <v>267</v>
      </c>
      <c r="B202" s="59"/>
      <c r="C202" s="60"/>
      <c r="D202" s="61"/>
      <c r="E202" s="63"/>
      <c r="F202" s="63" t="s">
        <v>13</v>
      </c>
      <c r="G202" s="63" t="s">
        <v>15</v>
      </c>
      <c r="H202" s="62"/>
      <c r="I202" s="65">
        <v>492465.68</v>
      </c>
      <c r="J202" s="65">
        <v>216672.57836007702</v>
      </c>
      <c r="K202" s="62"/>
      <c r="L202" s="65">
        <v>503138.56189383561</v>
      </c>
      <c r="M202" s="65">
        <v>281770.18252185872</v>
      </c>
      <c r="N202" s="65">
        <v>221368.37937197686</v>
      </c>
      <c r="P202">
        <f t="shared" si="17"/>
        <v>507</v>
      </c>
      <c r="Q202" t="str">
        <f t="shared" si="18"/>
        <v>SG</v>
      </c>
      <c r="R202" t="str">
        <f>IF(ISERROR(MATCH(P202&amp;"."&amp;Q202,R$5:R201,0)),P202&amp;"."&amp;Q202,P202&amp;"."&amp;Q202&amp;COUNTIFS(P$5:P201,P202,Q$5:Q201,Q202))</f>
        <v>507.SG</v>
      </c>
      <c r="S202" s="55">
        <f t="shared" si="19"/>
        <v>221368.37937197686</v>
      </c>
      <c r="W202" s="53">
        <v>907</v>
      </c>
      <c r="X202" s="54">
        <f t="shared" si="15"/>
        <v>2935.2258426280159</v>
      </c>
      <c r="Y202" s="54" t="e">
        <f>SUMIFS(FuncStudy!$G$93:$G$2216,FuncStudy!$AI$93:$AI$2216,$W202,FuncStudy!$AJ$93:$AJ$2216,"&lt;&gt;"&amp;"NA")</f>
        <v>#VALUE!</v>
      </c>
      <c r="Z202" s="55" t="e">
        <f t="shared" si="16"/>
        <v>#VALUE!</v>
      </c>
    </row>
    <row r="203" spans="1:26" hidden="1">
      <c r="A203" s="5">
        <v>268</v>
      </c>
      <c r="B203" s="59"/>
      <c r="C203" s="60"/>
      <c r="D203" s="63"/>
      <c r="E203" s="63"/>
      <c r="F203" s="60" t="s">
        <v>13</v>
      </c>
      <c r="G203" s="61" t="s">
        <v>15</v>
      </c>
      <c r="H203" s="62"/>
      <c r="I203" s="65">
        <v>0</v>
      </c>
      <c r="J203" s="65">
        <v>0</v>
      </c>
      <c r="K203" s="62"/>
      <c r="L203" s="65">
        <v>0</v>
      </c>
      <c r="M203" s="65">
        <v>0</v>
      </c>
      <c r="N203" s="64">
        <v>0</v>
      </c>
      <c r="P203">
        <f t="shared" si="17"/>
        <v>507</v>
      </c>
      <c r="Q203" t="str">
        <f t="shared" si="18"/>
        <v>SG</v>
      </c>
      <c r="R203" t="str">
        <f>IF(ISERROR(MATCH(P203&amp;"."&amp;Q203,R$5:R202,0)),P203&amp;"."&amp;Q203,P203&amp;"."&amp;Q203&amp;COUNTIFS(P$5:P202,P203,Q$5:Q202,Q203))</f>
        <v>507.SG1</v>
      </c>
      <c r="S203" s="55">
        <f t="shared" si="19"/>
        <v>0</v>
      </c>
      <c r="W203" s="53">
        <v>908</v>
      </c>
      <c r="X203" s="54">
        <f t="shared" si="15"/>
        <v>4332476.3756950647</v>
      </c>
      <c r="Y203" s="54" t="e">
        <f>SUMIFS(FuncStudy!$G$93:$G$2216,FuncStudy!$AI$93:$AI$2216,$W203,FuncStudy!$AJ$93:$AJ$2216,"&lt;&gt;"&amp;"NA")</f>
        <v>#VALUE!</v>
      </c>
      <c r="Z203" s="55" t="e">
        <f t="shared" si="16"/>
        <v>#VALUE!</v>
      </c>
    </row>
    <row r="204" spans="1:26" hidden="1">
      <c r="A204" s="5">
        <v>269</v>
      </c>
      <c r="B204" s="59"/>
      <c r="C204" s="60"/>
      <c r="D204" s="63"/>
      <c r="E204" s="63"/>
      <c r="F204" s="60"/>
      <c r="G204" s="61"/>
      <c r="H204" s="62" t="s">
        <v>178</v>
      </c>
      <c r="I204" s="65">
        <v>492465.68</v>
      </c>
      <c r="J204" s="65">
        <v>216672.57836007702</v>
      </c>
      <c r="K204" s="62"/>
      <c r="L204" s="65">
        <v>503138.56189383561</v>
      </c>
      <c r="M204" s="65">
        <v>281770.18252185872</v>
      </c>
      <c r="N204" s="64">
        <v>221368.37937197686</v>
      </c>
      <c r="P204">
        <f t="shared" si="17"/>
        <v>507</v>
      </c>
      <c r="Q204" t="str">
        <f t="shared" si="18"/>
        <v>NA</v>
      </c>
      <c r="R204" t="str">
        <f>IF(ISERROR(MATCH(P204&amp;"."&amp;Q204,R$5:R203,0)),P204&amp;"."&amp;Q204,P204&amp;"."&amp;Q204&amp;COUNTIFS(P$5:P203,P204,Q$5:Q203,Q204))</f>
        <v>507.NA1</v>
      </c>
      <c r="S204" s="55">
        <f t="shared" si="19"/>
        <v>221368.37937197686</v>
      </c>
      <c r="W204" s="53">
        <v>909</v>
      </c>
      <c r="X204" s="54">
        <f t="shared" si="15"/>
        <v>2668427.4822033201</v>
      </c>
      <c r="Y204" s="54" t="e">
        <f>SUMIFS(FuncStudy!$G$93:$G$2216,FuncStudy!$AI$93:$AI$2216,$W204,FuncStudy!$AJ$93:$AJ$2216,"&lt;&gt;"&amp;"NA")</f>
        <v>#VALUE!</v>
      </c>
      <c r="Z204" s="55" t="e">
        <f t="shared" si="16"/>
        <v>#VALUE!</v>
      </c>
    </row>
    <row r="205" spans="1:26" hidden="1">
      <c r="A205" s="5">
        <v>270</v>
      </c>
      <c r="B205" s="59"/>
      <c r="C205" s="60"/>
      <c r="D205" s="63"/>
      <c r="E205" s="63"/>
      <c r="F205" s="63"/>
      <c r="G205" s="63"/>
      <c r="H205" s="62"/>
      <c r="I205" s="66"/>
      <c r="J205" s="66"/>
      <c r="K205" s="62"/>
      <c r="L205" s="66"/>
      <c r="M205" s="66"/>
      <c r="N205" s="66"/>
      <c r="P205">
        <f t="shared" si="17"/>
        <v>507</v>
      </c>
      <c r="Q205" t="str">
        <f t="shared" si="18"/>
        <v>NA</v>
      </c>
      <c r="R205" t="str">
        <f>IF(ISERROR(MATCH(P205&amp;"."&amp;Q205,R$5:R204,0)),P205&amp;"."&amp;Q205,P205&amp;"."&amp;Q205&amp;COUNTIFS(P$5:P204,P205,Q$5:Q204,Q205))</f>
        <v>507.NA2</v>
      </c>
      <c r="S205" s="55">
        <f t="shared" si="19"/>
        <v>0</v>
      </c>
      <c r="W205" s="53">
        <v>910</v>
      </c>
      <c r="X205" s="54">
        <f t="shared" si="15"/>
        <v>2335.8259316016965</v>
      </c>
      <c r="Y205" s="54" t="e">
        <f>SUMIFS(FuncStudy!$G$93:$G$2216,FuncStudy!$AI$93:$AI$2216,$W205,FuncStudy!$AJ$93:$AJ$2216,"&lt;&gt;"&amp;"NA")</f>
        <v>#VALUE!</v>
      </c>
      <c r="Z205" s="55" t="e">
        <f t="shared" si="16"/>
        <v>#VALUE!</v>
      </c>
    </row>
    <row r="206" spans="1:26" hidden="1">
      <c r="A206" s="5">
        <v>271</v>
      </c>
      <c r="B206" s="59"/>
      <c r="C206" s="60">
        <v>510</v>
      </c>
      <c r="D206" s="63" t="s">
        <v>188</v>
      </c>
      <c r="E206" s="63"/>
      <c r="F206" s="63"/>
      <c r="G206" s="63"/>
      <c r="H206" s="62"/>
      <c r="I206" s="69"/>
      <c r="J206" s="69"/>
      <c r="K206" s="62"/>
      <c r="L206" s="69"/>
      <c r="M206" s="65"/>
      <c r="N206" s="65"/>
      <c r="P206">
        <f t="shared" si="17"/>
        <v>510</v>
      </c>
      <c r="Q206" t="str">
        <f t="shared" si="18"/>
        <v>NA</v>
      </c>
      <c r="R206" t="str">
        <f>IF(ISERROR(MATCH(P206&amp;"."&amp;Q206,R$5:R205,0)),P206&amp;"."&amp;Q206,P206&amp;"."&amp;Q206&amp;COUNTIFS(P$5:P205,P206,Q$5:Q205,Q206))</f>
        <v>510.NA</v>
      </c>
      <c r="S206" s="55">
        <f t="shared" si="19"/>
        <v>0</v>
      </c>
      <c r="W206" s="53">
        <v>911</v>
      </c>
      <c r="X206" s="54">
        <f t="shared" si="15"/>
        <v>0</v>
      </c>
      <c r="Y206" s="54" t="e">
        <f>SUMIFS(FuncStudy!$G$93:$G$2216,FuncStudy!$AI$93:$AI$2216,$W206,FuncStudy!$AJ$93:$AJ$2216,"&lt;&gt;"&amp;"NA")</f>
        <v>#VALUE!</v>
      </c>
      <c r="Z206" s="55" t="e">
        <f t="shared" si="16"/>
        <v>#VALUE!</v>
      </c>
    </row>
    <row r="207" spans="1:26" hidden="1">
      <c r="A207" s="5">
        <v>272</v>
      </c>
      <c r="B207" s="59"/>
      <c r="C207" s="60"/>
      <c r="D207" s="63"/>
      <c r="E207" s="70"/>
      <c r="F207" s="63" t="s">
        <v>13</v>
      </c>
      <c r="G207" s="63" t="s">
        <v>15</v>
      </c>
      <c r="H207" s="62"/>
      <c r="I207" s="69">
        <v>4933804.6900000004</v>
      </c>
      <c r="J207" s="69">
        <v>2170750.6263326625</v>
      </c>
      <c r="K207" s="62"/>
      <c r="L207" s="69">
        <v>5241072.3760805577</v>
      </c>
      <c r="M207" s="69">
        <v>2935131.6553035285</v>
      </c>
      <c r="N207" s="69">
        <v>2305940.7207770292</v>
      </c>
      <c r="P207">
        <f t="shared" si="17"/>
        <v>510</v>
      </c>
      <c r="Q207" t="str">
        <f t="shared" si="18"/>
        <v>SG</v>
      </c>
      <c r="R207" t="str">
        <f>IF(ISERROR(MATCH(P207&amp;"."&amp;Q207,R$5:R206,0)),P207&amp;"."&amp;Q207,P207&amp;"."&amp;Q207&amp;COUNTIFS(P$5:P206,P207,Q$5:Q206,Q207))</f>
        <v>510.SG</v>
      </c>
      <c r="S207" s="55">
        <f t="shared" si="19"/>
        <v>2305940.7207770292</v>
      </c>
      <c r="W207" s="53">
        <v>912</v>
      </c>
      <c r="X207" s="54">
        <f t="shared" si="15"/>
        <v>0</v>
      </c>
      <c r="Y207" s="54" t="e">
        <f>SUMIFS(FuncStudy!$G$93:$G$2216,FuncStudy!$AI$93:$AI$2216,$W207,FuncStudy!$AJ$93:$AJ$2216,"&lt;&gt;"&amp;"NA")</f>
        <v>#VALUE!</v>
      </c>
      <c r="Z207" s="55" t="e">
        <f t="shared" si="16"/>
        <v>#VALUE!</v>
      </c>
    </row>
    <row r="208" spans="1:26" hidden="1">
      <c r="A208" s="5">
        <v>273</v>
      </c>
      <c r="B208" s="59"/>
      <c r="C208" s="71"/>
      <c r="D208" s="72"/>
      <c r="E208" s="73"/>
      <c r="F208" s="63" t="s">
        <v>13</v>
      </c>
      <c r="G208" s="61" t="s">
        <v>15</v>
      </c>
      <c r="H208" s="74"/>
      <c r="I208" s="75">
        <v>0</v>
      </c>
      <c r="J208" s="75">
        <v>0</v>
      </c>
      <c r="K208" s="62"/>
      <c r="L208" s="75">
        <v>0</v>
      </c>
      <c r="M208" s="75">
        <v>0</v>
      </c>
      <c r="N208" s="75">
        <v>0</v>
      </c>
      <c r="P208">
        <f t="shared" si="17"/>
        <v>510</v>
      </c>
      <c r="Q208" t="str">
        <f t="shared" si="18"/>
        <v>SG</v>
      </c>
      <c r="R208" t="str">
        <f>IF(ISERROR(MATCH(P208&amp;"."&amp;Q208,R$5:R207,0)),P208&amp;"."&amp;Q208,P208&amp;"."&amp;Q208&amp;COUNTIFS(P$5:P207,P208,Q$5:Q207,Q208))</f>
        <v>510.SG1</v>
      </c>
      <c r="S208" s="55">
        <f t="shared" si="19"/>
        <v>0</v>
      </c>
      <c r="W208" s="53">
        <v>913</v>
      </c>
      <c r="X208" s="54">
        <f t="shared" si="15"/>
        <v>0</v>
      </c>
      <c r="Y208" s="54" t="e">
        <f>SUMIFS(FuncStudy!$G$93:$G$2216,FuncStudy!$AI$93:$AI$2216,$W208,FuncStudy!$AJ$93:$AJ$2216,"&lt;&gt;"&amp;"NA")</f>
        <v>#VALUE!</v>
      </c>
      <c r="Z208" s="55" t="e">
        <f t="shared" si="16"/>
        <v>#VALUE!</v>
      </c>
    </row>
    <row r="209" spans="1:26" hidden="1">
      <c r="A209" s="5">
        <v>274</v>
      </c>
      <c r="B209" s="59"/>
      <c r="C209" s="60"/>
      <c r="D209" s="61"/>
      <c r="E209" s="63"/>
      <c r="F209" s="63" t="s">
        <v>13</v>
      </c>
      <c r="G209" s="63" t="s">
        <v>15</v>
      </c>
      <c r="H209" s="62"/>
      <c r="I209" s="65">
        <v>2359676.8199999998</v>
      </c>
      <c r="J209" s="65">
        <v>1038198.7648071381</v>
      </c>
      <c r="K209" s="62"/>
      <c r="L209" s="65">
        <v>-3680989.9927164395</v>
      </c>
      <c r="M209" s="65">
        <v>-2061446.4894219316</v>
      </c>
      <c r="N209" s="65">
        <v>-1619543.503294508</v>
      </c>
      <c r="P209">
        <f t="shared" si="17"/>
        <v>510</v>
      </c>
      <c r="Q209" t="str">
        <f t="shared" si="18"/>
        <v>SG</v>
      </c>
      <c r="R209" t="str">
        <f>IF(ISERROR(MATCH(P209&amp;"."&amp;Q209,R$5:R208,0)),P209&amp;"."&amp;Q209,P209&amp;"."&amp;Q209&amp;COUNTIFS(P$5:P208,P209,Q$5:Q208,Q209))</f>
        <v>510.SG2</v>
      </c>
      <c r="S209" s="55">
        <f t="shared" si="19"/>
        <v>-1619543.503294508</v>
      </c>
      <c r="W209" s="53">
        <v>916</v>
      </c>
      <c r="X209" s="54">
        <f t="shared" si="15"/>
        <v>0</v>
      </c>
      <c r="Y209" s="54" t="e">
        <f>SUMIFS(FuncStudy!$G$93:$G$2216,FuncStudy!$AI$93:$AI$2216,$W209,FuncStudy!$AJ$93:$AJ$2216,"&lt;&gt;"&amp;"NA")</f>
        <v>#VALUE!</v>
      </c>
      <c r="Z209" s="55" t="e">
        <f t="shared" si="16"/>
        <v>#VALUE!</v>
      </c>
    </row>
    <row r="210" spans="1:26" hidden="1">
      <c r="A210" s="5">
        <v>275</v>
      </c>
      <c r="B210" s="59"/>
      <c r="C210" s="60"/>
      <c r="D210" s="63"/>
      <c r="E210" s="63"/>
      <c r="F210" s="60"/>
      <c r="G210" s="61"/>
      <c r="H210" s="62" t="s">
        <v>178</v>
      </c>
      <c r="I210" s="65">
        <v>7293481.5099999998</v>
      </c>
      <c r="J210" s="65">
        <v>3208949.3911398007</v>
      </c>
      <c r="K210" s="62"/>
      <c r="L210" s="65">
        <v>1560082.3833641182</v>
      </c>
      <c r="M210" s="65">
        <v>2935131.6553035285</v>
      </c>
      <c r="N210" s="64">
        <v>686397.2174825212</v>
      </c>
      <c r="P210">
        <f t="shared" si="17"/>
        <v>510</v>
      </c>
      <c r="Q210" t="str">
        <f t="shared" si="18"/>
        <v>NA</v>
      </c>
      <c r="R210" t="str">
        <f>IF(ISERROR(MATCH(P210&amp;"."&amp;Q210,R$5:R209,0)),P210&amp;"."&amp;Q210,P210&amp;"."&amp;Q210&amp;COUNTIFS(P$5:P209,P210,Q$5:Q209,Q210))</f>
        <v>510.NA1</v>
      </c>
      <c r="S210" s="55">
        <f t="shared" si="19"/>
        <v>686397.2174825212</v>
      </c>
      <c r="W210" s="53">
        <v>920</v>
      </c>
      <c r="X210" s="54">
        <f t="shared" si="15"/>
        <v>37007753.286091574</v>
      </c>
      <c r="Y210" s="54" t="e">
        <f>SUMIFS(FuncStudy!$G$93:$G$2216,FuncStudy!$AI$93:$AI$2216,$W210,FuncStudy!$AJ$93:$AJ$2216,"&lt;&gt;"&amp;"NA")</f>
        <v>#VALUE!</v>
      </c>
      <c r="Z210" s="55" t="e">
        <f t="shared" si="16"/>
        <v>#VALUE!</v>
      </c>
    </row>
    <row r="211" spans="1:26" hidden="1">
      <c r="A211" s="5">
        <v>276</v>
      </c>
      <c r="B211" s="59"/>
      <c r="C211" s="60"/>
      <c r="D211" s="63"/>
      <c r="E211" s="63"/>
      <c r="F211" s="60"/>
      <c r="G211" s="61"/>
      <c r="H211" s="62"/>
      <c r="I211" s="65"/>
      <c r="J211" s="65"/>
      <c r="K211" s="62"/>
      <c r="L211" s="65"/>
      <c r="M211" s="65"/>
      <c r="N211" s="64"/>
      <c r="P211">
        <f t="shared" si="17"/>
        <v>510</v>
      </c>
      <c r="Q211" t="str">
        <f t="shared" si="18"/>
        <v>NA</v>
      </c>
      <c r="R211" t="str">
        <f>IF(ISERROR(MATCH(P211&amp;"."&amp;Q211,R$5:R210,0)),P211&amp;"."&amp;Q211,P211&amp;"."&amp;Q211&amp;COUNTIFS(P$5:P210,P211,Q$5:Q210,Q211))</f>
        <v>510.NA2</v>
      </c>
      <c r="S211" s="55">
        <f t="shared" si="19"/>
        <v>0</v>
      </c>
      <c r="W211" s="53">
        <v>921</v>
      </c>
      <c r="X211" s="54">
        <f t="shared" si="15"/>
        <v>4990243.3790861359</v>
      </c>
      <c r="Y211" s="54" t="e">
        <f>SUMIFS(FuncStudy!$G$93:$G$2216,FuncStudy!$AI$93:$AI$2216,$W211,FuncStudy!$AJ$93:$AJ$2216,"&lt;&gt;"&amp;"NA")</f>
        <v>#VALUE!</v>
      </c>
      <c r="Z211" s="55" t="e">
        <f t="shared" si="16"/>
        <v>#VALUE!</v>
      </c>
    </row>
    <row r="212" spans="1:26" hidden="1">
      <c r="A212" s="5">
        <v>277</v>
      </c>
      <c r="B212" s="59"/>
      <c r="C212" s="60"/>
      <c r="D212" s="63"/>
      <c r="E212" s="63"/>
      <c r="F212" s="63"/>
      <c r="G212" s="63"/>
      <c r="H212" s="62"/>
      <c r="I212" s="66"/>
      <c r="J212" s="66"/>
      <c r="K212" s="62"/>
      <c r="L212" s="66"/>
      <c r="M212" s="66"/>
      <c r="N212" s="66"/>
      <c r="P212">
        <f t="shared" si="17"/>
        <v>510</v>
      </c>
      <c r="Q212" t="str">
        <f t="shared" si="18"/>
        <v>NA</v>
      </c>
      <c r="R212" t="str">
        <f>IF(ISERROR(MATCH(P212&amp;"."&amp;Q212,R$5:R211,0)),P212&amp;"."&amp;Q212,P212&amp;"."&amp;Q212&amp;COUNTIFS(P$5:P211,P212,Q$5:Q211,Q212))</f>
        <v>510.NA3</v>
      </c>
      <c r="S212" s="55">
        <f t="shared" si="19"/>
        <v>0</v>
      </c>
      <c r="W212" s="53">
        <v>922</v>
      </c>
      <c r="X212" s="54">
        <f t="shared" si="15"/>
        <v>-16390359.103200486</v>
      </c>
      <c r="Y212" s="54" t="e">
        <f>SUMIFS(FuncStudy!$G$93:$G$2216,FuncStudy!$AI$93:$AI$2216,$W212,FuncStudy!$AJ$93:$AJ$2216,"&lt;&gt;"&amp;"NA")</f>
        <v>#VALUE!</v>
      </c>
      <c r="Z212" s="55" t="e">
        <f t="shared" si="16"/>
        <v>#VALUE!</v>
      </c>
    </row>
    <row r="213" spans="1:26" hidden="1">
      <c r="A213" s="5">
        <v>278</v>
      </c>
      <c r="B213" s="59"/>
      <c r="C213" s="60"/>
      <c r="D213" s="63"/>
      <c r="E213" s="63"/>
      <c r="F213" s="63"/>
      <c r="G213" s="63"/>
      <c r="H213" s="62"/>
      <c r="I213" s="65"/>
      <c r="J213" s="65"/>
      <c r="K213" s="62"/>
      <c r="L213" s="65"/>
      <c r="M213" s="65"/>
      <c r="N213" s="65"/>
      <c r="P213">
        <f t="shared" si="17"/>
        <v>510</v>
      </c>
      <c r="Q213" t="str">
        <f t="shared" si="18"/>
        <v>NA</v>
      </c>
      <c r="R213" t="str">
        <f>IF(ISERROR(MATCH(P213&amp;"."&amp;Q213,R$5:R212,0)),P213&amp;"."&amp;Q213,P213&amp;"."&amp;Q213&amp;COUNTIFS(P$5:P212,P213,Q$5:Q212,Q213))</f>
        <v>510.NA4</v>
      </c>
      <c r="S213" s="55">
        <f t="shared" si="19"/>
        <v>0</v>
      </c>
      <c r="W213" s="53">
        <v>923</v>
      </c>
      <c r="X213" s="54">
        <f t="shared" si="15"/>
        <v>10524843.191797249</v>
      </c>
      <c r="Y213" s="54" t="e">
        <f>SUMIFS(FuncStudy!$G$93:$G$2216,FuncStudy!$AI$93:$AI$2216,$W213,FuncStudy!$AJ$93:$AJ$2216,"&lt;&gt;"&amp;"NA")</f>
        <v>#VALUE!</v>
      </c>
      <c r="Z213" s="55" t="e">
        <f t="shared" si="16"/>
        <v>#VALUE!</v>
      </c>
    </row>
    <row r="214" spans="1:26" hidden="1">
      <c r="A214" s="5">
        <v>279</v>
      </c>
      <c r="B214" s="59"/>
      <c r="C214" s="60">
        <v>511</v>
      </c>
      <c r="D214" s="61" t="s">
        <v>189</v>
      </c>
      <c r="E214" s="63"/>
      <c r="F214" s="63"/>
      <c r="G214" s="63"/>
      <c r="H214" s="62"/>
      <c r="I214" s="65"/>
      <c r="J214" s="65"/>
      <c r="K214" s="62"/>
      <c r="L214" s="65"/>
      <c r="M214" s="65"/>
      <c r="N214" s="65"/>
      <c r="P214">
        <f t="shared" si="17"/>
        <v>511</v>
      </c>
      <c r="Q214" t="str">
        <f t="shared" si="18"/>
        <v>NA</v>
      </c>
      <c r="R214" t="str">
        <f>IF(ISERROR(MATCH(P214&amp;"."&amp;Q214,R$5:R213,0)),P214&amp;"."&amp;Q214,P214&amp;"."&amp;Q214&amp;COUNTIFS(P$5:P213,P214,Q$5:Q213,Q214))</f>
        <v>511.NA</v>
      </c>
      <c r="S214" s="55">
        <f t="shared" si="19"/>
        <v>0</v>
      </c>
      <c r="W214" s="53">
        <v>924</v>
      </c>
      <c r="X214" s="54">
        <f t="shared" si="15"/>
        <v>1897083.4381974752</v>
      </c>
      <c r="Y214" s="54" t="e">
        <f>SUMIFS(FuncStudy!$G$93:$G$2216,FuncStudy!$AI$93:$AI$2216,$W214,FuncStudy!$AJ$93:$AJ$2216,"&lt;&gt;"&amp;"NA")</f>
        <v>#VALUE!</v>
      </c>
      <c r="Z214" s="55" t="e">
        <f t="shared" si="16"/>
        <v>#VALUE!</v>
      </c>
    </row>
    <row r="215" spans="1:26" hidden="1">
      <c r="A215" s="5">
        <v>280</v>
      </c>
      <c r="B215" s="59"/>
      <c r="C215" s="60"/>
      <c r="D215" s="63"/>
      <c r="E215" s="63"/>
      <c r="F215" s="60" t="s">
        <v>13</v>
      </c>
      <c r="G215" s="61" t="s">
        <v>15</v>
      </c>
      <c r="H215" s="62"/>
      <c r="I215" s="65">
        <v>23528487.09</v>
      </c>
      <c r="J215" s="65">
        <v>10351945.667974439</v>
      </c>
      <c r="K215" s="62"/>
      <c r="L215" s="65">
        <v>24366448.564052321</v>
      </c>
      <c r="M215" s="65">
        <v>13645820.812182561</v>
      </c>
      <c r="N215" s="64">
        <v>10720627.75186976</v>
      </c>
      <c r="P215">
        <f t="shared" si="17"/>
        <v>511</v>
      </c>
      <c r="Q215" t="str">
        <f t="shared" si="18"/>
        <v>SG</v>
      </c>
      <c r="R215" t="str">
        <f>IF(ISERROR(MATCH(P215&amp;"."&amp;Q215,R$5:R214,0)),P215&amp;"."&amp;Q215,P215&amp;"."&amp;Q215&amp;COUNTIFS(P$5:P214,P215,Q$5:Q214,Q215))</f>
        <v>511.SG</v>
      </c>
      <c r="S215" s="55">
        <f t="shared" si="19"/>
        <v>10720627.75186976</v>
      </c>
      <c r="W215" s="53">
        <v>925</v>
      </c>
      <c r="X215" s="54">
        <f t="shared" si="15"/>
        <v>5766697.0482084891</v>
      </c>
      <c r="Y215" s="54" t="e">
        <f>SUMIFS(FuncStudy!$G$93:$G$2216,FuncStudy!$AI$93:$AI$2216,$W215,FuncStudy!$AJ$93:$AJ$2216,"&lt;&gt;"&amp;"NA")</f>
        <v>#VALUE!</v>
      </c>
      <c r="Z215" s="55" t="e">
        <f t="shared" si="16"/>
        <v>#VALUE!</v>
      </c>
    </row>
    <row r="216" spans="1:26" hidden="1">
      <c r="A216" s="5">
        <v>281</v>
      </c>
      <c r="B216" s="59"/>
      <c r="C216" s="60"/>
      <c r="D216" s="63"/>
      <c r="E216" s="63"/>
      <c r="F216" s="60" t="s">
        <v>13</v>
      </c>
      <c r="G216" s="61" t="s">
        <v>15</v>
      </c>
      <c r="H216" s="62"/>
      <c r="I216" s="65">
        <v>4086250.23</v>
      </c>
      <c r="J216" s="65">
        <v>1797847.8686241806</v>
      </c>
      <c r="K216" s="62"/>
      <c r="L216" s="65">
        <v>4454937.5887542879</v>
      </c>
      <c r="M216" s="65">
        <v>2494876.5063482691</v>
      </c>
      <c r="N216" s="64">
        <v>1960061.0824060186</v>
      </c>
      <c r="P216">
        <f t="shared" si="17"/>
        <v>511</v>
      </c>
      <c r="Q216" t="str">
        <f t="shared" si="18"/>
        <v>SG</v>
      </c>
      <c r="R216" t="str">
        <f>IF(ISERROR(MATCH(P216&amp;"."&amp;Q216,R$5:R215,0)),P216&amp;"."&amp;Q216,P216&amp;"."&amp;Q216&amp;COUNTIFS(P$5:P215,P216,Q$5:Q215,Q216))</f>
        <v>511.SG1</v>
      </c>
      <c r="S216" s="55">
        <f t="shared" si="19"/>
        <v>1960061.0824060186</v>
      </c>
      <c r="W216" s="53">
        <v>926</v>
      </c>
      <c r="X216" s="54">
        <f t="shared" si="15"/>
        <v>47436031.141270578</v>
      </c>
      <c r="Y216" s="54" t="e">
        <f>SUMIFS(FuncStudy!$G$93:$G$2216,FuncStudy!$AI$93:$AI$2216,$W216,FuncStudy!$AJ$93:$AJ$2216,"&lt;&gt;"&amp;"NA")</f>
        <v>#VALUE!</v>
      </c>
      <c r="Z216" s="55" t="e">
        <f t="shared" si="16"/>
        <v>#VALUE!</v>
      </c>
    </row>
    <row r="217" spans="1:26" hidden="1">
      <c r="A217" s="5">
        <v>282</v>
      </c>
      <c r="B217" s="59"/>
      <c r="C217" s="60"/>
      <c r="D217" s="63"/>
      <c r="E217" s="63"/>
      <c r="F217" s="63" t="s">
        <v>13</v>
      </c>
      <c r="G217" s="63" t="s">
        <v>15</v>
      </c>
      <c r="H217" s="62"/>
      <c r="I217" s="66">
        <v>0</v>
      </c>
      <c r="J217" s="66">
        <v>0</v>
      </c>
      <c r="K217" s="62"/>
      <c r="L217" s="66">
        <v>0</v>
      </c>
      <c r="M217" s="66">
        <v>0</v>
      </c>
      <c r="N217" s="66">
        <v>0</v>
      </c>
      <c r="P217">
        <f t="shared" si="17"/>
        <v>511</v>
      </c>
      <c r="Q217" t="str">
        <f t="shared" si="18"/>
        <v>SG</v>
      </c>
      <c r="R217" t="str">
        <f>IF(ISERROR(MATCH(P217&amp;"."&amp;Q217,R$5:R216,0)),P217&amp;"."&amp;Q217,P217&amp;"."&amp;Q217&amp;COUNTIFS(P$5:P216,P217,Q$5:Q216,Q217))</f>
        <v>511.SG2</v>
      </c>
      <c r="S217" s="55">
        <f t="shared" si="19"/>
        <v>0</v>
      </c>
      <c r="W217" s="53">
        <v>927</v>
      </c>
      <c r="X217" s="54">
        <f t="shared" si="15"/>
        <v>0</v>
      </c>
      <c r="Y217" s="54" t="e">
        <f>SUMIFS(FuncStudy!$G$93:$G$2216,FuncStudy!$AI$93:$AI$2216,$W217,FuncStudy!$AJ$93:$AJ$2216,"&lt;&gt;"&amp;"NA")</f>
        <v>#VALUE!</v>
      </c>
      <c r="Z217" s="55" t="e">
        <f t="shared" si="16"/>
        <v>#VALUE!</v>
      </c>
    </row>
    <row r="218" spans="1:26" hidden="1">
      <c r="A218" s="5">
        <v>283</v>
      </c>
      <c r="B218" s="59"/>
      <c r="C218" s="60"/>
      <c r="D218" s="63"/>
      <c r="E218" s="63"/>
      <c r="F218" s="63"/>
      <c r="G218" s="63"/>
      <c r="H218" s="62" t="s">
        <v>178</v>
      </c>
      <c r="I218" s="65">
        <v>27614737.32</v>
      </c>
      <c r="J218" s="65">
        <v>12149793.536598619</v>
      </c>
      <c r="K218" s="62"/>
      <c r="L218" s="65">
        <v>28821386.15280661</v>
      </c>
      <c r="M218" s="65">
        <v>16140697.31853083</v>
      </c>
      <c r="N218" s="65">
        <v>12680688.834275778</v>
      </c>
      <c r="P218">
        <f t="shared" si="17"/>
        <v>511</v>
      </c>
      <c r="Q218" t="str">
        <f t="shared" si="18"/>
        <v>NA</v>
      </c>
      <c r="R218" t="str">
        <f>IF(ISERROR(MATCH(P218&amp;"."&amp;Q218,R$5:R217,0)),P218&amp;"."&amp;Q218,P218&amp;"."&amp;Q218&amp;COUNTIFS(P$5:P217,P218,Q$5:Q217,Q218))</f>
        <v>511.NA1</v>
      </c>
      <c r="S218" s="55">
        <f t="shared" si="19"/>
        <v>12680688.834275778</v>
      </c>
      <c r="W218" s="53">
        <v>928</v>
      </c>
      <c r="X218" s="54">
        <f t="shared" si="15"/>
        <v>11495513.967725486</v>
      </c>
      <c r="Y218" s="54" t="e">
        <f>SUMIFS(FuncStudy!$G$93:$G$2216,FuncStudy!$AI$93:$AI$2216,$W218,FuncStudy!$AJ$93:$AJ$2216,"&lt;&gt;"&amp;"NA")</f>
        <v>#VALUE!</v>
      </c>
      <c r="Z218" s="55" t="e">
        <f t="shared" si="16"/>
        <v>#VALUE!</v>
      </c>
    </row>
    <row r="219" spans="1:26" hidden="1">
      <c r="A219" s="5">
        <v>284</v>
      </c>
      <c r="B219" s="59"/>
      <c r="C219" s="60"/>
      <c r="D219" s="61"/>
      <c r="E219" s="63"/>
      <c r="F219" s="63"/>
      <c r="G219" s="63"/>
      <c r="H219" s="62"/>
      <c r="I219" s="65"/>
      <c r="J219" s="65"/>
      <c r="K219" s="62"/>
      <c r="L219" s="65"/>
      <c r="M219" s="65"/>
      <c r="N219" s="65"/>
      <c r="P219">
        <f t="shared" si="17"/>
        <v>511</v>
      </c>
      <c r="Q219" t="str">
        <f t="shared" si="18"/>
        <v>NA</v>
      </c>
      <c r="R219" t="str">
        <f>IF(ISERROR(MATCH(P219&amp;"."&amp;Q219,R$5:R218,0)),P219&amp;"."&amp;Q219,P219&amp;"."&amp;Q219&amp;COUNTIFS(P$5:P218,P219,Q$5:Q218,Q219))</f>
        <v>511.NA2</v>
      </c>
      <c r="S219" s="55">
        <f t="shared" si="19"/>
        <v>0</v>
      </c>
      <c r="W219" s="53">
        <v>929</v>
      </c>
      <c r="X219" s="54">
        <f t="shared" si="15"/>
        <v>-59880015.079068385</v>
      </c>
      <c r="Y219" s="54" t="e">
        <f>SUMIFS(FuncStudy!$G$93:$G$2216,FuncStudy!$AI$93:$AI$2216,$W219,FuncStudy!$AJ$93:$AJ$2216,"&lt;&gt;"&amp;"NA")</f>
        <v>#VALUE!</v>
      </c>
      <c r="Z219" s="55" t="e">
        <f t="shared" si="16"/>
        <v>#VALUE!</v>
      </c>
    </row>
    <row r="220" spans="1:26" hidden="1">
      <c r="A220" s="5">
        <v>285</v>
      </c>
      <c r="B220" s="59"/>
      <c r="C220" s="60">
        <v>512</v>
      </c>
      <c r="D220" s="63" t="s">
        <v>190</v>
      </c>
      <c r="E220" s="63"/>
      <c r="F220" s="60"/>
      <c r="G220" s="61"/>
      <c r="H220" s="62"/>
      <c r="I220" s="65"/>
      <c r="J220" s="65"/>
      <c r="K220" s="62"/>
      <c r="L220" s="65"/>
      <c r="M220" s="65"/>
      <c r="N220" s="64"/>
      <c r="P220">
        <f t="shared" si="17"/>
        <v>512</v>
      </c>
      <c r="Q220" t="str">
        <f t="shared" si="18"/>
        <v>NA</v>
      </c>
      <c r="R220" t="str">
        <f>IF(ISERROR(MATCH(P220&amp;"."&amp;Q220,R$5:R219,0)),P220&amp;"."&amp;Q220,P220&amp;"."&amp;Q220&amp;COUNTIFS(P$5:P219,P220,Q$5:Q219,Q220))</f>
        <v>512.NA</v>
      </c>
      <c r="S220" s="55">
        <f t="shared" si="19"/>
        <v>0</v>
      </c>
      <c r="W220" s="53">
        <v>930</v>
      </c>
      <c r="X220" s="54">
        <f t="shared" si="15"/>
        <v>1015693.8285519187</v>
      </c>
      <c r="Y220" s="54" t="e">
        <f>SUMIFS(FuncStudy!$G$93:$G$2216,FuncStudy!$AI$93:$AI$2216,$W220,FuncStudy!$AJ$93:$AJ$2216,"&lt;&gt;"&amp;"NA")</f>
        <v>#VALUE!</v>
      </c>
      <c r="Z220" s="55" t="e">
        <f t="shared" si="16"/>
        <v>#VALUE!</v>
      </c>
    </row>
    <row r="221" spans="1:26" hidden="1">
      <c r="A221" s="5">
        <v>286</v>
      </c>
      <c r="B221" s="59"/>
      <c r="C221" s="60"/>
      <c r="D221" s="63"/>
      <c r="E221" s="63"/>
      <c r="F221" s="60" t="s">
        <v>13</v>
      </c>
      <c r="G221" s="61" t="s">
        <v>15</v>
      </c>
      <c r="H221" s="62"/>
      <c r="I221" s="65">
        <v>84184977.239999995</v>
      </c>
      <c r="J221" s="65">
        <v>37039283.788821995</v>
      </c>
      <c r="K221" s="62"/>
      <c r="L221" s="65">
        <v>88189753.109001681</v>
      </c>
      <c r="M221" s="65">
        <v>49388468.132014021</v>
      </c>
      <c r="N221" s="64">
        <v>38801284.97698766</v>
      </c>
      <c r="P221">
        <f t="shared" si="17"/>
        <v>512</v>
      </c>
      <c r="Q221" t="str">
        <f t="shared" si="18"/>
        <v>SG</v>
      </c>
      <c r="R221" t="str">
        <f>IF(ISERROR(MATCH(P221&amp;"."&amp;Q221,R$5:R220,0)),P221&amp;"."&amp;Q221,P221&amp;"."&amp;Q221&amp;COUNTIFS(P$5:P220,P221,Q$5:Q220,Q221))</f>
        <v>512.SG</v>
      </c>
      <c r="S221" s="55">
        <f t="shared" si="19"/>
        <v>38801284.97698766</v>
      </c>
      <c r="W221" s="53">
        <v>931</v>
      </c>
      <c r="X221" s="54">
        <f t="shared" si="15"/>
        <v>999003.56862618856</v>
      </c>
      <c r="Y221" s="54" t="e">
        <f>SUMIFS(FuncStudy!$G$93:$G$2216,FuncStudy!$AI$93:$AI$2216,$W221,FuncStudy!$AJ$93:$AJ$2216,"&lt;&gt;"&amp;"NA")</f>
        <v>#VALUE!</v>
      </c>
      <c r="Z221" s="55" t="e">
        <f t="shared" si="16"/>
        <v>#VALUE!</v>
      </c>
    </row>
    <row r="222" spans="1:26" hidden="1">
      <c r="A222" s="5">
        <v>287</v>
      </c>
      <c r="B222" s="59"/>
      <c r="C222" s="60"/>
      <c r="D222" s="63"/>
      <c r="E222" s="63"/>
      <c r="F222" s="63" t="s">
        <v>13</v>
      </c>
      <c r="G222" s="63" t="s">
        <v>15</v>
      </c>
      <c r="H222" s="62"/>
      <c r="I222" s="66">
        <v>4854764.66</v>
      </c>
      <c r="J222" s="66">
        <v>2135974.9906096659</v>
      </c>
      <c r="K222" s="62"/>
      <c r="L222" s="66">
        <v>4946082.9117490109</v>
      </c>
      <c r="M222" s="66">
        <v>2769930.1750316513</v>
      </c>
      <c r="N222" s="66">
        <v>2176152.7367173596</v>
      </c>
      <c r="P222">
        <f t="shared" si="17"/>
        <v>512</v>
      </c>
      <c r="Q222" t="str">
        <f t="shared" si="18"/>
        <v>SG</v>
      </c>
      <c r="R222" t="str">
        <f>IF(ISERROR(MATCH(P222&amp;"."&amp;Q222,R$5:R221,0)),P222&amp;"."&amp;Q222,P222&amp;"."&amp;Q222&amp;COUNTIFS(P$5:P221,P222,Q$5:Q221,Q222))</f>
        <v>512.SG1</v>
      </c>
      <c r="S222" s="55">
        <f t="shared" si="19"/>
        <v>2176152.7367173596</v>
      </c>
      <c r="W222" s="53">
        <v>935</v>
      </c>
      <c r="X222" s="54">
        <f t="shared" si="15"/>
        <v>10753481.3459062</v>
      </c>
      <c r="Y222" s="54" t="e">
        <f>SUMIFS(FuncStudy!$G$93:$G$2216,FuncStudy!$AI$93:$AI$2216,$W222,FuncStudy!$AJ$93:$AJ$2216,"&lt;&gt;"&amp;"NA")</f>
        <v>#VALUE!</v>
      </c>
      <c r="Z222" s="55" t="e">
        <f t="shared" si="16"/>
        <v>#VALUE!</v>
      </c>
    </row>
    <row r="223" spans="1:26" hidden="1">
      <c r="A223" s="5">
        <v>288</v>
      </c>
      <c r="B223" s="59"/>
      <c r="C223" s="60"/>
      <c r="D223" s="63"/>
      <c r="E223" s="63"/>
      <c r="F223" s="63" t="s">
        <v>13</v>
      </c>
      <c r="G223" s="63" t="s">
        <v>15</v>
      </c>
      <c r="H223" s="62"/>
      <c r="I223" s="65">
        <v>0</v>
      </c>
      <c r="J223" s="65">
        <v>0</v>
      </c>
      <c r="K223" s="62"/>
      <c r="L223" s="65">
        <v>0</v>
      </c>
      <c r="M223" s="65">
        <v>0</v>
      </c>
      <c r="N223" s="65">
        <v>0</v>
      </c>
      <c r="P223">
        <f t="shared" si="17"/>
        <v>512</v>
      </c>
      <c r="Q223" t="str">
        <f t="shared" si="18"/>
        <v>SG</v>
      </c>
      <c r="R223" t="str">
        <f>IF(ISERROR(MATCH(P223&amp;"."&amp;Q223,R$5:R222,0)),P223&amp;"."&amp;Q223,P223&amp;"."&amp;Q223&amp;COUNTIFS(P$5:P222,P223,Q$5:Q222,Q223))</f>
        <v>512.SG2</v>
      </c>
      <c r="S223" s="55">
        <f t="shared" si="19"/>
        <v>0</v>
      </c>
      <c r="W223" s="53">
        <v>1869</v>
      </c>
      <c r="X223" s="54">
        <f t="shared" si="15"/>
        <v>0</v>
      </c>
      <c r="Y223" s="54" t="e">
        <f>SUMIFS(FuncStudy!$G$93:$G$2216,FuncStudy!$AI$93:$AI$2216,$W223,FuncStudy!$AJ$93:$AJ$2216,"&lt;&gt;"&amp;"NA")</f>
        <v>#VALUE!</v>
      </c>
      <c r="Z223" s="55" t="e">
        <f t="shared" si="16"/>
        <v>#VALUE!</v>
      </c>
    </row>
    <row r="224" spans="1:26" hidden="1">
      <c r="A224" s="5">
        <v>289</v>
      </c>
      <c r="B224" s="59"/>
      <c r="C224" s="60"/>
      <c r="D224" s="61"/>
      <c r="E224" s="63"/>
      <c r="F224" s="63"/>
      <c r="G224" s="63"/>
      <c r="H224" s="62" t="s">
        <v>178</v>
      </c>
      <c r="I224" s="65">
        <v>89039741.899999991</v>
      </c>
      <c r="J224" s="65">
        <v>39175258.779431663</v>
      </c>
      <c r="K224" s="62"/>
      <c r="L224" s="65">
        <v>93135836.020750687</v>
      </c>
      <c r="M224" s="65">
        <v>52158398.307045676</v>
      </c>
      <c r="N224" s="65">
        <v>40977437.713705018</v>
      </c>
      <c r="P224">
        <f t="shared" si="17"/>
        <v>512</v>
      </c>
      <c r="Q224" t="str">
        <f t="shared" si="18"/>
        <v>NA</v>
      </c>
      <c r="R224" t="str">
        <f>IF(ISERROR(MATCH(P224&amp;"."&amp;Q224,R$5:R223,0)),P224&amp;"."&amp;Q224,P224&amp;"."&amp;Q224&amp;COUNTIFS(P$5:P223,P224,Q$5:Q223,Q224))</f>
        <v>512.NA1</v>
      </c>
      <c r="S224" s="55">
        <f t="shared" si="19"/>
        <v>40977437.713705018</v>
      </c>
      <c r="W224" s="53">
        <v>2281</v>
      </c>
      <c r="X224" s="54">
        <f t="shared" si="15"/>
        <v>-7461026.9015384596</v>
      </c>
      <c r="Y224" s="54" t="e">
        <f>SUMIFS(FuncStudy!$G$93:$G$2216,FuncStudy!$AI$93:$AI$2216,$W224,FuncStudy!$AJ$93:$AJ$2216,"&lt;&gt;"&amp;"NA")</f>
        <v>#VALUE!</v>
      </c>
      <c r="Z224" s="55" t="e">
        <f t="shared" si="16"/>
        <v>#VALUE!</v>
      </c>
    </row>
    <row r="225" spans="1:26" hidden="1">
      <c r="A225" s="5">
        <v>290</v>
      </c>
      <c r="B225" s="59"/>
      <c r="C225" s="60"/>
      <c r="D225" s="63"/>
      <c r="E225" s="63"/>
      <c r="F225" s="60"/>
      <c r="G225" s="61"/>
      <c r="H225" s="62"/>
      <c r="I225" s="65"/>
      <c r="J225" s="65"/>
      <c r="K225" s="62"/>
      <c r="L225" s="65"/>
      <c r="M225" s="65"/>
      <c r="N225" s="64"/>
      <c r="P225">
        <f t="shared" si="17"/>
        <v>512</v>
      </c>
      <c r="Q225" t="str">
        <f t="shared" si="18"/>
        <v>NA</v>
      </c>
      <c r="R225" t="str">
        <f>IF(ISERROR(MATCH(P225&amp;"."&amp;Q225,R$5:R224,0)),P225&amp;"."&amp;Q225,P225&amp;"."&amp;Q225&amp;COUNTIFS(P$5:P224,P225,Q$5:Q224,Q225))</f>
        <v>512.NA2</v>
      </c>
      <c r="S225" s="55">
        <f t="shared" si="19"/>
        <v>0</v>
      </c>
      <c r="W225" s="53">
        <v>2282</v>
      </c>
      <c r="X225" s="54">
        <f t="shared" si="15"/>
        <v>1.3835855702764482E-8</v>
      </c>
      <c r="Y225" s="54" t="e">
        <f>SUMIFS(FuncStudy!$G$93:$G$2216,FuncStudy!$AI$93:$AI$2216,$W225,FuncStudy!$AJ$93:$AJ$2216,"&lt;&gt;"&amp;"NA")</f>
        <v>#VALUE!</v>
      </c>
      <c r="Z225" s="55" t="e">
        <f t="shared" si="16"/>
        <v>#VALUE!</v>
      </c>
    </row>
    <row r="226" spans="1:26" hidden="1">
      <c r="A226" s="5">
        <v>291</v>
      </c>
      <c r="B226" s="59"/>
      <c r="C226" s="60">
        <v>513</v>
      </c>
      <c r="D226" s="63" t="s">
        <v>191</v>
      </c>
      <c r="E226" s="63"/>
      <c r="F226" s="60"/>
      <c r="G226" s="61"/>
      <c r="H226" s="62"/>
      <c r="I226" s="65"/>
      <c r="J226" s="65"/>
      <c r="K226" s="62"/>
      <c r="L226" s="65"/>
      <c r="M226" s="65"/>
      <c r="N226" s="64"/>
      <c r="P226">
        <f t="shared" si="17"/>
        <v>513</v>
      </c>
      <c r="Q226" t="str">
        <f t="shared" si="18"/>
        <v>NA</v>
      </c>
      <c r="R226" t="str">
        <f>IF(ISERROR(MATCH(P226&amp;"."&amp;Q226,R$5:R225,0)),P226&amp;"."&amp;Q226,P226&amp;"."&amp;Q226&amp;COUNTIFS(P$5:P225,P226,Q$5:Q225,Q226))</f>
        <v>513.NA</v>
      </c>
      <c r="S226" s="55">
        <f t="shared" si="19"/>
        <v>0</v>
      </c>
      <c r="W226" s="53">
        <v>2283</v>
      </c>
      <c r="X226" s="54">
        <f t="shared" si="15"/>
        <v>-14133201.924276644</v>
      </c>
      <c r="Y226" s="54" t="e">
        <f>SUMIFS(FuncStudy!$G$93:$G$2216,FuncStudy!$AI$93:$AI$2216,$W226,FuncStudy!$AJ$93:$AJ$2216,"&lt;&gt;"&amp;"NA")</f>
        <v>#VALUE!</v>
      </c>
      <c r="Z226" s="55" t="e">
        <f t="shared" si="16"/>
        <v>#VALUE!</v>
      </c>
    </row>
    <row r="227" spans="1:26" hidden="1">
      <c r="A227" s="5">
        <v>292</v>
      </c>
      <c r="B227" s="59"/>
      <c r="C227" s="60"/>
      <c r="D227" s="63"/>
      <c r="E227" s="63"/>
      <c r="F227" s="63" t="s">
        <v>13</v>
      </c>
      <c r="G227" s="63" t="s">
        <v>15</v>
      </c>
      <c r="H227" s="62"/>
      <c r="I227" s="66">
        <v>38453187.009999998</v>
      </c>
      <c r="J227" s="66">
        <v>16918440.236523528</v>
      </c>
      <c r="K227" s="62"/>
      <c r="L227" s="66">
        <v>40199990.584670521</v>
      </c>
      <c r="M227" s="66">
        <v>22513000.478006881</v>
      </c>
      <c r="N227" s="66">
        <v>17686990.106663641</v>
      </c>
      <c r="P227">
        <f t="shared" si="17"/>
        <v>513</v>
      </c>
      <c r="Q227" t="str">
        <f t="shared" si="18"/>
        <v>SG</v>
      </c>
      <c r="R227" t="str">
        <f>IF(ISERROR(MATCH(P227&amp;"."&amp;Q227,R$5:R226,0)),P227&amp;"."&amp;Q227,P227&amp;"."&amp;Q227&amp;COUNTIFS(P$5:P226,P227,Q$5:Q226,Q227))</f>
        <v>513.SG</v>
      </c>
      <c r="S227" s="55">
        <f t="shared" si="19"/>
        <v>17686990.106663641</v>
      </c>
      <c r="W227" s="53">
        <v>2533</v>
      </c>
      <c r="X227" s="54">
        <f t="shared" si="15"/>
        <v>-3102304.7482051989</v>
      </c>
      <c r="Y227" s="54" t="e">
        <f>SUMIFS(FuncStudy!$G$93:$G$2216,FuncStudy!$AI$93:$AI$2216,$W227,FuncStudy!$AJ$93:$AJ$2216,"&lt;&gt;"&amp;"NA")</f>
        <v>#VALUE!</v>
      </c>
      <c r="Z227" s="55" t="e">
        <f t="shared" si="16"/>
        <v>#VALUE!</v>
      </c>
    </row>
    <row r="228" spans="1:26" hidden="1">
      <c r="A228" s="5">
        <v>293</v>
      </c>
      <c r="B228" s="59"/>
      <c r="C228" s="60"/>
      <c r="D228" s="63"/>
      <c r="E228" s="63"/>
      <c r="F228" s="63" t="s">
        <v>13</v>
      </c>
      <c r="G228" s="63" t="s">
        <v>15</v>
      </c>
      <c r="H228" s="62"/>
      <c r="I228" s="65">
        <v>1055832.51</v>
      </c>
      <c r="J228" s="65">
        <v>464539.88886716292</v>
      </c>
      <c r="K228" s="62"/>
      <c r="L228" s="65">
        <v>1075692.7474585485</v>
      </c>
      <c r="M228" s="65">
        <v>602414.85098649608</v>
      </c>
      <c r="N228" s="65">
        <v>473277.89647205244</v>
      </c>
      <c r="P228">
        <f t="shared" si="17"/>
        <v>513</v>
      </c>
      <c r="Q228" t="str">
        <f t="shared" si="18"/>
        <v>SG</v>
      </c>
      <c r="R228" t="str">
        <f>IF(ISERROR(MATCH(P228&amp;"."&amp;Q228,R$5:R227,0)),P228&amp;"."&amp;Q228,P228&amp;"."&amp;Q228&amp;COUNTIFS(P$5:P227,P228,Q$5:Q227,Q228))</f>
        <v>513.SG1</v>
      </c>
      <c r="S228" s="55">
        <f t="shared" si="19"/>
        <v>473277.89647205244</v>
      </c>
      <c r="W228" s="53">
        <v>4031</v>
      </c>
      <c r="X228" s="54">
        <f t="shared" si="15"/>
        <v>0</v>
      </c>
      <c r="Y228" s="54">
        <f>SUMIFS(FuncStudy!$G$93:$G$2216,FuncStudy!$AI$93:$AI$2216,$W228,FuncStudy!$AJ$93:$AJ$2216,"&lt;&gt;"&amp;"NA")</f>
        <v>0</v>
      </c>
      <c r="Z228" s="55">
        <f t="shared" si="16"/>
        <v>0</v>
      </c>
    </row>
    <row r="229" spans="1:26" ht="15.75" hidden="1" thickBot="1">
      <c r="A229" s="5">
        <v>294</v>
      </c>
      <c r="B229" s="59"/>
      <c r="C229" s="45"/>
      <c r="D229" s="63"/>
      <c r="E229" s="63"/>
      <c r="F229" s="63" t="s">
        <v>13</v>
      </c>
      <c r="G229" s="63" t="s">
        <v>15</v>
      </c>
      <c r="H229" s="41"/>
      <c r="I229" s="68">
        <v>0</v>
      </c>
      <c r="J229" s="68">
        <v>0</v>
      </c>
      <c r="K229" s="41"/>
      <c r="L229" s="68">
        <v>0</v>
      </c>
      <c r="M229" s="68">
        <v>0</v>
      </c>
      <c r="N229" s="68">
        <v>0</v>
      </c>
      <c r="P229">
        <f t="shared" si="17"/>
        <v>513</v>
      </c>
      <c r="Q229" t="str">
        <f t="shared" si="18"/>
        <v>SG</v>
      </c>
      <c r="R229" t="str">
        <f>IF(ISERROR(MATCH(P229&amp;"."&amp;Q229,R$5:R228,0)),P229&amp;"."&amp;Q229,P229&amp;"."&amp;Q229&amp;COUNTIFS(P$5:P228,P229,Q$5:Q228,Q229))</f>
        <v>513.SG2</v>
      </c>
      <c r="S229" s="55">
        <f t="shared" si="19"/>
        <v>0</v>
      </c>
      <c r="W229" s="53">
        <v>4118</v>
      </c>
      <c r="X229" s="54">
        <f t="shared" si="15"/>
        <v>-75.162324787912183</v>
      </c>
      <c r="Y229" s="54" t="e">
        <f>SUMIFS(FuncStudy!$G$93:$G$2216,FuncStudy!$AI$93:$AI$2216,$W229,FuncStudy!$AJ$93:$AJ$2216,"&lt;&gt;"&amp;"NA")</f>
        <v>#VALUE!</v>
      </c>
      <c r="Z229" s="55" t="e">
        <f t="shared" si="16"/>
        <v>#VALUE!</v>
      </c>
    </row>
    <row r="230" spans="1:26" hidden="1">
      <c r="A230" s="5">
        <v>295</v>
      </c>
      <c r="B230" s="59"/>
      <c r="C230" s="60"/>
      <c r="D230" s="61"/>
      <c r="E230" s="63"/>
      <c r="F230" s="63"/>
      <c r="G230" s="63"/>
      <c r="H230" s="62" t="s">
        <v>178</v>
      </c>
      <c r="I230" s="65">
        <v>39509019.519999996</v>
      </c>
      <c r="J230" s="65">
        <v>17382980.12539069</v>
      </c>
      <c r="K230" s="62"/>
      <c r="L230" s="65">
        <v>41275683.332129069</v>
      </c>
      <c r="M230" s="65">
        <v>23115415.328993376</v>
      </c>
      <c r="N230" s="65">
        <v>18160268.003135692</v>
      </c>
      <c r="P230">
        <f t="shared" si="17"/>
        <v>513</v>
      </c>
      <c r="Q230" t="str">
        <f t="shared" si="18"/>
        <v>NA</v>
      </c>
      <c r="R230" t="str">
        <f>IF(ISERROR(MATCH(P230&amp;"."&amp;Q230,R$5:R229,0)),P230&amp;"."&amp;Q230,P230&amp;"."&amp;Q230&amp;COUNTIFS(P$5:P229,P230,Q$5:Q229,Q230))</f>
        <v>513.NA1</v>
      </c>
      <c r="S230" s="55">
        <f t="shared" si="19"/>
        <v>18160268.003135692</v>
      </c>
      <c r="W230" s="53">
        <v>4194</v>
      </c>
      <c r="X230" s="54">
        <f t="shared" si="15"/>
        <v>0</v>
      </c>
      <c r="Y230" s="54" t="e">
        <f>SUMIFS(FuncStudy!$G$93:$G$2216,FuncStudy!$AI$93:$AI$2216,$W230,FuncStudy!$AJ$93:$AJ$2216,"&lt;&gt;"&amp;"NA")</f>
        <v>#VALUE!</v>
      </c>
      <c r="Z230" s="55" t="e">
        <f t="shared" si="16"/>
        <v>#VALUE!</v>
      </c>
    </row>
    <row r="231" spans="1:26" hidden="1">
      <c r="A231" s="5">
        <v>296</v>
      </c>
      <c r="B231" s="59"/>
      <c r="C231" s="60"/>
      <c r="D231" s="63"/>
      <c r="E231" s="63"/>
      <c r="F231" s="60"/>
      <c r="G231" s="61"/>
      <c r="H231" s="62"/>
      <c r="I231" s="65"/>
      <c r="J231" s="65"/>
      <c r="K231" s="62"/>
      <c r="L231" s="65"/>
      <c r="M231" s="65"/>
      <c r="N231" s="64"/>
      <c r="P231">
        <f t="shared" si="17"/>
        <v>513</v>
      </c>
      <c r="Q231" t="str">
        <f t="shared" si="18"/>
        <v>NA</v>
      </c>
      <c r="R231" t="str">
        <f>IF(ISERROR(MATCH(P231&amp;"."&amp;Q231,R$5:R230,0)),P231&amp;"."&amp;Q231,P231&amp;"."&amp;Q231&amp;COUNTIFS(P$5:P230,P231,Q$5:Q230,Q231))</f>
        <v>513.NA2</v>
      </c>
      <c r="S231" s="55">
        <f t="shared" si="19"/>
        <v>0</v>
      </c>
      <c r="W231" s="53">
        <v>4311</v>
      </c>
      <c r="X231" s="54">
        <f t="shared" si="15"/>
        <v>681135.72</v>
      </c>
      <c r="Y231" s="54" t="e">
        <f>SUMIFS(FuncStudy!$G$93:$G$2216,FuncStudy!$AI$93:$AI$2216,$W231,FuncStudy!$AJ$93:$AJ$2216,"&lt;&gt;"&amp;"NA")</f>
        <v>#VALUE!</v>
      </c>
      <c r="Z231" s="55" t="e">
        <f t="shared" si="16"/>
        <v>#VALUE!</v>
      </c>
    </row>
    <row r="232" spans="1:26" hidden="1">
      <c r="A232" s="5">
        <v>297</v>
      </c>
      <c r="B232" s="59"/>
      <c r="C232" s="60">
        <v>514</v>
      </c>
      <c r="D232" s="63" t="s">
        <v>192</v>
      </c>
      <c r="E232" s="63"/>
      <c r="F232" s="63"/>
      <c r="G232" s="63"/>
      <c r="H232" s="62"/>
      <c r="I232" s="66"/>
      <c r="J232" s="66"/>
      <c r="K232" s="62"/>
      <c r="L232" s="66"/>
      <c r="M232" s="66"/>
      <c r="N232" s="66"/>
      <c r="P232">
        <f t="shared" si="17"/>
        <v>514</v>
      </c>
      <c r="Q232" t="str">
        <f t="shared" si="18"/>
        <v>NA</v>
      </c>
      <c r="R232" t="str">
        <f>IF(ISERROR(MATCH(P232&amp;"."&amp;Q232,R$5:R231,0)),P232&amp;"."&amp;Q232,P232&amp;"."&amp;Q232&amp;COUNTIFS(P$5:P231,P232,Q$5:Q231,Q232))</f>
        <v>514.NA</v>
      </c>
      <c r="S232" s="55">
        <f t="shared" si="19"/>
        <v>0</v>
      </c>
      <c r="W232" s="53">
        <v>18221</v>
      </c>
      <c r="X232" s="54">
        <f t="shared" si="15"/>
        <v>0</v>
      </c>
      <c r="Y232" s="54" t="e">
        <f>SUMIFS(FuncStudy!$G$93:$G$2216,FuncStudy!$AI$93:$AI$2216,$W232,FuncStudy!$AJ$93:$AJ$2216,"&lt;&gt;"&amp;"NA")</f>
        <v>#VALUE!</v>
      </c>
      <c r="Z232" s="55" t="e">
        <f t="shared" si="16"/>
        <v>#VALUE!</v>
      </c>
    </row>
    <row r="233" spans="1:26" hidden="1">
      <c r="A233" s="5">
        <v>298</v>
      </c>
      <c r="B233" s="59"/>
      <c r="C233" s="60"/>
      <c r="D233" s="63"/>
      <c r="E233" s="63"/>
      <c r="F233" s="63" t="s">
        <v>13</v>
      </c>
      <c r="G233" s="63" t="s">
        <v>15</v>
      </c>
      <c r="H233" s="62"/>
      <c r="I233" s="65">
        <v>9079454.1300000008</v>
      </c>
      <c r="J233" s="65">
        <v>3994732.6612671772</v>
      </c>
      <c r="K233" s="62"/>
      <c r="L233" s="65">
        <v>9336633.0195624959</v>
      </c>
      <c r="M233" s="65">
        <v>5228748.0811634641</v>
      </c>
      <c r="N233" s="65">
        <v>4107884.9383990322</v>
      </c>
      <c r="P233">
        <f t="shared" si="17"/>
        <v>514</v>
      </c>
      <c r="Q233" t="str">
        <f t="shared" si="18"/>
        <v>SG</v>
      </c>
      <c r="R233" t="str">
        <f>IF(ISERROR(MATCH(P233&amp;"."&amp;Q233,R$5:R232,0)),P233&amp;"."&amp;Q233,P233&amp;"."&amp;Q233&amp;COUNTIFS(P$5:P232,P233,Q$5:Q232,Q233))</f>
        <v>514.SG</v>
      </c>
      <c r="S233" s="55">
        <f t="shared" si="19"/>
        <v>4107884.9383990322</v>
      </c>
      <c r="W233" s="53">
        <v>18222</v>
      </c>
      <c r="X233" s="54">
        <f t="shared" si="15"/>
        <v>0</v>
      </c>
      <c r="Y233" s="54" t="e">
        <f>SUMIFS(FuncStudy!$G$93:$G$2216,FuncStudy!$AI$93:$AI$2216,$W233,FuncStudy!$AJ$93:$AJ$2216,"&lt;&gt;"&amp;"NA")</f>
        <v>#VALUE!</v>
      </c>
      <c r="Z233" s="55" t="e">
        <f t="shared" si="16"/>
        <v>#VALUE!</v>
      </c>
    </row>
    <row r="234" spans="1:26" hidden="1">
      <c r="A234" s="5">
        <v>299</v>
      </c>
      <c r="B234" s="59"/>
      <c r="C234" s="60"/>
      <c r="D234" s="61"/>
      <c r="E234" s="63"/>
      <c r="F234" s="63" t="s">
        <v>13</v>
      </c>
      <c r="G234" s="63" t="s">
        <v>15</v>
      </c>
      <c r="H234" s="62"/>
      <c r="I234" s="65">
        <v>1277520.3</v>
      </c>
      <c r="J234" s="65">
        <v>562076.97013188642</v>
      </c>
      <c r="K234" s="62"/>
      <c r="L234" s="65">
        <v>1426069.6059106812</v>
      </c>
      <c r="M234" s="65">
        <v>798634.65768524096</v>
      </c>
      <c r="N234" s="65">
        <v>627434.94822544022</v>
      </c>
      <c r="P234">
        <f t="shared" si="17"/>
        <v>514</v>
      </c>
      <c r="Q234" t="str">
        <f t="shared" si="18"/>
        <v>SG</v>
      </c>
      <c r="R234" t="str">
        <f>IF(ISERROR(MATCH(P234&amp;"."&amp;Q234,R$5:R233,0)),P234&amp;"."&amp;Q234,P234&amp;"."&amp;Q234&amp;COUNTIFS(P$5:P233,P234,Q$5:Q233,Q234))</f>
        <v>514.SG1</v>
      </c>
      <c r="S234" s="55">
        <f t="shared" si="19"/>
        <v>627434.94822544022</v>
      </c>
      <c r="W234" s="53">
        <v>22841</v>
      </c>
      <c r="X234" s="54">
        <f t="shared" si="15"/>
        <v>-211135.01297051625</v>
      </c>
      <c r="Y234" s="54" t="e">
        <f>SUMIFS(FuncStudy!$G$93:$G$2216,FuncStudy!$AI$93:$AI$2216,$W234,FuncStudy!$AJ$93:$AJ$2216,"&lt;&gt;"&amp;"NA")</f>
        <v>#VALUE!</v>
      </c>
      <c r="Z234" s="55" t="e">
        <f t="shared" si="16"/>
        <v>#VALUE!</v>
      </c>
    </row>
    <row r="235" spans="1:26" hidden="1">
      <c r="A235" s="5">
        <v>300</v>
      </c>
      <c r="B235" s="59"/>
      <c r="C235" s="60"/>
      <c r="D235" s="63"/>
      <c r="E235" s="63"/>
      <c r="F235" s="60" t="s">
        <v>13</v>
      </c>
      <c r="G235" s="61" t="s">
        <v>15</v>
      </c>
      <c r="H235" s="62"/>
      <c r="I235" s="65">
        <v>0</v>
      </c>
      <c r="J235" s="65">
        <v>0</v>
      </c>
      <c r="K235" s="62"/>
      <c r="L235" s="65">
        <v>0</v>
      </c>
      <c r="M235" s="65">
        <v>0</v>
      </c>
      <c r="N235" s="64">
        <v>0</v>
      </c>
      <c r="P235">
        <f t="shared" si="17"/>
        <v>514</v>
      </c>
      <c r="Q235" t="str">
        <f t="shared" si="18"/>
        <v>SG</v>
      </c>
      <c r="R235" t="str">
        <f>IF(ISERROR(MATCH(P235&amp;"."&amp;Q235,R$5:R234,0)),P235&amp;"."&amp;Q235,P235&amp;"."&amp;Q235&amp;COUNTIFS(P$5:P234,P235,Q$5:Q234,Q235))</f>
        <v>514.SG2</v>
      </c>
      <c r="S235" s="55">
        <f t="shared" si="19"/>
        <v>0</v>
      </c>
      <c r="W235" s="53">
        <v>25316</v>
      </c>
      <c r="X235" s="54">
        <f t="shared" si="15"/>
        <v>-894638.70755197969</v>
      </c>
      <c r="Y235" s="54" t="e">
        <f>SUMIFS(FuncStudy!$G$93:$G$2216,FuncStudy!$AI$93:$AI$2216,$W235,FuncStudy!$AJ$93:$AJ$2216,"&lt;&gt;"&amp;"NA")</f>
        <v>#VALUE!</v>
      </c>
      <c r="Z235" s="55" t="e">
        <f t="shared" si="16"/>
        <v>#VALUE!</v>
      </c>
    </row>
    <row r="236" spans="1:26" hidden="1">
      <c r="A236" s="5">
        <v>301</v>
      </c>
      <c r="B236" s="59"/>
      <c r="C236" s="60"/>
      <c r="D236" s="63"/>
      <c r="E236" s="63"/>
      <c r="F236" s="63"/>
      <c r="G236" s="63"/>
      <c r="H236" s="62" t="s">
        <v>178</v>
      </c>
      <c r="I236" s="65">
        <v>10356974.430000002</v>
      </c>
      <c r="J236" s="65">
        <v>4556809.6313990634</v>
      </c>
      <c r="K236" s="62"/>
      <c r="L236" s="65">
        <v>10762702.625473177</v>
      </c>
      <c r="M236" s="65">
        <v>6027382.7388487048</v>
      </c>
      <c r="N236" s="65">
        <v>4735319.8866244722</v>
      </c>
      <c r="P236">
        <f t="shared" si="17"/>
        <v>514</v>
      </c>
      <c r="Q236" t="str">
        <f t="shared" si="18"/>
        <v>NA</v>
      </c>
      <c r="R236" t="str">
        <f>IF(ISERROR(MATCH(P236&amp;"."&amp;Q236,R$5:R235,0)),P236&amp;"."&amp;Q236,P236&amp;"."&amp;Q236&amp;COUNTIFS(P$5:P235,P236,Q$5:Q235,Q236))</f>
        <v>514.NA1</v>
      </c>
      <c r="S236" s="55">
        <f t="shared" si="19"/>
        <v>4735319.8866244722</v>
      </c>
      <c r="W236" s="53">
        <v>25317</v>
      </c>
      <c r="X236" s="54">
        <f t="shared" si="15"/>
        <v>-1174024.2872640197</v>
      </c>
      <c r="Y236" s="54" t="e">
        <f>SUMIFS(FuncStudy!$G$93:$G$2216,FuncStudy!$AI$93:$AI$2216,$W236,FuncStudy!$AJ$93:$AJ$2216,"&lt;&gt;"&amp;"NA")</f>
        <v>#VALUE!</v>
      </c>
      <c r="Z236" s="55" t="e">
        <f t="shared" si="16"/>
        <v>#VALUE!</v>
      </c>
    </row>
    <row r="237" spans="1:26" hidden="1">
      <c r="A237" s="5">
        <v>302</v>
      </c>
      <c r="B237" s="59"/>
      <c r="C237" s="60"/>
      <c r="D237" s="63"/>
      <c r="E237" s="63"/>
      <c r="F237" s="63"/>
      <c r="G237" s="63"/>
      <c r="H237" s="62"/>
      <c r="I237" s="66"/>
      <c r="J237" s="66"/>
      <c r="K237" s="62"/>
      <c r="L237" s="66"/>
      <c r="M237" s="66"/>
      <c r="N237" s="66"/>
      <c r="P237">
        <f t="shared" si="17"/>
        <v>514</v>
      </c>
      <c r="Q237" t="str">
        <f t="shared" si="18"/>
        <v>NA</v>
      </c>
      <c r="R237" t="str">
        <f>IF(ISERROR(MATCH(P237&amp;"."&amp;Q237,R$5:R236,0)),P237&amp;"."&amp;Q237,P237&amp;"."&amp;Q237&amp;COUNTIFS(P$5:P236,P237,Q$5:Q236,Q237))</f>
        <v>514.NA2</v>
      </c>
      <c r="S237" s="55">
        <f t="shared" si="19"/>
        <v>0</v>
      </c>
      <c r="W237" s="53">
        <v>25318</v>
      </c>
      <c r="X237" s="54">
        <f t="shared" si="15"/>
        <v>-120113.16990110057</v>
      </c>
      <c r="Y237" s="54" t="e">
        <f>SUMIFS(FuncStudy!$G$93:$G$2216,FuncStudy!$AI$93:$AI$2216,$W237,FuncStudy!$AJ$93:$AJ$2216,"&lt;&gt;"&amp;"NA")</f>
        <v>#VALUE!</v>
      </c>
      <c r="Z237" s="55" t="e">
        <f t="shared" si="16"/>
        <v>#VALUE!</v>
      </c>
    </row>
    <row r="238" spans="1:26" hidden="1">
      <c r="A238" s="5">
        <v>303</v>
      </c>
      <c r="B238" s="59"/>
      <c r="C238" s="60" t="s">
        <v>193</v>
      </c>
      <c r="D238" s="63"/>
      <c r="E238" s="63"/>
      <c r="F238" s="63"/>
      <c r="G238" s="63"/>
      <c r="H238" s="62" t="s">
        <v>178</v>
      </c>
      <c r="I238" s="65">
        <v>1040566325.0200002</v>
      </c>
      <c r="J238" s="65">
        <v>451142930.55321056</v>
      </c>
      <c r="K238" s="62"/>
      <c r="L238" s="65">
        <v>913639089.21508074</v>
      </c>
      <c r="M238" s="65">
        <v>517465909.81048822</v>
      </c>
      <c r="N238" s="65">
        <v>396173179.40459269</v>
      </c>
      <c r="P238" t="str">
        <f t="shared" si="17"/>
        <v>Total Steam Power Generation</v>
      </c>
      <c r="Q238" t="str">
        <f t="shared" si="18"/>
        <v>NA</v>
      </c>
      <c r="R238" t="str">
        <f>IF(ISERROR(MATCH(P238&amp;"."&amp;Q238,R$5:R237,0)),P238&amp;"."&amp;Q238,P238&amp;"."&amp;Q238&amp;COUNTIFS(P$5:P237,P238,Q$5:Q237,Q238))</f>
        <v>Total Steam Power Generation.NA</v>
      </c>
      <c r="S238" s="55">
        <f t="shared" si="19"/>
        <v>396173179.40459269</v>
      </c>
      <c r="W238" s="53">
        <v>25319</v>
      </c>
      <c r="X238" s="54">
        <f t="shared" si="15"/>
        <v>0</v>
      </c>
      <c r="Y238" s="54" t="e">
        <f>SUMIFS(FuncStudy!$G$93:$G$2216,FuncStudy!$AI$93:$AI$2216,$W238,FuncStudy!$AJ$93:$AJ$2216,"&lt;&gt;"&amp;"NA")</f>
        <v>#VALUE!</v>
      </c>
      <c r="Z238" s="55" t="e">
        <f t="shared" si="16"/>
        <v>#VALUE!</v>
      </c>
    </row>
    <row r="239" spans="1:26" hidden="1">
      <c r="A239" s="5">
        <v>304</v>
      </c>
      <c r="B239" s="59"/>
      <c r="C239" s="60">
        <v>517</v>
      </c>
      <c r="D239" s="61" t="s">
        <v>194</v>
      </c>
      <c r="E239" s="63"/>
      <c r="F239" s="63"/>
      <c r="G239" s="63"/>
      <c r="H239" s="62"/>
      <c r="I239" s="65"/>
      <c r="J239" s="65"/>
      <c r="K239" s="62"/>
      <c r="L239" s="65"/>
      <c r="M239" s="65"/>
      <c r="N239" s="65"/>
      <c r="P239">
        <f t="shared" si="17"/>
        <v>517</v>
      </c>
      <c r="Q239" t="str">
        <f t="shared" si="18"/>
        <v>NA</v>
      </c>
      <c r="R239" t="str">
        <f>IF(ISERROR(MATCH(P239&amp;"."&amp;Q239,R$5:R238,0)),P239&amp;"."&amp;Q239,P239&amp;"."&amp;Q239&amp;COUNTIFS(P$5:P238,P239,Q$5:Q238,Q239))</f>
        <v>517.NA</v>
      </c>
      <c r="S239" s="55">
        <f t="shared" si="19"/>
        <v>0</v>
      </c>
      <c r="W239" s="53">
        <v>25335</v>
      </c>
      <c r="X239" s="54">
        <f t="shared" ref="X239:X270" si="20">SUMIFS(JAMValue,$P$6:$P$2441,$W239,$Q$6:$Q$2441,"&lt;&gt;"&amp;"NA")</f>
        <v>-49911277.883508347</v>
      </c>
      <c r="Y239" s="54" t="e">
        <f>SUMIFS(FuncStudy!$G$93:$G$2216,FuncStudy!$AI$93:$AI$2216,$W239,FuncStudy!$AJ$93:$AJ$2216,"&lt;&gt;"&amp;"NA")</f>
        <v>#VALUE!</v>
      </c>
      <c r="Z239" s="55" t="e">
        <f t="shared" si="16"/>
        <v>#VALUE!</v>
      </c>
    </row>
    <row r="240" spans="1:26" hidden="1">
      <c r="A240" s="5">
        <v>305</v>
      </c>
      <c r="B240" s="59"/>
      <c r="C240" s="60"/>
      <c r="D240" s="63"/>
      <c r="E240" s="63"/>
      <c r="F240" s="60" t="s">
        <v>13</v>
      </c>
      <c r="G240" s="61" t="s">
        <v>15</v>
      </c>
      <c r="H240" s="62"/>
      <c r="I240" s="65">
        <v>0</v>
      </c>
      <c r="J240" s="65">
        <v>0</v>
      </c>
      <c r="K240" s="62"/>
      <c r="L240" s="65">
        <v>0</v>
      </c>
      <c r="M240" s="65">
        <v>0</v>
      </c>
      <c r="N240" s="64">
        <v>0</v>
      </c>
      <c r="P240">
        <f t="shared" si="17"/>
        <v>517</v>
      </c>
      <c r="Q240" t="str">
        <f t="shared" si="18"/>
        <v>SG</v>
      </c>
      <c r="R240" t="str">
        <f>IF(ISERROR(MATCH(P240&amp;"."&amp;Q240,R$5:R239,0)),P240&amp;"."&amp;Q240,P240&amp;"."&amp;Q240&amp;COUNTIFS(P$5:P239,P240,Q$5:Q239,Q240))</f>
        <v>517.SG</v>
      </c>
      <c r="S240" s="55">
        <f t="shared" si="19"/>
        <v>0</v>
      </c>
      <c r="W240" s="53">
        <v>25398</v>
      </c>
      <c r="X240" s="54">
        <f t="shared" si="20"/>
        <v>0</v>
      </c>
      <c r="Y240" s="54" t="e">
        <f>SUMIFS(FuncStudy!$G$93:$G$2216,FuncStudy!$AI$93:$AI$2216,$W240,FuncStudy!$AJ$93:$AJ$2216,"&lt;&gt;"&amp;"NA")</f>
        <v>#VALUE!</v>
      </c>
      <c r="Z240" s="55" t="e">
        <f t="shared" si="16"/>
        <v>#VALUE!</v>
      </c>
    </row>
    <row r="241" spans="1:26" hidden="1">
      <c r="A241" s="5">
        <v>306</v>
      </c>
      <c r="B241" s="59"/>
      <c r="C241" s="60"/>
      <c r="D241" s="63"/>
      <c r="E241" s="63"/>
      <c r="F241" s="63"/>
      <c r="G241" s="63"/>
      <c r="H241" s="62" t="s">
        <v>178</v>
      </c>
      <c r="I241" s="66">
        <v>0</v>
      </c>
      <c r="J241" s="66">
        <v>0</v>
      </c>
      <c r="K241" s="62"/>
      <c r="L241" s="66">
        <v>0</v>
      </c>
      <c r="M241" s="66">
        <v>0</v>
      </c>
      <c r="N241" s="66">
        <v>0</v>
      </c>
      <c r="P241">
        <f t="shared" si="17"/>
        <v>517</v>
      </c>
      <c r="Q241" t="str">
        <f t="shared" si="18"/>
        <v>NA</v>
      </c>
      <c r="R241" t="str">
        <f>IF(ISERROR(MATCH(P241&amp;"."&amp;Q241,R$5:R240,0)),P241&amp;"."&amp;Q241,P241&amp;"."&amp;Q241&amp;COUNTIFS(P$5:P240,P241,Q$5:Q240,Q241))</f>
        <v>517.NA1</v>
      </c>
      <c r="S241" s="55">
        <f t="shared" si="19"/>
        <v>0</v>
      </c>
      <c r="W241" s="53">
        <v>25399</v>
      </c>
      <c r="X241" s="54">
        <f t="shared" si="20"/>
        <v>-38199682.241059154</v>
      </c>
      <c r="Y241" s="54" t="e">
        <f>SUMIFS(FuncStudy!$G$93:$G$2216,FuncStudy!$AI$93:$AI$2216,$W241,FuncStudy!$AJ$93:$AJ$2216,"&lt;&gt;"&amp;"NA")</f>
        <v>#VALUE!</v>
      </c>
      <c r="Z241" s="55" t="e">
        <f t="shared" si="16"/>
        <v>#VALUE!</v>
      </c>
    </row>
    <row r="242" spans="1:26" hidden="1">
      <c r="A242" s="5">
        <v>307</v>
      </c>
      <c r="B242" s="59"/>
      <c r="C242" s="60"/>
      <c r="D242" s="63"/>
      <c r="E242" s="63"/>
      <c r="F242" s="63"/>
      <c r="G242" s="63"/>
      <c r="H242" s="62"/>
      <c r="I242" s="65"/>
      <c r="J242" s="65"/>
      <c r="K242" s="62"/>
      <c r="L242" s="65"/>
      <c r="M242" s="65"/>
      <c r="N242" s="65"/>
      <c r="P242">
        <f t="shared" si="17"/>
        <v>517</v>
      </c>
      <c r="Q242" t="str">
        <f t="shared" si="18"/>
        <v>NA</v>
      </c>
      <c r="R242" t="str">
        <f>IF(ISERROR(MATCH(P242&amp;"."&amp;Q242,R$5:R241,0)),P242&amp;"."&amp;Q242,P242&amp;"."&amp;Q242&amp;COUNTIFS(P$5:P241,P242,Q$5:Q241,Q242))</f>
        <v>517.NA2</v>
      </c>
      <c r="S242" s="55">
        <f t="shared" si="19"/>
        <v>0</v>
      </c>
      <c r="W242" s="53">
        <v>40910</v>
      </c>
      <c r="X242" s="54">
        <f t="shared" si="20"/>
        <v>-85129420.437101647</v>
      </c>
      <c r="Y242" s="54" t="e">
        <f>SUMIFS(FuncStudy!$G$93:$G$2216,FuncStudy!$AI$93:$AI$2216,$W242,FuncStudy!$AJ$93:$AJ$2216,"&lt;&gt;"&amp;"NA")</f>
        <v>#VALUE!</v>
      </c>
      <c r="Z242" s="55" t="e">
        <f t="shared" si="16"/>
        <v>#VALUE!</v>
      </c>
    </row>
    <row r="243" spans="1:26" hidden="1">
      <c r="A243" s="5">
        <v>308</v>
      </c>
      <c r="B243" s="59"/>
      <c r="C243" s="60">
        <v>518</v>
      </c>
      <c r="D243" s="61" t="s">
        <v>195</v>
      </c>
      <c r="E243" s="63"/>
      <c r="F243" s="63"/>
      <c r="G243" s="63"/>
      <c r="H243" s="62"/>
      <c r="I243" s="65"/>
      <c r="J243" s="65"/>
      <c r="K243" s="62"/>
      <c r="L243" s="65"/>
      <c r="M243" s="65"/>
      <c r="N243" s="65"/>
      <c r="P243">
        <f t="shared" si="17"/>
        <v>518</v>
      </c>
      <c r="Q243" t="str">
        <f t="shared" si="18"/>
        <v>NA</v>
      </c>
      <c r="R243" t="str">
        <f>IF(ISERROR(MATCH(P243&amp;"."&amp;Q243,R$5:R242,0)),P243&amp;"."&amp;Q243,P243&amp;"."&amp;Q243&amp;COUNTIFS(P$5:P242,P243,Q$5:Q242,Q243))</f>
        <v>518.NA</v>
      </c>
      <c r="S243" s="55">
        <f t="shared" si="19"/>
        <v>0</v>
      </c>
      <c r="W243" s="53">
        <v>40911</v>
      </c>
      <c r="X243" s="54">
        <f t="shared" si="20"/>
        <v>3273601.2596625434</v>
      </c>
      <c r="Y243" s="54" t="e">
        <f>SUMIFS(FuncStudy!$G$93:$G$2216,FuncStudy!$AI$93:$AI$2216,$W243,FuncStudy!$AJ$93:$AJ$2216,"&lt;&gt;"&amp;"NA")</f>
        <v>#VALUE!</v>
      </c>
      <c r="Z243" s="55" t="e">
        <f t="shared" si="16"/>
        <v>#VALUE!</v>
      </c>
    </row>
    <row r="244" spans="1:26" hidden="1">
      <c r="A244" s="5">
        <v>309</v>
      </c>
      <c r="B244" s="59"/>
      <c r="C244" s="60"/>
      <c r="D244" s="63"/>
      <c r="E244" s="63"/>
      <c r="F244" s="60" t="s">
        <v>13</v>
      </c>
      <c r="G244" s="61" t="s">
        <v>16</v>
      </c>
      <c r="H244" s="62"/>
      <c r="I244" s="65">
        <v>0</v>
      </c>
      <c r="J244" s="65">
        <v>0</v>
      </c>
      <c r="K244" s="62"/>
      <c r="L244" s="65">
        <v>0</v>
      </c>
      <c r="M244" s="65">
        <v>0</v>
      </c>
      <c r="N244" s="64">
        <v>0</v>
      </c>
      <c r="P244">
        <f t="shared" si="17"/>
        <v>518</v>
      </c>
      <c r="Q244" t="str">
        <f t="shared" si="18"/>
        <v>SE</v>
      </c>
      <c r="R244" t="str">
        <f>IF(ISERROR(MATCH(P244&amp;"."&amp;Q244,R$5:R243,0)),P244&amp;"."&amp;Q244,P244&amp;"."&amp;Q244&amp;COUNTIFS(P$5:P243,P244,Q$5:Q243,Q244))</f>
        <v>518.SE</v>
      </c>
      <c r="S244" s="55">
        <f t="shared" si="19"/>
        <v>0</v>
      </c>
      <c r="W244" s="53">
        <v>41010</v>
      </c>
      <c r="X244" s="54">
        <f t="shared" si="20"/>
        <v>199332156.09496093</v>
      </c>
      <c r="Y244" s="54" t="e">
        <f>SUMIFS(FuncStudy!$G$93:$G$2216,FuncStudy!$AI$93:$AI$2216,$W244,FuncStudy!$AJ$93:$AJ$2216,"&lt;&gt;"&amp;"NA")</f>
        <v>#VALUE!</v>
      </c>
      <c r="Z244" s="55" t="e">
        <f t="shared" si="16"/>
        <v>#VALUE!</v>
      </c>
    </row>
    <row r="245" spans="1:26" hidden="1">
      <c r="A245" s="5">
        <v>310</v>
      </c>
      <c r="B245" s="59"/>
      <c r="C245" s="60"/>
      <c r="D245" s="63"/>
      <c r="E245" s="63"/>
      <c r="F245" s="63"/>
      <c r="G245" s="63"/>
      <c r="H245" s="62"/>
      <c r="I245" s="66"/>
      <c r="J245" s="66"/>
      <c r="K245" s="62"/>
      <c r="L245" s="66"/>
      <c r="M245" s="66"/>
      <c r="N245" s="66"/>
      <c r="P245">
        <f t="shared" si="17"/>
        <v>518</v>
      </c>
      <c r="Q245" t="str">
        <f t="shared" si="18"/>
        <v>NA</v>
      </c>
      <c r="R245" t="str">
        <f>IF(ISERROR(MATCH(P245&amp;"."&amp;Q245,R$5:R244,0)),P245&amp;"."&amp;Q245,P245&amp;"."&amp;Q245&amp;COUNTIFS(P$5:P244,P245,Q$5:Q244,Q245))</f>
        <v>518.NA1</v>
      </c>
      <c r="S245" s="55">
        <f t="shared" si="19"/>
        <v>0</v>
      </c>
      <c r="W245" s="53">
        <v>41140</v>
      </c>
      <c r="X245" s="54">
        <f t="shared" si="20"/>
        <v>-1117293.7135367221</v>
      </c>
      <c r="Y245" s="54" t="e">
        <f>SUMIFS(FuncStudy!$G$93:$G$2216,FuncStudy!$AI$93:$AI$2216,$W245,FuncStudy!$AJ$93:$AJ$2216,"&lt;&gt;"&amp;"NA")</f>
        <v>#VALUE!</v>
      </c>
      <c r="Z245" s="55" t="e">
        <f t="shared" si="16"/>
        <v>#VALUE!</v>
      </c>
    </row>
    <row r="246" spans="1:26" hidden="1">
      <c r="A246" s="5">
        <v>311</v>
      </c>
      <c r="B246" s="59"/>
      <c r="C246" s="60"/>
      <c r="D246" s="63"/>
      <c r="E246" s="63"/>
      <c r="F246" s="63"/>
      <c r="G246" s="63"/>
      <c r="H246" s="62" t="s">
        <v>178</v>
      </c>
      <c r="I246" s="84">
        <v>0</v>
      </c>
      <c r="J246" s="84">
        <v>0</v>
      </c>
      <c r="K246" s="62"/>
      <c r="L246" s="84">
        <v>0</v>
      </c>
      <c r="M246" s="77">
        <v>0</v>
      </c>
      <c r="N246" s="77">
        <v>0</v>
      </c>
      <c r="P246">
        <f t="shared" si="17"/>
        <v>518</v>
      </c>
      <c r="Q246" t="str">
        <f t="shared" si="18"/>
        <v>NA</v>
      </c>
      <c r="R246" t="str">
        <f>IF(ISERROR(MATCH(P246&amp;"."&amp;Q246,R$5:R245,0)),P246&amp;"."&amp;Q246,P246&amp;"."&amp;Q246&amp;COUNTIFS(P$5:P245,P246,Q$5:Q245,Q246))</f>
        <v>518.NA2</v>
      </c>
      <c r="S246" s="55">
        <f t="shared" si="19"/>
        <v>0</v>
      </c>
      <c r="W246" s="53">
        <v>41141</v>
      </c>
      <c r="X246" s="54">
        <f t="shared" si="20"/>
        <v>0</v>
      </c>
      <c r="Y246" s="54" t="e">
        <f>SUMIFS(FuncStudy!$G$93:$G$2216,FuncStudy!$AI$93:$AI$2216,$W246,FuncStudy!$AJ$93:$AJ$2216,"&lt;&gt;"&amp;"NA")</f>
        <v>#VALUE!</v>
      </c>
      <c r="Z246" s="55" t="e">
        <f t="shared" si="16"/>
        <v>#VALUE!</v>
      </c>
    </row>
    <row r="247" spans="1:26" hidden="1">
      <c r="A247" s="5">
        <v>312</v>
      </c>
      <c r="B247" s="59"/>
      <c r="C247" s="60"/>
      <c r="D247" s="63"/>
      <c r="E247" s="70"/>
      <c r="F247" s="63"/>
      <c r="G247" s="63"/>
      <c r="H247" s="62"/>
      <c r="I247" s="84"/>
      <c r="J247" s="84"/>
      <c r="K247" s="62"/>
      <c r="L247" s="84"/>
      <c r="M247" s="84"/>
      <c r="N247" s="84"/>
      <c r="P247">
        <f t="shared" si="17"/>
        <v>518</v>
      </c>
      <c r="Q247" t="str">
        <f t="shared" si="18"/>
        <v>NA</v>
      </c>
      <c r="R247" t="str">
        <f>IF(ISERROR(MATCH(P247&amp;"."&amp;Q247,R$5:R246,0)),P247&amp;"."&amp;Q247,P247&amp;"."&amp;Q247&amp;COUNTIFS(P$5:P246,P247,Q$5:Q246,Q247))</f>
        <v>518.NA3</v>
      </c>
      <c r="S247" s="55">
        <f t="shared" si="19"/>
        <v>0</v>
      </c>
      <c r="W247" s="53">
        <v>41160</v>
      </c>
      <c r="X247" s="54">
        <f t="shared" si="20"/>
        <v>0</v>
      </c>
      <c r="Y247" s="54" t="e">
        <f>SUMIFS(FuncStudy!$G$93:$G$2216,FuncStudy!$AI$93:$AI$2216,$W247,FuncStudy!$AJ$93:$AJ$2216,"&lt;&gt;"&amp;"NA")</f>
        <v>#VALUE!</v>
      </c>
      <c r="Z247" s="55" t="e">
        <f t="shared" si="16"/>
        <v>#VALUE!</v>
      </c>
    </row>
    <row r="248" spans="1:26" hidden="1">
      <c r="A248" s="5">
        <v>313</v>
      </c>
      <c r="B248" s="59"/>
      <c r="C248" s="71">
        <v>519</v>
      </c>
      <c r="D248" s="72" t="s">
        <v>196</v>
      </c>
      <c r="E248" s="73"/>
      <c r="F248" s="63"/>
      <c r="G248" s="72"/>
      <c r="H248" s="74"/>
      <c r="I248" s="85"/>
      <c r="J248" s="85"/>
      <c r="K248" s="62"/>
      <c r="L248" s="85"/>
      <c r="M248" s="85"/>
      <c r="N248" s="85"/>
      <c r="P248">
        <f t="shared" si="17"/>
        <v>519</v>
      </c>
      <c r="Q248" t="str">
        <f t="shared" si="18"/>
        <v>NA</v>
      </c>
      <c r="R248" t="str">
        <f>IF(ISERROR(MATCH(P248&amp;"."&amp;Q248,R$5:R247,0)),P248&amp;"."&amp;Q248,P248&amp;"."&amp;Q248&amp;COUNTIFS(P$5:P247,P248,Q$5:Q247,Q248))</f>
        <v>519.NA</v>
      </c>
      <c r="S248" s="55">
        <f t="shared" si="19"/>
        <v>0</v>
      </c>
      <c r="W248" s="53">
        <v>41170</v>
      </c>
      <c r="X248" s="54">
        <f t="shared" si="20"/>
        <v>0</v>
      </c>
      <c r="Y248" s="54" t="e">
        <f>SUMIFS(FuncStudy!$G$93:$G$2216,FuncStudy!$AI$93:$AI$2216,$W248,FuncStudy!$AJ$93:$AJ$2216,"&lt;&gt;"&amp;"NA")</f>
        <v>#VALUE!</v>
      </c>
      <c r="Z248" s="55" t="e">
        <f t="shared" si="16"/>
        <v>#VALUE!</v>
      </c>
    </row>
    <row r="249" spans="1:26" hidden="1">
      <c r="A249" s="5">
        <v>314</v>
      </c>
      <c r="B249" s="59"/>
      <c r="C249" s="60"/>
      <c r="D249" s="61"/>
      <c r="E249" s="63"/>
      <c r="F249" s="63" t="s">
        <v>13</v>
      </c>
      <c r="G249" s="63" t="s">
        <v>15</v>
      </c>
      <c r="H249" s="62"/>
      <c r="I249" s="77">
        <v>0</v>
      </c>
      <c r="J249" s="77">
        <v>0</v>
      </c>
      <c r="K249" s="62"/>
      <c r="L249" s="77">
        <v>0</v>
      </c>
      <c r="M249" s="77">
        <v>0</v>
      </c>
      <c r="N249" s="77">
        <v>0</v>
      </c>
      <c r="P249">
        <f t="shared" si="17"/>
        <v>519</v>
      </c>
      <c r="Q249" t="str">
        <f t="shared" si="18"/>
        <v>SG</v>
      </c>
      <c r="R249" t="str">
        <f>IF(ISERROR(MATCH(P249&amp;"."&amp;Q249,R$5:R248,0)),P249&amp;"."&amp;Q249,P249&amp;"."&amp;Q249&amp;COUNTIFS(P$5:P248,P249,Q$5:Q248,Q249))</f>
        <v>519.SG</v>
      </c>
      <c r="S249" s="55">
        <f t="shared" si="19"/>
        <v>0</v>
      </c>
      <c r="W249" s="53">
        <v>41181</v>
      </c>
      <c r="X249" s="54">
        <f t="shared" si="20"/>
        <v>0</v>
      </c>
      <c r="Y249" s="54" t="e">
        <f>SUMIFS(FuncStudy!$G$93:$G$2216,FuncStudy!$AI$93:$AI$2216,$W249,FuncStudy!$AJ$93:$AJ$2216,"&lt;&gt;"&amp;"NA")</f>
        <v>#VALUE!</v>
      </c>
      <c r="Z249" s="55" t="e">
        <f t="shared" si="16"/>
        <v>#VALUE!</v>
      </c>
    </row>
    <row r="250" spans="1:26" hidden="1">
      <c r="A250" s="5">
        <v>315</v>
      </c>
      <c r="B250" s="59"/>
      <c r="C250" s="60"/>
      <c r="D250" s="63"/>
      <c r="E250" s="63"/>
      <c r="F250" s="60"/>
      <c r="G250" s="61"/>
      <c r="H250" s="62" t="s">
        <v>178</v>
      </c>
      <c r="I250" s="65">
        <v>0</v>
      </c>
      <c r="J250" s="65">
        <v>0</v>
      </c>
      <c r="K250" s="62"/>
      <c r="L250" s="65">
        <v>0</v>
      </c>
      <c r="M250" s="65">
        <v>0</v>
      </c>
      <c r="N250" s="64">
        <v>0</v>
      </c>
      <c r="P250">
        <f t="shared" si="17"/>
        <v>519</v>
      </c>
      <c r="Q250" t="str">
        <f t="shared" si="18"/>
        <v>NA</v>
      </c>
      <c r="R250" t="str">
        <f>IF(ISERROR(MATCH(P250&amp;"."&amp;Q250,R$5:R249,0)),P250&amp;"."&amp;Q250,P250&amp;"."&amp;Q250&amp;COUNTIFS(P$5:P249,P250,Q$5:Q249,Q250))</f>
        <v>519.NA1</v>
      </c>
      <c r="S250" s="55">
        <f t="shared" si="19"/>
        <v>0</v>
      </c>
      <c r="W250" s="53">
        <v>108360</v>
      </c>
      <c r="X250" s="54">
        <f t="shared" si="20"/>
        <v>-4191144.3609788753</v>
      </c>
      <c r="Y250" s="54" t="e">
        <f>SUMIFS(FuncStudy!$G$93:$G$2216,FuncStudy!$AI$93:$AI$2216,$W250,FuncStudy!$AJ$93:$AJ$2216,"&lt;&gt;"&amp;"NA")</f>
        <v>#VALUE!</v>
      </c>
      <c r="Z250" s="55" t="e">
        <f t="shared" si="16"/>
        <v>#VALUE!</v>
      </c>
    </row>
    <row r="251" spans="1:26" hidden="1">
      <c r="A251" s="5">
        <v>316</v>
      </c>
      <c r="B251" s="59"/>
      <c r="C251" s="60"/>
      <c r="D251" s="63"/>
      <c r="E251" s="63"/>
      <c r="F251" s="63"/>
      <c r="G251" s="63"/>
      <c r="H251" s="62"/>
      <c r="I251" s="66"/>
      <c r="J251" s="66"/>
      <c r="K251" s="62"/>
      <c r="L251" s="66"/>
      <c r="M251" s="66"/>
      <c r="N251" s="66"/>
      <c r="P251">
        <f t="shared" si="17"/>
        <v>519</v>
      </c>
      <c r="Q251" t="str">
        <f t="shared" si="18"/>
        <v>NA</v>
      </c>
      <c r="R251" t="str">
        <f>IF(ISERROR(MATCH(P251&amp;"."&amp;Q251,R$5:R250,0)),P251&amp;"."&amp;Q251,P251&amp;"."&amp;Q251&amp;COUNTIFS(P$5:P250,P251,Q$5:Q250,Q251))</f>
        <v>519.NA2</v>
      </c>
      <c r="S251" s="55">
        <f t="shared" si="19"/>
        <v>0</v>
      </c>
      <c r="W251" s="53">
        <v>108361</v>
      </c>
      <c r="X251" s="54">
        <f t="shared" si="20"/>
        <v>-14131922.364926232</v>
      </c>
      <c r="Y251" s="54" t="e">
        <f>SUMIFS(FuncStudy!$G$93:$G$2216,FuncStudy!$AI$93:$AI$2216,$W251,FuncStudy!$AJ$93:$AJ$2216,"&lt;&gt;"&amp;"NA")</f>
        <v>#VALUE!</v>
      </c>
      <c r="Z251" s="55" t="e">
        <f t="shared" si="16"/>
        <v>#VALUE!</v>
      </c>
    </row>
    <row r="252" spans="1:26" hidden="1">
      <c r="A252" s="5">
        <v>317</v>
      </c>
      <c r="B252" s="59"/>
      <c r="C252" s="60">
        <v>520</v>
      </c>
      <c r="D252" s="63" t="s">
        <v>182</v>
      </c>
      <c r="E252" s="63"/>
      <c r="F252" s="63"/>
      <c r="G252" s="63"/>
      <c r="H252" s="62"/>
      <c r="I252" s="65"/>
      <c r="J252" s="65"/>
      <c r="K252" s="62"/>
      <c r="L252" s="65"/>
      <c r="M252" s="65"/>
      <c r="N252" s="65"/>
      <c r="P252">
        <f t="shared" si="17"/>
        <v>520</v>
      </c>
      <c r="Q252" t="str">
        <f t="shared" si="18"/>
        <v>NA</v>
      </c>
      <c r="R252" t="str">
        <f>IF(ISERROR(MATCH(P252&amp;"."&amp;Q252,R$5:R251,0)),P252&amp;"."&amp;Q252,P252&amp;"."&amp;Q252&amp;COUNTIFS(P$5:P251,P252,Q$5:Q251,Q252))</f>
        <v>520.NA</v>
      </c>
      <c r="S252" s="55">
        <f t="shared" si="19"/>
        <v>0</v>
      </c>
      <c r="W252" s="53">
        <v>108362</v>
      </c>
      <c r="X252" s="54">
        <f t="shared" si="20"/>
        <v>-134790643.58460793</v>
      </c>
      <c r="Y252" s="54" t="e">
        <f>SUMIFS(FuncStudy!$G$93:$G$2216,FuncStudy!$AI$93:$AI$2216,$W252,FuncStudy!$AJ$93:$AJ$2216,"&lt;&gt;"&amp;"NA")</f>
        <v>#VALUE!</v>
      </c>
      <c r="Z252" s="55" t="e">
        <f t="shared" si="16"/>
        <v>#VALUE!</v>
      </c>
    </row>
    <row r="253" spans="1:26" hidden="1">
      <c r="A253" s="5">
        <v>318</v>
      </c>
      <c r="B253" s="59"/>
      <c r="C253" s="60"/>
      <c r="D253" s="61"/>
      <c r="E253" s="63"/>
      <c r="F253" s="63" t="s">
        <v>13</v>
      </c>
      <c r="G253" s="63" t="s">
        <v>15</v>
      </c>
      <c r="H253" s="62"/>
      <c r="I253" s="65">
        <v>0</v>
      </c>
      <c r="J253" s="65">
        <v>0</v>
      </c>
      <c r="K253" s="62"/>
      <c r="L253" s="65">
        <v>0</v>
      </c>
      <c r="M253" s="65">
        <v>0</v>
      </c>
      <c r="N253" s="65">
        <v>0</v>
      </c>
      <c r="P253">
        <f t="shared" si="17"/>
        <v>520</v>
      </c>
      <c r="Q253" t="str">
        <f t="shared" si="18"/>
        <v>SG</v>
      </c>
      <c r="R253" t="str">
        <f>IF(ISERROR(MATCH(P253&amp;"."&amp;Q253,R$5:R252,0)),P253&amp;"."&amp;Q253,P253&amp;"."&amp;Q253&amp;COUNTIFS(P$5:P252,P253,Q$5:Q252,Q253))</f>
        <v>520.SG</v>
      </c>
      <c r="S253" s="55">
        <f t="shared" si="19"/>
        <v>0</v>
      </c>
      <c r="W253" s="53">
        <v>108363</v>
      </c>
      <c r="X253" s="54">
        <f t="shared" si="20"/>
        <v>0</v>
      </c>
      <c r="Y253" s="54">
        <f>SUMIFS(FuncStudy!$G$93:$G$2216,FuncStudy!$AI$93:$AI$2216,$W253,FuncStudy!$AJ$93:$AJ$2216,"&lt;&gt;"&amp;"NA")</f>
        <v>0</v>
      </c>
      <c r="Z253" s="55">
        <f t="shared" si="16"/>
        <v>0</v>
      </c>
    </row>
    <row r="254" spans="1:26" hidden="1">
      <c r="A254" s="5">
        <v>319</v>
      </c>
      <c r="B254" s="59"/>
      <c r="C254" s="60"/>
      <c r="D254" s="63"/>
      <c r="E254" s="63"/>
      <c r="F254" s="60"/>
      <c r="G254" s="61"/>
      <c r="H254" s="62" t="s">
        <v>178</v>
      </c>
      <c r="I254" s="65">
        <v>0</v>
      </c>
      <c r="J254" s="65">
        <v>0</v>
      </c>
      <c r="K254" s="62"/>
      <c r="L254" s="65">
        <v>0</v>
      </c>
      <c r="M254" s="65">
        <v>0</v>
      </c>
      <c r="N254" s="64">
        <v>0</v>
      </c>
      <c r="P254">
        <f t="shared" si="17"/>
        <v>520</v>
      </c>
      <c r="Q254" t="str">
        <f t="shared" si="18"/>
        <v>NA</v>
      </c>
      <c r="R254" t="str">
        <f>IF(ISERROR(MATCH(P254&amp;"."&amp;Q254,R$5:R253,0)),P254&amp;"."&amp;Q254,P254&amp;"."&amp;Q254&amp;COUNTIFS(P$5:P253,P254,Q$5:Q253,Q254))</f>
        <v>520.NA1</v>
      </c>
      <c r="S254" s="55">
        <f t="shared" si="19"/>
        <v>0</v>
      </c>
      <c r="W254" s="53">
        <v>108364</v>
      </c>
      <c r="X254" s="54">
        <f t="shared" si="20"/>
        <v>-176107013.33977571</v>
      </c>
      <c r="Y254" s="54" t="e">
        <f>SUMIFS(FuncStudy!$G$93:$G$2216,FuncStudy!$AI$93:$AI$2216,$W254,FuncStudy!$AJ$93:$AJ$2216,"&lt;&gt;"&amp;"NA")</f>
        <v>#VALUE!</v>
      </c>
      <c r="Z254" s="55" t="e">
        <f t="shared" si="16"/>
        <v>#VALUE!</v>
      </c>
    </row>
    <row r="255" spans="1:26" hidden="1">
      <c r="A255" s="5">
        <v>320</v>
      </c>
      <c r="B255" s="59"/>
      <c r="C255" s="60"/>
      <c r="D255" s="63"/>
      <c r="E255" s="63"/>
      <c r="F255" s="63"/>
      <c r="G255" s="63"/>
      <c r="H255" s="62"/>
      <c r="I255" s="66"/>
      <c r="J255" s="66"/>
      <c r="K255" s="62"/>
      <c r="L255" s="66"/>
      <c r="M255" s="66"/>
      <c r="N255" s="66"/>
      <c r="P255">
        <f t="shared" si="17"/>
        <v>520</v>
      </c>
      <c r="Q255" t="str">
        <f t="shared" si="18"/>
        <v>NA</v>
      </c>
      <c r="R255" t="str">
        <f>IF(ISERROR(MATCH(P255&amp;"."&amp;Q255,R$5:R254,0)),P255&amp;"."&amp;Q255,P255&amp;"."&amp;Q255&amp;COUNTIFS(P$5:P254,P255,Q$5:Q254,Q255))</f>
        <v>520.NA2</v>
      </c>
      <c r="S255" s="55">
        <f t="shared" si="19"/>
        <v>0</v>
      </c>
      <c r="W255" s="53">
        <v>108365</v>
      </c>
      <c r="X255" s="54">
        <f t="shared" si="20"/>
        <v>-98538408.162480861</v>
      </c>
      <c r="Y255" s="54" t="e">
        <f>SUMIFS(FuncStudy!$G$93:$G$2216,FuncStudy!$AI$93:$AI$2216,$W255,FuncStudy!$AJ$93:$AJ$2216,"&lt;&gt;"&amp;"NA")</f>
        <v>#VALUE!</v>
      </c>
      <c r="Z255" s="55" t="e">
        <f t="shared" si="16"/>
        <v>#VALUE!</v>
      </c>
    </row>
    <row r="256" spans="1:26" hidden="1">
      <c r="A256" s="5">
        <v>321</v>
      </c>
      <c r="B256" s="59"/>
      <c r="C256" s="60"/>
      <c r="D256" s="63"/>
      <c r="E256" s="63"/>
      <c r="F256" s="63"/>
      <c r="G256" s="63"/>
      <c r="H256" s="62"/>
      <c r="I256" s="65"/>
      <c r="J256" s="65"/>
      <c r="K256" s="62"/>
      <c r="L256" s="65"/>
      <c r="M256" s="65"/>
      <c r="N256" s="65"/>
      <c r="P256">
        <f t="shared" si="17"/>
        <v>520</v>
      </c>
      <c r="Q256" t="str">
        <f t="shared" si="18"/>
        <v>NA</v>
      </c>
      <c r="R256" t="str">
        <f>IF(ISERROR(MATCH(P256&amp;"."&amp;Q256,R$5:R255,0)),P256&amp;"."&amp;Q256,P256&amp;"."&amp;Q256&amp;COUNTIFS(P$5:P255,P256,Q$5:Q255,Q256))</f>
        <v>520.NA3</v>
      </c>
      <c r="S256" s="55">
        <f t="shared" si="19"/>
        <v>0</v>
      </c>
      <c r="W256" s="53">
        <v>108366</v>
      </c>
      <c r="X256" s="54">
        <f t="shared" si="20"/>
        <v>-88785387.471154094</v>
      </c>
      <c r="Y256" s="54" t="e">
        <f>SUMIFS(FuncStudy!$G$93:$G$2216,FuncStudy!$AI$93:$AI$2216,$W256,FuncStudy!$AJ$93:$AJ$2216,"&lt;&gt;"&amp;"NA")</f>
        <v>#VALUE!</v>
      </c>
      <c r="Z256" s="55" t="e">
        <f t="shared" si="16"/>
        <v>#VALUE!</v>
      </c>
    </row>
    <row r="257" spans="1:26" hidden="1">
      <c r="A257" s="5">
        <v>322</v>
      </c>
      <c r="B257" s="59"/>
      <c r="C257" s="60"/>
      <c r="D257" s="61"/>
      <c r="E257" s="63"/>
      <c r="F257" s="63"/>
      <c r="G257" s="63"/>
      <c r="H257" s="62"/>
      <c r="I257" s="65"/>
      <c r="J257" s="65"/>
      <c r="K257" s="62"/>
      <c r="L257" s="65"/>
      <c r="M257" s="65"/>
      <c r="N257" s="65"/>
      <c r="P257">
        <f t="shared" si="17"/>
        <v>520</v>
      </c>
      <c r="Q257" t="str">
        <f t="shared" si="18"/>
        <v>NA</v>
      </c>
      <c r="R257" t="str">
        <f>IF(ISERROR(MATCH(P257&amp;"."&amp;Q257,R$5:R256,0)),P257&amp;"."&amp;Q257,P257&amp;"."&amp;Q257&amp;COUNTIFS(P$5:P256,P257,Q$5:Q256,Q257))</f>
        <v>520.NA4</v>
      </c>
      <c r="S257" s="55">
        <f t="shared" si="19"/>
        <v>0</v>
      </c>
      <c r="W257" s="53">
        <v>108367</v>
      </c>
      <c r="X257" s="54">
        <f t="shared" si="20"/>
        <v>-245246158.20203996</v>
      </c>
      <c r="Y257" s="54" t="e">
        <f>SUMIFS(FuncStudy!$G$93:$G$2216,FuncStudy!$AI$93:$AI$2216,$W257,FuncStudy!$AJ$93:$AJ$2216,"&lt;&gt;"&amp;"NA")</f>
        <v>#VALUE!</v>
      </c>
      <c r="Z257" s="55" t="e">
        <f t="shared" si="16"/>
        <v>#VALUE!</v>
      </c>
    </row>
    <row r="258" spans="1:26" hidden="1">
      <c r="A258" s="5">
        <v>323</v>
      </c>
      <c r="B258" s="59"/>
      <c r="C258" s="60">
        <v>523</v>
      </c>
      <c r="D258" s="63" t="s">
        <v>185</v>
      </c>
      <c r="E258" s="63"/>
      <c r="F258" s="60"/>
      <c r="G258" s="61"/>
      <c r="H258" s="62"/>
      <c r="I258" s="65"/>
      <c r="J258" s="65"/>
      <c r="K258" s="62"/>
      <c r="L258" s="65"/>
      <c r="M258" s="65"/>
      <c r="N258" s="64"/>
      <c r="P258">
        <f t="shared" si="17"/>
        <v>523</v>
      </c>
      <c r="Q258" t="str">
        <f t="shared" si="18"/>
        <v>NA</v>
      </c>
      <c r="R258" t="str">
        <f>IF(ISERROR(MATCH(P258&amp;"."&amp;Q258,R$5:R257,0)),P258&amp;"."&amp;Q258,P258&amp;"."&amp;Q258&amp;COUNTIFS(P$5:P257,P258,Q$5:Q257,Q258))</f>
        <v>523.NA</v>
      </c>
      <c r="S258" s="55">
        <f t="shared" si="19"/>
        <v>0</v>
      </c>
      <c r="W258" s="53">
        <v>108368</v>
      </c>
      <c r="X258" s="54">
        <f t="shared" si="20"/>
        <v>-154995054.27022529</v>
      </c>
      <c r="Y258" s="54" t="e">
        <f>SUMIFS(FuncStudy!$G$93:$G$2216,FuncStudy!$AI$93:$AI$2216,$W258,FuncStudy!$AJ$93:$AJ$2216,"&lt;&gt;"&amp;"NA")</f>
        <v>#VALUE!</v>
      </c>
      <c r="Z258" s="55" t="e">
        <f t="shared" si="16"/>
        <v>#VALUE!</v>
      </c>
    </row>
    <row r="259" spans="1:26" hidden="1">
      <c r="A259" s="5">
        <v>324</v>
      </c>
      <c r="B259" s="59"/>
      <c r="C259" s="60"/>
      <c r="D259" s="63"/>
      <c r="E259" s="63"/>
      <c r="F259" s="63" t="s">
        <v>13</v>
      </c>
      <c r="G259" s="63" t="s">
        <v>15</v>
      </c>
      <c r="H259" s="62"/>
      <c r="I259" s="66">
        <v>0</v>
      </c>
      <c r="J259" s="66">
        <v>0</v>
      </c>
      <c r="K259" s="62"/>
      <c r="L259" s="66">
        <v>0</v>
      </c>
      <c r="M259" s="66">
        <v>0</v>
      </c>
      <c r="N259" s="66">
        <v>0</v>
      </c>
      <c r="P259">
        <f t="shared" si="17"/>
        <v>523</v>
      </c>
      <c r="Q259" t="str">
        <f t="shared" si="18"/>
        <v>SG</v>
      </c>
      <c r="R259" t="str">
        <f>IF(ISERROR(MATCH(P259&amp;"."&amp;Q259,R$5:R258,0)),P259&amp;"."&amp;Q259,P259&amp;"."&amp;Q259&amp;COUNTIFS(P$5:P258,P259,Q$5:Q258,Q259))</f>
        <v>523.SG</v>
      </c>
      <c r="S259" s="55">
        <f t="shared" si="19"/>
        <v>0</v>
      </c>
      <c r="W259" s="53">
        <v>108369</v>
      </c>
      <c r="X259" s="54">
        <f t="shared" si="20"/>
        <v>-123319417.5088934</v>
      </c>
      <c r="Y259" s="54" t="e">
        <f>SUMIFS(FuncStudy!$G$93:$G$2216,FuncStudy!$AI$93:$AI$2216,$W259,FuncStudy!$AJ$93:$AJ$2216,"&lt;&gt;"&amp;"NA")</f>
        <v>#VALUE!</v>
      </c>
      <c r="Z259" s="55" t="e">
        <f t="shared" si="16"/>
        <v>#VALUE!</v>
      </c>
    </row>
    <row r="260" spans="1:26" hidden="1">
      <c r="A260" s="5">
        <v>325</v>
      </c>
      <c r="B260" s="59"/>
      <c r="C260" s="60"/>
      <c r="D260" s="63"/>
      <c r="E260" s="63"/>
      <c r="F260" s="63"/>
      <c r="G260" s="63"/>
      <c r="H260" s="62" t="s">
        <v>178</v>
      </c>
      <c r="I260" s="65">
        <v>0</v>
      </c>
      <c r="J260" s="65">
        <v>0</v>
      </c>
      <c r="K260" s="62"/>
      <c r="L260" s="65">
        <v>0</v>
      </c>
      <c r="M260" s="65">
        <v>0</v>
      </c>
      <c r="N260" s="65">
        <v>0</v>
      </c>
      <c r="P260">
        <f t="shared" si="17"/>
        <v>523</v>
      </c>
      <c r="Q260" t="str">
        <f t="shared" si="18"/>
        <v>NA</v>
      </c>
      <c r="R260" t="str">
        <f>IF(ISERROR(MATCH(P260&amp;"."&amp;Q260,R$5:R259,0)),P260&amp;"."&amp;Q260,P260&amp;"."&amp;Q260&amp;COUNTIFS(P$5:P259,P260,Q$5:Q259,Q260))</f>
        <v>523.NA1</v>
      </c>
      <c r="S260" s="55">
        <f t="shared" si="19"/>
        <v>0</v>
      </c>
      <c r="W260" s="53">
        <v>108370</v>
      </c>
      <c r="X260" s="54">
        <f t="shared" si="20"/>
        <v>-48582681.255918898</v>
      </c>
      <c r="Y260" s="54" t="e">
        <f>SUMIFS(FuncStudy!$G$93:$G$2216,FuncStudy!$AI$93:$AI$2216,$W260,FuncStudy!$AJ$93:$AJ$2216,"&lt;&gt;"&amp;"NA")</f>
        <v>#VALUE!</v>
      </c>
      <c r="Z260" s="55" t="e">
        <f t="shared" ref="Z260:Z323" si="21">X260-Y260</f>
        <v>#VALUE!</v>
      </c>
    </row>
    <row r="261" spans="1:26" hidden="1">
      <c r="A261" s="5">
        <v>326</v>
      </c>
      <c r="B261" s="59"/>
      <c r="C261" s="60"/>
      <c r="D261" s="61"/>
      <c r="E261" s="63"/>
      <c r="F261" s="63"/>
      <c r="G261" s="63"/>
      <c r="H261" s="62"/>
      <c r="I261" s="65"/>
      <c r="J261" s="65"/>
      <c r="K261" s="62"/>
      <c r="L261" s="65"/>
      <c r="M261" s="65"/>
      <c r="N261" s="65"/>
      <c r="P261">
        <f t="shared" si="17"/>
        <v>523</v>
      </c>
      <c r="Q261" t="str">
        <f t="shared" si="18"/>
        <v>NA</v>
      </c>
      <c r="R261" t="str">
        <f>IF(ISERROR(MATCH(P261&amp;"."&amp;Q261,R$5:R260,0)),P261&amp;"."&amp;Q261,P261&amp;"."&amp;Q261&amp;COUNTIFS(P$5:P260,P261,Q$5:Q260,Q261))</f>
        <v>523.NA2</v>
      </c>
      <c r="S261" s="55">
        <f t="shared" si="19"/>
        <v>0</v>
      </c>
      <c r="W261" s="53">
        <v>108371</v>
      </c>
      <c r="X261" s="54">
        <f t="shared" si="20"/>
        <v>-3501740.9581964398</v>
      </c>
      <c r="Y261" s="54" t="e">
        <f>SUMIFS(FuncStudy!$G$93:$G$2216,FuncStudy!$AI$93:$AI$2216,$W261,FuncStudy!$AJ$93:$AJ$2216,"&lt;&gt;"&amp;"NA")</f>
        <v>#VALUE!</v>
      </c>
      <c r="Z261" s="55" t="e">
        <f t="shared" si="21"/>
        <v>#VALUE!</v>
      </c>
    </row>
    <row r="262" spans="1:26" hidden="1">
      <c r="A262" s="5">
        <v>327</v>
      </c>
      <c r="B262" s="59"/>
      <c r="C262" s="60">
        <v>524</v>
      </c>
      <c r="D262" s="63" t="s">
        <v>197</v>
      </c>
      <c r="E262" s="63"/>
      <c r="F262" s="60"/>
      <c r="G262" s="61"/>
      <c r="H262" s="62"/>
      <c r="I262" s="65"/>
      <c r="J262" s="65"/>
      <c r="K262" s="62"/>
      <c r="L262" s="65"/>
      <c r="M262" s="65"/>
      <c r="N262" s="64"/>
      <c r="P262">
        <f t="shared" si="17"/>
        <v>524</v>
      </c>
      <c r="Q262" t="str">
        <f t="shared" si="18"/>
        <v>NA</v>
      </c>
      <c r="R262" t="str">
        <f>IF(ISERROR(MATCH(P262&amp;"."&amp;Q262,R$5:R261,0)),P262&amp;"."&amp;Q262,P262&amp;"."&amp;Q262&amp;COUNTIFS(P$5:P261,P262,Q$5:Q261,Q262))</f>
        <v>524.NA</v>
      </c>
      <c r="S262" s="55">
        <f t="shared" si="19"/>
        <v>0</v>
      </c>
      <c r="W262" s="53">
        <v>108372</v>
      </c>
      <c r="X262" s="54">
        <f t="shared" si="20"/>
        <v>0</v>
      </c>
      <c r="Y262" s="54" t="e">
        <f>SUMIFS(FuncStudy!$G$93:$G$2216,FuncStudy!$AI$93:$AI$2216,$W262,FuncStudy!$AJ$93:$AJ$2216,"&lt;&gt;"&amp;"NA")</f>
        <v>#VALUE!</v>
      </c>
      <c r="Z262" s="55" t="e">
        <f t="shared" si="21"/>
        <v>#VALUE!</v>
      </c>
    </row>
    <row r="263" spans="1:26" hidden="1">
      <c r="A263" s="5">
        <v>328</v>
      </c>
      <c r="B263" s="59"/>
      <c r="C263" s="60"/>
      <c r="D263" s="63"/>
      <c r="E263" s="63"/>
      <c r="F263" s="63" t="s">
        <v>13</v>
      </c>
      <c r="G263" s="63" t="s">
        <v>15</v>
      </c>
      <c r="H263" s="62"/>
      <c r="I263" s="66">
        <v>0</v>
      </c>
      <c r="J263" s="66">
        <v>0</v>
      </c>
      <c r="K263" s="62"/>
      <c r="L263" s="66">
        <v>0</v>
      </c>
      <c r="M263" s="66">
        <v>0</v>
      </c>
      <c r="N263" s="66">
        <v>0</v>
      </c>
      <c r="P263">
        <f t="shared" ref="P263:P326" si="22">IF(OR(C263="",C263=" ",C263="  ",C263="   "),P262,C263)</f>
        <v>524</v>
      </c>
      <c r="Q263" t="str">
        <f t="shared" ref="Q263:Q326" si="23">IF(G263="","NA",G263)</f>
        <v>SG</v>
      </c>
      <c r="R263" t="str">
        <f>IF(ISERROR(MATCH(P263&amp;"."&amp;Q263,R$5:R262,0)),P263&amp;"."&amp;Q263,P263&amp;"."&amp;Q263&amp;COUNTIFS(P$5:P262,P263,Q$5:Q262,Q263))</f>
        <v>524.SG</v>
      </c>
      <c r="S263" s="55">
        <f t="shared" si="19"/>
        <v>0</v>
      </c>
      <c r="W263" s="53">
        <v>108373</v>
      </c>
      <c r="X263" s="54">
        <f t="shared" si="20"/>
        <v>-13326884.968737466</v>
      </c>
      <c r="Y263" s="54" t="e">
        <f>SUMIFS(FuncStudy!$G$93:$G$2216,FuncStudy!$AI$93:$AI$2216,$W263,FuncStudy!$AJ$93:$AJ$2216,"&lt;&gt;"&amp;"NA")</f>
        <v>#VALUE!</v>
      </c>
      <c r="Z263" s="55" t="e">
        <f t="shared" si="21"/>
        <v>#VALUE!</v>
      </c>
    </row>
    <row r="264" spans="1:26" hidden="1">
      <c r="A264" s="5">
        <v>329</v>
      </c>
      <c r="B264" s="59"/>
      <c r="C264" s="60"/>
      <c r="D264" s="63"/>
      <c r="E264" s="63"/>
      <c r="F264" s="63"/>
      <c r="G264" s="63"/>
      <c r="H264" s="62" t="s">
        <v>178</v>
      </c>
      <c r="I264" s="65">
        <v>0</v>
      </c>
      <c r="J264" s="65">
        <v>0</v>
      </c>
      <c r="K264" s="62"/>
      <c r="L264" s="65">
        <v>0</v>
      </c>
      <c r="M264" s="65">
        <v>0</v>
      </c>
      <c r="N264" s="65">
        <v>0</v>
      </c>
      <c r="P264">
        <f t="shared" si="22"/>
        <v>524</v>
      </c>
      <c r="Q264" t="str">
        <f t="shared" si="23"/>
        <v>NA</v>
      </c>
      <c r="R264" t="str">
        <f>IF(ISERROR(MATCH(P264&amp;"."&amp;Q264,R$5:R263,0)),P264&amp;"."&amp;Q264,P264&amp;"."&amp;Q264&amp;COUNTIFS(P$5:P263,P264,Q$5:Q263,Q264))</f>
        <v>524.NA1</v>
      </c>
      <c r="S264" s="55">
        <f t="shared" ref="S264:S327" si="24">N264</f>
        <v>0</v>
      </c>
      <c r="W264" s="53">
        <v>111390</v>
      </c>
      <c r="X264" s="54">
        <f t="shared" si="20"/>
        <v>0</v>
      </c>
      <c r="Y264" s="54" t="e">
        <f>SUMIFS(FuncStudy!$G$93:$G$2216,FuncStudy!$AI$93:$AI$2216,$W264,FuncStudy!$AJ$93:$AJ$2216,"&lt;&gt;"&amp;"NA")</f>
        <v>#VALUE!</v>
      </c>
      <c r="Z264" s="55" t="e">
        <f t="shared" si="21"/>
        <v>#VALUE!</v>
      </c>
    </row>
    <row r="265" spans="1:26" hidden="1">
      <c r="A265" s="5">
        <v>330</v>
      </c>
      <c r="B265" s="59"/>
      <c r="C265" s="60"/>
      <c r="D265" s="61"/>
      <c r="E265" s="63"/>
      <c r="F265" s="63"/>
      <c r="G265" s="63"/>
      <c r="H265" s="62"/>
      <c r="I265" s="65"/>
      <c r="J265" s="65"/>
      <c r="K265" s="62"/>
      <c r="L265" s="65"/>
      <c r="M265" s="65"/>
      <c r="N265" s="65"/>
      <c r="P265">
        <f t="shared" si="22"/>
        <v>524</v>
      </c>
      <c r="Q265" t="str">
        <f t="shared" si="23"/>
        <v>NA</v>
      </c>
      <c r="R265" t="str">
        <f>IF(ISERROR(MATCH(P265&amp;"."&amp;Q265,R$5:R264,0)),P265&amp;"."&amp;Q265,P265&amp;"."&amp;Q265&amp;COUNTIFS(P$5:P264,P265,Q$5:Q264,Q265))</f>
        <v>524.NA2</v>
      </c>
      <c r="S265" s="55">
        <f t="shared" si="24"/>
        <v>0</v>
      </c>
      <c r="W265" s="53">
        <v>254105</v>
      </c>
      <c r="X265" s="54">
        <f t="shared" si="20"/>
        <v>0</v>
      </c>
      <c r="Y265" s="54">
        <f>SUMIFS(FuncStudy!$G$93:$G$2216,FuncStudy!$AI$93:$AI$2216,$W265,FuncStudy!$AJ$93:$AJ$2216,"&lt;&gt;"&amp;"NA")</f>
        <v>0</v>
      </c>
      <c r="Z265" s="55">
        <f t="shared" si="21"/>
        <v>0</v>
      </c>
    </row>
    <row r="266" spans="1:26" hidden="1">
      <c r="A266" s="5">
        <v>331</v>
      </c>
      <c r="B266" s="59"/>
      <c r="C266" s="60">
        <v>528</v>
      </c>
      <c r="D266" s="63" t="s">
        <v>198</v>
      </c>
      <c r="E266" s="63"/>
      <c r="F266" s="60"/>
      <c r="G266" s="61"/>
      <c r="H266" s="62"/>
      <c r="I266" s="65"/>
      <c r="J266" s="65"/>
      <c r="K266" s="62"/>
      <c r="L266" s="65"/>
      <c r="M266" s="65"/>
      <c r="N266" s="64"/>
      <c r="P266">
        <f t="shared" si="22"/>
        <v>528</v>
      </c>
      <c r="Q266" t="str">
        <f t="shared" si="23"/>
        <v>NA</v>
      </c>
      <c r="R266" t="str">
        <f>IF(ISERROR(MATCH(P266&amp;"."&amp;Q266,R$5:R265,0)),P266&amp;"."&amp;Q266,P266&amp;"."&amp;Q266&amp;COUNTIFS(P$5:P265,P266,Q$5:Q265,Q266))</f>
        <v>528.NA</v>
      </c>
      <c r="S266" s="55">
        <f t="shared" si="24"/>
        <v>0</v>
      </c>
      <c r="W266" s="53">
        <v>1011346</v>
      </c>
      <c r="X266" s="54">
        <f t="shared" si="20"/>
        <v>0</v>
      </c>
      <c r="Y266" s="54">
        <f>SUMIFS(FuncStudy!$G$93:$G$2216,FuncStudy!$AI$93:$AI$2216,$W266,FuncStudy!$AJ$93:$AJ$2216,"&lt;&gt;"&amp;"NA")</f>
        <v>0</v>
      </c>
      <c r="Z266" s="55">
        <f t="shared" si="21"/>
        <v>0</v>
      </c>
    </row>
    <row r="267" spans="1:26" hidden="1">
      <c r="A267" s="5">
        <v>332</v>
      </c>
      <c r="B267" s="59"/>
      <c r="C267" s="60"/>
      <c r="D267" s="63"/>
      <c r="E267" s="63"/>
      <c r="F267" s="63" t="s">
        <v>13</v>
      </c>
      <c r="G267" s="63" t="s">
        <v>15</v>
      </c>
      <c r="H267" s="62"/>
      <c r="I267" s="66">
        <v>0</v>
      </c>
      <c r="J267" s="66">
        <v>0</v>
      </c>
      <c r="K267" s="62"/>
      <c r="L267" s="66">
        <v>0</v>
      </c>
      <c r="M267" s="66">
        <v>0</v>
      </c>
      <c r="N267" s="66">
        <v>0</v>
      </c>
      <c r="P267">
        <f t="shared" si="22"/>
        <v>528</v>
      </c>
      <c r="Q267" t="str">
        <f t="shared" si="23"/>
        <v>SG</v>
      </c>
      <c r="R267" t="str">
        <f>IF(ISERROR(MATCH(P267&amp;"."&amp;Q267,R$5:R266,0)),P267&amp;"."&amp;Q267,P267&amp;"."&amp;Q267&amp;COUNTIFS(P$5:P266,P267,Q$5:Q266,Q267))</f>
        <v>528.SG</v>
      </c>
      <c r="S267" s="55">
        <f t="shared" si="24"/>
        <v>0</v>
      </c>
      <c r="W267" s="53">
        <v>1011390</v>
      </c>
      <c r="X267" s="54">
        <f t="shared" si="20"/>
        <v>8962912.4869941287</v>
      </c>
      <c r="Y267" s="54" t="e">
        <f>SUMIFS(FuncStudy!$G$93:$G$2216,FuncStudy!$AI$93:$AI$2216,$W267,FuncStudy!$AJ$93:$AJ$2216,"&lt;&gt;"&amp;"NA")</f>
        <v>#VALUE!</v>
      </c>
      <c r="Z267" s="55" t="e">
        <f t="shared" si="21"/>
        <v>#VALUE!</v>
      </c>
    </row>
    <row r="268" spans="1:26" hidden="1">
      <c r="A268" s="5">
        <v>333</v>
      </c>
      <c r="B268" s="59"/>
      <c r="C268" s="60"/>
      <c r="D268" s="63"/>
      <c r="E268" s="63"/>
      <c r="F268" s="63"/>
      <c r="G268" s="63"/>
      <c r="H268" s="62" t="s">
        <v>178</v>
      </c>
      <c r="I268" s="65">
        <v>0</v>
      </c>
      <c r="J268" s="65">
        <v>0</v>
      </c>
      <c r="K268" s="62"/>
      <c r="L268" s="65">
        <v>0</v>
      </c>
      <c r="M268" s="65">
        <v>0</v>
      </c>
      <c r="N268" s="65">
        <v>0</v>
      </c>
      <c r="P268">
        <f t="shared" si="22"/>
        <v>528</v>
      </c>
      <c r="Q268" t="str">
        <f t="shared" si="23"/>
        <v>NA</v>
      </c>
      <c r="R268" t="str">
        <f>IF(ISERROR(MATCH(P268&amp;"."&amp;Q268,R$5:R267,0)),P268&amp;"."&amp;Q268,P268&amp;"."&amp;Q268&amp;COUNTIFS(P$5:P267,P268,Q$5:Q267,Q268))</f>
        <v>528.NA1</v>
      </c>
      <c r="S268" s="55">
        <f t="shared" si="24"/>
        <v>0</v>
      </c>
      <c r="W268" s="53">
        <v>1081390</v>
      </c>
      <c r="X268" s="54">
        <f t="shared" si="20"/>
        <v>0</v>
      </c>
      <c r="Y268" s="54" t="e">
        <f>SUMIFS(FuncStudy!$G$93:$G$2216,FuncStudy!$AI$93:$AI$2216,$W268,FuncStudy!$AJ$93:$AJ$2216,"&lt;&gt;"&amp;"NA")</f>
        <v>#VALUE!</v>
      </c>
      <c r="Z268" s="55" t="e">
        <f t="shared" si="21"/>
        <v>#VALUE!</v>
      </c>
    </row>
    <row r="269" spans="1:26" hidden="1">
      <c r="A269" s="5">
        <v>334</v>
      </c>
      <c r="B269" s="59"/>
      <c r="C269" s="60"/>
      <c r="D269" s="61"/>
      <c r="E269" s="63"/>
      <c r="F269" s="63"/>
      <c r="G269" s="63"/>
      <c r="H269" s="62"/>
      <c r="I269" s="65"/>
      <c r="J269" s="65"/>
      <c r="K269" s="62"/>
      <c r="L269" s="65"/>
      <c r="M269" s="65"/>
      <c r="N269" s="65"/>
      <c r="P269">
        <f t="shared" si="22"/>
        <v>528</v>
      </c>
      <c r="Q269" t="str">
        <f t="shared" si="23"/>
        <v>NA</v>
      </c>
      <c r="R269" t="str">
        <f>IF(ISERROR(MATCH(P269&amp;"."&amp;Q269,R$5:R268,0)),P269&amp;"."&amp;Q269,P269&amp;"."&amp;Q269&amp;COUNTIFS(P$5:P268,P269,Q$5:Q268,Q269))</f>
        <v>528.NA2</v>
      </c>
      <c r="S269" s="55">
        <f t="shared" si="24"/>
        <v>0</v>
      </c>
      <c r="W269" s="53">
        <v>1081399</v>
      </c>
      <c r="X269" s="54">
        <f t="shared" si="20"/>
        <v>0</v>
      </c>
      <c r="Y269" s="54" t="e">
        <f>SUMIFS(FuncStudy!$G$93:$G$2216,FuncStudy!$AI$93:$AI$2216,$W269,FuncStudy!$AJ$93:$AJ$2216,"&lt;&gt;"&amp;"NA")</f>
        <v>#VALUE!</v>
      </c>
      <c r="Z269" s="55" t="e">
        <f t="shared" si="21"/>
        <v>#VALUE!</v>
      </c>
    </row>
    <row r="270" spans="1:26" hidden="1">
      <c r="A270" s="5">
        <v>335</v>
      </c>
      <c r="B270" s="59"/>
      <c r="C270" s="60">
        <v>529</v>
      </c>
      <c r="D270" s="63" t="s">
        <v>189</v>
      </c>
      <c r="E270" s="63"/>
      <c r="F270" s="60"/>
      <c r="G270" s="61"/>
      <c r="H270" s="62"/>
      <c r="I270" s="65"/>
      <c r="J270" s="65"/>
      <c r="K270" s="62"/>
      <c r="L270" s="65"/>
      <c r="M270" s="65"/>
      <c r="N270" s="64"/>
      <c r="P270">
        <f t="shared" si="22"/>
        <v>529</v>
      </c>
      <c r="Q270" t="str">
        <f t="shared" si="23"/>
        <v>NA</v>
      </c>
      <c r="R270" t="str">
        <f>IF(ISERROR(MATCH(P270&amp;"."&amp;Q270,R$5:R269,0)),P270&amp;"."&amp;Q270,P270&amp;"."&amp;Q270&amp;COUNTIFS(P$5:P269,P270,Q$5:Q269,Q270))</f>
        <v>529.NA</v>
      </c>
      <c r="S270" s="55">
        <f t="shared" si="24"/>
        <v>0</v>
      </c>
      <c r="W270" s="53" t="s">
        <v>199</v>
      </c>
      <c r="X270" s="54">
        <f t="shared" si="20"/>
        <v>0</v>
      </c>
      <c r="Y270" s="54" t="e">
        <f>SUMIFS(FuncStudy!$G$93:$G$2216,FuncStudy!$AI$93:$AI$2216,$W270,FuncStudy!$AJ$93:$AJ$2216,"&lt;&gt;"&amp;"NA")</f>
        <v>#VALUE!</v>
      </c>
      <c r="Z270" s="55" t="e">
        <f t="shared" si="21"/>
        <v>#VALUE!</v>
      </c>
    </row>
    <row r="271" spans="1:26" hidden="1">
      <c r="A271" s="5">
        <v>336</v>
      </c>
      <c r="B271" s="59"/>
      <c r="C271" s="60"/>
      <c r="D271" s="63"/>
      <c r="E271" s="63"/>
      <c r="F271" s="63" t="s">
        <v>13</v>
      </c>
      <c r="G271" s="63" t="s">
        <v>15</v>
      </c>
      <c r="H271" s="62"/>
      <c r="I271" s="66">
        <v>0</v>
      </c>
      <c r="J271" s="66">
        <v>0</v>
      </c>
      <c r="K271" s="62"/>
      <c r="L271" s="66">
        <v>0</v>
      </c>
      <c r="M271" s="66">
        <v>0</v>
      </c>
      <c r="N271" s="66">
        <v>0</v>
      </c>
      <c r="P271">
        <f t="shared" si="22"/>
        <v>529</v>
      </c>
      <c r="Q271" t="str">
        <f t="shared" si="23"/>
        <v>SG</v>
      </c>
      <c r="R271" t="str">
        <f>IF(ISERROR(MATCH(P271&amp;"."&amp;Q271,R$5:R270,0)),P271&amp;"."&amp;Q271,P271&amp;"."&amp;Q271&amp;COUNTIFS(P$5:P270,P271,Q$5:Q270,Q271))</f>
        <v>529.SG</v>
      </c>
      <c r="S271" s="55">
        <f t="shared" si="24"/>
        <v>0</v>
      </c>
      <c r="W271" s="53" t="s">
        <v>200</v>
      </c>
      <c r="X271" s="54">
        <f t="shared" ref="X271:X302" si="25">SUMIFS(JAMValue,$P$6:$P$2441,$W271,$Q$6:$Q$2441,"&lt;&gt;"&amp;"NA")</f>
        <v>3413437.2723076898</v>
      </c>
      <c r="Y271" s="54" t="e">
        <f>SUMIFS(FuncStudy!$G$93:$G$2216,FuncStudy!$AI$93:$AI$2216,$W271,FuncStudy!$AJ$93:$AJ$2216,"&lt;&gt;"&amp;"NA")</f>
        <v>#VALUE!</v>
      </c>
      <c r="Z271" s="55" t="e">
        <f t="shared" si="21"/>
        <v>#VALUE!</v>
      </c>
    </row>
    <row r="272" spans="1:26" hidden="1">
      <c r="A272" s="5">
        <v>337</v>
      </c>
      <c r="B272" s="59"/>
      <c r="C272" s="60"/>
      <c r="D272" s="63"/>
      <c r="E272" s="63"/>
      <c r="F272" s="63"/>
      <c r="G272" s="63"/>
      <c r="H272" s="62" t="s">
        <v>178</v>
      </c>
      <c r="I272" s="65">
        <v>0</v>
      </c>
      <c r="J272" s="65">
        <v>0</v>
      </c>
      <c r="K272" s="62"/>
      <c r="L272" s="65">
        <v>0</v>
      </c>
      <c r="M272" s="65">
        <v>0</v>
      </c>
      <c r="N272" s="65">
        <v>0</v>
      </c>
      <c r="P272">
        <f t="shared" si="22"/>
        <v>529</v>
      </c>
      <c r="Q272" t="str">
        <f t="shared" si="23"/>
        <v>NA</v>
      </c>
      <c r="R272" t="str">
        <f>IF(ISERROR(MATCH(P272&amp;"."&amp;Q272,R$5:R271,0)),P272&amp;"."&amp;Q272,P272&amp;"."&amp;Q272&amp;COUNTIFS(P$5:P271,P272,Q$5:Q271,Q272))</f>
        <v>529.NA1</v>
      </c>
      <c r="S272" s="55">
        <f t="shared" si="24"/>
        <v>0</v>
      </c>
      <c r="W272" s="53" t="s">
        <v>201</v>
      </c>
      <c r="X272" s="54">
        <f t="shared" si="25"/>
        <v>0</v>
      </c>
      <c r="Y272" s="54" t="e">
        <f>SUMIFS(FuncStudy!$G$93:$G$2216,FuncStudy!$AI$93:$AI$2216,$W272,FuncStudy!$AJ$93:$AJ$2216,"&lt;&gt;"&amp;"NA")</f>
        <v>#VALUE!</v>
      </c>
      <c r="Z272" s="55" t="e">
        <f t="shared" si="21"/>
        <v>#VALUE!</v>
      </c>
    </row>
    <row r="273" spans="1:26" hidden="1">
      <c r="A273" s="5">
        <v>338</v>
      </c>
      <c r="B273" s="59"/>
      <c r="C273" s="60"/>
      <c r="D273" s="61"/>
      <c r="E273" s="63"/>
      <c r="F273" s="63"/>
      <c r="G273" s="63"/>
      <c r="H273" s="62"/>
      <c r="I273" s="65"/>
      <c r="J273" s="65"/>
      <c r="K273" s="62"/>
      <c r="L273" s="65"/>
      <c r="M273" s="65"/>
      <c r="N273" s="65"/>
      <c r="P273">
        <f t="shared" si="22"/>
        <v>529</v>
      </c>
      <c r="Q273" t="str">
        <f t="shared" si="23"/>
        <v>NA</v>
      </c>
      <c r="R273" t="str">
        <f>IF(ISERROR(MATCH(P273&amp;"."&amp;Q273,R$5:R272,0)),P273&amp;"."&amp;Q273,P273&amp;"."&amp;Q273&amp;COUNTIFS(P$5:P272,P273,Q$5:Q272,Q273))</f>
        <v>529.NA2</v>
      </c>
      <c r="S273" s="55">
        <f t="shared" si="24"/>
        <v>0</v>
      </c>
      <c r="W273" s="53" t="s">
        <v>202</v>
      </c>
      <c r="X273" s="54">
        <f t="shared" si="25"/>
        <v>0</v>
      </c>
      <c r="Y273" s="54" t="e">
        <f>SUMIFS(FuncStudy!$G$93:$G$2216,FuncStudy!$AI$93:$AI$2216,$W273,FuncStudy!$AJ$93:$AJ$2216,"&lt;&gt;"&amp;"NA")</f>
        <v>#VALUE!</v>
      </c>
      <c r="Z273" s="55" t="e">
        <f t="shared" si="21"/>
        <v>#VALUE!</v>
      </c>
    </row>
    <row r="274" spans="1:26" hidden="1">
      <c r="A274" s="5">
        <v>339</v>
      </c>
      <c r="B274" s="59"/>
      <c r="C274" s="60">
        <v>530</v>
      </c>
      <c r="D274" s="63" t="s">
        <v>203</v>
      </c>
      <c r="E274" s="63"/>
      <c r="F274" s="60"/>
      <c r="G274" s="61"/>
      <c r="H274" s="62"/>
      <c r="I274" s="65"/>
      <c r="J274" s="65"/>
      <c r="K274" s="62"/>
      <c r="L274" s="65"/>
      <c r="M274" s="65"/>
      <c r="N274" s="64"/>
      <c r="P274">
        <f t="shared" si="22"/>
        <v>530</v>
      </c>
      <c r="Q274" t="str">
        <f t="shared" si="23"/>
        <v>NA</v>
      </c>
      <c r="R274" t="str">
        <f>IF(ISERROR(MATCH(P274&amp;"."&amp;Q274,R$5:R273,0)),P274&amp;"."&amp;Q274,P274&amp;"."&amp;Q274&amp;COUNTIFS(P$5:P273,P274,Q$5:Q273,Q274))</f>
        <v>530.NA</v>
      </c>
      <c r="S274" s="55">
        <f t="shared" si="24"/>
        <v>0</v>
      </c>
      <c r="W274" s="53" t="s">
        <v>204</v>
      </c>
      <c r="X274" s="54">
        <f t="shared" si="25"/>
        <v>-208074567.5421623</v>
      </c>
      <c r="Y274" s="54" t="e">
        <f>SUMIFS(FuncStudy!$G$93:$G$2216,FuncStudy!$AI$93:$AI$2216,$W274,FuncStudy!$AJ$93:$AJ$2216,"&lt;&gt;"&amp;"NA")</f>
        <v>#VALUE!</v>
      </c>
      <c r="Z274" s="55" t="e">
        <f t="shared" si="21"/>
        <v>#VALUE!</v>
      </c>
    </row>
    <row r="275" spans="1:26" hidden="1">
      <c r="A275" s="5">
        <v>340</v>
      </c>
      <c r="B275" s="59"/>
      <c r="C275" s="60"/>
      <c r="D275" s="63"/>
      <c r="E275" s="63"/>
      <c r="F275" s="63" t="s">
        <v>13</v>
      </c>
      <c r="G275" s="63" t="s">
        <v>15</v>
      </c>
      <c r="H275" s="62"/>
      <c r="I275" s="66">
        <v>0</v>
      </c>
      <c r="J275" s="66">
        <v>0</v>
      </c>
      <c r="K275" s="62"/>
      <c r="L275" s="66">
        <v>0</v>
      </c>
      <c r="M275" s="66">
        <v>0</v>
      </c>
      <c r="N275" s="66">
        <v>0</v>
      </c>
      <c r="P275">
        <f t="shared" si="22"/>
        <v>530</v>
      </c>
      <c r="Q275" t="str">
        <f t="shared" si="23"/>
        <v>SG</v>
      </c>
      <c r="R275" t="str">
        <f>IF(ISERROR(MATCH(P275&amp;"."&amp;Q275,R$5:R274,0)),P275&amp;"."&amp;Q275,P275&amp;"."&amp;Q275&amp;COUNTIFS(P$5:P274,P275,Q$5:Q274,Q275))</f>
        <v>530.SG</v>
      </c>
      <c r="S275" s="55">
        <f t="shared" si="24"/>
        <v>0</v>
      </c>
      <c r="W275" s="53" t="s">
        <v>205</v>
      </c>
      <c r="X275" s="54">
        <f t="shared" si="25"/>
        <v>-215891091.68825841</v>
      </c>
      <c r="Y275" s="54" t="e">
        <f>SUMIFS(FuncStudy!$G$93:$G$2216,FuncStudy!$AI$93:$AI$2216,$W275,FuncStudy!$AJ$93:$AJ$2216,"&lt;&gt;"&amp;"NA")</f>
        <v>#VALUE!</v>
      </c>
      <c r="Z275" s="55" t="e">
        <f t="shared" si="21"/>
        <v>#VALUE!</v>
      </c>
    </row>
    <row r="276" spans="1:26" hidden="1">
      <c r="A276" s="5">
        <v>341</v>
      </c>
      <c r="B276" s="59"/>
      <c r="C276" s="60"/>
      <c r="D276" s="63"/>
      <c r="E276" s="63"/>
      <c r="F276" s="63"/>
      <c r="G276" s="63"/>
      <c r="H276" s="62" t="s">
        <v>178</v>
      </c>
      <c r="I276" s="65">
        <v>0</v>
      </c>
      <c r="J276" s="65">
        <v>0</v>
      </c>
      <c r="K276" s="62"/>
      <c r="L276" s="65">
        <v>0</v>
      </c>
      <c r="M276" s="65">
        <v>0</v>
      </c>
      <c r="N276" s="65">
        <v>0</v>
      </c>
      <c r="P276">
        <f t="shared" si="22"/>
        <v>530</v>
      </c>
      <c r="Q276" t="str">
        <f t="shared" si="23"/>
        <v>NA</v>
      </c>
      <c r="R276" t="str">
        <f>IF(ISERROR(MATCH(P276&amp;"."&amp;Q276,R$5:R275,0)),P276&amp;"."&amp;Q276,P276&amp;"."&amp;Q276&amp;COUNTIFS(P$5:P275,P276,Q$5:Q275,Q276))</f>
        <v>530.NA1</v>
      </c>
      <c r="S276" s="55">
        <f t="shared" si="24"/>
        <v>0</v>
      </c>
      <c r="W276" s="53" t="s">
        <v>206</v>
      </c>
      <c r="X276" s="54">
        <f t="shared" si="25"/>
        <v>0</v>
      </c>
      <c r="Y276" s="54" t="e">
        <f>SUMIFS(FuncStudy!$G$93:$G$2216,FuncStudy!$AI$93:$AI$2216,$W276,FuncStudy!$AJ$93:$AJ$2216,"&lt;&gt;"&amp;"NA")</f>
        <v>#VALUE!</v>
      </c>
      <c r="Z276" s="55" t="e">
        <f t="shared" si="21"/>
        <v>#VALUE!</v>
      </c>
    </row>
    <row r="277" spans="1:26" ht="15.75" hidden="1" thickBot="1">
      <c r="A277" s="5">
        <v>342</v>
      </c>
      <c r="B277" s="59"/>
      <c r="C277" s="45"/>
      <c r="D277" s="63"/>
      <c r="E277" s="63"/>
      <c r="F277" s="63"/>
      <c r="G277" s="63"/>
      <c r="H277" s="41"/>
      <c r="I277" s="68"/>
      <c r="J277" s="68"/>
      <c r="K277" s="41"/>
      <c r="L277" s="68"/>
      <c r="M277" s="68"/>
      <c r="N277" s="68"/>
      <c r="P277">
        <f t="shared" si="22"/>
        <v>530</v>
      </c>
      <c r="Q277" t="str">
        <f t="shared" si="23"/>
        <v>NA</v>
      </c>
      <c r="R277" t="str">
        <f>IF(ISERROR(MATCH(P277&amp;"."&amp;Q277,R$5:R276,0)),P277&amp;"."&amp;Q277,P277&amp;"."&amp;Q277&amp;COUNTIFS(P$5:P276,P277,Q$5:Q276,Q277))</f>
        <v>530.NA2</v>
      </c>
      <c r="S277" s="55">
        <f t="shared" si="24"/>
        <v>0</v>
      </c>
      <c r="W277" s="53" t="s">
        <v>207</v>
      </c>
      <c r="X277" s="54">
        <f t="shared" si="25"/>
        <v>0</v>
      </c>
      <c r="Y277" s="54" t="e">
        <f>SUMIFS(FuncStudy!$G$93:$G$2216,FuncStudy!$AI$93:$AI$2216,$W277,FuncStudy!$AJ$93:$AJ$2216,"&lt;&gt;"&amp;"NA")</f>
        <v>#VALUE!</v>
      </c>
      <c r="Z277" s="55" t="e">
        <f t="shared" si="21"/>
        <v>#VALUE!</v>
      </c>
    </row>
    <row r="278" spans="1:26" hidden="1">
      <c r="A278" s="5">
        <v>343</v>
      </c>
      <c r="B278" s="59"/>
      <c r="C278" s="60">
        <v>531</v>
      </c>
      <c r="D278" s="63" t="s">
        <v>191</v>
      </c>
      <c r="E278" s="63"/>
      <c r="F278" s="63"/>
      <c r="G278" s="63"/>
      <c r="H278" s="62"/>
      <c r="I278" s="65"/>
      <c r="J278" s="65"/>
      <c r="K278" s="62"/>
      <c r="L278" s="65"/>
      <c r="M278" s="65"/>
      <c r="N278" s="65"/>
      <c r="P278">
        <f t="shared" si="22"/>
        <v>531</v>
      </c>
      <c r="Q278" t="str">
        <f t="shared" si="23"/>
        <v>NA</v>
      </c>
      <c r="R278" t="str">
        <f>IF(ISERROR(MATCH(P278&amp;"."&amp;Q278,R$5:R277,0)),P278&amp;"."&amp;Q278,P278&amp;"."&amp;Q278&amp;COUNTIFS(P$5:P277,P278,Q$5:Q277,Q278))</f>
        <v>531.NA</v>
      </c>
      <c r="S278" s="55">
        <f t="shared" si="24"/>
        <v>0</v>
      </c>
      <c r="W278" s="53" t="s">
        <v>208</v>
      </c>
      <c r="X278" s="54">
        <f t="shared" si="25"/>
        <v>-71845566.652085617</v>
      </c>
      <c r="Y278" s="54" t="e">
        <f>SUMIFS(FuncStudy!$G$93:$G$2216,FuncStudy!$AI$93:$AI$2216,$W278,FuncStudy!$AJ$93:$AJ$2216,"&lt;&gt;"&amp;"NA")</f>
        <v>#VALUE!</v>
      </c>
      <c r="Z278" s="55" t="e">
        <f t="shared" si="21"/>
        <v>#VALUE!</v>
      </c>
    </row>
    <row r="279" spans="1:26" hidden="1">
      <c r="A279" s="5">
        <v>344</v>
      </c>
      <c r="B279" s="59"/>
      <c r="C279" s="60"/>
      <c r="D279" s="61"/>
      <c r="E279" s="63"/>
      <c r="F279" s="63" t="s">
        <v>13</v>
      </c>
      <c r="G279" s="63" t="s">
        <v>15</v>
      </c>
      <c r="H279" s="62"/>
      <c r="I279" s="65">
        <v>0</v>
      </c>
      <c r="J279" s="65">
        <v>0</v>
      </c>
      <c r="K279" s="62"/>
      <c r="L279" s="65">
        <v>0</v>
      </c>
      <c r="M279" s="65">
        <v>0</v>
      </c>
      <c r="N279" s="65">
        <v>0</v>
      </c>
      <c r="P279">
        <f t="shared" si="22"/>
        <v>531</v>
      </c>
      <c r="Q279" t="str">
        <f t="shared" si="23"/>
        <v>SG</v>
      </c>
      <c r="R279" t="str">
        <f>IF(ISERROR(MATCH(P279&amp;"."&amp;Q279,R$5:R278,0)),P279&amp;"."&amp;Q279,P279&amp;"."&amp;Q279&amp;COUNTIFS(P$5:P278,P279,Q$5:Q278,Q279))</f>
        <v>531.SG</v>
      </c>
      <c r="S279" s="55">
        <f t="shared" si="24"/>
        <v>0</v>
      </c>
      <c r="W279" s="53" t="s">
        <v>209</v>
      </c>
      <c r="X279" s="54">
        <f t="shared" si="25"/>
        <v>-1698745245.4319997</v>
      </c>
      <c r="Y279" s="54" t="e">
        <f>SUMIFS(FuncStudy!$G$93:$G$2216,FuncStudy!$AI$93:$AI$2216,$W279,FuncStudy!$AJ$93:$AJ$2216,"&lt;&gt;"&amp;"NA")</f>
        <v>#VALUE!</v>
      </c>
      <c r="Z279" s="55" t="e">
        <f t="shared" si="21"/>
        <v>#VALUE!</v>
      </c>
    </row>
    <row r="280" spans="1:26" hidden="1">
      <c r="A280" s="5">
        <v>345</v>
      </c>
      <c r="B280" s="59"/>
      <c r="C280" s="60"/>
      <c r="D280" s="63"/>
      <c r="E280" s="63"/>
      <c r="F280" s="60"/>
      <c r="G280" s="61"/>
      <c r="H280" s="62" t="s">
        <v>178</v>
      </c>
      <c r="I280" s="65">
        <v>0</v>
      </c>
      <c r="J280" s="65">
        <v>0</v>
      </c>
      <c r="K280" s="62"/>
      <c r="L280" s="65">
        <v>0</v>
      </c>
      <c r="M280" s="65">
        <v>0</v>
      </c>
      <c r="N280" s="64">
        <v>0</v>
      </c>
      <c r="P280">
        <f t="shared" si="22"/>
        <v>531</v>
      </c>
      <c r="Q280" t="str">
        <f t="shared" si="23"/>
        <v>NA</v>
      </c>
      <c r="R280" t="str">
        <f>IF(ISERROR(MATCH(P280&amp;"."&amp;Q280,R$5:R279,0)),P280&amp;"."&amp;Q280,P280&amp;"."&amp;Q280&amp;COUNTIFS(P$5:P279,P280,Q$5:Q279,Q280))</f>
        <v>531.NA1</v>
      </c>
      <c r="S280" s="55">
        <f t="shared" si="24"/>
        <v>0</v>
      </c>
      <c r="W280" s="53" t="s">
        <v>210</v>
      </c>
      <c r="X280" s="54">
        <f t="shared" si="25"/>
        <v>-885949139.19651449</v>
      </c>
      <c r="Y280" s="54" t="e">
        <f>SUMIFS(FuncStudy!$G$93:$G$2216,FuncStudy!$AI$93:$AI$2216,$W280,FuncStudy!$AJ$93:$AJ$2216,"&lt;&gt;"&amp;"NA")</f>
        <v>#VALUE!</v>
      </c>
      <c r="Z280" s="55" t="e">
        <f t="shared" si="21"/>
        <v>#VALUE!</v>
      </c>
    </row>
    <row r="281" spans="1:26" hidden="1">
      <c r="A281" s="5">
        <v>346</v>
      </c>
      <c r="B281" s="59"/>
      <c r="C281" s="60"/>
      <c r="D281" s="63"/>
      <c r="E281" s="63"/>
      <c r="F281" s="60"/>
      <c r="G281" s="61"/>
      <c r="H281" s="62"/>
      <c r="I281" s="65"/>
      <c r="J281" s="65"/>
      <c r="K281" s="62"/>
      <c r="L281" s="65"/>
      <c r="M281" s="65"/>
      <c r="N281" s="64"/>
      <c r="P281">
        <f t="shared" si="22"/>
        <v>531</v>
      </c>
      <c r="Q281" t="str">
        <f t="shared" si="23"/>
        <v>NA</v>
      </c>
      <c r="R281" t="str">
        <f>IF(ISERROR(MATCH(P281&amp;"."&amp;Q281,R$5:R280,0)),P281&amp;"."&amp;Q281,P281&amp;"."&amp;Q281&amp;COUNTIFS(P$5:P280,P281,Q$5:Q280,Q281))</f>
        <v>531.NA2</v>
      </c>
      <c r="S281" s="55">
        <f t="shared" si="24"/>
        <v>0</v>
      </c>
      <c r="W281" s="53" t="s">
        <v>211</v>
      </c>
      <c r="X281" s="54">
        <f t="shared" si="25"/>
        <v>-1791299.1289067662</v>
      </c>
      <c r="Y281" s="54" t="e">
        <f>SUMIFS(FuncStudy!$G$93:$G$2216,FuncStudy!$AI$93:$AI$2216,$W281,FuncStudy!$AJ$93:$AJ$2216,"&lt;&gt;"&amp;"NA")</f>
        <v>#VALUE!</v>
      </c>
      <c r="Z281" s="55" t="e">
        <f t="shared" si="21"/>
        <v>#VALUE!</v>
      </c>
    </row>
    <row r="282" spans="1:26" hidden="1">
      <c r="A282" s="5">
        <v>347</v>
      </c>
      <c r="B282" s="59"/>
      <c r="C282" s="60">
        <v>532</v>
      </c>
      <c r="D282" s="63" t="s">
        <v>212</v>
      </c>
      <c r="E282" s="63"/>
      <c r="F282" s="60"/>
      <c r="G282" s="61"/>
      <c r="H282" s="62"/>
      <c r="I282" s="65"/>
      <c r="J282" s="65"/>
      <c r="K282" s="62"/>
      <c r="L282" s="65"/>
      <c r="M282" s="65"/>
      <c r="N282" s="64"/>
      <c r="P282">
        <f t="shared" si="22"/>
        <v>532</v>
      </c>
      <c r="Q282" t="str">
        <f t="shared" si="23"/>
        <v>NA</v>
      </c>
      <c r="R282" t="str">
        <f>IF(ISERROR(MATCH(P282&amp;"."&amp;Q282,R$5:R281,0)),P282&amp;"."&amp;Q282,P282&amp;"."&amp;Q282&amp;COUNTIFS(P$5:P281,P282,Q$5:Q281,Q282))</f>
        <v>532.NA</v>
      </c>
      <c r="S282" s="55">
        <f t="shared" si="24"/>
        <v>0</v>
      </c>
      <c r="W282" s="53" t="s">
        <v>213</v>
      </c>
      <c r="X282" s="54">
        <f t="shared" si="25"/>
        <v>-1381184.8208948597</v>
      </c>
      <c r="Y282" s="54" t="e">
        <f>SUMIFS(FuncStudy!$G$93:$G$2216,FuncStudy!$AI$93:$AI$2216,$W282,FuncStudy!$AJ$93:$AJ$2216,"&lt;&gt;"&amp;"NA")</f>
        <v>#VALUE!</v>
      </c>
      <c r="Z282" s="55" t="e">
        <f t="shared" si="21"/>
        <v>#VALUE!</v>
      </c>
    </row>
    <row r="283" spans="1:26" hidden="1">
      <c r="A283" s="5">
        <v>348</v>
      </c>
      <c r="B283" s="59"/>
      <c r="C283" s="60"/>
      <c r="D283" s="63"/>
      <c r="E283" s="63"/>
      <c r="F283" s="63" t="s">
        <v>13</v>
      </c>
      <c r="G283" s="63" t="s">
        <v>15</v>
      </c>
      <c r="H283" s="62"/>
      <c r="I283" s="65">
        <v>0</v>
      </c>
      <c r="J283" s="65">
        <v>0</v>
      </c>
      <c r="K283" s="62"/>
      <c r="L283" s="65">
        <v>0</v>
      </c>
      <c r="M283" s="65">
        <v>0</v>
      </c>
      <c r="N283" s="65">
        <v>0</v>
      </c>
      <c r="P283">
        <f t="shared" si="22"/>
        <v>532</v>
      </c>
      <c r="Q283" t="str">
        <f t="shared" si="23"/>
        <v>SG</v>
      </c>
      <c r="R283" t="str">
        <f>IF(ISERROR(MATCH(P283&amp;"."&amp;Q283,R$5:R282,0)),P283&amp;"."&amp;Q283,P283&amp;"."&amp;Q283&amp;COUNTIFS(P$5:P282,P283,Q$5:Q282,Q283))</f>
        <v>532.SG</v>
      </c>
      <c r="S283" s="55">
        <f t="shared" si="24"/>
        <v>0</v>
      </c>
      <c r="W283" s="53" t="s">
        <v>214</v>
      </c>
      <c r="X283" s="54">
        <f t="shared" si="25"/>
        <v>-273317535.53223252</v>
      </c>
      <c r="Y283" s="54" t="e">
        <f>SUMIFS(FuncStudy!$G$93:$G$2216,FuncStudy!$AI$93:$AI$2216,$W283,FuncStudy!$AJ$93:$AJ$2216,"&lt;&gt;"&amp;"NA")</f>
        <v>#VALUE!</v>
      </c>
      <c r="Z283" s="55" t="e">
        <f t="shared" si="21"/>
        <v>#VALUE!</v>
      </c>
    </row>
    <row r="284" spans="1:26" hidden="1">
      <c r="A284" s="5">
        <v>349</v>
      </c>
      <c r="B284" s="59"/>
      <c r="C284" s="60"/>
      <c r="D284" s="63"/>
      <c r="E284" s="63"/>
      <c r="F284" s="63"/>
      <c r="G284" s="63"/>
      <c r="H284" s="62" t="s">
        <v>178</v>
      </c>
      <c r="I284" s="66">
        <v>0</v>
      </c>
      <c r="J284" s="66">
        <v>0</v>
      </c>
      <c r="K284" s="62"/>
      <c r="L284" s="66">
        <v>0</v>
      </c>
      <c r="M284" s="66">
        <v>0</v>
      </c>
      <c r="N284" s="66">
        <v>0</v>
      </c>
      <c r="P284">
        <f t="shared" si="22"/>
        <v>532</v>
      </c>
      <c r="Q284" t="str">
        <f t="shared" si="23"/>
        <v>NA</v>
      </c>
      <c r="R284" t="str">
        <f>IF(ISERROR(MATCH(P284&amp;"."&amp;Q284,R$5:R283,0)),P284&amp;"."&amp;Q284,P284&amp;"."&amp;Q284&amp;COUNTIFS(P$5:P283,P284,Q$5:Q283,Q284))</f>
        <v>532.NA1</v>
      </c>
      <c r="S284" s="55">
        <f t="shared" si="24"/>
        <v>0</v>
      </c>
      <c r="W284" s="53" t="s">
        <v>215</v>
      </c>
      <c r="X284" s="54">
        <f t="shared" si="25"/>
        <v>0</v>
      </c>
      <c r="Y284" s="54" t="e">
        <f>SUMIFS(FuncStudy!$G$93:$G$2216,FuncStudy!$AI$93:$AI$2216,$W284,FuncStudy!$AJ$93:$AJ$2216,"&lt;&gt;"&amp;"NA")</f>
        <v>#VALUE!</v>
      </c>
      <c r="Z284" s="55" t="e">
        <f t="shared" si="21"/>
        <v>#VALUE!</v>
      </c>
    </row>
    <row r="285" spans="1:26" hidden="1">
      <c r="A285" s="5">
        <v>350</v>
      </c>
      <c r="B285" s="59"/>
      <c r="C285" s="60"/>
      <c r="D285" s="63"/>
      <c r="E285" s="63"/>
      <c r="F285" s="63"/>
      <c r="G285" s="63"/>
      <c r="H285" s="62"/>
      <c r="I285" s="65"/>
      <c r="J285" s="65"/>
      <c r="K285" s="62"/>
      <c r="L285" s="65"/>
      <c r="M285" s="65"/>
      <c r="N285" s="65"/>
      <c r="P285">
        <f t="shared" si="22"/>
        <v>532</v>
      </c>
      <c r="Q285" t="str">
        <f t="shared" si="23"/>
        <v>NA</v>
      </c>
      <c r="R285" t="str">
        <f>IF(ISERROR(MATCH(P285&amp;"."&amp;Q285,R$5:R284,0)),P285&amp;"."&amp;Q285,P285&amp;"."&amp;Q285&amp;COUNTIFS(P$5:P284,P285,Q$5:Q284,Q285))</f>
        <v>532.NA2</v>
      </c>
      <c r="S285" s="55">
        <f t="shared" si="24"/>
        <v>0</v>
      </c>
      <c r="W285" s="53" t="s">
        <v>216</v>
      </c>
      <c r="X285" s="54">
        <f t="shared" si="25"/>
        <v>219869309.04394203</v>
      </c>
      <c r="Y285" s="54" t="e">
        <f>SUMIFS(FuncStudy!$G$93:$G$2216,FuncStudy!$AI$93:$AI$2216,$W285,FuncStudy!$AJ$93:$AJ$2216,"&lt;&gt;"&amp;"NA")</f>
        <v>#VALUE!</v>
      </c>
      <c r="Z285" s="55" t="e">
        <f t="shared" si="21"/>
        <v>#VALUE!</v>
      </c>
    </row>
    <row r="286" spans="1:26" hidden="1">
      <c r="A286" s="5">
        <v>351</v>
      </c>
      <c r="B286" s="59"/>
      <c r="C286" s="60" t="s">
        <v>217</v>
      </c>
      <c r="D286" s="61"/>
      <c r="E286" s="63"/>
      <c r="F286" s="63"/>
      <c r="G286" s="63"/>
      <c r="H286" s="62" t="s">
        <v>178</v>
      </c>
      <c r="I286" s="65">
        <v>0</v>
      </c>
      <c r="J286" s="65">
        <v>0</v>
      </c>
      <c r="K286" s="62"/>
      <c r="L286" s="65">
        <v>0</v>
      </c>
      <c r="M286" s="65">
        <v>0</v>
      </c>
      <c r="N286" s="65">
        <v>0</v>
      </c>
      <c r="P286" t="str">
        <f t="shared" si="22"/>
        <v>Total Nuclear Power Generation</v>
      </c>
      <c r="Q286" t="str">
        <f t="shared" si="23"/>
        <v>NA</v>
      </c>
      <c r="R286" t="str">
        <f>IF(ISERROR(MATCH(P286&amp;"."&amp;Q286,R$5:R285,0)),P286&amp;"."&amp;Q286,P286&amp;"."&amp;Q286&amp;COUNTIFS(P$5:P285,P286,Q$5:Q285,Q286))</f>
        <v>Total Nuclear Power Generation.NA</v>
      </c>
      <c r="S286" s="55">
        <f t="shared" si="24"/>
        <v>0</v>
      </c>
      <c r="W286" s="53" t="s">
        <v>218</v>
      </c>
      <c r="X286" s="54">
        <f t="shared" si="25"/>
        <v>0</v>
      </c>
      <c r="Y286" s="54" t="e">
        <f>SUMIFS(FuncStudy!$G$93:$G$2216,FuncStudy!$AI$93:$AI$2216,$W286,FuncStudy!$AJ$93:$AJ$2216,"&lt;&gt;"&amp;"NA")</f>
        <v>#VALUE!</v>
      </c>
      <c r="Z286" s="55" t="e">
        <f t="shared" si="21"/>
        <v>#VALUE!</v>
      </c>
    </row>
    <row r="287" spans="1:26" hidden="1">
      <c r="A287" s="5">
        <v>352</v>
      </c>
      <c r="B287" s="59"/>
      <c r="C287" s="60"/>
      <c r="D287" s="63"/>
      <c r="E287" s="63"/>
      <c r="F287" s="60"/>
      <c r="G287" s="61"/>
      <c r="H287" s="62"/>
      <c r="I287" s="65"/>
      <c r="J287" s="65"/>
      <c r="K287" s="62"/>
      <c r="L287" s="65"/>
      <c r="M287" s="65"/>
      <c r="N287" s="64"/>
      <c r="P287" t="str">
        <f t="shared" si="22"/>
        <v>Total Nuclear Power Generation</v>
      </c>
      <c r="Q287" t="str">
        <f t="shared" si="23"/>
        <v>NA</v>
      </c>
      <c r="R287" t="str">
        <f>IF(ISERROR(MATCH(P287&amp;"."&amp;Q287,R$5:R286,0)),P287&amp;"."&amp;Q287,P287&amp;"."&amp;Q287&amp;COUNTIFS(P$5:P286,P287,Q$5:Q286,Q287))</f>
        <v>Total Nuclear Power Generation.NA1</v>
      </c>
      <c r="S287" s="55">
        <f t="shared" si="24"/>
        <v>0</v>
      </c>
      <c r="W287" s="53" t="s">
        <v>219</v>
      </c>
      <c r="X287" s="54">
        <f t="shared" si="25"/>
        <v>39478353.042117536</v>
      </c>
      <c r="Y287" s="54" t="e">
        <f>SUMIFS(FuncStudy!$G$93:$G$2216,FuncStudy!$AI$93:$AI$2216,$W287,FuncStudy!$AJ$93:$AJ$2216,"&lt;&gt;"&amp;"NA")</f>
        <v>#VALUE!</v>
      </c>
      <c r="Z287" s="55" t="e">
        <f t="shared" si="21"/>
        <v>#VALUE!</v>
      </c>
    </row>
    <row r="288" spans="1:26" hidden="1">
      <c r="A288" s="5">
        <v>353</v>
      </c>
      <c r="B288" s="59"/>
      <c r="C288" s="60">
        <v>535</v>
      </c>
      <c r="D288" s="63" t="s">
        <v>194</v>
      </c>
      <c r="E288" s="63"/>
      <c r="F288" s="60"/>
      <c r="G288" s="61"/>
      <c r="H288" s="62"/>
      <c r="I288" s="65"/>
      <c r="J288" s="65"/>
      <c r="K288" s="62"/>
      <c r="L288" s="65"/>
      <c r="M288" s="65"/>
      <c r="N288" s="64"/>
      <c r="P288">
        <f t="shared" si="22"/>
        <v>535</v>
      </c>
      <c r="Q288" t="str">
        <f t="shared" si="23"/>
        <v>NA</v>
      </c>
      <c r="R288" t="str">
        <f>IF(ISERROR(MATCH(P288&amp;"."&amp;Q288,R$5:R287,0)),P288&amp;"."&amp;Q288,P288&amp;"."&amp;Q288&amp;COUNTIFS(P$5:P287,P288,Q$5:Q287,Q288))</f>
        <v>535.NA</v>
      </c>
      <c r="S288" s="55">
        <f t="shared" si="24"/>
        <v>0</v>
      </c>
      <c r="W288" s="53" t="s">
        <v>220</v>
      </c>
      <c r="X288" s="54">
        <f t="shared" si="25"/>
        <v>0</v>
      </c>
      <c r="Y288" s="54">
        <f>SUMIFS(FuncStudy!$G$93:$G$2216,FuncStudy!$AI$93:$AI$2216,$W288,FuncStudy!$AJ$93:$AJ$2216,"&lt;&gt;"&amp;"NA")</f>
        <v>0</v>
      </c>
      <c r="Z288" s="55">
        <f t="shared" si="21"/>
        <v>0</v>
      </c>
    </row>
    <row r="289" spans="1:26" hidden="1">
      <c r="A289" s="5">
        <v>354</v>
      </c>
      <c r="B289" s="59"/>
      <c r="C289" s="60"/>
      <c r="D289" s="63"/>
      <c r="E289" s="63"/>
      <c r="F289" s="60" t="s">
        <v>13</v>
      </c>
      <c r="G289" s="61" t="s">
        <v>15</v>
      </c>
      <c r="H289" s="62"/>
      <c r="I289" s="65">
        <v>0</v>
      </c>
      <c r="J289" s="65">
        <v>0</v>
      </c>
      <c r="K289" s="62"/>
      <c r="L289" s="65">
        <v>0</v>
      </c>
      <c r="M289" s="65">
        <v>0</v>
      </c>
      <c r="N289" s="64">
        <v>0</v>
      </c>
      <c r="P289">
        <f t="shared" si="22"/>
        <v>535</v>
      </c>
      <c r="Q289" t="str">
        <f t="shared" si="23"/>
        <v>SG</v>
      </c>
      <c r="R289" t="str">
        <f>IF(ISERROR(MATCH(P289&amp;"."&amp;Q289,R$5:R288,0)),P289&amp;"."&amp;Q289,P289&amp;"."&amp;Q289&amp;COUNTIFS(P$5:P288,P289,Q$5:Q288,Q289))</f>
        <v>535.SG</v>
      </c>
      <c r="S289" s="55">
        <f t="shared" si="24"/>
        <v>0</v>
      </c>
      <c r="W289" s="53" t="s">
        <v>221</v>
      </c>
      <c r="X289" s="54">
        <f t="shared" si="25"/>
        <v>0</v>
      </c>
      <c r="Y289" s="54" t="e">
        <f>SUMIFS(FuncStudy!$G$93:$G$2216,FuncStudy!$AI$93:$AI$2216,$W289,FuncStudy!$AJ$93:$AJ$2216,"&lt;&gt;"&amp;"NA")</f>
        <v>#VALUE!</v>
      </c>
      <c r="Z289" s="55" t="e">
        <f t="shared" si="21"/>
        <v>#VALUE!</v>
      </c>
    </row>
    <row r="290" spans="1:26" hidden="1">
      <c r="A290" s="5">
        <v>355</v>
      </c>
      <c r="B290" s="59"/>
      <c r="C290" s="60"/>
      <c r="D290" s="63"/>
      <c r="E290" s="63"/>
      <c r="F290" s="63" t="s">
        <v>13</v>
      </c>
      <c r="G290" s="63" t="s">
        <v>15</v>
      </c>
      <c r="H290" s="62"/>
      <c r="I290" s="65">
        <v>0</v>
      </c>
      <c r="J290" s="65">
        <v>0</v>
      </c>
      <c r="K290" s="62"/>
      <c r="L290" s="65">
        <v>0</v>
      </c>
      <c r="M290" s="65">
        <v>0</v>
      </c>
      <c r="N290" s="65">
        <v>0</v>
      </c>
      <c r="P290">
        <f t="shared" si="22"/>
        <v>535</v>
      </c>
      <c r="Q290" t="str">
        <f t="shared" si="23"/>
        <v>SG</v>
      </c>
      <c r="R290" t="str">
        <f>IF(ISERROR(MATCH(P290&amp;"."&amp;Q290,R$5:R289,0)),P290&amp;"."&amp;Q290,P290&amp;"."&amp;Q290&amp;COUNTIFS(P$5:P289,P290,Q$5:Q289,Q290))</f>
        <v>535.SG1</v>
      </c>
      <c r="S290" s="55">
        <f t="shared" si="24"/>
        <v>0</v>
      </c>
      <c r="W290" s="53" t="s">
        <v>222</v>
      </c>
      <c r="X290" s="54">
        <f t="shared" si="25"/>
        <v>0</v>
      </c>
      <c r="Y290" s="54" t="e">
        <f>SUMIFS(FuncStudy!$G$93:$G$2216,FuncStudy!$AI$93:$AI$2216,$W290,FuncStudy!$AJ$93:$AJ$2216,"&lt;&gt;"&amp;"NA")</f>
        <v>#VALUE!</v>
      </c>
      <c r="Z290" s="55" t="e">
        <f t="shared" si="21"/>
        <v>#VALUE!</v>
      </c>
    </row>
    <row r="291" spans="1:26" hidden="1">
      <c r="A291" s="5">
        <v>356</v>
      </c>
      <c r="B291" s="59"/>
      <c r="C291" s="60"/>
      <c r="D291" s="63"/>
      <c r="E291" s="63"/>
      <c r="F291" s="63" t="s">
        <v>13</v>
      </c>
      <c r="G291" s="63" t="s">
        <v>15</v>
      </c>
      <c r="H291" s="62"/>
      <c r="I291" s="66">
        <v>8085349.9500000002</v>
      </c>
      <c r="J291" s="66">
        <v>3557351.6932388465</v>
      </c>
      <c r="K291" s="62"/>
      <c r="L291" s="66">
        <v>8777048.3431532197</v>
      </c>
      <c r="M291" s="66">
        <v>4915366.6623058356</v>
      </c>
      <c r="N291" s="66">
        <v>3861681.6808473845</v>
      </c>
      <c r="P291">
        <f t="shared" si="22"/>
        <v>535</v>
      </c>
      <c r="Q291" t="str">
        <f t="shared" si="23"/>
        <v>SG</v>
      </c>
      <c r="R291" t="str">
        <f>IF(ISERROR(MATCH(P291&amp;"."&amp;Q291,R$5:R290,0)),P291&amp;"."&amp;Q291,P291&amp;"."&amp;Q291&amp;COUNTIFS(P$5:P290,P291,Q$5:Q290,Q291))</f>
        <v>535.SG2</v>
      </c>
      <c r="S291" s="55">
        <f t="shared" si="24"/>
        <v>3861681.6808473845</v>
      </c>
      <c r="W291" s="53" t="s">
        <v>223</v>
      </c>
      <c r="X291" s="54">
        <f t="shared" si="25"/>
        <v>0</v>
      </c>
      <c r="Y291" s="54" t="e">
        <f>SUMIFS(FuncStudy!$G$93:$G$2216,FuncStudy!$AI$93:$AI$2216,$W291,FuncStudy!$AJ$93:$AJ$2216,"&lt;&gt;"&amp;"NA")</f>
        <v>#VALUE!</v>
      </c>
      <c r="Z291" s="55" t="e">
        <f t="shared" si="21"/>
        <v>#VALUE!</v>
      </c>
    </row>
    <row r="292" spans="1:26" hidden="1">
      <c r="A292" s="5">
        <v>357</v>
      </c>
      <c r="B292" s="59"/>
      <c r="C292" s="60"/>
      <c r="D292" s="63"/>
      <c r="E292" s="63"/>
      <c r="F292" s="63" t="s">
        <v>13</v>
      </c>
      <c r="G292" s="63" t="s">
        <v>15</v>
      </c>
      <c r="H292" s="62"/>
      <c r="I292" s="65">
        <v>1377416.22</v>
      </c>
      <c r="J292" s="65">
        <v>606028.67566810152</v>
      </c>
      <c r="K292" s="62"/>
      <c r="L292" s="65">
        <v>1840763.7428541281</v>
      </c>
      <c r="M292" s="65">
        <v>1030873.7494723563</v>
      </c>
      <c r="N292" s="65">
        <v>809889.99338177184</v>
      </c>
      <c r="P292">
        <f t="shared" si="22"/>
        <v>535</v>
      </c>
      <c r="Q292" t="str">
        <f t="shared" si="23"/>
        <v>SG</v>
      </c>
      <c r="R292" t="str">
        <f>IF(ISERROR(MATCH(P292&amp;"."&amp;Q292,R$5:R291,0)),P292&amp;"."&amp;Q292,P292&amp;"."&amp;Q292&amp;COUNTIFS(P$5:P291,P292,Q$5:Q291,Q292))</f>
        <v>535.SG3</v>
      </c>
      <c r="S292" s="55">
        <f t="shared" si="24"/>
        <v>809889.99338177184</v>
      </c>
      <c r="W292" s="53" t="s">
        <v>224</v>
      </c>
      <c r="X292" s="54">
        <f t="shared" si="25"/>
        <v>19879630.749672335</v>
      </c>
      <c r="Y292" s="54" t="e">
        <f>SUMIFS(FuncStudy!$G$93:$G$2216,FuncStudy!$AI$93:$AI$2216,$W292,FuncStudy!$AJ$93:$AJ$2216,"&lt;&gt;"&amp;"NA")</f>
        <v>#VALUE!</v>
      </c>
      <c r="Z292" s="55" t="e">
        <f t="shared" si="21"/>
        <v>#VALUE!</v>
      </c>
    </row>
    <row r="293" spans="1:26" hidden="1">
      <c r="A293" s="5">
        <v>358</v>
      </c>
      <c r="B293" s="59"/>
      <c r="C293" s="60"/>
      <c r="D293" s="61"/>
      <c r="E293" s="63"/>
      <c r="F293" s="63"/>
      <c r="G293" s="63"/>
      <c r="H293" s="62"/>
      <c r="I293" s="65"/>
      <c r="J293" s="65"/>
      <c r="K293" s="62"/>
      <c r="L293" s="65"/>
      <c r="M293" s="65"/>
      <c r="N293" s="65"/>
      <c r="P293">
        <f t="shared" si="22"/>
        <v>535</v>
      </c>
      <c r="Q293" t="str">
        <f t="shared" si="23"/>
        <v>NA</v>
      </c>
      <c r="R293" t="str">
        <f>IF(ISERROR(MATCH(P293&amp;"."&amp;Q293,R$5:R292,0)),P293&amp;"."&amp;Q293,P293&amp;"."&amp;Q293&amp;COUNTIFS(P$5:P292,P293,Q$5:Q292,Q293))</f>
        <v>535.NA1</v>
      </c>
      <c r="S293" s="55">
        <f t="shared" si="24"/>
        <v>0</v>
      </c>
      <c r="W293" s="53" t="s">
        <v>225</v>
      </c>
      <c r="X293" s="54">
        <f t="shared" si="25"/>
        <v>0</v>
      </c>
      <c r="Y293" s="54" t="e">
        <f>SUMIFS(FuncStudy!$G$93:$G$2216,FuncStudy!$AI$93:$AI$2216,$W293,FuncStudy!$AJ$93:$AJ$2216,"&lt;&gt;"&amp;"NA")</f>
        <v>#VALUE!</v>
      </c>
      <c r="Z293" s="55" t="e">
        <f t="shared" si="21"/>
        <v>#VALUE!</v>
      </c>
    </row>
    <row r="294" spans="1:26" hidden="1">
      <c r="A294" s="5">
        <v>359</v>
      </c>
      <c r="B294" s="59"/>
      <c r="C294" s="60"/>
      <c r="D294" s="63"/>
      <c r="E294" s="63"/>
      <c r="F294" s="60"/>
      <c r="G294" s="61"/>
      <c r="H294" s="62" t="s">
        <v>178</v>
      </c>
      <c r="I294" s="65">
        <v>9462766.1699999999</v>
      </c>
      <c r="J294" s="65">
        <v>4163380.3689069478</v>
      </c>
      <c r="K294" s="62"/>
      <c r="L294" s="65">
        <v>10617812.086007347</v>
      </c>
      <c r="M294" s="65">
        <v>5946240.411778192</v>
      </c>
      <c r="N294" s="64">
        <v>4671571.6742291562</v>
      </c>
      <c r="P294">
        <f t="shared" si="22"/>
        <v>535</v>
      </c>
      <c r="Q294" t="str">
        <f t="shared" si="23"/>
        <v>NA</v>
      </c>
      <c r="R294" t="str">
        <f>IF(ISERROR(MATCH(P294&amp;"."&amp;Q294,R$5:R293,0)),P294&amp;"."&amp;Q294,P294&amp;"."&amp;Q294&amp;COUNTIFS(P$5:P293,P294,Q$5:Q293,Q294))</f>
        <v>535.NA2</v>
      </c>
      <c r="S294" s="55">
        <f t="shared" si="24"/>
        <v>4671571.6742291562</v>
      </c>
      <c r="W294" s="53" t="s">
        <v>226</v>
      </c>
      <c r="X294" s="54">
        <f t="shared" si="25"/>
        <v>16847420.430315722</v>
      </c>
      <c r="Y294" s="54" t="e">
        <f>SUMIFS(FuncStudy!$G$93:$G$2216,FuncStudy!$AI$93:$AI$2216,$W294,FuncStudy!$AJ$93:$AJ$2216,"&lt;&gt;"&amp;"NA")</f>
        <v>#VALUE!</v>
      </c>
      <c r="Z294" s="55" t="e">
        <f t="shared" si="21"/>
        <v>#VALUE!</v>
      </c>
    </row>
    <row r="295" spans="1:26" hidden="1">
      <c r="A295" s="5">
        <v>360</v>
      </c>
      <c r="B295" s="59"/>
      <c r="C295" s="60"/>
      <c r="D295" s="63"/>
      <c r="E295" s="63"/>
      <c r="F295" s="60"/>
      <c r="G295" s="61"/>
      <c r="H295" s="62"/>
      <c r="I295" s="65"/>
      <c r="J295" s="65"/>
      <c r="K295" s="62"/>
      <c r="L295" s="65"/>
      <c r="M295" s="65"/>
      <c r="N295" s="64"/>
      <c r="P295">
        <f t="shared" si="22"/>
        <v>535</v>
      </c>
      <c r="Q295" t="str">
        <f t="shared" si="23"/>
        <v>NA</v>
      </c>
      <c r="R295" t="str">
        <f>IF(ISERROR(MATCH(P295&amp;"."&amp;Q295,R$5:R294,0)),P295&amp;"."&amp;Q295,P295&amp;"."&amp;Q295&amp;COUNTIFS(P$5:P294,P295,Q$5:Q294,Q295))</f>
        <v>535.NA3</v>
      </c>
      <c r="S295" s="55">
        <f t="shared" si="24"/>
        <v>0</v>
      </c>
      <c r="W295" s="53" t="s">
        <v>227</v>
      </c>
      <c r="X295" s="54">
        <f t="shared" si="25"/>
        <v>0</v>
      </c>
      <c r="Y295" s="54" t="e">
        <f>SUMIFS(FuncStudy!$G$93:$G$2216,FuncStudy!$AI$93:$AI$2216,$W295,FuncStudy!$AJ$93:$AJ$2216,"&lt;&gt;"&amp;"NA")</f>
        <v>#VALUE!</v>
      </c>
      <c r="Z295" s="55" t="e">
        <f t="shared" si="21"/>
        <v>#VALUE!</v>
      </c>
    </row>
    <row r="296" spans="1:26" hidden="1">
      <c r="A296" s="5">
        <v>361</v>
      </c>
      <c r="B296" s="59"/>
      <c r="C296" s="60">
        <v>536</v>
      </c>
      <c r="D296" s="63" t="s">
        <v>228</v>
      </c>
      <c r="E296" s="63"/>
      <c r="F296" s="60"/>
      <c r="G296" s="61"/>
      <c r="H296" s="62"/>
      <c r="I296" s="65"/>
      <c r="J296" s="65"/>
      <c r="K296" s="62"/>
      <c r="L296" s="65"/>
      <c r="M296" s="65"/>
      <c r="N296" s="64"/>
      <c r="P296">
        <f t="shared" si="22"/>
        <v>536</v>
      </c>
      <c r="Q296" t="str">
        <f t="shared" si="23"/>
        <v>NA</v>
      </c>
      <c r="R296" t="str">
        <f>IF(ISERROR(MATCH(P296&amp;"."&amp;Q296,R$5:R295,0)),P296&amp;"."&amp;Q296,P296&amp;"."&amp;Q296&amp;COUNTIFS(P$5:P295,P296,Q$5:Q295,Q296))</f>
        <v>536.NA</v>
      </c>
      <c r="S296" s="55">
        <f t="shared" si="24"/>
        <v>0</v>
      </c>
      <c r="W296" s="53" t="s">
        <v>229</v>
      </c>
      <c r="X296" s="54">
        <f t="shared" si="25"/>
        <v>0</v>
      </c>
      <c r="Y296" s="54" t="e">
        <f>SUMIFS(FuncStudy!$G$93:$G$2216,FuncStudy!$AI$93:$AI$2216,$W296,FuncStudy!$AJ$93:$AJ$2216,"&lt;&gt;"&amp;"NA")</f>
        <v>#VALUE!</v>
      </c>
      <c r="Z296" s="55" t="e">
        <f t="shared" si="21"/>
        <v>#VALUE!</v>
      </c>
    </row>
    <row r="297" spans="1:26" hidden="1">
      <c r="A297" s="5">
        <v>362</v>
      </c>
      <c r="B297" s="59"/>
      <c r="C297" s="60"/>
      <c r="D297" s="63"/>
      <c r="E297" s="63"/>
      <c r="F297" s="63" t="s">
        <v>13</v>
      </c>
      <c r="G297" s="63" t="s">
        <v>17</v>
      </c>
      <c r="H297" s="62"/>
      <c r="I297" s="65">
        <v>0</v>
      </c>
      <c r="J297" s="65">
        <v>0</v>
      </c>
      <c r="K297" s="62"/>
      <c r="L297" s="65">
        <v>0</v>
      </c>
      <c r="M297" s="65">
        <v>0</v>
      </c>
      <c r="N297" s="65">
        <v>0</v>
      </c>
      <c r="P297">
        <f t="shared" si="22"/>
        <v>536</v>
      </c>
      <c r="Q297" t="str">
        <f t="shared" si="23"/>
        <v>DGP</v>
      </c>
      <c r="R297" t="str">
        <f>IF(ISERROR(MATCH(P297&amp;"."&amp;Q297,R$5:R296,0)),P297&amp;"."&amp;Q297,P297&amp;"."&amp;Q297&amp;COUNTIFS(P$5:P296,P297,Q$5:Q296,Q297))</f>
        <v>536.DGP</v>
      </c>
      <c r="S297" s="55">
        <f t="shared" si="24"/>
        <v>0</v>
      </c>
      <c r="W297" s="53" t="s">
        <v>230</v>
      </c>
      <c r="X297" s="54">
        <f t="shared" si="25"/>
        <v>107170388.95250291</v>
      </c>
      <c r="Y297" s="54" t="e">
        <f>SUMIFS(FuncStudy!$G$93:$G$2216,FuncStudy!$AI$93:$AI$2216,$W297,FuncStudy!$AJ$93:$AJ$2216,"&lt;&gt;"&amp;"NA")</f>
        <v>#VALUE!</v>
      </c>
      <c r="Z297" s="55" t="e">
        <f t="shared" si="21"/>
        <v>#VALUE!</v>
      </c>
    </row>
    <row r="298" spans="1:26" hidden="1">
      <c r="A298" s="5">
        <v>363</v>
      </c>
      <c r="B298" s="59"/>
      <c r="C298" s="60"/>
      <c r="D298" s="63"/>
      <c r="E298" s="63"/>
      <c r="F298" s="63" t="s">
        <v>13</v>
      </c>
      <c r="G298" s="63" t="s">
        <v>15</v>
      </c>
      <c r="H298" s="62"/>
      <c r="I298" s="66">
        <v>36194.269999999997</v>
      </c>
      <c r="J298" s="66">
        <v>15924.573267239221</v>
      </c>
      <c r="K298" s="62"/>
      <c r="L298" s="66">
        <v>38901.381401815546</v>
      </c>
      <c r="M298" s="66">
        <v>21785.746846124028</v>
      </c>
      <c r="N298" s="66">
        <v>17115.634555691518</v>
      </c>
      <c r="P298">
        <f t="shared" si="22"/>
        <v>536</v>
      </c>
      <c r="Q298" t="str">
        <f t="shared" si="23"/>
        <v>SG</v>
      </c>
      <c r="R298" t="str">
        <f>IF(ISERROR(MATCH(P298&amp;"."&amp;Q298,R$5:R297,0)),P298&amp;"."&amp;Q298,P298&amp;"."&amp;Q298&amp;COUNTIFS(P$5:P297,P298,Q$5:Q297,Q298))</f>
        <v>536.SG</v>
      </c>
      <c r="S298" s="55">
        <f t="shared" si="24"/>
        <v>17115.634555691518</v>
      </c>
      <c r="W298" s="53" t="s">
        <v>231</v>
      </c>
      <c r="X298" s="54">
        <f t="shared" si="25"/>
        <v>146075478.84705165</v>
      </c>
      <c r="Y298" s="54" t="e">
        <f>SUMIFS(FuncStudy!$G$93:$G$2216,FuncStudy!$AI$93:$AI$2216,$W298,FuncStudy!$AJ$93:$AJ$2216,"&lt;&gt;"&amp;"NA")</f>
        <v>#VALUE!</v>
      </c>
      <c r="Z298" s="55" t="e">
        <f t="shared" si="21"/>
        <v>#VALUE!</v>
      </c>
    </row>
    <row r="299" spans="1:26" hidden="1">
      <c r="A299" s="5">
        <v>364</v>
      </c>
      <c r="B299" s="59"/>
      <c r="C299" s="60"/>
      <c r="D299" s="63"/>
      <c r="E299" s="63"/>
      <c r="F299" s="63" t="s">
        <v>13</v>
      </c>
      <c r="G299" s="63" t="s">
        <v>15</v>
      </c>
      <c r="H299" s="62"/>
      <c r="I299" s="65">
        <v>0</v>
      </c>
      <c r="J299" s="65">
        <v>0</v>
      </c>
      <c r="K299" s="62"/>
      <c r="L299" s="65">
        <v>0</v>
      </c>
      <c r="M299" s="65">
        <v>0</v>
      </c>
      <c r="N299" s="65">
        <v>0</v>
      </c>
      <c r="P299">
        <f t="shared" si="22"/>
        <v>536</v>
      </c>
      <c r="Q299" t="str">
        <f t="shared" si="23"/>
        <v>SG</v>
      </c>
      <c r="R299" t="str">
        <f>IF(ISERROR(MATCH(P299&amp;"."&amp;Q299,R$5:R298,0)),P299&amp;"."&amp;Q299,P299&amp;"."&amp;Q299&amp;COUNTIFS(P$5:P298,P299,Q$5:Q298,Q299))</f>
        <v>536.SG1</v>
      </c>
      <c r="S299" s="55">
        <f t="shared" si="24"/>
        <v>0</v>
      </c>
      <c r="W299" s="53" t="s">
        <v>232</v>
      </c>
      <c r="X299" s="54">
        <f t="shared" si="25"/>
        <v>57729873.945681706</v>
      </c>
      <c r="Y299" s="54" t="e">
        <f>SUMIFS(FuncStudy!$G$93:$G$2216,FuncStudy!$AI$93:$AI$2216,$W299,FuncStudy!$AJ$93:$AJ$2216,"&lt;&gt;"&amp;"NA")</f>
        <v>#VALUE!</v>
      </c>
      <c r="Z299" s="55" t="e">
        <f t="shared" si="21"/>
        <v>#VALUE!</v>
      </c>
    </row>
    <row r="300" spans="1:26" hidden="1">
      <c r="A300" s="5">
        <v>365</v>
      </c>
      <c r="B300" s="59"/>
      <c r="C300" s="60"/>
      <c r="D300" s="61"/>
      <c r="E300" s="63"/>
      <c r="F300" s="63"/>
      <c r="G300" s="63"/>
      <c r="H300" s="62"/>
      <c r="I300" s="65"/>
      <c r="J300" s="65"/>
      <c r="K300" s="62"/>
      <c r="L300" s="65"/>
      <c r="M300" s="65"/>
      <c r="N300" s="65"/>
      <c r="P300">
        <f t="shared" si="22"/>
        <v>536</v>
      </c>
      <c r="Q300" t="str">
        <f t="shared" si="23"/>
        <v>NA</v>
      </c>
      <c r="R300" t="str">
        <f>IF(ISERROR(MATCH(P300&amp;"."&amp;Q300,R$5:R299,0)),P300&amp;"."&amp;Q300,P300&amp;"."&amp;Q300&amp;COUNTIFS(P$5:P299,P300,Q$5:Q299,Q300))</f>
        <v>536.NA1</v>
      </c>
      <c r="S300" s="55">
        <f t="shared" si="24"/>
        <v>0</v>
      </c>
      <c r="W300" s="53" t="s">
        <v>233</v>
      </c>
      <c r="X300" s="54">
        <f t="shared" si="25"/>
        <v>135059.0758338703</v>
      </c>
      <c r="Y300" s="54" t="e">
        <f>SUMIFS(FuncStudy!$G$93:$G$2216,FuncStudy!$AI$93:$AI$2216,$W300,FuncStudy!$AJ$93:$AJ$2216,"&lt;&gt;"&amp;"NA")</f>
        <v>#VALUE!</v>
      </c>
      <c r="Z300" s="55" t="e">
        <f t="shared" si="21"/>
        <v>#VALUE!</v>
      </c>
    </row>
    <row r="301" spans="1:26" hidden="1">
      <c r="A301" s="5">
        <v>366</v>
      </c>
      <c r="B301" s="59"/>
      <c r="C301" s="60"/>
      <c r="D301" s="63"/>
      <c r="E301" s="63"/>
      <c r="F301" s="60"/>
      <c r="G301" s="61"/>
      <c r="H301" s="62" t="s">
        <v>178</v>
      </c>
      <c r="I301" s="65">
        <v>36194.269999999997</v>
      </c>
      <c r="J301" s="65">
        <v>15924.573267239221</v>
      </c>
      <c r="K301" s="62"/>
      <c r="L301" s="65">
        <v>38901.381401815546</v>
      </c>
      <c r="M301" s="65">
        <v>21785.746846124028</v>
      </c>
      <c r="N301" s="64">
        <v>17115.634555691518</v>
      </c>
      <c r="P301">
        <f t="shared" si="22"/>
        <v>536</v>
      </c>
      <c r="Q301" t="str">
        <f t="shared" si="23"/>
        <v>NA</v>
      </c>
      <c r="R301" t="str">
        <f>IF(ISERROR(MATCH(P301&amp;"."&amp;Q301,R$5:R300,0)),P301&amp;"."&amp;Q301,P301&amp;"."&amp;Q301&amp;COUNTIFS(P$5:P300,P301,Q$5:Q300,Q301))</f>
        <v>536.NA2</v>
      </c>
      <c r="S301" s="55">
        <f t="shared" si="24"/>
        <v>17115.634555691518</v>
      </c>
      <c r="W301" s="53" t="s">
        <v>234</v>
      </c>
      <c r="X301" s="54">
        <f t="shared" si="25"/>
        <v>137138.31858536947</v>
      </c>
      <c r="Y301" s="54" t="e">
        <f>SUMIFS(FuncStudy!$G$93:$G$2216,FuncStudy!$AI$93:$AI$2216,$W301,FuncStudy!$AJ$93:$AJ$2216,"&lt;&gt;"&amp;"NA")</f>
        <v>#VALUE!</v>
      </c>
      <c r="Z301" s="55" t="e">
        <f t="shared" si="21"/>
        <v>#VALUE!</v>
      </c>
    </row>
    <row r="302" spans="1:26" hidden="1">
      <c r="A302" s="5">
        <v>367</v>
      </c>
      <c r="B302" s="59"/>
      <c r="C302" s="60"/>
      <c r="D302" s="63"/>
      <c r="E302" s="63"/>
      <c r="F302" s="60"/>
      <c r="G302" s="61"/>
      <c r="H302" s="62"/>
      <c r="I302" s="65"/>
      <c r="J302" s="65"/>
      <c r="K302" s="62"/>
      <c r="L302" s="65"/>
      <c r="M302" s="65"/>
      <c r="N302" s="64"/>
      <c r="P302">
        <f t="shared" si="22"/>
        <v>536</v>
      </c>
      <c r="Q302" t="str">
        <f t="shared" si="23"/>
        <v>NA</v>
      </c>
      <c r="R302" t="str">
        <f>IF(ISERROR(MATCH(P302&amp;"."&amp;Q302,R$5:R301,0)),P302&amp;"."&amp;Q302,P302&amp;"."&amp;Q302&amp;COUNTIFS(P$5:P301,P302,Q$5:Q301,Q302))</f>
        <v>536.NA3</v>
      </c>
      <c r="S302" s="55">
        <f t="shared" si="24"/>
        <v>0</v>
      </c>
      <c r="W302" s="53" t="s">
        <v>235</v>
      </c>
      <c r="X302" s="54">
        <f t="shared" si="25"/>
        <v>23107079.602523442</v>
      </c>
      <c r="Y302" s="54" t="e">
        <f>SUMIFS(FuncStudy!$G$93:$G$2216,FuncStudy!$AI$93:$AI$2216,$W302,FuncStudy!$AJ$93:$AJ$2216,"&lt;&gt;"&amp;"NA")</f>
        <v>#VALUE!</v>
      </c>
      <c r="Z302" s="55" t="e">
        <f t="shared" si="21"/>
        <v>#VALUE!</v>
      </c>
    </row>
    <row r="303" spans="1:26" hidden="1">
      <c r="A303" s="5">
        <v>368</v>
      </c>
      <c r="B303" s="59"/>
      <c r="C303" s="60">
        <v>537</v>
      </c>
      <c r="D303" s="63" t="s">
        <v>236</v>
      </c>
      <c r="E303" s="63"/>
      <c r="F303" s="60"/>
      <c r="G303" s="61"/>
      <c r="H303" s="62"/>
      <c r="I303" s="65"/>
      <c r="J303" s="65"/>
      <c r="K303" s="62"/>
      <c r="L303" s="65"/>
      <c r="M303" s="65"/>
      <c r="N303" s="64"/>
      <c r="P303">
        <f t="shared" si="22"/>
        <v>537</v>
      </c>
      <c r="Q303" t="str">
        <f t="shared" si="23"/>
        <v>NA</v>
      </c>
      <c r="R303" t="str">
        <f>IF(ISERROR(MATCH(P303&amp;"."&amp;Q303,R$5:R302,0)),P303&amp;"."&amp;Q303,P303&amp;"."&amp;Q303&amp;COUNTIFS(P$5:P302,P303,Q$5:Q302,Q303))</f>
        <v>537.NA</v>
      </c>
      <c r="S303" s="55">
        <f t="shared" si="24"/>
        <v>0</v>
      </c>
      <c r="W303" s="53" t="s">
        <v>237</v>
      </c>
      <c r="X303" s="54">
        <f t="shared" ref="X303:X337" si="26">SUMIFS(JAMValue,$P$6:$P$2441,$W303,$Q$6:$Q$2441,"&lt;&gt;"&amp;"NA")</f>
        <v>0</v>
      </c>
      <c r="Y303" s="54">
        <f>SUMIFS(FuncStudy!$G$93:$G$2216,FuncStudy!$AI$93:$AI$2216,$W303,FuncStudy!$AJ$93:$AJ$2216,"&lt;&gt;"&amp;"NA")</f>
        <v>0</v>
      </c>
      <c r="Z303" s="55">
        <f t="shared" si="21"/>
        <v>0</v>
      </c>
    </row>
    <row r="304" spans="1:26" hidden="1">
      <c r="A304" s="5">
        <v>369</v>
      </c>
      <c r="B304" s="59"/>
      <c r="C304" s="60"/>
      <c r="D304" s="63"/>
      <c r="E304" s="63"/>
      <c r="F304" s="63" t="s">
        <v>13</v>
      </c>
      <c r="G304" s="63" t="s">
        <v>15</v>
      </c>
      <c r="H304" s="62"/>
      <c r="I304" s="65">
        <v>0</v>
      </c>
      <c r="J304" s="65">
        <v>0</v>
      </c>
      <c r="K304" s="62"/>
      <c r="L304" s="65">
        <v>0</v>
      </c>
      <c r="M304" s="65">
        <v>0</v>
      </c>
      <c r="N304" s="65">
        <v>0</v>
      </c>
      <c r="P304">
        <f t="shared" si="22"/>
        <v>537</v>
      </c>
      <c r="Q304" t="str">
        <f t="shared" si="23"/>
        <v>SG</v>
      </c>
      <c r="R304" t="str">
        <f>IF(ISERROR(MATCH(P304&amp;"."&amp;Q304,R$5:R303,0)),P304&amp;"."&amp;Q304,P304&amp;"."&amp;Q304&amp;COUNTIFS(P$5:P303,P304,Q$5:Q303,Q304))</f>
        <v>537.SG</v>
      </c>
      <c r="S304" s="55">
        <f t="shared" si="24"/>
        <v>0</v>
      </c>
      <c r="W304" s="53" t="s">
        <v>238</v>
      </c>
      <c r="X304" s="54">
        <f t="shared" si="26"/>
        <v>0</v>
      </c>
      <c r="Y304" s="54" t="e">
        <f>SUMIFS(FuncStudy!$G$93:$G$2216,FuncStudy!$AI$93:$AI$2216,$W304,FuncStudy!$AJ$93:$AJ$2216,"&lt;&gt;"&amp;"NA")</f>
        <v>#VALUE!</v>
      </c>
      <c r="Z304" s="55" t="e">
        <f t="shared" si="21"/>
        <v>#VALUE!</v>
      </c>
    </row>
    <row r="305" spans="1:26" hidden="1">
      <c r="A305" s="5">
        <v>370</v>
      </c>
      <c r="B305" s="59"/>
      <c r="C305" s="60"/>
      <c r="D305" s="63"/>
      <c r="E305" s="63"/>
      <c r="F305" s="63" t="s">
        <v>13</v>
      </c>
      <c r="G305" s="63" t="s">
        <v>15</v>
      </c>
      <c r="H305" s="62"/>
      <c r="I305" s="66">
        <v>3760056.63</v>
      </c>
      <c r="J305" s="66">
        <v>1654330.8455565921</v>
      </c>
      <c r="K305" s="62"/>
      <c r="L305" s="66">
        <v>3776777.3083560821</v>
      </c>
      <c r="M305" s="66">
        <v>2115089.7826520698</v>
      </c>
      <c r="N305" s="66">
        <v>1661687.5257040125</v>
      </c>
      <c r="P305">
        <f t="shared" si="22"/>
        <v>537</v>
      </c>
      <c r="Q305" t="str">
        <f t="shared" si="23"/>
        <v>SG</v>
      </c>
      <c r="R305" t="str">
        <f>IF(ISERROR(MATCH(P305&amp;"."&amp;Q305,R$5:R304,0)),P305&amp;"."&amp;Q305,P305&amp;"."&amp;Q305&amp;COUNTIFS(P$5:P304,P305,Q$5:Q304,Q305))</f>
        <v>537.SG1</v>
      </c>
      <c r="S305" s="55">
        <f t="shared" si="24"/>
        <v>1661687.5257040125</v>
      </c>
      <c r="W305" s="53" t="s">
        <v>239</v>
      </c>
      <c r="X305" s="54">
        <f t="shared" si="26"/>
        <v>0</v>
      </c>
      <c r="Y305" s="54" t="e">
        <f>SUMIFS(FuncStudy!$G$93:$G$2216,FuncStudy!$AI$93:$AI$2216,$W305,FuncStudy!$AJ$93:$AJ$2216,"&lt;&gt;"&amp;"NA")</f>
        <v>#VALUE!</v>
      </c>
      <c r="Z305" s="55" t="e">
        <f t="shared" si="21"/>
        <v>#VALUE!</v>
      </c>
    </row>
    <row r="306" spans="1:26" hidden="1">
      <c r="A306" s="5">
        <v>371</v>
      </c>
      <c r="B306" s="59"/>
      <c r="C306" s="60"/>
      <c r="D306" s="63"/>
      <c r="E306" s="63"/>
      <c r="F306" s="63" t="s">
        <v>13</v>
      </c>
      <c r="G306" s="63" t="s">
        <v>15</v>
      </c>
      <c r="H306" s="62"/>
      <c r="I306" s="65">
        <v>313251.65999999997</v>
      </c>
      <c r="J306" s="65">
        <v>137822.89325780876</v>
      </c>
      <c r="K306" s="62"/>
      <c r="L306" s="65">
        <v>312531.98965115414</v>
      </c>
      <c r="M306" s="65">
        <v>175025.73334163736</v>
      </c>
      <c r="N306" s="65">
        <v>137506.25630951679</v>
      </c>
      <c r="P306">
        <f t="shared" si="22"/>
        <v>537</v>
      </c>
      <c r="Q306" t="str">
        <f t="shared" si="23"/>
        <v>SG</v>
      </c>
      <c r="R306" t="str">
        <f>IF(ISERROR(MATCH(P306&amp;"."&amp;Q306,R$5:R305,0)),P306&amp;"."&amp;Q306,P306&amp;"."&amp;Q306&amp;COUNTIFS(P$5:P305,P306,Q$5:Q305,Q306))</f>
        <v>537.SG2</v>
      </c>
      <c r="S306" s="55">
        <f t="shared" si="24"/>
        <v>137506.25630951679</v>
      </c>
      <c r="W306" s="53" t="s">
        <v>240</v>
      </c>
      <c r="X306" s="54">
        <f t="shared" si="26"/>
        <v>-147291341.28240708</v>
      </c>
      <c r="Y306" s="54" t="e">
        <f>SUMIFS(FuncStudy!$G$93:$G$2216,FuncStudy!$AI$93:$AI$2216,$W306,FuncStudy!$AJ$93:$AJ$2216,"&lt;&gt;"&amp;"NA")</f>
        <v>#VALUE!</v>
      </c>
      <c r="Z306" s="55" t="e">
        <f t="shared" si="21"/>
        <v>#VALUE!</v>
      </c>
    </row>
    <row r="307" spans="1:26" hidden="1">
      <c r="A307" s="5">
        <v>372</v>
      </c>
      <c r="B307" s="59"/>
      <c r="C307" s="60"/>
      <c r="D307" s="61"/>
      <c r="E307" s="63"/>
      <c r="F307" s="63"/>
      <c r="G307" s="63"/>
      <c r="H307" s="62"/>
      <c r="I307" s="65"/>
      <c r="J307" s="65"/>
      <c r="K307" s="62"/>
      <c r="L307" s="65"/>
      <c r="M307" s="65"/>
      <c r="N307" s="65"/>
      <c r="P307">
        <f t="shared" si="22"/>
        <v>537</v>
      </c>
      <c r="Q307" t="str">
        <f t="shared" si="23"/>
        <v>NA</v>
      </c>
      <c r="R307" t="str">
        <f>IF(ISERROR(MATCH(P307&amp;"."&amp;Q307,R$5:R306,0)),P307&amp;"."&amp;Q307,P307&amp;"."&amp;Q307&amp;COUNTIFS(P$5:P306,P307,Q$5:Q306,Q307))</f>
        <v>537.NA1</v>
      </c>
      <c r="S307" s="55">
        <f t="shared" si="24"/>
        <v>0</v>
      </c>
      <c r="W307" s="53" t="s">
        <v>0</v>
      </c>
      <c r="X307" s="54">
        <f t="shared" si="26"/>
        <v>98331705.216135547</v>
      </c>
      <c r="Y307" s="54" t="e">
        <f>SUMIFS(FuncStudy!$G$93:$G$2216,FuncStudy!$AI$93:$AI$2216,$W307,FuncStudy!$AJ$93:$AJ$2216,"&lt;&gt;"&amp;"NA")</f>
        <v>#VALUE!</v>
      </c>
      <c r="Z307" s="55" t="e">
        <f t="shared" si="21"/>
        <v>#VALUE!</v>
      </c>
    </row>
    <row r="308" spans="1:26" hidden="1">
      <c r="A308" s="5">
        <v>373</v>
      </c>
      <c r="B308" s="59"/>
      <c r="C308" s="60"/>
      <c r="D308" s="63"/>
      <c r="E308" s="63"/>
      <c r="F308" s="60"/>
      <c r="G308" s="61"/>
      <c r="H308" s="62" t="s">
        <v>178</v>
      </c>
      <c r="I308" s="65">
        <v>4073308.29</v>
      </c>
      <c r="J308" s="65">
        <v>1792153.738814401</v>
      </c>
      <c r="K308" s="62"/>
      <c r="L308" s="65">
        <v>4089309.2980072363</v>
      </c>
      <c r="M308" s="65">
        <v>2290115.5159937073</v>
      </c>
      <c r="N308" s="64">
        <v>1799193.7820135292</v>
      </c>
      <c r="P308">
        <f t="shared" si="22"/>
        <v>537</v>
      </c>
      <c r="Q308" t="str">
        <f t="shared" si="23"/>
        <v>NA</v>
      </c>
      <c r="R308" t="str">
        <f>IF(ISERROR(MATCH(P308&amp;"."&amp;Q308,R$5:R307,0)),P308&amp;"."&amp;Q308,P308&amp;"."&amp;Q308&amp;COUNTIFS(P$5:P307,P308,Q$5:Q307,Q308))</f>
        <v>537.NA2</v>
      </c>
      <c r="S308" s="55">
        <f t="shared" si="24"/>
        <v>1799193.7820135292</v>
      </c>
      <c r="W308" s="53" t="s">
        <v>2</v>
      </c>
      <c r="X308" s="54">
        <f t="shared" si="26"/>
        <v>260013992.09100288</v>
      </c>
      <c r="Y308" s="54" t="e">
        <f>SUMIFS(FuncStudy!$G$93:$G$2216,FuncStudy!$AI$93:$AI$2216,$W308,FuncStudy!$AJ$93:$AJ$2216,"&lt;&gt;"&amp;"NA")</f>
        <v>#VALUE!</v>
      </c>
      <c r="Z308" s="55" t="e">
        <f t="shared" si="21"/>
        <v>#VALUE!</v>
      </c>
    </row>
    <row r="309" spans="1:26" hidden="1">
      <c r="A309" s="5">
        <v>374</v>
      </c>
      <c r="B309" s="59"/>
      <c r="C309" s="60"/>
      <c r="D309" s="63"/>
      <c r="E309" s="63"/>
      <c r="F309" s="60"/>
      <c r="G309" s="61"/>
      <c r="H309" s="62"/>
      <c r="I309" s="65"/>
      <c r="J309" s="65"/>
      <c r="K309" s="62"/>
      <c r="L309" s="65"/>
      <c r="M309" s="65"/>
      <c r="N309" s="64"/>
      <c r="P309">
        <f t="shared" si="22"/>
        <v>537</v>
      </c>
      <c r="Q309" t="str">
        <f t="shared" si="23"/>
        <v>NA</v>
      </c>
      <c r="R309" t="str">
        <f>IF(ISERROR(MATCH(P309&amp;"."&amp;Q309,R$5:R308,0)),P309&amp;"."&amp;Q309,P309&amp;"."&amp;Q309&amp;COUNTIFS(P$5:P308,P309,Q$5:Q308,Q309))</f>
        <v>537.NA3</v>
      </c>
      <c r="S309" s="55">
        <f t="shared" si="24"/>
        <v>0</v>
      </c>
      <c r="W309" s="53" t="s">
        <v>4</v>
      </c>
      <c r="X309" s="54">
        <f t="shared" si="26"/>
        <v>1949954.176128506</v>
      </c>
      <c r="Y309" s="54" t="e">
        <f>SUMIFS(FuncStudy!$G$93:$G$2216,FuncStudy!$AI$93:$AI$2216,$W309,FuncStudy!$AJ$93:$AJ$2216,"&lt;&gt;"&amp;"NA")</f>
        <v>#VALUE!</v>
      </c>
      <c r="Z309" s="55" t="e">
        <f t="shared" si="21"/>
        <v>#VALUE!</v>
      </c>
    </row>
    <row r="310" spans="1:26" hidden="1">
      <c r="A310" s="5">
        <v>375</v>
      </c>
      <c r="B310" s="59"/>
      <c r="C310" s="60">
        <v>538</v>
      </c>
      <c r="D310" s="63" t="s">
        <v>185</v>
      </c>
      <c r="E310" s="63"/>
      <c r="F310" s="60"/>
      <c r="G310" s="61"/>
      <c r="H310" s="62"/>
      <c r="I310" s="65"/>
      <c r="J310" s="65"/>
      <c r="K310" s="62"/>
      <c r="L310" s="65"/>
      <c r="M310" s="65"/>
      <c r="N310" s="64"/>
      <c r="P310">
        <f t="shared" si="22"/>
        <v>538</v>
      </c>
      <c r="Q310" t="str">
        <f t="shared" si="23"/>
        <v>NA</v>
      </c>
      <c r="R310" t="str">
        <f>IF(ISERROR(MATCH(P310&amp;"."&amp;Q310,R$5:R309,0)),P310&amp;"."&amp;Q310,P310&amp;"."&amp;Q310&amp;COUNTIFS(P$5:P309,P310,Q$5:Q309,Q310))</f>
        <v>538.NA</v>
      </c>
      <c r="S310" s="55">
        <f t="shared" si="24"/>
        <v>0</v>
      </c>
      <c r="W310" s="53" t="s">
        <v>6</v>
      </c>
      <c r="X310" s="54">
        <f t="shared" si="26"/>
        <v>127511347.34243429</v>
      </c>
      <c r="Y310" s="54" t="e">
        <f>SUMIFS(FuncStudy!$G$93:$G$2216,FuncStudy!$AI$93:$AI$2216,$W310,FuncStudy!$AJ$93:$AJ$2216,"&lt;&gt;"&amp;"NA")</f>
        <v>#VALUE!</v>
      </c>
      <c r="Z310" s="55" t="e">
        <f t="shared" si="21"/>
        <v>#VALUE!</v>
      </c>
    </row>
    <row r="311" spans="1:26" hidden="1">
      <c r="A311" s="5">
        <v>376</v>
      </c>
      <c r="B311" s="59"/>
      <c r="C311" s="60"/>
      <c r="D311" s="63"/>
      <c r="E311" s="63"/>
      <c r="F311" s="63" t="s">
        <v>13</v>
      </c>
      <c r="G311" s="63" t="s">
        <v>17</v>
      </c>
      <c r="H311" s="62"/>
      <c r="I311" s="65">
        <v>0</v>
      </c>
      <c r="J311" s="65">
        <v>0</v>
      </c>
      <c r="K311" s="62"/>
      <c r="L311" s="65">
        <v>0</v>
      </c>
      <c r="M311" s="65">
        <v>0</v>
      </c>
      <c r="N311" s="65">
        <v>0</v>
      </c>
      <c r="P311">
        <f t="shared" si="22"/>
        <v>538</v>
      </c>
      <c r="Q311" t="str">
        <f t="shared" si="23"/>
        <v>DGP</v>
      </c>
      <c r="R311" t="str">
        <f>IF(ISERROR(MATCH(P311&amp;"."&amp;Q311,R$5:R310,0)),P311&amp;"."&amp;Q311,P311&amp;"."&amp;Q311&amp;COUNTIFS(P$5:P310,P311,Q$5:Q310,Q311))</f>
        <v>538.DGP</v>
      </c>
      <c r="S311" s="55">
        <f t="shared" si="24"/>
        <v>0</v>
      </c>
      <c r="W311" s="53" t="s">
        <v>8</v>
      </c>
      <c r="X311" s="54">
        <f t="shared" si="26"/>
        <v>265128404.66437799</v>
      </c>
      <c r="Y311" s="54" t="e">
        <f>SUMIFS(FuncStudy!$G$93:$G$2216,FuncStudy!$AI$93:$AI$2216,$W311,FuncStudy!$AJ$93:$AJ$2216,"&lt;&gt;"&amp;"NA")</f>
        <v>#VALUE!</v>
      </c>
      <c r="Z311" s="55" t="e">
        <f t="shared" si="21"/>
        <v>#VALUE!</v>
      </c>
    </row>
    <row r="312" spans="1:26" hidden="1">
      <c r="A312" s="5">
        <v>377</v>
      </c>
      <c r="B312" s="59"/>
      <c r="C312" s="60"/>
      <c r="D312" s="63"/>
      <c r="E312" s="63"/>
      <c r="F312" s="63" t="s">
        <v>13</v>
      </c>
      <c r="G312" s="63" t="s">
        <v>15</v>
      </c>
      <c r="H312" s="62"/>
      <c r="I312" s="65">
        <v>0</v>
      </c>
      <c r="J312" s="65">
        <v>0</v>
      </c>
      <c r="K312" s="62"/>
      <c r="L312" s="65">
        <v>0</v>
      </c>
      <c r="M312" s="65">
        <v>0</v>
      </c>
      <c r="N312" s="65">
        <v>0</v>
      </c>
      <c r="P312">
        <f t="shared" si="22"/>
        <v>538</v>
      </c>
      <c r="Q312" t="str">
        <f t="shared" si="23"/>
        <v>SG</v>
      </c>
      <c r="R312" t="str">
        <f>IF(ISERROR(MATCH(P312&amp;"."&amp;Q312,R$5:R311,0)),P312&amp;"."&amp;Q312,P312&amp;"."&amp;Q312&amp;COUNTIFS(P$5:P311,P312,Q$5:Q311,Q312))</f>
        <v>538.SG</v>
      </c>
      <c r="S312" s="55">
        <f t="shared" si="24"/>
        <v>0</v>
      </c>
      <c r="W312" s="53" t="s">
        <v>10</v>
      </c>
      <c r="X312" s="54">
        <f t="shared" si="26"/>
        <v>64521944.20126906</v>
      </c>
      <c r="Y312" s="54" t="e">
        <f>SUMIFS(FuncStudy!$G$93:$G$2216,FuncStudy!$AI$93:$AI$2216,$W312,FuncStudy!$AJ$93:$AJ$2216,"&lt;&gt;"&amp;"NA")</f>
        <v>#VALUE!</v>
      </c>
      <c r="Z312" s="55" t="e">
        <f t="shared" si="21"/>
        <v>#VALUE!</v>
      </c>
    </row>
    <row r="313" spans="1:26" hidden="1">
      <c r="A313" s="5">
        <v>378</v>
      </c>
      <c r="B313" s="59"/>
      <c r="C313" s="60"/>
      <c r="D313" s="63"/>
      <c r="E313" s="63"/>
      <c r="F313" s="63" t="s">
        <v>13</v>
      </c>
      <c r="G313" s="63" t="s">
        <v>15</v>
      </c>
      <c r="H313" s="62"/>
      <c r="I313" s="66">
        <v>0</v>
      </c>
      <c r="J313" s="66">
        <v>0</v>
      </c>
      <c r="K313" s="62"/>
      <c r="L313" s="66">
        <v>0</v>
      </c>
      <c r="M313" s="66">
        <v>0</v>
      </c>
      <c r="N313" s="66">
        <v>0</v>
      </c>
      <c r="P313">
        <f t="shared" si="22"/>
        <v>538</v>
      </c>
      <c r="Q313" t="str">
        <f t="shared" si="23"/>
        <v>SG</v>
      </c>
      <c r="R313" t="str">
        <f>IF(ISERROR(MATCH(P313&amp;"."&amp;Q313,R$5:R312,0)),P313&amp;"."&amp;Q313,P313&amp;"."&amp;Q313&amp;COUNTIFS(P$5:P312,P313,Q$5:Q312,Q313))</f>
        <v>538.SG1</v>
      </c>
      <c r="S313" s="55">
        <f t="shared" si="24"/>
        <v>0</v>
      </c>
      <c r="W313" s="53" t="s">
        <v>241</v>
      </c>
      <c r="X313" s="54">
        <f t="shared" si="26"/>
        <v>0</v>
      </c>
      <c r="Y313" s="54">
        <f>SUMIFS(FuncStudy!$G$93:$G$2216,FuncStudy!$AI$93:$AI$2216,$W313,FuncStudy!$AJ$93:$AJ$2216,"&lt;&gt;"&amp;"NA")</f>
        <v>0</v>
      </c>
      <c r="Z313" s="55">
        <f t="shared" si="21"/>
        <v>0</v>
      </c>
    </row>
    <row r="314" spans="1:26" hidden="1">
      <c r="A314" s="5">
        <v>379</v>
      </c>
      <c r="B314" s="59"/>
      <c r="C314" s="60"/>
      <c r="D314" s="63"/>
      <c r="E314" s="63"/>
      <c r="F314" s="63"/>
      <c r="G314" s="63"/>
      <c r="H314" s="62"/>
      <c r="I314" s="65"/>
      <c r="J314" s="65"/>
      <c r="K314" s="62"/>
      <c r="L314" s="65"/>
      <c r="M314" s="65"/>
      <c r="N314" s="65"/>
      <c r="P314">
        <f t="shared" si="22"/>
        <v>538</v>
      </c>
      <c r="Q314" t="str">
        <f t="shared" si="23"/>
        <v>NA</v>
      </c>
      <c r="R314" t="str">
        <f>IF(ISERROR(MATCH(P314&amp;"."&amp;Q314,R$5:R313,0)),P314&amp;"."&amp;Q314,P314&amp;"."&amp;Q314&amp;COUNTIFS(P$5:P313,P314,Q$5:Q313,Q314))</f>
        <v>538.NA1</v>
      </c>
      <c r="S314" s="55">
        <f t="shared" si="24"/>
        <v>0</v>
      </c>
      <c r="W314" s="53" t="s">
        <v>242</v>
      </c>
      <c r="X314" s="54">
        <f t="shared" si="26"/>
        <v>0</v>
      </c>
      <c r="Y314" s="54">
        <f>SUMIFS(FuncStudy!$G$93:$G$2216,FuncStudy!$AI$93:$AI$2216,$W314,FuncStudy!$AJ$93:$AJ$2216,"&lt;&gt;"&amp;"NA")</f>
        <v>0</v>
      </c>
      <c r="Z314" s="55">
        <f t="shared" si="21"/>
        <v>0</v>
      </c>
    </row>
    <row r="315" spans="1:26" hidden="1">
      <c r="A315" s="5">
        <v>380</v>
      </c>
      <c r="B315" s="59"/>
      <c r="C315" s="60"/>
      <c r="D315" s="61"/>
      <c r="E315" s="63"/>
      <c r="F315" s="63"/>
      <c r="G315" s="63"/>
      <c r="H315" s="62" t="s">
        <v>178</v>
      </c>
      <c r="I315" s="65">
        <v>0</v>
      </c>
      <c r="J315" s="65">
        <v>0</v>
      </c>
      <c r="K315" s="62"/>
      <c r="L315" s="65">
        <v>0</v>
      </c>
      <c r="M315" s="65">
        <v>0</v>
      </c>
      <c r="N315" s="65">
        <v>0</v>
      </c>
      <c r="P315">
        <f t="shared" si="22"/>
        <v>538</v>
      </c>
      <c r="Q315" t="str">
        <f t="shared" si="23"/>
        <v>NA</v>
      </c>
      <c r="R315" t="str">
        <f>IF(ISERROR(MATCH(P315&amp;"."&amp;Q315,R$5:R314,0)),P315&amp;"."&amp;Q315,P315&amp;"."&amp;Q315&amp;COUNTIFS(P$5:P314,P315,Q$5:Q314,Q315))</f>
        <v>538.NA2</v>
      </c>
      <c r="S315" s="55">
        <f t="shared" si="24"/>
        <v>0</v>
      </c>
      <c r="W315" s="53" t="s">
        <v>243</v>
      </c>
      <c r="X315" s="54">
        <f t="shared" si="26"/>
        <v>0</v>
      </c>
      <c r="Y315" s="54">
        <f>SUMIFS(FuncStudy!$G$93:$G$2216,FuncStudy!$AI$93:$AI$2216,$W315,FuncStudy!$AJ$93:$AJ$2216,"&lt;&gt;"&amp;"NA")</f>
        <v>0</v>
      </c>
      <c r="Z315" s="55">
        <f t="shared" si="21"/>
        <v>0</v>
      </c>
    </row>
    <row r="316" spans="1:26" hidden="1">
      <c r="A316" s="5">
        <v>381</v>
      </c>
      <c r="B316" s="59"/>
      <c r="C316" s="60"/>
      <c r="D316" s="63"/>
      <c r="E316" s="63"/>
      <c r="F316" s="60"/>
      <c r="G316" s="61"/>
      <c r="H316" s="62"/>
      <c r="I316" s="65"/>
      <c r="J316" s="65"/>
      <c r="K316" s="62"/>
      <c r="L316" s="65"/>
      <c r="M316" s="65"/>
      <c r="N316" s="64"/>
      <c r="P316">
        <f t="shared" si="22"/>
        <v>538</v>
      </c>
      <c r="Q316" t="str">
        <f t="shared" si="23"/>
        <v>NA</v>
      </c>
      <c r="R316" t="str">
        <f>IF(ISERROR(MATCH(P316&amp;"."&amp;Q316,R$5:R315,0)),P316&amp;"."&amp;Q316,P316&amp;"."&amp;Q316&amp;COUNTIFS(P$5:P315,P316,Q$5:Q315,Q316))</f>
        <v>538.NA3</v>
      </c>
      <c r="S316" s="55">
        <f t="shared" si="24"/>
        <v>0</v>
      </c>
      <c r="W316" s="53" t="s">
        <v>244</v>
      </c>
      <c r="X316" s="54">
        <f t="shared" si="26"/>
        <v>13000964.312133288</v>
      </c>
      <c r="Y316" s="54" t="e">
        <f>SUMIFS(FuncStudy!$G$93:$G$2216,FuncStudy!$AI$93:$AI$2216,$W316,FuncStudy!$AJ$93:$AJ$2216,"&lt;&gt;"&amp;"NA")</f>
        <v>#VALUE!</v>
      </c>
      <c r="Z316" s="55" t="e">
        <f t="shared" si="21"/>
        <v>#VALUE!</v>
      </c>
    </row>
    <row r="317" spans="1:26" hidden="1">
      <c r="A317" s="5">
        <v>382</v>
      </c>
      <c r="B317" s="59"/>
      <c r="C317" s="60">
        <v>539</v>
      </c>
      <c r="D317" s="63" t="s">
        <v>245</v>
      </c>
      <c r="E317" s="63"/>
      <c r="F317" s="60"/>
      <c r="G317" s="61"/>
      <c r="H317" s="62"/>
      <c r="I317" s="65"/>
      <c r="J317" s="65"/>
      <c r="K317" s="62"/>
      <c r="L317" s="65"/>
      <c r="M317" s="65"/>
      <c r="N317" s="64"/>
      <c r="P317">
        <f t="shared" si="22"/>
        <v>539</v>
      </c>
      <c r="Q317" t="str">
        <f t="shared" si="23"/>
        <v>NA</v>
      </c>
      <c r="R317" t="str">
        <f>IF(ISERROR(MATCH(P317&amp;"."&amp;Q317,R$5:R316,0)),P317&amp;"."&amp;Q317,P317&amp;"."&amp;Q317&amp;COUNTIFS(P$5:P316,P317,Q$5:Q316,Q317))</f>
        <v>539.NA</v>
      </c>
      <c r="S317" s="55">
        <f t="shared" si="24"/>
        <v>0</v>
      </c>
      <c r="W317" s="53" t="s">
        <v>246</v>
      </c>
      <c r="X317" s="54">
        <f t="shared" si="26"/>
        <v>27861498.576923098</v>
      </c>
      <c r="Y317" s="54" t="e">
        <f>SUMIFS(FuncStudy!$G$93:$G$2216,FuncStudy!$AI$93:$AI$2216,$W317,FuncStudy!$AJ$93:$AJ$2216,"&lt;&gt;"&amp;"NA")</f>
        <v>#VALUE!</v>
      </c>
      <c r="Z317" s="55" t="e">
        <f t="shared" si="21"/>
        <v>#VALUE!</v>
      </c>
    </row>
    <row r="318" spans="1:26" hidden="1">
      <c r="A318" s="5">
        <v>383</v>
      </c>
      <c r="B318" s="59"/>
      <c r="C318" s="60"/>
      <c r="D318" s="63"/>
      <c r="E318" s="63"/>
      <c r="F318" s="60" t="s">
        <v>13</v>
      </c>
      <c r="G318" s="61" t="s">
        <v>15</v>
      </c>
      <c r="H318" s="62"/>
      <c r="I318" s="65">
        <v>0</v>
      </c>
      <c r="J318" s="65">
        <v>0</v>
      </c>
      <c r="K318" s="62"/>
      <c r="L318" s="65">
        <v>0</v>
      </c>
      <c r="M318" s="65">
        <v>0</v>
      </c>
      <c r="N318" s="64">
        <v>0</v>
      </c>
      <c r="P318">
        <f t="shared" si="22"/>
        <v>539</v>
      </c>
      <c r="Q318" t="str">
        <f t="shared" si="23"/>
        <v>SG</v>
      </c>
      <c r="R318" t="str">
        <f>IF(ISERROR(MATCH(P318&amp;"."&amp;Q318,R$5:R317,0)),P318&amp;"."&amp;Q318,P318&amp;"."&amp;Q318&amp;COUNTIFS(P$5:P317,P318,Q$5:Q317,Q318))</f>
        <v>539.SG</v>
      </c>
      <c r="S318" s="55">
        <f t="shared" si="24"/>
        <v>0</v>
      </c>
      <c r="W318" s="53" t="s">
        <v>247</v>
      </c>
      <c r="X318" s="54">
        <f t="shared" si="26"/>
        <v>0</v>
      </c>
      <c r="Y318" s="54" t="e">
        <f>SUMIFS(FuncStudy!$G$93:$G$2216,FuncStudy!$AI$93:$AI$2216,$W318,FuncStudy!$AJ$93:$AJ$2216,"&lt;&gt;"&amp;"NA")</f>
        <v>#VALUE!</v>
      </c>
      <c r="Z318" s="55" t="e">
        <f t="shared" si="21"/>
        <v>#VALUE!</v>
      </c>
    </row>
    <row r="319" spans="1:26" hidden="1">
      <c r="A319" s="5">
        <v>384</v>
      </c>
      <c r="B319" s="59"/>
      <c r="C319" s="60"/>
      <c r="D319" s="63"/>
      <c r="E319" s="63"/>
      <c r="F319" s="63" t="s">
        <v>13</v>
      </c>
      <c r="G319" s="63" t="s">
        <v>15</v>
      </c>
      <c r="H319" s="62"/>
      <c r="I319" s="65">
        <v>11932301.050000001</v>
      </c>
      <c r="J319" s="65">
        <v>5249913.9316107361</v>
      </c>
      <c r="K319" s="62"/>
      <c r="L319" s="65">
        <v>12562525.969814319</v>
      </c>
      <c r="M319" s="65">
        <v>7035328.8408791702</v>
      </c>
      <c r="N319" s="65">
        <v>5527197.1289351489</v>
      </c>
      <c r="P319">
        <f t="shared" si="22"/>
        <v>539</v>
      </c>
      <c r="Q319" t="str">
        <f t="shared" si="23"/>
        <v>SG</v>
      </c>
      <c r="R319" t="str">
        <f>IF(ISERROR(MATCH(P319&amp;"."&amp;Q319,R$5:R318,0)),P319&amp;"."&amp;Q319,P319&amp;"."&amp;Q319&amp;COUNTIFS(P$5:P318,P319,Q$5:Q318,Q319))</f>
        <v>539.SG1</v>
      </c>
      <c r="S319" s="55">
        <f t="shared" si="24"/>
        <v>5527197.1289351489</v>
      </c>
      <c r="W319" s="53" t="s">
        <v>248</v>
      </c>
      <c r="X319" s="54">
        <f t="shared" si="26"/>
        <v>0</v>
      </c>
      <c r="Y319" s="54">
        <f>SUMIFS(FuncStudy!$G$93:$G$2216,FuncStudy!$AI$93:$AI$2216,$W319,FuncStudy!$AJ$93:$AJ$2216,"&lt;&gt;"&amp;"NA")</f>
        <v>0</v>
      </c>
      <c r="Z319" s="55">
        <f t="shared" si="21"/>
        <v>0</v>
      </c>
    </row>
    <row r="320" spans="1:26" hidden="1">
      <c r="A320" s="5">
        <v>385</v>
      </c>
      <c r="B320" s="59"/>
      <c r="C320" s="60"/>
      <c r="D320" s="63"/>
      <c r="E320" s="63"/>
      <c r="F320" s="63" t="s">
        <v>13</v>
      </c>
      <c r="G320" s="63" t="s">
        <v>15</v>
      </c>
      <c r="H320" s="62"/>
      <c r="I320" s="66">
        <v>8106211.1299999999</v>
      </c>
      <c r="J320" s="66">
        <v>3566530.090519716</v>
      </c>
      <c r="K320" s="62"/>
      <c r="L320" s="66">
        <v>8628344.08686902</v>
      </c>
      <c r="M320" s="66">
        <v>4832088.5584028848</v>
      </c>
      <c r="N320" s="66">
        <v>3796255.5284661357</v>
      </c>
      <c r="P320">
        <f t="shared" si="22"/>
        <v>539</v>
      </c>
      <c r="Q320" t="str">
        <f t="shared" si="23"/>
        <v>SG</v>
      </c>
      <c r="R320" t="str">
        <f>IF(ISERROR(MATCH(P320&amp;"."&amp;Q320,R$5:R319,0)),P320&amp;"."&amp;Q320,P320&amp;"."&amp;Q320&amp;COUNTIFS(P$5:P319,P320,Q$5:Q319,Q320))</f>
        <v>539.SG2</v>
      </c>
      <c r="S320" s="55">
        <f t="shared" si="24"/>
        <v>3796255.5284661357</v>
      </c>
      <c r="W320" s="53" t="s">
        <v>140</v>
      </c>
      <c r="X320" s="54">
        <f t="shared" si="26"/>
        <v>16125868.438864648</v>
      </c>
      <c r="Y320" s="54" t="e">
        <f>SUMIFS(FuncStudy!$G$93:$G$2216,FuncStudy!$AI$93:$AI$2216,$W320,FuncStudy!$AJ$93:$AJ$2216,"&lt;&gt;"&amp;"NA")</f>
        <v>#VALUE!</v>
      </c>
      <c r="Z320" s="55" t="e">
        <f t="shared" si="21"/>
        <v>#VALUE!</v>
      </c>
    </row>
    <row r="321" spans="1:26" hidden="1">
      <c r="A321" s="5">
        <v>386</v>
      </c>
      <c r="B321" s="59"/>
      <c r="C321" s="60"/>
      <c r="D321" s="63"/>
      <c r="E321" s="63"/>
      <c r="F321" s="63"/>
      <c r="G321" s="63"/>
      <c r="H321" s="62"/>
      <c r="I321" s="65"/>
      <c r="J321" s="65"/>
      <c r="K321" s="62"/>
      <c r="L321" s="65"/>
      <c r="M321" s="65"/>
      <c r="N321" s="65"/>
      <c r="P321">
        <f t="shared" si="22"/>
        <v>539</v>
      </c>
      <c r="Q321" t="str">
        <f t="shared" si="23"/>
        <v>NA</v>
      </c>
      <c r="R321" t="str">
        <f>IF(ISERROR(MATCH(P321&amp;"."&amp;Q321,R$5:R320,0)),P321&amp;"."&amp;Q321,P321&amp;"."&amp;Q321&amp;COUNTIFS(P$5:P320,P321,Q$5:Q320,Q321))</f>
        <v>539.NA1</v>
      </c>
      <c r="S321" s="55">
        <f t="shared" si="24"/>
        <v>0</v>
      </c>
      <c r="W321" s="53" t="s">
        <v>249</v>
      </c>
      <c r="X321" s="54">
        <f t="shared" si="26"/>
        <v>0</v>
      </c>
      <c r="Y321" s="54" t="e">
        <f>SUMIFS(FuncStudy!$G$93:$G$2216,FuncStudy!$AI$93:$AI$2216,$W321,FuncStudy!$AJ$93:$AJ$2216,"&lt;&gt;"&amp;"NA")</f>
        <v>#VALUE!</v>
      </c>
      <c r="Z321" s="55" t="e">
        <f t="shared" si="21"/>
        <v>#VALUE!</v>
      </c>
    </row>
    <row r="322" spans="1:26" hidden="1">
      <c r="A322" s="5">
        <v>387</v>
      </c>
      <c r="B322" s="59"/>
      <c r="C322" s="60"/>
      <c r="D322" s="61"/>
      <c r="E322" s="63"/>
      <c r="F322" s="63"/>
      <c r="G322" s="63"/>
      <c r="H322" s="62"/>
      <c r="I322" s="65"/>
      <c r="J322" s="65"/>
      <c r="K322" s="62"/>
      <c r="L322" s="65"/>
      <c r="M322" s="65"/>
      <c r="N322" s="65"/>
      <c r="P322">
        <f t="shared" si="22"/>
        <v>539</v>
      </c>
      <c r="Q322" t="str">
        <f t="shared" si="23"/>
        <v>NA</v>
      </c>
      <c r="R322" t="str">
        <f>IF(ISERROR(MATCH(P322&amp;"."&amp;Q322,R$5:R321,0)),P322&amp;"."&amp;Q322,P322&amp;"."&amp;Q322&amp;COUNTIFS(P$5:P321,P322,Q$5:Q321,Q322))</f>
        <v>539.NA2</v>
      </c>
      <c r="S322" s="55">
        <f t="shared" si="24"/>
        <v>0</v>
      </c>
      <c r="W322" s="53" t="s">
        <v>250</v>
      </c>
      <c r="X322" s="54">
        <f t="shared" si="26"/>
        <v>0</v>
      </c>
      <c r="Y322" s="54" t="e">
        <f>SUMIFS(FuncStudy!$G$93:$G$2216,FuncStudy!$AI$93:$AI$2216,$W322,FuncStudy!$AJ$93:$AJ$2216,"&lt;&gt;"&amp;"NA")</f>
        <v>#VALUE!</v>
      </c>
      <c r="Z322" s="55" t="e">
        <f t="shared" si="21"/>
        <v>#VALUE!</v>
      </c>
    </row>
    <row r="323" spans="1:26" hidden="1">
      <c r="A323" s="5">
        <v>388</v>
      </c>
      <c r="B323" s="59"/>
      <c r="C323" s="60"/>
      <c r="D323" s="63"/>
      <c r="E323" s="63"/>
      <c r="F323" s="60"/>
      <c r="G323" s="61"/>
      <c r="H323" s="62" t="s">
        <v>178</v>
      </c>
      <c r="I323" s="65">
        <v>20038512.18</v>
      </c>
      <c r="J323" s="65">
        <v>8816444.0221304521</v>
      </c>
      <c r="K323" s="62"/>
      <c r="L323" s="65">
        <v>21190870.056683339</v>
      </c>
      <c r="M323" s="65">
        <v>11867417.399282055</v>
      </c>
      <c r="N323" s="64">
        <v>9323452.6574012842</v>
      </c>
      <c r="P323">
        <f t="shared" si="22"/>
        <v>539</v>
      </c>
      <c r="Q323" t="str">
        <f t="shared" si="23"/>
        <v>NA</v>
      </c>
      <c r="R323" t="str">
        <f>IF(ISERROR(MATCH(P323&amp;"."&amp;Q323,R$5:R322,0)),P323&amp;"."&amp;Q323,P323&amp;"."&amp;Q323&amp;COUNTIFS(P$5:P322,P323,Q$5:Q322,Q323))</f>
        <v>539.NA3</v>
      </c>
      <c r="S323" s="55">
        <f t="shared" si="24"/>
        <v>9323452.6574012842</v>
      </c>
      <c r="W323" s="53" t="s">
        <v>251</v>
      </c>
      <c r="X323" s="54">
        <f t="shared" si="26"/>
        <v>0</v>
      </c>
      <c r="Y323" s="54">
        <f>SUMIFS(FuncStudy!$G$93:$G$2216,FuncStudy!$AI$93:$AI$2216,$W323,FuncStudy!$AJ$93:$AJ$2216,"&lt;&gt;"&amp;"NA")</f>
        <v>0</v>
      </c>
      <c r="Z323" s="55">
        <f t="shared" si="21"/>
        <v>0</v>
      </c>
    </row>
    <row r="324" spans="1:26" hidden="1">
      <c r="A324" s="5">
        <v>389</v>
      </c>
      <c r="B324" s="59"/>
      <c r="C324" s="60"/>
      <c r="D324" s="63"/>
      <c r="E324" s="63"/>
      <c r="F324" s="60"/>
      <c r="G324" s="61"/>
      <c r="H324" s="62"/>
      <c r="I324" s="65"/>
      <c r="J324" s="65"/>
      <c r="K324" s="62"/>
      <c r="L324" s="65"/>
      <c r="M324" s="65"/>
      <c r="N324" s="64"/>
      <c r="P324">
        <f t="shared" si="22"/>
        <v>539</v>
      </c>
      <c r="Q324" t="str">
        <f t="shared" si="23"/>
        <v>NA</v>
      </c>
      <c r="R324" t="str">
        <f>IF(ISERROR(MATCH(P324&amp;"."&amp;Q324,R$5:R323,0)),P324&amp;"."&amp;Q324,P324&amp;"."&amp;Q324&amp;COUNTIFS(P$5:P323,P324,Q$5:Q323,Q324))</f>
        <v>539.NA4</v>
      </c>
      <c r="S324" s="55">
        <f t="shared" si="24"/>
        <v>0</v>
      </c>
      <c r="W324" s="53" t="s">
        <v>252</v>
      </c>
      <c r="X324" s="54">
        <f t="shared" si="26"/>
        <v>0</v>
      </c>
      <c r="Y324" s="54">
        <f>SUMIFS(FuncStudy!$G$93:$G$2216,FuncStudy!$AI$93:$AI$2216,$W324,FuncStudy!$AJ$93:$AJ$2216,"&lt;&gt;"&amp;"NA")</f>
        <v>0</v>
      </c>
      <c r="Z324" s="55">
        <f t="shared" ref="Z324:Z337" si="27">X324-Y324</f>
        <v>0</v>
      </c>
    </row>
    <row r="325" spans="1:26" hidden="1">
      <c r="A325" s="5">
        <v>390</v>
      </c>
      <c r="B325" s="59"/>
      <c r="C325" s="60">
        <v>540</v>
      </c>
      <c r="D325" s="63" t="s">
        <v>253</v>
      </c>
      <c r="E325" s="63"/>
      <c r="F325" s="60"/>
      <c r="G325" s="61"/>
      <c r="H325" s="62"/>
      <c r="I325" s="65"/>
      <c r="J325" s="65"/>
      <c r="K325" s="62"/>
      <c r="L325" s="65"/>
      <c r="M325" s="65"/>
      <c r="N325" s="64"/>
      <c r="P325">
        <f t="shared" si="22"/>
        <v>540</v>
      </c>
      <c r="Q325" t="str">
        <f t="shared" si="23"/>
        <v>NA</v>
      </c>
      <c r="R325" t="str">
        <f>IF(ISERROR(MATCH(P325&amp;"."&amp;Q325,R$5:R324,0)),P325&amp;"."&amp;Q325,P325&amp;"."&amp;Q325&amp;COUNTIFS(P$5:P324,P325,Q$5:Q324,Q325))</f>
        <v>540.NA</v>
      </c>
      <c r="S325" s="55">
        <f t="shared" si="24"/>
        <v>0</v>
      </c>
      <c r="W325" s="53" t="s">
        <v>254</v>
      </c>
      <c r="X325" s="54">
        <f t="shared" si="26"/>
        <v>0</v>
      </c>
      <c r="Y325" s="54">
        <f>SUMIFS(FuncStudy!$G$93:$G$2216,FuncStudy!$AI$93:$AI$2216,$W325,FuncStudy!$AJ$93:$AJ$2216,"&lt;&gt;"&amp;"NA")</f>
        <v>0</v>
      </c>
      <c r="Z325" s="55">
        <f t="shared" si="27"/>
        <v>0</v>
      </c>
    </row>
    <row r="326" spans="1:26" hidden="1">
      <c r="A326" s="5">
        <v>391</v>
      </c>
      <c r="B326" s="59"/>
      <c r="C326" s="60"/>
      <c r="D326" s="63"/>
      <c r="E326" s="63"/>
      <c r="F326" s="63" t="s">
        <v>13</v>
      </c>
      <c r="G326" s="63" t="s">
        <v>17</v>
      </c>
      <c r="H326" s="62"/>
      <c r="I326" s="65">
        <v>0</v>
      </c>
      <c r="J326" s="65">
        <v>0</v>
      </c>
      <c r="K326" s="62"/>
      <c r="L326" s="65">
        <v>0</v>
      </c>
      <c r="M326" s="65">
        <v>0</v>
      </c>
      <c r="N326" s="65">
        <v>0</v>
      </c>
      <c r="P326">
        <f t="shared" si="22"/>
        <v>540</v>
      </c>
      <c r="Q326" t="str">
        <f t="shared" si="23"/>
        <v>DGP</v>
      </c>
      <c r="R326" t="str">
        <f>IF(ISERROR(MATCH(P326&amp;"."&amp;Q326,R$5:R325,0)),P326&amp;"."&amp;Q326,P326&amp;"."&amp;Q326&amp;COUNTIFS(P$5:P325,P326,Q$5:Q325,Q326))</f>
        <v>540.DGP</v>
      </c>
      <c r="S326" s="55">
        <f t="shared" si="24"/>
        <v>0</v>
      </c>
      <c r="W326" s="53" t="s">
        <v>255</v>
      </c>
      <c r="X326" s="54">
        <f t="shared" si="26"/>
        <v>0</v>
      </c>
      <c r="Y326" s="54">
        <f>SUMIFS(FuncStudy!$G$93:$G$2216,FuncStudy!$AI$93:$AI$2216,$W326,FuncStudy!$AJ$93:$AJ$2216,"&lt;&gt;"&amp;"NA")</f>
        <v>0</v>
      </c>
      <c r="Z326" s="55">
        <f t="shared" si="27"/>
        <v>0</v>
      </c>
    </row>
    <row r="327" spans="1:26" hidden="1">
      <c r="A327" s="5">
        <v>392</v>
      </c>
      <c r="B327" s="59"/>
      <c r="C327" s="60"/>
      <c r="D327" s="63"/>
      <c r="E327" s="63"/>
      <c r="F327" s="63" t="s">
        <v>13</v>
      </c>
      <c r="G327" s="63" t="s">
        <v>15</v>
      </c>
      <c r="H327" s="62"/>
      <c r="I327" s="66">
        <v>1638632.67</v>
      </c>
      <c r="J327" s="66">
        <v>720957.3783780369</v>
      </c>
      <c r="K327" s="62"/>
      <c r="L327" s="66">
        <v>1618574.9278624037</v>
      </c>
      <c r="M327" s="66">
        <v>906442.45420673152</v>
      </c>
      <c r="N327" s="66">
        <v>712132.47365567216</v>
      </c>
      <c r="P327">
        <f t="shared" ref="P327:P390" si="28">IF(OR(C327="",C327=" ",C327="  ",C327="   "),P326,C327)</f>
        <v>540</v>
      </c>
      <c r="Q327" t="str">
        <f t="shared" ref="Q327:Q390" si="29">IF(G327="","NA",G327)</f>
        <v>SG</v>
      </c>
      <c r="R327" t="str">
        <f>IF(ISERROR(MATCH(P327&amp;"."&amp;Q327,R$5:R326,0)),P327&amp;"."&amp;Q327,P327&amp;"."&amp;Q327&amp;COUNTIFS(P$5:P326,P327,Q$5:Q326,Q327))</f>
        <v>540.SG</v>
      </c>
      <c r="S327" s="55">
        <f t="shared" si="24"/>
        <v>712132.47365567216</v>
      </c>
      <c r="W327" s="53" t="s">
        <v>256</v>
      </c>
      <c r="X327" s="54">
        <f t="shared" si="26"/>
        <v>-209538.05101071263</v>
      </c>
      <c r="Y327" s="54" t="e">
        <f>SUMIFS(FuncStudy!$G$93:$G$2216,FuncStudy!$AI$93:$AI$2216,$W327,FuncStudy!$AJ$93:$AJ$2216,"&lt;&gt;"&amp;"NA")</f>
        <v>#VALUE!</v>
      </c>
      <c r="Z327" s="55" t="e">
        <f t="shared" si="27"/>
        <v>#VALUE!</v>
      </c>
    </row>
    <row r="328" spans="1:26" hidden="1">
      <c r="A328" s="5">
        <v>393</v>
      </c>
      <c r="B328" s="59"/>
      <c r="C328" s="60"/>
      <c r="D328" s="63"/>
      <c r="E328" s="63"/>
      <c r="F328" s="63" t="s">
        <v>13</v>
      </c>
      <c r="G328" s="63" t="s">
        <v>15</v>
      </c>
      <c r="H328" s="62"/>
      <c r="I328" s="65">
        <v>57739.12</v>
      </c>
      <c r="J328" s="65">
        <v>25403.768243589871</v>
      </c>
      <c r="K328" s="62"/>
      <c r="L328" s="65">
        <v>57031.524377007423</v>
      </c>
      <c r="M328" s="65">
        <v>31939.080504427748</v>
      </c>
      <c r="N328" s="65">
        <v>25092.443872579675</v>
      </c>
      <c r="P328">
        <f t="shared" si="28"/>
        <v>540</v>
      </c>
      <c r="Q328" t="str">
        <f t="shared" si="29"/>
        <v>SG</v>
      </c>
      <c r="R328" t="str">
        <f>IF(ISERROR(MATCH(P328&amp;"."&amp;Q328,R$5:R327,0)),P328&amp;"."&amp;Q328,P328&amp;"."&amp;Q328&amp;COUNTIFS(P$5:P327,P328,Q$5:Q327,Q328))</f>
        <v>540.SG1</v>
      </c>
      <c r="S328" s="55">
        <f t="shared" ref="S328:S391" si="30">N328</f>
        <v>25092.443872579675</v>
      </c>
      <c r="W328" s="53" t="s">
        <v>257</v>
      </c>
      <c r="X328" s="54">
        <f t="shared" si="26"/>
        <v>0</v>
      </c>
      <c r="Y328" s="54">
        <f>SUMIFS(FuncStudy!$G$93:$G$2216,FuncStudy!$AI$93:$AI$2216,$W328,FuncStudy!$AJ$93:$AJ$2216,"&lt;&gt;"&amp;"NA")</f>
        <v>0</v>
      </c>
      <c r="Z328" s="55">
        <f t="shared" si="27"/>
        <v>0</v>
      </c>
    </row>
    <row r="329" spans="1:26" hidden="1">
      <c r="A329" s="5">
        <v>394</v>
      </c>
      <c r="B329" s="59"/>
      <c r="C329" s="60"/>
      <c r="D329" s="61"/>
      <c r="E329" s="63"/>
      <c r="F329" s="63"/>
      <c r="G329" s="63"/>
      <c r="H329" s="62"/>
      <c r="I329" s="65"/>
      <c r="J329" s="65"/>
      <c r="K329" s="62"/>
      <c r="L329" s="65"/>
      <c r="M329" s="65"/>
      <c r="N329" s="65"/>
      <c r="P329">
        <f t="shared" si="28"/>
        <v>540</v>
      </c>
      <c r="Q329" t="str">
        <f t="shared" si="29"/>
        <v>NA</v>
      </c>
      <c r="R329" t="str">
        <f>IF(ISERROR(MATCH(P329&amp;"."&amp;Q329,R$5:R328,0)),P329&amp;"."&amp;Q329,P329&amp;"."&amp;Q329&amp;COUNTIFS(P$5:P328,P329,Q$5:Q328,Q329))</f>
        <v>540.NA1</v>
      </c>
      <c r="S329" s="55">
        <f t="shared" si="30"/>
        <v>0</v>
      </c>
      <c r="W329" s="53" t="s">
        <v>258</v>
      </c>
      <c r="X329" s="54">
        <f t="shared" si="26"/>
        <v>0</v>
      </c>
      <c r="Y329" s="54" t="e">
        <f>SUMIFS(FuncStudy!$G$93:$G$2216,FuncStudy!$AI$93:$AI$2216,$W329,FuncStudy!$AJ$93:$AJ$2216,"&lt;&gt;"&amp;"NA")</f>
        <v>#VALUE!</v>
      </c>
      <c r="Z329" s="55" t="e">
        <f t="shared" si="27"/>
        <v>#VALUE!</v>
      </c>
    </row>
    <row r="330" spans="1:26" hidden="1">
      <c r="A330" s="5">
        <v>395</v>
      </c>
      <c r="B330" s="59"/>
      <c r="C330" s="60"/>
      <c r="D330" s="63"/>
      <c r="E330" s="63"/>
      <c r="F330" s="60"/>
      <c r="G330" s="61"/>
      <c r="H330" s="62" t="s">
        <v>178</v>
      </c>
      <c r="I330" s="65">
        <v>1696371.79</v>
      </c>
      <c r="J330" s="65">
        <v>746361.1466216268</v>
      </c>
      <c r="K330" s="62"/>
      <c r="L330" s="65">
        <v>1675606.4522394112</v>
      </c>
      <c r="M330" s="65">
        <v>938381.5347111593</v>
      </c>
      <c r="N330" s="64">
        <v>737224.91752825188</v>
      </c>
      <c r="P330">
        <f t="shared" si="28"/>
        <v>540</v>
      </c>
      <c r="Q330" t="str">
        <f t="shared" si="29"/>
        <v>NA</v>
      </c>
      <c r="R330" t="str">
        <f>IF(ISERROR(MATCH(P330&amp;"."&amp;Q330,R$5:R329,0)),P330&amp;"."&amp;Q330,P330&amp;"."&amp;Q330&amp;COUNTIFS(P$5:P329,P330,Q$5:Q329,Q330))</f>
        <v>540.NA2</v>
      </c>
      <c r="S330" s="55">
        <f t="shared" si="30"/>
        <v>737224.91752825188</v>
      </c>
      <c r="W330" s="53" t="s">
        <v>259</v>
      </c>
      <c r="X330" s="54">
        <f t="shared" si="26"/>
        <v>1479106.2706995443</v>
      </c>
      <c r="Y330" s="54" t="e">
        <f>SUMIFS(FuncStudy!$G$93:$G$2216,FuncStudy!$AI$93:$AI$2216,$W330,FuncStudy!$AJ$93:$AJ$2216,"&lt;&gt;"&amp;"NA")</f>
        <v>#VALUE!</v>
      </c>
      <c r="Z330" s="55" t="e">
        <f t="shared" si="27"/>
        <v>#VALUE!</v>
      </c>
    </row>
    <row r="331" spans="1:26" hidden="1">
      <c r="A331" s="5">
        <v>396</v>
      </c>
      <c r="B331" s="59"/>
      <c r="C331" s="60"/>
      <c r="D331" s="63"/>
      <c r="E331" s="63"/>
      <c r="F331" s="60"/>
      <c r="G331" s="61"/>
      <c r="H331" s="62"/>
      <c r="I331" s="65"/>
      <c r="J331" s="65"/>
      <c r="K331" s="62"/>
      <c r="L331" s="65"/>
      <c r="M331" s="65"/>
      <c r="N331" s="64"/>
      <c r="P331">
        <f t="shared" si="28"/>
        <v>540</v>
      </c>
      <c r="Q331" t="str">
        <f t="shared" si="29"/>
        <v>NA</v>
      </c>
      <c r="R331" t="str">
        <f>IF(ISERROR(MATCH(P331&amp;"."&amp;Q331,R$5:R330,0)),P331&amp;"."&amp;Q331,P331&amp;"."&amp;Q331&amp;COUNTIFS(P$5:P330,P331,Q$5:Q330,Q331))</f>
        <v>540.NA3</v>
      </c>
      <c r="S331" s="55">
        <f t="shared" si="30"/>
        <v>0</v>
      </c>
      <c r="W331" s="53" t="s">
        <v>260</v>
      </c>
      <c r="X331" s="54">
        <f t="shared" si="26"/>
        <v>521379734.48199332</v>
      </c>
      <c r="Y331" s="54" t="e">
        <f>SUMIFS(FuncStudy!$G$93:$G$2216,FuncStudy!$AI$93:$AI$2216,$W331,FuncStudy!$AJ$93:$AJ$2216,"&lt;&gt;"&amp;"NA")</f>
        <v>#VALUE!</v>
      </c>
      <c r="Z331" s="55" t="e">
        <f t="shared" si="27"/>
        <v>#VALUE!</v>
      </c>
    </row>
    <row r="332" spans="1:26" hidden="1">
      <c r="A332" s="5">
        <v>397</v>
      </c>
      <c r="B332" s="59"/>
      <c r="C332" s="60">
        <v>541</v>
      </c>
      <c r="D332" s="63" t="s">
        <v>188</v>
      </c>
      <c r="E332" s="63"/>
      <c r="F332" s="60"/>
      <c r="G332" s="61"/>
      <c r="H332" s="62"/>
      <c r="I332" s="65"/>
      <c r="J332" s="65"/>
      <c r="K332" s="62"/>
      <c r="L332" s="65"/>
      <c r="M332" s="65"/>
      <c r="N332" s="64"/>
      <c r="P332">
        <f t="shared" si="28"/>
        <v>541</v>
      </c>
      <c r="Q332" t="str">
        <f t="shared" si="29"/>
        <v>NA</v>
      </c>
      <c r="R332" t="str">
        <f>IF(ISERROR(MATCH(P332&amp;"."&amp;Q332,R$5:R331,0)),P332&amp;"."&amp;Q332,P332&amp;"."&amp;Q332&amp;COUNTIFS(P$5:P331,P332,Q$5:Q331,Q332))</f>
        <v>541.NA</v>
      </c>
      <c r="S332" s="55">
        <f t="shared" si="30"/>
        <v>0</v>
      </c>
      <c r="W332" s="53" t="s">
        <v>261</v>
      </c>
      <c r="X332" s="54">
        <f t="shared" si="26"/>
        <v>0</v>
      </c>
      <c r="Y332" s="54" t="e">
        <f>SUMIFS(FuncStudy!$G$93:$G$2216,FuncStudy!$AI$93:$AI$2216,$W332,FuncStudy!$AJ$93:$AJ$2216,"&lt;&gt;"&amp;"NA")</f>
        <v>#VALUE!</v>
      </c>
      <c r="Z332" s="55" t="e">
        <f t="shared" si="27"/>
        <v>#VALUE!</v>
      </c>
    </row>
    <row r="333" spans="1:26" hidden="1">
      <c r="A333" s="5">
        <v>398</v>
      </c>
      <c r="B333" s="59"/>
      <c r="C333" s="60"/>
      <c r="D333" s="63"/>
      <c r="E333" s="63"/>
      <c r="F333" s="63" t="s">
        <v>13</v>
      </c>
      <c r="G333" s="63" t="s">
        <v>17</v>
      </c>
      <c r="H333" s="62"/>
      <c r="I333" s="65">
        <v>0</v>
      </c>
      <c r="J333" s="65">
        <v>0</v>
      </c>
      <c r="K333" s="62"/>
      <c r="L333" s="65">
        <v>0</v>
      </c>
      <c r="M333" s="65">
        <v>0</v>
      </c>
      <c r="N333" s="65">
        <v>0</v>
      </c>
      <c r="P333">
        <f t="shared" si="28"/>
        <v>541</v>
      </c>
      <c r="Q333" t="str">
        <f t="shared" si="29"/>
        <v>DGP</v>
      </c>
      <c r="R333" t="str">
        <f>IF(ISERROR(MATCH(P333&amp;"."&amp;Q333,R$5:R332,0)),P333&amp;"."&amp;Q333,P333&amp;"."&amp;Q333&amp;COUNTIFS(P$5:P332,P333,Q$5:Q332,Q333))</f>
        <v>541.DGP</v>
      </c>
      <c r="S333" s="55">
        <f t="shared" si="30"/>
        <v>0</v>
      </c>
      <c r="W333" s="53" t="s">
        <v>262</v>
      </c>
      <c r="X333" s="54">
        <f t="shared" si="26"/>
        <v>1765774.0186506025</v>
      </c>
      <c r="Y333" s="54" t="e">
        <f>SUMIFS(FuncStudy!$G$93:$G$2216,FuncStudy!$AI$93:$AI$2216,$W333,FuncStudy!$AJ$93:$AJ$2216,"&lt;&gt;"&amp;"NA")</f>
        <v>#VALUE!</v>
      </c>
      <c r="Z333" s="55" t="e">
        <f t="shared" si="27"/>
        <v>#VALUE!</v>
      </c>
    </row>
    <row r="334" spans="1:26" hidden="1">
      <c r="A334" s="5">
        <v>399</v>
      </c>
      <c r="B334" s="59"/>
      <c r="C334" s="60"/>
      <c r="D334" s="63"/>
      <c r="E334" s="63"/>
      <c r="F334" s="63" t="s">
        <v>13</v>
      </c>
      <c r="G334" s="63" t="s">
        <v>15</v>
      </c>
      <c r="H334" s="62"/>
      <c r="I334" s="66">
        <v>381</v>
      </c>
      <c r="J334" s="66">
        <v>167.63046788395354</v>
      </c>
      <c r="K334" s="62"/>
      <c r="L334" s="66">
        <v>388.62292137369315</v>
      </c>
      <c r="M334" s="66">
        <v>217.63855880072444</v>
      </c>
      <c r="N334" s="66">
        <v>170.98436257296871</v>
      </c>
      <c r="P334">
        <f t="shared" si="28"/>
        <v>541</v>
      </c>
      <c r="Q334" t="str">
        <f t="shared" si="29"/>
        <v>SG</v>
      </c>
      <c r="R334" t="str">
        <f>IF(ISERROR(MATCH(P334&amp;"."&amp;Q334,R$5:R333,0)),P334&amp;"."&amp;Q334,P334&amp;"."&amp;Q334&amp;COUNTIFS(P$5:P333,P334,Q$5:Q333,Q334))</f>
        <v>541.SG</v>
      </c>
      <c r="S334" s="55">
        <f t="shared" si="30"/>
        <v>170.98436257296871</v>
      </c>
      <c r="W334" s="53" t="s">
        <v>263</v>
      </c>
      <c r="X334" s="54">
        <f t="shared" si="26"/>
        <v>810734940.5671984</v>
      </c>
      <c r="Y334" s="54" t="e">
        <f>SUMIFS(FuncStudy!$G$93:$G$2216,FuncStudy!$AI$93:$AI$2216,$W334,FuncStudy!$AJ$93:$AJ$2216,"&lt;&gt;"&amp;"NA")</f>
        <v>#VALUE!</v>
      </c>
      <c r="Z334" s="55" t="e">
        <f t="shared" si="27"/>
        <v>#VALUE!</v>
      </c>
    </row>
    <row r="335" spans="1:26" hidden="1">
      <c r="A335" s="5">
        <v>400</v>
      </c>
      <c r="B335" s="59"/>
      <c r="C335" s="60"/>
      <c r="D335" s="63"/>
      <c r="E335" s="63"/>
      <c r="F335" s="63" t="s">
        <v>13</v>
      </c>
      <c r="G335" s="63" t="s">
        <v>15</v>
      </c>
      <c r="H335" s="62"/>
      <c r="I335" s="65">
        <v>0</v>
      </c>
      <c r="J335" s="65">
        <v>0</v>
      </c>
      <c r="K335" s="62"/>
      <c r="L335" s="65">
        <v>0</v>
      </c>
      <c r="M335" s="65">
        <v>0</v>
      </c>
      <c r="N335" s="65">
        <v>0</v>
      </c>
      <c r="P335">
        <f t="shared" si="28"/>
        <v>541</v>
      </c>
      <c r="Q335" t="str">
        <f t="shared" si="29"/>
        <v>SG</v>
      </c>
      <c r="R335" t="str">
        <f>IF(ISERROR(MATCH(P335&amp;"."&amp;Q335,R$5:R334,0)),P335&amp;"."&amp;Q335,P335&amp;"."&amp;Q335&amp;COUNTIFS(P$5:P334,P335,Q$5:Q334,Q335))</f>
        <v>541.SG1</v>
      </c>
      <c r="S335" s="55">
        <f t="shared" si="30"/>
        <v>0</v>
      </c>
      <c r="W335" s="53" t="s">
        <v>264</v>
      </c>
      <c r="X335" s="54">
        <f t="shared" si="26"/>
        <v>20392303.091937196</v>
      </c>
      <c r="Y335" s="54" t="e">
        <f>SUMIFS(FuncStudy!$G$93:$G$2216,FuncStudy!$AI$93:$AI$2216,$W335,FuncStudy!$AJ$93:$AJ$2216,"&lt;&gt;"&amp;"NA")</f>
        <v>#VALUE!</v>
      </c>
      <c r="Z335" s="55" t="e">
        <f t="shared" si="27"/>
        <v>#VALUE!</v>
      </c>
    </row>
    <row r="336" spans="1:26" hidden="1">
      <c r="A336" s="5">
        <v>401</v>
      </c>
      <c r="B336" s="59"/>
      <c r="C336" s="60"/>
      <c r="D336" s="63"/>
      <c r="E336" s="63"/>
      <c r="F336" s="63"/>
      <c r="G336" s="63"/>
      <c r="H336" s="62"/>
      <c r="I336" s="69"/>
      <c r="J336" s="69"/>
      <c r="K336" s="62"/>
      <c r="L336" s="69"/>
      <c r="M336" s="65"/>
      <c r="N336" s="65"/>
      <c r="P336">
        <f t="shared" si="28"/>
        <v>541</v>
      </c>
      <c r="Q336" t="str">
        <f t="shared" si="29"/>
        <v>NA</v>
      </c>
      <c r="R336" t="str">
        <f>IF(ISERROR(MATCH(P336&amp;"."&amp;Q336,R$5:R335,0)),P336&amp;"."&amp;Q336,P336&amp;"."&amp;Q336&amp;COUNTIFS(P$5:P335,P336,Q$5:Q335,Q336))</f>
        <v>541.NA1</v>
      </c>
      <c r="S336" s="55">
        <f t="shared" si="30"/>
        <v>0</v>
      </c>
      <c r="W336" s="53" t="s">
        <v>265</v>
      </c>
      <c r="X336" s="54">
        <f t="shared" si="26"/>
        <v>47178116.883877411</v>
      </c>
      <c r="Y336" s="54" t="e">
        <f>SUMIFS(FuncStudy!$G$93:$G$2216,FuncStudy!$AI$93:$AI$2216,$W336,FuncStudy!$AJ$93:$AJ$2216,"&lt;&gt;"&amp;"NA")</f>
        <v>#VALUE!</v>
      </c>
      <c r="Z336" s="55" t="e">
        <f t="shared" si="27"/>
        <v>#VALUE!</v>
      </c>
    </row>
    <row r="337" spans="1:26" hidden="1">
      <c r="A337" s="5">
        <v>402</v>
      </c>
      <c r="B337" s="59"/>
      <c r="C337" s="60"/>
      <c r="D337" s="63"/>
      <c r="E337" s="70"/>
      <c r="F337" s="63"/>
      <c r="G337" s="63"/>
      <c r="H337" s="62" t="s">
        <v>178</v>
      </c>
      <c r="I337" s="69">
        <v>381</v>
      </c>
      <c r="J337" s="69">
        <v>167.63046788395354</v>
      </c>
      <c r="K337" s="62"/>
      <c r="L337" s="69">
        <v>388.62292137369315</v>
      </c>
      <c r="M337" s="69">
        <v>217.63855880072444</v>
      </c>
      <c r="N337" s="69">
        <v>170.98436257296871</v>
      </c>
      <c r="P337">
        <f t="shared" si="28"/>
        <v>541</v>
      </c>
      <c r="Q337" t="str">
        <f t="shared" si="29"/>
        <v>NA</v>
      </c>
      <c r="R337" t="str">
        <f>IF(ISERROR(MATCH(P337&amp;"."&amp;Q337,R$5:R336,0)),P337&amp;"."&amp;Q337,P337&amp;"."&amp;Q337&amp;COUNTIFS(P$5:P336,P337,Q$5:Q336,Q337))</f>
        <v>541.NA2</v>
      </c>
      <c r="S337" s="55">
        <f t="shared" si="30"/>
        <v>170.98436257296871</v>
      </c>
      <c r="W337" s="53" t="s">
        <v>266</v>
      </c>
      <c r="X337" s="54">
        <f t="shared" si="26"/>
        <v>0</v>
      </c>
      <c r="Y337" s="54" t="e">
        <f>SUMIFS(FuncStudy!$G$93:$G$2216,FuncStudy!$AI$93:$AI$2216,$W337,FuncStudy!$AJ$93:$AJ$2216,"&lt;&gt;"&amp;"NA")</f>
        <v>#VALUE!</v>
      </c>
      <c r="Z337" s="55" t="e">
        <f t="shared" si="27"/>
        <v>#VALUE!</v>
      </c>
    </row>
    <row r="338" spans="1:26" hidden="1">
      <c r="A338" s="5">
        <v>403</v>
      </c>
      <c r="B338" s="59"/>
      <c r="C338" s="71"/>
      <c r="D338" s="72"/>
      <c r="E338" s="73"/>
      <c r="F338" s="63"/>
      <c r="G338" s="72"/>
      <c r="H338" s="74"/>
      <c r="I338" s="75"/>
      <c r="J338" s="75"/>
      <c r="K338" s="62"/>
      <c r="L338" s="75"/>
      <c r="M338" s="75"/>
      <c r="N338" s="75"/>
      <c r="P338">
        <f t="shared" si="28"/>
        <v>541</v>
      </c>
      <c r="Q338" t="str">
        <f t="shared" si="29"/>
        <v>NA</v>
      </c>
      <c r="R338" t="str">
        <f>IF(ISERROR(MATCH(P338&amp;"."&amp;Q338,R$5:R337,0)),P338&amp;"."&amp;Q338,P338&amp;"."&amp;Q338&amp;COUNTIFS(P$5:P337,P338,Q$5:Q337,Q338))</f>
        <v>541.NA3</v>
      </c>
      <c r="S338" s="55">
        <f t="shared" si="30"/>
        <v>0</v>
      </c>
    </row>
    <row r="339" spans="1:26" hidden="1">
      <c r="A339" s="5">
        <v>404</v>
      </c>
      <c r="B339" s="59"/>
      <c r="C339" s="60">
        <v>542</v>
      </c>
      <c r="D339" s="61" t="s">
        <v>189</v>
      </c>
      <c r="E339" s="63"/>
      <c r="F339" s="63"/>
      <c r="G339" s="63"/>
      <c r="H339" s="62"/>
      <c r="I339" s="65"/>
      <c r="J339" s="65"/>
      <c r="K339" s="62"/>
      <c r="L339" s="65"/>
      <c r="M339" s="65"/>
      <c r="N339" s="65"/>
      <c r="P339">
        <f t="shared" si="28"/>
        <v>542</v>
      </c>
      <c r="Q339" t="str">
        <f t="shared" si="29"/>
        <v>NA</v>
      </c>
      <c r="R339" t="str">
        <f>IF(ISERROR(MATCH(P339&amp;"."&amp;Q339,R$5:R338,0)),P339&amp;"."&amp;Q339,P339&amp;"."&amp;Q339&amp;COUNTIFS(P$5:P338,P339,Q$5:Q338,Q339))</f>
        <v>542.NA</v>
      </c>
      <c r="S339" s="55">
        <f t="shared" si="30"/>
        <v>0</v>
      </c>
    </row>
    <row r="340" spans="1:26" hidden="1">
      <c r="A340" s="5">
        <v>405</v>
      </c>
      <c r="B340" s="59"/>
      <c r="C340" s="60"/>
      <c r="D340" s="63"/>
      <c r="E340" s="63"/>
      <c r="F340" s="60" t="s">
        <v>13</v>
      </c>
      <c r="G340" s="61" t="s">
        <v>15</v>
      </c>
      <c r="H340" s="62"/>
      <c r="I340" s="65">
        <v>0</v>
      </c>
      <c r="J340" s="65">
        <v>0</v>
      </c>
      <c r="K340" s="62"/>
      <c r="L340" s="65">
        <v>0</v>
      </c>
      <c r="M340" s="65">
        <v>0</v>
      </c>
      <c r="N340" s="64">
        <v>0</v>
      </c>
      <c r="P340">
        <f t="shared" si="28"/>
        <v>542</v>
      </c>
      <c r="Q340" t="str">
        <f t="shared" si="29"/>
        <v>SG</v>
      </c>
      <c r="R340" t="str">
        <f>IF(ISERROR(MATCH(P340&amp;"."&amp;Q340,R$5:R339,0)),P340&amp;"."&amp;Q340,P340&amp;"."&amp;Q340&amp;COUNTIFS(P$5:P339,P340,Q$5:Q339,Q340))</f>
        <v>542.SG</v>
      </c>
      <c r="S340" s="55">
        <f t="shared" si="30"/>
        <v>0</v>
      </c>
    </row>
    <row r="341" spans="1:26" hidden="1">
      <c r="A341" s="5">
        <v>406</v>
      </c>
      <c r="B341" s="59"/>
      <c r="C341" s="60"/>
      <c r="D341" s="63"/>
      <c r="E341" s="63"/>
      <c r="F341" s="60" t="s">
        <v>13</v>
      </c>
      <c r="G341" s="61" t="s">
        <v>15</v>
      </c>
      <c r="H341" s="62"/>
      <c r="I341" s="65">
        <v>625784.86</v>
      </c>
      <c r="J341" s="65">
        <v>275329.6820905364</v>
      </c>
      <c r="K341" s="62"/>
      <c r="L341" s="65">
        <v>658620.83338908898</v>
      </c>
      <c r="M341" s="65">
        <v>368844.14451997506</v>
      </c>
      <c r="N341" s="64">
        <v>289776.68886911392</v>
      </c>
      <c r="P341">
        <f t="shared" si="28"/>
        <v>542</v>
      </c>
      <c r="Q341" t="str">
        <f t="shared" si="29"/>
        <v>SG</v>
      </c>
      <c r="R341" t="str">
        <f>IF(ISERROR(MATCH(P341&amp;"."&amp;Q341,R$5:R340,0)),P341&amp;"."&amp;Q341,P341&amp;"."&amp;Q341&amp;COUNTIFS(P$5:P340,P341,Q$5:Q340,Q341))</f>
        <v>542.SG1</v>
      </c>
      <c r="S341" s="55">
        <f t="shared" si="30"/>
        <v>289776.68886911392</v>
      </c>
    </row>
    <row r="342" spans="1:26" hidden="1">
      <c r="A342" s="5">
        <v>407</v>
      </c>
      <c r="B342" s="59"/>
      <c r="C342" s="60"/>
      <c r="D342" s="63"/>
      <c r="E342" s="63"/>
      <c r="F342" s="60" t="s">
        <v>13</v>
      </c>
      <c r="G342" s="61" t="s">
        <v>15</v>
      </c>
      <c r="H342" s="62"/>
      <c r="I342" s="65">
        <v>20931.669999999998</v>
      </c>
      <c r="J342" s="65">
        <v>9209.4111173031852</v>
      </c>
      <c r="K342" s="62"/>
      <c r="L342" s="65">
        <v>22261.3259068439</v>
      </c>
      <c r="M342" s="65">
        <v>12466.899456761434</v>
      </c>
      <c r="N342" s="64">
        <v>9794.4264500824665</v>
      </c>
      <c r="P342">
        <f t="shared" si="28"/>
        <v>542</v>
      </c>
      <c r="Q342" t="str">
        <f t="shared" si="29"/>
        <v>SG</v>
      </c>
      <c r="R342" t="str">
        <f>IF(ISERROR(MATCH(P342&amp;"."&amp;Q342,R$5:R341,0)),P342&amp;"."&amp;Q342,P342&amp;"."&amp;Q342&amp;COUNTIFS(P$5:P341,P342,Q$5:Q341,Q342))</f>
        <v>542.SG2</v>
      </c>
      <c r="S342" s="55">
        <f t="shared" si="30"/>
        <v>9794.4264500824665</v>
      </c>
    </row>
    <row r="343" spans="1:26" hidden="1">
      <c r="A343" s="5">
        <v>408</v>
      </c>
      <c r="B343" s="59"/>
      <c r="C343" s="60"/>
      <c r="D343" s="63"/>
      <c r="E343" s="63"/>
      <c r="F343" s="63"/>
      <c r="G343" s="63"/>
      <c r="H343" s="62"/>
      <c r="I343" s="65"/>
      <c r="J343" s="65"/>
      <c r="K343" s="62"/>
      <c r="L343" s="65"/>
      <c r="M343" s="65"/>
      <c r="N343" s="65"/>
      <c r="P343">
        <f t="shared" si="28"/>
        <v>542</v>
      </c>
      <c r="Q343" t="str">
        <f t="shared" si="29"/>
        <v>NA</v>
      </c>
      <c r="R343" t="str">
        <f>IF(ISERROR(MATCH(P343&amp;"."&amp;Q343,R$5:R342,0)),P343&amp;"."&amp;Q343,P343&amp;"."&amp;Q343&amp;COUNTIFS(P$5:P342,P343,Q$5:Q342,Q343))</f>
        <v>542.NA1</v>
      </c>
      <c r="S343" s="55">
        <f t="shared" si="30"/>
        <v>0</v>
      </c>
    </row>
    <row r="344" spans="1:26" hidden="1">
      <c r="A344" s="5">
        <v>409</v>
      </c>
      <c r="B344" s="59"/>
      <c r="C344" s="60"/>
      <c r="D344" s="63"/>
      <c r="E344" s="63"/>
      <c r="F344" s="63"/>
      <c r="G344" s="63"/>
      <c r="H344" s="62" t="s">
        <v>178</v>
      </c>
      <c r="I344" s="66">
        <v>646716.53</v>
      </c>
      <c r="J344" s="66">
        <v>284539.09320783959</v>
      </c>
      <c r="K344" s="62"/>
      <c r="L344" s="66">
        <v>680882.15929593286</v>
      </c>
      <c r="M344" s="66">
        <v>381311.04397673649</v>
      </c>
      <c r="N344" s="66">
        <v>299571.11531919637</v>
      </c>
      <c r="P344">
        <f t="shared" si="28"/>
        <v>542</v>
      </c>
      <c r="Q344" t="str">
        <f t="shared" si="29"/>
        <v>NA</v>
      </c>
      <c r="R344" t="str">
        <f>IF(ISERROR(MATCH(P344&amp;"."&amp;Q344,R$5:R343,0)),P344&amp;"."&amp;Q344,P344&amp;"."&amp;Q344&amp;COUNTIFS(P$5:P343,P344,Q$5:Q343,Q344))</f>
        <v>542.NA2</v>
      </c>
      <c r="S344" s="55">
        <f t="shared" si="30"/>
        <v>299571.11531919637</v>
      </c>
    </row>
    <row r="345" spans="1:26" hidden="1">
      <c r="A345" s="5">
        <v>410</v>
      </c>
      <c r="B345" s="59"/>
      <c r="C345" s="60"/>
      <c r="D345" s="63"/>
      <c r="E345" s="63"/>
      <c r="F345" s="63"/>
      <c r="G345" s="63"/>
      <c r="H345" s="62"/>
      <c r="I345" s="65"/>
      <c r="J345" s="65"/>
      <c r="K345" s="62"/>
      <c r="L345" s="65"/>
      <c r="M345" s="65"/>
      <c r="N345" s="65"/>
      <c r="P345">
        <f t="shared" si="28"/>
        <v>542</v>
      </c>
      <c r="Q345" t="str">
        <f t="shared" si="29"/>
        <v>NA</v>
      </c>
      <c r="R345" t="str">
        <f>IF(ISERROR(MATCH(P345&amp;"."&amp;Q345,R$5:R344,0)),P345&amp;"."&amp;Q345,P345&amp;"."&amp;Q345&amp;COUNTIFS(P$5:P344,P345,Q$5:Q344,Q345))</f>
        <v>542.NA3</v>
      </c>
      <c r="S345" s="55">
        <f t="shared" si="30"/>
        <v>0</v>
      </c>
    </row>
    <row r="346" spans="1:26" hidden="1">
      <c r="A346" s="5">
        <v>411</v>
      </c>
      <c r="B346" s="59"/>
      <c r="C346" s="60"/>
      <c r="D346" s="61"/>
      <c r="E346" s="63"/>
      <c r="F346" s="63"/>
      <c r="G346" s="63"/>
      <c r="H346" s="62"/>
      <c r="I346" s="65"/>
      <c r="J346" s="65"/>
      <c r="K346" s="62"/>
      <c r="L346" s="65"/>
      <c r="M346" s="65"/>
      <c r="N346" s="65"/>
      <c r="P346">
        <f t="shared" si="28"/>
        <v>542</v>
      </c>
      <c r="Q346" t="str">
        <f t="shared" si="29"/>
        <v>NA</v>
      </c>
      <c r="R346" t="str">
        <f>IF(ISERROR(MATCH(P346&amp;"."&amp;Q346,R$5:R345,0)),P346&amp;"."&amp;Q346,P346&amp;"."&amp;Q346&amp;COUNTIFS(P$5:P345,P346,Q$5:Q345,Q346))</f>
        <v>542.NA4</v>
      </c>
      <c r="S346" s="55">
        <f t="shared" si="30"/>
        <v>0</v>
      </c>
    </row>
    <row r="347" spans="1:26" hidden="1">
      <c r="A347" s="5">
        <v>412</v>
      </c>
      <c r="B347" s="59"/>
      <c r="C347" s="60"/>
      <c r="D347" s="63"/>
      <c r="E347" s="63"/>
      <c r="F347" s="60"/>
      <c r="G347" s="61"/>
      <c r="H347" s="62"/>
      <c r="I347" s="65"/>
      <c r="J347" s="65"/>
      <c r="K347" s="62"/>
      <c r="L347" s="65"/>
      <c r="M347" s="65"/>
      <c r="N347" s="64"/>
      <c r="P347">
        <f t="shared" si="28"/>
        <v>542</v>
      </c>
      <c r="Q347" t="str">
        <f t="shared" si="29"/>
        <v>NA</v>
      </c>
      <c r="R347" t="str">
        <f>IF(ISERROR(MATCH(P347&amp;"."&amp;Q347,R$5:R346,0)),P347&amp;"."&amp;Q347,P347&amp;"."&amp;Q347&amp;COUNTIFS(P$5:P346,P347,Q$5:Q346,Q347))</f>
        <v>542.NA5</v>
      </c>
      <c r="S347" s="55">
        <f t="shared" si="30"/>
        <v>0</v>
      </c>
    </row>
    <row r="348" spans="1:26" hidden="1">
      <c r="A348" s="5">
        <v>413</v>
      </c>
      <c r="B348" s="59"/>
      <c r="C348" s="60"/>
      <c r="D348" s="63"/>
      <c r="E348" s="63"/>
      <c r="F348" s="60"/>
      <c r="G348" s="61"/>
      <c r="H348" s="62"/>
      <c r="I348" s="65"/>
      <c r="J348" s="65"/>
      <c r="K348" s="62"/>
      <c r="L348" s="65"/>
      <c r="M348" s="65"/>
      <c r="N348" s="64"/>
      <c r="P348">
        <f t="shared" si="28"/>
        <v>542</v>
      </c>
      <c r="Q348" t="str">
        <f t="shared" si="29"/>
        <v>NA</v>
      </c>
      <c r="R348" t="str">
        <f>IF(ISERROR(MATCH(P348&amp;"."&amp;Q348,R$5:R347,0)),P348&amp;"."&amp;Q348,P348&amp;"."&amp;Q348&amp;COUNTIFS(P$5:P347,P348,Q$5:Q347,Q348))</f>
        <v>542.NA6</v>
      </c>
      <c r="S348" s="55">
        <f t="shared" si="30"/>
        <v>0</v>
      </c>
    </row>
    <row r="349" spans="1:26" hidden="1">
      <c r="A349" s="5">
        <v>414</v>
      </c>
      <c r="B349" s="59"/>
      <c r="C349" s="60">
        <v>543</v>
      </c>
      <c r="D349" s="63" t="s">
        <v>267</v>
      </c>
      <c r="E349" s="63"/>
      <c r="F349" s="60"/>
      <c r="G349" s="61"/>
      <c r="H349" s="62"/>
      <c r="I349" s="65"/>
      <c r="J349" s="65"/>
      <c r="K349" s="62"/>
      <c r="L349" s="65"/>
      <c r="M349" s="65"/>
      <c r="N349" s="64"/>
      <c r="P349">
        <f t="shared" si="28"/>
        <v>543</v>
      </c>
      <c r="Q349" t="str">
        <f t="shared" si="29"/>
        <v>NA</v>
      </c>
      <c r="R349" t="str">
        <f>IF(ISERROR(MATCH(P349&amp;"."&amp;Q349,R$5:R348,0)),P349&amp;"."&amp;Q349,P349&amp;"."&amp;Q349&amp;COUNTIFS(P$5:P348,P349,Q$5:Q348,Q349))</f>
        <v>543.NA</v>
      </c>
      <c r="S349" s="55">
        <f t="shared" si="30"/>
        <v>0</v>
      </c>
    </row>
    <row r="350" spans="1:26" hidden="1">
      <c r="A350" s="5">
        <v>415</v>
      </c>
      <c r="B350" s="59"/>
      <c r="C350" s="60"/>
      <c r="D350" s="63"/>
      <c r="E350" s="63"/>
      <c r="F350" s="63" t="s">
        <v>13</v>
      </c>
      <c r="G350" s="63" t="s">
        <v>15</v>
      </c>
      <c r="H350" s="62"/>
      <c r="I350" s="65">
        <v>0</v>
      </c>
      <c r="J350" s="65">
        <v>0</v>
      </c>
      <c r="K350" s="62"/>
      <c r="L350" s="65">
        <v>0</v>
      </c>
      <c r="M350" s="65">
        <v>0</v>
      </c>
      <c r="N350" s="65">
        <v>0</v>
      </c>
      <c r="P350">
        <f t="shared" si="28"/>
        <v>543</v>
      </c>
      <c r="Q350" t="str">
        <f t="shared" si="29"/>
        <v>SG</v>
      </c>
      <c r="R350" t="str">
        <f>IF(ISERROR(MATCH(P350&amp;"."&amp;Q350,R$5:R349,0)),P350&amp;"."&amp;Q350,P350&amp;"."&amp;Q350&amp;COUNTIFS(P$5:P349,P350,Q$5:Q349,Q350))</f>
        <v>543.SG</v>
      </c>
      <c r="S350" s="55">
        <f t="shared" si="30"/>
        <v>0</v>
      </c>
    </row>
    <row r="351" spans="1:26" hidden="1">
      <c r="A351" s="5">
        <v>416</v>
      </c>
      <c r="B351" s="59"/>
      <c r="C351" s="60"/>
      <c r="D351" s="63"/>
      <c r="E351" s="63"/>
      <c r="F351" s="63" t="s">
        <v>13</v>
      </c>
      <c r="G351" s="63" t="s">
        <v>15</v>
      </c>
      <c r="H351" s="62"/>
      <c r="I351" s="66">
        <v>1095817.3600000001</v>
      </c>
      <c r="J351" s="66">
        <v>482132.22249910439</v>
      </c>
      <c r="K351" s="62"/>
      <c r="L351" s="66">
        <v>1150534.7911762309</v>
      </c>
      <c r="M351" s="66">
        <v>644328.26791733748</v>
      </c>
      <c r="N351" s="66">
        <v>506206.5232588934</v>
      </c>
      <c r="P351">
        <f t="shared" si="28"/>
        <v>543</v>
      </c>
      <c r="Q351" t="str">
        <f t="shared" si="29"/>
        <v>SG</v>
      </c>
      <c r="R351" t="str">
        <f>IF(ISERROR(MATCH(P351&amp;"."&amp;Q351,R$5:R350,0)),P351&amp;"."&amp;Q351,P351&amp;"."&amp;Q351&amp;COUNTIFS(P$5:P350,P351,Q$5:Q350,Q351))</f>
        <v>543.SG1</v>
      </c>
      <c r="S351" s="55">
        <f t="shared" si="30"/>
        <v>506206.5232588934</v>
      </c>
    </row>
    <row r="352" spans="1:26" hidden="1">
      <c r="A352" s="5">
        <v>417</v>
      </c>
      <c r="B352" s="59"/>
      <c r="C352" s="60"/>
      <c r="D352" s="63"/>
      <c r="E352" s="63"/>
      <c r="F352" s="63" t="s">
        <v>13</v>
      </c>
      <c r="G352" s="63" t="s">
        <v>15</v>
      </c>
      <c r="H352" s="62"/>
      <c r="I352" s="65">
        <v>674493.33</v>
      </c>
      <c r="J352" s="65">
        <v>296760.19026904431</v>
      </c>
      <c r="K352" s="62"/>
      <c r="L352" s="65">
        <v>714304.81515617273</v>
      </c>
      <c r="M352" s="65">
        <v>400028.56744911184</v>
      </c>
      <c r="N352" s="65">
        <v>314276.24770706089</v>
      </c>
      <c r="P352">
        <f t="shared" si="28"/>
        <v>543</v>
      </c>
      <c r="Q352" t="str">
        <f t="shared" si="29"/>
        <v>SG</v>
      </c>
      <c r="R352" t="str">
        <f>IF(ISERROR(MATCH(P352&amp;"."&amp;Q352,R$5:R351,0)),P352&amp;"."&amp;Q352,P352&amp;"."&amp;Q352&amp;COUNTIFS(P$5:P351,P352,Q$5:Q351,Q352))</f>
        <v>543.SG2</v>
      </c>
      <c r="S352" s="55">
        <f t="shared" si="30"/>
        <v>314276.24770706089</v>
      </c>
    </row>
    <row r="353" spans="1:19" hidden="1">
      <c r="A353" s="5">
        <v>418</v>
      </c>
      <c r="B353" s="59"/>
      <c r="C353" s="60"/>
      <c r="D353" s="61"/>
      <c r="E353" s="63"/>
      <c r="F353" s="63"/>
      <c r="G353" s="63"/>
      <c r="H353" s="62"/>
      <c r="I353" s="65"/>
      <c r="J353" s="65"/>
      <c r="K353" s="62"/>
      <c r="L353" s="65"/>
      <c r="M353" s="65"/>
      <c r="N353" s="65"/>
      <c r="P353">
        <f t="shared" si="28"/>
        <v>543</v>
      </c>
      <c r="Q353" t="str">
        <f t="shared" si="29"/>
        <v>NA</v>
      </c>
      <c r="R353" t="str">
        <f>IF(ISERROR(MATCH(P353&amp;"."&amp;Q353,R$5:R352,0)),P353&amp;"."&amp;Q353,P353&amp;"."&amp;Q353&amp;COUNTIFS(P$5:P352,P353,Q$5:Q352,Q353))</f>
        <v>543.NA1</v>
      </c>
      <c r="S353" s="55">
        <f t="shared" si="30"/>
        <v>0</v>
      </c>
    </row>
    <row r="354" spans="1:19" hidden="1">
      <c r="A354" s="5">
        <v>419</v>
      </c>
      <c r="B354" s="59"/>
      <c r="C354" s="60"/>
      <c r="D354" s="63"/>
      <c r="E354" s="63"/>
      <c r="F354" s="60"/>
      <c r="G354" s="61"/>
      <c r="H354" s="62" t="s">
        <v>178</v>
      </c>
      <c r="I354" s="65">
        <v>1770310.69</v>
      </c>
      <c r="J354" s="65">
        <v>778892.4127681487</v>
      </c>
      <c r="K354" s="62"/>
      <c r="L354" s="65">
        <v>1864839.6063324036</v>
      </c>
      <c r="M354" s="65">
        <v>1044356.8353664493</v>
      </c>
      <c r="N354" s="64">
        <v>820482.77096595429</v>
      </c>
      <c r="P354">
        <f t="shared" si="28"/>
        <v>543</v>
      </c>
      <c r="Q354" t="str">
        <f t="shared" si="29"/>
        <v>NA</v>
      </c>
      <c r="R354" t="str">
        <f>IF(ISERROR(MATCH(P354&amp;"."&amp;Q354,R$5:R353,0)),P354&amp;"."&amp;Q354,P354&amp;"."&amp;Q354&amp;COUNTIFS(P$5:P353,P354,Q$5:Q353,Q354))</f>
        <v>543.NA2</v>
      </c>
      <c r="S354" s="55">
        <f t="shared" si="30"/>
        <v>820482.77096595429</v>
      </c>
    </row>
    <row r="355" spans="1:19" hidden="1">
      <c r="A355" s="5">
        <v>420</v>
      </c>
      <c r="B355" s="59"/>
      <c r="C355" s="60"/>
      <c r="D355" s="63"/>
      <c r="E355" s="63"/>
      <c r="F355" s="60"/>
      <c r="G355" s="61"/>
      <c r="H355" s="62"/>
      <c r="I355" s="65"/>
      <c r="J355" s="65"/>
      <c r="K355" s="62"/>
      <c r="L355" s="65"/>
      <c r="M355" s="65"/>
      <c r="N355" s="64"/>
      <c r="P355">
        <f t="shared" si="28"/>
        <v>543</v>
      </c>
      <c r="Q355" t="str">
        <f t="shared" si="29"/>
        <v>NA</v>
      </c>
      <c r="R355" t="str">
        <f>IF(ISERROR(MATCH(P355&amp;"."&amp;Q355,R$5:R354,0)),P355&amp;"."&amp;Q355,P355&amp;"."&amp;Q355&amp;COUNTIFS(P$5:P354,P355,Q$5:Q354,Q355))</f>
        <v>543.NA3</v>
      </c>
      <c r="S355" s="55">
        <f t="shared" si="30"/>
        <v>0</v>
      </c>
    </row>
    <row r="356" spans="1:19" hidden="1">
      <c r="A356" s="5">
        <v>421</v>
      </c>
      <c r="B356" s="59"/>
      <c r="C356" s="60">
        <v>544</v>
      </c>
      <c r="D356" s="63" t="s">
        <v>191</v>
      </c>
      <c r="E356" s="63"/>
      <c r="F356" s="60"/>
      <c r="G356" s="61"/>
      <c r="H356" s="62"/>
      <c r="I356" s="65"/>
      <c r="J356" s="65"/>
      <c r="K356" s="62"/>
      <c r="L356" s="65"/>
      <c r="M356" s="65"/>
      <c r="N356" s="64"/>
      <c r="P356">
        <f t="shared" si="28"/>
        <v>544</v>
      </c>
      <c r="Q356" t="str">
        <f t="shared" si="29"/>
        <v>NA</v>
      </c>
      <c r="R356" t="str">
        <f>IF(ISERROR(MATCH(P356&amp;"."&amp;Q356,R$5:R355,0)),P356&amp;"."&amp;Q356,P356&amp;"."&amp;Q356&amp;COUNTIFS(P$5:P355,P356,Q$5:Q355,Q356))</f>
        <v>544.NA</v>
      </c>
      <c r="S356" s="55">
        <f t="shared" si="30"/>
        <v>0</v>
      </c>
    </row>
    <row r="357" spans="1:19" hidden="1">
      <c r="A357" s="5">
        <v>422</v>
      </c>
      <c r="B357" s="59"/>
      <c r="C357" s="60"/>
      <c r="D357" s="63"/>
      <c r="E357" s="63"/>
      <c r="F357" s="63" t="s">
        <v>13</v>
      </c>
      <c r="G357" s="63" t="s">
        <v>15</v>
      </c>
      <c r="H357" s="62"/>
      <c r="I357" s="65">
        <v>0</v>
      </c>
      <c r="J357" s="65">
        <v>0</v>
      </c>
      <c r="K357" s="62"/>
      <c r="L357" s="65">
        <v>0</v>
      </c>
      <c r="M357" s="65">
        <v>0</v>
      </c>
      <c r="N357" s="65">
        <v>0</v>
      </c>
      <c r="P357">
        <f t="shared" si="28"/>
        <v>544</v>
      </c>
      <c r="Q357" t="str">
        <f t="shared" si="29"/>
        <v>SG</v>
      </c>
      <c r="R357" t="str">
        <f>IF(ISERROR(MATCH(P357&amp;"."&amp;Q357,R$5:R356,0)),P357&amp;"."&amp;Q357,P357&amp;"."&amp;Q357&amp;COUNTIFS(P$5:P356,P357,Q$5:Q356,Q357))</f>
        <v>544.SG</v>
      </c>
      <c r="S357" s="55">
        <f t="shared" si="30"/>
        <v>0</v>
      </c>
    </row>
    <row r="358" spans="1:19" hidden="1">
      <c r="A358" s="5">
        <v>423</v>
      </c>
      <c r="B358" s="59"/>
      <c r="C358" s="60"/>
      <c r="D358" s="63"/>
      <c r="E358" s="63"/>
      <c r="F358" s="63" t="s">
        <v>13</v>
      </c>
      <c r="G358" s="63" t="s">
        <v>15</v>
      </c>
      <c r="H358" s="62"/>
      <c r="I358" s="66">
        <v>1619287.64</v>
      </c>
      <c r="J358" s="66">
        <v>712446.04916509951</v>
      </c>
      <c r="K358" s="62"/>
      <c r="L358" s="66">
        <v>1728322.406000332</v>
      </c>
      <c r="M358" s="66">
        <v>967903.78770071</v>
      </c>
      <c r="N358" s="66">
        <v>760418.61829962197</v>
      </c>
      <c r="P358">
        <f t="shared" si="28"/>
        <v>544</v>
      </c>
      <c r="Q358" t="str">
        <f t="shared" si="29"/>
        <v>SG</v>
      </c>
      <c r="R358" t="str">
        <f>IF(ISERROR(MATCH(P358&amp;"."&amp;Q358,R$5:R357,0)),P358&amp;"."&amp;Q358,P358&amp;"."&amp;Q358&amp;COUNTIFS(P$5:P357,P358,Q$5:Q357,Q358))</f>
        <v>544.SG1</v>
      </c>
      <c r="S358" s="55">
        <f t="shared" si="30"/>
        <v>760418.61829962197</v>
      </c>
    </row>
    <row r="359" spans="1:19" hidden="1">
      <c r="A359" s="5">
        <v>424</v>
      </c>
      <c r="B359" s="59"/>
      <c r="C359" s="60"/>
      <c r="D359" s="63"/>
      <c r="E359" s="63"/>
      <c r="F359" s="63" t="s">
        <v>13</v>
      </c>
      <c r="G359" s="63" t="s">
        <v>15</v>
      </c>
      <c r="H359" s="62"/>
      <c r="I359" s="65">
        <v>393834.29</v>
      </c>
      <c r="J359" s="65">
        <v>173277.23438699383</v>
      </c>
      <c r="K359" s="62"/>
      <c r="L359" s="65">
        <v>419445.01797067531</v>
      </c>
      <c r="M359" s="65">
        <v>234899.70402312253</v>
      </c>
      <c r="N359" s="65">
        <v>184545.31394755279</v>
      </c>
      <c r="P359">
        <f t="shared" si="28"/>
        <v>544</v>
      </c>
      <c r="Q359" t="str">
        <f t="shared" si="29"/>
        <v>SG</v>
      </c>
      <c r="R359" t="str">
        <f>IF(ISERROR(MATCH(P359&amp;"."&amp;Q359,R$5:R358,0)),P359&amp;"."&amp;Q359,P359&amp;"."&amp;Q359&amp;COUNTIFS(P$5:P358,P359,Q$5:Q358,Q359))</f>
        <v>544.SG2</v>
      </c>
      <c r="S359" s="55">
        <f t="shared" si="30"/>
        <v>184545.31394755279</v>
      </c>
    </row>
    <row r="360" spans="1:19" ht="15.75" hidden="1" thickBot="1">
      <c r="A360" s="5">
        <v>425</v>
      </c>
      <c r="B360" s="59"/>
      <c r="C360" s="45"/>
      <c r="D360" s="63"/>
      <c r="E360" s="63"/>
      <c r="F360" s="63"/>
      <c r="G360" s="63"/>
      <c r="H360" s="41"/>
      <c r="I360" s="68"/>
      <c r="J360" s="68"/>
      <c r="K360" s="41"/>
      <c r="L360" s="68"/>
      <c r="M360" s="68"/>
      <c r="N360" s="68"/>
      <c r="P360">
        <f t="shared" si="28"/>
        <v>544</v>
      </c>
      <c r="Q360" t="str">
        <f t="shared" si="29"/>
        <v>NA</v>
      </c>
      <c r="R360" t="str">
        <f>IF(ISERROR(MATCH(P360&amp;"."&amp;Q360,R$5:R359,0)),P360&amp;"."&amp;Q360,P360&amp;"."&amp;Q360&amp;COUNTIFS(P$5:P359,P360,Q$5:Q359,Q360))</f>
        <v>544.NA1</v>
      </c>
      <c r="S360" s="55">
        <f t="shared" si="30"/>
        <v>0</v>
      </c>
    </row>
    <row r="361" spans="1:19" hidden="1">
      <c r="A361" s="5">
        <v>426</v>
      </c>
      <c r="B361" s="59"/>
      <c r="C361" s="60"/>
      <c r="D361" s="63"/>
      <c r="E361" s="63"/>
      <c r="F361" s="63"/>
      <c r="G361" s="63"/>
      <c r="H361" s="62" t="s">
        <v>178</v>
      </c>
      <c r="I361" s="65">
        <v>2013121.93</v>
      </c>
      <c r="J361" s="65">
        <v>885723.28355209331</v>
      </c>
      <c r="K361" s="62"/>
      <c r="L361" s="65">
        <v>2147767.4239710071</v>
      </c>
      <c r="M361" s="65">
        <v>1202803.4917238324</v>
      </c>
      <c r="N361" s="65">
        <v>944963.93224717479</v>
      </c>
      <c r="P361">
        <f t="shared" si="28"/>
        <v>544</v>
      </c>
      <c r="Q361" t="str">
        <f t="shared" si="29"/>
        <v>NA</v>
      </c>
      <c r="R361" t="str">
        <f>IF(ISERROR(MATCH(P361&amp;"."&amp;Q361,R$5:R360,0)),P361&amp;"."&amp;Q361,P361&amp;"."&amp;Q361&amp;COUNTIFS(P$5:P360,P361,Q$5:Q360,Q361))</f>
        <v>544.NA2</v>
      </c>
      <c r="S361" s="55">
        <f t="shared" si="30"/>
        <v>944963.93224717479</v>
      </c>
    </row>
    <row r="362" spans="1:19" hidden="1">
      <c r="A362" s="5">
        <v>427</v>
      </c>
      <c r="B362" s="59"/>
      <c r="C362" s="60"/>
      <c r="D362" s="61"/>
      <c r="E362" s="63"/>
      <c r="F362" s="63"/>
      <c r="G362" s="63"/>
      <c r="H362" s="62"/>
      <c r="I362" s="65"/>
      <c r="J362" s="65"/>
      <c r="K362" s="62"/>
      <c r="L362" s="65"/>
      <c r="M362" s="65"/>
      <c r="N362" s="65"/>
      <c r="P362">
        <f t="shared" si="28"/>
        <v>544</v>
      </c>
      <c r="Q362" t="str">
        <f t="shared" si="29"/>
        <v>NA</v>
      </c>
      <c r="R362" t="str">
        <f>IF(ISERROR(MATCH(P362&amp;"."&amp;Q362,R$5:R361,0)),P362&amp;"."&amp;Q362,P362&amp;"."&amp;Q362&amp;COUNTIFS(P$5:P361,P362,Q$5:Q361,Q362))</f>
        <v>544.NA3</v>
      </c>
      <c r="S362" s="55">
        <f t="shared" si="30"/>
        <v>0</v>
      </c>
    </row>
    <row r="363" spans="1:19" hidden="1">
      <c r="A363" s="5">
        <v>428</v>
      </c>
      <c r="B363" s="59"/>
      <c r="C363" s="60">
        <v>545</v>
      </c>
      <c r="D363" s="63" t="s">
        <v>268</v>
      </c>
      <c r="E363" s="63"/>
      <c r="F363" s="60"/>
      <c r="G363" s="61"/>
      <c r="H363" s="62"/>
      <c r="I363" s="65"/>
      <c r="J363" s="65"/>
      <c r="K363" s="62"/>
      <c r="L363" s="65"/>
      <c r="M363" s="65"/>
      <c r="N363" s="64"/>
      <c r="P363">
        <f t="shared" si="28"/>
        <v>545</v>
      </c>
      <c r="Q363" t="str">
        <f t="shared" si="29"/>
        <v>NA</v>
      </c>
      <c r="R363" t="str">
        <f>IF(ISERROR(MATCH(P363&amp;"."&amp;Q363,R$5:R362,0)),P363&amp;"."&amp;Q363,P363&amp;"."&amp;Q363&amp;COUNTIFS(P$5:P362,P363,Q$5:Q362,Q363))</f>
        <v>545.NA</v>
      </c>
      <c r="S363" s="55">
        <f t="shared" si="30"/>
        <v>0</v>
      </c>
    </row>
    <row r="364" spans="1:19" hidden="1">
      <c r="A364" s="5">
        <v>429</v>
      </c>
      <c r="B364" s="59"/>
      <c r="C364" s="60"/>
      <c r="D364" s="63"/>
      <c r="E364" s="63"/>
      <c r="F364" s="60" t="s">
        <v>13</v>
      </c>
      <c r="G364" s="61" t="s">
        <v>15</v>
      </c>
      <c r="H364" s="62"/>
      <c r="I364" s="65">
        <v>0</v>
      </c>
      <c r="J364" s="65">
        <v>0</v>
      </c>
      <c r="K364" s="62"/>
      <c r="L364" s="65">
        <v>0</v>
      </c>
      <c r="M364" s="65">
        <v>0</v>
      </c>
      <c r="N364" s="64">
        <v>0</v>
      </c>
      <c r="P364">
        <f t="shared" si="28"/>
        <v>545</v>
      </c>
      <c r="Q364" t="str">
        <f t="shared" si="29"/>
        <v>SG</v>
      </c>
      <c r="R364" t="str">
        <f>IF(ISERROR(MATCH(P364&amp;"."&amp;Q364,R$5:R363,0)),P364&amp;"."&amp;Q364,P364&amp;"."&amp;Q364&amp;COUNTIFS(P$5:P363,P364,Q$5:Q363,Q364))</f>
        <v>545.SG</v>
      </c>
      <c r="S364" s="55">
        <f t="shared" si="30"/>
        <v>0</v>
      </c>
    </row>
    <row r="365" spans="1:19" hidden="1">
      <c r="A365" s="5">
        <v>430</v>
      </c>
      <c r="B365" s="59"/>
      <c r="C365" s="60"/>
      <c r="D365" s="63"/>
      <c r="E365" s="63"/>
      <c r="F365" s="63" t="s">
        <v>13</v>
      </c>
      <c r="G365" s="63" t="s">
        <v>15</v>
      </c>
      <c r="H365" s="62"/>
      <c r="I365" s="66">
        <v>0</v>
      </c>
      <c r="J365" s="66">
        <v>0</v>
      </c>
      <c r="K365" s="62"/>
      <c r="L365" s="66">
        <v>0</v>
      </c>
      <c r="M365" s="66">
        <v>0</v>
      </c>
      <c r="N365" s="66">
        <v>0</v>
      </c>
      <c r="P365">
        <f t="shared" si="28"/>
        <v>545</v>
      </c>
      <c r="Q365" t="str">
        <f t="shared" si="29"/>
        <v>SG</v>
      </c>
      <c r="R365" t="str">
        <f>IF(ISERROR(MATCH(P365&amp;"."&amp;Q365,R$5:R364,0)),P365&amp;"."&amp;Q365,P365&amp;"."&amp;Q365&amp;COUNTIFS(P$5:P364,P365,Q$5:Q364,Q365))</f>
        <v>545.SG1</v>
      </c>
      <c r="S365" s="55">
        <f t="shared" si="30"/>
        <v>0</v>
      </c>
    </row>
    <row r="366" spans="1:19" hidden="1">
      <c r="A366" s="5">
        <v>431</v>
      </c>
      <c r="B366" s="59"/>
      <c r="C366" s="60"/>
      <c r="D366" s="63"/>
      <c r="E366" s="63"/>
      <c r="F366" s="63" t="s">
        <v>13</v>
      </c>
      <c r="G366" s="63" t="s">
        <v>15</v>
      </c>
      <c r="H366" s="62"/>
      <c r="I366" s="65">
        <v>3698809.56</v>
      </c>
      <c r="J366" s="65">
        <v>1627383.6670772713</v>
      </c>
      <c r="K366" s="62"/>
      <c r="L366" s="65">
        <v>3850950.0431538098</v>
      </c>
      <c r="M366" s="65">
        <v>2156628.3698425125</v>
      </c>
      <c r="N366" s="65">
        <v>1694321.6733112973</v>
      </c>
      <c r="P366">
        <f t="shared" si="28"/>
        <v>545</v>
      </c>
      <c r="Q366" t="str">
        <f t="shared" si="29"/>
        <v>SG</v>
      </c>
      <c r="R366" t="str">
        <f>IF(ISERROR(MATCH(P366&amp;"."&amp;Q366,R$5:R365,0)),P366&amp;"."&amp;Q366,P366&amp;"."&amp;Q366&amp;COUNTIFS(P$5:P365,P366,Q$5:Q365,Q366))</f>
        <v>545.SG2</v>
      </c>
      <c r="S366" s="55">
        <f t="shared" si="30"/>
        <v>1694321.6733112973</v>
      </c>
    </row>
    <row r="367" spans="1:19" hidden="1">
      <c r="A367" s="5">
        <v>432</v>
      </c>
      <c r="B367" s="59"/>
      <c r="C367" s="60"/>
      <c r="D367" s="61"/>
      <c r="E367" s="63"/>
      <c r="F367" s="63" t="s">
        <v>13</v>
      </c>
      <c r="G367" s="63" t="s">
        <v>15</v>
      </c>
      <c r="H367" s="62"/>
      <c r="I367" s="65">
        <v>679277.4</v>
      </c>
      <c r="J367" s="65">
        <v>298865.06137794087</v>
      </c>
      <c r="K367" s="62"/>
      <c r="L367" s="65">
        <v>702804.50611406274</v>
      </c>
      <c r="M367" s="65">
        <v>393588.10666300962</v>
      </c>
      <c r="N367" s="65">
        <v>309216.39945105312</v>
      </c>
      <c r="P367">
        <f t="shared" si="28"/>
        <v>545</v>
      </c>
      <c r="Q367" t="str">
        <f t="shared" si="29"/>
        <v>SG</v>
      </c>
      <c r="R367" t="str">
        <f>IF(ISERROR(MATCH(P367&amp;"."&amp;Q367,R$5:R366,0)),P367&amp;"."&amp;Q367,P367&amp;"."&amp;Q367&amp;COUNTIFS(P$5:P366,P367,Q$5:Q366,Q367))</f>
        <v>545.SG3</v>
      </c>
      <c r="S367" s="55">
        <f t="shared" si="30"/>
        <v>309216.39945105312</v>
      </c>
    </row>
    <row r="368" spans="1:19" hidden="1">
      <c r="A368" s="5">
        <v>433</v>
      </c>
      <c r="B368" s="59"/>
      <c r="C368" s="60"/>
      <c r="D368" s="63"/>
      <c r="E368" s="63"/>
      <c r="F368" s="60"/>
      <c r="G368" s="61"/>
      <c r="H368" s="62"/>
      <c r="I368" s="65"/>
      <c r="J368" s="65"/>
      <c r="K368" s="62"/>
      <c r="L368" s="65"/>
      <c r="M368" s="65"/>
      <c r="N368" s="64"/>
      <c r="P368">
        <f t="shared" si="28"/>
        <v>545</v>
      </c>
      <c r="Q368" t="str">
        <f t="shared" si="29"/>
        <v>NA</v>
      </c>
      <c r="R368" t="str">
        <f>IF(ISERROR(MATCH(P368&amp;"."&amp;Q368,R$5:R367,0)),P368&amp;"."&amp;Q368,P368&amp;"."&amp;Q368&amp;COUNTIFS(P$5:P367,P368,Q$5:Q367,Q368))</f>
        <v>545.NA1</v>
      </c>
      <c r="S368" s="55">
        <f t="shared" si="30"/>
        <v>0</v>
      </c>
    </row>
    <row r="369" spans="1:19" hidden="1">
      <c r="A369" s="5">
        <v>434</v>
      </c>
      <c r="B369" s="59"/>
      <c r="C369" s="60"/>
      <c r="D369" s="63"/>
      <c r="E369" s="63"/>
      <c r="F369" s="60"/>
      <c r="G369" s="61"/>
      <c r="H369" s="62" t="s">
        <v>178</v>
      </c>
      <c r="I369" s="65">
        <v>4378086.96</v>
      </c>
      <c r="J369" s="65">
        <v>1926248.7284552122</v>
      </c>
      <c r="K369" s="62"/>
      <c r="L369" s="65">
        <v>4553754.5492678722</v>
      </c>
      <c r="M369" s="65">
        <v>2550216.4765055222</v>
      </c>
      <c r="N369" s="64">
        <v>2003538.0727623506</v>
      </c>
      <c r="P369">
        <f t="shared" si="28"/>
        <v>545</v>
      </c>
      <c r="Q369" t="str">
        <f t="shared" si="29"/>
        <v>NA</v>
      </c>
      <c r="R369" t="str">
        <f>IF(ISERROR(MATCH(P369&amp;"."&amp;Q369,R$5:R368,0)),P369&amp;"."&amp;Q369,P369&amp;"."&amp;Q369&amp;COUNTIFS(P$5:P368,P369,Q$5:Q368,Q369))</f>
        <v>545.NA2</v>
      </c>
      <c r="S369" s="55">
        <f t="shared" si="30"/>
        <v>2003538.0727623506</v>
      </c>
    </row>
    <row r="370" spans="1:19" hidden="1">
      <c r="A370" s="5">
        <v>435</v>
      </c>
      <c r="B370" s="59"/>
      <c r="C370" s="60"/>
      <c r="D370" s="63"/>
      <c r="E370" s="63"/>
      <c r="F370" s="63"/>
      <c r="G370" s="63"/>
      <c r="H370" s="62"/>
      <c r="I370" s="66"/>
      <c r="J370" s="66"/>
      <c r="K370" s="62"/>
      <c r="L370" s="66"/>
      <c r="M370" s="66"/>
      <c r="N370" s="66"/>
      <c r="P370">
        <f t="shared" si="28"/>
        <v>545</v>
      </c>
      <c r="Q370" t="str">
        <f t="shared" si="29"/>
        <v>NA</v>
      </c>
      <c r="R370" t="str">
        <f>IF(ISERROR(MATCH(P370&amp;"."&amp;Q370,R$5:R369,0)),P370&amp;"."&amp;Q370,P370&amp;"."&amp;Q370&amp;COUNTIFS(P$5:P369,P370,Q$5:Q369,Q370))</f>
        <v>545.NA3</v>
      </c>
      <c r="S370" s="55">
        <f t="shared" si="30"/>
        <v>0</v>
      </c>
    </row>
    <row r="371" spans="1:19" hidden="1">
      <c r="A371" s="5">
        <v>436</v>
      </c>
      <c r="B371" s="59"/>
      <c r="C371" s="60" t="s">
        <v>269</v>
      </c>
      <c r="D371" s="63"/>
      <c r="E371" s="63"/>
      <c r="F371" s="63"/>
      <c r="G371" s="63"/>
      <c r="H371" s="62" t="s">
        <v>178</v>
      </c>
      <c r="I371" s="65">
        <v>44115769.810000002</v>
      </c>
      <c r="J371" s="65">
        <v>19409834.998191848</v>
      </c>
      <c r="K371" s="62"/>
      <c r="L371" s="65">
        <v>46860131.63612774</v>
      </c>
      <c r="M371" s="65">
        <v>26242846.094742581</v>
      </c>
      <c r="N371" s="65">
        <v>20617285.541385163</v>
      </c>
      <c r="P371" t="str">
        <f t="shared" si="28"/>
        <v xml:space="preserve">Total Hydraulic Power Generation </v>
      </c>
      <c r="Q371" t="str">
        <f t="shared" si="29"/>
        <v>NA</v>
      </c>
      <c r="R371" t="str">
        <f>IF(ISERROR(MATCH(P371&amp;"."&amp;Q371,R$5:R370,0)),P371&amp;"."&amp;Q371,P371&amp;"."&amp;Q371&amp;COUNTIFS(P$5:P370,P371,Q$5:Q370,Q371))</f>
        <v>Total Hydraulic Power Generation .NA</v>
      </c>
      <c r="S371" s="55">
        <f t="shared" si="30"/>
        <v>20617285.541385163</v>
      </c>
    </row>
    <row r="372" spans="1:19" hidden="1">
      <c r="A372" s="5">
        <v>437</v>
      </c>
      <c r="B372" s="59"/>
      <c r="C372" s="60"/>
      <c r="D372" s="61"/>
      <c r="E372" s="63"/>
      <c r="F372" s="63"/>
      <c r="G372" s="63"/>
      <c r="H372" s="62"/>
      <c r="I372" s="65"/>
      <c r="J372" s="65"/>
      <c r="K372" s="62"/>
      <c r="L372" s="65"/>
      <c r="M372" s="65"/>
      <c r="N372" s="65"/>
      <c r="P372" t="str">
        <f t="shared" si="28"/>
        <v xml:space="preserve">Total Hydraulic Power Generation </v>
      </c>
      <c r="Q372" t="str">
        <f t="shared" si="29"/>
        <v>NA</v>
      </c>
      <c r="R372" t="str">
        <f>IF(ISERROR(MATCH(P372&amp;"."&amp;Q372,R$5:R371,0)),P372&amp;"."&amp;Q372,P372&amp;"."&amp;Q372&amp;COUNTIFS(P$5:P371,P372,Q$5:Q371,Q372))</f>
        <v>Total Hydraulic Power Generation .NA1</v>
      </c>
      <c r="S372" s="55">
        <f t="shared" si="30"/>
        <v>0</v>
      </c>
    </row>
    <row r="373" spans="1:19" hidden="1">
      <c r="A373" s="5">
        <v>438</v>
      </c>
      <c r="B373" s="59"/>
      <c r="C373" s="60">
        <v>546</v>
      </c>
      <c r="D373" s="63" t="s">
        <v>194</v>
      </c>
      <c r="E373" s="63"/>
      <c r="F373" s="60"/>
      <c r="G373" s="61"/>
      <c r="H373" s="62"/>
      <c r="I373" s="65"/>
      <c r="J373" s="65"/>
      <c r="K373" s="62"/>
      <c r="L373" s="65"/>
      <c r="M373" s="65"/>
      <c r="N373" s="64"/>
      <c r="P373">
        <f t="shared" si="28"/>
        <v>546</v>
      </c>
      <c r="Q373" t="str">
        <f t="shared" si="29"/>
        <v>NA</v>
      </c>
      <c r="R373" t="str">
        <f>IF(ISERROR(MATCH(P373&amp;"."&amp;Q373,R$5:R372,0)),P373&amp;"."&amp;Q373,P373&amp;"."&amp;Q373&amp;COUNTIFS(P$5:P372,P373,Q$5:Q372,Q373))</f>
        <v>546.NA</v>
      </c>
      <c r="S373" s="55">
        <f t="shared" si="30"/>
        <v>0</v>
      </c>
    </row>
    <row r="374" spans="1:19" hidden="1">
      <c r="A374" s="5">
        <v>439</v>
      </c>
      <c r="B374" s="59"/>
      <c r="C374" s="60"/>
      <c r="D374" s="63"/>
      <c r="E374" s="63"/>
      <c r="F374" s="60" t="s">
        <v>13</v>
      </c>
      <c r="G374" s="61" t="s">
        <v>15</v>
      </c>
      <c r="H374" s="62"/>
      <c r="I374" s="65">
        <v>355807.54</v>
      </c>
      <c r="J374" s="65">
        <v>156546.41576598035</v>
      </c>
      <c r="K374" s="62"/>
      <c r="L374" s="65">
        <v>357287.83498539811</v>
      </c>
      <c r="M374" s="65">
        <v>200090.12646086511</v>
      </c>
      <c r="N374" s="64">
        <v>157197.70852453299</v>
      </c>
      <c r="P374">
        <f t="shared" si="28"/>
        <v>546</v>
      </c>
      <c r="Q374" t="str">
        <f t="shared" si="29"/>
        <v>SG</v>
      </c>
      <c r="R374" t="str">
        <f>IF(ISERROR(MATCH(P374&amp;"."&amp;Q374,R$5:R373,0)),P374&amp;"."&amp;Q374,P374&amp;"."&amp;Q374&amp;COUNTIFS(P$5:P373,P374,Q$5:Q373,Q374))</f>
        <v>546.SG</v>
      </c>
      <c r="S374" s="55">
        <f t="shared" si="30"/>
        <v>157197.70852453299</v>
      </c>
    </row>
    <row r="375" spans="1:19" hidden="1">
      <c r="A375" s="5">
        <v>440</v>
      </c>
      <c r="B375" s="59"/>
      <c r="C375" s="60"/>
      <c r="D375" s="63"/>
      <c r="E375" s="63"/>
      <c r="F375" s="63" t="s">
        <v>13</v>
      </c>
      <c r="G375" s="63" t="s">
        <v>15</v>
      </c>
      <c r="H375" s="62"/>
      <c r="I375" s="66">
        <v>0</v>
      </c>
      <c r="J375" s="66">
        <v>0</v>
      </c>
      <c r="K375" s="62"/>
      <c r="L375" s="66">
        <v>0</v>
      </c>
      <c r="M375" s="66">
        <v>0</v>
      </c>
      <c r="N375" s="66">
        <v>0</v>
      </c>
      <c r="P375">
        <f t="shared" si="28"/>
        <v>546</v>
      </c>
      <c r="Q375" t="str">
        <f t="shared" si="29"/>
        <v>SG</v>
      </c>
      <c r="R375" t="str">
        <f>IF(ISERROR(MATCH(P375&amp;"."&amp;Q375,R$5:R374,0)),P375&amp;"."&amp;Q375,P375&amp;"."&amp;Q375&amp;COUNTIFS(P$5:P374,P375,Q$5:Q374,Q375))</f>
        <v>546.SG1</v>
      </c>
      <c r="S375" s="55">
        <f t="shared" si="30"/>
        <v>0</v>
      </c>
    </row>
    <row r="376" spans="1:19" hidden="1">
      <c r="A376" s="5">
        <v>441</v>
      </c>
      <c r="B376" s="59"/>
      <c r="C376" s="60"/>
      <c r="D376" s="63"/>
      <c r="E376" s="63"/>
      <c r="F376" s="63" t="s">
        <v>13</v>
      </c>
      <c r="G376" s="63" t="s">
        <v>15</v>
      </c>
      <c r="H376" s="62"/>
      <c r="I376" s="65">
        <v>0</v>
      </c>
      <c r="J376" s="65">
        <v>0</v>
      </c>
      <c r="K376" s="62"/>
      <c r="L376" s="65">
        <v>0</v>
      </c>
      <c r="M376" s="65">
        <v>0</v>
      </c>
      <c r="N376" s="65">
        <v>0</v>
      </c>
      <c r="P376">
        <f t="shared" si="28"/>
        <v>546</v>
      </c>
      <c r="Q376" t="str">
        <f t="shared" si="29"/>
        <v>SG</v>
      </c>
      <c r="R376" t="str">
        <f>IF(ISERROR(MATCH(P376&amp;"."&amp;Q376,R$5:R375,0)),P376&amp;"."&amp;Q376,P376&amp;"."&amp;Q376&amp;COUNTIFS(P$5:P375,P376,Q$5:Q375,Q376))</f>
        <v>546.SG2</v>
      </c>
      <c r="S376" s="55">
        <f t="shared" si="30"/>
        <v>0</v>
      </c>
    </row>
    <row r="377" spans="1:19" hidden="1">
      <c r="A377" s="5">
        <v>442</v>
      </c>
      <c r="B377" s="59"/>
      <c r="C377" s="60"/>
      <c r="D377" s="61"/>
      <c r="E377" s="63"/>
      <c r="F377" s="63"/>
      <c r="G377" s="63"/>
      <c r="H377" s="62" t="s">
        <v>178</v>
      </c>
      <c r="I377" s="65">
        <v>355807.54</v>
      </c>
      <c r="J377" s="65">
        <v>156546.41576598035</v>
      </c>
      <c r="K377" s="62"/>
      <c r="L377" s="65">
        <v>357287.83498539811</v>
      </c>
      <c r="M377" s="65">
        <v>200090.12646086511</v>
      </c>
      <c r="N377" s="65">
        <v>157197.70852453299</v>
      </c>
      <c r="P377">
        <f t="shared" si="28"/>
        <v>546</v>
      </c>
      <c r="Q377" t="str">
        <f t="shared" si="29"/>
        <v>NA</v>
      </c>
      <c r="R377" t="str">
        <f>IF(ISERROR(MATCH(P377&amp;"."&amp;Q377,R$5:R376,0)),P377&amp;"."&amp;Q377,P377&amp;"."&amp;Q377&amp;COUNTIFS(P$5:P376,P377,Q$5:Q376,Q377))</f>
        <v>546.NA1</v>
      </c>
      <c r="S377" s="55">
        <f t="shared" si="30"/>
        <v>157197.70852453299</v>
      </c>
    </row>
    <row r="378" spans="1:19" hidden="1">
      <c r="A378" s="5">
        <v>443</v>
      </c>
      <c r="B378" s="59"/>
      <c r="C378" s="60"/>
      <c r="D378" s="63"/>
      <c r="E378" s="63"/>
      <c r="F378" s="60"/>
      <c r="G378" s="61"/>
      <c r="H378" s="62"/>
      <c r="I378" s="65"/>
      <c r="J378" s="65"/>
      <c r="K378" s="62"/>
      <c r="L378" s="65"/>
      <c r="M378" s="65"/>
      <c r="N378" s="64"/>
      <c r="P378">
        <f t="shared" si="28"/>
        <v>546</v>
      </c>
      <c r="Q378" t="str">
        <f t="shared" si="29"/>
        <v>NA</v>
      </c>
      <c r="R378" t="str">
        <f>IF(ISERROR(MATCH(P378&amp;"."&amp;Q378,R$5:R377,0)),P378&amp;"."&amp;Q378,P378&amp;"."&amp;Q378&amp;COUNTIFS(P$5:P377,P378,Q$5:Q377,Q378))</f>
        <v>546.NA2</v>
      </c>
      <c r="S378" s="55">
        <f t="shared" si="30"/>
        <v>0</v>
      </c>
    </row>
    <row r="379" spans="1:19" hidden="1">
      <c r="A379" s="5">
        <v>444</v>
      </c>
      <c r="B379" s="59"/>
      <c r="C379" s="60">
        <v>547</v>
      </c>
      <c r="D379" s="63" t="s">
        <v>270</v>
      </c>
      <c r="E379" s="63"/>
      <c r="F379" s="60"/>
      <c r="G379" s="61"/>
      <c r="H379" s="62"/>
      <c r="I379" s="65"/>
      <c r="J379" s="65"/>
      <c r="K379" s="62"/>
      <c r="L379" s="65"/>
      <c r="M379" s="65"/>
      <c r="N379" s="64"/>
      <c r="P379">
        <f t="shared" si="28"/>
        <v>547</v>
      </c>
      <c r="Q379" t="str">
        <f t="shared" si="29"/>
        <v>NA</v>
      </c>
      <c r="R379" t="str">
        <f>IF(ISERROR(MATCH(P379&amp;"."&amp;Q379,R$5:R378,0)),P379&amp;"."&amp;Q379,P379&amp;"."&amp;Q379&amp;COUNTIFS(P$5:P378,P379,Q$5:Q378,Q379))</f>
        <v>547.NA</v>
      </c>
      <c r="S379" s="55">
        <f t="shared" si="30"/>
        <v>0</v>
      </c>
    </row>
    <row r="380" spans="1:19" hidden="1">
      <c r="A380" s="5">
        <v>445</v>
      </c>
      <c r="B380" s="59"/>
      <c r="C380" s="60"/>
      <c r="D380" s="63"/>
      <c r="E380" s="63"/>
      <c r="F380" s="63" t="s">
        <v>13</v>
      </c>
      <c r="G380" s="63" t="s">
        <v>16</v>
      </c>
      <c r="H380" s="62"/>
      <c r="I380" s="66">
        <v>0</v>
      </c>
      <c r="J380" s="66">
        <v>0</v>
      </c>
      <c r="K380" s="62"/>
      <c r="L380" s="66">
        <v>0</v>
      </c>
      <c r="M380" s="66">
        <v>0</v>
      </c>
      <c r="N380" s="66">
        <v>0</v>
      </c>
      <c r="P380">
        <f t="shared" si="28"/>
        <v>547</v>
      </c>
      <c r="Q380" t="str">
        <f t="shared" si="29"/>
        <v>SE</v>
      </c>
      <c r="R380" t="str">
        <f>IF(ISERROR(MATCH(P380&amp;"."&amp;Q380,R$5:R379,0)),P380&amp;"."&amp;Q380,P380&amp;"."&amp;Q380&amp;COUNTIFS(P$5:P379,P380,Q$5:Q379,Q380))</f>
        <v>547.SE</v>
      </c>
      <c r="S380" s="55">
        <f t="shared" si="30"/>
        <v>0</v>
      </c>
    </row>
    <row r="381" spans="1:19" hidden="1">
      <c r="A381" s="5">
        <v>446</v>
      </c>
      <c r="B381" s="59"/>
      <c r="C381" s="60"/>
      <c r="D381" s="63"/>
      <c r="E381" s="63"/>
      <c r="F381" s="63" t="s">
        <v>13</v>
      </c>
      <c r="G381" s="63" t="s">
        <v>16</v>
      </c>
      <c r="H381" s="62"/>
      <c r="I381" s="65">
        <v>0</v>
      </c>
      <c r="J381" s="65">
        <v>0</v>
      </c>
      <c r="K381" s="62"/>
      <c r="L381" s="65">
        <v>0</v>
      </c>
      <c r="M381" s="65">
        <v>0</v>
      </c>
      <c r="N381" s="65">
        <v>0</v>
      </c>
      <c r="P381">
        <f t="shared" si="28"/>
        <v>547</v>
      </c>
      <c r="Q381" t="str">
        <f t="shared" si="29"/>
        <v>SE</v>
      </c>
      <c r="R381" t="str">
        <f>IF(ISERROR(MATCH(P381&amp;"."&amp;Q381,R$5:R380,0)),P381&amp;"."&amp;Q381,P381&amp;"."&amp;Q381&amp;COUNTIFS(P$5:P380,P381,Q$5:Q380,Q381))</f>
        <v>547.SE1</v>
      </c>
      <c r="S381" s="55">
        <f t="shared" si="30"/>
        <v>0</v>
      </c>
    </row>
    <row r="382" spans="1:19" hidden="1">
      <c r="A382" s="5">
        <v>447</v>
      </c>
      <c r="B382" s="59"/>
      <c r="C382" s="60"/>
      <c r="D382" s="61"/>
      <c r="E382" s="63"/>
      <c r="F382" s="63"/>
      <c r="G382" s="63"/>
      <c r="H382" s="62" t="s">
        <v>178</v>
      </c>
      <c r="I382" s="65">
        <v>0</v>
      </c>
      <c r="J382" s="65">
        <v>0</v>
      </c>
      <c r="K382" s="62"/>
      <c r="L382" s="65">
        <v>0</v>
      </c>
      <c r="M382" s="65">
        <v>0</v>
      </c>
      <c r="N382" s="65">
        <v>0</v>
      </c>
      <c r="P382">
        <f t="shared" si="28"/>
        <v>547</v>
      </c>
      <c r="Q382" t="str">
        <f t="shared" si="29"/>
        <v>NA</v>
      </c>
      <c r="R382" t="str">
        <f>IF(ISERROR(MATCH(P382&amp;"."&amp;Q382,R$5:R381,0)),P382&amp;"."&amp;Q382,P382&amp;"."&amp;Q382&amp;COUNTIFS(P$5:P381,P382,Q$5:Q381,Q382))</f>
        <v>547.NA1</v>
      </c>
      <c r="S382" s="55">
        <f t="shared" si="30"/>
        <v>0</v>
      </c>
    </row>
    <row r="383" spans="1:19" hidden="1">
      <c r="A383" s="5">
        <v>448</v>
      </c>
      <c r="B383" s="59"/>
      <c r="C383" s="60"/>
      <c r="D383" s="63"/>
      <c r="E383" s="63"/>
      <c r="F383" s="60"/>
      <c r="G383" s="61"/>
      <c r="H383" s="62"/>
      <c r="I383" s="65"/>
      <c r="J383" s="65"/>
      <c r="K383" s="62"/>
      <c r="L383" s="65"/>
      <c r="M383" s="65"/>
      <c r="N383" s="64"/>
      <c r="P383">
        <f t="shared" si="28"/>
        <v>547</v>
      </c>
      <c r="Q383" t="str">
        <f t="shared" si="29"/>
        <v>NA</v>
      </c>
      <c r="R383" t="str">
        <f>IF(ISERROR(MATCH(P383&amp;"."&amp;Q383,R$5:R382,0)),P383&amp;"."&amp;Q383,P383&amp;"."&amp;Q383&amp;COUNTIFS(P$5:P382,P383,Q$5:Q382,Q383))</f>
        <v>547.NA2</v>
      </c>
      <c r="S383" s="55">
        <f t="shared" si="30"/>
        <v>0</v>
      </c>
    </row>
    <row r="384" spans="1:19">
      <c r="A384" s="5">
        <v>449</v>
      </c>
      <c r="B384" s="59" t="s">
        <v>105</v>
      </c>
      <c r="C384" s="60" t="s">
        <v>6</v>
      </c>
      <c r="D384" s="63" t="s">
        <v>271</v>
      </c>
      <c r="E384" s="63"/>
      <c r="F384" s="60"/>
      <c r="G384" s="61"/>
      <c r="H384" s="62"/>
      <c r="I384" s="65"/>
      <c r="J384" s="65"/>
      <c r="K384" s="62"/>
      <c r="L384" s="65"/>
      <c r="M384" s="65"/>
      <c r="N384" s="64"/>
      <c r="P384" t="str">
        <f t="shared" si="28"/>
        <v>547NPC</v>
      </c>
      <c r="Q384" t="str">
        <f t="shared" si="29"/>
        <v>NA</v>
      </c>
      <c r="R384" t="str">
        <f>IF(ISERROR(MATCH(P384&amp;"."&amp;Q384,R$5:R383,0)),P384&amp;"."&amp;Q384,P384&amp;"."&amp;Q384&amp;COUNTIFS(P$5:P383,P384,Q$5:Q383,Q384))</f>
        <v>547NPC.NA</v>
      </c>
      <c r="S384" s="55">
        <f t="shared" si="30"/>
        <v>0</v>
      </c>
    </row>
    <row r="385" spans="1:19">
      <c r="A385" s="5">
        <v>450</v>
      </c>
      <c r="B385" s="59" t="s">
        <v>105</v>
      </c>
      <c r="C385" s="60"/>
      <c r="D385" s="63"/>
      <c r="E385" s="63"/>
      <c r="F385" s="60" t="s">
        <v>13</v>
      </c>
      <c r="G385" s="61" t="s">
        <v>16</v>
      </c>
      <c r="H385" s="62"/>
      <c r="I385" s="65">
        <v>279047501.73000002</v>
      </c>
      <c r="J385" s="65">
        <v>120984419.45250201</v>
      </c>
      <c r="K385" s="62"/>
      <c r="L385" s="65">
        <v>292941115.46200132</v>
      </c>
      <c r="M385" s="65">
        <v>165932951.73283529</v>
      </c>
      <c r="N385" s="64">
        <v>127008163.72916605</v>
      </c>
      <c r="P385" t="str">
        <f t="shared" si="28"/>
        <v>547NPC</v>
      </c>
      <c r="Q385" t="str">
        <f t="shared" si="29"/>
        <v>SE</v>
      </c>
      <c r="R385" t="str">
        <f>IF(ISERROR(MATCH(P385&amp;"."&amp;Q385,R$5:R384,0)),P385&amp;"."&amp;Q385,P385&amp;"."&amp;Q385&amp;COUNTIFS(P$5:P384,P385,Q$5:Q384,Q385))</f>
        <v>547NPC.SE</v>
      </c>
      <c r="S385" s="55">
        <f t="shared" si="30"/>
        <v>127008163.72916605</v>
      </c>
    </row>
    <row r="386" spans="1:19">
      <c r="A386" s="5">
        <v>451</v>
      </c>
      <c r="B386" s="59" t="s">
        <v>105</v>
      </c>
      <c r="C386" s="60"/>
      <c r="D386" s="63"/>
      <c r="E386" s="63"/>
      <c r="F386" s="63" t="s">
        <v>13</v>
      </c>
      <c r="G386" s="63" t="s">
        <v>16</v>
      </c>
      <c r="H386" s="62"/>
      <c r="I386" s="66">
        <v>1160580.27</v>
      </c>
      <c r="J386" s="66">
        <v>503183.6132682442</v>
      </c>
      <c r="K386" s="62"/>
      <c r="L386" s="66">
        <v>1160580.27</v>
      </c>
      <c r="M386" s="66">
        <v>657396.65673175582</v>
      </c>
      <c r="N386" s="66">
        <v>503183.6132682442</v>
      </c>
      <c r="P386" t="str">
        <f t="shared" si="28"/>
        <v>547NPC</v>
      </c>
      <c r="Q386" t="str">
        <f t="shared" si="29"/>
        <v>SE</v>
      </c>
      <c r="R386" t="str">
        <f>IF(ISERROR(MATCH(P386&amp;"."&amp;Q386,R$5:R385,0)),P386&amp;"."&amp;Q386,P386&amp;"."&amp;Q386&amp;COUNTIFS(P$5:P385,P386,Q$5:Q385,Q386))</f>
        <v>547NPC.SE1</v>
      </c>
      <c r="S386" s="55">
        <f t="shared" si="30"/>
        <v>503183.6132682442</v>
      </c>
    </row>
    <row r="387" spans="1:19" hidden="1">
      <c r="A387" s="5">
        <v>452</v>
      </c>
      <c r="B387" s="59"/>
      <c r="C387" s="60"/>
      <c r="D387" s="63"/>
      <c r="E387" s="63"/>
      <c r="F387" s="63"/>
      <c r="G387" s="63"/>
      <c r="H387" s="62" t="s">
        <v>178</v>
      </c>
      <c r="I387" s="65">
        <v>280208082</v>
      </c>
      <c r="J387" s="65">
        <v>121487603.06577025</v>
      </c>
      <c r="K387" s="62"/>
      <c r="L387" s="65">
        <v>294101695.7320013</v>
      </c>
      <c r="M387" s="65">
        <v>166590348.38956705</v>
      </c>
      <c r="N387" s="65">
        <v>127511347.34243429</v>
      </c>
      <c r="P387" t="str">
        <f t="shared" si="28"/>
        <v>547NPC</v>
      </c>
      <c r="Q387" t="str">
        <f t="shared" si="29"/>
        <v>NA</v>
      </c>
      <c r="R387" t="str">
        <f>IF(ISERROR(MATCH(P387&amp;"."&amp;Q387,R$5:R386,0)),P387&amp;"."&amp;Q387,P387&amp;"."&amp;Q387&amp;COUNTIFS(P$5:P386,P387,Q$5:Q386,Q387))</f>
        <v>547NPC.NA1</v>
      </c>
      <c r="S387" s="55">
        <f t="shared" si="30"/>
        <v>127511347.34243429</v>
      </c>
    </row>
    <row r="388" spans="1:19" hidden="1">
      <c r="A388" s="5">
        <v>453</v>
      </c>
      <c r="B388" s="59"/>
      <c r="C388" s="60"/>
      <c r="D388" s="63"/>
      <c r="E388" s="63"/>
      <c r="F388" s="63"/>
      <c r="G388" s="63"/>
      <c r="H388" s="62"/>
      <c r="I388" s="69"/>
      <c r="J388" s="69"/>
      <c r="K388" s="62"/>
      <c r="L388" s="69"/>
      <c r="M388" s="65"/>
      <c r="N388" s="65"/>
      <c r="P388" t="str">
        <f t="shared" si="28"/>
        <v>547NPC</v>
      </c>
      <c r="Q388" t="str">
        <f t="shared" si="29"/>
        <v>NA</v>
      </c>
      <c r="R388" t="str">
        <f>IF(ISERROR(MATCH(P388&amp;"."&amp;Q388,R$5:R387,0)),P388&amp;"."&amp;Q388,P388&amp;"."&amp;Q388&amp;COUNTIFS(P$5:P387,P388,Q$5:Q387,Q388))</f>
        <v>547NPC.NA2</v>
      </c>
      <c r="S388" s="55">
        <f t="shared" si="30"/>
        <v>0</v>
      </c>
    </row>
    <row r="389" spans="1:19" hidden="1">
      <c r="A389" s="5">
        <v>454</v>
      </c>
      <c r="B389" s="59"/>
      <c r="C389" s="60">
        <v>548</v>
      </c>
      <c r="D389" s="63" t="s">
        <v>272</v>
      </c>
      <c r="E389" s="70"/>
      <c r="F389" s="63"/>
      <c r="G389" s="63"/>
      <c r="H389" s="62"/>
      <c r="I389" s="69"/>
      <c r="J389" s="69"/>
      <c r="K389" s="62"/>
      <c r="L389" s="69"/>
      <c r="M389" s="69"/>
      <c r="N389" s="69"/>
      <c r="P389">
        <f t="shared" si="28"/>
        <v>548</v>
      </c>
      <c r="Q389" t="str">
        <f t="shared" si="29"/>
        <v>NA</v>
      </c>
      <c r="R389" t="str">
        <f>IF(ISERROR(MATCH(P389&amp;"."&amp;Q389,R$5:R388,0)),P389&amp;"."&amp;Q389,P389&amp;"."&amp;Q389&amp;COUNTIFS(P$5:P388,P389,Q$5:Q388,Q389))</f>
        <v>548.NA</v>
      </c>
      <c r="S389" s="55">
        <f t="shared" si="30"/>
        <v>0</v>
      </c>
    </row>
    <row r="390" spans="1:19" hidden="1">
      <c r="A390" s="5">
        <v>455</v>
      </c>
      <c r="B390" s="59"/>
      <c r="C390" s="71"/>
      <c r="D390" s="72"/>
      <c r="E390" s="73"/>
      <c r="F390" s="63" t="s">
        <v>13</v>
      </c>
      <c r="G390" s="72" t="s">
        <v>15</v>
      </c>
      <c r="H390" s="74"/>
      <c r="I390" s="75">
        <v>16519013.42</v>
      </c>
      <c r="J390" s="75">
        <v>7267952.6209341409</v>
      </c>
      <c r="K390" s="62"/>
      <c r="L390" s="75">
        <v>17156919.571896214</v>
      </c>
      <c r="M390" s="75">
        <v>9608304.2036958933</v>
      </c>
      <c r="N390" s="75">
        <v>7548615.3682003217</v>
      </c>
      <c r="P390">
        <f t="shared" si="28"/>
        <v>548</v>
      </c>
      <c r="Q390" t="str">
        <f t="shared" si="29"/>
        <v>SG</v>
      </c>
      <c r="R390" t="str">
        <f>IF(ISERROR(MATCH(P390&amp;"."&amp;Q390,R$5:R389,0)),P390&amp;"."&amp;Q390,P390&amp;"."&amp;Q390&amp;COUNTIFS(P$5:P389,P390,Q$5:Q389,Q390))</f>
        <v>548.SG</v>
      </c>
      <c r="S390" s="55">
        <f t="shared" si="30"/>
        <v>7548615.3682003217</v>
      </c>
    </row>
    <row r="391" spans="1:19" hidden="1">
      <c r="A391" s="5">
        <v>456</v>
      </c>
      <c r="B391" s="59"/>
      <c r="C391" s="60"/>
      <c r="D391" s="61"/>
      <c r="E391" s="63"/>
      <c r="F391" s="63" t="s">
        <v>13</v>
      </c>
      <c r="G391" s="63" t="s">
        <v>15</v>
      </c>
      <c r="H391" s="62"/>
      <c r="I391" s="65">
        <v>734954.48</v>
      </c>
      <c r="J391" s="65">
        <v>323361.58361104404</v>
      </c>
      <c r="K391" s="62"/>
      <c r="L391" s="65">
        <v>784740.34223287797</v>
      </c>
      <c r="M391" s="65">
        <v>439474.22481578827</v>
      </c>
      <c r="N391" s="65">
        <v>345266.1174170897</v>
      </c>
      <c r="P391">
        <f t="shared" ref="P391:P454" si="31">IF(OR(C391="",C391=" ",C391="  ",C391="   "),P390,C391)</f>
        <v>548</v>
      </c>
      <c r="Q391" t="str">
        <f t="shared" ref="Q391:Q454" si="32">IF(G391="","NA",G391)</f>
        <v>SG</v>
      </c>
      <c r="R391" t="str">
        <f>IF(ISERROR(MATCH(P391&amp;"."&amp;Q391,R$5:R390,0)),P391&amp;"."&amp;Q391,P391&amp;"."&amp;Q391&amp;COUNTIFS(P$5:P390,P391,Q$5:Q390,Q391))</f>
        <v>548.SG1</v>
      </c>
      <c r="S391" s="55">
        <f t="shared" si="30"/>
        <v>345266.1174170897</v>
      </c>
    </row>
    <row r="392" spans="1:19" hidden="1">
      <c r="A392" s="5">
        <v>457</v>
      </c>
      <c r="B392" s="59"/>
      <c r="C392" s="60"/>
      <c r="D392" s="63"/>
      <c r="E392" s="63"/>
      <c r="F392" s="60" t="s">
        <v>13</v>
      </c>
      <c r="G392" s="61" t="s">
        <v>15</v>
      </c>
      <c r="H392" s="62"/>
      <c r="I392" s="65">
        <v>0</v>
      </c>
      <c r="J392" s="65">
        <v>0</v>
      </c>
      <c r="K392" s="62"/>
      <c r="L392" s="65">
        <v>0</v>
      </c>
      <c r="M392" s="65">
        <v>0</v>
      </c>
      <c r="N392" s="64">
        <v>0</v>
      </c>
      <c r="P392">
        <f t="shared" si="31"/>
        <v>548</v>
      </c>
      <c r="Q392" t="str">
        <f t="shared" si="32"/>
        <v>SG</v>
      </c>
      <c r="R392" t="str">
        <f>IF(ISERROR(MATCH(P392&amp;"."&amp;Q392,R$5:R391,0)),P392&amp;"."&amp;Q392,P392&amp;"."&amp;Q392&amp;COUNTIFS(P$5:P391,P392,Q$5:Q391,Q392))</f>
        <v>548.SG2</v>
      </c>
      <c r="S392" s="55">
        <f t="shared" ref="S392:S455" si="33">N392</f>
        <v>0</v>
      </c>
    </row>
    <row r="393" spans="1:19" hidden="1">
      <c r="A393" s="5">
        <v>458</v>
      </c>
      <c r="B393" s="59"/>
      <c r="C393" s="60"/>
      <c r="D393" s="63"/>
      <c r="E393" s="63"/>
      <c r="F393" s="60"/>
      <c r="G393" s="61"/>
      <c r="H393" s="62" t="s">
        <v>178</v>
      </c>
      <c r="I393" s="65">
        <v>17253967.899999999</v>
      </c>
      <c r="J393" s="65">
        <v>7591314.204545185</v>
      </c>
      <c r="K393" s="62"/>
      <c r="L393" s="65">
        <v>17941659.914129093</v>
      </c>
      <c r="M393" s="65">
        <v>10047778.428511681</v>
      </c>
      <c r="N393" s="64">
        <v>7893881.4856174113</v>
      </c>
      <c r="P393">
        <f t="shared" si="31"/>
        <v>548</v>
      </c>
      <c r="Q393" t="str">
        <f t="shared" si="32"/>
        <v>NA</v>
      </c>
      <c r="R393" t="str">
        <f>IF(ISERROR(MATCH(P393&amp;"."&amp;Q393,R$5:R392,0)),P393&amp;"."&amp;Q393,P393&amp;"."&amp;Q393&amp;COUNTIFS(P$5:P392,P393,Q$5:Q392,Q393))</f>
        <v>548.NA1</v>
      </c>
      <c r="S393" s="55">
        <f t="shared" si="33"/>
        <v>7893881.4856174113</v>
      </c>
    </row>
    <row r="394" spans="1:19" hidden="1">
      <c r="A394" s="5">
        <v>459</v>
      </c>
      <c r="B394" s="59"/>
      <c r="C394" s="60"/>
      <c r="D394" s="63"/>
      <c r="E394" s="63"/>
      <c r="F394" s="60"/>
      <c r="G394" s="61"/>
      <c r="H394" s="62"/>
      <c r="I394" s="65"/>
      <c r="J394" s="65"/>
      <c r="K394" s="62"/>
      <c r="L394" s="65"/>
      <c r="M394" s="65"/>
      <c r="N394" s="64"/>
      <c r="P394">
        <f t="shared" si="31"/>
        <v>548</v>
      </c>
      <c r="Q394" t="str">
        <f t="shared" si="32"/>
        <v>NA</v>
      </c>
      <c r="R394" t="str">
        <f>IF(ISERROR(MATCH(P394&amp;"."&amp;Q394,R$5:R393,0)),P394&amp;"."&amp;Q394,P394&amp;"."&amp;Q394&amp;COUNTIFS(P$5:P393,P394,Q$5:Q393,Q394))</f>
        <v>548.NA2</v>
      </c>
      <c r="S394" s="55">
        <f t="shared" si="33"/>
        <v>0</v>
      </c>
    </row>
    <row r="395" spans="1:19" hidden="1">
      <c r="A395" s="5">
        <v>460</v>
      </c>
      <c r="B395" s="59"/>
      <c r="C395" s="60">
        <v>549</v>
      </c>
      <c r="D395" s="63" t="s">
        <v>273</v>
      </c>
      <c r="E395" s="63"/>
      <c r="F395" s="63"/>
      <c r="G395" s="63"/>
      <c r="H395" s="62"/>
      <c r="I395" s="66"/>
      <c r="J395" s="66"/>
      <c r="K395" s="62"/>
      <c r="L395" s="66"/>
      <c r="M395" s="66"/>
      <c r="N395" s="66"/>
      <c r="P395">
        <f t="shared" si="31"/>
        <v>549</v>
      </c>
      <c r="Q395" t="str">
        <f t="shared" si="32"/>
        <v>NA</v>
      </c>
      <c r="R395" t="str">
        <f>IF(ISERROR(MATCH(P395&amp;"."&amp;Q395,R$5:R394,0)),P395&amp;"."&amp;Q395,P395&amp;"."&amp;Q395&amp;COUNTIFS(P$5:P394,P395,Q$5:Q394,Q395))</f>
        <v>549.NA</v>
      </c>
      <c r="S395" s="55">
        <f t="shared" si="33"/>
        <v>0</v>
      </c>
    </row>
    <row r="396" spans="1:19" ht="16.5" hidden="1">
      <c r="A396" s="5">
        <v>461</v>
      </c>
      <c r="B396" s="59"/>
      <c r="C396" s="71"/>
      <c r="D396" s="72"/>
      <c r="E396" s="73"/>
      <c r="F396" s="63" t="s">
        <v>13</v>
      </c>
      <c r="G396" s="72" t="s">
        <v>12</v>
      </c>
      <c r="H396" s="74"/>
      <c r="I396" s="86">
        <v>103230.45</v>
      </c>
      <c r="J396" s="86">
        <v>0</v>
      </c>
      <c r="K396" s="87"/>
      <c r="L396" s="86">
        <v>107339.545327863</v>
      </c>
      <c r="M396" s="86">
        <v>107339.545327863</v>
      </c>
      <c r="N396" s="86">
        <v>0</v>
      </c>
      <c r="P396">
        <f t="shared" si="31"/>
        <v>549</v>
      </c>
      <c r="Q396" t="str">
        <f t="shared" si="32"/>
        <v>S</v>
      </c>
      <c r="R396" t="str">
        <f>IF(ISERROR(MATCH(P396&amp;"."&amp;Q396,R$5:R395,0)),P396&amp;"."&amp;Q396,P396&amp;"."&amp;Q396&amp;COUNTIFS(P$5:P395,P396,Q$5:Q395,Q396))</f>
        <v>549.S</v>
      </c>
      <c r="S396" s="55">
        <f t="shared" si="33"/>
        <v>0</v>
      </c>
    </row>
    <row r="397" spans="1:19" hidden="1">
      <c r="A397" s="5">
        <v>462</v>
      </c>
      <c r="B397" s="59"/>
      <c r="C397" s="60"/>
      <c r="D397" s="61"/>
      <c r="E397" s="63"/>
      <c r="F397" s="63" t="s">
        <v>13</v>
      </c>
      <c r="G397" s="63" t="s">
        <v>15</v>
      </c>
      <c r="H397" s="62"/>
      <c r="I397" s="65">
        <v>4415188.18</v>
      </c>
      <c r="J397" s="65">
        <v>1942572.3370317619</v>
      </c>
      <c r="K397" s="62"/>
      <c r="L397" s="65">
        <v>4817905.5050363755</v>
      </c>
      <c r="M397" s="65">
        <v>2698147.6204434014</v>
      </c>
      <c r="N397" s="65">
        <v>2119757.8845929741</v>
      </c>
      <c r="P397">
        <f t="shared" si="31"/>
        <v>549</v>
      </c>
      <c r="Q397" t="str">
        <f t="shared" si="32"/>
        <v>SG</v>
      </c>
      <c r="R397" t="str">
        <f>IF(ISERROR(MATCH(P397&amp;"."&amp;Q397,R$5:R396,0)),P397&amp;"."&amp;Q397,P397&amp;"."&amp;Q397&amp;COUNTIFS(P$5:P396,P397,Q$5:Q396,Q397))</f>
        <v>549.SG</v>
      </c>
      <c r="S397" s="55">
        <f t="shared" si="33"/>
        <v>2119757.8845929741</v>
      </c>
    </row>
    <row r="398" spans="1:19" hidden="1">
      <c r="A398" s="5">
        <v>463</v>
      </c>
      <c r="B398" s="59"/>
      <c r="C398" s="60"/>
      <c r="D398" s="63"/>
      <c r="E398" s="63"/>
      <c r="F398" s="60" t="s">
        <v>13</v>
      </c>
      <c r="G398" s="61" t="s">
        <v>15</v>
      </c>
      <c r="H398" s="62"/>
      <c r="I398" s="65">
        <v>3297026.9</v>
      </c>
      <c r="J398" s="65">
        <v>1450609.3487479815</v>
      </c>
      <c r="K398" s="62"/>
      <c r="L398" s="65">
        <v>3341464.8560630162</v>
      </c>
      <c r="M398" s="65">
        <v>1871303.9184261896</v>
      </c>
      <c r="N398" s="64">
        <v>1470160.9376368267</v>
      </c>
      <c r="P398">
        <f t="shared" si="31"/>
        <v>549</v>
      </c>
      <c r="Q398" t="str">
        <f t="shared" si="32"/>
        <v>SG</v>
      </c>
      <c r="R398" t="str">
        <f>IF(ISERROR(MATCH(P398&amp;"."&amp;Q398,R$5:R397,0)),P398&amp;"."&amp;Q398,P398&amp;"."&amp;Q398&amp;COUNTIFS(P$5:P397,P398,Q$5:Q397,Q398))</f>
        <v>549.SG1</v>
      </c>
      <c r="S398" s="55">
        <f t="shared" si="33"/>
        <v>1470160.9376368267</v>
      </c>
    </row>
    <row r="399" spans="1:19" hidden="1">
      <c r="A399" s="5">
        <v>464</v>
      </c>
      <c r="B399" s="59"/>
      <c r="C399" s="60"/>
      <c r="D399" s="63"/>
      <c r="E399" s="63"/>
      <c r="F399" s="63" t="s">
        <v>13</v>
      </c>
      <c r="G399" s="63" t="s">
        <v>15</v>
      </c>
      <c r="H399" s="62"/>
      <c r="I399" s="66">
        <v>0</v>
      </c>
      <c r="J399" s="66">
        <v>0</v>
      </c>
      <c r="K399" s="62"/>
      <c r="L399" s="66">
        <v>19937138.724052709</v>
      </c>
      <c r="M399" s="66">
        <v>11165296.486309286</v>
      </c>
      <c r="N399" s="66">
        <v>8771842.2377434224</v>
      </c>
      <c r="P399">
        <f t="shared" si="31"/>
        <v>549</v>
      </c>
      <c r="Q399" t="str">
        <f t="shared" si="32"/>
        <v>SG</v>
      </c>
      <c r="R399" t="str">
        <f>IF(ISERROR(MATCH(P399&amp;"."&amp;Q399,R$5:R398,0)),P399&amp;"."&amp;Q399,P399&amp;"."&amp;Q399&amp;COUNTIFS(P$5:P398,P399,Q$5:Q398,Q399))</f>
        <v>549.SG2</v>
      </c>
      <c r="S399" s="55">
        <f t="shared" si="33"/>
        <v>8771842.2377434224</v>
      </c>
    </row>
    <row r="400" spans="1:19" hidden="1">
      <c r="A400" s="5">
        <v>465</v>
      </c>
      <c r="B400" s="59"/>
      <c r="C400" s="60"/>
      <c r="D400" s="63"/>
      <c r="E400" s="63"/>
      <c r="F400" s="63" t="s">
        <v>13</v>
      </c>
      <c r="G400" s="63" t="s">
        <v>15</v>
      </c>
      <c r="H400" s="62"/>
      <c r="I400" s="65">
        <v>0</v>
      </c>
      <c r="J400" s="65">
        <v>0</v>
      </c>
      <c r="K400" s="62"/>
      <c r="L400" s="65">
        <v>0</v>
      </c>
      <c r="M400" s="65">
        <v>0</v>
      </c>
      <c r="N400" s="65">
        <v>0</v>
      </c>
      <c r="P400">
        <f t="shared" si="31"/>
        <v>549</v>
      </c>
      <c r="Q400" t="str">
        <f t="shared" si="32"/>
        <v>SG</v>
      </c>
      <c r="R400" t="str">
        <f>IF(ISERROR(MATCH(P400&amp;"."&amp;Q400,R$5:R399,0)),P400&amp;"."&amp;Q400,P400&amp;"."&amp;Q400&amp;COUNTIFS(P$5:P399,P400,Q$5:Q399,Q400))</f>
        <v>549.SG3</v>
      </c>
      <c r="S400" s="55">
        <f t="shared" si="33"/>
        <v>0</v>
      </c>
    </row>
    <row r="401" spans="1:19" hidden="1">
      <c r="A401" s="5">
        <v>466</v>
      </c>
      <c r="B401" s="59"/>
      <c r="C401" s="60"/>
      <c r="D401" s="61"/>
      <c r="E401" s="63"/>
      <c r="F401" s="63"/>
      <c r="G401" s="63"/>
      <c r="H401" s="62" t="s">
        <v>178</v>
      </c>
      <c r="I401" s="65">
        <v>7815445.5299999993</v>
      </c>
      <c r="J401" s="65">
        <v>3393181.6857797434</v>
      </c>
      <c r="K401" s="62"/>
      <c r="L401" s="65">
        <v>28203848.630479962</v>
      </c>
      <c r="M401" s="65">
        <v>4676791.0841974542</v>
      </c>
      <c r="N401" s="65">
        <v>12361761.059973223</v>
      </c>
      <c r="P401">
        <f t="shared" si="31"/>
        <v>549</v>
      </c>
      <c r="Q401" t="str">
        <f t="shared" si="32"/>
        <v>NA</v>
      </c>
      <c r="R401" t="str">
        <f>IF(ISERROR(MATCH(P401&amp;"."&amp;Q401,R$5:R400,0)),P401&amp;"."&amp;Q401,P401&amp;"."&amp;Q401&amp;COUNTIFS(P$5:P400,P401,Q$5:Q400,Q401))</f>
        <v>549.NA1</v>
      </c>
      <c r="S401" s="55">
        <f t="shared" si="33"/>
        <v>12361761.059973223</v>
      </c>
    </row>
    <row r="402" spans="1:19" hidden="1">
      <c r="A402" s="5">
        <v>467</v>
      </c>
      <c r="B402" s="59"/>
      <c r="C402" s="60"/>
      <c r="D402" s="63"/>
      <c r="E402" s="63"/>
      <c r="F402" s="60"/>
      <c r="G402" s="61"/>
      <c r="H402" s="62"/>
      <c r="I402" s="65"/>
      <c r="J402" s="65"/>
      <c r="K402" s="62"/>
      <c r="L402" s="65"/>
      <c r="M402" s="65"/>
      <c r="N402" s="64"/>
      <c r="P402">
        <f t="shared" si="31"/>
        <v>549</v>
      </c>
      <c r="Q402" t="str">
        <f t="shared" si="32"/>
        <v>NA</v>
      </c>
      <c r="R402" t="str">
        <f>IF(ISERROR(MATCH(P402&amp;"."&amp;Q402,R$5:R401,0)),P402&amp;"."&amp;Q402,P402&amp;"."&amp;Q402&amp;COUNTIFS(P$5:P401,P402,Q$5:Q401,Q402))</f>
        <v>549.NA2</v>
      </c>
      <c r="S402" s="55">
        <f t="shared" si="33"/>
        <v>0</v>
      </c>
    </row>
    <row r="403" spans="1:19" hidden="1">
      <c r="A403" s="5">
        <v>468</v>
      </c>
      <c r="B403" s="59"/>
      <c r="C403" s="60"/>
      <c r="D403" s="63"/>
      <c r="E403" s="63"/>
      <c r="F403" s="60"/>
      <c r="G403" s="61"/>
      <c r="H403" s="62"/>
      <c r="I403" s="65"/>
      <c r="J403" s="65"/>
      <c r="K403" s="62"/>
      <c r="L403" s="65"/>
      <c r="M403" s="65"/>
      <c r="N403" s="64"/>
      <c r="P403">
        <f t="shared" si="31"/>
        <v>549</v>
      </c>
      <c r="Q403" t="str">
        <f t="shared" si="32"/>
        <v>NA</v>
      </c>
      <c r="R403" t="str">
        <f>IF(ISERROR(MATCH(P403&amp;"."&amp;Q403,R$5:R402,0)),P403&amp;"."&amp;Q403,P403&amp;"."&amp;Q403&amp;COUNTIFS(P$5:P402,P403,Q$5:Q402,Q403))</f>
        <v>549.NA3</v>
      </c>
      <c r="S403" s="55">
        <f t="shared" si="33"/>
        <v>0</v>
      </c>
    </row>
    <row r="404" spans="1:19" hidden="1">
      <c r="A404" s="5">
        <v>469</v>
      </c>
      <c r="B404" s="59"/>
      <c r="C404" s="60"/>
      <c r="D404" s="63"/>
      <c r="E404" s="63"/>
      <c r="F404" s="63"/>
      <c r="G404" s="63"/>
      <c r="H404" s="62"/>
      <c r="I404" s="66"/>
      <c r="J404" s="66"/>
      <c r="K404" s="62"/>
      <c r="L404" s="66"/>
      <c r="M404" s="66"/>
      <c r="N404" s="66"/>
      <c r="P404">
        <f t="shared" si="31"/>
        <v>549</v>
      </c>
      <c r="Q404" t="str">
        <f t="shared" si="32"/>
        <v>NA</v>
      </c>
      <c r="R404" t="str">
        <f>IF(ISERROR(MATCH(P404&amp;"."&amp;Q404,R$5:R403,0)),P404&amp;"."&amp;Q404,P404&amp;"."&amp;Q404&amp;COUNTIFS(P$5:P403,P404,Q$5:Q403,Q404))</f>
        <v>549.NA4</v>
      </c>
      <c r="S404" s="55">
        <f t="shared" si="33"/>
        <v>0</v>
      </c>
    </row>
    <row r="405" spans="1:19" hidden="1">
      <c r="A405" s="5">
        <v>470</v>
      </c>
      <c r="B405" s="59"/>
      <c r="C405" s="60"/>
      <c r="D405" s="63"/>
      <c r="E405" s="63"/>
      <c r="F405" s="63"/>
      <c r="G405" s="63"/>
      <c r="H405" s="62"/>
      <c r="I405" s="65"/>
      <c r="J405" s="65"/>
      <c r="K405" s="62"/>
      <c r="L405" s="65"/>
      <c r="M405" s="65"/>
      <c r="N405" s="65"/>
      <c r="P405">
        <f t="shared" si="31"/>
        <v>549</v>
      </c>
      <c r="Q405" t="str">
        <f t="shared" si="32"/>
        <v>NA</v>
      </c>
      <c r="R405" t="str">
        <f>IF(ISERROR(MATCH(P405&amp;"."&amp;Q405,R$5:R404,0)),P405&amp;"."&amp;Q405,P405&amp;"."&amp;Q405&amp;COUNTIFS(P$5:P404,P405,Q$5:Q404,Q405))</f>
        <v>549.NA5</v>
      </c>
      <c r="S405" s="55">
        <f t="shared" si="33"/>
        <v>0</v>
      </c>
    </row>
    <row r="406" spans="1:19" hidden="1">
      <c r="A406" s="5">
        <v>471</v>
      </c>
      <c r="B406" s="59"/>
      <c r="C406" s="60">
        <v>550</v>
      </c>
      <c r="D406" s="61" t="s">
        <v>187</v>
      </c>
      <c r="E406" s="63"/>
      <c r="F406" s="63"/>
      <c r="G406" s="63"/>
      <c r="H406" s="62"/>
      <c r="I406" s="65"/>
      <c r="J406" s="65"/>
      <c r="K406" s="62"/>
      <c r="L406" s="65"/>
      <c r="M406" s="65"/>
      <c r="N406" s="65"/>
      <c r="P406">
        <f t="shared" si="31"/>
        <v>550</v>
      </c>
      <c r="Q406" t="str">
        <f t="shared" si="32"/>
        <v>NA</v>
      </c>
      <c r="R406" t="str">
        <f>IF(ISERROR(MATCH(P406&amp;"."&amp;Q406,R$5:R405,0)),P406&amp;"."&amp;Q406,P406&amp;"."&amp;Q406&amp;COUNTIFS(P$5:P405,P406,Q$5:Q405,Q406))</f>
        <v>550.NA</v>
      </c>
      <c r="S406" s="55">
        <f t="shared" si="33"/>
        <v>0</v>
      </c>
    </row>
    <row r="407" spans="1:19" hidden="1">
      <c r="A407" s="5">
        <v>472</v>
      </c>
      <c r="B407" s="59"/>
      <c r="C407" s="60"/>
      <c r="D407" s="63"/>
      <c r="E407" s="63"/>
      <c r="F407" s="60" t="s">
        <v>13</v>
      </c>
      <c r="G407" s="61" t="s">
        <v>12</v>
      </c>
      <c r="H407" s="62"/>
      <c r="I407" s="65">
        <v>383835.96</v>
      </c>
      <c r="J407" s="65">
        <v>0</v>
      </c>
      <c r="K407" s="62"/>
      <c r="L407" s="65">
        <v>384979.10286120442</v>
      </c>
      <c r="M407" s="65">
        <v>384979.10286120442</v>
      </c>
      <c r="N407" s="64">
        <v>0</v>
      </c>
      <c r="P407">
        <f t="shared" si="31"/>
        <v>550</v>
      </c>
      <c r="Q407" t="str">
        <f t="shared" si="32"/>
        <v>S</v>
      </c>
      <c r="R407" t="str">
        <f>IF(ISERROR(MATCH(P407&amp;"."&amp;Q407,R$5:R406,0)),P407&amp;"."&amp;Q407,P407&amp;"."&amp;Q407&amp;COUNTIFS(P$5:P406,P407,Q$5:Q406,Q407))</f>
        <v>550.S</v>
      </c>
      <c r="S407" s="55">
        <f t="shared" si="33"/>
        <v>0</v>
      </c>
    </row>
    <row r="408" spans="1:19" hidden="1">
      <c r="A408" s="5">
        <v>473</v>
      </c>
      <c r="B408" s="59"/>
      <c r="C408" s="60"/>
      <c r="D408" s="63"/>
      <c r="E408" s="63"/>
      <c r="F408" s="60" t="s">
        <v>13</v>
      </c>
      <c r="G408" s="61" t="s">
        <v>15</v>
      </c>
      <c r="H408" s="62"/>
      <c r="I408" s="65">
        <v>35822.61</v>
      </c>
      <c r="J408" s="65">
        <v>15761.052165680823</v>
      </c>
      <c r="K408" s="62"/>
      <c r="L408" s="65">
        <v>35929.297140233575</v>
      </c>
      <c r="M408" s="65">
        <v>20121.305302021112</v>
      </c>
      <c r="N408" s="64">
        <v>15807.991838212463</v>
      </c>
      <c r="P408">
        <f t="shared" si="31"/>
        <v>550</v>
      </c>
      <c r="Q408" t="str">
        <f t="shared" si="32"/>
        <v>SG</v>
      </c>
      <c r="R408" t="str">
        <f>IF(ISERROR(MATCH(P408&amp;"."&amp;Q408,R$5:R407,0)),P408&amp;"."&amp;Q408,P408&amp;"."&amp;Q408&amp;COUNTIFS(P$5:P407,P408,Q$5:Q407,Q408))</f>
        <v>550.SG</v>
      </c>
      <c r="S408" s="55">
        <f t="shared" si="33"/>
        <v>15807.991838212463</v>
      </c>
    </row>
    <row r="409" spans="1:19" hidden="1">
      <c r="A409" s="5">
        <v>474</v>
      </c>
      <c r="B409" s="59"/>
      <c r="C409" s="60"/>
      <c r="D409" s="63"/>
      <c r="E409" s="63"/>
      <c r="F409" s="60" t="s">
        <v>13</v>
      </c>
      <c r="G409" s="61" t="s">
        <v>15</v>
      </c>
      <c r="H409" s="62"/>
      <c r="I409" s="65">
        <v>2814391.67</v>
      </c>
      <c r="J409" s="65">
        <v>1238261.9224430483</v>
      </c>
      <c r="K409" s="62"/>
      <c r="L409" s="65">
        <v>2822773.5103731467</v>
      </c>
      <c r="M409" s="65">
        <v>1580823.7878684732</v>
      </c>
      <c r="N409" s="64">
        <v>1241949.7225046735</v>
      </c>
      <c r="P409">
        <f t="shared" si="31"/>
        <v>550</v>
      </c>
      <c r="Q409" t="str">
        <f t="shared" si="32"/>
        <v>SG</v>
      </c>
      <c r="R409" t="str">
        <f>IF(ISERROR(MATCH(P409&amp;"."&amp;Q409,R$5:R408,0)),P409&amp;"."&amp;Q409,P409&amp;"."&amp;Q409&amp;COUNTIFS(P$5:P408,P409,Q$5:Q408,Q409))</f>
        <v>550.SG1</v>
      </c>
      <c r="S409" s="55">
        <f t="shared" si="33"/>
        <v>1241949.7225046735</v>
      </c>
    </row>
    <row r="410" spans="1:19" hidden="1">
      <c r="A410" s="5">
        <v>475</v>
      </c>
      <c r="B410" s="59"/>
      <c r="C410" s="60"/>
      <c r="D410" s="63"/>
      <c r="E410" s="63"/>
      <c r="F410" s="63"/>
      <c r="G410" s="63"/>
      <c r="H410" s="62" t="s">
        <v>178</v>
      </c>
      <c r="I410" s="66">
        <v>3234050.2399999998</v>
      </c>
      <c r="J410" s="66">
        <v>1254022.9746087291</v>
      </c>
      <c r="K410" s="62"/>
      <c r="L410" s="66">
        <v>3243681.9103745846</v>
      </c>
      <c r="M410" s="66">
        <v>1985924.1960316987</v>
      </c>
      <c r="N410" s="66">
        <v>1257757.7143428859</v>
      </c>
      <c r="P410">
        <f t="shared" si="31"/>
        <v>550</v>
      </c>
      <c r="Q410" t="str">
        <f t="shared" si="32"/>
        <v>NA</v>
      </c>
      <c r="R410" t="str">
        <f>IF(ISERROR(MATCH(P410&amp;"."&amp;Q410,R$5:R409,0)),P410&amp;"."&amp;Q410,P410&amp;"."&amp;Q410&amp;COUNTIFS(P$5:P409,P410,Q$5:Q409,Q410))</f>
        <v>550.NA1</v>
      </c>
      <c r="S410" s="55">
        <f t="shared" si="33"/>
        <v>1257757.7143428859</v>
      </c>
    </row>
    <row r="411" spans="1:19" hidden="1">
      <c r="A411" s="5">
        <v>476</v>
      </c>
      <c r="B411" s="59"/>
      <c r="C411" s="60"/>
      <c r="D411" s="63"/>
      <c r="E411" s="63"/>
      <c r="F411" s="63"/>
      <c r="G411" s="63"/>
      <c r="H411" s="62"/>
      <c r="I411" s="65"/>
      <c r="J411" s="65"/>
      <c r="K411" s="62"/>
      <c r="L411" s="65"/>
      <c r="M411" s="65"/>
      <c r="N411" s="65"/>
      <c r="P411">
        <f t="shared" si="31"/>
        <v>550</v>
      </c>
      <c r="Q411" t="str">
        <f t="shared" si="32"/>
        <v>NA</v>
      </c>
      <c r="R411" t="str">
        <f>IF(ISERROR(MATCH(P411&amp;"."&amp;Q411,R$5:R410,0)),P411&amp;"."&amp;Q411,P411&amp;"."&amp;Q411&amp;COUNTIFS(P$5:P410,P411,Q$5:Q410,Q411))</f>
        <v>550.NA2</v>
      </c>
      <c r="S411" s="55">
        <f t="shared" si="33"/>
        <v>0</v>
      </c>
    </row>
    <row r="412" spans="1:19" hidden="1">
      <c r="A412" s="5">
        <v>477</v>
      </c>
      <c r="B412" s="59"/>
      <c r="C412" s="60">
        <v>551</v>
      </c>
      <c r="D412" s="61" t="s">
        <v>188</v>
      </c>
      <c r="E412" s="63"/>
      <c r="F412" s="63"/>
      <c r="G412" s="63"/>
      <c r="H412" s="62"/>
      <c r="I412" s="65"/>
      <c r="J412" s="65"/>
      <c r="K412" s="62"/>
      <c r="L412" s="65"/>
      <c r="M412" s="65"/>
      <c r="N412" s="65"/>
      <c r="P412">
        <f t="shared" si="31"/>
        <v>551</v>
      </c>
      <c r="Q412" t="str">
        <f t="shared" si="32"/>
        <v>NA</v>
      </c>
      <c r="R412" t="str">
        <f>IF(ISERROR(MATCH(P412&amp;"."&amp;Q412,R$5:R411,0)),P412&amp;"."&amp;Q412,P412&amp;"."&amp;Q412&amp;COUNTIFS(P$5:P411,P412,Q$5:Q411,Q412))</f>
        <v>551.NA</v>
      </c>
      <c r="S412" s="55">
        <f t="shared" si="33"/>
        <v>0</v>
      </c>
    </row>
    <row r="413" spans="1:19" hidden="1">
      <c r="A413" s="5">
        <v>478</v>
      </c>
      <c r="B413" s="59"/>
      <c r="C413" s="60"/>
      <c r="D413" s="63"/>
      <c r="E413" s="63"/>
      <c r="F413" s="60" t="s">
        <v>13</v>
      </c>
      <c r="G413" s="61" t="s">
        <v>15</v>
      </c>
      <c r="H413" s="62"/>
      <c r="I413" s="65">
        <v>0</v>
      </c>
      <c r="J413" s="65">
        <v>0</v>
      </c>
      <c r="K413" s="62"/>
      <c r="L413" s="65">
        <v>0</v>
      </c>
      <c r="M413" s="65">
        <v>0</v>
      </c>
      <c r="N413" s="64">
        <v>0</v>
      </c>
      <c r="P413">
        <f t="shared" si="31"/>
        <v>551</v>
      </c>
      <c r="Q413" t="str">
        <f t="shared" si="32"/>
        <v>SG</v>
      </c>
      <c r="R413" t="str">
        <f>IF(ISERROR(MATCH(P413&amp;"."&amp;Q413,R$5:R412,0)),P413&amp;"."&amp;Q413,P413&amp;"."&amp;Q413&amp;COUNTIFS(P$5:P412,P413,Q$5:Q412,Q413))</f>
        <v>551.SG</v>
      </c>
      <c r="S413" s="55">
        <f t="shared" si="33"/>
        <v>0</v>
      </c>
    </row>
    <row r="414" spans="1:19" hidden="1">
      <c r="A414" s="5">
        <v>479</v>
      </c>
      <c r="B414" s="59"/>
      <c r="C414" s="60"/>
      <c r="D414" s="63"/>
      <c r="E414" s="63"/>
      <c r="F414" s="60"/>
      <c r="G414" s="61"/>
      <c r="H414" s="62" t="s">
        <v>178</v>
      </c>
      <c r="I414" s="65">
        <v>0</v>
      </c>
      <c r="J414" s="65">
        <v>0</v>
      </c>
      <c r="K414" s="62"/>
      <c r="L414" s="65">
        <v>0</v>
      </c>
      <c r="M414" s="65">
        <v>0</v>
      </c>
      <c r="N414" s="64">
        <v>0</v>
      </c>
      <c r="P414">
        <f t="shared" si="31"/>
        <v>551</v>
      </c>
      <c r="Q414" t="str">
        <f t="shared" si="32"/>
        <v>NA</v>
      </c>
      <c r="R414" t="str">
        <f>IF(ISERROR(MATCH(P414&amp;"."&amp;Q414,R$5:R413,0)),P414&amp;"."&amp;Q414,P414&amp;"."&amp;Q414&amp;COUNTIFS(P$5:P413,P414,Q$5:Q413,Q414))</f>
        <v>551.NA1</v>
      </c>
      <c r="S414" s="55">
        <f t="shared" si="33"/>
        <v>0</v>
      </c>
    </row>
    <row r="415" spans="1:19" hidden="1">
      <c r="A415" s="5">
        <v>480</v>
      </c>
      <c r="B415" s="59"/>
      <c r="C415" s="60"/>
      <c r="D415" s="63"/>
      <c r="E415" s="63"/>
      <c r="F415" s="60"/>
      <c r="G415" s="61"/>
      <c r="H415" s="62"/>
      <c r="I415" s="65"/>
      <c r="J415" s="65"/>
      <c r="K415" s="62"/>
      <c r="L415" s="65"/>
      <c r="M415" s="65"/>
      <c r="N415" s="64"/>
      <c r="P415">
        <f t="shared" si="31"/>
        <v>551</v>
      </c>
      <c r="Q415" t="str">
        <f t="shared" si="32"/>
        <v>NA</v>
      </c>
      <c r="R415" t="str">
        <f>IF(ISERROR(MATCH(P415&amp;"."&amp;Q415,R$5:R414,0)),P415&amp;"."&amp;Q415,P415&amp;"."&amp;Q415&amp;COUNTIFS(P$5:P414,P415,Q$5:Q414,Q415))</f>
        <v>551.NA2</v>
      </c>
      <c r="S415" s="55">
        <f t="shared" si="33"/>
        <v>0</v>
      </c>
    </row>
    <row r="416" spans="1:19" hidden="1">
      <c r="A416" s="5">
        <v>481</v>
      </c>
      <c r="B416" s="59"/>
      <c r="C416" s="60">
        <v>552</v>
      </c>
      <c r="D416" s="63" t="s">
        <v>189</v>
      </c>
      <c r="E416" s="63"/>
      <c r="F416" s="63"/>
      <c r="G416" s="63"/>
      <c r="H416" s="62"/>
      <c r="I416" s="66"/>
      <c r="J416" s="66"/>
      <c r="K416" s="62"/>
      <c r="L416" s="66"/>
      <c r="M416" s="66"/>
      <c r="N416" s="66"/>
      <c r="P416">
        <f t="shared" si="31"/>
        <v>552</v>
      </c>
      <c r="Q416" t="str">
        <f t="shared" si="32"/>
        <v>NA</v>
      </c>
      <c r="R416" t="str">
        <f>IF(ISERROR(MATCH(P416&amp;"."&amp;Q416,R$5:R415,0)),P416&amp;"."&amp;Q416,P416&amp;"."&amp;Q416&amp;COUNTIFS(P$5:P415,P416,Q$5:Q415,Q416))</f>
        <v>552.NA</v>
      </c>
      <c r="S416" s="55">
        <f t="shared" si="33"/>
        <v>0</v>
      </c>
    </row>
    <row r="417" spans="1:19" hidden="1">
      <c r="A417" s="5">
        <v>482</v>
      </c>
      <c r="B417" s="59"/>
      <c r="C417" s="60"/>
      <c r="D417" s="63"/>
      <c r="E417" s="63"/>
      <c r="F417" s="63" t="s">
        <v>13</v>
      </c>
      <c r="G417" s="63" t="s">
        <v>15</v>
      </c>
      <c r="H417" s="62"/>
      <c r="I417" s="65">
        <v>2316334.62</v>
      </c>
      <c r="J417" s="65">
        <v>1019129.281171653</v>
      </c>
      <c r="K417" s="62"/>
      <c r="L417" s="65">
        <v>2431552.5287459604</v>
      </c>
      <c r="M417" s="65">
        <v>1361730.2503257615</v>
      </c>
      <c r="N417" s="65">
        <v>1069822.2784201989</v>
      </c>
      <c r="P417">
        <f t="shared" si="31"/>
        <v>552</v>
      </c>
      <c r="Q417" t="str">
        <f t="shared" si="32"/>
        <v>SG</v>
      </c>
      <c r="R417" t="str">
        <f>IF(ISERROR(MATCH(P417&amp;"."&amp;Q417,R$5:R416,0)),P417&amp;"."&amp;Q417,P417&amp;"."&amp;Q417&amp;COUNTIFS(P$5:P416,P417,Q$5:Q416,Q417))</f>
        <v>552.SG</v>
      </c>
      <c r="S417" s="55">
        <f t="shared" si="33"/>
        <v>1069822.2784201989</v>
      </c>
    </row>
    <row r="418" spans="1:19" ht="15.75" hidden="1" thickBot="1">
      <c r="A418" s="5">
        <v>483</v>
      </c>
      <c r="B418" s="59"/>
      <c r="C418" s="45"/>
      <c r="D418" s="63"/>
      <c r="E418" s="63"/>
      <c r="F418" s="63" t="s">
        <v>13</v>
      </c>
      <c r="G418" s="63" t="s">
        <v>15</v>
      </c>
      <c r="H418" s="41"/>
      <c r="I418" s="68">
        <v>58078.14</v>
      </c>
      <c r="J418" s="68">
        <v>25552.928561757893</v>
      </c>
      <c r="K418" s="41"/>
      <c r="L418" s="68">
        <v>62555.123848272415</v>
      </c>
      <c r="M418" s="68">
        <v>35032.434401488776</v>
      </c>
      <c r="N418" s="68">
        <v>27522.689446783639</v>
      </c>
      <c r="P418">
        <f t="shared" si="31"/>
        <v>552</v>
      </c>
      <c r="Q418" t="str">
        <f t="shared" si="32"/>
        <v>SG</v>
      </c>
      <c r="R418" t="str">
        <f>IF(ISERROR(MATCH(P418&amp;"."&amp;Q418,R$5:R417,0)),P418&amp;"."&amp;Q418,P418&amp;"."&amp;Q418&amp;COUNTIFS(P$5:P417,P418,Q$5:Q417,Q418))</f>
        <v>552.SG1</v>
      </c>
      <c r="S418" s="55">
        <f t="shared" si="33"/>
        <v>27522.689446783639</v>
      </c>
    </row>
    <row r="419" spans="1:19" hidden="1">
      <c r="A419" s="5">
        <v>484</v>
      </c>
      <c r="B419" s="59"/>
      <c r="C419" s="60"/>
      <c r="D419" s="63"/>
      <c r="E419" s="63"/>
      <c r="F419" s="63" t="s">
        <v>13</v>
      </c>
      <c r="G419" s="63" t="s">
        <v>15</v>
      </c>
      <c r="H419" s="62"/>
      <c r="I419" s="65">
        <v>0</v>
      </c>
      <c r="J419" s="65">
        <v>0</v>
      </c>
      <c r="K419" s="62"/>
      <c r="L419" s="65">
        <v>0</v>
      </c>
      <c r="M419" s="65">
        <v>0</v>
      </c>
      <c r="N419" s="65">
        <v>0</v>
      </c>
      <c r="P419">
        <f t="shared" si="31"/>
        <v>552</v>
      </c>
      <c r="Q419" t="str">
        <f t="shared" si="32"/>
        <v>SG</v>
      </c>
      <c r="R419" t="str">
        <f>IF(ISERROR(MATCH(P419&amp;"."&amp;Q419,R$5:R418,0)),P419&amp;"."&amp;Q419,P419&amp;"."&amp;Q419&amp;COUNTIFS(P$5:P418,P419,Q$5:Q418,Q419))</f>
        <v>552.SG2</v>
      </c>
      <c r="S419" s="55">
        <f t="shared" si="33"/>
        <v>0</v>
      </c>
    </row>
    <row r="420" spans="1:19" hidden="1">
      <c r="A420" s="5">
        <v>485</v>
      </c>
      <c r="B420" s="59"/>
      <c r="C420" s="60"/>
      <c r="D420" s="63"/>
      <c r="E420" s="63"/>
      <c r="F420" s="63"/>
      <c r="G420" s="63"/>
      <c r="H420" s="62" t="s">
        <v>178</v>
      </c>
      <c r="I420" s="65">
        <v>2374412.7600000002</v>
      </c>
      <c r="J420" s="65">
        <v>1044682.2097334109</v>
      </c>
      <c r="K420" s="62"/>
      <c r="L420" s="65">
        <v>2494107.6525942329</v>
      </c>
      <c r="M420" s="65">
        <v>1396762.6847272504</v>
      </c>
      <c r="N420" s="65">
        <v>1097344.9678669826</v>
      </c>
      <c r="P420">
        <f t="shared" si="31"/>
        <v>552</v>
      </c>
      <c r="Q420" t="str">
        <f t="shared" si="32"/>
        <v>NA</v>
      </c>
      <c r="R420" t="str">
        <f>IF(ISERROR(MATCH(P420&amp;"."&amp;Q420,R$5:R419,0)),P420&amp;"."&amp;Q420,P420&amp;"."&amp;Q420&amp;COUNTIFS(P$5:P419,P420,Q$5:Q419,Q420))</f>
        <v>552.NA1</v>
      </c>
      <c r="S420" s="55">
        <f t="shared" si="33"/>
        <v>1097344.9678669826</v>
      </c>
    </row>
    <row r="421" spans="1:19" hidden="1">
      <c r="A421" s="5">
        <v>486</v>
      </c>
      <c r="B421" s="59"/>
      <c r="C421" s="60"/>
      <c r="D421" s="61"/>
      <c r="E421" s="63"/>
      <c r="F421" s="63"/>
      <c r="G421" s="63"/>
      <c r="H421" s="62"/>
      <c r="I421" s="65"/>
      <c r="J421" s="65"/>
      <c r="K421" s="62"/>
      <c r="L421" s="65"/>
      <c r="M421" s="65"/>
      <c r="N421" s="65"/>
      <c r="P421">
        <f t="shared" si="31"/>
        <v>552</v>
      </c>
      <c r="Q421" t="str">
        <f t="shared" si="32"/>
        <v>NA</v>
      </c>
      <c r="R421" t="str">
        <f>IF(ISERROR(MATCH(P421&amp;"."&amp;Q421,R$5:R420,0)),P421&amp;"."&amp;Q421,P421&amp;"."&amp;Q421&amp;COUNTIFS(P$5:P420,P421,Q$5:Q420,Q421))</f>
        <v>552.NA2</v>
      </c>
      <c r="S421" s="55">
        <f t="shared" si="33"/>
        <v>0</v>
      </c>
    </row>
    <row r="422" spans="1:19" hidden="1">
      <c r="A422" s="5">
        <v>487</v>
      </c>
      <c r="B422" s="59"/>
      <c r="C422" s="60">
        <v>553</v>
      </c>
      <c r="D422" s="63" t="s">
        <v>274</v>
      </c>
      <c r="E422" s="63"/>
      <c r="F422" s="60"/>
      <c r="G422" s="61"/>
      <c r="H422" s="62"/>
      <c r="I422" s="65"/>
      <c r="J422" s="65"/>
      <c r="K422" s="62"/>
      <c r="L422" s="65"/>
      <c r="M422" s="65"/>
      <c r="N422" s="64"/>
      <c r="P422">
        <f t="shared" si="31"/>
        <v>553</v>
      </c>
      <c r="Q422" t="str">
        <f t="shared" si="32"/>
        <v>NA</v>
      </c>
      <c r="R422" t="str">
        <f>IF(ISERROR(MATCH(P422&amp;"."&amp;Q422,R$5:R421,0)),P422&amp;"."&amp;Q422,P422&amp;"."&amp;Q422&amp;COUNTIFS(P$5:P421,P422,Q$5:Q421,Q422))</f>
        <v>553.NA</v>
      </c>
      <c r="S422" s="55">
        <f t="shared" si="33"/>
        <v>0</v>
      </c>
    </row>
    <row r="423" spans="1:19" hidden="1">
      <c r="A423" s="5">
        <v>488</v>
      </c>
      <c r="B423" s="59"/>
      <c r="C423" s="60"/>
      <c r="D423" s="63"/>
      <c r="E423" s="63"/>
      <c r="F423" s="60" t="s">
        <v>13</v>
      </c>
      <c r="G423" s="63" t="s">
        <v>15</v>
      </c>
      <c r="H423" s="62"/>
      <c r="I423" s="66">
        <v>4248957.6900000004</v>
      </c>
      <c r="J423" s="66">
        <v>1869435.0802987467</v>
      </c>
      <c r="K423" s="62"/>
      <c r="L423" s="66">
        <v>4465752.960929499</v>
      </c>
      <c r="M423" s="66">
        <v>2500933.3853526935</v>
      </c>
      <c r="N423" s="76">
        <v>1964819.5755768055</v>
      </c>
      <c r="P423">
        <f t="shared" si="31"/>
        <v>553</v>
      </c>
      <c r="Q423" t="str">
        <f t="shared" si="32"/>
        <v>SG</v>
      </c>
      <c r="R423" t="str">
        <f>IF(ISERROR(MATCH(P423&amp;"."&amp;Q423,R$5:R422,0)),P423&amp;"."&amp;Q423,P423&amp;"."&amp;Q423&amp;COUNTIFS(P$5:P422,P423,Q$5:Q422,Q423))</f>
        <v>553.SG</v>
      </c>
      <c r="S423" s="55">
        <f t="shared" si="33"/>
        <v>1964819.5755768055</v>
      </c>
    </row>
    <row r="424" spans="1:19" hidden="1">
      <c r="A424" s="5">
        <v>489</v>
      </c>
      <c r="B424" s="59"/>
      <c r="C424" s="60"/>
      <c r="D424" s="63"/>
      <c r="E424" s="63"/>
      <c r="F424" s="60" t="s">
        <v>13</v>
      </c>
      <c r="G424" s="63" t="s">
        <v>15</v>
      </c>
      <c r="H424" s="62"/>
      <c r="I424" s="65">
        <v>7682902.0099999998</v>
      </c>
      <c r="J424" s="65">
        <v>3380284.6683539818</v>
      </c>
      <c r="K424" s="62"/>
      <c r="L424" s="65">
        <v>7844390.7767455494</v>
      </c>
      <c r="M424" s="65">
        <v>4393055.0912588667</v>
      </c>
      <c r="N424" s="64">
        <v>3451335.6854866832</v>
      </c>
      <c r="P424">
        <f t="shared" si="31"/>
        <v>553</v>
      </c>
      <c r="Q424" t="str">
        <f t="shared" si="32"/>
        <v>SG</v>
      </c>
      <c r="R424" t="str">
        <f>IF(ISERROR(MATCH(P424&amp;"."&amp;Q424,R$5:R423,0)),P424&amp;"."&amp;Q424,P424&amp;"."&amp;Q424&amp;COUNTIFS(P$5:P423,P424,Q$5:Q423,Q424))</f>
        <v>553.SG1</v>
      </c>
      <c r="S424" s="55">
        <f t="shared" si="33"/>
        <v>3451335.6854866832</v>
      </c>
    </row>
    <row r="425" spans="1:19" hidden="1">
      <c r="A425" s="5">
        <v>490</v>
      </c>
      <c r="B425" s="59"/>
      <c r="C425" s="60"/>
      <c r="D425" s="61"/>
      <c r="E425" s="63"/>
      <c r="F425" s="60" t="s">
        <v>13</v>
      </c>
      <c r="G425" s="63" t="s">
        <v>15</v>
      </c>
      <c r="H425" s="62"/>
      <c r="I425" s="65">
        <v>0</v>
      </c>
      <c r="J425" s="65">
        <v>0</v>
      </c>
      <c r="K425" s="62"/>
      <c r="L425" s="65">
        <v>0</v>
      </c>
      <c r="M425" s="65">
        <v>0</v>
      </c>
      <c r="N425" s="64">
        <v>0</v>
      </c>
      <c r="P425">
        <f t="shared" si="31"/>
        <v>553</v>
      </c>
      <c r="Q425" t="str">
        <f t="shared" si="32"/>
        <v>SG</v>
      </c>
      <c r="R425" t="str">
        <f>IF(ISERROR(MATCH(P425&amp;"."&amp;Q425,R$5:R424,0)),P425&amp;"."&amp;Q425,P425&amp;"."&amp;Q425&amp;COUNTIFS(P$5:P424,P425,Q$5:Q424,Q425))</f>
        <v>553.SG2</v>
      </c>
      <c r="S425" s="55">
        <f t="shared" si="33"/>
        <v>0</v>
      </c>
    </row>
    <row r="426" spans="1:19" hidden="1">
      <c r="A426" s="5">
        <v>491</v>
      </c>
      <c r="B426" s="59"/>
      <c r="C426" s="60"/>
      <c r="D426" s="63"/>
      <c r="E426" s="63"/>
      <c r="F426" s="60" t="s">
        <v>13</v>
      </c>
      <c r="G426" s="61" t="s">
        <v>15</v>
      </c>
      <c r="H426" s="62"/>
      <c r="I426" s="65">
        <v>307243.76</v>
      </c>
      <c r="J426" s="65">
        <v>135179.56756752005</v>
      </c>
      <c r="K426" s="62"/>
      <c r="L426" s="65">
        <v>852160.68759728072</v>
      </c>
      <c r="M426" s="65">
        <v>477231.30498771707</v>
      </c>
      <c r="N426" s="64">
        <v>374929.38260956365</v>
      </c>
      <c r="P426">
        <f t="shared" si="31"/>
        <v>553</v>
      </c>
      <c r="Q426" t="str">
        <f t="shared" si="32"/>
        <v>SG</v>
      </c>
      <c r="R426" t="str">
        <f>IF(ISERROR(MATCH(P426&amp;"."&amp;Q426,R$5:R425,0)),P426&amp;"."&amp;Q426,P426&amp;"."&amp;Q426&amp;COUNTIFS(P$5:P425,P426,Q$5:Q425,Q426))</f>
        <v>553.SG3</v>
      </c>
      <c r="S426" s="55">
        <f t="shared" si="33"/>
        <v>374929.38260956365</v>
      </c>
    </row>
    <row r="427" spans="1:19" hidden="1">
      <c r="A427" s="5">
        <v>492</v>
      </c>
      <c r="B427" s="59"/>
      <c r="C427" s="60"/>
      <c r="D427" s="63"/>
      <c r="E427" s="63"/>
      <c r="F427" s="60"/>
      <c r="G427" s="61"/>
      <c r="H427" s="62" t="s">
        <v>178</v>
      </c>
      <c r="I427" s="65">
        <v>12239103.459999999</v>
      </c>
      <c r="J427" s="65">
        <v>5384899.3162202481</v>
      </c>
      <c r="K427" s="62"/>
      <c r="L427" s="65">
        <v>13162304.425272329</v>
      </c>
      <c r="M427" s="65">
        <v>6893988.4766115602</v>
      </c>
      <c r="N427" s="64">
        <v>5791084.6436730521</v>
      </c>
      <c r="P427">
        <f t="shared" si="31"/>
        <v>553</v>
      </c>
      <c r="Q427" t="str">
        <f t="shared" si="32"/>
        <v>NA</v>
      </c>
      <c r="R427" t="str">
        <f>IF(ISERROR(MATCH(P427&amp;"."&amp;Q427,R$5:R426,0)),P427&amp;"."&amp;Q427,P427&amp;"."&amp;Q427&amp;COUNTIFS(P$5:P426,P427,Q$5:Q426,Q427))</f>
        <v>553.NA1</v>
      </c>
      <c r="S427" s="55">
        <f t="shared" si="33"/>
        <v>5791084.6436730521</v>
      </c>
    </row>
    <row r="428" spans="1:19" hidden="1">
      <c r="A428" s="5">
        <v>493</v>
      </c>
      <c r="B428" s="59"/>
      <c r="C428" s="60"/>
      <c r="D428" s="63"/>
      <c r="E428" s="63"/>
      <c r="F428" s="60"/>
      <c r="G428" s="61"/>
      <c r="H428" s="62"/>
      <c r="I428" s="65"/>
      <c r="J428" s="65"/>
      <c r="K428" s="62"/>
      <c r="L428" s="65"/>
      <c r="M428" s="65"/>
      <c r="N428" s="64"/>
      <c r="P428">
        <f t="shared" si="31"/>
        <v>553</v>
      </c>
      <c r="Q428" t="str">
        <f t="shared" si="32"/>
        <v>NA</v>
      </c>
      <c r="R428" t="str">
        <f>IF(ISERROR(MATCH(P428&amp;"."&amp;Q428,R$5:R427,0)),P428&amp;"."&amp;Q428,P428&amp;"."&amp;Q428&amp;COUNTIFS(P$5:P427,P428,Q$5:Q427,Q428))</f>
        <v>553.NA2</v>
      </c>
      <c r="S428" s="55">
        <f t="shared" si="33"/>
        <v>0</v>
      </c>
    </row>
    <row r="429" spans="1:19" hidden="1">
      <c r="A429" s="5">
        <v>494</v>
      </c>
      <c r="B429" s="59"/>
      <c r="C429" s="60">
        <v>554</v>
      </c>
      <c r="D429" s="61" t="s">
        <v>275</v>
      </c>
      <c r="E429" s="63"/>
      <c r="F429" s="60"/>
      <c r="G429" s="61"/>
      <c r="H429" s="62"/>
      <c r="I429" s="65"/>
      <c r="J429" s="65"/>
      <c r="K429" s="62"/>
      <c r="L429" s="65"/>
      <c r="M429" s="65"/>
      <c r="N429" s="64"/>
      <c r="P429">
        <f t="shared" si="31"/>
        <v>554</v>
      </c>
      <c r="Q429" t="str">
        <f t="shared" si="32"/>
        <v>NA</v>
      </c>
      <c r="R429" t="str">
        <f>IF(ISERROR(MATCH(P429&amp;"."&amp;Q429,R$5:R428,0)),P429&amp;"."&amp;Q429,P429&amp;"."&amp;Q429&amp;COUNTIFS(P$5:P428,P429,Q$5:Q428,Q429))</f>
        <v>554.NA</v>
      </c>
      <c r="S429" s="55">
        <f t="shared" si="33"/>
        <v>0</v>
      </c>
    </row>
    <row r="430" spans="1:19" hidden="1">
      <c r="A430" s="5">
        <v>495</v>
      </c>
      <c r="B430" s="59"/>
      <c r="C430" s="60"/>
      <c r="D430" s="63"/>
      <c r="E430" s="63"/>
      <c r="F430" s="60" t="s">
        <v>13</v>
      </c>
      <c r="G430" s="61" t="s">
        <v>15</v>
      </c>
      <c r="H430" s="62"/>
      <c r="I430" s="65">
        <v>1887492.59</v>
      </c>
      <c r="J430" s="65">
        <v>830449.51703200873</v>
      </c>
      <c r="K430" s="62"/>
      <c r="L430" s="65">
        <v>1928044.7343134033</v>
      </c>
      <c r="M430" s="65">
        <v>1079753.288344509</v>
      </c>
      <c r="N430" s="64">
        <v>848291.44596889429</v>
      </c>
      <c r="P430">
        <f t="shared" si="31"/>
        <v>554</v>
      </c>
      <c r="Q430" t="str">
        <f t="shared" si="32"/>
        <v>SG</v>
      </c>
      <c r="R430" t="str">
        <f>IF(ISERROR(MATCH(P430&amp;"."&amp;Q430,R$5:R429,0)),P430&amp;"."&amp;Q430,P430&amp;"."&amp;Q430&amp;COUNTIFS(P$5:P429,P430,Q$5:Q429,Q430))</f>
        <v>554.SG</v>
      </c>
      <c r="S430" s="55">
        <f t="shared" si="33"/>
        <v>848291.44596889429</v>
      </c>
    </row>
    <row r="431" spans="1:19" hidden="1">
      <c r="A431" s="5">
        <v>496</v>
      </c>
      <c r="B431" s="59"/>
      <c r="C431" s="60"/>
      <c r="D431" s="63"/>
      <c r="E431" s="63"/>
      <c r="F431" s="61" t="s">
        <v>13</v>
      </c>
      <c r="G431" s="63" t="s">
        <v>15</v>
      </c>
      <c r="H431" s="62"/>
      <c r="I431" s="66">
        <v>986456.9</v>
      </c>
      <c r="J431" s="66">
        <v>434016.35615316109</v>
      </c>
      <c r="K431" s="62"/>
      <c r="L431" s="66">
        <v>1006683.7304041968</v>
      </c>
      <c r="M431" s="66">
        <v>563768.0749217316</v>
      </c>
      <c r="N431" s="76">
        <v>442915.65548246523</v>
      </c>
      <c r="P431">
        <f t="shared" si="31"/>
        <v>554</v>
      </c>
      <c r="Q431" t="str">
        <f t="shared" si="32"/>
        <v>SG</v>
      </c>
      <c r="R431" t="str">
        <f>IF(ISERROR(MATCH(P431&amp;"."&amp;Q431,R$5:R430,0)),P431&amp;"."&amp;Q431,P431&amp;"."&amp;Q431&amp;COUNTIFS(P$5:P430,P431,Q$5:Q430,Q431))</f>
        <v>554.SG1</v>
      </c>
      <c r="S431" s="55">
        <f t="shared" si="33"/>
        <v>442915.65548246523</v>
      </c>
    </row>
    <row r="432" spans="1:19" hidden="1">
      <c r="A432" s="5">
        <v>497</v>
      </c>
      <c r="B432" s="59"/>
      <c r="C432" s="60"/>
      <c r="D432" s="63"/>
      <c r="E432" s="63"/>
      <c r="F432" s="63" t="s">
        <v>13</v>
      </c>
      <c r="G432" s="63" t="s">
        <v>15</v>
      </c>
      <c r="H432" s="62"/>
      <c r="I432" s="65">
        <v>123630.63</v>
      </c>
      <c r="J432" s="65">
        <v>54394.384125165212</v>
      </c>
      <c r="K432" s="62"/>
      <c r="L432" s="65">
        <v>130953.76192941972</v>
      </c>
      <c r="M432" s="65">
        <v>73337.382970384308</v>
      </c>
      <c r="N432" s="65">
        <v>57616.378959035414</v>
      </c>
      <c r="P432">
        <f t="shared" si="31"/>
        <v>554</v>
      </c>
      <c r="Q432" t="str">
        <f t="shared" si="32"/>
        <v>SG</v>
      </c>
      <c r="R432" t="str">
        <f>IF(ISERROR(MATCH(P432&amp;"."&amp;Q432,R$5:R431,0)),P432&amp;"."&amp;Q432,P432&amp;"."&amp;Q432&amp;COUNTIFS(P$5:P431,P432,Q$5:Q431,Q432))</f>
        <v>554.SG2</v>
      </c>
      <c r="S432" s="55">
        <f t="shared" si="33"/>
        <v>57616.378959035414</v>
      </c>
    </row>
    <row r="433" spans="1:19" hidden="1">
      <c r="A433" s="5">
        <v>498</v>
      </c>
      <c r="B433" s="59"/>
      <c r="C433" s="60"/>
      <c r="D433" s="61"/>
      <c r="E433" s="63"/>
      <c r="F433" s="63" t="s">
        <v>13</v>
      </c>
      <c r="G433" s="63" t="s">
        <v>15</v>
      </c>
      <c r="H433" s="62"/>
      <c r="I433" s="66">
        <v>0</v>
      </c>
      <c r="J433" s="66">
        <v>0</v>
      </c>
      <c r="K433" s="62"/>
      <c r="L433" s="66">
        <v>0</v>
      </c>
      <c r="M433" s="66">
        <v>0</v>
      </c>
      <c r="N433" s="66">
        <v>0</v>
      </c>
      <c r="P433">
        <f t="shared" si="31"/>
        <v>554</v>
      </c>
      <c r="Q433" t="str">
        <f t="shared" si="32"/>
        <v>SG</v>
      </c>
      <c r="R433" t="str">
        <f>IF(ISERROR(MATCH(P433&amp;"."&amp;Q433,R$5:R432,0)),P433&amp;"."&amp;Q433,P433&amp;"."&amp;Q433&amp;COUNTIFS(P$5:P432,P433,Q$5:Q432,Q433))</f>
        <v>554.SG3</v>
      </c>
      <c r="S433" s="55">
        <f t="shared" si="33"/>
        <v>0</v>
      </c>
    </row>
    <row r="434" spans="1:19" hidden="1">
      <c r="A434" s="5">
        <v>499</v>
      </c>
      <c r="B434" s="59"/>
      <c r="C434" s="60"/>
      <c r="D434" s="63"/>
      <c r="E434" s="63"/>
      <c r="F434" s="63"/>
      <c r="G434" s="63"/>
      <c r="H434" s="62" t="s">
        <v>178</v>
      </c>
      <c r="I434" s="65">
        <v>2997580.12</v>
      </c>
      <c r="J434" s="65">
        <v>1318860.2573103351</v>
      </c>
      <c r="K434" s="62"/>
      <c r="L434" s="65">
        <v>3065682.2266470199</v>
      </c>
      <c r="M434" s="65">
        <v>1716858.7462366249</v>
      </c>
      <c r="N434" s="65">
        <v>1348823.480410395</v>
      </c>
      <c r="P434">
        <f t="shared" si="31"/>
        <v>554</v>
      </c>
      <c r="Q434" t="str">
        <f t="shared" si="32"/>
        <v>NA</v>
      </c>
      <c r="R434" t="str">
        <f>IF(ISERROR(MATCH(P434&amp;"."&amp;Q434,R$5:R433,0)),P434&amp;"."&amp;Q434,P434&amp;"."&amp;Q434&amp;COUNTIFS(P$5:P433,P434,Q$5:Q433,Q434))</f>
        <v>554.NA1</v>
      </c>
      <c r="S434" s="55">
        <f t="shared" si="33"/>
        <v>1348823.480410395</v>
      </c>
    </row>
    <row r="435" spans="1:19" hidden="1">
      <c r="A435" s="5">
        <v>500</v>
      </c>
      <c r="B435" s="59"/>
      <c r="C435" s="60"/>
      <c r="D435" s="61"/>
      <c r="E435" s="63"/>
      <c r="F435" s="63"/>
      <c r="G435" s="63"/>
      <c r="H435" s="62"/>
      <c r="I435" s="65"/>
      <c r="J435" s="65"/>
      <c r="K435" s="62"/>
      <c r="L435" s="65"/>
      <c r="M435" s="65"/>
      <c r="N435" s="65"/>
      <c r="P435">
        <f t="shared" si="31"/>
        <v>554</v>
      </c>
      <c r="Q435" t="str">
        <f t="shared" si="32"/>
        <v>NA</v>
      </c>
      <c r="R435" t="str">
        <f>IF(ISERROR(MATCH(P435&amp;"."&amp;Q435,R$5:R434,0)),P435&amp;"."&amp;Q435,P435&amp;"."&amp;Q435&amp;COUNTIFS(P$5:P434,P435,Q$5:Q434,Q435))</f>
        <v>554.NA2</v>
      </c>
      <c r="S435" s="55">
        <f t="shared" si="33"/>
        <v>0</v>
      </c>
    </row>
    <row r="436" spans="1:19" hidden="1">
      <c r="A436" s="5">
        <v>501</v>
      </c>
      <c r="B436" s="59"/>
      <c r="C436" s="60" t="s">
        <v>276</v>
      </c>
      <c r="D436" s="63"/>
      <c r="E436" s="63"/>
      <c r="F436" s="60"/>
      <c r="G436" s="61"/>
      <c r="H436" s="62" t="s">
        <v>178</v>
      </c>
      <c r="I436" s="65">
        <v>326478449.54999995</v>
      </c>
      <c r="J436" s="65">
        <v>141631110.12973389</v>
      </c>
      <c r="K436" s="62"/>
      <c r="L436" s="65">
        <v>362570268.32648391</v>
      </c>
      <c r="M436" s="65">
        <v>205151069.92364118</v>
      </c>
      <c r="N436" s="64">
        <v>157419198.40284279</v>
      </c>
      <c r="P436" t="str">
        <f t="shared" si="31"/>
        <v>Total Other Power Generation</v>
      </c>
      <c r="Q436" t="str">
        <f t="shared" si="32"/>
        <v>NA</v>
      </c>
      <c r="R436" t="str">
        <f>IF(ISERROR(MATCH(P436&amp;"."&amp;Q436,R$5:R435,0)),P436&amp;"."&amp;Q436,P436&amp;"."&amp;Q436&amp;COUNTIFS(P$5:P435,P436,Q$5:Q435,Q436))</f>
        <v>Total Other Power Generation.NA</v>
      </c>
      <c r="S436" s="55">
        <f t="shared" si="33"/>
        <v>157419198.40284279</v>
      </c>
    </row>
    <row r="437" spans="1:19" hidden="1">
      <c r="A437" s="5">
        <v>502</v>
      </c>
      <c r="B437" s="59"/>
      <c r="C437" s="60"/>
      <c r="D437" s="63"/>
      <c r="E437" s="63"/>
      <c r="F437" s="63"/>
      <c r="G437" s="63"/>
      <c r="H437" s="62"/>
      <c r="I437" s="65"/>
      <c r="J437" s="65"/>
      <c r="K437" s="62"/>
      <c r="L437" s="65"/>
      <c r="M437" s="65"/>
      <c r="N437" s="65"/>
      <c r="P437" t="str">
        <f t="shared" si="31"/>
        <v>Total Other Power Generation</v>
      </c>
      <c r="Q437" t="str">
        <f t="shared" si="32"/>
        <v>NA</v>
      </c>
      <c r="R437" t="str">
        <f>IF(ISERROR(MATCH(P437&amp;"."&amp;Q437,R$5:R436,0)),P437&amp;"."&amp;Q437,P437&amp;"."&amp;Q437&amp;COUNTIFS(P$5:P436,P437,Q$5:Q436,Q437))</f>
        <v>Total Other Power Generation.NA1</v>
      </c>
      <c r="S437" s="55">
        <f t="shared" si="33"/>
        <v>0</v>
      </c>
    </row>
    <row r="438" spans="1:19" hidden="1">
      <c r="A438" s="5">
        <v>503</v>
      </c>
      <c r="B438" s="59"/>
      <c r="C438" s="60"/>
      <c r="D438" s="63"/>
      <c r="E438" s="63"/>
      <c r="F438" s="63"/>
      <c r="G438" s="63"/>
      <c r="H438" s="62"/>
      <c r="I438" s="66"/>
      <c r="J438" s="66"/>
      <c r="K438" s="62"/>
      <c r="L438" s="66"/>
      <c r="M438" s="66"/>
      <c r="N438" s="66"/>
      <c r="P438" t="str">
        <f t="shared" si="31"/>
        <v>Total Other Power Generation</v>
      </c>
      <c r="Q438" t="str">
        <f t="shared" si="32"/>
        <v>NA</v>
      </c>
      <c r="R438" t="str">
        <f>IF(ISERROR(MATCH(P438&amp;"."&amp;Q438,R$5:R437,0)),P438&amp;"."&amp;Q438,P438&amp;"."&amp;Q438&amp;COUNTIFS(P$5:P437,P438,Q$5:Q437,Q438))</f>
        <v>Total Other Power Generation.NA2</v>
      </c>
      <c r="S438" s="55">
        <f t="shared" si="33"/>
        <v>0</v>
      </c>
    </row>
    <row r="439" spans="1:19" hidden="1">
      <c r="A439" s="5">
        <v>504</v>
      </c>
      <c r="B439" s="59"/>
      <c r="C439" s="60">
        <v>555</v>
      </c>
      <c r="D439" s="63" t="s">
        <v>277</v>
      </c>
      <c r="E439" s="63"/>
      <c r="F439" s="63"/>
      <c r="G439" s="63"/>
      <c r="H439" s="62"/>
      <c r="I439" s="69"/>
      <c r="J439" s="69"/>
      <c r="K439" s="62"/>
      <c r="L439" s="69"/>
      <c r="M439" s="65"/>
      <c r="N439" s="65"/>
      <c r="P439">
        <f t="shared" si="31"/>
        <v>555</v>
      </c>
      <c r="Q439" t="str">
        <f t="shared" si="32"/>
        <v>NA</v>
      </c>
      <c r="R439" t="str">
        <f>IF(ISERROR(MATCH(P439&amp;"."&amp;Q439,R$5:R438,0)),P439&amp;"."&amp;Q439,P439&amp;"."&amp;Q439&amp;COUNTIFS(P$5:P438,P439,Q$5:Q438,Q439))</f>
        <v>555.NA</v>
      </c>
      <c r="S439" s="55">
        <f t="shared" si="33"/>
        <v>0</v>
      </c>
    </row>
    <row r="440" spans="1:19" hidden="1">
      <c r="A440" s="5">
        <v>505</v>
      </c>
      <c r="B440" s="59"/>
      <c r="C440" s="60"/>
      <c r="D440" s="63"/>
      <c r="E440" s="70"/>
      <c r="F440" s="63" t="s">
        <v>154</v>
      </c>
      <c r="G440" s="63" t="s">
        <v>12</v>
      </c>
      <c r="H440" s="62"/>
      <c r="I440" s="88">
        <v>-51540007.649999999</v>
      </c>
      <c r="J440" s="88">
        <v>0</v>
      </c>
      <c r="K440" s="62"/>
      <c r="L440" s="88">
        <v>-51540007.649999999</v>
      </c>
      <c r="M440" s="65">
        <v>-51540007.649999999</v>
      </c>
      <c r="N440" s="65">
        <v>0</v>
      </c>
      <c r="P440">
        <f t="shared" si="31"/>
        <v>555</v>
      </c>
      <c r="Q440" t="str">
        <f t="shared" si="32"/>
        <v>S</v>
      </c>
      <c r="R440" t="str">
        <f>IF(ISERROR(MATCH(P440&amp;"."&amp;Q440,R$5:R439,0)),P440&amp;"."&amp;Q440,P440&amp;"."&amp;Q440&amp;COUNTIFS(P$5:P439,P440,Q$5:Q439,Q440))</f>
        <v>555.S</v>
      </c>
      <c r="S440" s="55">
        <f t="shared" si="33"/>
        <v>0</v>
      </c>
    </row>
    <row r="441" spans="1:19" hidden="1">
      <c r="A441" s="5">
        <v>506</v>
      </c>
      <c r="B441" s="59"/>
      <c r="C441" s="71"/>
      <c r="D441" s="72"/>
      <c r="E441" s="73"/>
      <c r="F441" s="63"/>
      <c r="G441" s="72"/>
      <c r="H441" s="74"/>
      <c r="I441" s="75">
        <v>-51540007.649999999</v>
      </c>
      <c r="J441" s="75">
        <v>0</v>
      </c>
      <c r="K441" s="62"/>
      <c r="L441" s="75">
        <v>-51540007.649999999</v>
      </c>
      <c r="M441" s="65">
        <v>-51540007.649999999</v>
      </c>
      <c r="N441" s="65">
        <v>0</v>
      </c>
      <c r="P441">
        <f t="shared" si="31"/>
        <v>555</v>
      </c>
      <c r="Q441" t="str">
        <f t="shared" si="32"/>
        <v>NA</v>
      </c>
      <c r="R441" t="str">
        <f>IF(ISERROR(MATCH(P441&amp;"."&amp;Q441,R$5:R440,0)),P441&amp;"."&amp;Q441,P441&amp;"."&amp;Q441&amp;COUNTIFS(P$5:P440,P441,Q$5:Q440,Q441))</f>
        <v>555.NA1</v>
      </c>
      <c r="S441" s="55">
        <f t="shared" si="33"/>
        <v>0</v>
      </c>
    </row>
    <row r="442" spans="1:19" hidden="1">
      <c r="A442" s="5">
        <v>507</v>
      </c>
      <c r="B442" s="59"/>
      <c r="C442" s="60"/>
      <c r="D442" s="61"/>
      <c r="E442" s="63"/>
      <c r="F442" s="63"/>
      <c r="G442" s="63"/>
      <c r="H442" s="62"/>
      <c r="I442" s="65"/>
      <c r="J442" s="65"/>
      <c r="K442" s="62"/>
      <c r="L442" s="65"/>
      <c r="M442" s="65"/>
      <c r="N442" s="65"/>
      <c r="P442">
        <f t="shared" si="31"/>
        <v>555</v>
      </c>
      <c r="Q442" t="str">
        <f t="shared" si="32"/>
        <v>NA</v>
      </c>
      <c r="R442" t="str">
        <f>IF(ISERROR(MATCH(P442&amp;"."&amp;Q442,R$5:R441,0)),P442&amp;"."&amp;Q442,P442&amp;"."&amp;Q442&amp;COUNTIFS(P$5:P441,P442,Q$5:Q441,Q442))</f>
        <v>555.NA2</v>
      </c>
      <c r="S442" s="55">
        <f t="shared" si="33"/>
        <v>0</v>
      </c>
    </row>
    <row r="443" spans="1:19">
      <c r="A443" s="5">
        <v>508</v>
      </c>
      <c r="B443" s="59" t="s">
        <v>105</v>
      </c>
      <c r="C443" s="60" t="s">
        <v>8</v>
      </c>
      <c r="D443" s="63" t="s">
        <v>278</v>
      </c>
      <c r="E443" s="63"/>
      <c r="F443" s="60"/>
      <c r="G443" s="61"/>
      <c r="H443" s="62"/>
      <c r="I443" s="65"/>
      <c r="J443" s="65"/>
      <c r="K443" s="62"/>
      <c r="L443" s="65"/>
      <c r="M443" s="65"/>
      <c r="N443" s="64"/>
      <c r="P443" t="str">
        <f t="shared" si="31"/>
        <v>555NPC</v>
      </c>
      <c r="Q443" t="str">
        <f t="shared" si="32"/>
        <v>NA</v>
      </c>
      <c r="R443" t="str">
        <f>IF(ISERROR(MATCH(P443&amp;"."&amp;Q443,R$5:R442,0)),P443&amp;"."&amp;Q443,P443&amp;"."&amp;Q443&amp;COUNTIFS(P$5:P442,P443,Q$5:Q442,Q443))</f>
        <v>555NPC.NA</v>
      </c>
      <c r="S443" s="55">
        <f t="shared" si="33"/>
        <v>0</v>
      </c>
    </row>
    <row r="444" spans="1:19">
      <c r="A444" s="5">
        <v>509</v>
      </c>
      <c r="B444" s="59" t="s">
        <v>105</v>
      </c>
      <c r="C444" s="60"/>
      <c r="D444" s="63"/>
      <c r="E444" s="63"/>
      <c r="F444" s="60" t="s">
        <v>13</v>
      </c>
      <c r="G444" s="61" t="s">
        <v>12</v>
      </c>
      <c r="H444" s="62"/>
      <c r="I444" s="65">
        <v>4879895.4800000004</v>
      </c>
      <c r="J444" s="65">
        <v>4879895.4800000004</v>
      </c>
      <c r="K444" s="62"/>
      <c r="L444" s="65">
        <v>1570674.4668279244</v>
      </c>
      <c r="M444" s="65">
        <v>0</v>
      </c>
      <c r="N444" s="64">
        <v>1570674.4668279244</v>
      </c>
      <c r="P444" t="str">
        <f t="shared" si="31"/>
        <v>555NPC</v>
      </c>
      <c r="Q444" t="str">
        <f t="shared" si="32"/>
        <v>S</v>
      </c>
      <c r="R444" t="str">
        <f>IF(ISERROR(MATCH(P444&amp;"."&amp;Q444,R$5:R443,0)),P444&amp;"."&amp;Q444,P444&amp;"."&amp;Q444&amp;COUNTIFS(P$5:P443,P444,Q$5:Q443,Q444))</f>
        <v>555NPC.S</v>
      </c>
      <c r="S444" s="55">
        <f t="shared" si="33"/>
        <v>1570674.4668279244</v>
      </c>
    </row>
    <row r="445" spans="1:19">
      <c r="A445" s="5">
        <v>510</v>
      </c>
      <c r="B445" s="59" t="s">
        <v>105</v>
      </c>
      <c r="C445" s="60"/>
      <c r="D445" s="63"/>
      <c r="E445" s="63"/>
      <c r="F445" s="60" t="s">
        <v>13</v>
      </c>
      <c r="G445" s="61" t="s">
        <v>16</v>
      </c>
      <c r="H445" s="62"/>
      <c r="I445" s="65">
        <v>-15254141.939999999</v>
      </c>
      <c r="J445" s="65">
        <v>-6613617.7368204473</v>
      </c>
      <c r="K445" s="62"/>
      <c r="L445" s="65">
        <v>50516279.570940509</v>
      </c>
      <c r="M445" s="65">
        <v>28614335.568933107</v>
      </c>
      <c r="N445" s="64">
        <v>21901944.002007402</v>
      </c>
      <c r="P445" t="str">
        <f t="shared" si="31"/>
        <v>555NPC</v>
      </c>
      <c r="Q445" t="str">
        <f t="shared" si="32"/>
        <v>SE</v>
      </c>
      <c r="R445" t="str">
        <f>IF(ISERROR(MATCH(P445&amp;"."&amp;Q445,R$5:R444,0)),P445&amp;"."&amp;Q445,P445&amp;"."&amp;Q445&amp;COUNTIFS(P$5:P444,P445,Q$5:Q444,Q445))</f>
        <v>555NPC.SE</v>
      </c>
      <c r="S445" s="55">
        <f t="shared" si="33"/>
        <v>21901944.002007402</v>
      </c>
    </row>
    <row r="446" spans="1:19">
      <c r="A446" s="5">
        <v>511</v>
      </c>
      <c r="B446" s="59" t="s">
        <v>105</v>
      </c>
      <c r="C446" s="60"/>
      <c r="D446" s="63" t="s">
        <v>279</v>
      </c>
      <c r="E446" s="63"/>
      <c r="F446" s="60" t="s">
        <v>13</v>
      </c>
      <c r="G446" s="61" t="s">
        <v>15</v>
      </c>
      <c r="H446" s="62"/>
      <c r="I446" s="65">
        <v>695109638.04999995</v>
      </c>
      <c r="J446" s="65">
        <v>305830850.01828635</v>
      </c>
      <c r="K446" s="62"/>
      <c r="L446" s="65">
        <v>549248926.5390594</v>
      </c>
      <c r="M446" s="65">
        <v>307593140.34351671</v>
      </c>
      <c r="N446" s="64">
        <v>241655786.19554266</v>
      </c>
      <c r="P446" t="str">
        <f t="shared" si="31"/>
        <v>555NPC</v>
      </c>
      <c r="Q446" t="str">
        <f t="shared" si="32"/>
        <v>SG</v>
      </c>
      <c r="R446" t="str">
        <f>IF(ISERROR(MATCH(P446&amp;"."&amp;Q446,R$5:R445,0)),P446&amp;"."&amp;Q446,P446&amp;"."&amp;Q446&amp;COUNTIFS(P$5:P445,P446,Q$5:Q445,Q446))</f>
        <v>555NPC.SG</v>
      </c>
      <c r="S446" s="55">
        <f t="shared" si="33"/>
        <v>241655786.19554266</v>
      </c>
    </row>
    <row r="447" spans="1:19">
      <c r="A447" s="5">
        <v>512</v>
      </c>
      <c r="B447" s="59" t="s">
        <v>105</v>
      </c>
      <c r="C447" s="60"/>
      <c r="D447" s="63"/>
      <c r="E447" s="63"/>
      <c r="F447" s="60" t="s">
        <v>13</v>
      </c>
      <c r="G447" s="61" t="s">
        <v>17</v>
      </c>
      <c r="H447" s="62"/>
      <c r="I447" s="65">
        <v>0</v>
      </c>
      <c r="J447" s="65">
        <v>0</v>
      </c>
      <c r="K447" s="62"/>
      <c r="L447" s="65">
        <v>0</v>
      </c>
      <c r="M447" s="65">
        <v>0</v>
      </c>
      <c r="N447" s="64">
        <v>0</v>
      </c>
      <c r="P447" t="str">
        <f t="shared" si="31"/>
        <v>555NPC</v>
      </c>
      <c r="Q447" t="str">
        <f t="shared" si="32"/>
        <v>DGP</v>
      </c>
      <c r="R447" t="str">
        <f>IF(ISERROR(MATCH(P447&amp;"."&amp;Q447,R$5:R446,0)),P447&amp;"."&amp;Q447,P447&amp;"."&amp;Q447&amp;COUNTIFS(P$5:P446,P447,Q$5:Q446,Q447))</f>
        <v>555NPC.DGP</v>
      </c>
      <c r="S447" s="55">
        <f t="shared" si="33"/>
        <v>0</v>
      </c>
    </row>
    <row r="448" spans="1:19">
      <c r="A448" s="5">
        <v>513</v>
      </c>
      <c r="B448" s="59" t="s">
        <v>105</v>
      </c>
      <c r="C448" s="60"/>
      <c r="D448" s="63"/>
      <c r="E448" s="63"/>
      <c r="F448" s="60" t="s">
        <v>141</v>
      </c>
      <c r="G448" s="61"/>
      <c r="H448" s="62"/>
      <c r="I448" s="65">
        <v>684735391.58999991</v>
      </c>
      <c r="J448" s="65">
        <v>304097127.76146591</v>
      </c>
      <c r="K448" s="62"/>
      <c r="L448" s="65">
        <v>601335880.57682788</v>
      </c>
      <c r="M448" s="65">
        <v>336207475.91244984</v>
      </c>
      <c r="N448" s="64">
        <v>265128404.66437799</v>
      </c>
      <c r="P448" t="str">
        <f t="shared" si="31"/>
        <v>555NPC</v>
      </c>
      <c r="Q448" t="str">
        <f t="shared" si="32"/>
        <v>NA</v>
      </c>
      <c r="R448" t="str">
        <f>IF(ISERROR(MATCH(P448&amp;"."&amp;Q448,R$5:R447,0)),P448&amp;"."&amp;Q448,P448&amp;"."&amp;Q448&amp;COUNTIFS(P$5:P447,P448,Q$5:Q447,Q448))</f>
        <v>555NPC.NA1</v>
      </c>
      <c r="S448" s="55">
        <f t="shared" si="33"/>
        <v>265128404.66437799</v>
      </c>
    </row>
    <row r="449" spans="1:19" hidden="1">
      <c r="A449" s="5">
        <v>514</v>
      </c>
      <c r="B449" s="59"/>
      <c r="C449" s="60"/>
      <c r="D449" s="63"/>
      <c r="E449" s="63"/>
      <c r="F449" s="63"/>
      <c r="G449" s="63"/>
      <c r="H449" s="62"/>
      <c r="I449" s="65"/>
      <c r="J449" s="65"/>
      <c r="K449" s="62"/>
      <c r="L449" s="65"/>
      <c r="M449" s="65"/>
      <c r="N449" s="65"/>
      <c r="P449" t="str">
        <f t="shared" si="31"/>
        <v>555NPC</v>
      </c>
      <c r="Q449" t="str">
        <f t="shared" si="32"/>
        <v>NA</v>
      </c>
      <c r="R449" t="str">
        <f>IF(ISERROR(MATCH(P449&amp;"."&amp;Q449,R$5:R448,0)),P449&amp;"."&amp;Q449,P449&amp;"."&amp;Q449&amp;COUNTIFS(P$5:P448,P449,Q$5:Q448,Q449))</f>
        <v>555NPC.NA2</v>
      </c>
      <c r="S449" s="55">
        <f t="shared" si="33"/>
        <v>0</v>
      </c>
    </row>
    <row r="450" spans="1:19" hidden="1">
      <c r="A450" s="5">
        <v>515</v>
      </c>
      <c r="B450" s="59"/>
      <c r="C450" s="60"/>
      <c r="D450" s="63" t="s">
        <v>280</v>
      </c>
      <c r="E450" s="63"/>
      <c r="F450" s="63"/>
      <c r="G450" s="63"/>
      <c r="H450" s="62" t="s">
        <v>178</v>
      </c>
      <c r="I450" s="66">
        <v>633195383.93999994</v>
      </c>
      <c r="J450" s="66">
        <v>304097127.76146591</v>
      </c>
      <c r="K450" s="41"/>
      <c r="L450" s="66">
        <v>549795872.92682779</v>
      </c>
      <c r="M450" s="66">
        <v>284667468.2624498</v>
      </c>
      <c r="N450" s="66">
        <v>265128404.66437799</v>
      </c>
      <c r="P450" t="str">
        <f t="shared" si="31"/>
        <v>555NPC</v>
      </c>
      <c r="Q450" t="str">
        <f t="shared" si="32"/>
        <v>NA</v>
      </c>
      <c r="R450" t="str">
        <f>IF(ISERROR(MATCH(P450&amp;"."&amp;Q450,R$5:R449,0)),P450&amp;"."&amp;Q450,P450&amp;"."&amp;Q450&amp;COUNTIFS(P$5:P449,P450,Q$5:Q449,Q450))</f>
        <v>555NPC.NA3</v>
      </c>
      <c r="S450" s="55">
        <f t="shared" si="33"/>
        <v>265128404.66437799</v>
      </c>
    </row>
    <row r="451" spans="1:19" hidden="1">
      <c r="A451" s="5">
        <v>516</v>
      </c>
      <c r="B451" s="59"/>
      <c r="C451" s="60"/>
      <c r="D451" s="63"/>
      <c r="E451" s="63"/>
      <c r="F451" s="63"/>
      <c r="G451" s="63"/>
      <c r="H451" s="62"/>
      <c r="I451" s="65"/>
      <c r="J451" s="65"/>
      <c r="K451" s="62"/>
      <c r="L451" s="65"/>
      <c r="M451" s="65"/>
      <c r="N451" s="65"/>
      <c r="P451" t="str">
        <f t="shared" si="31"/>
        <v>555NPC</v>
      </c>
      <c r="Q451" t="str">
        <f t="shared" si="32"/>
        <v>NA</v>
      </c>
      <c r="R451" t="str">
        <f>IF(ISERROR(MATCH(P451&amp;"."&amp;Q451,R$5:R450,0)),P451&amp;"."&amp;Q451,P451&amp;"."&amp;Q451&amp;COUNTIFS(P$5:P450,P451,Q$5:Q450,Q451))</f>
        <v>555NPC.NA4</v>
      </c>
      <c r="S451" s="55">
        <f t="shared" si="33"/>
        <v>0</v>
      </c>
    </row>
    <row r="452" spans="1:19" hidden="1">
      <c r="A452" s="5">
        <v>517</v>
      </c>
      <c r="B452" s="59"/>
      <c r="C452" s="61">
        <v>556</v>
      </c>
      <c r="D452" s="63" t="s">
        <v>281</v>
      </c>
      <c r="E452" s="63"/>
      <c r="F452" s="63"/>
      <c r="G452" s="63"/>
      <c r="H452" s="62"/>
      <c r="I452" s="65"/>
      <c r="J452" s="65"/>
      <c r="K452" s="62"/>
      <c r="L452" s="65"/>
      <c r="M452" s="65"/>
      <c r="N452" s="65"/>
      <c r="P452">
        <f t="shared" si="31"/>
        <v>556</v>
      </c>
      <c r="Q452" t="str">
        <f t="shared" si="32"/>
        <v>NA</v>
      </c>
      <c r="R452" t="str">
        <f>IF(ISERROR(MATCH(P452&amp;"."&amp;Q452,R$5:R451,0)),P452&amp;"."&amp;Q452,P452&amp;"."&amp;Q452&amp;COUNTIFS(P$5:P451,P452,Q$5:Q451,Q452))</f>
        <v>556.NA</v>
      </c>
      <c r="S452" s="55">
        <f t="shared" si="33"/>
        <v>0</v>
      </c>
    </row>
    <row r="453" spans="1:19" hidden="1">
      <c r="A453" s="5">
        <v>518</v>
      </c>
      <c r="B453" s="59"/>
      <c r="C453" s="89"/>
      <c r="D453" s="63"/>
      <c r="E453" s="63"/>
      <c r="F453" s="60" t="s">
        <v>13</v>
      </c>
      <c r="G453" s="61" t="s">
        <v>15</v>
      </c>
      <c r="H453" s="62"/>
      <c r="I453" s="65">
        <v>770619.02</v>
      </c>
      <c r="J453" s="65">
        <v>339053.08893142722</v>
      </c>
      <c r="K453" s="62"/>
      <c r="L453" s="65">
        <v>818520.61023979262</v>
      </c>
      <c r="M453" s="65">
        <v>458392.02003728441</v>
      </c>
      <c r="N453" s="64">
        <v>360128.5902025082</v>
      </c>
      <c r="P453">
        <f t="shared" si="31"/>
        <v>556</v>
      </c>
      <c r="Q453" t="str">
        <f t="shared" si="32"/>
        <v>SG</v>
      </c>
      <c r="R453" t="str">
        <f>IF(ISERROR(MATCH(P453&amp;"."&amp;Q453,R$5:R452,0)),P453&amp;"."&amp;Q453,P453&amp;"."&amp;Q453&amp;COUNTIFS(P$5:P452,P453,Q$5:Q452,Q453))</f>
        <v>556.SG</v>
      </c>
      <c r="S453" s="55">
        <f t="shared" si="33"/>
        <v>360128.5902025082</v>
      </c>
    </row>
    <row r="454" spans="1:19" hidden="1">
      <c r="A454" s="5">
        <v>519</v>
      </c>
      <c r="B454" s="59"/>
      <c r="C454" s="89"/>
      <c r="D454" s="63"/>
      <c r="E454" s="63"/>
      <c r="F454" s="60"/>
      <c r="G454" s="61"/>
      <c r="H454" s="62"/>
      <c r="I454" s="65"/>
      <c r="J454" s="65"/>
      <c r="K454" s="62"/>
      <c r="L454" s="65"/>
      <c r="M454" s="65"/>
      <c r="N454" s="64"/>
      <c r="P454">
        <f t="shared" si="31"/>
        <v>556</v>
      </c>
      <c r="Q454" t="str">
        <f t="shared" si="32"/>
        <v>NA</v>
      </c>
      <c r="R454" t="str">
        <f>IF(ISERROR(MATCH(P454&amp;"."&amp;Q454,R$5:R453,0)),P454&amp;"."&amp;Q454,P454&amp;"."&amp;Q454&amp;COUNTIFS(P$5:P453,P454,Q$5:Q453,Q454))</f>
        <v>556.NA1</v>
      </c>
      <c r="S454" s="55">
        <f t="shared" si="33"/>
        <v>0</v>
      </c>
    </row>
    <row r="455" spans="1:19" hidden="1">
      <c r="A455" s="5">
        <v>520</v>
      </c>
      <c r="B455" s="59"/>
      <c r="C455" s="89"/>
      <c r="D455" s="63"/>
      <c r="E455" s="63"/>
      <c r="F455" s="60"/>
      <c r="G455" s="61"/>
      <c r="H455" s="62" t="s">
        <v>178</v>
      </c>
      <c r="I455" s="65">
        <v>770619.02</v>
      </c>
      <c r="J455" s="65">
        <v>339053.08893142722</v>
      </c>
      <c r="K455" s="62"/>
      <c r="L455" s="65">
        <v>818520.61023979262</v>
      </c>
      <c r="M455" s="65">
        <v>458392.02003728441</v>
      </c>
      <c r="N455" s="64">
        <v>360128.5902025082</v>
      </c>
      <c r="P455">
        <f t="shared" ref="P455:P518" si="34">IF(OR(C455="",C455=" ",C455="  ",C455="   "),P454,C455)</f>
        <v>556</v>
      </c>
      <c r="Q455" t="str">
        <f t="shared" ref="Q455:Q518" si="35">IF(G455="","NA",G455)</f>
        <v>NA</v>
      </c>
      <c r="R455" t="str">
        <f>IF(ISERROR(MATCH(P455&amp;"."&amp;Q455,R$5:R454,0)),P455&amp;"."&amp;Q455,P455&amp;"."&amp;Q455&amp;COUNTIFS(P$5:P454,P455,Q$5:Q454,Q455))</f>
        <v>556.NA2</v>
      </c>
      <c r="S455" s="55">
        <f t="shared" si="33"/>
        <v>360128.5902025082</v>
      </c>
    </row>
    <row r="456" spans="1:19" hidden="1">
      <c r="A456" s="5">
        <v>521</v>
      </c>
      <c r="B456" s="59"/>
      <c r="C456" s="89"/>
      <c r="D456" s="63"/>
      <c r="E456" s="63"/>
      <c r="F456" s="60"/>
      <c r="G456" s="61"/>
      <c r="H456" s="62"/>
      <c r="I456" s="65"/>
      <c r="J456" s="65"/>
      <c r="K456" s="62"/>
      <c r="L456" s="65"/>
      <c r="M456" s="65"/>
      <c r="N456" s="64"/>
      <c r="P456">
        <f t="shared" si="34"/>
        <v>556</v>
      </c>
      <c r="Q456" t="str">
        <f t="shared" si="35"/>
        <v>NA</v>
      </c>
      <c r="R456" t="str">
        <f>IF(ISERROR(MATCH(P456&amp;"."&amp;Q456,R$5:R455,0)),P456&amp;"."&amp;Q456,P456&amp;"."&amp;Q456&amp;COUNTIFS(P$5:P455,P456,Q$5:Q455,Q456))</f>
        <v>556.NA3</v>
      </c>
      <c r="S456" s="55">
        <f t="shared" ref="S456:S519" si="36">N456</f>
        <v>0</v>
      </c>
    </row>
    <row r="457" spans="1:19" hidden="1">
      <c r="A457" s="5">
        <v>522</v>
      </c>
      <c r="B457" s="59"/>
      <c r="C457" s="89"/>
      <c r="D457" s="63"/>
      <c r="E457" s="63"/>
      <c r="F457" s="60"/>
      <c r="G457" s="61"/>
      <c r="H457" s="62"/>
      <c r="I457" s="65"/>
      <c r="J457" s="65"/>
      <c r="K457" s="62"/>
      <c r="L457" s="65"/>
      <c r="M457" s="65"/>
      <c r="N457" s="64"/>
      <c r="P457">
        <f t="shared" si="34"/>
        <v>556</v>
      </c>
      <c r="Q457" t="str">
        <f t="shared" si="35"/>
        <v>NA</v>
      </c>
      <c r="R457" t="str">
        <f>IF(ISERROR(MATCH(P457&amp;"."&amp;Q457,R$5:R456,0)),P457&amp;"."&amp;Q457,P457&amp;"."&amp;Q457&amp;COUNTIFS(P$5:P456,P457,Q$5:Q456,Q457))</f>
        <v>556.NA4</v>
      </c>
      <c r="S457" s="55">
        <f t="shared" si="36"/>
        <v>0</v>
      </c>
    </row>
    <row r="458" spans="1:19" hidden="1">
      <c r="A458" s="5">
        <v>523</v>
      </c>
      <c r="B458" s="59"/>
      <c r="C458" s="89"/>
      <c r="D458" s="63"/>
      <c r="E458" s="63"/>
      <c r="F458" s="60"/>
      <c r="G458" s="61"/>
      <c r="H458" s="62"/>
      <c r="I458" s="65"/>
      <c r="J458" s="65"/>
      <c r="K458" s="62"/>
      <c r="L458" s="65"/>
      <c r="M458" s="65"/>
      <c r="N458" s="64"/>
      <c r="P458">
        <f t="shared" si="34"/>
        <v>556</v>
      </c>
      <c r="Q458" t="str">
        <f t="shared" si="35"/>
        <v>NA</v>
      </c>
      <c r="R458" t="str">
        <f>IF(ISERROR(MATCH(P458&amp;"."&amp;Q458,R$5:R457,0)),P458&amp;"."&amp;Q458,P458&amp;"."&amp;Q458&amp;COUNTIFS(P$5:P457,P458,Q$5:Q457,Q458))</f>
        <v>556.NA5</v>
      </c>
      <c r="S458" s="55">
        <f t="shared" si="36"/>
        <v>0</v>
      </c>
    </row>
    <row r="459" spans="1:19" hidden="1">
      <c r="A459" s="5">
        <v>524</v>
      </c>
      <c r="B459" s="59"/>
      <c r="C459" s="60">
        <v>557</v>
      </c>
      <c r="D459" s="63" t="s">
        <v>282</v>
      </c>
      <c r="E459" s="63"/>
      <c r="F459" s="63"/>
      <c r="G459" s="63"/>
      <c r="H459" s="62"/>
      <c r="I459" s="65"/>
      <c r="J459" s="65"/>
      <c r="K459" s="62"/>
      <c r="L459" s="65"/>
      <c r="M459" s="65"/>
      <c r="N459" s="65"/>
      <c r="P459">
        <f t="shared" si="34"/>
        <v>557</v>
      </c>
      <c r="Q459" t="str">
        <f t="shared" si="35"/>
        <v>NA</v>
      </c>
      <c r="R459" t="str">
        <f>IF(ISERROR(MATCH(P459&amp;"."&amp;Q459,R$5:R458,0)),P459&amp;"."&amp;Q459,P459&amp;"."&amp;Q459&amp;COUNTIFS(P$5:P458,P459,Q$5:Q458,Q459))</f>
        <v>557.NA</v>
      </c>
      <c r="S459" s="55">
        <f t="shared" si="36"/>
        <v>0</v>
      </c>
    </row>
    <row r="460" spans="1:19" hidden="1">
      <c r="A460" s="5">
        <v>525</v>
      </c>
      <c r="B460" s="59"/>
      <c r="C460" s="60"/>
      <c r="D460" s="63"/>
      <c r="E460" s="63"/>
      <c r="F460" s="63" t="s">
        <v>13</v>
      </c>
      <c r="G460" s="63" t="s">
        <v>12</v>
      </c>
      <c r="H460" s="62"/>
      <c r="I460" s="66">
        <v>6324352.1000000006</v>
      </c>
      <c r="J460" s="66">
        <v>35000.04</v>
      </c>
      <c r="K460" s="62"/>
      <c r="L460" s="66">
        <v>6347885.1907040449</v>
      </c>
      <c r="M460" s="66">
        <v>6312885.1507040448</v>
      </c>
      <c r="N460" s="66">
        <v>35000.04</v>
      </c>
      <c r="P460">
        <f t="shared" si="34"/>
        <v>557</v>
      </c>
      <c r="Q460" t="str">
        <f t="shared" si="35"/>
        <v>S</v>
      </c>
      <c r="R460" t="str">
        <f>IF(ISERROR(MATCH(P460&amp;"."&amp;Q460,R$5:R459,0)),P460&amp;"."&amp;Q460,P460&amp;"."&amp;Q460&amp;COUNTIFS(P$5:P459,P460,Q$5:Q459,Q460))</f>
        <v>557.S</v>
      </c>
      <c r="S460" s="55">
        <f t="shared" si="36"/>
        <v>35000.04</v>
      </c>
    </row>
    <row r="461" spans="1:19" hidden="1">
      <c r="A461" s="5">
        <v>526</v>
      </c>
      <c r="B461" s="59"/>
      <c r="C461" s="60"/>
      <c r="D461" s="63"/>
      <c r="E461" s="63"/>
      <c r="F461" s="63" t="s">
        <v>13</v>
      </c>
      <c r="G461" s="63" t="s">
        <v>15</v>
      </c>
      <c r="H461" s="62"/>
      <c r="I461" s="65">
        <v>38258906.289999999</v>
      </c>
      <c r="J461" s="65">
        <v>16832961.580370165</v>
      </c>
      <c r="K461" s="62"/>
      <c r="L461" s="65">
        <v>43625466.564028278</v>
      </c>
      <c r="M461" s="65">
        <v>24431352.727325309</v>
      </c>
      <c r="N461" s="65">
        <v>19194113.836702969</v>
      </c>
      <c r="P461">
        <f t="shared" si="34"/>
        <v>557</v>
      </c>
      <c r="Q461" t="str">
        <f t="shared" si="35"/>
        <v>SG</v>
      </c>
      <c r="R461" t="str">
        <f>IF(ISERROR(MATCH(P461&amp;"."&amp;Q461,R$5:R460,0)),P461&amp;"."&amp;Q461,P461&amp;"."&amp;Q461&amp;COUNTIFS(P$5:P460,P461,Q$5:Q460,Q461))</f>
        <v>557.SG</v>
      </c>
      <c r="S461" s="55">
        <f t="shared" si="36"/>
        <v>19194113.836702969</v>
      </c>
    </row>
    <row r="462" spans="1:19" hidden="1">
      <c r="A462" s="5">
        <v>527</v>
      </c>
      <c r="B462" s="59"/>
      <c r="C462" s="60"/>
      <c r="D462" s="63"/>
      <c r="E462" s="63"/>
      <c r="F462" s="63" t="s">
        <v>13</v>
      </c>
      <c r="G462" s="63" t="s">
        <v>283</v>
      </c>
      <c r="H462" s="62"/>
      <c r="I462" s="65">
        <v>0</v>
      </c>
      <c r="J462" s="65">
        <v>0</v>
      </c>
      <c r="K462" s="62"/>
      <c r="L462" s="65">
        <v>0</v>
      </c>
      <c r="M462" s="65">
        <v>0</v>
      </c>
      <c r="N462" s="65">
        <v>0</v>
      </c>
      <c r="P462">
        <f t="shared" si="34"/>
        <v>557</v>
      </c>
      <c r="Q462" t="str">
        <f t="shared" si="35"/>
        <v>SGCT</v>
      </c>
      <c r="R462" t="str">
        <f>IF(ISERROR(MATCH(P462&amp;"."&amp;Q462,R$5:R461,0)),P462&amp;"."&amp;Q462,P462&amp;"."&amp;Q462&amp;COUNTIFS(P$5:P461,P462,Q$5:Q461,Q462))</f>
        <v>557.SGCT</v>
      </c>
      <c r="S462" s="55">
        <f t="shared" si="36"/>
        <v>0</v>
      </c>
    </row>
    <row r="463" spans="1:19" hidden="1">
      <c r="A463" s="5">
        <v>528</v>
      </c>
      <c r="B463" s="59"/>
      <c r="C463" s="70"/>
      <c r="D463" s="63"/>
      <c r="E463" s="63"/>
      <c r="F463" s="60" t="s">
        <v>13</v>
      </c>
      <c r="G463" s="63" t="s">
        <v>16</v>
      </c>
      <c r="H463" s="62"/>
      <c r="I463" s="65">
        <v>10002.1</v>
      </c>
      <c r="J463" s="65">
        <v>4336.5314303251989</v>
      </c>
      <c r="K463" s="62"/>
      <c r="L463" s="65">
        <v>10031.888322105237</v>
      </c>
      <c r="M463" s="65">
        <v>5682.441804441778</v>
      </c>
      <c r="N463" s="64">
        <v>4349.4465176634585</v>
      </c>
      <c r="P463">
        <f t="shared" si="34"/>
        <v>557</v>
      </c>
      <c r="Q463" t="str">
        <f t="shared" si="35"/>
        <v>SE</v>
      </c>
      <c r="R463" t="str">
        <f>IF(ISERROR(MATCH(P463&amp;"."&amp;Q463,R$5:R462,0)),P463&amp;"."&amp;Q463,P463&amp;"."&amp;Q463&amp;COUNTIFS(P$5:P462,P463,Q$5:Q462,Q463))</f>
        <v>557.SE</v>
      </c>
      <c r="S463" s="55">
        <f t="shared" si="36"/>
        <v>4349.4465176634585</v>
      </c>
    </row>
    <row r="464" spans="1:19" hidden="1">
      <c r="A464" s="5">
        <v>529</v>
      </c>
      <c r="B464" s="59"/>
      <c r="C464" s="70"/>
      <c r="D464" s="63"/>
      <c r="E464" s="63"/>
      <c r="F464" s="60" t="s">
        <v>13</v>
      </c>
      <c r="G464" s="63" t="s">
        <v>15</v>
      </c>
      <c r="H464" s="62"/>
      <c r="I464" s="65">
        <v>0</v>
      </c>
      <c r="J464" s="65">
        <v>0</v>
      </c>
      <c r="K464" s="62"/>
      <c r="L464" s="65">
        <v>0</v>
      </c>
      <c r="M464" s="65">
        <v>0</v>
      </c>
      <c r="N464" s="64">
        <v>0</v>
      </c>
      <c r="P464">
        <f t="shared" si="34"/>
        <v>557</v>
      </c>
      <c r="Q464" t="str">
        <f t="shared" si="35"/>
        <v>SG</v>
      </c>
      <c r="R464" t="str">
        <f>IF(ISERROR(MATCH(P464&amp;"."&amp;Q464,R$5:R463,0)),P464&amp;"."&amp;Q464,P464&amp;"."&amp;Q464&amp;COUNTIFS(P$5:P463,P464,Q$5:Q463,Q464))</f>
        <v>557.SG1</v>
      </c>
      <c r="S464" s="55">
        <f t="shared" si="36"/>
        <v>0</v>
      </c>
    </row>
    <row r="465" spans="1:19" hidden="1">
      <c r="A465" s="5">
        <v>530</v>
      </c>
      <c r="B465" s="59"/>
      <c r="C465" s="70"/>
      <c r="D465" s="63"/>
      <c r="E465" s="63"/>
      <c r="F465" s="60" t="s">
        <v>13</v>
      </c>
      <c r="G465" s="63" t="s">
        <v>284</v>
      </c>
      <c r="H465" s="62"/>
      <c r="I465" s="65">
        <v>0</v>
      </c>
      <c r="J465" s="65">
        <v>0</v>
      </c>
      <c r="K465" s="62"/>
      <c r="L465" s="65">
        <v>0</v>
      </c>
      <c r="M465" s="65">
        <v>0</v>
      </c>
      <c r="N465" s="64">
        <v>0</v>
      </c>
      <c r="P465">
        <f t="shared" si="34"/>
        <v>557</v>
      </c>
      <c r="Q465" t="str">
        <f t="shared" si="35"/>
        <v>TROJP</v>
      </c>
      <c r="R465" t="str">
        <f>IF(ISERROR(MATCH(P465&amp;"."&amp;Q465,R$5:R464,0)),P465&amp;"."&amp;Q465,P465&amp;"."&amp;Q465&amp;COUNTIFS(P$5:P464,P465,Q$5:Q464,Q465))</f>
        <v>557.TROJP</v>
      </c>
      <c r="S465" s="55">
        <f t="shared" si="36"/>
        <v>0</v>
      </c>
    </row>
    <row r="466" spans="1:19" hidden="1">
      <c r="A466" s="5">
        <v>531</v>
      </c>
      <c r="B466" s="59"/>
      <c r="C466" s="70"/>
      <c r="D466" s="63"/>
      <c r="E466" s="63"/>
      <c r="F466" s="60"/>
      <c r="G466" s="61"/>
      <c r="H466" s="62"/>
      <c r="I466" s="65"/>
      <c r="J466" s="65"/>
      <c r="K466" s="62"/>
      <c r="L466" s="65"/>
      <c r="M466" s="65"/>
      <c r="N466" s="64"/>
      <c r="P466">
        <f t="shared" si="34"/>
        <v>557</v>
      </c>
      <c r="Q466" t="str">
        <f t="shared" si="35"/>
        <v>NA</v>
      </c>
      <c r="R466" t="str">
        <f>IF(ISERROR(MATCH(P466&amp;"."&amp;Q466,R$5:R465,0)),P466&amp;"."&amp;Q466,P466&amp;"."&amp;Q466&amp;COUNTIFS(P$5:P465,P466,Q$5:Q465,Q466))</f>
        <v>557.NA1</v>
      </c>
      <c r="S466" s="55">
        <f t="shared" si="36"/>
        <v>0</v>
      </c>
    </row>
    <row r="467" spans="1:19" hidden="1">
      <c r="A467" s="5">
        <v>532</v>
      </c>
      <c r="B467" s="59"/>
      <c r="C467" s="70"/>
      <c r="D467" s="63"/>
      <c r="E467" s="63"/>
      <c r="F467" s="60"/>
      <c r="G467" s="61"/>
      <c r="H467" s="62" t="s">
        <v>178</v>
      </c>
      <c r="I467" s="65">
        <v>44593260.490000002</v>
      </c>
      <c r="J467" s="65">
        <v>16872298.151800491</v>
      </c>
      <c r="K467" s="62"/>
      <c r="L467" s="65">
        <v>49983383.643054433</v>
      </c>
      <c r="M467" s="65">
        <v>30749920.319833796</v>
      </c>
      <c r="N467" s="64">
        <v>19233463.323220633</v>
      </c>
      <c r="P467">
        <f t="shared" si="34"/>
        <v>557</v>
      </c>
      <c r="Q467" t="str">
        <f t="shared" si="35"/>
        <v>NA</v>
      </c>
      <c r="R467" t="str">
        <f>IF(ISERROR(MATCH(P467&amp;"."&amp;Q467,R$5:R466,0)),P467&amp;"."&amp;Q467,P467&amp;"."&amp;Q467&amp;COUNTIFS(P$5:P466,P467,Q$5:Q466,Q467))</f>
        <v>557.NA2</v>
      </c>
      <c r="S467" s="55">
        <f t="shared" si="36"/>
        <v>19233463.323220633</v>
      </c>
    </row>
    <row r="468" spans="1:19" hidden="1">
      <c r="A468" s="5">
        <v>533</v>
      </c>
      <c r="B468" s="59"/>
      <c r="C468" s="60"/>
      <c r="D468" s="63"/>
      <c r="E468" s="63"/>
      <c r="F468" s="63"/>
      <c r="G468" s="63"/>
      <c r="H468" s="62"/>
      <c r="I468" s="66"/>
      <c r="J468" s="66"/>
      <c r="K468" s="62"/>
      <c r="L468" s="66"/>
      <c r="M468" s="66"/>
      <c r="N468" s="66"/>
      <c r="P468">
        <f t="shared" si="34"/>
        <v>557</v>
      </c>
      <c r="Q468" t="str">
        <f t="shared" si="35"/>
        <v>NA</v>
      </c>
      <c r="R468" t="str">
        <f>IF(ISERROR(MATCH(P468&amp;"."&amp;Q468,R$5:R467,0)),P468&amp;"."&amp;Q468,P468&amp;"."&amp;Q468&amp;COUNTIFS(P$5:P467,P468,Q$5:Q467,Q468))</f>
        <v>557.NA3</v>
      </c>
      <c r="S468" s="55">
        <f t="shared" si="36"/>
        <v>0</v>
      </c>
    </row>
    <row r="469" spans="1:19" hidden="1">
      <c r="A469" s="5">
        <v>534</v>
      </c>
      <c r="B469" s="59"/>
      <c r="C469" s="60" t="s">
        <v>285</v>
      </c>
      <c r="D469" s="63"/>
      <c r="E469" s="63"/>
      <c r="F469" s="63"/>
      <c r="G469" s="63"/>
      <c r="H469" s="62"/>
      <c r="I469" s="65"/>
      <c r="J469" s="65"/>
      <c r="K469" s="62"/>
      <c r="L469" s="65"/>
      <c r="M469" s="65"/>
      <c r="N469" s="65"/>
      <c r="P469" t="str">
        <f t="shared" si="34"/>
        <v>Embedded Cost Differentials</v>
      </c>
      <c r="Q469" t="str">
        <f t="shared" si="35"/>
        <v>NA</v>
      </c>
      <c r="R469" t="str">
        <f>IF(ISERROR(MATCH(P469&amp;"."&amp;Q469,R$5:R468,0)),P469&amp;"."&amp;Q469,P469&amp;"."&amp;Q469&amp;COUNTIFS(P$5:P468,P469,Q$5:Q468,Q469))</f>
        <v>Embedded Cost Differentials.NA</v>
      </c>
      <c r="S469" s="55">
        <f t="shared" si="36"/>
        <v>0</v>
      </c>
    </row>
    <row r="470" spans="1:19" ht="15.75" hidden="1" thickBot="1">
      <c r="A470" s="5">
        <v>535</v>
      </c>
      <c r="B470" s="59"/>
      <c r="C470" s="45" t="s">
        <v>243</v>
      </c>
      <c r="D470" s="63"/>
      <c r="E470" s="63"/>
      <c r="F470" s="63" t="s">
        <v>13</v>
      </c>
      <c r="G470" s="63" t="s">
        <v>17</v>
      </c>
      <c r="H470" s="41"/>
      <c r="I470" s="68">
        <v>0</v>
      </c>
      <c r="J470" s="68">
        <v>0</v>
      </c>
      <c r="K470" s="41"/>
      <c r="L470" s="68">
        <v>0</v>
      </c>
      <c r="M470" s="68">
        <v>0</v>
      </c>
      <c r="N470" s="68">
        <v>0</v>
      </c>
      <c r="P470" t="str">
        <f t="shared" si="34"/>
        <v>Company Owned Hydro</v>
      </c>
      <c r="Q470" t="str">
        <f t="shared" si="35"/>
        <v>DGP</v>
      </c>
      <c r="R470" t="str">
        <f>IF(ISERROR(MATCH(P470&amp;"."&amp;Q470,R$5:R469,0)),P470&amp;"."&amp;Q470,P470&amp;"."&amp;Q470&amp;COUNTIFS(P$5:P469,P470,Q$5:Q469,Q470))</f>
        <v>Company Owned Hydro.DGP</v>
      </c>
      <c r="S470" s="55">
        <f t="shared" si="36"/>
        <v>0</v>
      </c>
    </row>
    <row r="471" spans="1:19" hidden="1">
      <c r="A471" s="5">
        <v>536</v>
      </c>
      <c r="B471" s="59"/>
      <c r="C471" s="60" t="s">
        <v>243</v>
      </c>
      <c r="D471" s="63"/>
      <c r="E471" s="63"/>
      <c r="F471" s="63" t="s">
        <v>13</v>
      </c>
      <c r="G471" s="63" t="s">
        <v>15</v>
      </c>
      <c r="H471" s="62"/>
      <c r="I471" s="65">
        <v>0</v>
      </c>
      <c r="J471" s="65">
        <v>0</v>
      </c>
      <c r="K471" s="62"/>
      <c r="L471" s="65">
        <v>0</v>
      </c>
      <c r="M471" s="65">
        <v>0</v>
      </c>
      <c r="N471" s="65">
        <v>0</v>
      </c>
      <c r="P471" t="str">
        <f t="shared" si="34"/>
        <v>Company Owned Hydro</v>
      </c>
      <c r="Q471" t="str">
        <f t="shared" si="35"/>
        <v>SG</v>
      </c>
      <c r="R471" t="str">
        <f>IF(ISERROR(MATCH(P471&amp;"."&amp;Q471,R$5:R470,0)),P471&amp;"."&amp;Q471,P471&amp;"."&amp;Q471&amp;COUNTIFS(P$5:P470,P471,Q$5:Q470,Q471))</f>
        <v>Company Owned Hydro.SG</v>
      </c>
      <c r="S471" s="55">
        <f t="shared" si="36"/>
        <v>0</v>
      </c>
    </row>
    <row r="472" spans="1:19" ht="15.75" hidden="1" thickBot="1">
      <c r="A472" s="5">
        <v>537</v>
      </c>
      <c r="B472" s="59"/>
      <c r="C472" s="45" t="s">
        <v>252</v>
      </c>
      <c r="D472" s="63"/>
      <c r="E472" s="63"/>
      <c r="F472" s="63" t="s">
        <v>13</v>
      </c>
      <c r="G472" s="63" t="s">
        <v>286</v>
      </c>
      <c r="H472" s="41"/>
      <c r="I472" s="68">
        <v>0</v>
      </c>
      <c r="J472" s="68">
        <v>0</v>
      </c>
      <c r="K472" s="41"/>
      <c r="L472" s="68">
        <v>0</v>
      </c>
      <c r="M472" s="68">
        <v>0</v>
      </c>
      <c r="N472" s="68">
        <v>0</v>
      </c>
      <c r="P472" t="str">
        <f t="shared" si="34"/>
        <v>Mid-C Contract</v>
      </c>
      <c r="Q472" t="str">
        <f t="shared" si="35"/>
        <v>MC</v>
      </c>
      <c r="R472" t="str">
        <f>IF(ISERROR(MATCH(P472&amp;"."&amp;Q472,R$5:R471,0)),P472&amp;"."&amp;Q472,P472&amp;"."&amp;Q472&amp;COUNTIFS(P$5:P471,P472,Q$5:Q471,Q472))</f>
        <v>Mid-C Contract.MC</v>
      </c>
      <c r="S472" s="55">
        <f t="shared" si="36"/>
        <v>0</v>
      </c>
    </row>
    <row r="473" spans="1:19" hidden="1">
      <c r="A473" s="5">
        <v>538</v>
      </c>
      <c r="B473" s="59"/>
      <c r="C473" s="60" t="s">
        <v>252</v>
      </c>
      <c r="D473" s="63"/>
      <c r="E473" s="63"/>
      <c r="F473" s="63" t="s">
        <v>13</v>
      </c>
      <c r="G473" s="63" t="s">
        <v>15</v>
      </c>
      <c r="H473" s="62"/>
      <c r="I473" s="65">
        <v>0</v>
      </c>
      <c r="J473" s="65">
        <v>0</v>
      </c>
      <c r="K473" s="62"/>
      <c r="L473" s="65">
        <v>0</v>
      </c>
      <c r="M473" s="65">
        <v>0</v>
      </c>
      <c r="N473" s="65">
        <v>0</v>
      </c>
      <c r="P473" t="str">
        <f t="shared" si="34"/>
        <v>Mid-C Contract</v>
      </c>
      <c r="Q473" t="str">
        <f t="shared" si="35"/>
        <v>SG</v>
      </c>
      <c r="R473" t="str">
        <f>IF(ISERROR(MATCH(P473&amp;"."&amp;Q473,R$5:R472,0)),P473&amp;"."&amp;Q473,P473&amp;"."&amp;Q473&amp;COUNTIFS(P$5:P472,P473,Q$5:Q472,Q473))</f>
        <v>Mid-C Contract.SG</v>
      </c>
      <c r="S473" s="55">
        <f t="shared" si="36"/>
        <v>0</v>
      </c>
    </row>
    <row r="474" spans="1:19" hidden="1">
      <c r="A474" s="5">
        <v>539</v>
      </c>
      <c r="B474" s="59"/>
      <c r="C474" s="60" t="s">
        <v>248</v>
      </c>
      <c r="D474" s="63"/>
      <c r="E474" s="63"/>
      <c r="F474" s="63" t="s">
        <v>13</v>
      </c>
      <c r="G474" s="63" t="s">
        <v>12</v>
      </c>
      <c r="H474" s="62"/>
      <c r="I474" s="69">
        <v>0</v>
      </c>
      <c r="J474" s="69">
        <v>0</v>
      </c>
      <c r="K474" s="62"/>
      <c r="L474" s="69">
        <v>0</v>
      </c>
      <c r="M474" s="65">
        <v>0</v>
      </c>
      <c r="N474" s="65">
        <v>0</v>
      </c>
      <c r="P474" t="str">
        <f t="shared" si="34"/>
        <v>Existing QF Contracts</v>
      </c>
      <c r="Q474" t="str">
        <f t="shared" si="35"/>
        <v>S</v>
      </c>
      <c r="R474" t="str">
        <f>IF(ISERROR(MATCH(P474&amp;"."&amp;Q474,R$5:R473,0)),P474&amp;"."&amp;Q474,P474&amp;"."&amp;Q474&amp;COUNTIFS(P$5:P473,P474,Q$5:Q473,Q474))</f>
        <v>Existing QF Contracts.S</v>
      </c>
      <c r="S474" s="55">
        <f t="shared" si="36"/>
        <v>0</v>
      </c>
    </row>
    <row r="475" spans="1:19" hidden="1">
      <c r="A475" s="5">
        <v>540</v>
      </c>
      <c r="B475" s="59"/>
      <c r="C475" s="60" t="s">
        <v>248</v>
      </c>
      <c r="D475" s="63"/>
      <c r="E475" s="63"/>
      <c r="F475" s="63" t="s">
        <v>13</v>
      </c>
      <c r="G475" s="63" t="s">
        <v>15</v>
      </c>
      <c r="H475" s="62"/>
      <c r="I475" s="65">
        <v>0</v>
      </c>
      <c r="J475" s="65">
        <v>0</v>
      </c>
      <c r="K475" s="62"/>
      <c r="L475" s="65">
        <v>0</v>
      </c>
      <c r="M475" s="65">
        <v>0</v>
      </c>
      <c r="N475" s="65">
        <v>0</v>
      </c>
      <c r="P475" t="str">
        <f t="shared" si="34"/>
        <v>Existing QF Contracts</v>
      </c>
      <c r="Q475" t="str">
        <f t="shared" si="35"/>
        <v>SG</v>
      </c>
      <c r="R475" t="str">
        <f>IF(ISERROR(MATCH(P475&amp;"."&amp;Q475,R$5:R474,0)),P475&amp;"."&amp;Q475,P475&amp;"."&amp;Q475&amp;COUNTIFS(P$5:P474,P475,Q$5:Q474,Q475))</f>
        <v>Existing QF Contracts.SG</v>
      </c>
      <c r="S475" s="55">
        <f t="shared" si="36"/>
        <v>0</v>
      </c>
    </row>
    <row r="476" spans="1:19" hidden="1">
      <c r="A476" s="5">
        <v>541</v>
      </c>
      <c r="B476" s="59"/>
      <c r="C476" s="60"/>
      <c r="D476" s="63"/>
      <c r="E476" s="60"/>
      <c r="F476" s="63"/>
      <c r="G476" s="63"/>
      <c r="H476" s="62"/>
      <c r="I476" s="65"/>
      <c r="J476" s="65"/>
      <c r="K476" s="62"/>
      <c r="L476" s="65"/>
      <c r="M476" s="65"/>
      <c r="N476" s="64"/>
      <c r="P476" t="str">
        <f t="shared" si="34"/>
        <v>Existing QF Contracts</v>
      </c>
      <c r="Q476" t="str">
        <f t="shared" si="35"/>
        <v>NA</v>
      </c>
      <c r="R476" t="str">
        <f>IF(ISERROR(MATCH(P476&amp;"."&amp;Q476,R$5:R475,0)),P476&amp;"."&amp;Q476,P476&amp;"."&amp;Q476&amp;COUNTIFS(P$5:P475,P476,Q$5:Q475,Q476))</f>
        <v>Existing QF Contracts.NA</v>
      </c>
      <c r="S476" s="55">
        <f t="shared" si="36"/>
        <v>0</v>
      </c>
    </row>
    <row r="477" spans="1:19" hidden="1">
      <c r="A477" s="5">
        <v>542</v>
      </c>
      <c r="B477" s="59"/>
      <c r="C477" s="60"/>
      <c r="D477" s="63"/>
      <c r="E477" s="61"/>
      <c r="F477" s="63"/>
      <c r="G477" s="63"/>
      <c r="H477" s="62"/>
      <c r="I477" s="65">
        <v>0</v>
      </c>
      <c r="J477" s="65">
        <v>0</v>
      </c>
      <c r="K477" s="62"/>
      <c r="L477" s="65">
        <v>0</v>
      </c>
      <c r="M477" s="65">
        <v>0</v>
      </c>
      <c r="N477" s="64">
        <v>0</v>
      </c>
      <c r="P477" t="str">
        <f t="shared" si="34"/>
        <v>Existing QF Contracts</v>
      </c>
      <c r="Q477" t="str">
        <f t="shared" si="35"/>
        <v>NA</v>
      </c>
      <c r="R477" t="str">
        <f>IF(ISERROR(MATCH(P477&amp;"."&amp;Q477,R$5:R476,0)),P477&amp;"."&amp;Q477,P477&amp;"."&amp;Q477&amp;COUNTIFS(P$5:P476,P477,Q$5:Q476,Q477))</f>
        <v>Existing QF Contracts.NA1</v>
      </c>
      <c r="S477" s="55">
        <f t="shared" si="36"/>
        <v>0</v>
      </c>
    </row>
    <row r="478" spans="1:19" hidden="1">
      <c r="A478" s="5">
        <v>543</v>
      </c>
      <c r="B478" s="59"/>
      <c r="C478" s="60"/>
      <c r="D478" s="63"/>
      <c r="E478" s="61"/>
      <c r="F478" s="63"/>
      <c r="G478" s="63"/>
      <c r="H478" s="62"/>
      <c r="I478" s="65"/>
      <c r="J478" s="65"/>
      <c r="K478" s="62"/>
      <c r="L478" s="65"/>
      <c r="M478" s="65"/>
      <c r="N478" s="64"/>
      <c r="P478" t="str">
        <f t="shared" si="34"/>
        <v>Existing QF Contracts</v>
      </c>
      <c r="Q478" t="str">
        <f t="shared" si="35"/>
        <v>NA</v>
      </c>
      <c r="R478" t="str">
        <f>IF(ISERROR(MATCH(P478&amp;"."&amp;Q478,R$5:R477,0)),P478&amp;"."&amp;Q478,P478&amp;"."&amp;Q478&amp;COUNTIFS(P$5:P477,P478,Q$5:Q477,Q478))</f>
        <v>Existing QF Contracts.NA2</v>
      </c>
      <c r="S478" s="55">
        <f t="shared" si="36"/>
        <v>0</v>
      </c>
    </row>
    <row r="479" spans="1:19" hidden="1">
      <c r="A479" s="5">
        <v>544</v>
      </c>
      <c r="B479" s="59"/>
      <c r="C479" s="60"/>
      <c r="D479" s="63"/>
      <c r="E479" s="61"/>
      <c r="F479" s="63"/>
      <c r="G479" s="63"/>
      <c r="H479" s="62"/>
      <c r="I479" s="65"/>
      <c r="J479" s="65"/>
      <c r="K479" s="62"/>
      <c r="L479" s="65"/>
      <c r="M479" s="65"/>
      <c r="N479" s="64"/>
      <c r="P479" t="str">
        <f t="shared" si="34"/>
        <v>Existing QF Contracts</v>
      </c>
      <c r="Q479" t="str">
        <f t="shared" si="35"/>
        <v>NA</v>
      </c>
      <c r="R479" t="str">
        <f>IF(ISERROR(MATCH(P479&amp;"."&amp;Q479,R$5:R478,0)),P479&amp;"."&amp;Q479,P479&amp;"."&amp;Q479&amp;COUNTIFS(P$5:P478,P479,Q$5:Q478,Q479))</f>
        <v>Existing QF Contracts.NA3</v>
      </c>
      <c r="S479" s="55">
        <f t="shared" si="36"/>
        <v>0</v>
      </c>
    </row>
    <row r="480" spans="1:19" hidden="1">
      <c r="A480" s="5">
        <v>545</v>
      </c>
      <c r="B480" s="59"/>
      <c r="C480" s="60"/>
      <c r="D480" s="63"/>
      <c r="E480" s="61"/>
      <c r="F480" s="63"/>
      <c r="G480" s="63"/>
      <c r="H480" s="62"/>
      <c r="I480" s="65"/>
      <c r="J480" s="65"/>
      <c r="K480" s="62"/>
      <c r="L480" s="65"/>
      <c r="M480" s="65"/>
      <c r="N480" s="64"/>
      <c r="P480" t="str">
        <f t="shared" si="34"/>
        <v>Existing QF Contracts</v>
      </c>
      <c r="Q480" t="str">
        <f t="shared" si="35"/>
        <v>NA</v>
      </c>
      <c r="R480" t="str">
        <f>IF(ISERROR(MATCH(P480&amp;"."&amp;Q480,R$5:R479,0)),P480&amp;"."&amp;Q480,P480&amp;"."&amp;Q480&amp;COUNTIFS(P$5:P479,P480,Q$5:Q479,Q480))</f>
        <v>Existing QF Contracts.NA4</v>
      </c>
      <c r="S480" s="55">
        <f t="shared" si="36"/>
        <v>0</v>
      </c>
    </row>
    <row r="481" spans="1:19" hidden="1">
      <c r="A481" s="5">
        <v>546</v>
      </c>
      <c r="B481" s="59"/>
      <c r="C481" s="60"/>
      <c r="D481" s="63"/>
      <c r="E481" s="61"/>
      <c r="F481" s="63"/>
      <c r="G481" s="63"/>
      <c r="H481" s="62"/>
      <c r="I481" s="65"/>
      <c r="J481" s="65"/>
      <c r="K481" s="62"/>
      <c r="L481" s="65"/>
      <c r="M481" s="65"/>
      <c r="N481" s="64"/>
      <c r="P481" t="str">
        <f t="shared" si="34"/>
        <v>Existing QF Contracts</v>
      </c>
      <c r="Q481" t="str">
        <f t="shared" si="35"/>
        <v>NA</v>
      </c>
      <c r="R481" t="str">
        <f>IF(ISERROR(MATCH(P481&amp;"."&amp;Q481,R$5:R480,0)),P481&amp;"."&amp;Q481,P481&amp;"."&amp;Q481&amp;COUNTIFS(P$5:P480,P481,Q$5:Q480,Q481))</f>
        <v>Existing QF Contracts.NA5</v>
      </c>
      <c r="S481" s="55">
        <f t="shared" si="36"/>
        <v>0</v>
      </c>
    </row>
    <row r="482" spans="1:19" hidden="1">
      <c r="A482" s="5">
        <v>547</v>
      </c>
      <c r="B482" s="59"/>
      <c r="C482" s="60" t="s">
        <v>287</v>
      </c>
      <c r="D482" s="63"/>
      <c r="E482" s="61"/>
      <c r="F482" s="63"/>
      <c r="G482" s="63"/>
      <c r="H482" s="62"/>
      <c r="I482" s="65"/>
      <c r="J482" s="65"/>
      <c r="K482" s="62"/>
      <c r="L482" s="65"/>
      <c r="M482" s="65"/>
      <c r="N482" s="64"/>
      <c r="P482" t="str">
        <f t="shared" si="34"/>
        <v>2020 Protocol Adjustment</v>
      </c>
      <c r="Q482" t="str">
        <f t="shared" si="35"/>
        <v>NA</v>
      </c>
      <c r="R482" t="str">
        <f>IF(ISERROR(MATCH(P482&amp;"."&amp;Q482,R$5:R481,0)),P482&amp;"."&amp;Q482,P482&amp;"."&amp;Q482&amp;COUNTIFS(P$5:P481,P482,Q$5:Q481,Q482))</f>
        <v>2020 Protocol Adjustment.NA</v>
      </c>
      <c r="S482" s="55">
        <f t="shared" si="36"/>
        <v>0</v>
      </c>
    </row>
    <row r="483" spans="1:19" hidden="1">
      <c r="A483" s="5">
        <v>548</v>
      </c>
      <c r="B483" s="59"/>
      <c r="C483" s="60" t="s">
        <v>288</v>
      </c>
      <c r="D483" s="63"/>
      <c r="E483" s="61"/>
      <c r="F483" s="63" t="s">
        <v>13</v>
      </c>
      <c r="G483" s="63" t="s">
        <v>12</v>
      </c>
      <c r="H483" s="62"/>
      <c r="I483" s="65">
        <v>-10164457.613102905</v>
      </c>
      <c r="J483" s="65">
        <v>0</v>
      </c>
      <c r="K483" s="62"/>
      <c r="L483" s="65">
        <v>-10164457.613102905</v>
      </c>
      <c r="M483" s="65">
        <v>-10164457.613102905</v>
      </c>
      <c r="N483" s="64">
        <v>0</v>
      </c>
      <c r="P483" t="str">
        <f t="shared" si="34"/>
        <v xml:space="preserve">  Baseline ECD</v>
      </c>
      <c r="Q483" t="str">
        <f t="shared" si="35"/>
        <v>S</v>
      </c>
      <c r="R483" t="str">
        <f>IF(ISERROR(MATCH(P483&amp;"."&amp;Q483,R$5:R482,0)),P483&amp;"."&amp;Q483,P483&amp;"."&amp;Q483&amp;COUNTIFS(P$5:P482,P483,Q$5:Q482,Q483))</f>
        <v xml:space="preserve">  Baseline ECD.S</v>
      </c>
      <c r="S483" s="55">
        <f t="shared" si="36"/>
        <v>0</v>
      </c>
    </row>
    <row r="484" spans="1:19" hidden="1">
      <c r="A484" s="5">
        <v>549</v>
      </c>
      <c r="B484" s="59"/>
      <c r="C484" s="60" t="s">
        <v>289</v>
      </c>
      <c r="D484" s="63"/>
      <c r="E484" s="61"/>
      <c r="F484" s="63" t="s">
        <v>13</v>
      </c>
      <c r="G484" s="63" t="s">
        <v>12</v>
      </c>
      <c r="H484" s="62"/>
      <c r="I484" s="65">
        <v>-5000000</v>
      </c>
      <c r="J484" s="65">
        <v>0</v>
      </c>
      <c r="K484" s="62"/>
      <c r="L484" s="65">
        <v>-5000000</v>
      </c>
      <c r="M484" s="65">
        <v>-5000000</v>
      </c>
      <c r="N484" s="64">
        <v>0</v>
      </c>
      <c r="P484" t="str">
        <f t="shared" si="34"/>
        <v xml:space="preserve">  WY QF Adjustment</v>
      </c>
      <c r="Q484" t="str">
        <f t="shared" si="35"/>
        <v>S</v>
      </c>
      <c r="R484" t="str">
        <f>IF(ISERROR(MATCH(P484&amp;"."&amp;Q484,R$5:R483,0)),P484&amp;"."&amp;Q484,P484&amp;"."&amp;Q484&amp;COUNTIFS(P$5:P483,P484,Q$5:Q483,Q484))</f>
        <v xml:space="preserve">  WY QF Adjustment.S</v>
      </c>
      <c r="S484" s="55">
        <f t="shared" si="36"/>
        <v>0</v>
      </c>
    </row>
    <row r="485" spans="1:19" hidden="1">
      <c r="A485" s="5">
        <v>550</v>
      </c>
      <c r="B485" s="59"/>
      <c r="C485" s="60" t="s">
        <v>287</v>
      </c>
      <c r="D485" s="63"/>
      <c r="E485" s="61"/>
      <c r="F485" s="63"/>
      <c r="G485" s="63"/>
      <c r="H485" s="62"/>
      <c r="I485" s="65">
        <v>-15164457.613102905</v>
      </c>
      <c r="J485" s="65">
        <v>0</v>
      </c>
      <c r="K485" s="62"/>
      <c r="L485" s="65">
        <v>-15164457.613102905</v>
      </c>
      <c r="M485" s="65">
        <v>-15164457.613102905</v>
      </c>
      <c r="N485" s="64">
        <v>0</v>
      </c>
      <c r="P485" t="str">
        <f t="shared" si="34"/>
        <v>2020 Protocol Adjustment</v>
      </c>
      <c r="Q485" t="str">
        <f t="shared" si="35"/>
        <v>NA</v>
      </c>
      <c r="R485" t="str">
        <f>IF(ISERROR(MATCH(P485&amp;"."&amp;Q485,R$5:R484,0)),P485&amp;"."&amp;Q485,P485&amp;"."&amp;Q485&amp;COUNTIFS(P$5:P484,P485,Q$5:Q484,Q485))</f>
        <v>2020 Protocol Adjustment.NA1</v>
      </c>
      <c r="S485" s="55">
        <f t="shared" si="36"/>
        <v>0</v>
      </c>
    </row>
    <row r="486" spans="1:19" hidden="1">
      <c r="A486" s="5">
        <v>551</v>
      </c>
      <c r="B486" s="59"/>
      <c r="C486" s="60"/>
      <c r="D486" s="63"/>
      <c r="E486" s="61"/>
      <c r="F486" s="63"/>
      <c r="G486" s="63"/>
      <c r="H486" s="62"/>
      <c r="I486" s="65"/>
      <c r="J486" s="65"/>
      <c r="K486" s="62"/>
      <c r="L486" s="65"/>
      <c r="M486" s="65"/>
      <c r="N486" s="64"/>
      <c r="P486" t="str">
        <f t="shared" si="34"/>
        <v>2020 Protocol Adjustment</v>
      </c>
      <c r="Q486" t="str">
        <f t="shared" si="35"/>
        <v>NA</v>
      </c>
      <c r="R486" t="str">
        <f>IF(ISERROR(MATCH(P486&amp;"."&amp;Q486,R$5:R485,0)),P486&amp;"."&amp;Q486,P486&amp;"."&amp;Q486&amp;COUNTIFS(P$5:P485,P486,Q$5:Q485,Q486))</f>
        <v>2020 Protocol Adjustment.NA2</v>
      </c>
      <c r="S486" s="55">
        <f t="shared" si="36"/>
        <v>0</v>
      </c>
    </row>
    <row r="487" spans="1:19" hidden="1">
      <c r="A487" s="5">
        <v>552</v>
      </c>
      <c r="B487" s="59"/>
      <c r="C487" s="60" t="s">
        <v>290</v>
      </c>
      <c r="D487" s="63"/>
      <c r="E487" s="61"/>
      <c r="F487" s="63"/>
      <c r="G487" s="63"/>
      <c r="H487" s="62" t="s">
        <v>178</v>
      </c>
      <c r="I487" s="65">
        <v>663394805.83689702</v>
      </c>
      <c r="J487" s="65">
        <v>321308479.00219786</v>
      </c>
      <c r="K487" s="62"/>
      <c r="L487" s="65">
        <v>585433319.56701899</v>
      </c>
      <c r="M487" s="65">
        <v>300711322.989218</v>
      </c>
      <c r="N487" s="64">
        <v>284721996.57780111</v>
      </c>
      <c r="P487" t="str">
        <f t="shared" si="34"/>
        <v>Total Other Power Supply</v>
      </c>
      <c r="Q487" t="str">
        <f t="shared" si="35"/>
        <v>NA</v>
      </c>
      <c r="R487" t="str">
        <f>IF(ISERROR(MATCH(P487&amp;"."&amp;Q487,R$5:R486,0)),P487&amp;"."&amp;Q487,P487&amp;"."&amp;Q487&amp;COUNTIFS(P$5:P486,P487,Q$5:Q486,Q487))</f>
        <v>Total Other Power Supply.NA</v>
      </c>
      <c r="S487" s="55">
        <f t="shared" si="36"/>
        <v>284721996.57780111</v>
      </c>
    </row>
    <row r="488" spans="1:19" hidden="1">
      <c r="A488" s="5">
        <v>553</v>
      </c>
      <c r="B488" s="59"/>
      <c r="C488" s="60"/>
      <c r="D488" s="63"/>
      <c r="E488" s="61"/>
      <c r="F488" s="63"/>
      <c r="G488" s="63"/>
      <c r="H488" s="62"/>
      <c r="I488" s="65"/>
      <c r="J488" s="65"/>
      <c r="K488" s="62"/>
      <c r="L488" s="65"/>
      <c r="M488" s="65"/>
      <c r="N488" s="64"/>
      <c r="P488" t="str">
        <f t="shared" si="34"/>
        <v>Total Other Power Supply</v>
      </c>
      <c r="Q488" t="str">
        <f t="shared" si="35"/>
        <v>NA</v>
      </c>
      <c r="R488" t="str">
        <f>IF(ISERROR(MATCH(P488&amp;"."&amp;Q488,R$5:R487,0)),P488&amp;"."&amp;Q488,P488&amp;"."&amp;Q488&amp;COUNTIFS(P$5:P487,P488,Q$5:Q487,Q488))</f>
        <v>Total Other Power Supply.NA1</v>
      </c>
      <c r="S488" s="55">
        <f t="shared" si="36"/>
        <v>0</v>
      </c>
    </row>
    <row r="489" spans="1:19" hidden="1">
      <c r="A489" s="5">
        <v>554</v>
      </c>
      <c r="B489" s="59"/>
      <c r="C489" s="60" t="s">
        <v>291</v>
      </c>
      <c r="D489" s="63"/>
      <c r="E489" s="61"/>
      <c r="F489" s="63"/>
      <c r="G489" s="63"/>
      <c r="H489" s="62" t="s">
        <v>178</v>
      </c>
      <c r="I489" s="65">
        <v>2074555350.2168972</v>
      </c>
      <c r="J489" s="65">
        <v>933492354.68333411</v>
      </c>
      <c r="K489" s="62"/>
      <c r="L489" s="65">
        <v>1908502808.7447114</v>
      </c>
      <c r="M489" s="65">
        <v>1049571148.81809</v>
      </c>
      <c r="N489" s="64">
        <v>858931659.92662168</v>
      </c>
      <c r="P489" t="str">
        <f t="shared" si="34"/>
        <v>Total Production Expense</v>
      </c>
      <c r="Q489" t="str">
        <f t="shared" si="35"/>
        <v>NA</v>
      </c>
      <c r="R489" t="str">
        <f>IF(ISERROR(MATCH(P489&amp;"."&amp;Q489,R$5:R488,0)),P489&amp;"."&amp;Q489,P489&amp;"."&amp;Q489&amp;COUNTIFS(P$5:P488,P489,Q$5:Q488,Q489))</f>
        <v>Total Production Expense.NA</v>
      </c>
      <c r="S489" s="55">
        <f t="shared" si="36"/>
        <v>858931659.92662168</v>
      </c>
    </row>
    <row r="490" spans="1:19" hidden="1">
      <c r="A490" s="5">
        <v>555</v>
      </c>
      <c r="B490" s="59"/>
      <c r="C490" s="60"/>
      <c r="D490" s="63"/>
      <c r="E490" s="61"/>
      <c r="F490" s="63"/>
      <c r="G490" s="63"/>
      <c r="H490" s="62"/>
      <c r="I490" s="65"/>
      <c r="J490" s="65"/>
      <c r="K490" s="62"/>
      <c r="L490" s="65"/>
      <c r="M490" s="65"/>
      <c r="N490" s="64"/>
      <c r="P490" t="str">
        <f t="shared" si="34"/>
        <v>Total Production Expense</v>
      </c>
      <c r="Q490" t="str">
        <f t="shared" si="35"/>
        <v>NA</v>
      </c>
      <c r="R490" t="str">
        <f>IF(ISERROR(MATCH(P490&amp;"."&amp;Q490,R$5:R489,0)),P490&amp;"."&amp;Q490,P490&amp;"."&amp;Q490&amp;COUNTIFS(P$5:P489,P490,Q$5:Q489,Q490))</f>
        <v>Total Production Expense.NA1</v>
      </c>
      <c r="S490" s="55">
        <f t="shared" si="36"/>
        <v>0</v>
      </c>
    </row>
    <row r="491" spans="1:19" hidden="1">
      <c r="A491" s="5">
        <v>556</v>
      </c>
      <c r="B491" s="59"/>
      <c r="C491" s="60"/>
      <c r="D491" s="63"/>
      <c r="E491" s="61"/>
      <c r="F491" s="63"/>
      <c r="G491" s="63"/>
      <c r="H491" s="62"/>
      <c r="I491" s="65"/>
      <c r="J491" s="65"/>
      <c r="K491" s="62"/>
      <c r="L491" s="65"/>
      <c r="M491" s="65"/>
      <c r="N491" s="64"/>
      <c r="P491" t="str">
        <f t="shared" si="34"/>
        <v>Total Production Expense</v>
      </c>
      <c r="Q491" t="str">
        <f t="shared" si="35"/>
        <v>NA</v>
      </c>
      <c r="R491" t="str">
        <f>IF(ISERROR(MATCH(P491&amp;"."&amp;Q491,R$5:R490,0)),P491&amp;"."&amp;Q491,P491&amp;"."&amp;Q491&amp;COUNTIFS(P$5:P490,P491,Q$5:Q490,Q491))</f>
        <v>Total Production Expense.NA2</v>
      </c>
      <c r="S491" s="55">
        <f t="shared" si="36"/>
        <v>0</v>
      </c>
    </row>
    <row r="492" spans="1:19" hidden="1">
      <c r="A492" s="5">
        <v>557</v>
      </c>
      <c r="B492" s="59"/>
      <c r="C492" s="60" t="s">
        <v>292</v>
      </c>
      <c r="D492" s="63"/>
      <c r="E492" s="61"/>
      <c r="F492" s="63"/>
      <c r="G492" s="63"/>
      <c r="H492" s="62"/>
      <c r="I492" s="65"/>
      <c r="J492" s="65"/>
      <c r="K492" s="62"/>
      <c r="L492" s="65"/>
      <c r="M492" s="65"/>
      <c r="N492" s="64"/>
      <c r="P492" t="str">
        <f t="shared" si="34"/>
        <v>Summary of Production Expense by Factor</v>
      </c>
      <c r="Q492" t="str">
        <f t="shared" si="35"/>
        <v>NA</v>
      </c>
      <c r="R492" t="str">
        <f>IF(ISERROR(MATCH(P492&amp;"."&amp;Q492,R$5:R491,0)),P492&amp;"."&amp;Q492,P492&amp;"."&amp;Q492&amp;COUNTIFS(P$5:P491,P492,Q$5:Q491,Q492))</f>
        <v>Summary of Production Expense by Factor.NA</v>
      </c>
      <c r="S492" s="55">
        <f t="shared" si="36"/>
        <v>0</v>
      </c>
    </row>
    <row r="493" spans="1:19" hidden="1">
      <c r="A493" s="5">
        <v>558</v>
      </c>
      <c r="B493" s="59"/>
      <c r="C493" s="60"/>
      <c r="D493" s="63"/>
      <c r="E493" s="61" t="s">
        <v>12</v>
      </c>
      <c r="F493" s="63"/>
      <c r="G493" s="63"/>
      <c r="H493" s="62"/>
      <c r="I493" s="65">
        <v>-50545087.863102898</v>
      </c>
      <c r="J493" s="65">
        <v>4914895.5200000005</v>
      </c>
      <c r="K493" s="62"/>
      <c r="L493" s="65">
        <v>-54178038.903171435</v>
      </c>
      <c r="M493" s="65">
        <v>-55783713.409999356</v>
      </c>
      <c r="N493" s="64">
        <v>1605674.5068279244</v>
      </c>
      <c r="P493" t="str">
        <f t="shared" si="34"/>
        <v>Summary of Production Expense by Factor</v>
      </c>
      <c r="Q493" t="str">
        <f t="shared" si="35"/>
        <v>NA</v>
      </c>
      <c r="R493" t="str">
        <f>IF(ISERROR(MATCH(P493&amp;"."&amp;Q493,R$5:R492,0)),P493&amp;"."&amp;Q493,P493&amp;"."&amp;Q493&amp;COUNTIFS(P$5:P492,P493,Q$5:Q492,Q493))</f>
        <v>Summary of Production Expense by Factor.NA1</v>
      </c>
      <c r="S493" s="55">
        <f t="shared" si="36"/>
        <v>1605674.5068279244</v>
      </c>
    </row>
    <row r="494" spans="1:19" ht="15.75" hidden="1" thickBot="1">
      <c r="A494" s="5">
        <v>559</v>
      </c>
      <c r="B494" s="59"/>
      <c r="C494" s="60"/>
      <c r="D494" s="63"/>
      <c r="E494" s="63" t="s">
        <v>15</v>
      </c>
      <c r="F494" s="63"/>
      <c r="G494" s="63"/>
      <c r="H494" s="62"/>
      <c r="I494" s="81">
        <v>1124994392.28</v>
      </c>
      <c r="J494" s="81">
        <v>494969386.73154956</v>
      </c>
      <c r="K494" s="62"/>
      <c r="L494" s="81">
        <v>995178299.32300758</v>
      </c>
      <c r="M494" s="81">
        <v>557324745.66559827</v>
      </c>
      <c r="N494" s="81">
        <v>437853553.65740931</v>
      </c>
      <c r="P494" t="str">
        <f t="shared" si="34"/>
        <v>Summary of Production Expense by Factor</v>
      </c>
      <c r="Q494" t="str">
        <f t="shared" si="35"/>
        <v>NA</v>
      </c>
      <c r="R494" t="str">
        <f>IF(ISERROR(MATCH(P494&amp;"."&amp;Q494,R$5:R493,0)),P494&amp;"."&amp;Q494,P494&amp;"."&amp;Q494&amp;COUNTIFS(P$5:P493,P494,Q$5:Q493,Q494))</f>
        <v>Summary of Production Expense by Factor.NA2</v>
      </c>
      <c r="S494" s="55">
        <f t="shared" si="36"/>
        <v>437853553.65740931</v>
      </c>
    </row>
    <row r="495" spans="1:19" hidden="1">
      <c r="A495" s="5">
        <v>560</v>
      </c>
      <c r="B495" s="59"/>
      <c r="C495" s="60"/>
      <c r="D495" s="61"/>
      <c r="E495" s="63" t="s">
        <v>16</v>
      </c>
      <c r="F495" s="63"/>
      <c r="G495" s="63"/>
      <c r="H495" s="62"/>
      <c r="I495" s="65">
        <v>1000106045.8</v>
      </c>
      <c r="J495" s="65">
        <v>433608072.43178457</v>
      </c>
      <c r="K495" s="62"/>
      <c r="L495" s="65">
        <v>967502548.32487571</v>
      </c>
      <c r="M495" s="65">
        <v>548030116.56249106</v>
      </c>
      <c r="N495" s="65">
        <v>419472431.76238465</v>
      </c>
      <c r="P495" t="str">
        <f t="shared" si="34"/>
        <v>Summary of Production Expense by Factor</v>
      </c>
      <c r="Q495" t="str">
        <f t="shared" si="35"/>
        <v>NA</v>
      </c>
      <c r="R495" t="str">
        <f>IF(ISERROR(MATCH(P495&amp;"."&amp;Q495,R$5:R494,0)),P495&amp;"."&amp;Q495,P495&amp;"."&amp;Q495&amp;COUNTIFS(P$5:P494,P495,Q$5:Q494,Q495))</f>
        <v>Summary of Production Expense by Factor.NA3</v>
      </c>
      <c r="S495" s="55">
        <f t="shared" si="36"/>
        <v>419472431.76238465</v>
      </c>
    </row>
    <row r="496" spans="1:19" hidden="1">
      <c r="A496" s="5">
        <v>561</v>
      </c>
      <c r="B496" s="59"/>
      <c r="C496" s="60"/>
      <c r="D496" s="63"/>
      <c r="E496" s="63" t="s">
        <v>293</v>
      </c>
      <c r="F496" s="60"/>
      <c r="G496" s="61"/>
      <c r="H496" s="62"/>
      <c r="I496" s="65">
        <v>0</v>
      </c>
      <c r="J496" s="65">
        <v>0</v>
      </c>
      <c r="K496" s="62"/>
      <c r="L496" s="65">
        <v>0</v>
      </c>
      <c r="M496" s="65">
        <v>0</v>
      </c>
      <c r="N496" s="64">
        <v>0</v>
      </c>
      <c r="P496" t="str">
        <f t="shared" si="34"/>
        <v>Summary of Production Expense by Factor</v>
      </c>
      <c r="Q496" t="str">
        <f t="shared" si="35"/>
        <v>NA</v>
      </c>
      <c r="R496" t="str">
        <f>IF(ISERROR(MATCH(P496&amp;"."&amp;Q496,R$5:R495,0)),P496&amp;"."&amp;Q496,P496&amp;"."&amp;Q496&amp;COUNTIFS(P$5:P495,P496,Q$5:Q495,Q496))</f>
        <v>Summary of Production Expense by Factor.NA4</v>
      </c>
      <c r="S496" s="55">
        <f t="shared" si="36"/>
        <v>0</v>
      </c>
    </row>
    <row r="497" spans="1:19" hidden="1">
      <c r="A497" s="5">
        <v>562</v>
      </c>
      <c r="B497" s="59"/>
      <c r="C497" s="60"/>
      <c r="D497" s="63"/>
      <c r="E497" s="63" t="s">
        <v>284</v>
      </c>
      <c r="F497" s="63"/>
      <c r="G497" s="63"/>
      <c r="H497" s="62"/>
      <c r="I497" s="65">
        <v>0</v>
      </c>
      <c r="J497" s="65">
        <v>0</v>
      </c>
      <c r="K497" s="62"/>
      <c r="L497" s="65">
        <v>0</v>
      </c>
      <c r="M497" s="65">
        <v>0</v>
      </c>
      <c r="N497" s="65">
        <v>0</v>
      </c>
      <c r="P497" t="str">
        <f t="shared" si="34"/>
        <v>Summary of Production Expense by Factor</v>
      </c>
      <c r="Q497" t="str">
        <f t="shared" si="35"/>
        <v>NA</v>
      </c>
      <c r="R497" t="str">
        <f>IF(ISERROR(MATCH(P497&amp;"."&amp;Q497,R$5:R496,0)),P497&amp;"."&amp;Q497,P497&amp;"."&amp;Q497&amp;COUNTIFS(P$5:P496,P497,Q$5:Q496,Q497))</f>
        <v>Summary of Production Expense by Factor.NA5</v>
      </c>
      <c r="S497" s="55">
        <f t="shared" si="36"/>
        <v>0</v>
      </c>
    </row>
    <row r="498" spans="1:19" hidden="1">
      <c r="A498" s="5">
        <v>563</v>
      </c>
      <c r="B498" s="59"/>
      <c r="C498" s="60"/>
      <c r="D498" s="63"/>
      <c r="E498" s="63" t="s">
        <v>283</v>
      </c>
      <c r="F498" s="63"/>
      <c r="G498" s="63"/>
      <c r="H498" s="62"/>
      <c r="I498" s="66">
        <v>0</v>
      </c>
      <c r="J498" s="66">
        <v>0</v>
      </c>
      <c r="K498" s="62"/>
      <c r="L498" s="66">
        <v>0</v>
      </c>
      <c r="M498" s="66">
        <v>0</v>
      </c>
      <c r="N498" s="66">
        <v>0</v>
      </c>
      <c r="P498" t="str">
        <f t="shared" si="34"/>
        <v>Summary of Production Expense by Factor</v>
      </c>
      <c r="Q498" t="str">
        <f t="shared" si="35"/>
        <v>NA</v>
      </c>
      <c r="R498" t="str">
        <f>IF(ISERROR(MATCH(P498&amp;"."&amp;Q498,R$5:R497,0)),P498&amp;"."&amp;Q498,P498&amp;"."&amp;Q498&amp;COUNTIFS(P$5:P497,P498,Q$5:Q497,Q498))</f>
        <v>Summary of Production Expense by Factor.NA6</v>
      </c>
      <c r="S498" s="55">
        <f t="shared" si="36"/>
        <v>0</v>
      </c>
    </row>
    <row r="499" spans="1:19" hidden="1">
      <c r="A499" s="5">
        <v>564</v>
      </c>
      <c r="B499" s="59"/>
      <c r="C499" s="60"/>
      <c r="D499" s="63"/>
      <c r="E499" s="63" t="s">
        <v>17</v>
      </c>
      <c r="F499" s="63"/>
      <c r="G499" s="63"/>
      <c r="H499" s="62"/>
      <c r="I499" s="65">
        <v>0</v>
      </c>
      <c r="J499" s="65">
        <v>0</v>
      </c>
      <c r="K499" s="62"/>
      <c r="L499" s="65">
        <v>0</v>
      </c>
      <c r="M499" s="65">
        <v>0</v>
      </c>
      <c r="N499" s="65">
        <v>0</v>
      </c>
      <c r="P499" t="str">
        <f t="shared" si="34"/>
        <v>Summary of Production Expense by Factor</v>
      </c>
      <c r="Q499" t="str">
        <f t="shared" si="35"/>
        <v>NA</v>
      </c>
      <c r="R499" t="str">
        <f>IF(ISERROR(MATCH(P499&amp;"."&amp;Q499,R$5:R498,0)),P499&amp;"."&amp;Q499,P499&amp;"."&amp;Q499&amp;COUNTIFS(P$5:P498,P499,Q$5:Q498,Q499))</f>
        <v>Summary of Production Expense by Factor.NA7</v>
      </c>
      <c r="S499" s="55">
        <f t="shared" si="36"/>
        <v>0</v>
      </c>
    </row>
    <row r="500" spans="1:19" hidden="1">
      <c r="A500" s="5">
        <v>565</v>
      </c>
      <c r="B500" s="59"/>
      <c r="C500" s="60"/>
      <c r="D500" s="61"/>
      <c r="E500" s="63" t="s">
        <v>294</v>
      </c>
      <c r="F500" s="63"/>
      <c r="G500" s="63"/>
      <c r="H500" s="62"/>
      <c r="I500" s="65">
        <v>0</v>
      </c>
      <c r="J500" s="65">
        <v>0</v>
      </c>
      <c r="K500" s="62"/>
      <c r="L500" s="65">
        <v>0</v>
      </c>
      <c r="M500" s="65">
        <v>0</v>
      </c>
      <c r="N500" s="65">
        <v>0</v>
      </c>
      <c r="P500" t="str">
        <f t="shared" si="34"/>
        <v>Summary of Production Expense by Factor</v>
      </c>
      <c r="Q500" t="str">
        <f t="shared" si="35"/>
        <v>NA</v>
      </c>
      <c r="R500" t="str">
        <f>IF(ISERROR(MATCH(P500&amp;"."&amp;Q500,R$5:R499,0)),P500&amp;"."&amp;Q500,P500&amp;"."&amp;Q500&amp;COUNTIFS(P$5:P499,P500,Q$5:Q499,Q500))</f>
        <v>Summary of Production Expense by Factor.NA8</v>
      </c>
      <c r="S500" s="55">
        <f t="shared" si="36"/>
        <v>0</v>
      </c>
    </row>
    <row r="501" spans="1:19" hidden="1">
      <c r="A501" s="5">
        <v>566</v>
      </c>
      <c r="B501" s="59"/>
      <c r="C501" s="60"/>
      <c r="D501" s="63"/>
      <c r="E501" s="63" t="s">
        <v>295</v>
      </c>
      <c r="F501" s="60"/>
      <c r="G501" s="61"/>
      <c r="H501" s="62"/>
      <c r="I501" s="65">
        <v>0</v>
      </c>
      <c r="J501" s="65">
        <v>0</v>
      </c>
      <c r="K501" s="62"/>
      <c r="L501" s="65">
        <v>0</v>
      </c>
      <c r="M501" s="65">
        <v>0</v>
      </c>
      <c r="N501" s="64">
        <v>0</v>
      </c>
      <c r="P501" t="str">
        <f t="shared" si="34"/>
        <v>Summary of Production Expense by Factor</v>
      </c>
      <c r="Q501" t="str">
        <f t="shared" si="35"/>
        <v>NA</v>
      </c>
      <c r="R501" t="str">
        <f>IF(ISERROR(MATCH(P501&amp;"."&amp;Q501,R$5:R500,0)),P501&amp;"."&amp;Q501,P501&amp;"."&amp;Q501&amp;COUNTIFS(P$5:P500,P501,Q$5:Q500,Q501))</f>
        <v>Summary of Production Expense by Factor.NA9</v>
      </c>
      <c r="S501" s="55">
        <f t="shared" si="36"/>
        <v>0</v>
      </c>
    </row>
    <row r="502" spans="1:19" hidden="1">
      <c r="A502" s="5">
        <v>567</v>
      </c>
      <c r="B502" s="59"/>
      <c r="C502" s="60"/>
      <c r="D502" s="63"/>
      <c r="E502" s="63" t="s">
        <v>296</v>
      </c>
      <c r="F502" s="63"/>
      <c r="G502" s="63"/>
      <c r="H502" s="62"/>
      <c r="I502" s="65">
        <v>0</v>
      </c>
      <c r="J502" s="65">
        <v>0</v>
      </c>
      <c r="K502" s="62"/>
      <c r="L502" s="65">
        <v>0</v>
      </c>
      <c r="M502" s="65">
        <v>0</v>
      </c>
      <c r="N502" s="65">
        <v>0</v>
      </c>
      <c r="P502" t="str">
        <f t="shared" si="34"/>
        <v>Summary of Production Expense by Factor</v>
      </c>
      <c r="Q502" t="str">
        <f t="shared" si="35"/>
        <v>NA</v>
      </c>
      <c r="R502" t="str">
        <f>IF(ISERROR(MATCH(P502&amp;"."&amp;Q502,R$5:R501,0)),P502&amp;"."&amp;Q502,P502&amp;"."&amp;Q502&amp;COUNTIFS(P$5:P501,P502,Q$5:Q501,Q502))</f>
        <v>Summary of Production Expense by Factor.NA10</v>
      </c>
      <c r="S502" s="55">
        <f t="shared" si="36"/>
        <v>0</v>
      </c>
    </row>
    <row r="503" spans="1:19" hidden="1">
      <c r="A503" s="5">
        <v>568</v>
      </c>
      <c r="B503" s="59"/>
      <c r="C503" s="60"/>
      <c r="D503" s="63"/>
      <c r="E503" s="63" t="s">
        <v>297</v>
      </c>
      <c r="F503" s="63"/>
      <c r="G503" s="63"/>
      <c r="H503" s="62"/>
      <c r="I503" s="66">
        <v>0</v>
      </c>
      <c r="J503" s="66">
        <v>0</v>
      </c>
      <c r="K503" s="62"/>
      <c r="L503" s="66">
        <v>0</v>
      </c>
      <c r="M503" s="66">
        <v>0</v>
      </c>
      <c r="N503" s="66">
        <v>0</v>
      </c>
      <c r="P503" t="str">
        <f t="shared" si="34"/>
        <v>Summary of Production Expense by Factor</v>
      </c>
      <c r="Q503" t="str">
        <f t="shared" si="35"/>
        <v>NA</v>
      </c>
      <c r="R503" t="str">
        <f>IF(ISERROR(MATCH(P503&amp;"."&amp;Q503,R$5:R502,0)),P503&amp;"."&amp;Q503,P503&amp;"."&amp;Q503&amp;COUNTIFS(P$5:P502,P503,Q$5:Q502,Q503))</f>
        <v>Summary of Production Expense by Factor.NA11</v>
      </c>
      <c r="S503" s="55">
        <f t="shared" si="36"/>
        <v>0</v>
      </c>
    </row>
    <row r="504" spans="1:19" hidden="1">
      <c r="A504" s="5">
        <v>569</v>
      </c>
      <c r="B504" s="59"/>
      <c r="C504" s="60"/>
      <c r="D504" s="61"/>
      <c r="E504" s="63" t="s">
        <v>14</v>
      </c>
      <c r="F504" s="63"/>
      <c r="G504" s="63"/>
      <c r="H504" s="62"/>
      <c r="I504" s="65">
        <v>0</v>
      </c>
      <c r="J504" s="65">
        <v>0</v>
      </c>
      <c r="K504" s="62"/>
      <c r="L504" s="65">
        <v>0</v>
      </c>
      <c r="M504" s="65">
        <v>0</v>
      </c>
      <c r="N504" s="65">
        <v>0</v>
      </c>
      <c r="P504" t="str">
        <f t="shared" si="34"/>
        <v>Summary of Production Expense by Factor</v>
      </c>
      <c r="Q504" t="str">
        <f t="shared" si="35"/>
        <v>NA</v>
      </c>
      <c r="R504" t="str">
        <f>IF(ISERROR(MATCH(P504&amp;"."&amp;Q504,R$5:R503,0)),P504&amp;"."&amp;Q504,P504&amp;"."&amp;Q504&amp;COUNTIFS(P$5:P503,P504,Q$5:Q503,Q504))</f>
        <v>Summary of Production Expense by Factor.NA12</v>
      </c>
      <c r="S504" s="55">
        <f t="shared" si="36"/>
        <v>0</v>
      </c>
    </row>
    <row r="505" spans="1:19" hidden="1">
      <c r="A505" s="5">
        <v>570</v>
      </c>
      <c r="B505" s="59"/>
      <c r="C505" s="60"/>
      <c r="D505" s="63"/>
      <c r="E505" s="63" t="s">
        <v>286</v>
      </c>
      <c r="F505" s="60"/>
      <c r="G505" s="61"/>
      <c r="H505" s="62"/>
      <c r="I505" s="65">
        <v>0</v>
      </c>
      <c r="J505" s="65">
        <v>0</v>
      </c>
      <c r="K505" s="62"/>
      <c r="L505" s="65">
        <v>0</v>
      </c>
      <c r="M505" s="65">
        <v>0</v>
      </c>
      <c r="N505" s="64">
        <v>0</v>
      </c>
      <c r="P505" t="str">
        <f t="shared" si="34"/>
        <v>Summary of Production Expense by Factor</v>
      </c>
      <c r="Q505" t="str">
        <f t="shared" si="35"/>
        <v>NA</v>
      </c>
      <c r="R505" t="str">
        <f>IF(ISERROR(MATCH(P505&amp;"."&amp;Q505,R$5:R504,0)),P505&amp;"."&amp;Q505,P505&amp;"."&amp;Q505&amp;COUNTIFS(P$5:P504,P505,Q$5:Q504,Q505))</f>
        <v>Summary of Production Expense by Factor.NA13</v>
      </c>
      <c r="S505" s="55">
        <f t="shared" si="36"/>
        <v>0</v>
      </c>
    </row>
    <row r="506" spans="1:19" hidden="1">
      <c r="A506" s="5">
        <v>571</v>
      </c>
      <c r="B506" s="59"/>
      <c r="C506" s="60"/>
      <c r="D506" s="63"/>
      <c r="E506" s="63" t="s">
        <v>298</v>
      </c>
      <c r="F506" s="63"/>
      <c r="G506" s="63"/>
      <c r="H506" s="62"/>
      <c r="I506" s="65">
        <v>0</v>
      </c>
      <c r="J506" s="65">
        <v>0</v>
      </c>
      <c r="K506" s="62"/>
      <c r="L506" s="65">
        <v>0</v>
      </c>
      <c r="M506" s="65">
        <v>0</v>
      </c>
      <c r="N506" s="65">
        <v>0</v>
      </c>
      <c r="P506" t="str">
        <f t="shared" si="34"/>
        <v>Summary of Production Expense by Factor</v>
      </c>
      <c r="Q506" t="str">
        <f t="shared" si="35"/>
        <v>NA</v>
      </c>
      <c r="R506" t="str">
        <f>IF(ISERROR(MATCH(P506&amp;"."&amp;Q506,R$5:R505,0)),P506&amp;"."&amp;Q506,P506&amp;"."&amp;Q506&amp;COUNTIFS(P$5:P505,P506,Q$5:Q505,Q506))</f>
        <v>Summary of Production Expense by Factor.NA14</v>
      </c>
      <c r="S506" s="55">
        <f t="shared" si="36"/>
        <v>0</v>
      </c>
    </row>
    <row r="507" spans="1:19" hidden="1">
      <c r="A507" s="5">
        <v>572</v>
      </c>
      <c r="B507" s="59"/>
      <c r="C507" s="60"/>
      <c r="D507" s="63"/>
      <c r="E507" s="63" t="s">
        <v>299</v>
      </c>
      <c r="F507" s="63"/>
      <c r="G507" s="63"/>
      <c r="H507" s="62"/>
      <c r="I507" s="66">
        <v>0</v>
      </c>
      <c r="J507" s="66">
        <v>0</v>
      </c>
      <c r="K507" s="62"/>
      <c r="L507" s="66">
        <v>0</v>
      </c>
      <c r="M507" s="66">
        <v>0</v>
      </c>
      <c r="N507" s="66">
        <v>0</v>
      </c>
      <c r="P507" t="str">
        <f t="shared" si="34"/>
        <v>Summary of Production Expense by Factor</v>
      </c>
      <c r="Q507" t="str">
        <f t="shared" si="35"/>
        <v>NA</v>
      </c>
      <c r="R507" t="str">
        <f>IF(ISERROR(MATCH(P507&amp;"."&amp;Q507,R$5:R506,0)),P507&amp;"."&amp;Q507,P507&amp;"."&amp;Q507&amp;COUNTIFS(P$5:P506,P507,Q$5:Q506,Q507))</f>
        <v>Summary of Production Expense by Factor.NA15</v>
      </c>
      <c r="S507" s="55">
        <f t="shared" si="36"/>
        <v>0</v>
      </c>
    </row>
    <row r="508" spans="1:19" hidden="1">
      <c r="A508" s="5">
        <v>573</v>
      </c>
      <c r="B508" s="59"/>
      <c r="C508" s="60"/>
      <c r="D508" s="63"/>
      <c r="E508" s="63" t="s">
        <v>300</v>
      </c>
      <c r="F508" s="63"/>
      <c r="G508" s="63"/>
      <c r="H508" s="62"/>
      <c r="I508" s="65">
        <v>0</v>
      </c>
      <c r="J508" s="65">
        <v>0</v>
      </c>
      <c r="K508" s="62"/>
      <c r="L508" s="65">
        <v>0</v>
      </c>
      <c r="M508" s="65">
        <v>0</v>
      </c>
      <c r="N508" s="65">
        <v>0</v>
      </c>
      <c r="P508" t="str">
        <f t="shared" si="34"/>
        <v>Summary of Production Expense by Factor</v>
      </c>
      <c r="Q508" t="str">
        <f t="shared" si="35"/>
        <v>NA</v>
      </c>
      <c r="R508" t="str">
        <f>IF(ISERROR(MATCH(P508&amp;"."&amp;Q508,R$5:R507,0)),P508&amp;"."&amp;Q508,P508&amp;"."&amp;Q508&amp;COUNTIFS(P$5:P507,P508,Q$5:Q507,Q508))</f>
        <v>Summary of Production Expense by Factor.NA16</v>
      </c>
      <c r="S508" s="55">
        <f t="shared" si="36"/>
        <v>0</v>
      </c>
    </row>
    <row r="509" spans="1:19" hidden="1">
      <c r="A509" s="5">
        <v>574</v>
      </c>
      <c r="B509" s="59"/>
      <c r="C509" s="60"/>
      <c r="D509" s="61"/>
      <c r="E509" s="63" t="s">
        <v>301</v>
      </c>
      <c r="F509" s="63"/>
      <c r="G509" s="63"/>
      <c r="H509" s="62"/>
      <c r="I509" s="65">
        <v>0</v>
      </c>
      <c r="J509" s="65">
        <v>0</v>
      </c>
      <c r="K509" s="62"/>
      <c r="L509" s="65">
        <v>0</v>
      </c>
      <c r="M509" s="65">
        <v>0</v>
      </c>
      <c r="N509" s="65">
        <v>0</v>
      </c>
      <c r="P509" t="str">
        <f t="shared" si="34"/>
        <v>Summary of Production Expense by Factor</v>
      </c>
      <c r="Q509" t="str">
        <f t="shared" si="35"/>
        <v>NA</v>
      </c>
      <c r="R509" t="str">
        <f>IF(ISERROR(MATCH(P509&amp;"."&amp;Q509,R$5:R508,0)),P509&amp;"."&amp;Q509,P509&amp;"."&amp;Q509&amp;COUNTIFS(P$5:P508,P509,Q$5:Q508,Q509))</f>
        <v>Summary of Production Expense by Factor.NA17</v>
      </c>
      <c r="S509" s="55">
        <f t="shared" si="36"/>
        <v>0</v>
      </c>
    </row>
    <row r="510" spans="1:19" hidden="1">
      <c r="A510" s="5">
        <v>575</v>
      </c>
      <c r="B510" s="59"/>
      <c r="C510" s="60"/>
      <c r="D510" s="63"/>
      <c r="E510" s="63" t="s">
        <v>302</v>
      </c>
      <c r="F510" s="60"/>
      <c r="G510" s="61"/>
      <c r="H510" s="62"/>
      <c r="I510" s="65">
        <v>0</v>
      </c>
      <c r="J510" s="65">
        <v>0</v>
      </c>
      <c r="K510" s="62"/>
      <c r="L510" s="65">
        <v>0</v>
      </c>
      <c r="M510" s="65">
        <v>0</v>
      </c>
      <c r="N510" s="64">
        <v>0</v>
      </c>
      <c r="P510" t="str">
        <f t="shared" si="34"/>
        <v>Summary of Production Expense by Factor</v>
      </c>
      <c r="Q510" t="str">
        <f t="shared" si="35"/>
        <v>NA</v>
      </c>
      <c r="R510" t="str">
        <f>IF(ISERROR(MATCH(P510&amp;"."&amp;Q510,R$5:R509,0)),P510&amp;"."&amp;Q510,P510&amp;"."&amp;Q510&amp;COUNTIFS(P$5:P509,P510,Q$5:Q509,Q510))</f>
        <v>Summary of Production Expense by Factor.NA18</v>
      </c>
      <c r="S510" s="55">
        <f t="shared" si="36"/>
        <v>0</v>
      </c>
    </row>
    <row r="511" spans="1:19" hidden="1">
      <c r="A511" s="5">
        <v>576</v>
      </c>
      <c r="B511" s="59"/>
      <c r="C511" s="60" t="s">
        <v>303</v>
      </c>
      <c r="D511" s="63"/>
      <c r="E511" s="63"/>
      <c r="F511" s="63"/>
      <c r="G511" s="63"/>
      <c r="H511" s="62"/>
      <c r="I511" s="65">
        <v>2074555350.216897</v>
      </c>
      <c r="J511" s="65">
        <v>933492354.68333411</v>
      </c>
      <c r="K511" s="62"/>
      <c r="L511" s="65">
        <v>1908502808.7447119</v>
      </c>
      <c r="M511" s="65">
        <v>1049571148.81809</v>
      </c>
      <c r="N511" s="65">
        <v>858931659.92662191</v>
      </c>
      <c r="P511" t="str">
        <f t="shared" si="34"/>
        <v>Total Production Expense by Factor</v>
      </c>
      <c r="Q511" t="str">
        <f t="shared" si="35"/>
        <v>NA</v>
      </c>
      <c r="R511" t="str">
        <f>IF(ISERROR(MATCH(P511&amp;"."&amp;Q511,R$5:R510,0)),P511&amp;"."&amp;Q511,P511&amp;"."&amp;Q511&amp;COUNTIFS(P$5:P510,P511,Q$5:Q510,Q511))</f>
        <v>Total Production Expense by Factor.NA</v>
      </c>
      <c r="S511" s="55">
        <f t="shared" si="36"/>
        <v>858931659.92662191</v>
      </c>
    </row>
    <row r="512" spans="1:19" hidden="1">
      <c r="A512" s="5">
        <v>577</v>
      </c>
      <c r="B512" s="59"/>
      <c r="C512" s="60">
        <v>560</v>
      </c>
      <c r="D512" s="63" t="s">
        <v>177</v>
      </c>
      <c r="E512" s="63"/>
      <c r="F512" s="63"/>
      <c r="G512" s="63"/>
      <c r="H512" s="62"/>
      <c r="I512" s="66"/>
      <c r="J512" s="66"/>
      <c r="K512" s="62"/>
      <c r="L512" s="66"/>
      <c r="M512" s="66"/>
      <c r="N512" s="66"/>
      <c r="P512">
        <f t="shared" si="34"/>
        <v>560</v>
      </c>
      <c r="Q512" t="str">
        <f t="shared" si="35"/>
        <v>NA</v>
      </c>
      <c r="R512" t="str">
        <f>IF(ISERROR(MATCH(P512&amp;"."&amp;Q512,R$5:R511,0)),P512&amp;"."&amp;Q512,P512&amp;"."&amp;Q512&amp;COUNTIFS(P$5:P511,P512,Q$5:Q511,Q512))</f>
        <v>560.NA</v>
      </c>
      <c r="S512" s="55">
        <f t="shared" si="36"/>
        <v>0</v>
      </c>
    </row>
    <row r="513" spans="1:19" hidden="1">
      <c r="A513" s="5">
        <v>578</v>
      </c>
      <c r="B513" s="59"/>
      <c r="C513" s="60"/>
      <c r="D513" s="63"/>
      <c r="E513" s="63"/>
      <c r="F513" s="63" t="s">
        <v>18</v>
      </c>
      <c r="G513" s="63" t="s">
        <v>15</v>
      </c>
      <c r="H513" s="62"/>
      <c r="I513" s="65">
        <v>7360739.9400000004</v>
      </c>
      <c r="J513" s="65">
        <v>3238541.4176228456</v>
      </c>
      <c r="K513" s="62"/>
      <c r="L513" s="65">
        <v>8148283.9060235843</v>
      </c>
      <c r="M513" s="65">
        <v>4563242.8466586974</v>
      </c>
      <c r="N513" s="65">
        <v>3585041.0593648874</v>
      </c>
      <c r="P513">
        <f t="shared" si="34"/>
        <v>560</v>
      </c>
      <c r="Q513" t="str">
        <f t="shared" si="35"/>
        <v>SG</v>
      </c>
      <c r="R513" t="str">
        <f>IF(ISERROR(MATCH(P513&amp;"."&amp;Q513,R$5:R512,0)),P513&amp;"."&amp;Q513,P513&amp;"."&amp;Q513&amp;COUNTIFS(P$5:P512,P513,Q$5:Q512,Q513))</f>
        <v>560.SG</v>
      </c>
      <c r="S513" s="55">
        <f t="shared" si="36"/>
        <v>3585041.0593648874</v>
      </c>
    </row>
    <row r="514" spans="1:19" hidden="1">
      <c r="A514" s="5">
        <v>579</v>
      </c>
      <c r="B514" s="59"/>
      <c r="C514" s="60"/>
      <c r="D514" s="61"/>
      <c r="E514" s="63"/>
      <c r="F514" s="63" t="s">
        <v>18</v>
      </c>
      <c r="G514" s="63" t="s">
        <v>15</v>
      </c>
      <c r="H514" s="62"/>
      <c r="I514" s="65">
        <v>0</v>
      </c>
      <c r="J514" s="65">
        <v>0</v>
      </c>
      <c r="K514" s="62"/>
      <c r="L514" s="65">
        <v>-109016.9069282603</v>
      </c>
      <c r="M514" s="65">
        <v>-61052.19533863906</v>
      </c>
      <c r="N514" s="65">
        <v>-47964.711589621242</v>
      </c>
      <c r="P514">
        <f t="shared" si="34"/>
        <v>560</v>
      </c>
      <c r="Q514" t="str">
        <f t="shared" si="35"/>
        <v>SG</v>
      </c>
      <c r="R514" t="str">
        <f>IF(ISERROR(MATCH(P514&amp;"."&amp;Q514,R$5:R513,0)),P514&amp;"."&amp;Q514,P514&amp;"."&amp;Q514&amp;COUNTIFS(P$5:P513,P514,Q$5:Q513,Q514))</f>
        <v>560.SG1</v>
      </c>
      <c r="S514" s="55">
        <f t="shared" si="36"/>
        <v>-47964.711589621242</v>
      </c>
    </row>
    <row r="515" spans="1:19" hidden="1">
      <c r="A515" s="5">
        <v>580</v>
      </c>
      <c r="B515" s="59"/>
      <c r="C515" s="60"/>
      <c r="D515" s="63"/>
      <c r="E515" s="63"/>
      <c r="F515" s="60"/>
      <c r="G515" s="61"/>
      <c r="H515" s="62"/>
      <c r="I515" s="65"/>
      <c r="J515" s="65"/>
      <c r="K515" s="62"/>
      <c r="L515" s="65"/>
      <c r="M515" s="65"/>
      <c r="N515" s="64"/>
      <c r="P515">
        <f t="shared" si="34"/>
        <v>560</v>
      </c>
      <c r="Q515" t="str">
        <f t="shared" si="35"/>
        <v>NA</v>
      </c>
      <c r="R515" t="str">
        <f>IF(ISERROR(MATCH(P515&amp;"."&amp;Q515,R$5:R514,0)),P515&amp;"."&amp;Q515,P515&amp;"."&amp;Q515&amp;COUNTIFS(P$5:P514,P515,Q$5:Q514,Q515))</f>
        <v>560.NA1</v>
      </c>
      <c r="S515" s="55">
        <f t="shared" si="36"/>
        <v>0</v>
      </c>
    </row>
    <row r="516" spans="1:19" hidden="1">
      <c r="A516" s="5">
        <v>581</v>
      </c>
      <c r="B516" s="59"/>
      <c r="C516" s="60"/>
      <c r="D516" s="63"/>
      <c r="E516" s="63"/>
      <c r="F516" s="63"/>
      <c r="G516" s="63"/>
      <c r="H516" s="62" t="s">
        <v>178</v>
      </c>
      <c r="I516" s="65">
        <v>7360739.9400000004</v>
      </c>
      <c r="J516" s="65">
        <v>3238541.4176228456</v>
      </c>
      <c r="K516" s="62"/>
      <c r="L516" s="65">
        <v>8039266.9990953244</v>
      </c>
      <c r="M516" s="65">
        <v>4502190.6513200579</v>
      </c>
      <c r="N516" s="65">
        <v>3537076.347775266</v>
      </c>
      <c r="P516">
        <f t="shared" si="34"/>
        <v>560</v>
      </c>
      <c r="Q516" t="str">
        <f t="shared" si="35"/>
        <v>NA</v>
      </c>
      <c r="R516" t="str">
        <f>IF(ISERROR(MATCH(P516&amp;"."&amp;Q516,R$5:R515,0)),P516&amp;"."&amp;Q516,P516&amp;"."&amp;Q516&amp;COUNTIFS(P$5:P515,P516,Q$5:Q515,Q516))</f>
        <v>560.NA2</v>
      </c>
      <c r="S516" s="55">
        <f t="shared" si="36"/>
        <v>3537076.347775266</v>
      </c>
    </row>
    <row r="517" spans="1:19" hidden="1">
      <c r="A517" s="5">
        <v>582</v>
      </c>
      <c r="B517" s="59"/>
      <c r="C517" s="60"/>
      <c r="D517" s="63"/>
      <c r="E517" s="63"/>
      <c r="F517" s="63"/>
      <c r="G517" s="63"/>
      <c r="H517" s="62"/>
      <c r="I517" s="66"/>
      <c r="J517" s="66"/>
      <c r="K517" s="62"/>
      <c r="L517" s="66"/>
      <c r="M517" s="66"/>
      <c r="N517" s="66"/>
      <c r="P517">
        <f t="shared" si="34"/>
        <v>560</v>
      </c>
      <c r="Q517" t="str">
        <f t="shared" si="35"/>
        <v>NA</v>
      </c>
      <c r="R517" t="str">
        <f>IF(ISERROR(MATCH(P517&amp;"."&amp;Q517,R$5:R516,0)),P517&amp;"."&amp;Q517,P517&amp;"."&amp;Q517&amp;COUNTIFS(P$5:P516,P517,Q$5:Q516,Q517))</f>
        <v>560.NA3</v>
      </c>
      <c r="S517" s="55">
        <f t="shared" si="36"/>
        <v>0</v>
      </c>
    </row>
    <row r="518" spans="1:19" hidden="1">
      <c r="A518" s="5">
        <v>583</v>
      </c>
      <c r="B518" s="59"/>
      <c r="C518" s="60">
        <v>561</v>
      </c>
      <c r="D518" s="63" t="s">
        <v>304</v>
      </c>
      <c r="E518" s="63"/>
      <c r="F518" s="63"/>
      <c r="G518" s="63"/>
      <c r="H518" s="62"/>
      <c r="I518" s="65"/>
      <c r="J518" s="65"/>
      <c r="K518" s="62"/>
      <c r="L518" s="65"/>
      <c r="M518" s="65"/>
      <c r="N518" s="65"/>
      <c r="P518">
        <f t="shared" si="34"/>
        <v>561</v>
      </c>
      <c r="Q518" t="str">
        <f t="shared" si="35"/>
        <v>NA</v>
      </c>
      <c r="R518" t="str">
        <f>IF(ISERROR(MATCH(P518&amp;"."&amp;Q518,R$5:R517,0)),P518&amp;"."&amp;Q518,P518&amp;"."&amp;Q518&amp;COUNTIFS(P$5:P517,P518,Q$5:Q517,Q518))</f>
        <v>561.NA</v>
      </c>
      <c r="S518" s="55">
        <f t="shared" si="36"/>
        <v>0</v>
      </c>
    </row>
    <row r="519" spans="1:19" hidden="1">
      <c r="A519" s="5">
        <v>584</v>
      </c>
      <c r="B519" s="59"/>
      <c r="C519" s="60"/>
      <c r="D519" s="61"/>
      <c r="E519" s="63"/>
      <c r="F519" s="63" t="s">
        <v>18</v>
      </c>
      <c r="G519" s="63" t="s">
        <v>15</v>
      </c>
      <c r="H519" s="62"/>
      <c r="I519" s="65">
        <v>20414688.25</v>
      </c>
      <c r="J519" s="65">
        <v>8981952.0815027524</v>
      </c>
      <c r="K519" s="62"/>
      <c r="L519" s="65">
        <v>21561057.629663981</v>
      </c>
      <c r="M519" s="65">
        <v>12074731.701754639</v>
      </c>
      <c r="N519" s="65">
        <v>9486325.9279093426</v>
      </c>
      <c r="P519">
        <f t="shared" ref="P519:P582" si="37">IF(OR(C519="",C519=" ",C519="  ",C519="   "),P518,C519)</f>
        <v>561</v>
      </c>
      <c r="Q519" t="str">
        <f t="shared" ref="Q519:Q582" si="38">IF(G519="","NA",G519)</f>
        <v>SG</v>
      </c>
      <c r="R519" t="str">
        <f>IF(ISERROR(MATCH(P519&amp;"."&amp;Q519,R$5:R518,0)),P519&amp;"."&amp;Q519,P519&amp;"."&amp;Q519&amp;COUNTIFS(P$5:P518,P519,Q$5:Q518,Q519))</f>
        <v>561.SG</v>
      </c>
      <c r="S519" s="55">
        <f t="shared" si="36"/>
        <v>9486325.9279093426</v>
      </c>
    </row>
    <row r="520" spans="1:19" hidden="1">
      <c r="A520" s="5">
        <v>585</v>
      </c>
      <c r="B520" s="59"/>
      <c r="C520" s="60"/>
      <c r="D520" s="63"/>
      <c r="E520" s="63"/>
      <c r="F520" s="60"/>
      <c r="G520" s="61"/>
      <c r="H520" s="62"/>
      <c r="I520" s="65"/>
      <c r="J520" s="65"/>
      <c r="K520" s="62"/>
      <c r="L520" s="65"/>
      <c r="M520" s="65"/>
      <c r="N520" s="64"/>
      <c r="P520">
        <f t="shared" si="37"/>
        <v>561</v>
      </c>
      <c r="Q520" t="str">
        <f t="shared" si="38"/>
        <v>NA</v>
      </c>
      <c r="R520" t="str">
        <f>IF(ISERROR(MATCH(P520&amp;"."&amp;Q520,R$5:R519,0)),P520&amp;"."&amp;Q520,P520&amp;"."&amp;Q520&amp;COUNTIFS(P$5:P519,P520,Q$5:Q519,Q520))</f>
        <v>561.NA1</v>
      </c>
      <c r="S520" s="55">
        <f t="shared" ref="S520:S583" si="39">N520</f>
        <v>0</v>
      </c>
    </row>
    <row r="521" spans="1:19" hidden="1">
      <c r="A521" s="5">
        <v>586</v>
      </c>
      <c r="B521" s="59"/>
      <c r="C521" s="60"/>
      <c r="D521" s="63"/>
      <c r="E521" s="63"/>
      <c r="F521" s="60"/>
      <c r="G521" s="61"/>
      <c r="H521" s="62" t="s">
        <v>178</v>
      </c>
      <c r="I521" s="65">
        <v>20414688.25</v>
      </c>
      <c r="J521" s="65">
        <v>8981952.0815027524</v>
      </c>
      <c r="K521" s="62"/>
      <c r="L521" s="65">
        <v>21561057.629663981</v>
      </c>
      <c r="M521" s="65">
        <v>12074731.701754639</v>
      </c>
      <c r="N521" s="64">
        <v>9486325.9279093426</v>
      </c>
      <c r="P521">
        <f t="shared" si="37"/>
        <v>561</v>
      </c>
      <c r="Q521" t="str">
        <f t="shared" si="38"/>
        <v>NA</v>
      </c>
      <c r="R521" t="str">
        <f>IF(ISERROR(MATCH(P521&amp;"."&amp;Q521,R$5:R520,0)),P521&amp;"."&amp;Q521,P521&amp;"."&amp;Q521&amp;COUNTIFS(P$5:P520,P521,Q$5:Q520,Q521))</f>
        <v>561.NA2</v>
      </c>
      <c r="S521" s="55">
        <f t="shared" si="39"/>
        <v>9486325.9279093426</v>
      </c>
    </row>
    <row r="522" spans="1:19" hidden="1">
      <c r="A522" s="5">
        <v>587</v>
      </c>
      <c r="B522" s="59"/>
      <c r="C522" s="60">
        <v>562</v>
      </c>
      <c r="D522" s="63" t="s">
        <v>305</v>
      </c>
      <c r="E522" s="63"/>
      <c r="F522" s="63"/>
      <c r="G522" s="63"/>
      <c r="H522" s="62"/>
      <c r="I522" s="66"/>
      <c r="J522" s="66"/>
      <c r="K522" s="62"/>
      <c r="L522" s="66"/>
      <c r="M522" s="66"/>
      <c r="N522" s="66"/>
      <c r="P522">
        <f t="shared" si="37"/>
        <v>562</v>
      </c>
      <c r="Q522" t="str">
        <f t="shared" si="38"/>
        <v>NA</v>
      </c>
      <c r="R522" t="str">
        <f>IF(ISERROR(MATCH(P522&amp;"."&amp;Q522,R$5:R521,0)),P522&amp;"."&amp;Q522,P522&amp;"."&amp;Q522&amp;COUNTIFS(P$5:P521,P522,Q$5:Q521,Q522))</f>
        <v>562.NA</v>
      </c>
      <c r="S522" s="55">
        <f t="shared" si="39"/>
        <v>0</v>
      </c>
    </row>
    <row r="523" spans="1:19" hidden="1">
      <c r="A523" s="5">
        <v>588</v>
      </c>
      <c r="B523" s="59"/>
      <c r="C523" s="60"/>
      <c r="D523" s="63"/>
      <c r="E523" s="63"/>
      <c r="F523" s="63" t="s">
        <v>18</v>
      </c>
      <c r="G523" s="63" t="s">
        <v>15</v>
      </c>
      <c r="H523" s="62"/>
      <c r="I523" s="65">
        <v>3124100.48</v>
      </c>
      <c r="J523" s="65">
        <v>1374526.0503382778</v>
      </c>
      <c r="K523" s="62"/>
      <c r="L523" s="65">
        <v>3336072.7230967567</v>
      </c>
      <c r="M523" s="65">
        <v>1868284.1890610498</v>
      </c>
      <c r="N523" s="65">
        <v>1467788.5340357069</v>
      </c>
      <c r="P523">
        <f t="shared" si="37"/>
        <v>562</v>
      </c>
      <c r="Q523" t="str">
        <f t="shared" si="38"/>
        <v>SG</v>
      </c>
      <c r="R523" t="str">
        <f>IF(ISERROR(MATCH(P523&amp;"."&amp;Q523,R$5:R522,0)),P523&amp;"."&amp;Q523,P523&amp;"."&amp;Q523&amp;COUNTIFS(P$5:P522,P523,Q$5:Q522,Q523))</f>
        <v>562.SG</v>
      </c>
      <c r="S523" s="55">
        <f t="shared" si="39"/>
        <v>1467788.5340357069</v>
      </c>
    </row>
    <row r="524" spans="1:19" hidden="1">
      <c r="A524" s="5">
        <v>589</v>
      </c>
      <c r="B524" s="59"/>
      <c r="C524" s="60"/>
      <c r="D524" s="61"/>
      <c r="E524" s="63"/>
      <c r="F524" s="63"/>
      <c r="G524" s="63"/>
      <c r="H524" s="62"/>
      <c r="I524" s="65"/>
      <c r="J524" s="65"/>
      <c r="K524" s="62"/>
      <c r="L524" s="65"/>
      <c r="M524" s="65"/>
      <c r="N524" s="65"/>
      <c r="P524">
        <f t="shared" si="37"/>
        <v>562</v>
      </c>
      <c r="Q524" t="str">
        <f t="shared" si="38"/>
        <v>NA</v>
      </c>
      <c r="R524" t="str">
        <f>IF(ISERROR(MATCH(P524&amp;"."&amp;Q524,R$5:R523,0)),P524&amp;"."&amp;Q524,P524&amp;"."&amp;Q524&amp;COUNTIFS(P$5:P523,P524,Q$5:Q523,Q524))</f>
        <v>562.NA1</v>
      </c>
      <c r="S524" s="55">
        <f t="shared" si="39"/>
        <v>0</v>
      </c>
    </row>
    <row r="525" spans="1:19" hidden="1">
      <c r="A525" s="5">
        <v>590</v>
      </c>
      <c r="B525" s="59"/>
      <c r="C525" s="60"/>
      <c r="D525" s="63"/>
      <c r="E525" s="63"/>
      <c r="F525" s="60"/>
      <c r="G525" s="61"/>
      <c r="H525" s="62" t="s">
        <v>178</v>
      </c>
      <c r="I525" s="65">
        <v>3124100.48</v>
      </c>
      <c r="J525" s="65">
        <v>1374526.0503382778</v>
      </c>
      <c r="K525" s="62"/>
      <c r="L525" s="65">
        <v>3336072.7230967567</v>
      </c>
      <c r="M525" s="65">
        <v>1868284.1890610498</v>
      </c>
      <c r="N525" s="64">
        <v>1467788.5340357069</v>
      </c>
      <c r="P525">
        <f t="shared" si="37"/>
        <v>562</v>
      </c>
      <c r="Q525" t="str">
        <f t="shared" si="38"/>
        <v>NA</v>
      </c>
      <c r="R525" t="str">
        <f>IF(ISERROR(MATCH(P525&amp;"."&amp;Q525,R$5:R524,0)),P525&amp;"."&amp;Q525,P525&amp;"."&amp;Q525&amp;COUNTIFS(P$5:P524,P525,Q$5:Q524,Q525))</f>
        <v>562.NA2</v>
      </c>
      <c r="S525" s="55">
        <f t="shared" si="39"/>
        <v>1467788.5340357069</v>
      </c>
    </row>
    <row r="526" spans="1:19" hidden="1">
      <c r="A526" s="5">
        <v>591</v>
      </c>
      <c r="B526" s="59"/>
      <c r="C526" s="60"/>
      <c r="D526" s="63"/>
      <c r="E526" s="63"/>
      <c r="F526" s="60"/>
      <c r="G526" s="61"/>
      <c r="H526" s="62"/>
      <c r="I526" s="65"/>
      <c r="J526" s="65"/>
      <c r="K526" s="62"/>
      <c r="L526" s="65"/>
      <c r="M526" s="65"/>
      <c r="N526" s="64"/>
      <c r="P526">
        <f t="shared" si="37"/>
        <v>562</v>
      </c>
      <c r="Q526" t="str">
        <f t="shared" si="38"/>
        <v>NA</v>
      </c>
      <c r="R526" t="str">
        <f>IF(ISERROR(MATCH(P526&amp;"."&amp;Q526,R$5:R525,0)),P526&amp;"."&amp;Q526,P526&amp;"."&amp;Q526&amp;COUNTIFS(P$5:P525,P526,Q$5:Q525,Q526))</f>
        <v>562.NA3</v>
      </c>
      <c r="S526" s="55">
        <f t="shared" si="39"/>
        <v>0</v>
      </c>
    </row>
    <row r="527" spans="1:19" hidden="1">
      <c r="A527" s="5">
        <v>592</v>
      </c>
      <c r="B527" s="59"/>
      <c r="C527" s="60">
        <v>563</v>
      </c>
      <c r="D527" s="63" t="s">
        <v>306</v>
      </c>
      <c r="E527" s="63"/>
      <c r="F527" s="63"/>
      <c r="G527" s="63"/>
      <c r="H527" s="62"/>
      <c r="I527" s="66"/>
      <c r="J527" s="66"/>
      <c r="K527" s="62"/>
      <c r="L527" s="66"/>
      <c r="M527" s="66"/>
      <c r="N527" s="66"/>
      <c r="P527">
        <f t="shared" si="37"/>
        <v>563</v>
      </c>
      <c r="Q527" t="str">
        <f t="shared" si="38"/>
        <v>NA</v>
      </c>
      <c r="R527" t="str">
        <f>IF(ISERROR(MATCH(P527&amp;"."&amp;Q527,R$5:R526,0)),P527&amp;"."&amp;Q527,P527&amp;"."&amp;Q527&amp;COUNTIFS(P$5:P526,P527,Q$5:Q526,Q527))</f>
        <v>563.NA</v>
      </c>
      <c r="S527" s="55">
        <f t="shared" si="39"/>
        <v>0</v>
      </c>
    </row>
    <row r="528" spans="1:19" hidden="1">
      <c r="A528" s="5">
        <v>593</v>
      </c>
      <c r="B528" s="59"/>
      <c r="C528" s="60"/>
      <c r="D528" s="63"/>
      <c r="E528" s="63"/>
      <c r="F528" s="63" t="s">
        <v>18</v>
      </c>
      <c r="G528" s="63" t="s">
        <v>15</v>
      </c>
      <c r="H528" s="62"/>
      <c r="I528" s="65">
        <v>1089584.98</v>
      </c>
      <c r="J528" s="65">
        <v>479390.13122500834</v>
      </c>
      <c r="K528" s="62"/>
      <c r="L528" s="65">
        <v>1148116.0122249401</v>
      </c>
      <c r="M528" s="65">
        <v>642973.69118996465</v>
      </c>
      <c r="N528" s="65">
        <v>505142.32103497547</v>
      </c>
      <c r="P528">
        <f t="shared" si="37"/>
        <v>563</v>
      </c>
      <c r="Q528" t="str">
        <f t="shared" si="38"/>
        <v>SG</v>
      </c>
      <c r="R528" t="str">
        <f>IF(ISERROR(MATCH(P528&amp;"."&amp;Q528,R$5:R527,0)),P528&amp;"."&amp;Q528,P528&amp;"."&amp;Q528&amp;COUNTIFS(P$5:P527,P528,Q$5:Q527,Q528))</f>
        <v>563.SG</v>
      </c>
      <c r="S528" s="55">
        <f t="shared" si="39"/>
        <v>505142.32103497547</v>
      </c>
    </row>
    <row r="529" spans="1:19" hidden="1">
      <c r="A529" s="5">
        <v>594</v>
      </c>
      <c r="B529" s="59"/>
      <c r="C529" s="60"/>
      <c r="D529" s="61"/>
      <c r="E529" s="63"/>
      <c r="F529" s="63"/>
      <c r="G529" s="63"/>
      <c r="H529" s="62"/>
      <c r="I529" s="66"/>
      <c r="J529" s="66"/>
      <c r="K529" s="62"/>
      <c r="L529" s="66"/>
      <c r="M529" s="66"/>
      <c r="N529" s="66"/>
      <c r="P529">
        <f t="shared" si="37"/>
        <v>563</v>
      </c>
      <c r="Q529" t="str">
        <f t="shared" si="38"/>
        <v>NA</v>
      </c>
      <c r="R529" t="str">
        <f>IF(ISERROR(MATCH(P529&amp;"."&amp;Q529,R$5:R528,0)),P529&amp;"."&amp;Q529,P529&amp;"."&amp;Q529&amp;COUNTIFS(P$5:P528,P529,Q$5:Q528,Q529))</f>
        <v>563.NA1</v>
      </c>
      <c r="S529" s="55">
        <f t="shared" si="39"/>
        <v>0</v>
      </c>
    </row>
    <row r="530" spans="1:19" hidden="1">
      <c r="A530" s="5">
        <v>595</v>
      </c>
      <c r="B530" s="59"/>
      <c r="C530" s="60"/>
      <c r="D530" s="63"/>
      <c r="E530" s="63"/>
      <c r="F530" s="63"/>
      <c r="G530" s="63"/>
      <c r="H530" s="62" t="s">
        <v>178</v>
      </c>
      <c r="I530" s="65">
        <v>1089584.98</v>
      </c>
      <c r="J530" s="65">
        <v>479390.13122500834</v>
      </c>
      <c r="K530" s="62"/>
      <c r="L530" s="65">
        <v>1148116.0122249401</v>
      </c>
      <c r="M530" s="65">
        <v>642973.69118996465</v>
      </c>
      <c r="N530" s="65">
        <v>505142.32103497547</v>
      </c>
      <c r="P530">
        <f t="shared" si="37"/>
        <v>563</v>
      </c>
      <c r="Q530" t="str">
        <f t="shared" si="38"/>
        <v>NA</v>
      </c>
      <c r="R530" t="str">
        <f>IF(ISERROR(MATCH(P530&amp;"."&amp;Q530,R$5:R529,0)),P530&amp;"."&amp;Q530,P530&amp;"."&amp;Q530&amp;COUNTIFS(P$5:P529,P530,Q$5:Q529,Q530))</f>
        <v>563.NA2</v>
      </c>
      <c r="S530" s="55">
        <f t="shared" si="39"/>
        <v>505142.32103497547</v>
      </c>
    </row>
    <row r="531" spans="1:19" hidden="1">
      <c r="A531" s="5">
        <v>596</v>
      </c>
      <c r="B531" s="59"/>
      <c r="C531" s="60"/>
      <c r="D531" s="61"/>
      <c r="E531" s="63"/>
      <c r="F531" s="63"/>
      <c r="G531" s="63"/>
      <c r="H531" s="62"/>
      <c r="I531" s="65"/>
      <c r="J531" s="65"/>
      <c r="K531" s="62"/>
      <c r="L531" s="65"/>
      <c r="M531" s="65"/>
      <c r="N531" s="65"/>
      <c r="P531">
        <f t="shared" si="37"/>
        <v>563</v>
      </c>
      <c r="Q531" t="str">
        <f t="shared" si="38"/>
        <v>NA</v>
      </c>
      <c r="R531" t="str">
        <f>IF(ISERROR(MATCH(P531&amp;"."&amp;Q531,R$5:R530,0)),P531&amp;"."&amp;Q531,P531&amp;"."&amp;Q531&amp;COUNTIFS(P$5:P530,P531,Q$5:Q530,Q531))</f>
        <v>563.NA3</v>
      </c>
      <c r="S531" s="55">
        <f t="shared" si="39"/>
        <v>0</v>
      </c>
    </row>
    <row r="532" spans="1:19" hidden="1">
      <c r="A532" s="5">
        <v>597</v>
      </c>
      <c r="B532" s="59"/>
      <c r="C532" s="60">
        <v>564</v>
      </c>
      <c r="D532" s="63" t="s">
        <v>307</v>
      </c>
      <c r="E532" s="63"/>
      <c r="F532" s="60"/>
      <c r="G532" s="61"/>
      <c r="H532" s="62"/>
      <c r="I532" s="65"/>
      <c r="J532" s="65"/>
      <c r="K532" s="62"/>
      <c r="L532" s="65"/>
      <c r="M532" s="65"/>
      <c r="N532" s="64"/>
      <c r="P532">
        <f t="shared" si="37"/>
        <v>564</v>
      </c>
      <c r="Q532" t="str">
        <f t="shared" si="38"/>
        <v>NA</v>
      </c>
      <c r="R532" t="str">
        <f>IF(ISERROR(MATCH(P532&amp;"."&amp;Q532,R$5:R531,0)),P532&amp;"."&amp;Q532,P532&amp;"."&amp;Q532&amp;COUNTIFS(P$5:P531,P532,Q$5:Q531,Q532))</f>
        <v>564.NA</v>
      </c>
      <c r="S532" s="55">
        <f t="shared" si="39"/>
        <v>0</v>
      </c>
    </row>
    <row r="533" spans="1:19" hidden="1">
      <c r="A533" s="5">
        <v>598</v>
      </c>
      <c r="B533" s="59"/>
      <c r="C533" s="60"/>
      <c r="D533" s="63"/>
      <c r="E533" s="63"/>
      <c r="F533" s="63" t="s">
        <v>18</v>
      </c>
      <c r="G533" s="63" t="s">
        <v>15</v>
      </c>
      <c r="H533" s="62"/>
      <c r="I533" s="65">
        <v>0</v>
      </c>
      <c r="J533" s="65">
        <v>0</v>
      </c>
      <c r="K533" s="62"/>
      <c r="L533" s="65">
        <v>0</v>
      </c>
      <c r="M533" s="65">
        <v>0</v>
      </c>
      <c r="N533" s="65">
        <v>0</v>
      </c>
      <c r="P533">
        <f t="shared" si="37"/>
        <v>564</v>
      </c>
      <c r="Q533" t="str">
        <f t="shared" si="38"/>
        <v>SG</v>
      </c>
      <c r="R533" t="str">
        <f>IF(ISERROR(MATCH(P533&amp;"."&amp;Q533,R$5:R532,0)),P533&amp;"."&amp;Q533,P533&amp;"."&amp;Q533&amp;COUNTIFS(P$5:P532,P533,Q$5:Q532,Q533))</f>
        <v>564.SG</v>
      </c>
      <c r="S533" s="55">
        <f t="shared" si="39"/>
        <v>0</v>
      </c>
    </row>
    <row r="534" spans="1:19" hidden="1">
      <c r="A534" s="5">
        <v>599</v>
      </c>
      <c r="B534" s="59"/>
      <c r="C534" s="60"/>
      <c r="D534" s="63"/>
      <c r="E534" s="63"/>
      <c r="F534" s="63"/>
      <c r="G534" s="63"/>
      <c r="H534" s="62"/>
      <c r="I534" s="66"/>
      <c r="J534" s="66"/>
      <c r="K534" s="62"/>
      <c r="L534" s="66"/>
      <c r="M534" s="66"/>
      <c r="N534" s="66"/>
      <c r="P534">
        <f t="shared" si="37"/>
        <v>564</v>
      </c>
      <c r="Q534" t="str">
        <f t="shared" si="38"/>
        <v>NA</v>
      </c>
      <c r="R534" t="str">
        <f>IF(ISERROR(MATCH(P534&amp;"."&amp;Q534,R$5:R533,0)),P534&amp;"."&amp;Q534,P534&amp;"."&amp;Q534&amp;COUNTIFS(P$5:P533,P534,Q$5:Q533,Q534))</f>
        <v>564.NA1</v>
      </c>
      <c r="S534" s="55">
        <f t="shared" si="39"/>
        <v>0</v>
      </c>
    </row>
    <row r="535" spans="1:19" hidden="1">
      <c r="A535" s="5">
        <v>600</v>
      </c>
      <c r="B535" s="59"/>
      <c r="C535" s="60"/>
      <c r="D535" s="63"/>
      <c r="E535" s="63"/>
      <c r="F535" s="63"/>
      <c r="G535" s="63"/>
      <c r="H535" s="62" t="s">
        <v>178</v>
      </c>
      <c r="I535" s="65">
        <v>0</v>
      </c>
      <c r="J535" s="65">
        <v>0</v>
      </c>
      <c r="K535" s="62"/>
      <c r="L535" s="65">
        <v>0</v>
      </c>
      <c r="M535" s="65">
        <v>0</v>
      </c>
      <c r="N535" s="65">
        <v>0</v>
      </c>
      <c r="P535">
        <f t="shared" si="37"/>
        <v>564</v>
      </c>
      <c r="Q535" t="str">
        <f t="shared" si="38"/>
        <v>NA</v>
      </c>
      <c r="R535" t="str">
        <f>IF(ISERROR(MATCH(P535&amp;"."&amp;Q535,R$5:R534,0)),P535&amp;"."&amp;Q535,P535&amp;"."&amp;Q535&amp;COUNTIFS(P$5:P534,P535,Q$5:Q534,Q535))</f>
        <v>564.NA2</v>
      </c>
      <c r="S535" s="55">
        <f t="shared" si="39"/>
        <v>0</v>
      </c>
    </row>
    <row r="536" spans="1:19" hidden="1">
      <c r="A536" s="5">
        <v>601</v>
      </c>
      <c r="B536" s="59"/>
      <c r="C536" s="60"/>
      <c r="D536" s="61"/>
      <c r="E536" s="63"/>
      <c r="F536" s="63"/>
      <c r="G536" s="63"/>
      <c r="H536" s="62"/>
      <c r="I536" s="65"/>
      <c r="J536" s="65"/>
      <c r="K536" s="62"/>
      <c r="L536" s="65"/>
      <c r="M536" s="65"/>
      <c r="N536" s="65"/>
      <c r="P536">
        <f t="shared" si="37"/>
        <v>564</v>
      </c>
      <c r="Q536" t="str">
        <f t="shared" si="38"/>
        <v>NA</v>
      </c>
      <c r="R536" t="str">
        <f>IF(ISERROR(MATCH(P536&amp;"."&amp;Q536,R$5:R535,0)),P536&amp;"."&amp;Q536,P536&amp;"."&amp;Q536&amp;COUNTIFS(P$5:P535,P536,Q$5:Q535,Q536))</f>
        <v>564.NA3</v>
      </c>
      <c r="S536" s="55">
        <f t="shared" si="39"/>
        <v>0</v>
      </c>
    </row>
    <row r="537" spans="1:19" hidden="1">
      <c r="A537" s="5">
        <v>602</v>
      </c>
      <c r="B537" s="59"/>
      <c r="C537" s="60">
        <v>565</v>
      </c>
      <c r="D537" s="63" t="s">
        <v>308</v>
      </c>
      <c r="E537" s="63"/>
      <c r="F537" s="60"/>
      <c r="G537" s="61"/>
      <c r="H537" s="62"/>
      <c r="I537" s="65"/>
      <c r="J537" s="65"/>
      <c r="K537" s="62"/>
      <c r="L537" s="65"/>
      <c r="M537" s="65"/>
      <c r="N537" s="64"/>
      <c r="P537">
        <f t="shared" si="37"/>
        <v>565</v>
      </c>
      <c r="Q537" t="str">
        <f t="shared" si="38"/>
        <v>NA</v>
      </c>
      <c r="R537" t="str">
        <f>IF(ISERROR(MATCH(P537&amp;"."&amp;Q537,R$5:R536,0)),P537&amp;"."&amp;Q537,P537&amp;"."&amp;Q537&amp;COUNTIFS(P$5:P536,P537,Q$5:Q536,Q537))</f>
        <v>565.NA</v>
      </c>
      <c r="S537" s="55">
        <f t="shared" si="39"/>
        <v>0</v>
      </c>
    </row>
    <row r="538" spans="1:19" hidden="1">
      <c r="A538" s="5">
        <v>603</v>
      </c>
      <c r="B538" s="59"/>
      <c r="C538" s="60"/>
      <c r="D538" s="63"/>
      <c r="E538" s="63"/>
      <c r="F538" s="63" t="s">
        <v>18</v>
      </c>
      <c r="G538" s="63" t="s">
        <v>15</v>
      </c>
      <c r="H538" s="62"/>
      <c r="I538" s="65">
        <v>0</v>
      </c>
      <c r="J538" s="65">
        <v>0</v>
      </c>
      <c r="K538" s="62"/>
      <c r="L538" s="65">
        <v>0</v>
      </c>
      <c r="M538" s="65">
        <v>0</v>
      </c>
      <c r="N538" s="65">
        <v>0</v>
      </c>
      <c r="P538">
        <f t="shared" si="37"/>
        <v>565</v>
      </c>
      <c r="Q538" t="str">
        <f t="shared" si="38"/>
        <v>SG</v>
      </c>
      <c r="R538" t="str">
        <f>IF(ISERROR(MATCH(P538&amp;"."&amp;Q538,R$5:R537,0)),P538&amp;"."&amp;Q538,P538&amp;"."&amp;Q538&amp;COUNTIFS(P$5:P537,P538,Q$5:Q537,Q538))</f>
        <v>565.SG</v>
      </c>
      <c r="S538" s="55">
        <f t="shared" si="39"/>
        <v>0</v>
      </c>
    </row>
    <row r="539" spans="1:19" hidden="1">
      <c r="A539" s="5">
        <v>604</v>
      </c>
      <c r="B539" s="59"/>
      <c r="C539" s="60"/>
      <c r="D539" s="63"/>
      <c r="E539" s="63"/>
      <c r="F539" s="63" t="s">
        <v>18</v>
      </c>
      <c r="G539" s="63" t="s">
        <v>16</v>
      </c>
      <c r="H539" s="62"/>
      <c r="I539" s="66">
        <v>0</v>
      </c>
      <c r="J539" s="66">
        <v>0</v>
      </c>
      <c r="K539" s="62"/>
      <c r="L539" s="66">
        <v>0</v>
      </c>
      <c r="M539" s="66">
        <v>0</v>
      </c>
      <c r="N539" s="66">
        <v>0</v>
      </c>
      <c r="P539">
        <f t="shared" si="37"/>
        <v>565</v>
      </c>
      <c r="Q539" t="str">
        <f t="shared" si="38"/>
        <v>SE</v>
      </c>
      <c r="R539" t="str">
        <f>IF(ISERROR(MATCH(P539&amp;"."&amp;Q539,R$5:R538,0)),P539&amp;"."&amp;Q539,P539&amp;"."&amp;Q539&amp;COUNTIFS(P$5:P538,P539,Q$5:Q538,Q539))</f>
        <v>565.SE</v>
      </c>
      <c r="S539" s="55">
        <f t="shared" si="39"/>
        <v>0</v>
      </c>
    </row>
    <row r="540" spans="1:19" hidden="1">
      <c r="A540" s="5">
        <v>605</v>
      </c>
      <c r="B540" s="59"/>
      <c r="C540" s="71"/>
      <c r="D540" s="72"/>
      <c r="E540" s="73"/>
      <c r="F540" s="63"/>
      <c r="G540" s="72"/>
      <c r="H540" s="74"/>
      <c r="I540" s="75">
        <v>0</v>
      </c>
      <c r="J540" s="75">
        <v>0</v>
      </c>
      <c r="K540" s="62"/>
      <c r="L540" s="75">
        <v>0</v>
      </c>
      <c r="M540" s="75">
        <v>0</v>
      </c>
      <c r="N540" s="75">
        <v>0</v>
      </c>
      <c r="P540">
        <f t="shared" si="37"/>
        <v>565</v>
      </c>
      <c r="Q540" t="str">
        <f t="shared" si="38"/>
        <v>NA</v>
      </c>
      <c r="R540" t="str">
        <f>IF(ISERROR(MATCH(P540&amp;"."&amp;Q540,R$5:R539,0)),P540&amp;"."&amp;Q540,P540&amp;"."&amp;Q540&amp;COUNTIFS(P$5:P539,P540,Q$5:Q539,Q540))</f>
        <v>565.NA1</v>
      </c>
      <c r="S540" s="55">
        <f t="shared" si="39"/>
        <v>0</v>
      </c>
    </row>
    <row r="541" spans="1:19" hidden="1">
      <c r="A541" s="5">
        <v>606</v>
      </c>
      <c r="B541" s="59"/>
      <c r="C541" s="60"/>
      <c r="D541" s="61"/>
      <c r="E541" s="63"/>
      <c r="F541" s="63"/>
      <c r="G541" s="63"/>
      <c r="H541" s="62"/>
      <c r="I541" s="65"/>
      <c r="J541" s="65"/>
      <c r="K541" s="62"/>
      <c r="L541" s="65"/>
      <c r="M541" s="65"/>
      <c r="N541" s="65"/>
      <c r="P541">
        <f t="shared" si="37"/>
        <v>565</v>
      </c>
      <c r="Q541" t="str">
        <f t="shared" si="38"/>
        <v>NA</v>
      </c>
      <c r="R541" t="str">
        <f>IF(ISERROR(MATCH(P541&amp;"."&amp;Q541,R$5:R540,0)),P541&amp;"."&amp;Q541,P541&amp;"."&amp;Q541&amp;COUNTIFS(P$5:P540,P541,Q$5:Q540,Q541))</f>
        <v>565.NA2</v>
      </c>
      <c r="S541" s="55">
        <f t="shared" si="39"/>
        <v>0</v>
      </c>
    </row>
    <row r="542" spans="1:19">
      <c r="A542" s="5">
        <v>607</v>
      </c>
      <c r="B542" s="59" t="s">
        <v>105</v>
      </c>
      <c r="C542" s="60" t="s">
        <v>10</v>
      </c>
      <c r="D542" s="63" t="s">
        <v>309</v>
      </c>
      <c r="E542" s="63"/>
      <c r="F542" s="60"/>
      <c r="G542" s="61"/>
      <c r="H542" s="62"/>
      <c r="I542" s="65"/>
      <c r="J542" s="65"/>
      <c r="K542" s="62"/>
      <c r="L542" s="65"/>
      <c r="M542" s="65"/>
      <c r="N542" s="64"/>
      <c r="P542" t="str">
        <f t="shared" si="37"/>
        <v>565NPC</v>
      </c>
      <c r="Q542" t="str">
        <f t="shared" si="38"/>
        <v>NA</v>
      </c>
      <c r="R542" t="str">
        <f>IF(ISERROR(MATCH(P542&amp;"."&amp;Q542,R$5:R541,0)),P542&amp;"."&amp;Q542,P542&amp;"."&amp;Q542&amp;COUNTIFS(P$5:P541,P542,Q$5:Q541,Q542))</f>
        <v>565NPC.NA</v>
      </c>
      <c r="S542" s="55">
        <f t="shared" si="39"/>
        <v>0</v>
      </c>
    </row>
    <row r="543" spans="1:19">
      <c r="A543" s="5">
        <v>608</v>
      </c>
      <c r="B543" s="59" t="s">
        <v>105</v>
      </c>
      <c r="C543" s="60"/>
      <c r="D543" s="63"/>
      <c r="E543" s="63"/>
      <c r="F543" s="63" t="s">
        <v>18</v>
      </c>
      <c r="G543" s="63" t="s">
        <v>15</v>
      </c>
      <c r="H543" s="62"/>
      <c r="I543" s="65">
        <v>140890495.66999999</v>
      </c>
      <c r="J543" s="65">
        <v>61988293.200955987</v>
      </c>
      <c r="K543" s="62"/>
      <c r="L543" s="65">
        <v>139772070.43999994</v>
      </c>
      <c r="M543" s="65">
        <v>78275856.358724087</v>
      </c>
      <c r="N543" s="65">
        <v>61496214.081275858</v>
      </c>
      <c r="P543" t="str">
        <f t="shared" si="37"/>
        <v>565NPC</v>
      </c>
      <c r="Q543" t="str">
        <f t="shared" si="38"/>
        <v>SG</v>
      </c>
      <c r="R543" t="str">
        <f>IF(ISERROR(MATCH(P543&amp;"."&amp;Q543,R$5:R542,0)),P543&amp;"."&amp;Q543,P543&amp;"."&amp;Q543&amp;COUNTIFS(P$5:P542,P543,Q$5:Q542,Q543))</f>
        <v>565NPC.SG</v>
      </c>
      <c r="S543" s="55">
        <f t="shared" si="39"/>
        <v>61496214.081275858</v>
      </c>
    </row>
    <row r="544" spans="1:19">
      <c r="A544" s="5">
        <v>609</v>
      </c>
      <c r="B544" s="59" t="s">
        <v>105</v>
      </c>
      <c r="C544" s="60"/>
      <c r="D544" s="63"/>
      <c r="E544" s="63"/>
      <c r="F544" s="63" t="s">
        <v>18</v>
      </c>
      <c r="G544" s="63" t="s">
        <v>16</v>
      </c>
      <c r="H544" s="62"/>
      <c r="I544" s="66">
        <v>4934772.37</v>
      </c>
      <c r="J544" s="66">
        <v>2139530.2470486569</v>
      </c>
      <c r="K544" s="62"/>
      <c r="L544" s="66">
        <v>6978769.9499999993</v>
      </c>
      <c r="M544" s="66">
        <v>3953039.8300067969</v>
      </c>
      <c r="N544" s="66">
        <v>3025730.1199932024</v>
      </c>
      <c r="P544" t="str">
        <f t="shared" si="37"/>
        <v>565NPC</v>
      </c>
      <c r="Q544" t="str">
        <f t="shared" si="38"/>
        <v>SE</v>
      </c>
      <c r="R544" t="str">
        <f>IF(ISERROR(MATCH(P544&amp;"."&amp;Q544,R$5:R543,0)),P544&amp;"."&amp;Q544,P544&amp;"."&amp;Q544&amp;COUNTIFS(P$5:P543,P544,Q$5:Q543,Q544))</f>
        <v>565NPC.SE</v>
      </c>
      <c r="S544" s="55">
        <f t="shared" si="39"/>
        <v>3025730.1199932024</v>
      </c>
    </row>
    <row r="545" spans="1:19" hidden="1">
      <c r="A545" s="5">
        <v>610</v>
      </c>
      <c r="B545" s="59"/>
      <c r="C545" s="60"/>
      <c r="D545" s="63"/>
      <c r="E545" s="63"/>
      <c r="F545" s="63"/>
      <c r="G545" s="63"/>
      <c r="H545" s="62"/>
      <c r="I545" s="65">
        <v>145825268.03999999</v>
      </c>
      <c r="J545" s="65">
        <v>64127823.448004641</v>
      </c>
      <c r="K545" s="62"/>
      <c r="L545" s="65">
        <v>146750840.38999993</v>
      </c>
      <c r="M545" s="65">
        <v>82228896.188730881</v>
      </c>
      <c r="N545" s="65">
        <v>64521944.20126906</v>
      </c>
      <c r="P545" t="str">
        <f t="shared" si="37"/>
        <v>565NPC</v>
      </c>
      <c r="Q545" t="str">
        <f t="shared" si="38"/>
        <v>NA</v>
      </c>
      <c r="R545" t="str">
        <f>IF(ISERROR(MATCH(P545&amp;"."&amp;Q545,R$5:R544,0)),P545&amp;"."&amp;Q545,P545&amp;"."&amp;Q545&amp;COUNTIFS(P$5:P544,P545,Q$5:Q544,Q545))</f>
        <v>565NPC.NA1</v>
      </c>
      <c r="S545" s="55">
        <f t="shared" si="39"/>
        <v>64521944.20126906</v>
      </c>
    </row>
    <row r="546" spans="1:19" hidden="1">
      <c r="A546" s="5">
        <v>611</v>
      </c>
      <c r="B546" s="59"/>
      <c r="C546" s="60"/>
      <c r="D546" s="61"/>
      <c r="E546" s="63"/>
      <c r="F546" s="63"/>
      <c r="G546" s="63"/>
      <c r="H546" s="62"/>
      <c r="I546" s="65"/>
      <c r="J546" s="65"/>
      <c r="K546" s="62"/>
      <c r="L546" s="65"/>
      <c r="M546" s="65"/>
      <c r="N546" s="65"/>
      <c r="P546" t="str">
        <f t="shared" si="37"/>
        <v>565NPC</v>
      </c>
      <c r="Q546" t="str">
        <f t="shared" si="38"/>
        <v>NA</v>
      </c>
      <c r="R546" t="str">
        <f>IF(ISERROR(MATCH(P546&amp;"."&amp;Q546,R$5:R545,0)),P546&amp;"."&amp;Q546,P546&amp;"."&amp;Q546&amp;COUNTIFS(P$5:P545,P546,Q$5:Q545,Q546))</f>
        <v>565NPC.NA2</v>
      </c>
      <c r="S546" s="55">
        <f t="shared" si="39"/>
        <v>0</v>
      </c>
    </row>
    <row r="547" spans="1:19" hidden="1">
      <c r="A547" s="5">
        <v>612</v>
      </c>
      <c r="B547" s="59"/>
      <c r="C547" s="60"/>
      <c r="D547" s="63" t="s">
        <v>310</v>
      </c>
      <c r="E547" s="63"/>
      <c r="F547" s="60"/>
      <c r="G547" s="61"/>
      <c r="H547" s="62" t="s">
        <v>178</v>
      </c>
      <c r="I547" s="65">
        <v>145825268.03999999</v>
      </c>
      <c r="J547" s="65">
        <v>64127823.448004641</v>
      </c>
      <c r="K547" s="62"/>
      <c r="L547" s="65">
        <v>146750840.38999993</v>
      </c>
      <c r="M547" s="65">
        <v>82228896.188730881</v>
      </c>
      <c r="N547" s="64">
        <v>64521944.20126906</v>
      </c>
      <c r="P547" t="str">
        <f t="shared" si="37"/>
        <v>565NPC</v>
      </c>
      <c r="Q547" t="str">
        <f t="shared" si="38"/>
        <v>NA</v>
      </c>
      <c r="R547" t="str">
        <f>IF(ISERROR(MATCH(P547&amp;"."&amp;Q547,R$5:R546,0)),P547&amp;"."&amp;Q547,P547&amp;"."&amp;Q547&amp;COUNTIFS(P$5:P546,P547,Q$5:Q546,Q547))</f>
        <v>565NPC.NA3</v>
      </c>
      <c r="S547" s="55">
        <f t="shared" si="39"/>
        <v>64521944.20126906</v>
      </c>
    </row>
    <row r="548" spans="1:19" hidden="1">
      <c r="A548" s="5">
        <v>613</v>
      </c>
      <c r="B548" s="59"/>
      <c r="C548" s="60"/>
      <c r="D548" s="63"/>
      <c r="E548" s="63"/>
      <c r="F548" s="63"/>
      <c r="G548" s="63"/>
      <c r="H548" s="62"/>
      <c r="I548" s="65"/>
      <c r="J548" s="65"/>
      <c r="K548" s="62"/>
      <c r="L548" s="65"/>
      <c r="M548" s="65"/>
      <c r="N548" s="65"/>
      <c r="P548" t="str">
        <f t="shared" si="37"/>
        <v>565NPC</v>
      </c>
      <c r="Q548" t="str">
        <f t="shared" si="38"/>
        <v>NA</v>
      </c>
      <c r="R548" t="str">
        <f>IF(ISERROR(MATCH(P548&amp;"."&amp;Q548,R$5:R547,0)),P548&amp;"."&amp;Q548,P548&amp;"."&amp;Q548&amp;COUNTIFS(P$5:P547,P548,Q$5:Q547,Q548))</f>
        <v>565NPC.NA4</v>
      </c>
      <c r="S548" s="55">
        <f t="shared" si="39"/>
        <v>0</v>
      </c>
    </row>
    <row r="549" spans="1:19" hidden="1">
      <c r="A549" s="5">
        <v>614</v>
      </c>
      <c r="B549" s="59"/>
      <c r="C549" s="60">
        <v>566</v>
      </c>
      <c r="D549" s="63" t="s">
        <v>311</v>
      </c>
      <c r="E549" s="63"/>
      <c r="F549" s="63"/>
      <c r="G549" s="63"/>
      <c r="H549" s="62"/>
      <c r="I549" s="66"/>
      <c r="J549" s="66"/>
      <c r="K549" s="62"/>
      <c r="L549" s="66"/>
      <c r="M549" s="66"/>
      <c r="N549" s="66"/>
      <c r="P549">
        <f t="shared" si="37"/>
        <v>566</v>
      </c>
      <c r="Q549" t="str">
        <f t="shared" si="38"/>
        <v>NA</v>
      </c>
      <c r="R549" t="str">
        <f>IF(ISERROR(MATCH(P549&amp;"."&amp;Q549,R$5:R548,0)),P549&amp;"."&amp;Q549,P549&amp;"."&amp;Q549&amp;COUNTIFS(P$5:P548,P549,Q$5:Q548,Q549))</f>
        <v>566.NA</v>
      </c>
      <c r="S549" s="55">
        <f t="shared" si="39"/>
        <v>0</v>
      </c>
    </row>
    <row r="550" spans="1:19" hidden="1">
      <c r="A550" s="5">
        <v>615</v>
      </c>
      <c r="B550" s="59"/>
      <c r="C550" s="60"/>
      <c r="D550" s="63"/>
      <c r="E550" s="63"/>
      <c r="F550" s="63" t="s">
        <v>18</v>
      </c>
      <c r="G550" s="63" t="s">
        <v>15</v>
      </c>
      <c r="H550" s="62"/>
      <c r="I550" s="65">
        <v>3006329.01</v>
      </c>
      <c r="J550" s="65">
        <v>1322709.5500246794</v>
      </c>
      <c r="K550" s="62"/>
      <c r="L550" s="65">
        <v>3039960.9924118924</v>
      </c>
      <c r="M550" s="65">
        <v>1702454.2115536947</v>
      </c>
      <c r="N550" s="65">
        <v>1337506.7808581977</v>
      </c>
      <c r="P550">
        <f t="shared" si="37"/>
        <v>566</v>
      </c>
      <c r="Q550" t="str">
        <f t="shared" si="38"/>
        <v>SG</v>
      </c>
      <c r="R550" t="str">
        <f>IF(ISERROR(MATCH(P550&amp;"."&amp;Q550,R$5:R549,0)),P550&amp;"."&amp;Q550,P550&amp;"."&amp;Q550&amp;COUNTIFS(P$5:P549,P550,Q$5:Q549,Q550))</f>
        <v>566.SG</v>
      </c>
      <c r="S550" s="55">
        <f t="shared" si="39"/>
        <v>1337506.7808581977</v>
      </c>
    </row>
    <row r="551" spans="1:19" hidden="1">
      <c r="A551" s="5">
        <v>616</v>
      </c>
      <c r="B551" s="59"/>
      <c r="C551" s="60"/>
      <c r="D551" s="61"/>
      <c r="E551" s="63"/>
      <c r="F551" s="63"/>
      <c r="G551" s="63"/>
      <c r="H551" s="62"/>
      <c r="I551" s="65"/>
      <c r="J551" s="65"/>
      <c r="K551" s="62"/>
      <c r="L551" s="65"/>
      <c r="M551" s="65"/>
      <c r="N551" s="65"/>
      <c r="P551">
        <f t="shared" si="37"/>
        <v>566</v>
      </c>
      <c r="Q551" t="str">
        <f t="shared" si="38"/>
        <v>NA</v>
      </c>
      <c r="R551" t="str">
        <f>IF(ISERROR(MATCH(P551&amp;"."&amp;Q551,R$5:R550,0)),P551&amp;"."&amp;Q551,P551&amp;"."&amp;Q551&amp;COUNTIFS(P$5:P550,P551,Q$5:Q550,Q551))</f>
        <v>566.NA1</v>
      </c>
      <c r="S551" s="55">
        <f t="shared" si="39"/>
        <v>0</v>
      </c>
    </row>
    <row r="552" spans="1:19" hidden="1">
      <c r="A552" s="5">
        <v>617</v>
      </c>
      <c r="B552" s="59"/>
      <c r="C552" s="60"/>
      <c r="D552" s="63"/>
      <c r="E552" s="63"/>
      <c r="F552" s="60"/>
      <c r="G552" s="61"/>
      <c r="H552" s="62" t="s">
        <v>178</v>
      </c>
      <c r="I552" s="65">
        <v>3006329.01</v>
      </c>
      <c r="J552" s="65">
        <v>1322709.5500246794</v>
      </c>
      <c r="K552" s="62"/>
      <c r="L552" s="65">
        <v>3039960.9924118924</v>
      </c>
      <c r="M552" s="65">
        <v>1702454.2115536947</v>
      </c>
      <c r="N552" s="64">
        <v>1337506.7808581977</v>
      </c>
      <c r="P552">
        <f t="shared" si="37"/>
        <v>566</v>
      </c>
      <c r="Q552" t="str">
        <f t="shared" si="38"/>
        <v>NA</v>
      </c>
      <c r="R552" t="str">
        <f>IF(ISERROR(MATCH(P552&amp;"."&amp;Q552,R$5:R551,0)),P552&amp;"."&amp;Q552,P552&amp;"."&amp;Q552&amp;COUNTIFS(P$5:P551,P552,Q$5:Q551,Q552))</f>
        <v>566.NA2</v>
      </c>
      <c r="S552" s="55">
        <f t="shared" si="39"/>
        <v>1337506.7808581977</v>
      </c>
    </row>
    <row r="553" spans="1:19" hidden="1">
      <c r="A553" s="5">
        <v>618</v>
      </c>
      <c r="B553" s="59"/>
      <c r="C553" s="60"/>
      <c r="D553" s="63"/>
      <c r="E553" s="63"/>
      <c r="F553" s="63"/>
      <c r="G553" s="63"/>
      <c r="H553" s="62"/>
      <c r="I553" s="65"/>
      <c r="J553" s="65"/>
      <c r="K553" s="62"/>
      <c r="L553" s="65"/>
      <c r="M553" s="65"/>
      <c r="N553" s="65"/>
      <c r="P553">
        <f t="shared" si="37"/>
        <v>566</v>
      </c>
      <c r="Q553" t="str">
        <f t="shared" si="38"/>
        <v>NA</v>
      </c>
      <c r="R553" t="str">
        <f>IF(ISERROR(MATCH(P553&amp;"."&amp;Q553,R$5:R552,0)),P553&amp;"."&amp;Q553,P553&amp;"."&amp;Q553&amp;COUNTIFS(P$5:P552,P553,Q$5:Q552,Q553))</f>
        <v>566.NA3</v>
      </c>
      <c r="S553" s="55">
        <f t="shared" si="39"/>
        <v>0</v>
      </c>
    </row>
    <row r="554" spans="1:19" hidden="1">
      <c r="A554" s="5">
        <v>619</v>
      </c>
      <c r="B554" s="59"/>
      <c r="C554" s="60">
        <v>567</v>
      </c>
      <c r="D554" s="63" t="s">
        <v>312</v>
      </c>
      <c r="E554" s="63"/>
      <c r="F554" s="63"/>
      <c r="G554" s="63"/>
      <c r="H554" s="62"/>
      <c r="I554" s="66"/>
      <c r="J554" s="66"/>
      <c r="K554" s="62"/>
      <c r="L554" s="66"/>
      <c r="M554" s="66"/>
      <c r="N554" s="66"/>
      <c r="P554">
        <f t="shared" si="37"/>
        <v>567</v>
      </c>
      <c r="Q554" t="str">
        <f t="shared" si="38"/>
        <v>NA</v>
      </c>
      <c r="R554" t="str">
        <f>IF(ISERROR(MATCH(P554&amp;"."&amp;Q554,R$5:R553,0)),P554&amp;"."&amp;Q554,P554&amp;"."&amp;Q554&amp;COUNTIFS(P$5:P553,P554,Q$5:Q553,Q554))</f>
        <v>567.NA</v>
      </c>
      <c r="S554" s="55">
        <f t="shared" si="39"/>
        <v>0</v>
      </c>
    </row>
    <row r="555" spans="1:19" hidden="1">
      <c r="A555" s="5">
        <v>620</v>
      </c>
      <c r="B555" s="59"/>
      <c r="C555" s="60"/>
      <c r="D555" s="63"/>
      <c r="E555" s="63"/>
      <c r="F555" s="63" t="s">
        <v>18</v>
      </c>
      <c r="G555" s="63" t="s">
        <v>15</v>
      </c>
      <c r="H555" s="62"/>
      <c r="I555" s="65">
        <v>2244062.89</v>
      </c>
      <c r="J555" s="65">
        <v>987331.52811474283</v>
      </c>
      <c r="K555" s="62"/>
      <c r="L555" s="65">
        <v>2281502.5325073572</v>
      </c>
      <c r="M555" s="65">
        <v>1277698.4983797111</v>
      </c>
      <c r="N555" s="65">
        <v>1003804.0341276462</v>
      </c>
      <c r="P555">
        <f t="shared" si="37"/>
        <v>567</v>
      </c>
      <c r="Q555" t="str">
        <f t="shared" si="38"/>
        <v>SG</v>
      </c>
      <c r="R555" t="str">
        <f>IF(ISERROR(MATCH(P555&amp;"."&amp;Q555,R$5:R554,0)),P555&amp;"."&amp;Q555,P555&amp;"."&amp;Q555&amp;COUNTIFS(P$5:P554,P555,Q$5:Q554,Q555))</f>
        <v>567.SG</v>
      </c>
      <c r="S555" s="55">
        <f t="shared" si="39"/>
        <v>1003804.0341276462</v>
      </c>
    </row>
    <row r="556" spans="1:19" hidden="1">
      <c r="A556" s="5">
        <v>621</v>
      </c>
      <c r="B556" s="59"/>
      <c r="C556" s="60"/>
      <c r="D556" s="61"/>
      <c r="E556" s="63"/>
      <c r="F556" s="63"/>
      <c r="G556" s="63"/>
      <c r="H556" s="62"/>
      <c r="I556" s="65"/>
      <c r="J556" s="65"/>
      <c r="K556" s="62"/>
      <c r="L556" s="65"/>
      <c r="M556" s="65"/>
      <c r="N556" s="65"/>
      <c r="P556">
        <f t="shared" si="37"/>
        <v>567</v>
      </c>
      <c r="Q556" t="str">
        <f t="shared" si="38"/>
        <v>NA</v>
      </c>
      <c r="R556" t="str">
        <f>IF(ISERROR(MATCH(P556&amp;"."&amp;Q556,R$5:R555,0)),P556&amp;"."&amp;Q556,P556&amp;"."&amp;Q556&amp;COUNTIFS(P$5:P555,P556,Q$5:Q555,Q556))</f>
        <v>567.NA1</v>
      </c>
      <c r="S556" s="55">
        <f t="shared" si="39"/>
        <v>0</v>
      </c>
    </row>
    <row r="557" spans="1:19" hidden="1">
      <c r="A557" s="5">
        <v>622</v>
      </c>
      <c r="B557" s="59"/>
      <c r="C557" s="60"/>
      <c r="D557" s="63"/>
      <c r="E557" s="63"/>
      <c r="F557" s="60"/>
      <c r="G557" s="61"/>
      <c r="H557" s="62" t="s">
        <v>178</v>
      </c>
      <c r="I557" s="65">
        <v>2244062.89</v>
      </c>
      <c r="J557" s="65">
        <v>987331.52811474283</v>
      </c>
      <c r="K557" s="62"/>
      <c r="L557" s="65">
        <v>2281502.5325073572</v>
      </c>
      <c r="M557" s="65">
        <v>1277698.4983797111</v>
      </c>
      <c r="N557" s="64">
        <v>1003804.0341276462</v>
      </c>
      <c r="P557">
        <f t="shared" si="37"/>
        <v>567</v>
      </c>
      <c r="Q557" t="str">
        <f t="shared" si="38"/>
        <v>NA</v>
      </c>
      <c r="R557" t="str">
        <f>IF(ISERROR(MATCH(P557&amp;"."&amp;Q557,R$5:R556,0)),P557&amp;"."&amp;Q557,P557&amp;"."&amp;Q557&amp;COUNTIFS(P$5:P556,P557,Q$5:Q556,Q557))</f>
        <v>567.NA2</v>
      </c>
      <c r="S557" s="55">
        <f t="shared" si="39"/>
        <v>1003804.0341276462</v>
      </c>
    </row>
    <row r="558" spans="1:19" hidden="1">
      <c r="A558" s="5">
        <v>623</v>
      </c>
      <c r="B558" s="59"/>
      <c r="C558" s="60"/>
      <c r="D558" s="63"/>
      <c r="E558" s="63"/>
      <c r="F558" s="63"/>
      <c r="G558" s="63"/>
      <c r="H558" s="62"/>
      <c r="I558" s="65"/>
      <c r="J558" s="65"/>
      <c r="K558" s="62"/>
      <c r="L558" s="65"/>
      <c r="M558" s="65"/>
      <c r="N558" s="65"/>
      <c r="P558">
        <f t="shared" si="37"/>
        <v>567</v>
      </c>
      <c r="Q558" t="str">
        <f t="shared" si="38"/>
        <v>NA</v>
      </c>
      <c r="R558" t="str">
        <f>IF(ISERROR(MATCH(P558&amp;"."&amp;Q558,R$5:R557,0)),P558&amp;"."&amp;Q558,P558&amp;"."&amp;Q558&amp;COUNTIFS(P$5:P557,P558,Q$5:Q557,Q558))</f>
        <v>567.NA3</v>
      </c>
      <c r="S558" s="55">
        <f t="shared" si="39"/>
        <v>0</v>
      </c>
    </row>
    <row r="559" spans="1:19" hidden="1">
      <c r="A559" s="5">
        <v>624</v>
      </c>
      <c r="B559" s="59"/>
      <c r="C559" s="60">
        <v>568</v>
      </c>
      <c r="D559" s="63" t="s">
        <v>188</v>
      </c>
      <c r="E559" s="63"/>
      <c r="F559" s="63"/>
      <c r="G559" s="63"/>
      <c r="H559" s="62"/>
      <c r="I559" s="66"/>
      <c r="J559" s="66"/>
      <c r="K559" s="62"/>
      <c r="L559" s="66"/>
      <c r="M559" s="66"/>
      <c r="N559" s="66"/>
      <c r="P559">
        <f t="shared" si="37"/>
        <v>568</v>
      </c>
      <c r="Q559" t="str">
        <f t="shared" si="38"/>
        <v>NA</v>
      </c>
      <c r="R559" t="str">
        <f>IF(ISERROR(MATCH(P559&amp;"."&amp;Q559,R$5:R558,0)),P559&amp;"."&amp;Q559,P559&amp;"."&amp;Q559&amp;COUNTIFS(P$5:P558,P559,Q$5:Q558,Q559))</f>
        <v>568.NA</v>
      </c>
      <c r="S559" s="55">
        <f t="shared" si="39"/>
        <v>0</v>
      </c>
    </row>
    <row r="560" spans="1:19" hidden="1">
      <c r="A560" s="5">
        <v>625</v>
      </c>
      <c r="B560" s="59"/>
      <c r="C560" s="60"/>
      <c r="D560" s="63"/>
      <c r="E560" s="63"/>
      <c r="F560" s="63" t="s">
        <v>18</v>
      </c>
      <c r="G560" s="63" t="s">
        <v>15</v>
      </c>
      <c r="H560" s="62"/>
      <c r="I560" s="65">
        <v>1304374.8999999999</v>
      </c>
      <c r="J560" s="65">
        <v>573892.32226531522</v>
      </c>
      <c r="K560" s="62"/>
      <c r="L560" s="65">
        <v>1417586.2733535985</v>
      </c>
      <c r="M560" s="65">
        <v>793883.7792115151</v>
      </c>
      <c r="N560" s="65">
        <v>623702.49414208345</v>
      </c>
      <c r="P560">
        <f t="shared" si="37"/>
        <v>568</v>
      </c>
      <c r="Q560" t="str">
        <f t="shared" si="38"/>
        <v>SG</v>
      </c>
      <c r="R560" t="str">
        <f>IF(ISERROR(MATCH(P560&amp;"."&amp;Q560,R$5:R559,0)),P560&amp;"."&amp;Q560,P560&amp;"."&amp;Q560&amp;COUNTIFS(P$5:P559,P560,Q$5:Q559,Q560))</f>
        <v>568.SG</v>
      </c>
      <c r="S560" s="55">
        <f t="shared" si="39"/>
        <v>623702.49414208345</v>
      </c>
    </row>
    <row r="561" spans="1:19" hidden="1">
      <c r="A561" s="5">
        <v>626</v>
      </c>
      <c r="B561" s="59"/>
      <c r="C561" s="60"/>
      <c r="D561" s="61"/>
      <c r="E561" s="63"/>
      <c r="F561" s="63"/>
      <c r="G561" s="63"/>
      <c r="H561" s="62"/>
      <c r="I561" s="65"/>
      <c r="J561" s="65"/>
      <c r="K561" s="62"/>
      <c r="L561" s="65"/>
      <c r="M561" s="65"/>
      <c r="N561" s="65"/>
      <c r="P561">
        <f t="shared" si="37"/>
        <v>568</v>
      </c>
      <c r="Q561" t="str">
        <f t="shared" si="38"/>
        <v>NA</v>
      </c>
      <c r="R561" t="str">
        <f>IF(ISERROR(MATCH(P561&amp;"."&amp;Q561,R$5:R560,0)),P561&amp;"."&amp;Q561,P561&amp;"."&amp;Q561&amp;COUNTIFS(P$5:P560,P561,Q$5:Q560,Q561))</f>
        <v>568.NA1</v>
      </c>
      <c r="S561" s="55">
        <f t="shared" si="39"/>
        <v>0</v>
      </c>
    </row>
    <row r="562" spans="1:19" hidden="1">
      <c r="A562" s="5">
        <v>627</v>
      </c>
      <c r="B562" s="59"/>
      <c r="C562" s="60"/>
      <c r="D562" s="63"/>
      <c r="E562" s="63"/>
      <c r="F562" s="60"/>
      <c r="G562" s="61"/>
      <c r="H562" s="62" t="s">
        <v>178</v>
      </c>
      <c r="I562" s="65">
        <v>1304374.8999999999</v>
      </c>
      <c r="J562" s="65">
        <v>573892.32226531522</v>
      </c>
      <c r="K562" s="62"/>
      <c r="L562" s="65">
        <v>1417586.2733535985</v>
      </c>
      <c r="M562" s="65">
        <v>793883.7792115151</v>
      </c>
      <c r="N562" s="64">
        <v>623702.49414208345</v>
      </c>
      <c r="P562">
        <f t="shared" si="37"/>
        <v>568</v>
      </c>
      <c r="Q562" t="str">
        <f t="shared" si="38"/>
        <v>NA</v>
      </c>
      <c r="R562" t="str">
        <f>IF(ISERROR(MATCH(P562&amp;"."&amp;Q562,R$5:R561,0)),P562&amp;"."&amp;Q562,P562&amp;"."&amp;Q562&amp;COUNTIFS(P$5:P561,P562,Q$5:Q561,Q562))</f>
        <v>568.NA2</v>
      </c>
      <c r="S562" s="55">
        <f t="shared" si="39"/>
        <v>623702.49414208345</v>
      </c>
    </row>
    <row r="563" spans="1:19" hidden="1">
      <c r="A563" s="5">
        <v>628</v>
      </c>
      <c r="B563" s="59"/>
      <c r="C563" s="60"/>
      <c r="D563" s="63"/>
      <c r="E563" s="63"/>
      <c r="F563" s="63"/>
      <c r="G563" s="63"/>
      <c r="H563" s="62"/>
      <c r="I563" s="65"/>
      <c r="J563" s="65"/>
      <c r="K563" s="62"/>
      <c r="L563" s="65"/>
      <c r="M563" s="65"/>
      <c r="N563" s="65"/>
      <c r="P563">
        <f t="shared" si="37"/>
        <v>568</v>
      </c>
      <c r="Q563" t="str">
        <f t="shared" si="38"/>
        <v>NA</v>
      </c>
      <c r="R563" t="str">
        <f>IF(ISERROR(MATCH(P563&amp;"."&amp;Q563,R$5:R562,0)),P563&amp;"."&amp;Q563,P563&amp;"."&amp;Q563&amp;COUNTIFS(P$5:P562,P563,Q$5:Q562,Q563))</f>
        <v>568.NA3</v>
      </c>
      <c r="S563" s="55">
        <f t="shared" si="39"/>
        <v>0</v>
      </c>
    </row>
    <row r="564" spans="1:19" hidden="1">
      <c r="A564" s="5">
        <v>629</v>
      </c>
      <c r="B564" s="59"/>
      <c r="C564" s="60">
        <v>569</v>
      </c>
      <c r="D564" s="63" t="s">
        <v>189</v>
      </c>
      <c r="E564" s="63"/>
      <c r="F564" s="63"/>
      <c r="G564" s="63"/>
      <c r="H564" s="62"/>
      <c r="I564" s="66"/>
      <c r="J564" s="66"/>
      <c r="K564" s="62"/>
      <c r="L564" s="66"/>
      <c r="M564" s="66"/>
      <c r="N564" s="66"/>
      <c r="P564">
        <f t="shared" si="37"/>
        <v>569</v>
      </c>
      <c r="Q564" t="str">
        <f t="shared" si="38"/>
        <v>NA</v>
      </c>
      <c r="R564" t="str">
        <f>IF(ISERROR(MATCH(P564&amp;"."&amp;Q564,R$5:R563,0)),P564&amp;"."&amp;Q564,P564&amp;"."&amp;Q564&amp;COUNTIFS(P$5:P563,P564,Q$5:Q563,Q564))</f>
        <v>569.NA</v>
      </c>
      <c r="S564" s="55">
        <f t="shared" si="39"/>
        <v>0</v>
      </c>
    </row>
    <row r="565" spans="1:19" hidden="1">
      <c r="A565" s="5">
        <v>630</v>
      </c>
      <c r="B565" s="59"/>
      <c r="C565" s="60"/>
      <c r="D565" s="63"/>
      <c r="E565" s="63"/>
      <c r="F565" s="63" t="s">
        <v>18</v>
      </c>
      <c r="G565" s="63" t="s">
        <v>15</v>
      </c>
      <c r="H565" s="62"/>
      <c r="I565" s="65">
        <v>5788188.4699999997</v>
      </c>
      <c r="J565" s="65">
        <v>2546658.1139805913</v>
      </c>
      <c r="K565" s="62"/>
      <c r="L565" s="65">
        <v>6147606.340262969</v>
      </c>
      <c r="M565" s="65">
        <v>3442813.3555263788</v>
      </c>
      <c r="N565" s="65">
        <v>2704792.9847365902</v>
      </c>
      <c r="P565">
        <f t="shared" si="37"/>
        <v>569</v>
      </c>
      <c r="Q565" t="str">
        <f t="shared" si="38"/>
        <v>SG</v>
      </c>
      <c r="R565" t="str">
        <f>IF(ISERROR(MATCH(P565&amp;"."&amp;Q565,R$5:R564,0)),P565&amp;"."&amp;Q565,P565&amp;"."&amp;Q565&amp;COUNTIFS(P$5:P564,P565,Q$5:Q564,Q565))</f>
        <v>569.SG</v>
      </c>
      <c r="S565" s="55">
        <f t="shared" si="39"/>
        <v>2704792.9847365902</v>
      </c>
    </row>
    <row r="566" spans="1:19" hidden="1">
      <c r="A566" s="5">
        <v>631</v>
      </c>
      <c r="B566" s="59"/>
      <c r="C566" s="60"/>
      <c r="D566" s="61"/>
      <c r="E566" s="63"/>
      <c r="F566" s="63"/>
      <c r="G566" s="63"/>
      <c r="H566" s="62"/>
      <c r="I566" s="65"/>
      <c r="J566" s="65"/>
      <c r="K566" s="62"/>
      <c r="L566" s="65"/>
      <c r="M566" s="65"/>
      <c r="N566" s="65"/>
      <c r="P566">
        <f t="shared" si="37"/>
        <v>569</v>
      </c>
      <c r="Q566" t="str">
        <f t="shared" si="38"/>
        <v>NA</v>
      </c>
      <c r="R566" t="str">
        <f>IF(ISERROR(MATCH(P566&amp;"."&amp;Q566,R$5:R565,0)),P566&amp;"."&amp;Q566,P566&amp;"."&amp;Q566&amp;COUNTIFS(P$5:P565,P566,Q$5:Q565,Q566))</f>
        <v>569.NA1</v>
      </c>
      <c r="S566" s="55">
        <f t="shared" si="39"/>
        <v>0</v>
      </c>
    </row>
    <row r="567" spans="1:19" hidden="1">
      <c r="A567" s="5">
        <v>632</v>
      </c>
      <c r="B567" s="59"/>
      <c r="C567" s="60"/>
      <c r="D567" s="63"/>
      <c r="E567" s="63"/>
      <c r="F567" s="60"/>
      <c r="G567" s="61"/>
      <c r="H567" s="62" t="s">
        <v>178</v>
      </c>
      <c r="I567" s="65">
        <v>5788188.4699999997</v>
      </c>
      <c r="J567" s="65">
        <v>2546658.1139805913</v>
      </c>
      <c r="K567" s="62"/>
      <c r="L567" s="65">
        <v>6147606.340262969</v>
      </c>
      <c r="M567" s="65">
        <v>3442813.3555263788</v>
      </c>
      <c r="N567" s="64">
        <v>2704792.9847365902</v>
      </c>
      <c r="P567">
        <f t="shared" si="37"/>
        <v>569</v>
      </c>
      <c r="Q567" t="str">
        <f t="shared" si="38"/>
        <v>NA</v>
      </c>
      <c r="R567" t="str">
        <f>IF(ISERROR(MATCH(P567&amp;"."&amp;Q567,R$5:R566,0)),P567&amp;"."&amp;Q567,P567&amp;"."&amp;Q567&amp;COUNTIFS(P$5:P566,P567,Q$5:Q566,Q567))</f>
        <v>569.NA2</v>
      </c>
      <c r="S567" s="55">
        <f t="shared" si="39"/>
        <v>2704792.9847365902</v>
      </c>
    </row>
    <row r="568" spans="1:19" hidden="1">
      <c r="A568" s="5">
        <v>633</v>
      </c>
      <c r="B568" s="59"/>
      <c r="C568" s="60"/>
      <c r="D568" s="63"/>
      <c r="E568" s="63"/>
      <c r="F568" s="63"/>
      <c r="G568" s="63"/>
      <c r="H568" s="62"/>
      <c r="I568" s="65"/>
      <c r="J568" s="65"/>
      <c r="K568" s="62"/>
      <c r="L568" s="65"/>
      <c r="M568" s="65"/>
      <c r="N568" s="65"/>
      <c r="P568">
        <f t="shared" si="37"/>
        <v>569</v>
      </c>
      <c r="Q568" t="str">
        <f t="shared" si="38"/>
        <v>NA</v>
      </c>
      <c r="R568" t="str">
        <f>IF(ISERROR(MATCH(P568&amp;"."&amp;Q568,R$5:R567,0)),P568&amp;"."&amp;Q568,P568&amp;"."&amp;Q568&amp;COUNTIFS(P$5:P567,P568,Q$5:Q567,Q568))</f>
        <v>569.NA3</v>
      </c>
      <c r="S568" s="55">
        <f t="shared" si="39"/>
        <v>0</v>
      </c>
    </row>
    <row r="569" spans="1:19" hidden="1">
      <c r="A569" s="5">
        <v>634</v>
      </c>
      <c r="B569" s="59"/>
      <c r="C569" s="60">
        <v>570</v>
      </c>
      <c r="D569" s="63" t="s">
        <v>313</v>
      </c>
      <c r="E569" s="63"/>
      <c r="F569" s="63"/>
      <c r="G569" s="63"/>
      <c r="H569" s="62"/>
      <c r="I569" s="66"/>
      <c r="J569" s="66"/>
      <c r="K569" s="62"/>
      <c r="L569" s="66"/>
      <c r="M569" s="66"/>
      <c r="N569" s="66"/>
      <c r="P569">
        <f t="shared" si="37"/>
        <v>570</v>
      </c>
      <c r="Q569" t="str">
        <f t="shared" si="38"/>
        <v>NA</v>
      </c>
      <c r="R569" t="str">
        <f>IF(ISERROR(MATCH(P569&amp;"."&amp;Q569,R$5:R568,0)),P569&amp;"."&amp;Q569,P569&amp;"."&amp;Q569&amp;COUNTIFS(P$5:P568,P569,Q$5:Q568,Q569))</f>
        <v>570.NA</v>
      </c>
      <c r="S569" s="55">
        <f t="shared" si="39"/>
        <v>0</v>
      </c>
    </row>
    <row r="570" spans="1:19" hidden="1">
      <c r="A570" s="5">
        <v>635</v>
      </c>
      <c r="B570" s="59"/>
      <c r="C570" s="60"/>
      <c r="D570" s="63"/>
      <c r="E570" s="63"/>
      <c r="F570" s="63" t="s">
        <v>18</v>
      </c>
      <c r="G570" s="63" t="s">
        <v>15</v>
      </c>
      <c r="H570" s="62"/>
      <c r="I570" s="65">
        <v>11796850.91</v>
      </c>
      <c r="J570" s="65">
        <v>5190319.2587940767</v>
      </c>
      <c r="K570" s="62"/>
      <c r="L570" s="65">
        <v>12594405.195313182</v>
      </c>
      <c r="M570" s="65">
        <v>7053182.0047345888</v>
      </c>
      <c r="N570" s="65">
        <v>5541223.1905785929</v>
      </c>
      <c r="P570">
        <f t="shared" si="37"/>
        <v>570</v>
      </c>
      <c r="Q570" t="str">
        <f t="shared" si="38"/>
        <v>SG</v>
      </c>
      <c r="R570" t="str">
        <f>IF(ISERROR(MATCH(P570&amp;"."&amp;Q570,R$5:R569,0)),P570&amp;"."&amp;Q570,P570&amp;"."&amp;Q570&amp;COUNTIFS(P$5:P569,P570,Q$5:Q569,Q570))</f>
        <v>570.SG</v>
      </c>
      <c r="S570" s="55">
        <f t="shared" si="39"/>
        <v>5541223.1905785929</v>
      </c>
    </row>
    <row r="571" spans="1:19" ht="15.75" hidden="1" thickBot="1">
      <c r="A571" s="5">
        <v>636</v>
      </c>
      <c r="B571" s="59"/>
      <c r="C571" s="45"/>
      <c r="D571" s="63"/>
      <c r="E571" s="63"/>
      <c r="F571" s="63"/>
      <c r="G571" s="63"/>
      <c r="H571" s="41"/>
      <c r="I571" s="68"/>
      <c r="J571" s="68"/>
      <c r="K571" s="41"/>
      <c r="L571" s="68"/>
      <c r="M571" s="68"/>
      <c r="N571" s="68"/>
      <c r="P571">
        <f t="shared" si="37"/>
        <v>570</v>
      </c>
      <c r="Q571" t="str">
        <f t="shared" si="38"/>
        <v>NA</v>
      </c>
      <c r="R571" t="str">
        <f>IF(ISERROR(MATCH(P571&amp;"."&amp;Q571,R$5:R570,0)),P571&amp;"."&amp;Q571,P571&amp;"."&amp;Q571&amp;COUNTIFS(P$5:P570,P571,Q$5:Q570,Q571))</f>
        <v>570.NA1</v>
      </c>
      <c r="S571" s="55">
        <f t="shared" si="39"/>
        <v>0</v>
      </c>
    </row>
    <row r="572" spans="1:19" hidden="1">
      <c r="A572" s="5">
        <v>637</v>
      </c>
      <c r="B572" s="59"/>
      <c r="C572" s="60"/>
      <c r="D572" s="63"/>
      <c r="E572" s="63"/>
      <c r="F572" s="63"/>
      <c r="G572" s="63"/>
      <c r="H572" s="62" t="s">
        <v>178</v>
      </c>
      <c r="I572" s="65">
        <v>11796850.91</v>
      </c>
      <c r="J572" s="65">
        <v>5190319.2587940767</v>
      </c>
      <c r="K572" s="62"/>
      <c r="L572" s="65">
        <v>12594405.195313182</v>
      </c>
      <c r="M572" s="65">
        <v>7053182.0047345888</v>
      </c>
      <c r="N572" s="65">
        <v>5541223.1905785929</v>
      </c>
      <c r="P572">
        <f t="shared" si="37"/>
        <v>570</v>
      </c>
      <c r="Q572" t="str">
        <f t="shared" si="38"/>
        <v>NA</v>
      </c>
      <c r="R572" t="str">
        <f>IF(ISERROR(MATCH(P572&amp;"."&amp;Q572,R$5:R571,0)),P572&amp;"."&amp;Q572,P572&amp;"."&amp;Q572&amp;COUNTIFS(P$5:P571,P572,Q$5:Q571,Q572))</f>
        <v>570.NA2</v>
      </c>
      <c r="S572" s="55">
        <f t="shared" si="39"/>
        <v>5541223.1905785929</v>
      </c>
    </row>
    <row r="573" spans="1:19" hidden="1">
      <c r="A573" s="5">
        <v>638</v>
      </c>
      <c r="B573" s="59"/>
      <c r="C573" s="60"/>
      <c r="D573" s="63"/>
      <c r="E573" s="63"/>
      <c r="F573" s="63"/>
      <c r="G573" s="63"/>
      <c r="H573" s="62"/>
      <c r="I573" s="65"/>
      <c r="J573" s="65"/>
      <c r="K573" s="62"/>
      <c r="L573" s="65"/>
      <c r="M573" s="65"/>
      <c r="N573" s="65"/>
      <c r="P573">
        <f t="shared" si="37"/>
        <v>570</v>
      </c>
      <c r="Q573" t="str">
        <f t="shared" si="38"/>
        <v>NA</v>
      </c>
      <c r="R573" t="str">
        <f>IF(ISERROR(MATCH(P573&amp;"."&amp;Q573,R$5:R572,0)),P573&amp;"."&amp;Q573,P573&amp;"."&amp;Q573&amp;COUNTIFS(P$5:P572,P573,Q$5:Q572,Q573))</f>
        <v>570.NA3</v>
      </c>
      <c r="S573" s="55">
        <f t="shared" si="39"/>
        <v>0</v>
      </c>
    </row>
    <row r="574" spans="1:19" hidden="1">
      <c r="A574" s="5">
        <v>639</v>
      </c>
      <c r="B574" s="59"/>
      <c r="C574" s="60">
        <v>571</v>
      </c>
      <c r="D574" s="63" t="s">
        <v>314</v>
      </c>
      <c r="E574" s="61"/>
      <c r="F574" s="63"/>
      <c r="G574" s="63"/>
      <c r="H574" s="62"/>
      <c r="I574" s="65"/>
      <c r="J574" s="65"/>
      <c r="K574" s="62"/>
      <c r="L574" s="65"/>
      <c r="M574" s="65"/>
      <c r="N574" s="64"/>
      <c r="P574">
        <f t="shared" si="37"/>
        <v>571</v>
      </c>
      <c r="Q574" t="str">
        <f t="shared" si="38"/>
        <v>NA</v>
      </c>
      <c r="R574" t="str">
        <f>IF(ISERROR(MATCH(P574&amp;"."&amp;Q574,R$5:R573,0)),P574&amp;"."&amp;Q574,P574&amp;"."&amp;Q574&amp;COUNTIFS(P$5:P573,P574,Q$5:Q573,Q574))</f>
        <v>571.NA</v>
      </c>
      <c r="S574" s="55">
        <f t="shared" si="39"/>
        <v>0</v>
      </c>
    </row>
    <row r="575" spans="1:19" hidden="1">
      <c r="A575" s="5">
        <v>640</v>
      </c>
      <c r="B575" s="59"/>
      <c r="C575" s="60"/>
      <c r="D575" s="63"/>
      <c r="E575" s="61"/>
      <c r="F575" s="63" t="s">
        <v>18</v>
      </c>
      <c r="G575" s="63" t="s">
        <v>15</v>
      </c>
      <c r="H575" s="62"/>
      <c r="I575" s="65">
        <v>16201424.949999999</v>
      </c>
      <c r="J575" s="65">
        <v>7128221.6397775821</v>
      </c>
      <c r="K575" s="62"/>
      <c r="L575" s="65">
        <v>16804285.063954726</v>
      </c>
      <c r="M575" s="65">
        <v>9410820.0567997061</v>
      </c>
      <c r="N575" s="64">
        <v>7393465.0071550207</v>
      </c>
      <c r="P575">
        <f t="shared" si="37"/>
        <v>571</v>
      </c>
      <c r="Q575" t="str">
        <f t="shared" si="38"/>
        <v>SG</v>
      </c>
      <c r="R575" t="str">
        <f>IF(ISERROR(MATCH(P575&amp;"."&amp;Q575,R$5:R574,0)),P575&amp;"."&amp;Q575,P575&amp;"."&amp;Q575&amp;COUNTIFS(P$5:P574,P575,Q$5:Q574,Q575))</f>
        <v>571.SG</v>
      </c>
      <c r="S575" s="55">
        <f t="shared" si="39"/>
        <v>7393465.0071550207</v>
      </c>
    </row>
    <row r="576" spans="1:19" hidden="1">
      <c r="A576" s="5">
        <v>641</v>
      </c>
      <c r="B576" s="59"/>
      <c r="C576" s="60"/>
      <c r="D576" s="63"/>
      <c r="E576" s="70"/>
      <c r="F576" s="63" t="s">
        <v>18</v>
      </c>
      <c r="G576" s="63" t="s">
        <v>15</v>
      </c>
      <c r="H576" s="62"/>
      <c r="I576" s="65">
        <v>0</v>
      </c>
      <c r="J576" s="65">
        <v>0</v>
      </c>
      <c r="K576" s="62"/>
      <c r="L576" s="65">
        <v>0</v>
      </c>
      <c r="M576" s="65">
        <v>0</v>
      </c>
      <c r="N576" s="64">
        <v>0</v>
      </c>
      <c r="P576">
        <f t="shared" si="37"/>
        <v>571</v>
      </c>
      <c r="Q576" t="str">
        <f t="shared" si="38"/>
        <v>SG</v>
      </c>
      <c r="R576" t="str">
        <f>IF(ISERROR(MATCH(P576&amp;"."&amp;Q576,R$5:R575,0)),P576&amp;"."&amp;Q576,P576&amp;"."&amp;Q576&amp;COUNTIFS(P$5:P575,P576,Q$5:Q575,Q576))</f>
        <v>571.SG1</v>
      </c>
      <c r="S576" s="55">
        <f t="shared" si="39"/>
        <v>0</v>
      </c>
    </row>
    <row r="577" spans="1:19" ht="15.75" hidden="1" thickBot="1">
      <c r="A577" s="5">
        <v>642</v>
      </c>
      <c r="B577" s="59"/>
      <c r="C577" s="70"/>
      <c r="D577" s="63"/>
      <c r="E577" s="63"/>
      <c r="F577" s="63"/>
      <c r="G577" s="63"/>
      <c r="H577" s="62"/>
      <c r="I577" s="81"/>
      <c r="J577" s="81"/>
      <c r="K577" s="62"/>
      <c r="L577" s="81"/>
      <c r="M577" s="81"/>
      <c r="N577" s="81"/>
      <c r="P577">
        <f t="shared" si="37"/>
        <v>571</v>
      </c>
      <c r="Q577" t="str">
        <f t="shared" si="38"/>
        <v>NA</v>
      </c>
      <c r="R577" t="str">
        <f>IF(ISERROR(MATCH(P577&amp;"."&amp;Q577,R$5:R576,0)),P577&amp;"."&amp;Q577,P577&amp;"."&amp;Q577&amp;COUNTIFS(P$5:P576,P577,Q$5:Q576,Q577))</f>
        <v>571.NA1</v>
      </c>
      <c r="S577" s="55">
        <f t="shared" si="39"/>
        <v>0</v>
      </c>
    </row>
    <row r="578" spans="1:19" hidden="1">
      <c r="A578" s="5">
        <v>643</v>
      </c>
      <c r="B578" s="59"/>
      <c r="C578" s="60"/>
      <c r="D578" s="61"/>
      <c r="E578" s="63"/>
      <c r="F578" s="63"/>
      <c r="G578" s="63"/>
      <c r="H578" s="62" t="s">
        <v>178</v>
      </c>
      <c r="I578" s="65">
        <v>16201424.949999999</v>
      </c>
      <c r="J578" s="65">
        <v>7128221.6397775821</v>
      </c>
      <c r="K578" s="62"/>
      <c r="L578" s="65">
        <v>16804285.063954726</v>
      </c>
      <c r="M578" s="65">
        <v>9410820.0567997061</v>
      </c>
      <c r="N578" s="65">
        <v>7393465.0071550207</v>
      </c>
      <c r="P578">
        <f t="shared" si="37"/>
        <v>571</v>
      </c>
      <c r="Q578" t="str">
        <f t="shared" si="38"/>
        <v>NA</v>
      </c>
      <c r="R578" t="str">
        <f>IF(ISERROR(MATCH(P578&amp;"."&amp;Q578,R$5:R577,0)),P578&amp;"."&amp;Q578,P578&amp;"."&amp;Q578&amp;COUNTIFS(P$5:P577,P578,Q$5:Q577,Q578))</f>
        <v>571.NA2</v>
      </c>
      <c r="S578" s="55">
        <f t="shared" si="39"/>
        <v>7393465.0071550207</v>
      </c>
    </row>
    <row r="579" spans="1:19" hidden="1">
      <c r="A579" s="5">
        <v>644</v>
      </c>
      <c r="B579" s="59"/>
      <c r="C579" s="60"/>
      <c r="D579" s="63"/>
      <c r="E579" s="63"/>
      <c r="F579" s="60"/>
      <c r="G579" s="61"/>
      <c r="H579" s="62"/>
      <c r="I579" s="65"/>
      <c r="J579" s="65"/>
      <c r="K579" s="62"/>
      <c r="L579" s="65"/>
      <c r="M579" s="65"/>
      <c r="N579" s="64"/>
      <c r="P579">
        <f t="shared" si="37"/>
        <v>571</v>
      </c>
      <c r="Q579" t="str">
        <f t="shared" si="38"/>
        <v>NA</v>
      </c>
      <c r="R579" t="str">
        <f>IF(ISERROR(MATCH(P579&amp;"."&amp;Q579,R$5:R578,0)),P579&amp;"."&amp;Q579,P579&amp;"."&amp;Q579&amp;COUNTIFS(P$5:P578,P579,Q$5:Q578,Q579))</f>
        <v>571.NA3</v>
      </c>
      <c r="S579" s="55">
        <f t="shared" si="39"/>
        <v>0</v>
      </c>
    </row>
    <row r="580" spans="1:19" hidden="1">
      <c r="A580" s="5">
        <v>645</v>
      </c>
      <c r="B580" s="59"/>
      <c r="C580" s="60">
        <v>572</v>
      </c>
      <c r="D580" s="63" t="s">
        <v>315</v>
      </c>
      <c r="E580" s="63"/>
      <c r="F580" s="60"/>
      <c r="G580" s="61"/>
      <c r="H580" s="62"/>
      <c r="I580" s="65"/>
      <c r="J580" s="65"/>
      <c r="K580" s="62"/>
      <c r="L580" s="65"/>
      <c r="M580" s="65"/>
      <c r="N580" s="64"/>
      <c r="P580">
        <f t="shared" si="37"/>
        <v>572</v>
      </c>
      <c r="Q580" t="str">
        <f t="shared" si="38"/>
        <v>NA</v>
      </c>
      <c r="R580" t="str">
        <f>IF(ISERROR(MATCH(P580&amp;"."&amp;Q580,R$5:R579,0)),P580&amp;"."&amp;Q580,P580&amp;"."&amp;Q580&amp;COUNTIFS(P$5:P579,P580,Q$5:Q579,Q580))</f>
        <v>572.NA</v>
      </c>
      <c r="S580" s="55">
        <f t="shared" si="39"/>
        <v>0</v>
      </c>
    </row>
    <row r="581" spans="1:19" hidden="1">
      <c r="A581" s="5">
        <v>646</v>
      </c>
      <c r="B581" s="59"/>
      <c r="C581" s="60"/>
      <c r="D581" s="63"/>
      <c r="E581" s="63"/>
      <c r="F581" s="63" t="s">
        <v>18</v>
      </c>
      <c r="G581" s="63" t="s">
        <v>15</v>
      </c>
      <c r="H581" s="62"/>
      <c r="I581" s="66">
        <v>57535.29</v>
      </c>
      <c r="J581" s="66">
        <v>25314.088143146862</v>
      </c>
      <c r="K581" s="62"/>
      <c r="L581" s="66">
        <v>60703.077795326622</v>
      </c>
      <c r="M581" s="66">
        <v>33995.242276096615</v>
      </c>
      <c r="N581" s="66">
        <v>26707.835519230008</v>
      </c>
      <c r="P581">
        <f t="shared" si="37"/>
        <v>572</v>
      </c>
      <c r="Q581" t="str">
        <f t="shared" si="38"/>
        <v>SG</v>
      </c>
      <c r="R581" t="str">
        <f>IF(ISERROR(MATCH(P581&amp;"."&amp;Q581,R$5:R580,0)),P581&amp;"."&amp;Q581,P581&amp;"."&amp;Q581&amp;COUNTIFS(P$5:P580,P581,Q$5:Q580,Q581))</f>
        <v>572.SG</v>
      </c>
      <c r="S581" s="55">
        <f t="shared" si="39"/>
        <v>26707.835519230008</v>
      </c>
    </row>
    <row r="582" spans="1:19" hidden="1">
      <c r="A582" s="5">
        <v>647</v>
      </c>
      <c r="B582" s="59"/>
      <c r="C582" s="60"/>
      <c r="D582" s="63"/>
      <c r="E582" s="63"/>
      <c r="F582" s="63"/>
      <c r="G582" s="63"/>
      <c r="H582" s="62"/>
      <c r="I582" s="65"/>
      <c r="J582" s="65"/>
      <c r="K582" s="62"/>
      <c r="L582" s="65"/>
      <c r="M582" s="65"/>
      <c r="N582" s="65"/>
      <c r="P582">
        <f t="shared" si="37"/>
        <v>572</v>
      </c>
      <c r="Q582" t="str">
        <f t="shared" si="38"/>
        <v>NA</v>
      </c>
      <c r="R582" t="str">
        <f>IF(ISERROR(MATCH(P582&amp;"."&amp;Q582,R$5:R581,0)),P582&amp;"."&amp;Q582,P582&amp;"."&amp;Q582&amp;COUNTIFS(P$5:P581,P582,Q$5:Q581,Q582))</f>
        <v>572.NA1</v>
      </c>
      <c r="S582" s="55">
        <f t="shared" si="39"/>
        <v>0</v>
      </c>
    </row>
    <row r="583" spans="1:19" hidden="1">
      <c r="A583" s="5">
        <v>648</v>
      </c>
      <c r="B583" s="59"/>
      <c r="C583" s="60"/>
      <c r="D583" s="61"/>
      <c r="E583" s="63"/>
      <c r="F583" s="63"/>
      <c r="G583" s="63"/>
      <c r="H583" s="62" t="s">
        <v>178</v>
      </c>
      <c r="I583" s="65">
        <v>57535.29</v>
      </c>
      <c r="J583" s="65">
        <v>25314.088143146862</v>
      </c>
      <c r="K583" s="62"/>
      <c r="L583" s="65">
        <v>60703.077795326622</v>
      </c>
      <c r="M583" s="65">
        <v>33995.242276096615</v>
      </c>
      <c r="N583" s="65">
        <v>26707.835519230008</v>
      </c>
      <c r="P583">
        <f t="shared" ref="P583:P646" si="40">IF(OR(C583="",C583=" ",C583="  ",C583="   "),P582,C583)</f>
        <v>572</v>
      </c>
      <c r="Q583" t="str">
        <f t="shared" ref="Q583:Q646" si="41">IF(G583="","NA",G583)</f>
        <v>NA</v>
      </c>
      <c r="R583" t="str">
        <f>IF(ISERROR(MATCH(P583&amp;"."&amp;Q583,R$5:R582,0)),P583&amp;"."&amp;Q583,P583&amp;"."&amp;Q583&amp;COUNTIFS(P$5:P582,P583,Q$5:Q582,Q583))</f>
        <v>572.NA2</v>
      </c>
      <c r="S583" s="55">
        <f t="shared" si="39"/>
        <v>26707.835519230008</v>
      </c>
    </row>
    <row r="584" spans="1:19" hidden="1">
      <c r="A584" s="5">
        <v>649</v>
      </c>
      <c r="B584" s="59"/>
      <c r="C584" s="60"/>
      <c r="D584" s="63"/>
      <c r="E584" s="63"/>
      <c r="F584" s="60"/>
      <c r="G584" s="61"/>
      <c r="H584" s="62"/>
      <c r="I584" s="65"/>
      <c r="J584" s="65"/>
      <c r="K584" s="62"/>
      <c r="L584" s="65"/>
      <c r="M584" s="65"/>
      <c r="N584" s="64"/>
      <c r="P584">
        <f t="shared" si="40"/>
        <v>572</v>
      </c>
      <c r="Q584" t="str">
        <f t="shared" si="41"/>
        <v>NA</v>
      </c>
      <c r="R584" t="str">
        <f>IF(ISERROR(MATCH(P584&amp;"."&amp;Q584,R$5:R583,0)),P584&amp;"."&amp;Q584,P584&amp;"."&amp;Q584&amp;COUNTIFS(P$5:P583,P584,Q$5:Q583,Q584))</f>
        <v>572.NA3</v>
      </c>
      <c r="S584" s="55">
        <f t="shared" ref="S584:S647" si="42">N584</f>
        <v>0</v>
      </c>
    </row>
    <row r="585" spans="1:19" hidden="1">
      <c r="A585" s="5">
        <v>650</v>
      </c>
      <c r="B585" s="59"/>
      <c r="C585" s="60">
        <v>573</v>
      </c>
      <c r="D585" s="63" t="s">
        <v>316</v>
      </c>
      <c r="E585" s="63"/>
      <c r="F585" s="60"/>
      <c r="G585" s="61"/>
      <c r="H585" s="62"/>
      <c r="I585" s="65"/>
      <c r="J585" s="65"/>
      <c r="K585" s="62"/>
      <c r="L585" s="65"/>
      <c r="M585" s="65"/>
      <c r="N585" s="64"/>
      <c r="P585">
        <f t="shared" si="40"/>
        <v>573</v>
      </c>
      <c r="Q585" t="str">
        <f t="shared" si="41"/>
        <v>NA</v>
      </c>
      <c r="R585" t="str">
        <f>IF(ISERROR(MATCH(P585&amp;"."&amp;Q585,R$5:R584,0)),P585&amp;"."&amp;Q585,P585&amp;"."&amp;Q585&amp;COUNTIFS(P$5:P584,P585,Q$5:Q584,Q585))</f>
        <v>573.NA</v>
      </c>
      <c r="S585" s="55">
        <f t="shared" si="42"/>
        <v>0</v>
      </c>
    </row>
    <row r="586" spans="1:19" hidden="1">
      <c r="A586" s="5">
        <v>651</v>
      </c>
      <c r="B586" s="59"/>
      <c r="C586" s="60"/>
      <c r="D586" s="63"/>
      <c r="E586" s="63"/>
      <c r="F586" s="63" t="s">
        <v>18</v>
      </c>
      <c r="G586" s="63" t="s">
        <v>15</v>
      </c>
      <c r="H586" s="62"/>
      <c r="I586" s="66">
        <v>153478.92000000001</v>
      </c>
      <c r="J586" s="66">
        <v>67526.884960430121</v>
      </c>
      <c r="K586" s="62"/>
      <c r="L586" s="66">
        <v>155544.02765564347</v>
      </c>
      <c r="M586" s="66">
        <v>87108.546992992226</v>
      </c>
      <c r="N586" s="66">
        <v>68435.480662651244</v>
      </c>
      <c r="P586">
        <f t="shared" si="40"/>
        <v>573</v>
      </c>
      <c r="Q586" t="str">
        <f t="shared" si="41"/>
        <v>SG</v>
      </c>
      <c r="R586" t="str">
        <f>IF(ISERROR(MATCH(P586&amp;"."&amp;Q586,R$5:R585,0)),P586&amp;"."&amp;Q586,P586&amp;"."&amp;Q586&amp;COUNTIFS(P$5:P585,P586,Q$5:Q585,Q586))</f>
        <v>573.SG</v>
      </c>
      <c r="S586" s="55">
        <f t="shared" si="42"/>
        <v>68435.480662651244</v>
      </c>
    </row>
    <row r="587" spans="1:19" hidden="1">
      <c r="A587" s="5">
        <v>652</v>
      </c>
      <c r="B587" s="59"/>
      <c r="C587" s="60"/>
      <c r="D587" s="63"/>
      <c r="E587" s="63"/>
      <c r="F587" s="63"/>
      <c r="G587" s="63"/>
      <c r="H587" s="62"/>
      <c r="I587" s="65"/>
      <c r="J587" s="65"/>
      <c r="K587" s="62"/>
      <c r="L587" s="65"/>
      <c r="M587" s="65"/>
      <c r="N587" s="65"/>
      <c r="P587">
        <f t="shared" si="40"/>
        <v>573</v>
      </c>
      <c r="Q587" t="str">
        <f t="shared" si="41"/>
        <v>NA</v>
      </c>
      <c r="R587" t="str">
        <f>IF(ISERROR(MATCH(P587&amp;"."&amp;Q587,R$5:R586,0)),P587&amp;"."&amp;Q587,P587&amp;"."&amp;Q587&amp;COUNTIFS(P$5:P586,P587,Q$5:Q586,Q587))</f>
        <v>573.NA1</v>
      </c>
      <c r="S587" s="55">
        <f t="shared" si="42"/>
        <v>0</v>
      </c>
    </row>
    <row r="588" spans="1:19" hidden="1">
      <c r="A588" s="5">
        <v>653</v>
      </c>
      <c r="B588" s="59"/>
      <c r="C588" s="60"/>
      <c r="D588" s="61"/>
      <c r="E588" s="63"/>
      <c r="F588" s="63"/>
      <c r="G588" s="63"/>
      <c r="H588" s="62" t="s">
        <v>178</v>
      </c>
      <c r="I588" s="65">
        <v>153478.92000000001</v>
      </c>
      <c r="J588" s="65">
        <v>67526.884960430121</v>
      </c>
      <c r="K588" s="62"/>
      <c r="L588" s="65">
        <v>155544.02765564347</v>
      </c>
      <c r="M588" s="65">
        <v>87108.546992992226</v>
      </c>
      <c r="N588" s="65">
        <v>68435.480662651244</v>
      </c>
      <c r="P588">
        <f t="shared" si="40"/>
        <v>573</v>
      </c>
      <c r="Q588" t="str">
        <f t="shared" si="41"/>
        <v>NA</v>
      </c>
      <c r="R588" t="str">
        <f>IF(ISERROR(MATCH(P588&amp;"."&amp;Q588,R$5:R587,0)),P588&amp;"."&amp;Q588,P588&amp;"."&amp;Q588&amp;COUNTIFS(P$5:P587,P588,Q$5:Q587,Q588))</f>
        <v>573.NA2</v>
      </c>
      <c r="S588" s="55">
        <f t="shared" si="42"/>
        <v>68435.480662651244</v>
      </c>
    </row>
    <row r="589" spans="1:19" hidden="1">
      <c r="A589" s="5">
        <v>654</v>
      </c>
      <c r="B589" s="59"/>
      <c r="C589" s="60"/>
      <c r="D589" s="63"/>
      <c r="E589" s="63"/>
      <c r="F589" s="60"/>
      <c r="G589" s="61"/>
      <c r="H589" s="62"/>
      <c r="I589" s="65"/>
      <c r="J589" s="65"/>
      <c r="K589" s="62"/>
      <c r="L589" s="65"/>
      <c r="M589" s="65"/>
      <c r="N589" s="64"/>
      <c r="P589">
        <f t="shared" si="40"/>
        <v>573</v>
      </c>
      <c r="Q589" t="str">
        <f t="shared" si="41"/>
        <v>NA</v>
      </c>
      <c r="R589" t="str">
        <f>IF(ISERROR(MATCH(P589&amp;"."&amp;Q589,R$5:R588,0)),P589&amp;"."&amp;Q589,P589&amp;"."&amp;Q589&amp;COUNTIFS(P$5:P588,P589,Q$5:Q588,Q589))</f>
        <v>573.NA3</v>
      </c>
      <c r="S589" s="55">
        <f t="shared" si="42"/>
        <v>0</v>
      </c>
    </row>
    <row r="590" spans="1:19" hidden="1">
      <c r="A590" s="5">
        <v>655</v>
      </c>
      <c r="B590" s="59"/>
      <c r="C590" s="60" t="s">
        <v>317</v>
      </c>
      <c r="D590" s="63"/>
      <c r="E590" s="63"/>
      <c r="F590" s="60"/>
      <c r="G590" s="61"/>
      <c r="H590" s="62" t="s">
        <v>178</v>
      </c>
      <c r="I590" s="65">
        <v>218366627.02999994</v>
      </c>
      <c r="J590" s="65">
        <v>96044206.514754087</v>
      </c>
      <c r="K590" s="62"/>
      <c r="L590" s="65">
        <v>223336947.25733563</v>
      </c>
      <c r="M590" s="65">
        <v>125119032.11753127</v>
      </c>
      <c r="N590" s="64">
        <v>98217915.139804378</v>
      </c>
      <c r="P590" t="str">
        <f t="shared" si="40"/>
        <v>Total Transmission Expense</v>
      </c>
      <c r="Q590" t="str">
        <f t="shared" si="41"/>
        <v>NA</v>
      </c>
      <c r="R590" t="str">
        <f>IF(ISERROR(MATCH(P590&amp;"."&amp;Q590,R$5:R589,0)),P590&amp;"."&amp;Q590,P590&amp;"."&amp;Q590&amp;COUNTIFS(P$5:P589,P590,Q$5:Q589,Q590))</f>
        <v>Total Transmission Expense.NA</v>
      </c>
      <c r="S590" s="55">
        <f t="shared" si="42"/>
        <v>98217915.139804378</v>
      </c>
    </row>
    <row r="591" spans="1:19" hidden="1">
      <c r="A591" s="5">
        <v>656</v>
      </c>
      <c r="B591" s="59"/>
      <c r="C591" s="60"/>
      <c r="D591" s="63"/>
      <c r="E591" s="63"/>
      <c r="F591" s="63"/>
      <c r="G591" s="63"/>
      <c r="H591" s="62"/>
      <c r="I591" s="66"/>
      <c r="J591" s="66"/>
      <c r="K591" s="62"/>
      <c r="L591" s="66"/>
      <c r="M591" s="66"/>
      <c r="N591" s="66"/>
      <c r="P591" t="str">
        <f t="shared" si="40"/>
        <v>Total Transmission Expense</v>
      </c>
      <c r="Q591" t="str">
        <f t="shared" si="41"/>
        <v>NA</v>
      </c>
      <c r="R591" t="str">
        <f>IF(ISERROR(MATCH(P591&amp;"."&amp;Q591,R$5:R590,0)),P591&amp;"."&amp;Q591,P591&amp;"."&amp;Q591&amp;COUNTIFS(P$5:P590,P591,Q$5:Q590,Q591))</f>
        <v>Total Transmission Expense.NA1</v>
      </c>
      <c r="S591" s="55">
        <f t="shared" si="42"/>
        <v>0</v>
      </c>
    </row>
    <row r="592" spans="1:19" hidden="1">
      <c r="A592" s="5">
        <v>657</v>
      </c>
      <c r="B592" s="59"/>
      <c r="C592" s="60" t="s">
        <v>318</v>
      </c>
      <c r="D592" s="63"/>
      <c r="E592" s="63"/>
      <c r="F592" s="63"/>
      <c r="G592" s="63"/>
      <c r="H592" s="62"/>
      <c r="I592" s="65"/>
      <c r="J592" s="65"/>
      <c r="K592" s="62"/>
      <c r="L592" s="65"/>
      <c r="M592" s="65"/>
      <c r="N592" s="65"/>
      <c r="P592" t="str">
        <f t="shared" si="40"/>
        <v>Summary of Transmission Expense by Factor</v>
      </c>
      <c r="Q592" t="str">
        <f t="shared" si="41"/>
        <v>NA</v>
      </c>
      <c r="R592" t="str">
        <f>IF(ISERROR(MATCH(P592&amp;"."&amp;Q592,R$5:R591,0)),P592&amp;"."&amp;Q592,P592&amp;"."&amp;Q592&amp;COUNTIFS(P$5:P591,P592,Q$5:Q591,Q592))</f>
        <v>Summary of Transmission Expense by Factor.NA</v>
      </c>
      <c r="S592" s="55">
        <f t="shared" si="42"/>
        <v>0</v>
      </c>
    </row>
    <row r="593" spans="1:19" hidden="1">
      <c r="A593" s="5">
        <v>658</v>
      </c>
      <c r="B593" s="59"/>
      <c r="C593" s="60"/>
      <c r="D593" s="61"/>
      <c r="E593" s="63" t="s">
        <v>16</v>
      </c>
      <c r="F593" s="63"/>
      <c r="G593" s="63"/>
      <c r="H593" s="62"/>
      <c r="I593" s="65">
        <v>4934772.37</v>
      </c>
      <c r="J593" s="65">
        <v>2139530.2470486569</v>
      </c>
      <c r="K593" s="62"/>
      <c r="L593" s="65">
        <v>6978769.9499999993</v>
      </c>
      <c r="M593" s="65">
        <v>3953039.8300067969</v>
      </c>
      <c r="N593" s="65">
        <v>3025730.1199932024</v>
      </c>
      <c r="P593" t="str">
        <f t="shared" si="40"/>
        <v>Summary of Transmission Expense by Factor</v>
      </c>
      <c r="Q593" t="str">
        <f t="shared" si="41"/>
        <v>NA</v>
      </c>
      <c r="R593" t="str">
        <f>IF(ISERROR(MATCH(P593&amp;"."&amp;Q593,R$5:R592,0)),P593&amp;"."&amp;Q593,P593&amp;"."&amp;Q593&amp;COUNTIFS(P$5:P592,P593,Q$5:Q592,Q593))</f>
        <v>Summary of Transmission Expense by Factor.NA1</v>
      </c>
      <c r="S593" s="55">
        <f t="shared" si="42"/>
        <v>3025730.1199932024</v>
      </c>
    </row>
    <row r="594" spans="1:19" hidden="1">
      <c r="A594" s="5">
        <v>659</v>
      </c>
      <c r="B594" s="59"/>
      <c r="C594" s="60"/>
      <c r="D594" s="63"/>
      <c r="E594" s="63" t="s">
        <v>15</v>
      </c>
      <c r="F594" s="60"/>
      <c r="G594" s="61"/>
      <c r="H594" s="62"/>
      <c r="I594" s="65">
        <v>213431854.65999994</v>
      </c>
      <c r="J594" s="65">
        <v>93904676.267705411</v>
      </c>
      <c r="K594" s="62"/>
      <c r="L594" s="65">
        <v>216358177.30733564</v>
      </c>
      <c r="M594" s="65">
        <v>121165992.28752448</v>
      </c>
      <c r="N594" s="64">
        <v>95192185.019811168</v>
      </c>
      <c r="P594" t="str">
        <f t="shared" si="40"/>
        <v>Summary of Transmission Expense by Factor</v>
      </c>
      <c r="Q594" t="str">
        <f t="shared" si="41"/>
        <v>NA</v>
      </c>
      <c r="R594" t="str">
        <f>IF(ISERROR(MATCH(P594&amp;"."&amp;Q594,R$5:R593,0)),P594&amp;"."&amp;Q594,P594&amp;"."&amp;Q594&amp;COUNTIFS(P$5:P593,P594,Q$5:Q593,Q594))</f>
        <v>Summary of Transmission Expense by Factor.NA2</v>
      </c>
      <c r="S594" s="55">
        <f t="shared" si="42"/>
        <v>95192185.019811168</v>
      </c>
    </row>
    <row r="595" spans="1:19" hidden="1">
      <c r="A595" s="5">
        <v>660</v>
      </c>
      <c r="B595" s="59"/>
      <c r="C595" s="60"/>
      <c r="D595" s="63"/>
      <c r="E595" s="63" t="s">
        <v>319</v>
      </c>
      <c r="F595" s="60"/>
      <c r="G595" s="61"/>
      <c r="H595" s="62"/>
      <c r="I595" s="65">
        <v>0</v>
      </c>
      <c r="J595" s="65">
        <v>0</v>
      </c>
      <c r="K595" s="62"/>
      <c r="L595" s="65">
        <v>0</v>
      </c>
      <c r="M595" s="65">
        <v>0</v>
      </c>
      <c r="N595" s="64">
        <v>0</v>
      </c>
      <c r="P595" t="str">
        <f t="shared" si="40"/>
        <v>Summary of Transmission Expense by Factor</v>
      </c>
      <c r="Q595" t="str">
        <f t="shared" si="41"/>
        <v>NA</v>
      </c>
      <c r="R595" t="str">
        <f>IF(ISERROR(MATCH(P595&amp;"."&amp;Q595,R$5:R594,0)),P595&amp;"."&amp;Q595,P595&amp;"."&amp;Q595&amp;COUNTIFS(P$5:P594,P595,Q$5:Q594,Q595))</f>
        <v>Summary of Transmission Expense by Factor.NA3</v>
      </c>
      <c r="S595" s="55">
        <f t="shared" si="42"/>
        <v>0</v>
      </c>
    </row>
    <row r="596" spans="1:19" hidden="1">
      <c r="A596" s="5">
        <v>661</v>
      </c>
      <c r="B596" s="59"/>
      <c r="C596" s="60" t="s">
        <v>320</v>
      </c>
      <c r="D596" s="63"/>
      <c r="E596" s="63"/>
      <c r="F596" s="63"/>
      <c r="G596" s="63"/>
      <c r="H596" s="62" t="s">
        <v>141</v>
      </c>
      <c r="I596" s="66">
        <v>218366627.02999994</v>
      </c>
      <c r="J596" s="66">
        <v>96044206.514754072</v>
      </c>
      <c r="K596" s="62"/>
      <c r="L596" s="66">
        <v>223336947.25733563</v>
      </c>
      <c r="M596" s="66">
        <v>125119032.11753127</v>
      </c>
      <c r="N596" s="66">
        <v>98217915.139804363</v>
      </c>
      <c r="P596" t="str">
        <f t="shared" si="40"/>
        <v>Total Transmission Expense by Factor</v>
      </c>
      <c r="Q596" t="str">
        <f t="shared" si="41"/>
        <v>NA</v>
      </c>
      <c r="R596" t="str">
        <f>IF(ISERROR(MATCH(P596&amp;"."&amp;Q596,R$5:R595,0)),P596&amp;"."&amp;Q596,P596&amp;"."&amp;Q596&amp;COUNTIFS(P$5:P595,P596,Q$5:Q595,Q596))</f>
        <v>Total Transmission Expense by Factor.NA</v>
      </c>
      <c r="S596" s="55">
        <f t="shared" si="42"/>
        <v>98217915.139804363</v>
      </c>
    </row>
    <row r="597" spans="1:19" hidden="1">
      <c r="A597" s="5">
        <v>662</v>
      </c>
      <c r="B597" s="59"/>
      <c r="C597" s="60">
        <v>580</v>
      </c>
      <c r="D597" s="63" t="s">
        <v>177</v>
      </c>
      <c r="E597" s="63"/>
      <c r="F597" s="63"/>
      <c r="G597" s="63"/>
      <c r="H597" s="62"/>
      <c r="I597" s="65"/>
      <c r="J597" s="65"/>
      <c r="K597" s="62"/>
      <c r="L597" s="65"/>
      <c r="M597" s="65"/>
      <c r="N597" s="65"/>
      <c r="P597">
        <f t="shared" si="40"/>
        <v>580</v>
      </c>
      <c r="Q597" t="str">
        <f t="shared" si="41"/>
        <v>NA</v>
      </c>
      <c r="R597" t="str">
        <f>IF(ISERROR(MATCH(P597&amp;"."&amp;Q597,R$5:R596,0)),P597&amp;"."&amp;Q597,P597&amp;"."&amp;Q597&amp;COUNTIFS(P$5:P596,P597,Q$5:Q596,Q597))</f>
        <v>580.NA</v>
      </c>
      <c r="S597" s="55">
        <f t="shared" si="42"/>
        <v>0</v>
      </c>
    </row>
    <row r="598" spans="1:19" hidden="1">
      <c r="A598" s="5">
        <v>663</v>
      </c>
      <c r="B598" s="59"/>
      <c r="C598" s="60"/>
      <c r="D598" s="61"/>
      <c r="E598" s="63"/>
      <c r="F598" s="63" t="s">
        <v>139</v>
      </c>
      <c r="G598" s="63" t="s">
        <v>12</v>
      </c>
      <c r="H598" s="62"/>
      <c r="I598" s="65">
        <v>1272172.4800000002</v>
      </c>
      <c r="J598" s="65">
        <v>411439.74</v>
      </c>
      <c r="K598" s="62"/>
      <c r="L598" s="65">
        <v>1368317.785700938</v>
      </c>
      <c r="M598" s="65">
        <v>968708.04935356043</v>
      </c>
      <c r="N598" s="65">
        <v>399609.73634737759</v>
      </c>
      <c r="P598">
        <f t="shared" si="40"/>
        <v>580</v>
      </c>
      <c r="Q598" t="str">
        <f t="shared" si="41"/>
        <v>S</v>
      </c>
      <c r="R598" t="str">
        <f>IF(ISERROR(MATCH(P598&amp;"."&amp;Q598,R$5:R597,0)),P598&amp;"."&amp;Q598,P598&amp;"."&amp;Q598&amp;COUNTIFS(P$5:P597,P598,Q$5:Q597,Q598))</f>
        <v>580.S</v>
      </c>
      <c r="S598" s="55">
        <f t="shared" si="42"/>
        <v>399609.73634737759</v>
      </c>
    </row>
    <row r="599" spans="1:19" hidden="1">
      <c r="A599" s="5">
        <v>664</v>
      </c>
      <c r="B599" s="59"/>
      <c r="C599" s="60"/>
      <c r="D599" s="63"/>
      <c r="E599" s="63"/>
      <c r="F599" s="60" t="s">
        <v>139</v>
      </c>
      <c r="G599" s="61" t="s">
        <v>321</v>
      </c>
      <c r="H599" s="62"/>
      <c r="I599" s="65">
        <v>8248334.3700000001</v>
      </c>
      <c r="J599" s="65">
        <v>3978267.0605626013</v>
      </c>
      <c r="K599" s="62"/>
      <c r="L599" s="65">
        <v>9143777.7142555956</v>
      </c>
      <c r="M599" s="65">
        <v>4710141.9439424891</v>
      </c>
      <c r="N599" s="64">
        <v>4433635.7703131065</v>
      </c>
      <c r="P599">
        <f t="shared" si="40"/>
        <v>580</v>
      </c>
      <c r="Q599" t="str">
        <f t="shared" si="41"/>
        <v>SNPD</v>
      </c>
      <c r="R599" t="str">
        <f>IF(ISERROR(MATCH(P599&amp;"."&amp;Q599,R$5:R598,0)),P599&amp;"."&amp;Q599,P599&amp;"."&amp;Q599&amp;COUNTIFS(P$5:P598,P599,Q$5:Q598,Q599))</f>
        <v>580.SNPD</v>
      </c>
      <c r="S599" s="55">
        <f t="shared" si="42"/>
        <v>4433635.7703131065</v>
      </c>
    </row>
    <row r="600" spans="1:19" hidden="1">
      <c r="A600" s="5">
        <v>665</v>
      </c>
      <c r="B600" s="59"/>
      <c r="C600" s="60"/>
      <c r="D600" s="63"/>
      <c r="E600" s="63"/>
      <c r="F600" s="60"/>
      <c r="G600" s="61"/>
      <c r="H600" s="62" t="s">
        <v>178</v>
      </c>
      <c r="I600" s="65">
        <v>9520506.8499999996</v>
      </c>
      <c r="J600" s="65">
        <v>4389706.8005626015</v>
      </c>
      <c r="K600" s="62"/>
      <c r="L600" s="65">
        <v>10512095.499956533</v>
      </c>
      <c r="M600" s="65">
        <v>5678849.9932960495</v>
      </c>
      <c r="N600" s="64">
        <v>4833245.5066604838</v>
      </c>
      <c r="P600">
        <f t="shared" si="40"/>
        <v>580</v>
      </c>
      <c r="Q600" t="str">
        <f t="shared" si="41"/>
        <v>NA</v>
      </c>
      <c r="R600" t="str">
        <f>IF(ISERROR(MATCH(P600&amp;"."&amp;Q600,R$5:R599,0)),P600&amp;"."&amp;Q600,P600&amp;"."&amp;Q600&amp;COUNTIFS(P$5:P599,P600,Q$5:Q599,Q600))</f>
        <v>580.NA1</v>
      </c>
      <c r="S600" s="55">
        <f t="shared" si="42"/>
        <v>4833245.5066604838</v>
      </c>
    </row>
    <row r="601" spans="1:19" hidden="1">
      <c r="A601" s="5">
        <v>666</v>
      </c>
      <c r="B601" s="59"/>
      <c r="C601" s="60"/>
      <c r="D601" s="63"/>
      <c r="E601" s="63"/>
      <c r="F601" s="63"/>
      <c r="G601" s="63"/>
      <c r="H601" s="62"/>
      <c r="I601" s="66"/>
      <c r="J601" s="66"/>
      <c r="K601" s="62"/>
      <c r="L601" s="66"/>
      <c r="M601" s="66"/>
      <c r="N601" s="66"/>
      <c r="P601">
        <f t="shared" si="40"/>
        <v>580</v>
      </c>
      <c r="Q601" t="str">
        <f t="shared" si="41"/>
        <v>NA</v>
      </c>
      <c r="R601" t="str">
        <f>IF(ISERROR(MATCH(P601&amp;"."&amp;Q601,R$5:R600,0)),P601&amp;"."&amp;Q601,P601&amp;"."&amp;Q601&amp;COUNTIFS(P$5:P600,P601,Q$5:Q600,Q601))</f>
        <v>580.NA2</v>
      </c>
      <c r="S601" s="55">
        <f t="shared" si="42"/>
        <v>0</v>
      </c>
    </row>
    <row r="602" spans="1:19" hidden="1">
      <c r="A602" s="5">
        <v>667</v>
      </c>
      <c r="B602" s="59"/>
      <c r="C602" s="60">
        <v>581</v>
      </c>
      <c r="D602" s="63" t="s">
        <v>304</v>
      </c>
      <c r="E602" s="63"/>
      <c r="F602" s="63"/>
      <c r="G602" s="63"/>
      <c r="H602" s="62"/>
      <c r="I602" s="65"/>
      <c r="J602" s="65"/>
      <c r="K602" s="62"/>
      <c r="L602" s="65"/>
      <c r="M602" s="65"/>
      <c r="N602" s="65"/>
      <c r="P602">
        <f t="shared" si="40"/>
        <v>581</v>
      </c>
      <c r="Q602" t="str">
        <f t="shared" si="41"/>
        <v>NA</v>
      </c>
      <c r="R602" t="str">
        <f>IF(ISERROR(MATCH(P602&amp;"."&amp;Q602,R$5:R601,0)),P602&amp;"."&amp;Q602,P602&amp;"."&amp;Q602&amp;COUNTIFS(P$5:P601,P602,Q$5:Q601,Q602))</f>
        <v>581.NA</v>
      </c>
      <c r="S602" s="55">
        <f t="shared" si="42"/>
        <v>0</v>
      </c>
    </row>
    <row r="603" spans="1:19" hidden="1">
      <c r="A603" s="5">
        <v>668</v>
      </c>
      <c r="B603" s="59"/>
      <c r="C603" s="60"/>
      <c r="D603" s="61"/>
      <c r="E603" s="63"/>
      <c r="F603" s="63" t="s">
        <v>139</v>
      </c>
      <c r="G603" s="63" t="s">
        <v>12</v>
      </c>
      <c r="H603" s="62"/>
      <c r="I603" s="65">
        <v>0</v>
      </c>
      <c r="J603" s="65">
        <v>0</v>
      </c>
      <c r="K603" s="62"/>
      <c r="L603" s="65">
        <v>0</v>
      </c>
      <c r="M603" s="65">
        <v>0</v>
      </c>
      <c r="N603" s="65">
        <v>0</v>
      </c>
      <c r="P603">
        <f t="shared" si="40"/>
        <v>581</v>
      </c>
      <c r="Q603" t="str">
        <f t="shared" si="41"/>
        <v>S</v>
      </c>
      <c r="R603" t="str">
        <f>IF(ISERROR(MATCH(P603&amp;"."&amp;Q603,R$5:R602,0)),P603&amp;"."&amp;Q603,P603&amp;"."&amp;Q603&amp;COUNTIFS(P$5:P602,P603,Q$5:Q602,Q603))</f>
        <v>581.S</v>
      </c>
      <c r="S603" s="55">
        <f t="shared" si="42"/>
        <v>0</v>
      </c>
    </row>
    <row r="604" spans="1:19" hidden="1">
      <c r="A604" s="5">
        <v>669</v>
      </c>
      <c r="B604" s="59"/>
      <c r="C604" s="60"/>
      <c r="D604" s="63"/>
      <c r="E604" s="63"/>
      <c r="F604" s="60" t="s">
        <v>139</v>
      </c>
      <c r="G604" s="61" t="s">
        <v>321</v>
      </c>
      <c r="H604" s="62"/>
      <c r="I604" s="65">
        <v>12160239.15</v>
      </c>
      <c r="J604" s="65">
        <v>5865023.9780481607</v>
      </c>
      <c r="K604" s="62"/>
      <c r="L604" s="65">
        <v>13426162.799319264</v>
      </c>
      <c r="M604" s="65">
        <v>6916083.7591973692</v>
      </c>
      <c r="N604" s="64">
        <v>6510079.0401218943</v>
      </c>
      <c r="P604">
        <f t="shared" si="40"/>
        <v>581</v>
      </c>
      <c r="Q604" t="str">
        <f t="shared" si="41"/>
        <v>SNPD</v>
      </c>
      <c r="R604" t="str">
        <f>IF(ISERROR(MATCH(P604&amp;"."&amp;Q604,R$5:R603,0)),P604&amp;"."&amp;Q604,P604&amp;"."&amp;Q604&amp;COUNTIFS(P$5:P603,P604,Q$5:Q603,Q604))</f>
        <v>581.SNPD</v>
      </c>
      <c r="S604" s="55">
        <f t="shared" si="42"/>
        <v>6510079.0401218943</v>
      </c>
    </row>
    <row r="605" spans="1:19" hidden="1">
      <c r="A605" s="5">
        <v>670</v>
      </c>
      <c r="B605" s="59"/>
      <c r="C605" s="60"/>
      <c r="D605" s="63"/>
      <c r="E605" s="63"/>
      <c r="F605" s="60"/>
      <c r="G605" s="61"/>
      <c r="H605" s="62" t="s">
        <v>178</v>
      </c>
      <c r="I605" s="65">
        <v>12160239.15</v>
      </c>
      <c r="J605" s="65">
        <v>5865023.9780481607</v>
      </c>
      <c r="K605" s="62"/>
      <c r="L605" s="65">
        <v>13426162.799319264</v>
      </c>
      <c r="M605" s="65">
        <v>6916083.7591973692</v>
      </c>
      <c r="N605" s="64">
        <v>6510079.0401218943</v>
      </c>
      <c r="P605">
        <f t="shared" si="40"/>
        <v>581</v>
      </c>
      <c r="Q605" t="str">
        <f t="shared" si="41"/>
        <v>NA</v>
      </c>
      <c r="R605" t="str">
        <f>IF(ISERROR(MATCH(P605&amp;"."&amp;Q605,R$5:R604,0)),P605&amp;"."&amp;Q605,P605&amp;"."&amp;Q605&amp;COUNTIFS(P$5:P604,P605,Q$5:Q604,Q605))</f>
        <v>581.NA1</v>
      </c>
      <c r="S605" s="55">
        <f t="shared" si="42"/>
        <v>6510079.0401218943</v>
      </c>
    </row>
    <row r="606" spans="1:19" hidden="1">
      <c r="A606" s="5">
        <v>671</v>
      </c>
      <c r="B606" s="59"/>
      <c r="C606" s="60"/>
      <c r="D606" s="63"/>
      <c r="E606" s="63"/>
      <c r="F606" s="63"/>
      <c r="G606" s="63"/>
      <c r="H606" s="62"/>
      <c r="I606" s="66"/>
      <c r="J606" s="66"/>
      <c r="K606" s="62"/>
      <c r="L606" s="66"/>
      <c r="M606" s="66"/>
      <c r="N606" s="66"/>
      <c r="P606">
        <f t="shared" si="40"/>
        <v>581</v>
      </c>
      <c r="Q606" t="str">
        <f t="shared" si="41"/>
        <v>NA</v>
      </c>
      <c r="R606" t="str">
        <f>IF(ISERROR(MATCH(P606&amp;"."&amp;Q606,R$5:R605,0)),P606&amp;"."&amp;Q606,P606&amp;"."&amp;Q606&amp;COUNTIFS(P$5:P605,P606,Q$5:Q605,Q606))</f>
        <v>581.NA2</v>
      </c>
      <c r="S606" s="55">
        <f t="shared" si="42"/>
        <v>0</v>
      </c>
    </row>
    <row r="607" spans="1:19" hidden="1">
      <c r="A607" s="5">
        <v>672</v>
      </c>
      <c r="B607" s="59"/>
      <c r="C607" s="60">
        <v>582</v>
      </c>
      <c r="D607" s="63" t="s">
        <v>305</v>
      </c>
      <c r="E607" s="63"/>
      <c r="F607" s="63"/>
      <c r="G607" s="63"/>
      <c r="H607" s="62"/>
      <c r="I607" s="65"/>
      <c r="J607" s="65"/>
      <c r="K607" s="62"/>
      <c r="L607" s="65"/>
      <c r="M607" s="65"/>
      <c r="N607" s="65"/>
      <c r="P607">
        <f t="shared" si="40"/>
        <v>582</v>
      </c>
      <c r="Q607" t="str">
        <f t="shared" si="41"/>
        <v>NA</v>
      </c>
      <c r="R607" t="str">
        <f>IF(ISERROR(MATCH(P607&amp;"."&amp;Q607,R$5:R606,0)),P607&amp;"."&amp;Q607,P607&amp;"."&amp;Q607&amp;COUNTIFS(P$5:P606,P607,Q$5:Q606,Q607))</f>
        <v>582.NA</v>
      </c>
      <c r="S607" s="55">
        <f t="shared" si="42"/>
        <v>0</v>
      </c>
    </row>
    <row r="608" spans="1:19" hidden="1">
      <c r="A608" s="5">
        <v>673</v>
      </c>
      <c r="B608" s="59"/>
      <c r="C608" s="60"/>
      <c r="D608" s="61"/>
      <c r="E608" s="63"/>
      <c r="F608" s="63" t="s">
        <v>139</v>
      </c>
      <c r="G608" s="63" t="s">
        <v>12</v>
      </c>
      <c r="H608" s="62"/>
      <c r="I608" s="65">
        <v>4704744.040000001</v>
      </c>
      <c r="J608" s="65">
        <v>2156017.2400000002</v>
      </c>
      <c r="K608" s="62"/>
      <c r="L608" s="65">
        <v>4982925.3029830772</v>
      </c>
      <c r="M608" s="65">
        <v>2694231.464509218</v>
      </c>
      <c r="N608" s="65">
        <v>2288693.8384738592</v>
      </c>
      <c r="P608">
        <f t="shared" si="40"/>
        <v>582</v>
      </c>
      <c r="Q608" t="str">
        <f t="shared" si="41"/>
        <v>S</v>
      </c>
      <c r="R608" t="str">
        <f>IF(ISERROR(MATCH(P608&amp;"."&amp;Q608,R$5:R607,0)),P608&amp;"."&amp;Q608,P608&amp;"."&amp;Q608&amp;COUNTIFS(P$5:P607,P608,Q$5:Q607,Q608))</f>
        <v>582.S</v>
      </c>
      <c r="S608" s="55">
        <f t="shared" si="42"/>
        <v>2288693.8384738592</v>
      </c>
    </row>
    <row r="609" spans="1:19" hidden="1">
      <c r="A609" s="5">
        <v>674</v>
      </c>
      <c r="B609" s="59"/>
      <c r="C609" s="60"/>
      <c r="D609" s="63"/>
      <c r="E609" s="63"/>
      <c r="F609" s="60" t="s">
        <v>139</v>
      </c>
      <c r="G609" s="61" t="s">
        <v>321</v>
      </c>
      <c r="H609" s="62"/>
      <c r="I609" s="65">
        <v>3203.63</v>
      </c>
      <c r="J609" s="65">
        <v>1545.1477997284642</v>
      </c>
      <c r="K609" s="62"/>
      <c r="L609" s="65">
        <v>3469.2457767051578</v>
      </c>
      <c r="M609" s="65">
        <v>1787.0775687414675</v>
      </c>
      <c r="N609" s="64">
        <v>1682.1682079636903</v>
      </c>
      <c r="P609">
        <f t="shared" si="40"/>
        <v>582</v>
      </c>
      <c r="Q609" t="str">
        <f t="shared" si="41"/>
        <v>SNPD</v>
      </c>
      <c r="R609" t="str">
        <f>IF(ISERROR(MATCH(P609&amp;"."&amp;Q609,R$5:R608,0)),P609&amp;"."&amp;Q609,P609&amp;"."&amp;Q609&amp;COUNTIFS(P$5:P608,P609,Q$5:Q608,Q609))</f>
        <v>582.SNPD</v>
      </c>
      <c r="S609" s="55">
        <f t="shared" si="42"/>
        <v>1682.1682079636903</v>
      </c>
    </row>
    <row r="610" spans="1:19" hidden="1">
      <c r="A610" s="5">
        <v>675</v>
      </c>
      <c r="B610" s="59"/>
      <c r="C610" s="60"/>
      <c r="D610" s="63"/>
      <c r="E610" s="63"/>
      <c r="F610" s="60"/>
      <c r="G610" s="61"/>
      <c r="H610" s="62" t="s">
        <v>178</v>
      </c>
      <c r="I610" s="65">
        <v>4707947.6700000009</v>
      </c>
      <c r="J610" s="65">
        <v>2157562.3877997287</v>
      </c>
      <c r="K610" s="62"/>
      <c r="L610" s="65">
        <v>4986394.5487597827</v>
      </c>
      <c r="M610" s="65">
        <v>2696018.5420779595</v>
      </c>
      <c r="N610" s="64">
        <v>2290376.0066818227</v>
      </c>
      <c r="P610">
        <f t="shared" si="40"/>
        <v>582</v>
      </c>
      <c r="Q610" t="str">
        <f t="shared" si="41"/>
        <v>NA</v>
      </c>
      <c r="R610" t="str">
        <f>IF(ISERROR(MATCH(P610&amp;"."&amp;Q610,R$5:R609,0)),P610&amp;"."&amp;Q610,P610&amp;"."&amp;Q610&amp;COUNTIFS(P$5:P609,P610,Q$5:Q609,Q610))</f>
        <v>582.NA1</v>
      </c>
      <c r="S610" s="55">
        <f t="shared" si="42"/>
        <v>2290376.0066818227</v>
      </c>
    </row>
    <row r="611" spans="1:19" hidden="1">
      <c r="A611" s="5">
        <v>676</v>
      </c>
      <c r="B611" s="59"/>
      <c r="C611" s="60"/>
      <c r="D611" s="63"/>
      <c r="E611" s="63"/>
      <c r="F611" s="63"/>
      <c r="G611" s="63"/>
      <c r="H611" s="62"/>
      <c r="I611" s="66"/>
      <c r="J611" s="66"/>
      <c r="K611" s="62"/>
      <c r="L611" s="66"/>
      <c r="M611" s="66"/>
      <c r="N611" s="66"/>
      <c r="P611">
        <f t="shared" si="40"/>
        <v>582</v>
      </c>
      <c r="Q611" t="str">
        <f t="shared" si="41"/>
        <v>NA</v>
      </c>
      <c r="R611" t="str">
        <f>IF(ISERROR(MATCH(P611&amp;"."&amp;Q611,R$5:R610,0)),P611&amp;"."&amp;Q611,P611&amp;"."&amp;Q611&amp;COUNTIFS(P$5:P610,P611,Q$5:Q610,Q611))</f>
        <v>582.NA2</v>
      </c>
      <c r="S611" s="55">
        <f t="shared" si="42"/>
        <v>0</v>
      </c>
    </row>
    <row r="612" spans="1:19" hidden="1">
      <c r="A612" s="5">
        <v>677</v>
      </c>
      <c r="B612" s="59"/>
      <c r="C612" s="60">
        <v>583</v>
      </c>
      <c r="D612" s="63" t="s">
        <v>322</v>
      </c>
      <c r="E612" s="63"/>
      <c r="F612" s="63"/>
      <c r="G612" s="63"/>
      <c r="H612" s="62"/>
      <c r="I612" s="65"/>
      <c r="J612" s="65"/>
      <c r="K612" s="62"/>
      <c r="L612" s="65"/>
      <c r="M612" s="65"/>
      <c r="N612" s="65"/>
      <c r="P612">
        <f t="shared" si="40"/>
        <v>583</v>
      </c>
      <c r="Q612" t="str">
        <f t="shared" si="41"/>
        <v>NA</v>
      </c>
      <c r="R612" t="str">
        <f>IF(ISERROR(MATCH(P612&amp;"."&amp;Q612,R$5:R611,0)),P612&amp;"."&amp;Q612,P612&amp;"."&amp;Q612&amp;COUNTIFS(P$5:P611,P612,Q$5:Q611,Q612))</f>
        <v>583.NA</v>
      </c>
      <c r="S612" s="55">
        <f t="shared" si="42"/>
        <v>0</v>
      </c>
    </row>
    <row r="613" spans="1:19" hidden="1">
      <c r="A613" s="5">
        <v>678</v>
      </c>
      <c r="B613" s="59"/>
      <c r="C613" s="60"/>
      <c r="D613" s="61"/>
      <c r="E613" s="63"/>
      <c r="F613" s="63" t="s">
        <v>139</v>
      </c>
      <c r="G613" s="63" t="s">
        <v>12</v>
      </c>
      <c r="H613" s="62"/>
      <c r="I613" s="65">
        <v>9956183.7800000012</v>
      </c>
      <c r="J613" s="65">
        <v>6582637.5099999998</v>
      </c>
      <c r="K613" s="62"/>
      <c r="L613" s="65">
        <v>10752395.644732276</v>
      </c>
      <c r="M613" s="65">
        <v>3658319.0677347481</v>
      </c>
      <c r="N613" s="65">
        <v>7094076.5769975279</v>
      </c>
      <c r="P613">
        <f t="shared" si="40"/>
        <v>583</v>
      </c>
      <c r="Q613" t="str">
        <f t="shared" si="41"/>
        <v>S</v>
      </c>
      <c r="R613" t="str">
        <f>IF(ISERROR(MATCH(P613&amp;"."&amp;Q613,R$5:R612,0)),P613&amp;"."&amp;Q613,P613&amp;"."&amp;Q613&amp;COUNTIFS(P$5:P612,P613,Q$5:Q612,Q613))</f>
        <v>583.S</v>
      </c>
      <c r="S613" s="55">
        <f t="shared" si="42"/>
        <v>7094076.5769975279</v>
      </c>
    </row>
    <row r="614" spans="1:19" hidden="1">
      <c r="A614" s="5">
        <v>679</v>
      </c>
      <c r="B614" s="59"/>
      <c r="C614" s="60"/>
      <c r="D614" s="63"/>
      <c r="E614" s="63"/>
      <c r="F614" s="60" t="s">
        <v>139</v>
      </c>
      <c r="G614" s="61" t="s">
        <v>321</v>
      </c>
      <c r="H614" s="62"/>
      <c r="I614" s="65">
        <v>163</v>
      </c>
      <c r="J614" s="65">
        <v>78.61678513303336</v>
      </c>
      <c r="K614" s="62"/>
      <c r="L614" s="65">
        <v>179.65637028025532</v>
      </c>
      <c r="M614" s="65">
        <v>92.54457310726346</v>
      </c>
      <c r="N614" s="64">
        <v>87.111797172991857</v>
      </c>
      <c r="P614">
        <f t="shared" si="40"/>
        <v>583</v>
      </c>
      <c r="Q614" t="str">
        <f t="shared" si="41"/>
        <v>SNPD</v>
      </c>
      <c r="R614" t="str">
        <f>IF(ISERROR(MATCH(P614&amp;"."&amp;Q614,R$5:R613,0)),P614&amp;"."&amp;Q614,P614&amp;"."&amp;Q614&amp;COUNTIFS(P$5:P613,P614,Q$5:Q613,Q614))</f>
        <v>583.SNPD</v>
      </c>
      <c r="S614" s="55">
        <f t="shared" si="42"/>
        <v>87.111797172991857</v>
      </c>
    </row>
    <row r="615" spans="1:19" hidden="1">
      <c r="A615" s="5">
        <v>680</v>
      </c>
      <c r="B615" s="59"/>
      <c r="C615" s="60"/>
      <c r="D615" s="63"/>
      <c r="E615" s="63"/>
      <c r="F615" s="60"/>
      <c r="G615" s="61"/>
      <c r="H615" s="62" t="s">
        <v>178</v>
      </c>
      <c r="I615" s="65">
        <v>9956346.7800000012</v>
      </c>
      <c r="J615" s="65">
        <v>6582716.126785133</v>
      </c>
      <c r="K615" s="62"/>
      <c r="L615" s="65">
        <v>10752575.301102556</v>
      </c>
      <c r="M615" s="65">
        <v>3658411.6123078554</v>
      </c>
      <c r="N615" s="64">
        <v>7094163.6887947004</v>
      </c>
      <c r="P615">
        <f t="shared" si="40"/>
        <v>583</v>
      </c>
      <c r="Q615" t="str">
        <f t="shared" si="41"/>
        <v>NA</v>
      </c>
      <c r="R615" t="str">
        <f>IF(ISERROR(MATCH(P615&amp;"."&amp;Q615,R$5:R614,0)),P615&amp;"."&amp;Q615,P615&amp;"."&amp;Q615&amp;COUNTIFS(P$5:P614,P615,Q$5:Q614,Q615))</f>
        <v>583.NA1</v>
      </c>
      <c r="S615" s="55">
        <f t="shared" si="42"/>
        <v>7094163.6887947004</v>
      </c>
    </row>
    <row r="616" spans="1:19" hidden="1">
      <c r="A616" s="5">
        <v>681</v>
      </c>
      <c r="B616" s="59"/>
      <c r="C616" s="60"/>
      <c r="D616" s="63"/>
      <c r="E616" s="63"/>
      <c r="F616" s="63"/>
      <c r="G616" s="63"/>
      <c r="H616" s="62"/>
      <c r="I616" s="66"/>
      <c r="J616" s="66"/>
      <c r="K616" s="62"/>
      <c r="L616" s="66"/>
      <c r="M616" s="66"/>
      <c r="N616" s="66"/>
      <c r="P616">
        <f t="shared" si="40"/>
        <v>583</v>
      </c>
      <c r="Q616" t="str">
        <f t="shared" si="41"/>
        <v>NA</v>
      </c>
      <c r="R616" t="str">
        <f>IF(ISERROR(MATCH(P616&amp;"."&amp;Q616,R$5:R615,0)),P616&amp;"."&amp;Q616,P616&amp;"."&amp;Q616&amp;COUNTIFS(P$5:P615,P616,Q$5:Q615,Q616))</f>
        <v>583.NA2</v>
      </c>
      <c r="S616" s="55">
        <f t="shared" si="42"/>
        <v>0</v>
      </c>
    </row>
    <row r="617" spans="1:19" hidden="1">
      <c r="A617" s="5">
        <v>682</v>
      </c>
      <c r="B617" s="59"/>
      <c r="C617" s="60">
        <v>584</v>
      </c>
      <c r="D617" s="63" t="s">
        <v>307</v>
      </c>
      <c r="E617" s="63"/>
      <c r="F617" s="63"/>
      <c r="G617" s="63"/>
      <c r="H617" s="62"/>
      <c r="I617" s="69"/>
      <c r="J617" s="69"/>
      <c r="K617" s="62"/>
      <c r="L617" s="69"/>
      <c r="M617" s="65"/>
      <c r="N617" s="65"/>
      <c r="P617">
        <f t="shared" si="40"/>
        <v>584</v>
      </c>
      <c r="Q617" t="str">
        <f t="shared" si="41"/>
        <v>NA</v>
      </c>
      <c r="R617" t="str">
        <f>IF(ISERROR(MATCH(P617&amp;"."&amp;Q617,R$5:R616,0)),P617&amp;"."&amp;Q617,P617&amp;"."&amp;Q617&amp;COUNTIFS(P$5:P616,P617,Q$5:Q616,Q617))</f>
        <v>584.NA</v>
      </c>
      <c r="S617" s="55">
        <f t="shared" si="42"/>
        <v>0</v>
      </c>
    </row>
    <row r="618" spans="1:19" hidden="1">
      <c r="A618" s="5">
        <v>683</v>
      </c>
      <c r="B618" s="59"/>
      <c r="C618" s="60"/>
      <c r="D618" s="61"/>
      <c r="E618" s="63"/>
      <c r="F618" s="63" t="s">
        <v>139</v>
      </c>
      <c r="G618" s="63" t="s">
        <v>12</v>
      </c>
      <c r="H618" s="62"/>
      <c r="I618" s="65">
        <v>620.77</v>
      </c>
      <c r="J618" s="65">
        <v>130.31</v>
      </c>
      <c r="K618" s="62"/>
      <c r="L618" s="65">
        <v>633.6744211567551</v>
      </c>
      <c r="M618" s="65">
        <v>500.65556744131015</v>
      </c>
      <c r="N618" s="65">
        <v>133.01885371544495</v>
      </c>
      <c r="P618">
        <f t="shared" si="40"/>
        <v>584</v>
      </c>
      <c r="Q618" t="str">
        <f t="shared" si="41"/>
        <v>S</v>
      </c>
      <c r="R618" t="str">
        <f>IF(ISERROR(MATCH(P618&amp;"."&amp;Q618,R$5:R617,0)),P618&amp;"."&amp;Q618,P618&amp;"."&amp;Q618&amp;COUNTIFS(P$5:P617,P618,Q$5:Q617,Q618))</f>
        <v>584.S</v>
      </c>
      <c r="S618" s="55">
        <f t="shared" si="42"/>
        <v>133.01885371544495</v>
      </c>
    </row>
    <row r="619" spans="1:19" hidden="1">
      <c r="A619" s="5">
        <v>684</v>
      </c>
      <c r="B619" s="59"/>
      <c r="C619" s="60"/>
      <c r="D619" s="63"/>
      <c r="E619" s="63"/>
      <c r="F619" s="60" t="s">
        <v>139</v>
      </c>
      <c r="G619" s="61" t="s">
        <v>321</v>
      </c>
      <c r="H619" s="62"/>
      <c r="I619" s="65">
        <v>0</v>
      </c>
      <c r="J619" s="65">
        <v>0</v>
      </c>
      <c r="K619" s="62"/>
      <c r="L619" s="65">
        <v>0</v>
      </c>
      <c r="M619" s="65">
        <v>0</v>
      </c>
      <c r="N619" s="64">
        <v>0</v>
      </c>
      <c r="P619">
        <f t="shared" si="40"/>
        <v>584</v>
      </c>
      <c r="Q619" t="str">
        <f t="shared" si="41"/>
        <v>SNPD</v>
      </c>
      <c r="R619" t="str">
        <f>IF(ISERROR(MATCH(P619&amp;"."&amp;Q619,R$5:R618,0)),P619&amp;"."&amp;Q619,P619&amp;"."&amp;Q619&amp;COUNTIFS(P$5:P618,P619,Q$5:Q618,Q619))</f>
        <v>584.SNPD</v>
      </c>
      <c r="S619" s="55">
        <f t="shared" si="42"/>
        <v>0</v>
      </c>
    </row>
    <row r="620" spans="1:19" hidden="1">
      <c r="A620" s="5">
        <v>685</v>
      </c>
      <c r="B620" s="59"/>
      <c r="C620" s="60"/>
      <c r="D620" s="63"/>
      <c r="E620" s="63"/>
      <c r="F620" s="60"/>
      <c r="G620" s="61"/>
      <c r="H620" s="62" t="s">
        <v>178</v>
      </c>
      <c r="I620" s="65">
        <v>620.77</v>
      </c>
      <c r="J620" s="65">
        <v>130.31</v>
      </c>
      <c r="K620" s="62"/>
      <c r="L620" s="65">
        <v>633.6744211567551</v>
      </c>
      <c r="M620" s="65">
        <v>500.65556744131015</v>
      </c>
      <c r="N620" s="64">
        <v>133.01885371544495</v>
      </c>
      <c r="P620">
        <f t="shared" si="40"/>
        <v>584</v>
      </c>
      <c r="Q620" t="str">
        <f t="shared" si="41"/>
        <v>NA</v>
      </c>
      <c r="R620" t="str">
        <f>IF(ISERROR(MATCH(P620&amp;"."&amp;Q620,R$5:R619,0)),P620&amp;"."&amp;Q620,P620&amp;"."&amp;Q620&amp;COUNTIFS(P$5:P619,P620,Q$5:Q619,Q620))</f>
        <v>584.NA1</v>
      </c>
      <c r="S620" s="55">
        <f t="shared" si="42"/>
        <v>133.01885371544495</v>
      </c>
    </row>
    <row r="621" spans="1:19" hidden="1">
      <c r="A621" s="5">
        <v>686</v>
      </c>
      <c r="B621" s="59"/>
      <c r="C621" s="60"/>
      <c r="D621" s="63"/>
      <c r="E621" s="63"/>
      <c r="F621" s="63"/>
      <c r="G621" s="63"/>
      <c r="H621" s="62"/>
      <c r="I621" s="66"/>
      <c r="J621" s="66"/>
      <c r="K621" s="62"/>
      <c r="L621" s="66"/>
      <c r="M621" s="66"/>
      <c r="N621" s="66"/>
      <c r="P621">
        <f t="shared" si="40"/>
        <v>584</v>
      </c>
      <c r="Q621" t="str">
        <f t="shared" si="41"/>
        <v>NA</v>
      </c>
      <c r="R621" t="str">
        <f>IF(ISERROR(MATCH(P621&amp;"."&amp;Q621,R$5:R620,0)),P621&amp;"."&amp;Q621,P621&amp;"."&amp;Q621&amp;COUNTIFS(P$5:P620,P621,Q$5:Q620,Q621))</f>
        <v>584.NA2</v>
      </c>
      <c r="S621" s="55">
        <f t="shared" si="42"/>
        <v>0</v>
      </c>
    </row>
    <row r="622" spans="1:19" hidden="1">
      <c r="A622" s="5">
        <v>687</v>
      </c>
      <c r="B622" s="59"/>
      <c r="C622" s="60">
        <v>585</v>
      </c>
      <c r="D622" s="63" t="s">
        <v>323</v>
      </c>
      <c r="E622" s="63"/>
      <c r="F622" s="63"/>
      <c r="G622" s="63"/>
      <c r="H622" s="62"/>
      <c r="I622" s="65"/>
      <c r="J622" s="65"/>
      <c r="K622" s="62"/>
      <c r="L622" s="65"/>
      <c r="M622" s="65"/>
      <c r="N622" s="65"/>
      <c r="P622">
        <f t="shared" si="40"/>
        <v>585</v>
      </c>
      <c r="Q622" t="str">
        <f t="shared" si="41"/>
        <v>NA</v>
      </c>
      <c r="R622" t="str">
        <f>IF(ISERROR(MATCH(P622&amp;"."&amp;Q622,R$5:R621,0)),P622&amp;"."&amp;Q622,P622&amp;"."&amp;Q622&amp;COUNTIFS(P$5:P621,P622,Q$5:Q621,Q622))</f>
        <v>585.NA</v>
      </c>
      <c r="S622" s="55">
        <f t="shared" si="42"/>
        <v>0</v>
      </c>
    </row>
    <row r="623" spans="1:19" hidden="1">
      <c r="A623" s="5">
        <v>688</v>
      </c>
      <c r="B623" s="59"/>
      <c r="C623" s="60"/>
      <c r="D623" s="61"/>
      <c r="E623" s="63"/>
      <c r="F623" s="63" t="s">
        <v>139</v>
      </c>
      <c r="G623" s="63" t="s">
        <v>12</v>
      </c>
      <c r="H623" s="62"/>
      <c r="I623" s="65">
        <v>0</v>
      </c>
      <c r="J623" s="65">
        <v>0</v>
      </c>
      <c r="K623" s="62"/>
      <c r="L623" s="65">
        <v>0</v>
      </c>
      <c r="M623" s="65">
        <v>0</v>
      </c>
      <c r="N623" s="65">
        <v>0</v>
      </c>
      <c r="P623">
        <f t="shared" si="40"/>
        <v>585</v>
      </c>
      <c r="Q623" t="str">
        <f t="shared" si="41"/>
        <v>S</v>
      </c>
      <c r="R623" t="str">
        <f>IF(ISERROR(MATCH(P623&amp;"."&amp;Q623,R$5:R622,0)),P623&amp;"."&amp;Q623,P623&amp;"."&amp;Q623&amp;COUNTIFS(P$5:P622,P623,Q$5:Q622,Q623))</f>
        <v>585.S</v>
      </c>
      <c r="S623" s="55">
        <f t="shared" si="42"/>
        <v>0</v>
      </c>
    </row>
    <row r="624" spans="1:19" hidden="1">
      <c r="A624" s="5">
        <v>689</v>
      </c>
      <c r="B624" s="59"/>
      <c r="C624" s="60"/>
      <c r="D624" s="63"/>
      <c r="E624" s="63"/>
      <c r="F624" s="60" t="s">
        <v>139</v>
      </c>
      <c r="G624" s="61" t="s">
        <v>321</v>
      </c>
      <c r="H624" s="62"/>
      <c r="I624" s="65">
        <v>224137.63</v>
      </c>
      <c r="J624" s="65">
        <v>108104.17115298976</v>
      </c>
      <c r="K624" s="62"/>
      <c r="L624" s="65">
        <v>246114.21463287555</v>
      </c>
      <c r="M624" s="65">
        <v>126778.33184149596</v>
      </c>
      <c r="N624" s="64">
        <v>119335.88279137958</v>
      </c>
      <c r="P624">
        <f t="shared" si="40"/>
        <v>585</v>
      </c>
      <c r="Q624" t="str">
        <f t="shared" si="41"/>
        <v>SNPD</v>
      </c>
      <c r="R624" t="str">
        <f>IF(ISERROR(MATCH(P624&amp;"."&amp;Q624,R$5:R623,0)),P624&amp;"."&amp;Q624,P624&amp;"."&amp;Q624&amp;COUNTIFS(P$5:P623,P624,Q$5:Q623,Q624))</f>
        <v>585.SNPD</v>
      </c>
      <c r="S624" s="55">
        <f t="shared" si="42"/>
        <v>119335.88279137958</v>
      </c>
    </row>
    <row r="625" spans="1:19" hidden="1">
      <c r="A625" s="5">
        <v>690</v>
      </c>
      <c r="B625" s="59"/>
      <c r="C625" s="60"/>
      <c r="D625" s="63"/>
      <c r="E625" s="63"/>
      <c r="F625" s="60"/>
      <c r="G625" s="61"/>
      <c r="H625" s="62" t="s">
        <v>178</v>
      </c>
      <c r="I625" s="65">
        <v>224137.63</v>
      </c>
      <c r="J625" s="65">
        <v>108104.17115298976</v>
      </c>
      <c r="K625" s="62"/>
      <c r="L625" s="65">
        <v>246114.21463287555</v>
      </c>
      <c r="M625" s="65">
        <v>126778.33184149596</v>
      </c>
      <c r="N625" s="64">
        <v>119335.88279137958</v>
      </c>
      <c r="P625">
        <f t="shared" si="40"/>
        <v>585</v>
      </c>
      <c r="Q625" t="str">
        <f t="shared" si="41"/>
        <v>NA</v>
      </c>
      <c r="R625" t="str">
        <f>IF(ISERROR(MATCH(P625&amp;"."&amp;Q625,R$5:R624,0)),P625&amp;"."&amp;Q625,P625&amp;"."&amp;Q625&amp;COUNTIFS(P$5:P624,P625,Q$5:Q624,Q625))</f>
        <v>585.NA1</v>
      </c>
      <c r="S625" s="55">
        <f t="shared" si="42"/>
        <v>119335.88279137958</v>
      </c>
    </row>
    <row r="626" spans="1:19" hidden="1">
      <c r="A626" s="5">
        <v>691</v>
      </c>
      <c r="B626" s="59"/>
      <c r="C626" s="60"/>
      <c r="D626" s="63"/>
      <c r="E626" s="63"/>
      <c r="F626" s="63"/>
      <c r="G626" s="63"/>
      <c r="H626" s="62"/>
      <c r="I626" s="66"/>
      <c r="J626" s="66"/>
      <c r="K626" s="62"/>
      <c r="L626" s="66"/>
      <c r="M626" s="66"/>
      <c r="N626" s="66"/>
      <c r="P626">
        <f t="shared" si="40"/>
        <v>585</v>
      </c>
      <c r="Q626" t="str">
        <f t="shared" si="41"/>
        <v>NA</v>
      </c>
      <c r="R626" t="str">
        <f>IF(ISERROR(MATCH(P626&amp;"."&amp;Q626,R$5:R625,0)),P626&amp;"."&amp;Q626,P626&amp;"."&amp;Q626&amp;COUNTIFS(P$5:P625,P626,Q$5:Q625,Q626))</f>
        <v>585.NA2</v>
      </c>
      <c r="S626" s="55">
        <f t="shared" si="42"/>
        <v>0</v>
      </c>
    </row>
    <row r="627" spans="1:19" hidden="1">
      <c r="A627" s="5">
        <v>692</v>
      </c>
      <c r="B627" s="59"/>
      <c r="C627" s="60">
        <v>586</v>
      </c>
      <c r="D627" s="63" t="s">
        <v>324</v>
      </c>
      <c r="E627" s="63"/>
      <c r="F627" s="63"/>
      <c r="G627" s="63"/>
      <c r="H627" s="62"/>
      <c r="I627" s="65"/>
      <c r="J627" s="65"/>
      <c r="K627" s="62"/>
      <c r="L627" s="65"/>
      <c r="M627" s="65"/>
      <c r="N627" s="65"/>
      <c r="P627">
        <f t="shared" si="40"/>
        <v>586</v>
      </c>
      <c r="Q627" t="str">
        <f t="shared" si="41"/>
        <v>NA</v>
      </c>
      <c r="R627" t="str">
        <f>IF(ISERROR(MATCH(P627&amp;"."&amp;Q627,R$5:R626,0)),P627&amp;"."&amp;Q627,P627&amp;"."&amp;Q627&amp;COUNTIFS(P$5:P626,P627,Q$5:Q626,Q627))</f>
        <v>586.NA</v>
      </c>
      <c r="S627" s="55">
        <f t="shared" si="42"/>
        <v>0</v>
      </c>
    </row>
    <row r="628" spans="1:19" hidden="1">
      <c r="A628" s="5">
        <v>693</v>
      </c>
      <c r="B628" s="59"/>
      <c r="C628" s="60"/>
      <c r="D628" s="61"/>
      <c r="E628" s="63"/>
      <c r="F628" s="63" t="s">
        <v>139</v>
      </c>
      <c r="G628" s="63" t="s">
        <v>12</v>
      </c>
      <c r="H628" s="62"/>
      <c r="I628" s="65">
        <v>2513773.9299999997</v>
      </c>
      <c r="J628" s="65">
        <v>807078.08</v>
      </c>
      <c r="K628" s="62"/>
      <c r="L628" s="65">
        <v>2729770.0919945999</v>
      </c>
      <c r="M628" s="65">
        <v>1852298.7311863205</v>
      </c>
      <c r="N628" s="65">
        <v>877471.36080827937</v>
      </c>
      <c r="P628">
        <f t="shared" si="40"/>
        <v>586</v>
      </c>
      <c r="Q628" t="str">
        <f t="shared" si="41"/>
        <v>S</v>
      </c>
      <c r="R628" t="str">
        <f>IF(ISERROR(MATCH(P628&amp;"."&amp;Q628,R$5:R627,0)),P628&amp;"."&amp;Q628,P628&amp;"."&amp;Q628&amp;COUNTIFS(P$5:P627,P628,Q$5:Q627,Q628))</f>
        <v>586.S</v>
      </c>
      <c r="S628" s="55">
        <f t="shared" si="42"/>
        <v>877471.36080827937</v>
      </c>
    </row>
    <row r="629" spans="1:19" hidden="1">
      <c r="A629" s="5">
        <v>694</v>
      </c>
      <c r="B629" s="59"/>
      <c r="C629" s="60"/>
      <c r="D629" s="63"/>
      <c r="E629" s="63"/>
      <c r="F629" s="60" t="s">
        <v>139</v>
      </c>
      <c r="G629" s="61" t="s">
        <v>321</v>
      </c>
      <c r="H629" s="62"/>
      <c r="I629" s="65">
        <v>12515.3</v>
      </c>
      <c r="J629" s="65">
        <v>6036.2739323647384</v>
      </c>
      <c r="K629" s="62"/>
      <c r="L629" s="65">
        <v>12775.465120903293</v>
      </c>
      <c r="M629" s="65">
        <v>6580.8964303152625</v>
      </c>
      <c r="N629" s="64">
        <v>6194.5686905880302</v>
      </c>
      <c r="P629">
        <f t="shared" si="40"/>
        <v>586</v>
      </c>
      <c r="Q629" t="str">
        <f t="shared" si="41"/>
        <v>SNPD</v>
      </c>
      <c r="R629" t="str">
        <f>IF(ISERROR(MATCH(P629&amp;"."&amp;Q629,R$5:R628,0)),P629&amp;"."&amp;Q629,P629&amp;"."&amp;Q629&amp;COUNTIFS(P$5:P628,P629,Q$5:Q628,Q629))</f>
        <v>586.SNPD</v>
      </c>
      <c r="S629" s="55">
        <f t="shared" si="42"/>
        <v>6194.5686905880302</v>
      </c>
    </row>
    <row r="630" spans="1:19" hidden="1">
      <c r="A630" s="5">
        <v>695</v>
      </c>
      <c r="B630" s="59"/>
      <c r="C630" s="60"/>
      <c r="D630" s="63"/>
      <c r="E630" s="63"/>
      <c r="F630" s="60"/>
      <c r="G630" s="61"/>
      <c r="H630" s="62" t="s">
        <v>178</v>
      </c>
      <c r="I630" s="65">
        <v>2526289.2299999995</v>
      </c>
      <c r="J630" s="65">
        <v>813114.35393236473</v>
      </c>
      <c r="K630" s="62"/>
      <c r="L630" s="65">
        <v>2742545.5571155031</v>
      </c>
      <c r="M630" s="65">
        <v>1858879.6276166358</v>
      </c>
      <c r="N630" s="64">
        <v>883665.92949886736</v>
      </c>
      <c r="P630">
        <f t="shared" si="40"/>
        <v>586</v>
      </c>
      <c r="Q630" t="str">
        <f t="shared" si="41"/>
        <v>NA</v>
      </c>
      <c r="R630" t="str">
        <f>IF(ISERROR(MATCH(P630&amp;"."&amp;Q630,R$5:R629,0)),P630&amp;"."&amp;Q630,P630&amp;"."&amp;Q630&amp;COUNTIFS(P$5:P629,P630,Q$5:Q629,Q630))</f>
        <v>586.NA1</v>
      </c>
      <c r="S630" s="55">
        <f t="shared" si="42"/>
        <v>883665.92949886736</v>
      </c>
    </row>
    <row r="631" spans="1:19" hidden="1">
      <c r="A631" s="5">
        <v>696</v>
      </c>
      <c r="B631" s="59"/>
      <c r="C631" s="60"/>
      <c r="D631" s="63"/>
      <c r="E631" s="63"/>
      <c r="F631" s="63"/>
      <c r="G631" s="63"/>
      <c r="H631" s="62"/>
      <c r="I631" s="66"/>
      <c r="J631" s="66"/>
      <c r="K631" s="62"/>
      <c r="L631" s="66"/>
      <c r="M631" s="66"/>
      <c r="N631" s="66"/>
      <c r="P631">
        <f t="shared" si="40"/>
        <v>586</v>
      </c>
      <c r="Q631" t="str">
        <f t="shared" si="41"/>
        <v>NA</v>
      </c>
      <c r="R631" t="str">
        <f>IF(ISERROR(MATCH(P631&amp;"."&amp;Q631,R$5:R630,0)),P631&amp;"."&amp;Q631,P631&amp;"."&amp;Q631&amp;COUNTIFS(P$5:P630,P631,Q$5:Q630,Q631))</f>
        <v>586.NA2</v>
      </c>
      <c r="S631" s="55">
        <f t="shared" si="42"/>
        <v>0</v>
      </c>
    </row>
    <row r="632" spans="1:19" hidden="1">
      <c r="A632" s="5">
        <v>697</v>
      </c>
      <c r="B632" s="59"/>
      <c r="C632" s="60">
        <v>587</v>
      </c>
      <c r="D632" s="63" t="s">
        <v>325</v>
      </c>
      <c r="E632" s="63"/>
      <c r="F632" s="63"/>
      <c r="G632" s="63"/>
      <c r="H632" s="62"/>
      <c r="I632" s="65"/>
      <c r="J632" s="65"/>
      <c r="K632" s="62"/>
      <c r="L632" s="65"/>
      <c r="M632" s="65"/>
      <c r="N632" s="65"/>
      <c r="P632">
        <f t="shared" si="40"/>
        <v>587</v>
      </c>
      <c r="Q632" t="str">
        <f t="shared" si="41"/>
        <v>NA</v>
      </c>
      <c r="R632" t="str">
        <f>IF(ISERROR(MATCH(P632&amp;"."&amp;Q632,R$5:R631,0)),P632&amp;"."&amp;Q632,P632&amp;"."&amp;Q632&amp;COUNTIFS(P$5:P631,P632,Q$5:Q631,Q632))</f>
        <v>587.NA</v>
      </c>
      <c r="S632" s="55">
        <f t="shared" si="42"/>
        <v>0</v>
      </c>
    </row>
    <row r="633" spans="1:19" hidden="1">
      <c r="A633" s="5">
        <v>698</v>
      </c>
      <c r="B633" s="59"/>
      <c r="C633" s="60"/>
      <c r="D633" s="61"/>
      <c r="E633" s="63"/>
      <c r="F633" s="63" t="s">
        <v>139</v>
      </c>
      <c r="G633" s="63" t="s">
        <v>12</v>
      </c>
      <c r="H633" s="62"/>
      <c r="I633" s="65">
        <v>15268628.540000003</v>
      </c>
      <c r="J633" s="65">
        <v>5553773.29</v>
      </c>
      <c r="K633" s="62"/>
      <c r="L633" s="65">
        <v>16544100.015507046</v>
      </c>
      <c r="M633" s="65">
        <v>10529288.255812939</v>
      </c>
      <c r="N633" s="65">
        <v>6014811.7596941069</v>
      </c>
      <c r="P633">
        <f t="shared" si="40"/>
        <v>587</v>
      </c>
      <c r="Q633" t="str">
        <f t="shared" si="41"/>
        <v>S</v>
      </c>
      <c r="R633" t="str">
        <f>IF(ISERROR(MATCH(P633&amp;"."&amp;Q633,R$5:R632,0)),P633&amp;"."&amp;Q633,P633&amp;"."&amp;Q633&amp;COUNTIFS(P$5:P632,P633,Q$5:Q632,Q633))</f>
        <v>587.S</v>
      </c>
      <c r="S633" s="55">
        <f t="shared" si="42"/>
        <v>6014811.7596941069</v>
      </c>
    </row>
    <row r="634" spans="1:19" hidden="1">
      <c r="A634" s="5">
        <v>699</v>
      </c>
      <c r="B634" s="59"/>
      <c r="C634" s="60"/>
      <c r="D634" s="63"/>
      <c r="E634" s="63"/>
      <c r="F634" s="60" t="s">
        <v>139</v>
      </c>
      <c r="G634" s="61" t="s">
        <v>321</v>
      </c>
      <c r="H634" s="62"/>
      <c r="I634" s="65">
        <v>0</v>
      </c>
      <c r="J634" s="65">
        <v>0</v>
      </c>
      <c r="K634" s="62"/>
      <c r="L634" s="65">
        <v>0</v>
      </c>
      <c r="M634" s="65">
        <v>0</v>
      </c>
      <c r="N634" s="64">
        <v>0</v>
      </c>
      <c r="P634">
        <f t="shared" si="40"/>
        <v>587</v>
      </c>
      <c r="Q634" t="str">
        <f t="shared" si="41"/>
        <v>SNPD</v>
      </c>
      <c r="R634" t="str">
        <f>IF(ISERROR(MATCH(P634&amp;"."&amp;Q634,R$5:R633,0)),P634&amp;"."&amp;Q634,P634&amp;"."&amp;Q634&amp;COUNTIFS(P$5:P633,P634,Q$5:Q633,Q634))</f>
        <v>587.SNPD</v>
      </c>
      <c r="S634" s="55">
        <f t="shared" si="42"/>
        <v>0</v>
      </c>
    </row>
    <row r="635" spans="1:19" hidden="1">
      <c r="A635" s="5">
        <v>700</v>
      </c>
      <c r="B635" s="59"/>
      <c r="C635" s="60"/>
      <c r="D635" s="63"/>
      <c r="E635" s="63"/>
      <c r="F635" s="60"/>
      <c r="G635" s="61"/>
      <c r="H635" s="62" t="s">
        <v>178</v>
      </c>
      <c r="I635" s="65">
        <v>15268628.540000003</v>
      </c>
      <c r="J635" s="65">
        <v>5553773.29</v>
      </c>
      <c r="K635" s="62"/>
      <c r="L635" s="65">
        <v>16544100.015507046</v>
      </c>
      <c r="M635" s="65">
        <v>10529288.255812939</v>
      </c>
      <c r="N635" s="64">
        <v>6014811.7596941069</v>
      </c>
      <c r="P635">
        <f t="shared" si="40"/>
        <v>587</v>
      </c>
      <c r="Q635" t="str">
        <f t="shared" si="41"/>
        <v>NA</v>
      </c>
      <c r="R635" t="str">
        <f>IF(ISERROR(MATCH(P635&amp;"."&amp;Q635,R$5:R634,0)),P635&amp;"."&amp;Q635,P635&amp;"."&amp;Q635&amp;COUNTIFS(P$5:P634,P635,Q$5:Q634,Q635))</f>
        <v>587.NA1</v>
      </c>
      <c r="S635" s="55">
        <f t="shared" si="42"/>
        <v>6014811.7596941069</v>
      </c>
    </row>
    <row r="636" spans="1:19" hidden="1">
      <c r="A636" s="5">
        <v>701</v>
      </c>
      <c r="B636" s="59"/>
      <c r="C636" s="60"/>
      <c r="D636" s="63"/>
      <c r="E636" s="63"/>
      <c r="F636" s="63"/>
      <c r="G636" s="63"/>
      <c r="H636" s="62"/>
      <c r="I636" s="66"/>
      <c r="J636" s="66"/>
      <c r="K636" s="62"/>
      <c r="L636" s="66"/>
      <c r="M636" s="66"/>
      <c r="N636" s="66"/>
      <c r="P636">
        <f t="shared" si="40"/>
        <v>587</v>
      </c>
      <c r="Q636" t="str">
        <f t="shared" si="41"/>
        <v>NA</v>
      </c>
      <c r="R636" t="str">
        <f>IF(ISERROR(MATCH(P636&amp;"."&amp;Q636,R$5:R635,0)),P636&amp;"."&amp;Q636,P636&amp;"."&amp;Q636&amp;COUNTIFS(P$5:P635,P636,Q$5:Q635,Q636))</f>
        <v>587.NA2</v>
      </c>
      <c r="S636" s="55">
        <f t="shared" si="42"/>
        <v>0</v>
      </c>
    </row>
    <row r="637" spans="1:19" hidden="1">
      <c r="A637" s="5">
        <v>702</v>
      </c>
      <c r="B637" s="59"/>
      <c r="C637" s="60">
        <v>588</v>
      </c>
      <c r="D637" s="63" t="s">
        <v>326</v>
      </c>
      <c r="E637" s="63"/>
      <c r="F637" s="63"/>
      <c r="G637" s="63"/>
      <c r="H637" s="62"/>
      <c r="I637" s="65"/>
      <c r="J637" s="65"/>
      <c r="K637" s="62"/>
      <c r="L637" s="65"/>
      <c r="M637" s="65"/>
      <c r="N637" s="65"/>
      <c r="P637">
        <f t="shared" si="40"/>
        <v>588</v>
      </c>
      <c r="Q637" t="str">
        <f t="shared" si="41"/>
        <v>NA</v>
      </c>
      <c r="R637" t="str">
        <f>IF(ISERROR(MATCH(P637&amp;"."&amp;Q637,R$5:R636,0)),P637&amp;"."&amp;Q637,P637&amp;"."&amp;Q637&amp;COUNTIFS(P$5:P636,P637,Q$5:Q636,Q637))</f>
        <v>588.NA</v>
      </c>
      <c r="S637" s="55">
        <f t="shared" si="42"/>
        <v>0</v>
      </c>
    </row>
    <row r="638" spans="1:19" hidden="1">
      <c r="A638" s="5">
        <v>703</v>
      </c>
      <c r="B638" s="59"/>
      <c r="C638" s="60"/>
      <c r="D638" s="61"/>
      <c r="E638" s="63"/>
      <c r="F638" s="63" t="s">
        <v>139</v>
      </c>
      <c r="G638" s="63" t="s">
        <v>12</v>
      </c>
      <c r="H638" s="62"/>
      <c r="I638" s="65">
        <v>-317677.05</v>
      </c>
      <c r="J638" s="65">
        <v>-121811.5</v>
      </c>
      <c r="K638" s="62"/>
      <c r="L638" s="65">
        <v>-328470.00163191534</v>
      </c>
      <c r="M638" s="65">
        <v>-198555.63484727574</v>
      </c>
      <c r="N638" s="65">
        <v>-129914.36678463958</v>
      </c>
      <c r="P638">
        <f t="shared" si="40"/>
        <v>588</v>
      </c>
      <c r="Q638" t="str">
        <f t="shared" si="41"/>
        <v>S</v>
      </c>
      <c r="R638" t="str">
        <f>IF(ISERROR(MATCH(P638&amp;"."&amp;Q638,R$5:R637,0)),P638&amp;"."&amp;Q638,P638&amp;"."&amp;Q638&amp;COUNTIFS(P$5:P637,P638,Q$5:Q637,Q638))</f>
        <v>588.S</v>
      </c>
      <c r="S638" s="55">
        <f t="shared" si="42"/>
        <v>-129914.36678463958</v>
      </c>
    </row>
    <row r="639" spans="1:19" hidden="1">
      <c r="A639" s="5">
        <v>704</v>
      </c>
      <c r="B639" s="59"/>
      <c r="C639" s="60"/>
      <c r="D639" s="63"/>
      <c r="E639" s="63"/>
      <c r="F639" s="60" t="s">
        <v>139</v>
      </c>
      <c r="G639" s="61" t="s">
        <v>321</v>
      </c>
      <c r="H639" s="62"/>
      <c r="I639" s="65">
        <v>967054.46</v>
      </c>
      <c r="J639" s="65">
        <v>466421.55026847607</v>
      </c>
      <c r="K639" s="62"/>
      <c r="L639" s="65">
        <v>1247523.9319137917</v>
      </c>
      <c r="M639" s="65">
        <v>642624.41426350619</v>
      </c>
      <c r="N639" s="64">
        <v>604899.5176502855</v>
      </c>
      <c r="P639">
        <f t="shared" si="40"/>
        <v>588</v>
      </c>
      <c r="Q639" t="str">
        <f t="shared" si="41"/>
        <v>SNPD</v>
      </c>
      <c r="R639" t="str">
        <f>IF(ISERROR(MATCH(P639&amp;"."&amp;Q639,R$5:R638,0)),P639&amp;"."&amp;Q639,P639&amp;"."&amp;Q639&amp;COUNTIFS(P$5:P638,P639,Q$5:Q638,Q639))</f>
        <v>588.SNPD</v>
      </c>
      <c r="S639" s="55">
        <f t="shared" si="42"/>
        <v>604899.5176502855</v>
      </c>
    </row>
    <row r="640" spans="1:19" hidden="1">
      <c r="A640" s="5">
        <v>705</v>
      </c>
      <c r="B640" s="59"/>
      <c r="C640" s="60"/>
      <c r="D640" s="63"/>
      <c r="E640" s="63"/>
      <c r="F640" s="60"/>
      <c r="G640" s="61"/>
      <c r="H640" s="62" t="s">
        <v>178</v>
      </c>
      <c r="I640" s="65">
        <v>649377.40999999992</v>
      </c>
      <c r="J640" s="65">
        <v>344610.05026847607</v>
      </c>
      <c r="K640" s="62"/>
      <c r="L640" s="65">
        <v>919053.93028187635</v>
      </c>
      <c r="M640" s="65">
        <v>444068.77941623045</v>
      </c>
      <c r="N640" s="64">
        <v>474985.1508656459</v>
      </c>
      <c r="P640">
        <f t="shared" si="40"/>
        <v>588</v>
      </c>
      <c r="Q640" t="str">
        <f t="shared" si="41"/>
        <v>NA</v>
      </c>
      <c r="R640" t="str">
        <f>IF(ISERROR(MATCH(P640&amp;"."&amp;Q640,R$5:R639,0)),P640&amp;"."&amp;Q640,P640&amp;"."&amp;Q640&amp;COUNTIFS(P$5:P639,P640,Q$5:Q639,Q640))</f>
        <v>588.NA1</v>
      </c>
      <c r="S640" s="55">
        <f t="shared" si="42"/>
        <v>474985.1508656459</v>
      </c>
    </row>
    <row r="641" spans="1:19" hidden="1">
      <c r="A641" s="5">
        <v>706</v>
      </c>
      <c r="B641" s="59"/>
      <c r="C641" s="60"/>
      <c r="D641" s="63"/>
      <c r="E641" s="63"/>
      <c r="F641" s="63"/>
      <c r="G641" s="63"/>
      <c r="H641" s="62"/>
      <c r="I641" s="66"/>
      <c r="J641" s="66"/>
      <c r="K641" s="62"/>
      <c r="L641" s="66"/>
      <c r="M641" s="66"/>
      <c r="N641" s="66"/>
      <c r="P641">
        <f t="shared" si="40"/>
        <v>588</v>
      </c>
      <c r="Q641" t="str">
        <f t="shared" si="41"/>
        <v>NA</v>
      </c>
      <c r="R641" t="str">
        <f>IF(ISERROR(MATCH(P641&amp;"."&amp;Q641,R$5:R640,0)),P641&amp;"."&amp;Q641,P641&amp;"."&amp;Q641&amp;COUNTIFS(P$5:P640,P641,Q$5:Q640,Q641))</f>
        <v>588.NA2</v>
      </c>
      <c r="S641" s="55">
        <f t="shared" si="42"/>
        <v>0</v>
      </c>
    </row>
    <row r="642" spans="1:19" hidden="1">
      <c r="A642" s="5">
        <v>707</v>
      </c>
      <c r="B642" s="59"/>
      <c r="C642" s="60">
        <v>589</v>
      </c>
      <c r="D642" s="61" t="s">
        <v>187</v>
      </c>
      <c r="E642" s="63"/>
      <c r="F642" s="63"/>
      <c r="G642" s="63"/>
      <c r="H642" s="62"/>
      <c r="I642" s="65"/>
      <c r="J642" s="65"/>
      <c r="K642" s="62"/>
      <c r="L642" s="65"/>
      <c r="M642" s="65"/>
      <c r="N642" s="65"/>
      <c r="P642">
        <f t="shared" si="40"/>
        <v>589</v>
      </c>
      <c r="Q642" t="str">
        <f t="shared" si="41"/>
        <v>NA</v>
      </c>
      <c r="R642" t="str">
        <f>IF(ISERROR(MATCH(P642&amp;"."&amp;Q642,R$5:R641,0)),P642&amp;"."&amp;Q642,P642&amp;"."&amp;Q642&amp;COUNTIFS(P$5:P641,P642,Q$5:Q641,Q642))</f>
        <v>589.NA</v>
      </c>
      <c r="S642" s="55">
        <f t="shared" si="42"/>
        <v>0</v>
      </c>
    </row>
    <row r="643" spans="1:19" hidden="1">
      <c r="A643" s="5">
        <v>708</v>
      </c>
      <c r="B643" s="59"/>
      <c r="C643" s="60"/>
      <c r="D643" s="63"/>
      <c r="E643" s="63"/>
      <c r="F643" s="60" t="s">
        <v>139</v>
      </c>
      <c r="G643" s="61" t="s">
        <v>12</v>
      </c>
      <c r="H643" s="62"/>
      <c r="I643" s="65">
        <v>2871522.3999999994</v>
      </c>
      <c r="J643" s="65">
        <v>476830.49</v>
      </c>
      <c r="K643" s="62"/>
      <c r="L643" s="65">
        <v>2972954.6234580087</v>
      </c>
      <c r="M643" s="65">
        <v>2462282.9130581035</v>
      </c>
      <c r="N643" s="64">
        <v>510671.71039990516</v>
      </c>
      <c r="P643">
        <f t="shared" si="40"/>
        <v>589</v>
      </c>
      <c r="Q643" t="str">
        <f t="shared" si="41"/>
        <v>S</v>
      </c>
      <c r="R643" t="str">
        <f>IF(ISERROR(MATCH(P643&amp;"."&amp;Q643,R$5:R642,0)),P643&amp;"."&amp;Q643,P643&amp;"."&amp;Q643&amp;COUNTIFS(P$5:P642,P643,Q$5:Q642,Q643))</f>
        <v>589.S</v>
      </c>
      <c r="S643" s="55">
        <f t="shared" si="42"/>
        <v>510671.71039990516</v>
      </c>
    </row>
    <row r="644" spans="1:19" hidden="1">
      <c r="A644" s="5">
        <v>709</v>
      </c>
      <c r="B644" s="59"/>
      <c r="C644" s="60"/>
      <c r="D644" s="63"/>
      <c r="E644" s="63"/>
      <c r="F644" s="60" t="s">
        <v>139</v>
      </c>
      <c r="G644" s="61" t="s">
        <v>321</v>
      </c>
      <c r="H644" s="62"/>
      <c r="I644" s="65">
        <v>2782.24</v>
      </c>
      <c r="J644" s="65">
        <v>1341.9065292547896</v>
      </c>
      <c r="K644" s="62"/>
      <c r="L644" s="65">
        <v>2840.0765525382512</v>
      </c>
      <c r="M644" s="65">
        <v>1462.9799752527176</v>
      </c>
      <c r="N644" s="64">
        <v>1377.0965772855336</v>
      </c>
      <c r="P644">
        <f t="shared" si="40"/>
        <v>589</v>
      </c>
      <c r="Q644" t="str">
        <f t="shared" si="41"/>
        <v>SNPD</v>
      </c>
      <c r="R644" t="str">
        <f>IF(ISERROR(MATCH(P644&amp;"."&amp;Q644,R$5:R643,0)),P644&amp;"."&amp;Q644,P644&amp;"."&amp;Q644&amp;COUNTIFS(P$5:P643,P644,Q$5:Q643,Q644))</f>
        <v>589.SNPD</v>
      </c>
      <c r="S644" s="55">
        <f t="shared" si="42"/>
        <v>1377.0965772855336</v>
      </c>
    </row>
    <row r="645" spans="1:19" hidden="1">
      <c r="A645" s="5">
        <v>710</v>
      </c>
      <c r="B645" s="59"/>
      <c r="C645" s="60"/>
      <c r="D645" s="63"/>
      <c r="E645" s="63"/>
      <c r="F645" s="63"/>
      <c r="G645" s="63"/>
      <c r="H645" s="62" t="s">
        <v>178</v>
      </c>
      <c r="I645" s="66">
        <v>2874304.6399999997</v>
      </c>
      <c r="J645" s="66">
        <v>478172.39652925479</v>
      </c>
      <c r="K645" s="62"/>
      <c r="L645" s="66">
        <v>2975794.7000105469</v>
      </c>
      <c r="M645" s="66">
        <v>2463745.8930333564</v>
      </c>
      <c r="N645" s="66">
        <v>512048.80697719072</v>
      </c>
      <c r="P645">
        <f t="shared" si="40"/>
        <v>589</v>
      </c>
      <c r="Q645" t="str">
        <f t="shared" si="41"/>
        <v>NA</v>
      </c>
      <c r="R645" t="str">
        <f>IF(ISERROR(MATCH(P645&amp;"."&amp;Q645,R$5:R644,0)),P645&amp;"."&amp;Q645,P645&amp;"."&amp;Q645&amp;COUNTIFS(P$5:P644,P645,Q$5:Q644,Q645))</f>
        <v>589.NA1</v>
      </c>
      <c r="S645" s="55">
        <f t="shared" si="42"/>
        <v>512048.80697719072</v>
      </c>
    </row>
    <row r="646" spans="1:19" hidden="1">
      <c r="A646" s="5">
        <v>711</v>
      </c>
      <c r="B646" s="59"/>
      <c r="C646" s="60"/>
      <c r="D646" s="63"/>
      <c r="E646" s="63"/>
      <c r="F646" s="63"/>
      <c r="G646" s="63"/>
      <c r="H646" s="62"/>
      <c r="I646" s="65"/>
      <c r="J646" s="65"/>
      <c r="K646" s="62"/>
      <c r="L646" s="65"/>
      <c r="M646" s="65"/>
      <c r="N646" s="65"/>
      <c r="P646">
        <f t="shared" si="40"/>
        <v>589</v>
      </c>
      <c r="Q646" t="str">
        <f t="shared" si="41"/>
        <v>NA</v>
      </c>
      <c r="R646" t="str">
        <f>IF(ISERROR(MATCH(P646&amp;"."&amp;Q646,R$5:R645,0)),P646&amp;"."&amp;Q646,P646&amp;"."&amp;Q646&amp;COUNTIFS(P$5:P645,P646,Q$5:Q645,Q646))</f>
        <v>589.NA2</v>
      </c>
      <c r="S646" s="55">
        <f t="shared" si="42"/>
        <v>0</v>
      </c>
    </row>
    <row r="647" spans="1:19" hidden="1">
      <c r="A647" s="5">
        <v>712</v>
      </c>
      <c r="B647" s="59"/>
      <c r="C647" s="60">
        <v>590</v>
      </c>
      <c r="D647" s="61" t="s">
        <v>188</v>
      </c>
      <c r="E647" s="63"/>
      <c r="F647" s="63"/>
      <c r="G647" s="63"/>
      <c r="H647" s="62"/>
      <c r="I647" s="65"/>
      <c r="J647" s="65"/>
      <c r="K647" s="62"/>
      <c r="L647" s="65"/>
      <c r="M647" s="65"/>
      <c r="N647" s="65"/>
      <c r="P647">
        <f t="shared" ref="P647:P710" si="43">IF(OR(C647="",C647=" ",C647="  ",C647="   "),P646,C647)</f>
        <v>590</v>
      </c>
      <c r="Q647" t="str">
        <f t="shared" ref="Q647:Q710" si="44">IF(G647="","NA",G647)</f>
        <v>NA</v>
      </c>
      <c r="R647" t="str">
        <f>IF(ISERROR(MATCH(P647&amp;"."&amp;Q647,R$5:R646,0)),P647&amp;"."&amp;Q647,P647&amp;"."&amp;Q647&amp;COUNTIFS(P$5:P646,P647,Q$5:Q646,Q647))</f>
        <v>590.NA</v>
      </c>
      <c r="S647" s="55">
        <f t="shared" si="42"/>
        <v>0</v>
      </c>
    </row>
    <row r="648" spans="1:19" hidden="1">
      <c r="A648" s="5">
        <v>713</v>
      </c>
      <c r="B648" s="59"/>
      <c r="C648" s="60"/>
      <c r="D648" s="63"/>
      <c r="E648" s="63"/>
      <c r="F648" s="60" t="s">
        <v>139</v>
      </c>
      <c r="G648" s="61" t="s">
        <v>12</v>
      </c>
      <c r="H648" s="62"/>
      <c r="I648" s="65">
        <v>3340839.33</v>
      </c>
      <c r="J648" s="65">
        <v>1421690.51</v>
      </c>
      <c r="K648" s="62"/>
      <c r="L648" s="65">
        <v>3645633.9417343</v>
      </c>
      <c r="M648" s="65">
        <v>2091286.1911349809</v>
      </c>
      <c r="N648" s="64">
        <v>1554347.7505993191</v>
      </c>
      <c r="P648">
        <f t="shared" si="43"/>
        <v>590</v>
      </c>
      <c r="Q648" t="str">
        <f t="shared" si="44"/>
        <v>S</v>
      </c>
      <c r="R648" t="str">
        <f>IF(ISERROR(MATCH(P648&amp;"."&amp;Q648,R$5:R647,0)),P648&amp;"."&amp;Q648,P648&amp;"."&amp;Q648&amp;COUNTIFS(P$5:P647,P648,Q$5:Q647,Q648))</f>
        <v>590.S</v>
      </c>
      <c r="S648" s="55">
        <f t="shared" ref="S648:S711" si="45">N648</f>
        <v>1554347.7505993191</v>
      </c>
    </row>
    <row r="649" spans="1:19" hidden="1">
      <c r="A649" s="5">
        <v>714</v>
      </c>
      <c r="B649" s="59"/>
      <c r="C649" s="60"/>
      <c r="D649" s="63"/>
      <c r="E649" s="63"/>
      <c r="F649" s="60" t="s">
        <v>139</v>
      </c>
      <c r="G649" s="61" t="s">
        <v>321</v>
      </c>
      <c r="H649" s="62"/>
      <c r="I649" s="65">
        <v>3040351.53</v>
      </c>
      <c r="J649" s="65">
        <v>1466396.7052938601</v>
      </c>
      <c r="K649" s="62"/>
      <c r="L649" s="65">
        <v>3306519.531951014</v>
      </c>
      <c r="M649" s="65">
        <v>1703254.0403543119</v>
      </c>
      <c r="N649" s="64">
        <v>1603265.491596702</v>
      </c>
      <c r="P649">
        <f t="shared" si="43"/>
        <v>590</v>
      </c>
      <c r="Q649" t="str">
        <f t="shared" si="44"/>
        <v>SNPD</v>
      </c>
      <c r="R649" t="str">
        <f>IF(ISERROR(MATCH(P649&amp;"."&amp;Q649,R$5:R648,0)),P649&amp;"."&amp;Q649,P649&amp;"."&amp;Q649&amp;COUNTIFS(P$5:P648,P649,Q$5:Q648,Q649))</f>
        <v>590.SNPD</v>
      </c>
      <c r="S649" s="55">
        <f t="shared" si="45"/>
        <v>1603265.491596702</v>
      </c>
    </row>
    <row r="650" spans="1:19" hidden="1">
      <c r="A650" s="5">
        <v>715</v>
      </c>
      <c r="B650" s="59"/>
      <c r="C650" s="60"/>
      <c r="D650" s="63"/>
      <c r="E650" s="63"/>
      <c r="F650" s="63"/>
      <c r="G650" s="63"/>
      <c r="H650" s="62" t="s">
        <v>178</v>
      </c>
      <c r="I650" s="66">
        <v>6381190.8599999994</v>
      </c>
      <c r="J650" s="66">
        <v>2888087.2152938601</v>
      </c>
      <c r="K650" s="62"/>
      <c r="L650" s="66">
        <v>6952153.4736853139</v>
      </c>
      <c r="M650" s="66">
        <v>3794540.2314892928</v>
      </c>
      <c r="N650" s="66">
        <v>3157613.2421960211</v>
      </c>
      <c r="P650">
        <f t="shared" si="43"/>
        <v>590</v>
      </c>
      <c r="Q650" t="str">
        <f t="shared" si="44"/>
        <v>NA</v>
      </c>
      <c r="R650" t="str">
        <f>IF(ISERROR(MATCH(P650&amp;"."&amp;Q650,R$5:R649,0)),P650&amp;"."&amp;Q650,P650&amp;"."&amp;Q650&amp;COUNTIFS(P$5:P649,P650,Q$5:Q649,Q650))</f>
        <v>590.NA1</v>
      </c>
      <c r="S650" s="55">
        <f t="shared" si="45"/>
        <v>3157613.2421960211</v>
      </c>
    </row>
    <row r="651" spans="1:19" hidden="1">
      <c r="A651" s="5">
        <v>716</v>
      </c>
      <c r="B651" s="59"/>
      <c r="C651" s="60"/>
      <c r="D651" s="63"/>
      <c r="E651" s="63"/>
      <c r="F651" s="63"/>
      <c r="G651" s="63"/>
      <c r="H651" s="62"/>
      <c r="I651" s="65"/>
      <c r="J651" s="65"/>
      <c r="K651" s="62"/>
      <c r="L651" s="65"/>
      <c r="M651" s="65"/>
      <c r="N651" s="65"/>
      <c r="P651">
        <f t="shared" si="43"/>
        <v>590</v>
      </c>
      <c r="Q651" t="str">
        <f t="shared" si="44"/>
        <v>NA</v>
      </c>
      <c r="R651" t="str">
        <f>IF(ISERROR(MATCH(P651&amp;"."&amp;Q651,R$5:R650,0)),P651&amp;"."&amp;Q651,P651&amp;"."&amp;Q651&amp;COUNTIFS(P$5:P650,P651,Q$5:Q650,Q651))</f>
        <v>590.NA2</v>
      </c>
      <c r="S651" s="55">
        <f t="shared" si="45"/>
        <v>0</v>
      </c>
    </row>
    <row r="652" spans="1:19" hidden="1">
      <c r="A652" s="5">
        <v>717</v>
      </c>
      <c r="B652" s="59"/>
      <c r="C652" s="60">
        <v>591</v>
      </c>
      <c r="D652" s="61" t="s">
        <v>189</v>
      </c>
      <c r="E652" s="63"/>
      <c r="F652" s="63"/>
      <c r="G652" s="63"/>
      <c r="H652" s="62"/>
      <c r="I652" s="65"/>
      <c r="J652" s="65"/>
      <c r="K652" s="62"/>
      <c r="L652" s="65"/>
      <c r="M652" s="65"/>
      <c r="N652" s="65"/>
      <c r="P652">
        <f t="shared" si="43"/>
        <v>591</v>
      </c>
      <c r="Q652" t="str">
        <f t="shared" si="44"/>
        <v>NA</v>
      </c>
      <c r="R652" t="str">
        <f>IF(ISERROR(MATCH(P652&amp;"."&amp;Q652,R$5:R651,0)),P652&amp;"."&amp;Q652,P652&amp;"."&amp;Q652&amp;COUNTIFS(P$5:P651,P652,Q$5:Q651,Q652))</f>
        <v>591.NA</v>
      </c>
      <c r="S652" s="55">
        <f t="shared" si="45"/>
        <v>0</v>
      </c>
    </row>
    <row r="653" spans="1:19" hidden="1">
      <c r="A653" s="5">
        <v>718</v>
      </c>
      <c r="B653" s="59"/>
      <c r="C653" s="60"/>
      <c r="D653" s="63"/>
      <c r="E653" s="63"/>
      <c r="F653" s="60" t="s">
        <v>139</v>
      </c>
      <c r="G653" s="61" t="s">
        <v>12</v>
      </c>
      <c r="H653" s="62"/>
      <c r="I653" s="65">
        <v>2231775.52</v>
      </c>
      <c r="J653" s="65">
        <v>1009727.86</v>
      </c>
      <c r="K653" s="62"/>
      <c r="L653" s="65">
        <v>2250355.2416897337</v>
      </c>
      <c r="M653" s="65">
        <v>1232221.3110732897</v>
      </c>
      <c r="N653" s="64">
        <v>1018133.9306164439</v>
      </c>
      <c r="P653">
        <f t="shared" si="43"/>
        <v>591</v>
      </c>
      <c r="Q653" t="str">
        <f t="shared" si="44"/>
        <v>S</v>
      </c>
      <c r="R653" t="str">
        <f>IF(ISERROR(MATCH(P653&amp;"."&amp;Q653,R$5:R652,0)),P653&amp;"."&amp;Q653,P653&amp;"."&amp;Q653&amp;COUNTIFS(P$5:P652,P653,Q$5:Q652,Q653))</f>
        <v>591.S</v>
      </c>
      <c r="S653" s="55">
        <f t="shared" si="45"/>
        <v>1018133.9306164439</v>
      </c>
    </row>
    <row r="654" spans="1:19" hidden="1">
      <c r="A654" s="5">
        <v>719</v>
      </c>
      <c r="B654" s="59"/>
      <c r="C654" s="60"/>
      <c r="D654" s="63"/>
      <c r="E654" s="63"/>
      <c r="F654" s="60" t="s">
        <v>139</v>
      </c>
      <c r="G654" s="61" t="s">
        <v>321</v>
      </c>
      <c r="H654" s="62"/>
      <c r="I654" s="65">
        <v>126766.64</v>
      </c>
      <c r="J654" s="65">
        <v>61141.016557770497</v>
      </c>
      <c r="K654" s="62"/>
      <c r="L654" s="65">
        <v>127821.9830977425</v>
      </c>
      <c r="M654" s="65">
        <v>65843.648299536464</v>
      </c>
      <c r="N654" s="64">
        <v>61978.334798206037</v>
      </c>
      <c r="P654">
        <f t="shared" si="43"/>
        <v>591</v>
      </c>
      <c r="Q654" t="str">
        <f t="shared" si="44"/>
        <v>SNPD</v>
      </c>
      <c r="R654" t="str">
        <f>IF(ISERROR(MATCH(P654&amp;"."&amp;Q654,R$5:R653,0)),P654&amp;"."&amp;Q654,P654&amp;"."&amp;Q654&amp;COUNTIFS(P$5:P653,P654,Q$5:Q653,Q654))</f>
        <v>591.SNPD</v>
      </c>
      <c r="S654" s="55">
        <f t="shared" si="45"/>
        <v>61978.334798206037</v>
      </c>
    </row>
    <row r="655" spans="1:19" hidden="1">
      <c r="A655" s="5">
        <v>720</v>
      </c>
      <c r="B655" s="59"/>
      <c r="C655" s="60"/>
      <c r="D655" s="63"/>
      <c r="E655" s="63"/>
      <c r="F655" s="63"/>
      <c r="G655" s="63"/>
      <c r="H655" s="62" t="s">
        <v>178</v>
      </c>
      <c r="I655" s="66">
        <v>2358542.16</v>
      </c>
      <c r="J655" s="66">
        <v>1070868.8765577704</v>
      </c>
      <c r="K655" s="62"/>
      <c r="L655" s="66">
        <v>2378177.224787476</v>
      </c>
      <c r="M655" s="66">
        <v>1298064.9593728262</v>
      </c>
      <c r="N655" s="66">
        <v>1080112.2654146499</v>
      </c>
      <c r="P655">
        <f t="shared" si="43"/>
        <v>591</v>
      </c>
      <c r="Q655" t="str">
        <f t="shared" si="44"/>
        <v>NA</v>
      </c>
      <c r="R655" t="str">
        <f>IF(ISERROR(MATCH(P655&amp;"."&amp;Q655,R$5:R654,0)),P655&amp;"."&amp;Q655,P655&amp;"."&amp;Q655&amp;COUNTIFS(P$5:P654,P655,Q$5:Q654,Q655))</f>
        <v>591.NA1</v>
      </c>
      <c r="S655" s="55">
        <f t="shared" si="45"/>
        <v>1080112.2654146499</v>
      </c>
    </row>
    <row r="656" spans="1:19" hidden="1">
      <c r="A656" s="5">
        <v>721</v>
      </c>
      <c r="B656" s="59"/>
      <c r="C656" s="60"/>
      <c r="D656" s="63"/>
      <c r="E656" s="63"/>
      <c r="F656" s="63"/>
      <c r="G656" s="63"/>
      <c r="H656" s="62"/>
      <c r="I656" s="69"/>
      <c r="J656" s="69"/>
      <c r="K656" s="62"/>
      <c r="L656" s="69"/>
      <c r="M656" s="65"/>
      <c r="N656" s="65"/>
      <c r="P656">
        <f t="shared" si="43"/>
        <v>591</v>
      </c>
      <c r="Q656" t="str">
        <f t="shared" si="44"/>
        <v>NA</v>
      </c>
      <c r="R656" t="str">
        <f>IF(ISERROR(MATCH(P656&amp;"."&amp;Q656,R$5:R655,0)),P656&amp;"."&amp;Q656,P656&amp;"."&amp;Q656&amp;COUNTIFS(P$5:P655,P656,Q$5:Q655,Q656))</f>
        <v>591.NA2</v>
      </c>
      <c r="S656" s="55">
        <f t="shared" si="45"/>
        <v>0</v>
      </c>
    </row>
    <row r="657" spans="1:19" hidden="1">
      <c r="A657" s="5">
        <v>722</v>
      </c>
      <c r="B657" s="59"/>
      <c r="C657" s="60">
        <v>592</v>
      </c>
      <c r="D657" s="61" t="s">
        <v>313</v>
      </c>
      <c r="E657" s="63"/>
      <c r="F657" s="63"/>
      <c r="G657" s="63"/>
      <c r="H657" s="62"/>
      <c r="I657" s="65"/>
      <c r="J657" s="65"/>
      <c r="K657" s="62"/>
      <c r="L657" s="65"/>
      <c r="M657" s="65"/>
      <c r="N657" s="65"/>
      <c r="P657">
        <f t="shared" si="43"/>
        <v>592</v>
      </c>
      <c r="Q657" t="str">
        <f t="shared" si="44"/>
        <v>NA</v>
      </c>
      <c r="R657" t="str">
        <f>IF(ISERROR(MATCH(P657&amp;"."&amp;Q657,R$5:R656,0)),P657&amp;"."&amp;Q657,P657&amp;"."&amp;Q657&amp;COUNTIFS(P$5:P656,P657,Q$5:Q656,Q657))</f>
        <v>592.NA</v>
      </c>
      <c r="S657" s="55">
        <f t="shared" si="45"/>
        <v>0</v>
      </c>
    </row>
    <row r="658" spans="1:19" hidden="1">
      <c r="A658" s="5">
        <v>723</v>
      </c>
      <c r="B658" s="59"/>
      <c r="C658" s="60"/>
      <c r="D658" s="63"/>
      <c r="E658" s="63"/>
      <c r="F658" s="60" t="s">
        <v>139</v>
      </c>
      <c r="G658" s="61" t="s">
        <v>12</v>
      </c>
      <c r="H658" s="62"/>
      <c r="I658" s="65">
        <v>7846621.3300000001</v>
      </c>
      <c r="J658" s="65">
        <v>3042333.42</v>
      </c>
      <c r="K658" s="62"/>
      <c r="L658" s="65">
        <v>8456537.7785143368</v>
      </c>
      <c r="M658" s="65">
        <v>5181792.6435373388</v>
      </c>
      <c r="N658" s="64">
        <v>3274745.134976998</v>
      </c>
      <c r="P658">
        <f t="shared" si="43"/>
        <v>592</v>
      </c>
      <c r="Q658" t="str">
        <f t="shared" si="44"/>
        <v>S</v>
      </c>
      <c r="R658" t="str">
        <f>IF(ISERROR(MATCH(P658&amp;"."&amp;Q658,R$5:R657,0)),P658&amp;"."&amp;Q658,P658&amp;"."&amp;Q658&amp;COUNTIFS(P$5:P657,P658,Q$5:Q657,Q658))</f>
        <v>592.S</v>
      </c>
      <c r="S658" s="55">
        <f t="shared" si="45"/>
        <v>3274745.134976998</v>
      </c>
    </row>
    <row r="659" spans="1:19" hidden="1">
      <c r="A659" s="5">
        <v>724</v>
      </c>
      <c r="B659" s="59"/>
      <c r="C659" s="60"/>
      <c r="D659" s="63"/>
      <c r="E659" s="63"/>
      <c r="F659" s="60" t="s">
        <v>139</v>
      </c>
      <c r="G659" s="61" t="s">
        <v>321</v>
      </c>
      <c r="H659" s="62"/>
      <c r="I659" s="65">
        <v>1818726.47</v>
      </c>
      <c r="J659" s="65">
        <v>877192.81047699531</v>
      </c>
      <c r="K659" s="62"/>
      <c r="L659" s="65">
        <v>1986345.6886570351</v>
      </c>
      <c r="M659" s="65">
        <v>1023206.2103529065</v>
      </c>
      <c r="N659" s="64">
        <v>963139.47830412863</v>
      </c>
      <c r="P659">
        <f t="shared" si="43"/>
        <v>592</v>
      </c>
      <c r="Q659" t="str">
        <f t="shared" si="44"/>
        <v>SNPD</v>
      </c>
      <c r="R659" t="str">
        <f>IF(ISERROR(MATCH(P659&amp;"."&amp;Q659,R$5:R658,0)),P659&amp;"."&amp;Q659,P659&amp;"."&amp;Q659&amp;COUNTIFS(P$5:P658,P659,Q$5:Q658,Q659))</f>
        <v>592.SNPD</v>
      </c>
      <c r="S659" s="55">
        <f t="shared" si="45"/>
        <v>963139.47830412863</v>
      </c>
    </row>
    <row r="660" spans="1:19" hidden="1">
      <c r="A660" s="5">
        <v>725</v>
      </c>
      <c r="B660" s="59"/>
      <c r="C660" s="60"/>
      <c r="D660" s="63"/>
      <c r="E660" s="63"/>
      <c r="F660" s="63"/>
      <c r="G660" s="63"/>
      <c r="H660" s="62" t="s">
        <v>178</v>
      </c>
      <c r="I660" s="66">
        <v>9665347.8000000007</v>
      </c>
      <c r="J660" s="66">
        <v>3919526.230476995</v>
      </c>
      <c r="K660" s="62"/>
      <c r="L660" s="66">
        <v>10442883.467171371</v>
      </c>
      <c r="M660" s="66">
        <v>6204998.8538902458</v>
      </c>
      <c r="N660" s="66">
        <v>4237884.6132811271</v>
      </c>
      <c r="P660">
        <f t="shared" si="43"/>
        <v>592</v>
      </c>
      <c r="Q660" t="str">
        <f t="shared" si="44"/>
        <v>NA</v>
      </c>
      <c r="R660" t="str">
        <f>IF(ISERROR(MATCH(P660&amp;"."&amp;Q660,R$5:R659,0)),P660&amp;"."&amp;Q660,P660&amp;"."&amp;Q660&amp;COUNTIFS(P$5:P659,P660,Q$5:Q659,Q660))</f>
        <v>592.NA1</v>
      </c>
      <c r="S660" s="55">
        <f t="shared" si="45"/>
        <v>4237884.6132811271</v>
      </c>
    </row>
    <row r="661" spans="1:19" hidden="1">
      <c r="A661" s="5">
        <v>726</v>
      </c>
      <c r="B661" s="59"/>
      <c r="C661" s="60">
        <v>593</v>
      </c>
      <c r="D661" s="63" t="s">
        <v>314</v>
      </c>
      <c r="E661" s="63"/>
      <c r="F661" s="63"/>
      <c r="G661" s="63"/>
      <c r="H661" s="62"/>
      <c r="I661" s="65"/>
      <c r="J661" s="65"/>
      <c r="K661" s="62"/>
      <c r="L661" s="65"/>
      <c r="M661" s="65"/>
      <c r="N661" s="65"/>
      <c r="P661">
        <f t="shared" si="43"/>
        <v>593</v>
      </c>
      <c r="Q661" t="str">
        <f t="shared" si="44"/>
        <v>NA</v>
      </c>
      <c r="R661" t="str">
        <f>IF(ISERROR(MATCH(P661&amp;"."&amp;Q661,R$5:R660,0)),P661&amp;"."&amp;Q661,P661&amp;"."&amp;Q661&amp;COUNTIFS(P$5:P660,P661,Q$5:Q660,Q661))</f>
        <v>593.NA</v>
      </c>
      <c r="S661" s="55">
        <f t="shared" si="45"/>
        <v>0</v>
      </c>
    </row>
    <row r="662" spans="1:19" hidden="1">
      <c r="A662" s="5">
        <v>727</v>
      </c>
      <c r="B662" s="59"/>
      <c r="C662" s="60"/>
      <c r="D662" s="61"/>
      <c r="E662" s="63"/>
      <c r="F662" s="63" t="s">
        <v>139</v>
      </c>
      <c r="G662" s="63" t="s">
        <v>12</v>
      </c>
      <c r="H662" s="62"/>
      <c r="I662" s="65">
        <v>86403927.689999998</v>
      </c>
      <c r="J662" s="65">
        <v>29792494.210000001</v>
      </c>
      <c r="K662" s="62"/>
      <c r="L662" s="65">
        <v>93292525.293636978</v>
      </c>
      <c r="M662" s="65">
        <v>60739265.343163624</v>
      </c>
      <c r="N662" s="65">
        <v>32553259.950473353</v>
      </c>
      <c r="P662">
        <f t="shared" si="43"/>
        <v>593</v>
      </c>
      <c r="Q662" t="str">
        <f t="shared" si="44"/>
        <v>S</v>
      </c>
      <c r="R662" t="str">
        <f>IF(ISERROR(MATCH(P662&amp;"."&amp;Q662,R$5:R661,0)),P662&amp;"."&amp;Q662,P662&amp;"."&amp;Q662&amp;COUNTIFS(P$5:P661,P662,Q$5:Q661,Q662))</f>
        <v>593.S</v>
      </c>
      <c r="S662" s="55">
        <f t="shared" si="45"/>
        <v>32553259.950473353</v>
      </c>
    </row>
    <row r="663" spans="1:19" hidden="1">
      <c r="A663" s="5">
        <v>728</v>
      </c>
      <c r="B663" s="59"/>
      <c r="C663" s="60"/>
      <c r="D663" s="63"/>
      <c r="E663" s="63"/>
      <c r="F663" s="60" t="s">
        <v>139</v>
      </c>
      <c r="G663" s="61" t="s">
        <v>321</v>
      </c>
      <c r="H663" s="62"/>
      <c r="I663" s="65">
        <v>2245821.2799999998</v>
      </c>
      <c r="J663" s="65">
        <v>1083185.5767911284</v>
      </c>
      <c r="K663" s="62"/>
      <c r="L663" s="65">
        <v>2402799.878634111</v>
      </c>
      <c r="M663" s="65">
        <v>1237730.0547901411</v>
      </c>
      <c r="N663" s="64">
        <v>1165069.82384397</v>
      </c>
      <c r="P663">
        <f t="shared" si="43"/>
        <v>593</v>
      </c>
      <c r="Q663" t="str">
        <f t="shared" si="44"/>
        <v>SNPD</v>
      </c>
      <c r="R663" t="str">
        <f>IF(ISERROR(MATCH(P663&amp;"."&amp;Q663,R$5:R662,0)),P663&amp;"."&amp;Q663,P663&amp;"."&amp;Q663&amp;COUNTIFS(P$5:P662,P663,Q$5:Q662,Q663))</f>
        <v>593.SNPD</v>
      </c>
      <c r="S663" s="55">
        <f t="shared" si="45"/>
        <v>1165069.82384397</v>
      </c>
    </row>
    <row r="664" spans="1:19" hidden="1">
      <c r="A664" s="5">
        <v>729</v>
      </c>
      <c r="B664" s="59"/>
      <c r="C664" s="60"/>
      <c r="D664" s="63"/>
      <c r="E664" s="63"/>
      <c r="F664" s="60"/>
      <c r="G664" s="61"/>
      <c r="H664" s="62" t="s">
        <v>178</v>
      </c>
      <c r="I664" s="65">
        <v>88649748.969999999</v>
      </c>
      <c r="J664" s="65">
        <v>30875679.786791131</v>
      </c>
      <c r="K664" s="62"/>
      <c r="L664" s="65">
        <v>95695325.172271088</v>
      </c>
      <c r="M664" s="65">
        <v>61976995.397953764</v>
      </c>
      <c r="N664" s="64">
        <v>33718329.774317324</v>
      </c>
      <c r="P664">
        <f t="shared" si="43"/>
        <v>593</v>
      </c>
      <c r="Q664" t="str">
        <f t="shared" si="44"/>
        <v>NA</v>
      </c>
      <c r="R664" t="str">
        <f>IF(ISERROR(MATCH(P664&amp;"."&amp;Q664,R$5:R663,0)),P664&amp;"."&amp;Q664,P664&amp;"."&amp;Q664&amp;COUNTIFS(P$5:P663,P664,Q$5:Q663,Q664))</f>
        <v>593.NA1</v>
      </c>
      <c r="S664" s="55">
        <f t="shared" si="45"/>
        <v>33718329.774317324</v>
      </c>
    </row>
    <row r="665" spans="1:19" hidden="1">
      <c r="A665" s="5">
        <v>730</v>
      </c>
      <c r="B665" s="59"/>
      <c r="C665" s="60"/>
      <c r="D665" s="63"/>
      <c r="E665" s="63"/>
      <c r="F665" s="63"/>
      <c r="G665" s="63"/>
      <c r="H665" s="62"/>
      <c r="I665" s="66"/>
      <c r="J665" s="66"/>
      <c r="K665" s="62"/>
      <c r="L665" s="66"/>
      <c r="M665" s="66"/>
      <c r="N665" s="66"/>
      <c r="P665">
        <f t="shared" si="43"/>
        <v>593</v>
      </c>
      <c r="Q665" t="str">
        <f t="shared" si="44"/>
        <v>NA</v>
      </c>
      <c r="R665" t="str">
        <f>IF(ISERROR(MATCH(P665&amp;"."&amp;Q665,R$5:R664,0)),P665&amp;"."&amp;Q665,P665&amp;"."&amp;Q665&amp;COUNTIFS(P$5:P664,P665,Q$5:Q664,Q665))</f>
        <v>593.NA2</v>
      </c>
      <c r="S665" s="55">
        <f t="shared" si="45"/>
        <v>0</v>
      </c>
    </row>
    <row r="666" spans="1:19" hidden="1">
      <c r="A666" s="5">
        <v>731</v>
      </c>
      <c r="B666" s="59"/>
      <c r="C666" s="60">
        <v>594</v>
      </c>
      <c r="D666" s="63" t="s">
        <v>315</v>
      </c>
      <c r="E666" s="63"/>
      <c r="F666" s="63"/>
      <c r="G666" s="63"/>
      <c r="H666" s="62"/>
      <c r="I666" s="65"/>
      <c r="J666" s="65"/>
      <c r="K666" s="62"/>
      <c r="L666" s="65"/>
      <c r="M666" s="65"/>
      <c r="N666" s="65"/>
      <c r="P666">
        <f t="shared" si="43"/>
        <v>594</v>
      </c>
      <c r="Q666" t="str">
        <f t="shared" si="44"/>
        <v>NA</v>
      </c>
      <c r="R666" t="str">
        <f>IF(ISERROR(MATCH(P666&amp;"."&amp;Q666,R$5:R665,0)),P666&amp;"."&amp;Q666,P666&amp;"."&amp;Q666&amp;COUNTIFS(P$5:P665,P666,Q$5:Q665,Q666))</f>
        <v>594.NA</v>
      </c>
      <c r="S666" s="55">
        <f t="shared" si="45"/>
        <v>0</v>
      </c>
    </row>
    <row r="667" spans="1:19" hidden="1">
      <c r="A667" s="5">
        <v>732</v>
      </c>
      <c r="B667" s="59"/>
      <c r="C667" s="60"/>
      <c r="D667" s="61"/>
      <c r="E667" s="63"/>
      <c r="F667" s="63" t="s">
        <v>139</v>
      </c>
      <c r="G667" s="63" t="s">
        <v>12</v>
      </c>
      <c r="H667" s="62"/>
      <c r="I667" s="65">
        <v>27316638.579999998</v>
      </c>
      <c r="J667" s="65">
        <v>15935491.279999999</v>
      </c>
      <c r="K667" s="62"/>
      <c r="L667" s="65">
        <v>28776942.254911631</v>
      </c>
      <c r="M667" s="65">
        <v>12040734.970413823</v>
      </c>
      <c r="N667" s="65">
        <v>16736207.284497809</v>
      </c>
      <c r="P667">
        <f t="shared" si="43"/>
        <v>594</v>
      </c>
      <c r="Q667" t="str">
        <f t="shared" si="44"/>
        <v>S</v>
      </c>
      <c r="R667" t="str">
        <f>IF(ISERROR(MATCH(P667&amp;"."&amp;Q667,R$5:R666,0)),P667&amp;"."&amp;Q667,P667&amp;"."&amp;Q667&amp;COUNTIFS(P$5:P666,P667,Q$5:Q666,Q667))</f>
        <v>594.S</v>
      </c>
      <c r="S667" s="55">
        <f t="shared" si="45"/>
        <v>16736207.284497809</v>
      </c>
    </row>
    <row r="668" spans="1:19" hidden="1">
      <c r="A668" s="5">
        <v>733</v>
      </c>
      <c r="B668" s="59"/>
      <c r="C668" s="60"/>
      <c r="D668" s="63"/>
      <c r="E668" s="63"/>
      <c r="F668" s="60" t="s">
        <v>139</v>
      </c>
      <c r="G668" s="61" t="s">
        <v>321</v>
      </c>
      <c r="H668" s="62"/>
      <c r="I668" s="65">
        <v>9897.06</v>
      </c>
      <c r="J668" s="65">
        <v>4773.4664998082153</v>
      </c>
      <c r="K668" s="62"/>
      <c r="L668" s="65">
        <v>10628.272213720444</v>
      </c>
      <c r="M668" s="65">
        <v>5474.8346153949178</v>
      </c>
      <c r="N668" s="64">
        <v>5153.4375983255259</v>
      </c>
      <c r="P668">
        <f t="shared" si="43"/>
        <v>594</v>
      </c>
      <c r="Q668" t="str">
        <f t="shared" si="44"/>
        <v>SNPD</v>
      </c>
      <c r="R668" t="str">
        <f>IF(ISERROR(MATCH(P668&amp;"."&amp;Q668,R$5:R667,0)),P668&amp;"."&amp;Q668,P668&amp;"."&amp;Q668&amp;COUNTIFS(P$5:P667,P668,Q$5:Q667,Q668))</f>
        <v>594.SNPD</v>
      </c>
      <c r="S668" s="55">
        <f t="shared" si="45"/>
        <v>5153.4375983255259</v>
      </c>
    </row>
    <row r="669" spans="1:19" hidden="1">
      <c r="A669" s="5">
        <v>734</v>
      </c>
      <c r="B669" s="59"/>
      <c r="C669" s="60"/>
      <c r="D669" s="63"/>
      <c r="E669" s="63"/>
      <c r="F669" s="60"/>
      <c r="G669" s="61"/>
      <c r="H669" s="62" t="s">
        <v>178</v>
      </c>
      <c r="I669" s="65">
        <v>27326535.639999997</v>
      </c>
      <c r="J669" s="65">
        <v>15940264.746499807</v>
      </c>
      <c r="K669" s="62"/>
      <c r="L669" s="65">
        <v>28787570.527125351</v>
      </c>
      <c r="M669" s="65">
        <v>12046209.805029217</v>
      </c>
      <c r="N669" s="64">
        <v>16741360.722096134</v>
      </c>
      <c r="P669">
        <f t="shared" si="43"/>
        <v>594</v>
      </c>
      <c r="Q669" t="str">
        <f t="shared" si="44"/>
        <v>NA</v>
      </c>
      <c r="R669" t="str">
        <f>IF(ISERROR(MATCH(P669&amp;"."&amp;Q669,R$5:R668,0)),P669&amp;"."&amp;Q669,P669&amp;"."&amp;Q669&amp;COUNTIFS(P$5:P668,P669,Q$5:Q668,Q669))</f>
        <v>594.NA1</v>
      </c>
      <c r="S669" s="55">
        <f t="shared" si="45"/>
        <v>16741360.722096134</v>
      </c>
    </row>
    <row r="670" spans="1:19" hidden="1">
      <c r="A670" s="5">
        <v>735</v>
      </c>
      <c r="B670" s="59"/>
      <c r="C670" s="60"/>
      <c r="D670" s="63"/>
      <c r="E670" s="63"/>
      <c r="F670" s="63"/>
      <c r="G670" s="63"/>
      <c r="H670" s="62"/>
      <c r="I670" s="66"/>
      <c r="J670" s="66"/>
      <c r="K670" s="62"/>
      <c r="L670" s="66"/>
      <c r="M670" s="66"/>
      <c r="N670" s="66"/>
      <c r="P670">
        <f t="shared" si="43"/>
        <v>594</v>
      </c>
      <c r="Q670" t="str">
        <f t="shared" si="44"/>
        <v>NA</v>
      </c>
      <c r="R670" t="str">
        <f>IF(ISERROR(MATCH(P670&amp;"."&amp;Q670,R$5:R669,0)),P670&amp;"."&amp;Q670,P670&amp;"."&amp;Q670&amp;COUNTIFS(P$5:P669,P670,Q$5:Q669,Q670))</f>
        <v>594.NA2</v>
      </c>
      <c r="S670" s="55">
        <f t="shared" si="45"/>
        <v>0</v>
      </c>
    </row>
    <row r="671" spans="1:19" hidden="1">
      <c r="A671" s="5">
        <v>736</v>
      </c>
      <c r="B671" s="59"/>
      <c r="C671" s="60">
        <v>595</v>
      </c>
      <c r="D671" s="63" t="s">
        <v>327</v>
      </c>
      <c r="E671" s="63"/>
      <c r="F671" s="63"/>
      <c r="G671" s="63"/>
      <c r="H671" s="62"/>
      <c r="I671" s="65"/>
      <c r="J671" s="65"/>
      <c r="K671" s="62"/>
      <c r="L671" s="65"/>
      <c r="M671" s="65"/>
      <c r="N671" s="65"/>
      <c r="P671">
        <f t="shared" si="43"/>
        <v>595</v>
      </c>
      <c r="Q671" t="str">
        <f t="shared" si="44"/>
        <v>NA</v>
      </c>
      <c r="R671" t="str">
        <f>IF(ISERROR(MATCH(P671&amp;"."&amp;Q671,R$5:R670,0)),P671&amp;"."&amp;Q671,P671&amp;"."&amp;Q671&amp;COUNTIFS(P$5:P670,P671,Q$5:Q670,Q671))</f>
        <v>595.NA</v>
      </c>
      <c r="S671" s="55">
        <f t="shared" si="45"/>
        <v>0</v>
      </c>
    </row>
    <row r="672" spans="1:19" ht="15.75" hidden="1" thickBot="1">
      <c r="A672" s="5">
        <v>737</v>
      </c>
      <c r="B672" s="59"/>
      <c r="C672" s="45"/>
      <c r="D672" s="63"/>
      <c r="E672" s="63"/>
      <c r="F672" s="63" t="s">
        <v>139</v>
      </c>
      <c r="G672" s="63" t="s">
        <v>12</v>
      </c>
      <c r="H672" s="41"/>
      <c r="I672" s="68">
        <v>0</v>
      </c>
      <c r="J672" s="68">
        <v>0</v>
      </c>
      <c r="K672" s="41"/>
      <c r="L672" s="68">
        <v>0</v>
      </c>
      <c r="M672" s="68">
        <v>0</v>
      </c>
      <c r="N672" s="68">
        <v>0</v>
      </c>
      <c r="P672">
        <f t="shared" si="43"/>
        <v>595</v>
      </c>
      <c r="Q672" t="str">
        <f t="shared" si="44"/>
        <v>S</v>
      </c>
      <c r="R672" t="str">
        <f>IF(ISERROR(MATCH(P672&amp;"."&amp;Q672,R$5:R671,0)),P672&amp;"."&amp;Q672,P672&amp;"."&amp;Q672&amp;COUNTIFS(P$5:P671,P672,Q$5:Q671,Q672))</f>
        <v>595.S</v>
      </c>
      <c r="S672" s="55">
        <f t="shared" si="45"/>
        <v>0</v>
      </c>
    </row>
    <row r="673" spans="1:19" hidden="1">
      <c r="A673" s="5">
        <v>738</v>
      </c>
      <c r="B673" s="59"/>
      <c r="C673" s="60"/>
      <c r="D673" s="63"/>
      <c r="E673" s="63"/>
      <c r="F673" s="63" t="s">
        <v>139</v>
      </c>
      <c r="G673" s="63" t="s">
        <v>321</v>
      </c>
      <c r="H673" s="62"/>
      <c r="I673" s="65">
        <v>1003083.75</v>
      </c>
      <c r="J673" s="65">
        <v>483798.89352262177</v>
      </c>
      <c r="K673" s="62"/>
      <c r="L673" s="65">
        <v>1091784.1657059966</v>
      </c>
      <c r="M673" s="65">
        <v>562399.76006926852</v>
      </c>
      <c r="N673" s="65">
        <v>529384.40563672804</v>
      </c>
      <c r="P673">
        <f t="shared" si="43"/>
        <v>595</v>
      </c>
      <c r="Q673" t="str">
        <f t="shared" si="44"/>
        <v>SNPD</v>
      </c>
      <c r="R673" t="str">
        <f>IF(ISERROR(MATCH(P673&amp;"."&amp;Q673,R$5:R672,0)),P673&amp;"."&amp;Q673,P673&amp;"."&amp;Q673&amp;COUNTIFS(P$5:P672,P673,Q$5:Q672,Q673))</f>
        <v>595.SNPD</v>
      </c>
      <c r="S673" s="55">
        <f t="shared" si="45"/>
        <v>529384.40563672804</v>
      </c>
    </row>
    <row r="674" spans="1:19" hidden="1">
      <c r="A674" s="5">
        <v>739</v>
      </c>
      <c r="B674" s="59"/>
      <c r="C674" s="60"/>
      <c r="D674" s="63"/>
      <c r="E674" s="63"/>
      <c r="F674" s="63"/>
      <c r="G674" s="63"/>
      <c r="H674" s="62" t="s">
        <v>178</v>
      </c>
      <c r="I674" s="65">
        <v>1003083.75</v>
      </c>
      <c r="J674" s="65">
        <v>483798.89352262177</v>
      </c>
      <c r="K674" s="62"/>
      <c r="L674" s="65">
        <v>1091784.1657059966</v>
      </c>
      <c r="M674" s="65">
        <v>562399.76006926852</v>
      </c>
      <c r="N674" s="65">
        <v>529384.40563672804</v>
      </c>
      <c r="P674">
        <f t="shared" si="43"/>
        <v>595</v>
      </c>
      <c r="Q674" t="str">
        <f t="shared" si="44"/>
        <v>NA</v>
      </c>
      <c r="R674" t="str">
        <f>IF(ISERROR(MATCH(P674&amp;"."&amp;Q674,R$5:R673,0)),P674&amp;"."&amp;Q674,P674&amp;"."&amp;Q674&amp;COUNTIFS(P$5:P673,P674,Q$5:Q673,Q674))</f>
        <v>595.NA1</v>
      </c>
      <c r="S674" s="55">
        <f t="shared" si="45"/>
        <v>529384.40563672804</v>
      </c>
    </row>
    <row r="675" spans="1:19" hidden="1">
      <c r="A675" s="5">
        <v>740</v>
      </c>
      <c r="B675" s="59"/>
      <c r="C675" s="60"/>
      <c r="D675" s="63"/>
      <c r="E675" s="63"/>
      <c r="F675" s="63"/>
      <c r="G675" s="63"/>
      <c r="H675" s="62"/>
      <c r="I675" s="65"/>
      <c r="J675" s="65"/>
      <c r="K675" s="62"/>
      <c r="L675" s="65"/>
      <c r="M675" s="65"/>
      <c r="N675" s="65"/>
      <c r="P675">
        <f t="shared" si="43"/>
        <v>595</v>
      </c>
      <c r="Q675" t="str">
        <f t="shared" si="44"/>
        <v>NA</v>
      </c>
      <c r="R675" t="str">
        <f>IF(ISERROR(MATCH(P675&amp;"."&amp;Q675,R$5:R674,0)),P675&amp;"."&amp;Q675,P675&amp;"."&amp;Q675&amp;COUNTIFS(P$5:P674,P675,Q$5:Q674,Q675))</f>
        <v>595.NA2</v>
      </c>
      <c r="S675" s="55">
        <f t="shared" si="45"/>
        <v>0</v>
      </c>
    </row>
    <row r="676" spans="1:19" hidden="1">
      <c r="A676" s="5">
        <v>741</v>
      </c>
      <c r="B676" s="59"/>
      <c r="C676" s="60">
        <v>596</v>
      </c>
      <c r="D676" s="63" t="s">
        <v>328</v>
      </c>
      <c r="E676" s="60"/>
      <c r="F676" s="63"/>
      <c r="G676" s="63"/>
      <c r="H676" s="62"/>
      <c r="I676" s="65"/>
      <c r="J676" s="65"/>
      <c r="K676" s="62"/>
      <c r="L676" s="65"/>
      <c r="M676" s="65"/>
      <c r="N676" s="64"/>
      <c r="P676">
        <f t="shared" si="43"/>
        <v>596</v>
      </c>
      <c r="Q676" t="str">
        <f t="shared" si="44"/>
        <v>NA</v>
      </c>
      <c r="R676" t="str">
        <f>IF(ISERROR(MATCH(P676&amp;"."&amp;Q676,R$5:R675,0)),P676&amp;"."&amp;Q676,P676&amp;"."&amp;Q676&amp;COUNTIFS(P$5:P675,P676,Q$5:Q675,Q676))</f>
        <v>596.NA</v>
      </c>
      <c r="S676" s="55">
        <f t="shared" si="45"/>
        <v>0</v>
      </c>
    </row>
    <row r="677" spans="1:19" hidden="1">
      <c r="A677" s="5">
        <v>742</v>
      </c>
      <c r="B677" s="59"/>
      <c r="C677" s="60"/>
      <c r="D677" s="63"/>
      <c r="E677" s="70"/>
      <c r="F677" s="63" t="s">
        <v>139</v>
      </c>
      <c r="G677" s="63" t="s">
        <v>12</v>
      </c>
      <c r="H677" s="62"/>
      <c r="I677" s="65">
        <v>2503642.1</v>
      </c>
      <c r="J677" s="65">
        <v>909978.65</v>
      </c>
      <c r="K677" s="62"/>
      <c r="L677" s="65">
        <v>2645712.9637203934</v>
      </c>
      <c r="M677" s="65">
        <v>1709957.2508967386</v>
      </c>
      <c r="N677" s="64">
        <v>935755.71282365476</v>
      </c>
      <c r="P677">
        <f t="shared" si="43"/>
        <v>596</v>
      </c>
      <c r="Q677" t="str">
        <f t="shared" si="44"/>
        <v>S</v>
      </c>
      <c r="R677" t="str">
        <f>IF(ISERROR(MATCH(P677&amp;"."&amp;Q677,R$5:R676,0)),P677&amp;"."&amp;Q677,P677&amp;"."&amp;Q677&amp;COUNTIFS(P$5:P676,P677,Q$5:Q676,Q677))</f>
        <v>596.S</v>
      </c>
      <c r="S677" s="55">
        <f t="shared" si="45"/>
        <v>935755.71282365476</v>
      </c>
    </row>
    <row r="678" spans="1:19" hidden="1">
      <c r="A678" s="5">
        <v>743</v>
      </c>
      <c r="B678" s="59"/>
      <c r="C678" s="60"/>
      <c r="D678" s="63"/>
      <c r="E678" s="63"/>
      <c r="F678" s="63" t="s">
        <v>139</v>
      </c>
      <c r="G678" s="63" t="s">
        <v>321</v>
      </c>
      <c r="H678" s="62"/>
      <c r="I678" s="65">
        <v>0</v>
      </c>
      <c r="J678" s="65">
        <v>0</v>
      </c>
      <c r="K678" s="62"/>
      <c r="L678" s="65">
        <v>0</v>
      </c>
      <c r="M678" s="65">
        <v>0</v>
      </c>
      <c r="N678" s="65">
        <v>0</v>
      </c>
      <c r="P678">
        <f t="shared" si="43"/>
        <v>596</v>
      </c>
      <c r="Q678" t="str">
        <f t="shared" si="44"/>
        <v>SNPD</v>
      </c>
      <c r="R678" t="str">
        <f>IF(ISERROR(MATCH(P678&amp;"."&amp;Q678,R$5:R677,0)),P678&amp;"."&amp;Q678,P678&amp;"."&amp;Q678&amp;COUNTIFS(P$5:P677,P678,Q$5:Q677,Q678))</f>
        <v>596.SNPD</v>
      </c>
      <c r="S678" s="55">
        <f t="shared" si="45"/>
        <v>0</v>
      </c>
    </row>
    <row r="679" spans="1:19" ht="15.75" hidden="1" thickBot="1">
      <c r="A679" s="5">
        <v>744</v>
      </c>
      <c r="B679" s="59"/>
      <c r="C679" s="60"/>
      <c r="D679" s="63"/>
      <c r="E679" s="63"/>
      <c r="F679" s="63"/>
      <c r="G679" s="63"/>
      <c r="H679" s="62" t="s">
        <v>178</v>
      </c>
      <c r="I679" s="81">
        <v>2503642.1</v>
      </c>
      <c r="J679" s="81">
        <v>909978.65</v>
      </c>
      <c r="K679" s="62"/>
      <c r="L679" s="81">
        <v>2645712.9637203934</v>
      </c>
      <c r="M679" s="81">
        <v>1709957.2508967386</v>
      </c>
      <c r="N679" s="81">
        <v>935755.71282365476</v>
      </c>
      <c r="P679">
        <f t="shared" si="43"/>
        <v>596</v>
      </c>
      <c r="Q679" t="str">
        <f t="shared" si="44"/>
        <v>NA</v>
      </c>
      <c r="R679" t="str">
        <f>IF(ISERROR(MATCH(P679&amp;"."&amp;Q679,R$5:R678,0)),P679&amp;"."&amp;Q679,P679&amp;"."&amp;Q679&amp;COUNTIFS(P$5:P678,P679,Q$5:Q678,Q679))</f>
        <v>596.NA1</v>
      </c>
      <c r="S679" s="55">
        <f t="shared" si="45"/>
        <v>935755.71282365476</v>
      </c>
    </row>
    <row r="680" spans="1:19" hidden="1">
      <c r="A680" s="5">
        <v>745</v>
      </c>
      <c r="B680" s="59"/>
      <c r="C680" s="60"/>
      <c r="D680" s="63"/>
      <c r="E680" s="63"/>
      <c r="F680" s="63"/>
      <c r="G680" s="63"/>
      <c r="H680" s="62"/>
      <c r="I680" s="65"/>
      <c r="J680" s="65"/>
      <c r="K680" s="62"/>
      <c r="L680" s="65"/>
      <c r="M680" s="65"/>
      <c r="N680" s="65"/>
      <c r="P680">
        <f t="shared" si="43"/>
        <v>596</v>
      </c>
      <c r="Q680" t="str">
        <f t="shared" si="44"/>
        <v>NA</v>
      </c>
      <c r="R680" t="str">
        <f>IF(ISERROR(MATCH(P680&amp;"."&amp;Q680,R$5:R679,0)),P680&amp;"."&amp;Q680,P680&amp;"."&amp;Q680&amp;COUNTIFS(P$5:P679,P680,Q$5:Q679,Q680))</f>
        <v>596.NA2</v>
      </c>
      <c r="S680" s="55">
        <f t="shared" si="45"/>
        <v>0</v>
      </c>
    </row>
    <row r="681" spans="1:19" hidden="1">
      <c r="A681" s="5">
        <v>746</v>
      </c>
      <c r="B681" s="59"/>
      <c r="C681" s="60">
        <v>597</v>
      </c>
      <c r="D681" s="61" t="s">
        <v>329</v>
      </c>
      <c r="E681" s="63"/>
      <c r="F681" s="63"/>
      <c r="G681" s="63"/>
      <c r="H681" s="62"/>
      <c r="I681" s="65"/>
      <c r="J681" s="65"/>
      <c r="K681" s="62"/>
      <c r="L681" s="65"/>
      <c r="M681" s="65"/>
      <c r="N681" s="65"/>
      <c r="P681">
        <f t="shared" si="43"/>
        <v>597</v>
      </c>
      <c r="Q681" t="str">
        <f t="shared" si="44"/>
        <v>NA</v>
      </c>
      <c r="R681" t="str">
        <f>IF(ISERROR(MATCH(P681&amp;"."&amp;Q681,R$5:R680,0)),P681&amp;"."&amp;Q681,P681&amp;"."&amp;Q681&amp;COUNTIFS(P$5:P680,P681,Q$5:Q680,Q681))</f>
        <v>597.NA</v>
      </c>
      <c r="S681" s="55">
        <f t="shared" si="45"/>
        <v>0</v>
      </c>
    </row>
    <row r="682" spans="1:19" hidden="1">
      <c r="A682" s="5">
        <v>747</v>
      </c>
      <c r="B682" s="59"/>
      <c r="C682" s="60"/>
      <c r="D682" s="63"/>
      <c r="E682" s="63"/>
      <c r="F682" s="60" t="s">
        <v>139</v>
      </c>
      <c r="G682" s="61" t="s">
        <v>12</v>
      </c>
      <c r="H682" s="62"/>
      <c r="I682" s="65">
        <v>626978.16999999993</v>
      </c>
      <c r="J682" s="65">
        <v>239425.46</v>
      </c>
      <c r="K682" s="62"/>
      <c r="L682" s="65">
        <v>677026.11480678094</v>
      </c>
      <c r="M682" s="65">
        <v>418420.66149236873</v>
      </c>
      <c r="N682" s="64">
        <v>258605.45331441221</v>
      </c>
      <c r="P682">
        <f t="shared" si="43"/>
        <v>597</v>
      </c>
      <c r="Q682" t="str">
        <f t="shared" si="44"/>
        <v>S</v>
      </c>
      <c r="R682" t="str">
        <f>IF(ISERROR(MATCH(P682&amp;"."&amp;Q682,R$5:R681,0)),P682&amp;"."&amp;Q682,P682&amp;"."&amp;Q682&amp;COUNTIFS(P$5:P681,P682,Q$5:Q681,Q682))</f>
        <v>597.S</v>
      </c>
      <c r="S682" s="55">
        <f t="shared" si="45"/>
        <v>258605.45331441221</v>
      </c>
    </row>
    <row r="683" spans="1:19" hidden="1">
      <c r="A683" s="5">
        <v>748</v>
      </c>
      <c r="B683" s="59"/>
      <c r="C683" s="60"/>
      <c r="D683" s="63"/>
      <c r="E683" s="63"/>
      <c r="F683" s="60" t="s">
        <v>139</v>
      </c>
      <c r="G683" s="61" t="s">
        <v>321</v>
      </c>
      <c r="H683" s="62"/>
      <c r="I683" s="65">
        <v>-97690.97</v>
      </c>
      <c r="J683" s="65">
        <v>-47117.484649862621</v>
      </c>
      <c r="K683" s="62"/>
      <c r="L683" s="65">
        <v>-109109.32533262487</v>
      </c>
      <c r="M683" s="65">
        <v>-56204.385734709642</v>
      </c>
      <c r="N683" s="64">
        <v>-52904.939597915225</v>
      </c>
      <c r="P683">
        <f t="shared" si="43"/>
        <v>597</v>
      </c>
      <c r="Q683" t="str">
        <f t="shared" si="44"/>
        <v>SNPD</v>
      </c>
      <c r="R683" t="str">
        <f>IF(ISERROR(MATCH(P683&amp;"."&amp;Q683,R$5:R682,0)),P683&amp;"."&amp;Q683,P683&amp;"."&amp;Q683&amp;COUNTIFS(P$5:P682,P683,Q$5:Q682,Q683))</f>
        <v>597.SNPD</v>
      </c>
      <c r="S683" s="55">
        <f t="shared" si="45"/>
        <v>-52904.939597915225</v>
      </c>
    </row>
    <row r="684" spans="1:19" hidden="1">
      <c r="A684" s="5">
        <v>749</v>
      </c>
      <c r="B684" s="59"/>
      <c r="C684" s="60"/>
      <c r="D684" s="63"/>
      <c r="E684" s="63"/>
      <c r="F684" s="63"/>
      <c r="G684" s="63"/>
      <c r="H684" s="62" t="s">
        <v>178</v>
      </c>
      <c r="I684" s="66">
        <v>529287.19999999995</v>
      </c>
      <c r="J684" s="66">
        <v>192307.97535013736</v>
      </c>
      <c r="K684" s="62"/>
      <c r="L684" s="66">
        <v>567916.7894741561</v>
      </c>
      <c r="M684" s="66">
        <v>362216.27575765911</v>
      </c>
      <c r="N684" s="66">
        <v>205700.51371649699</v>
      </c>
      <c r="P684">
        <f t="shared" si="43"/>
        <v>597</v>
      </c>
      <c r="Q684" t="str">
        <f t="shared" si="44"/>
        <v>NA</v>
      </c>
      <c r="R684" t="str">
        <f>IF(ISERROR(MATCH(P684&amp;"."&amp;Q684,R$5:R683,0)),P684&amp;"."&amp;Q684,P684&amp;"."&amp;Q684&amp;COUNTIFS(P$5:P683,P684,Q$5:Q683,Q684))</f>
        <v>597.NA1</v>
      </c>
      <c r="S684" s="55">
        <f t="shared" si="45"/>
        <v>205700.51371649699</v>
      </c>
    </row>
    <row r="685" spans="1:19" hidden="1">
      <c r="A685" s="5">
        <v>750</v>
      </c>
      <c r="B685" s="59"/>
      <c r="C685" s="60"/>
      <c r="D685" s="63"/>
      <c r="E685" s="63"/>
      <c r="F685" s="63"/>
      <c r="G685" s="63"/>
      <c r="H685" s="62"/>
      <c r="I685" s="65"/>
      <c r="J685" s="65"/>
      <c r="K685" s="62"/>
      <c r="L685" s="65"/>
      <c r="M685" s="65"/>
      <c r="N685" s="65"/>
      <c r="P685">
        <f t="shared" si="43"/>
        <v>597</v>
      </c>
      <c r="Q685" t="str">
        <f t="shared" si="44"/>
        <v>NA</v>
      </c>
      <c r="R685" t="str">
        <f>IF(ISERROR(MATCH(P685&amp;"."&amp;Q685,R$5:R684,0)),P685&amp;"."&amp;Q685,P685&amp;"."&amp;Q685&amp;COUNTIFS(P$5:P684,P685,Q$5:Q684,Q685))</f>
        <v>597.NA2</v>
      </c>
      <c r="S685" s="55">
        <f t="shared" si="45"/>
        <v>0</v>
      </c>
    </row>
    <row r="686" spans="1:19" hidden="1">
      <c r="A686" s="5">
        <v>751</v>
      </c>
      <c r="B686" s="59"/>
      <c r="C686" s="60">
        <v>598</v>
      </c>
      <c r="D686" s="61" t="s">
        <v>330</v>
      </c>
      <c r="E686" s="63"/>
      <c r="F686" s="63"/>
      <c r="G686" s="63"/>
      <c r="H686" s="62"/>
      <c r="I686" s="65"/>
      <c r="J686" s="65"/>
      <c r="K686" s="62"/>
      <c r="L686" s="65"/>
      <c r="M686" s="65"/>
      <c r="N686" s="65"/>
      <c r="P686">
        <f t="shared" si="43"/>
        <v>598</v>
      </c>
      <c r="Q686" t="str">
        <f t="shared" si="44"/>
        <v>NA</v>
      </c>
      <c r="R686" t="str">
        <f>IF(ISERROR(MATCH(P686&amp;"."&amp;Q686,R$5:R685,0)),P686&amp;"."&amp;Q686,P686&amp;"."&amp;Q686&amp;COUNTIFS(P$5:P685,P686,Q$5:Q685,Q686))</f>
        <v>598.NA</v>
      </c>
      <c r="S686" s="55">
        <f t="shared" si="45"/>
        <v>0</v>
      </c>
    </row>
    <row r="687" spans="1:19" hidden="1">
      <c r="A687" s="5">
        <v>752</v>
      </c>
      <c r="B687" s="59"/>
      <c r="C687" s="60"/>
      <c r="D687" s="63"/>
      <c r="E687" s="63"/>
      <c r="F687" s="60" t="s">
        <v>139</v>
      </c>
      <c r="G687" s="61" t="s">
        <v>12</v>
      </c>
      <c r="H687" s="62"/>
      <c r="I687" s="65">
        <v>1994419.48</v>
      </c>
      <c r="J687" s="65">
        <v>641797.51</v>
      </c>
      <c r="K687" s="62"/>
      <c r="L687" s="65">
        <v>2017128.8393646635</v>
      </c>
      <c r="M687" s="65">
        <v>1369988.3103154339</v>
      </c>
      <c r="N687" s="64">
        <v>647140.52904922958</v>
      </c>
      <c r="P687">
        <f t="shared" si="43"/>
        <v>598</v>
      </c>
      <c r="Q687" t="str">
        <f t="shared" si="44"/>
        <v>S</v>
      </c>
      <c r="R687" t="str">
        <f>IF(ISERROR(MATCH(P687&amp;"."&amp;Q687,R$5:R686,0)),P687&amp;"."&amp;Q687,P687&amp;"."&amp;Q687&amp;COUNTIFS(P$5:P686,P687,Q$5:Q686,Q687))</f>
        <v>598.S</v>
      </c>
      <c r="S687" s="55">
        <f t="shared" si="45"/>
        <v>647140.52904922958</v>
      </c>
    </row>
    <row r="688" spans="1:19" hidden="1">
      <c r="A688" s="5">
        <v>753</v>
      </c>
      <c r="B688" s="59"/>
      <c r="C688" s="60"/>
      <c r="D688" s="63"/>
      <c r="E688" s="63"/>
      <c r="F688" s="60" t="s">
        <v>139</v>
      </c>
      <c r="G688" s="61" t="s">
        <v>321</v>
      </c>
      <c r="H688" s="62"/>
      <c r="I688" s="65">
        <v>4461582.54</v>
      </c>
      <c r="J688" s="65">
        <v>2151872.8582851118</v>
      </c>
      <c r="K688" s="62"/>
      <c r="L688" s="65">
        <v>4635044.0749882348</v>
      </c>
      <c r="M688" s="65">
        <v>2387603.4820474135</v>
      </c>
      <c r="N688" s="64">
        <v>2247440.5929408213</v>
      </c>
      <c r="P688">
        <f t="shared" si="43"/>
        <v>598</v>
      </c>
      <c r="Q688" t="str">
        <f t="shared" si="44"/>
        <v>SNPD</v>
      </c>
      <c r="R688" t="str">
        <f>IF(ISERROR(MATCH(P688&amp;"."&amp;Q688,R$5:R687,0)),P688&amp;"."&amp;Q688,P688&amp;"."&amp;Q688&amp;COUNTIFS(P$5:P687,P688,Q$5:Q687,Q688))</f>
        <v>598.SNPD</v>
      </c>
      <c r="S688" s="55">
        <f t="shared" si="45"/>
        <v>2247440.5929408213</v>
      </c>
    </row>
    <row r="689" spans="1:19" hidden="1">
      <c r="A689" s="5">
        <v>754</v>
      </c>
      <c r="B689" s="59"/>
      <c r="C689" s="60"/>
      <c r="D689" s="63"/>
      <c r="E689" s="63"/>
      <c r="F689" s="63"/>
      <c r="G689" s="63"/>
      <c r="H689" s="62" t="s">
        <v>178</v>
      </c>
      <c r="I689" s="66">
        <v>6456002.0199999996</v>
      </c>
      <c r="J689" s="66">
        <v>2793670.3682851121</v>
      </c>
      <c r="K689" s="62"/>
      <c r="L689" s="66">
        <v>6652172.9143528985</v>
      </c>
      <c r="M689" s="66">
        <v>3757591.7923628474</v>
      </c>
      <c r="N689" s="66">
        <v>2894581.1219900511</v>
      </c>
      <c r="P689">
        <f t="shared" si="43"/>
        <v>598</v>
      </c>
      <c r="Q689" t="str">
        <f t="shared" si="44"/>
        <v>NA</v>
      </c>
      <c r="R689" t="str">
        <f>IF(ISERROR(MATCH(P689&amp;"."&amp;Q689,R$5:R688,0)),P689&amp;"."&amp;Q689,P689&amp;"."&amp;Q689&amp;COUNTIFS(P$5:P688,P689,Q$5:Q688,Q689))</f>
        <v>598.NA1</v>
      </c>
      <c r="S689" s="55">
        <f t="shared" si="45"/>
        <v>2894581.1219900511</v>
      </c>
    </row>
    <row r="690" spans="1:19" hidden="1">
      <c r="A690" s="5">
        <v>755</v>
      </c>
      <c r="B690" s="59"/>
      <c r="C690" s="60"/>
      <c r="D690" s="63"/>
      <c r="E690" s="63"/>
      <c r="F690" s="63"/>
      <c r="G690" s="63"/>
      <c r="H690" s="62"/>
      <c r="I690" s="69"/>
      <c r="J690" s="69"/>
      <c r="K690" s="62"/>
      <c r="L690" s="69"/>
      <c r="M690" s="65"/>
      <c r="N690" s="65"/>
      <c r="P690">
        <f t="shared" si="43"/>
        <v>598</v>
      </c>
      <c r="Q690" t="str">
        <f t="shared" si="44"/>
        <v>NA</v>
      </c>
      <c r="R690" t="str">
        <f>IF(ISERROR(MATCH(P690&amp;"."&amp;Q690,R$5:R689,0)),P690&amp;"."&amp;Q690,P690&amp;"."&amp;Q690&amp;COUNTIFS(P$5:P689,P690,Q$5:Q689,Q690))</f>
        <v>598.NA2</v>
      </c>
      <c r="S690" s="55">
        <f t="shared" si="45"/>
        <v>0</v>
      </c>
    </row>
    <row r="691" spans="1:19" hidden="1">
      <c r="A691" s="5">
        <v>756</v>
      </c>
      <c r="B691" s="59"/>
      <c r="C691" s="60" t="s">
        <v>331</v>
      </c>
      <c r="D691" s="61"/>
      <c r="E691" s="63"/>
      <c r="F691" s="63"/>
      <c r="G691" s="63"/>
      <c r="H691" s="62" t="s">
        <v>178</v>
      </c>
      <c r="I691" s="65">
        <v>202761779.16999999</v>
      </c>
      <c r="J691" s="65">
        <v>85367096.60785614</v>
      </c>
      <c r="K691" s="62"/>
      <c r="L691" s="65">
        <v>218319166.93940124</v>
      </c>
      <c r="M691" s="65">
        <v>126085599.77698918</v>
      </c>
      <c r="N691" s="65">
        <v>92233567.162412003</v>
      </c>
      <c r="P691" t="str">
        <f t="shared" si="43"/>
        <v>Total Distribution Expense</v>
      </c>
      <c r="Q691" t="str">
        <f t="shared" si="44"/>
        <v>NA</v>
      </c>
      <c r="R691" t="str">
        <f>IF(ISERROR(MATCH(P691&amp;"."&amp;Q691,R$5:R690,0)),P691&amp;"."&amp;Q691,P691&amp;"."&amp;Q691&amp;COUNTIFS(P$5:P690,P691,Q$5:Q690,Q691))</f>
        <v>Total Distribution Expense.NA</v>
      </c>
      <c r="S691" s="55">
        <f t="shared" si="45"/>
        <v>92233567.162412003</v>
      </c>
    </row>
    <row r="692" spans="1:19" hidden="1">
      <c r="A692" s="5">
        <v>757</v>
      </c>
      <c r="B692" s="59"/>
      <c r="C692" s="60"/>
      <c r="D692" s="63"/>
      <c r="E692" s="63"/>
      <c r="F692" s="60"/>
      <c r="G692" s="61"/>
      <c r="H692" s="62"/>
      <c r="I692" s="65"/>
      <c r="J692" s="65"/>
      <c r="K692" s="62"/>
      <c r="L692" s="65"/>
      <c r="M692" s="65"/>
      <c r="N692" s="64"/>
      <c r="P692" t="str">
        <f t="shared" si="43"/>
        <v>Total Distribution Expense</v>
      </c>
      <c r="Q692" t="str">
        <f t="shared" si="44"/>
        <v>NA</v>
      </c>
      <c r="R692" t="str">
        <f>IF(ISERROR(MATCH(P692&amp;"."&amp;Q692,R$5:R691,0)),P692&amp;"."&amp;Q692,P692&amp;"."&amp;Q692&amp;COUNTIFS(P$5:P691,P692,Q$5:Q691,Q692))</f>
        <v>Total Distribution Expense.NA1</v>
      </c>
      <c r="S692" s="55">
        <f t="shared" si="45"/>
        <v>0</v>
      </c>
    </row>
    <row r="693" spans="1:19" hidden="1">
      <c r="A693" s="5">
        <v>758</v>
      </c>
      <c r="B693" s="59"/>
      <c r="C693" s="60"/>
      <c r="D693" s="63"/>
      <c r="E693" s="63"/>
      <c r="F693" s="60"/>
      <c r="G693" s="61"/>
      <c r="H693" s="62"/>
      <c r="I693" s="65"/>
      <c r="J693" s="65"/>
      <c r="K693" s="62"/>
      <c r="L693" s="65"/>
      <c r="M693" s="65"/>
      <c r="N693" s="64"/>
      <c r="P693" t="str">
        <f t="shared" si="43"/>
        <v>Total Distribution Expense</v>
      </c>
      <c r="Q693" t="str">
        <f t="shared" si="44"/>
        <v>NA</v>
      </c>
      <c r="R693" t="str">
        <f>IF(ISERROR(MATCH(P693&amp;"."&amp;Q693,R$5:R692,0)),P693&amp;"."&amp;Q693,P693&amp;"."&amp;Q693&amp;COUNTIFS(P$5:P692,P693,Q$5:Q692,Q693))</f>
        <v>Total Distribution Expense.NA2</v>
      </c>
      <c r="S693" s="55">
        <f t="shared" si="45"/>
        <v>0</v>
      </c>
    </row>
    <row r="694" spans="1:19" hidden="1">
      <c r="A694" s="5">
        <v>759</v>
      </c>
      <c r="B694" s="59"/>
      <c r="C694" s="60" t="s">
        <v>332</v>
      </c>
      <c r="D694" s="63"/>
      <c r="E694" s="63"/>
      <c r="F694" s="63"/>
      <c r="G694" s="63"/>
      <c r="H694" s="62"/>
      <c r="I694" s="66"/>
      <c r="J694" s="66"/>
      <c r="K694" s="62"/>
      <c r="L694" s="66"/>
      <c r="M694" s="66"/>
      <c r="N694" s="66"/>
      <c r="P694" t="str">
        <f t="shared" si="43"/>
        <v>Summary of Distribution Expense by Factor</v>
      </c>
      <c r="Q694" t="str">
        <f t="shared" si="44"/>
        <v>NA</v>
      </c>
      <c r="R694" t="str">
        <f>IF(ISERROR(MATCH(P694&amp;"."&amp;Q694,R$5:R693,0)),P694&amp;"."&amp;Q694,P694&amp;"."&amp;Q694&amp;COUNTIFS(P$5:P693,P694,Q$5:Q693,Q694))</f>
        <v>Summary of Distribution Expense by Factor.NA</v>
      </c>
      <c r="S694" s="55">
        <f t="shared" si="45"/>
        <v>0</v>
      </c>
    </row>
    <row r="695" spans="1:19" hidden="1">
      <c r="A695" s="5">
        <v>760</v>
      </c>
      <c r="B695" s="59"/>
      <c r="C695" s="60"/>
      <c r="D695" s="63"/>
      <c r="E695" s="63" t="s">
        <v>12</v>
      </c>
      <c r="F695" s="63"/>
      <c r="G695" s="63"/>
      <c r="H695" s="62"/>
      <c r="I695" s="65">
        <v>168534811.08999994</v>
      </c>
      <c r="J695" s="65">
        <v>68859034.060000002</v>
      </c>
      <c r="K695" s="62"/>
      <c r="L695" s="65">
        <v>180784489.56554401</v>
      </c>
      <c r="M695" s="65">
        <v>106750740.18440266</v>
      </c>
      <c r="N695" s="65">
        <v>74033749.38114135</v>
      </c>
      <c r="P695" t="str">
        <f t="shared" si="43"/>
        <v>Summary of Distribution Expense by Factor</v>
      </c>
      <c r="Q695" t="str">
        <f t="shared" si="44"/>
        <v>NA</v>
      </c>
      <c r="R695" t="str">
        <f>IF(ISERROR(MATCH(P695&amp;"."&amp;Q695,R$5:R694,0)),P695&amp;"."&amp;Q695,P695&amp;"."&amp;Q695&amp;COUNTIFS(P$5:P694,P695,Q$5:Q694,Q695))</f>
        <v>Summary of Distribution Expense by Factor.NA1</v>
      </c>
      <c r="S695" s="55">
        <f t="shared" si="45"/>
        <v>74033749.38114135</v>
      </c>
    </row>
    <row r="696" spans="1:19" hidden="1">
      <c r="A696" s="5">
        <v>761</v>
      </c>
      <c r="B696" s="59"/>
      <c r="C696" s="60"/>
      <c r="D696" s="61"/>
      <c r="E696" s="63" t="s">
        <v>321</v>
      </c>
      <c r="F696" s="63"/>
      <c r="G696" s="63"/>
      <c r="H696" s="62"/>
      <c r="I696" s="65">
        <v>34226968.079999998</v>
      </c>
      <c r="J696" s="65">
        <v>16508062.547856143</v>
      </c>
      <c r="K696" s="62"/>
      <c r="L696" s="65">
        <v>37534677.373857185</v>
      </c>
      <c r="M696" s="65">
        <v>19334859.592586543</v>
      </c>
      <c r="N696" s="65">
        <v>18199817.781270642</v>
      </c>
      <c r="P696" t="str">
        <f t="shared" si="43"/>
        <v>Summary of Distribution Expense by Factor</v>
      </c>
      <c r="Q696" t="str">
        <f t="shared" si="44"/>
        <v>NA</v>
      </c>
      <c r="R696" t="str">
        <f>IF(ISERROR(MATCH(P696&amp;"."&amp;Q696,R$5:R695,0)),P696&amp;"."&amp;Q696,P696&amp;"."&amp;Q696&amp;COUNTIFS(P$5:P695,P696,Q$5:Q695,Q696))</f>
        <v>Summary of Distribution Expense by Factor.NA2</v>
      </c>
      <c r="S696" s="55">
        <f t="shared" si="45"/>
        <v>18199817.781270642</v>
      </c>
    </row>
    <row r="697" spans="1:19" hidden="1">
      <c r="A697" s="5">
        <v>762</v>
      </c>
      <c r="B697" s="59"/>
      <c r="C697" s="60"/>
      <c r="D697" s="63"/>
      <c r="E697" s="63"/>
      <c r="F697" s="60"/>
      <c r="G697" s="61"/>
      <c r="H697" s="62"/>
      <c r="I697" s="65"/>
      <c r="J697" s="65"/>
      <c r="K697" s="62"/>
      <c r="L697" s="65"/>
      <c r="M697" s="65"/>
      <c r="N697" s="64"/>
      <c r="P697" t="str">
        <f t="shared" si="43"/>
        <v>Summary of Distribution Expense by Factor</v>
      </c>
      <c r="Q697" t="str">
        <f t="shared" si="44"/>
        <v>NA</v>
      </c>
      <c r="R697" t="str">
        <f>IF(ISERROR(MATCH(P697&amp;"."&amp;Q697,R$5:R696,0)),P697&amp;"."&amp;Q697,P697&amp;"."&amp;Q697&amp;COUNTIFS(P$5:P696,P697,Q$5:Q696,Q697))</f>
        <v>Summary of Distribution Expense by Factor.NA3</v>
      </c>
      <c r="S697" s="55">
        <f t="shared" si="45"/>
        <v>0</v>
      </c>
    </row>
    <row r="698" spans="1:19" hidden="1">
      <c r="A698" s="5">
        <v>763</v>
      </c>
      <c r="B698" s="59"/>
      <c r="C698" s="60" t="s">
        <v>333</v>
      </c>
      <c r="D698" s="63"/>
      <c r="E698" s="63"/>
      <c r="F698" s="60"/>
      <c r="G698" s="61"/>
      <c r="H698" s="62" t="s">
        <v>141</v>
      </c>
      <c r="I698" s="65">
        <v>202761779.16999996</v>
      </c>
      <c r="J698" s="65">
        <v>85367096.60785614</v>
      </c>
      <c r="K698" s="62"/>
      <c r="L698" s="65">
        <v>218319166.93940121</v>
      </c>
      <c r="M698" s="65">
        <v>126085599.77698921</v>
      </c>
      <c r="N698" s="64">
        <v>92233567.162411988</v>
      </c>
      <c r="P698" t="str">
        <f t="shared" si="43"/>
        <v>Total Distribution Expense by Factor</v>
      </c>
      <c r="Q698" t="str">
        <f t="shared" si="44"/>
        <v>NA</v>
      </c>
      <c r="R698" t="str">
        <f>IF(ISERROR(MATCH(P698&amp;"."&amp;Q698,R$5:R697,0)),P698&amp;"."&amp;Q698,P698&amp;"."&amp;Q698&amp;COUNTIFS(P$5:P697,P698,Q$5:Q697,Q698))</f>
        <v>Total Distribution Expense by Factor.NA</v>
      </c>
      <c r="S698" s="55">
        <f t="shared" si="45"/>
        <v>92233567.162411988</v>
      </c>
    </row>
    <row r="699" spans="1:19" hidden="1">
      <c r="A699" s="5">
        <v>764</v>
      </c>
      <c r="B699" s="59"/>
      <c r="C699" s="60"/>
      <c r="D699" s="63"/>
      <c r="E699" s="63"/>
      <c r="F699" s="60"/>
      <c r="G699" s="61"/>
      <c r="H699" s="62"/>
      <c r="I699" s="65"/>
      <c r="J699" s="65"/>
      <c r="K699" s="62"/>
      <c r="L699" s="65"/>
      <c r="M699" s="65"/>
      <c r="N699" s="64"/>
      <c r="P699" t="str">
        <f t="shared" si="43"/>
        <v>Total Distribution Expense by Factor</v>
      </c>
      <c r="Q699" t="str">
        <f t="shared" si="44"/>
        <v>NA</v>
      </c>
      <c r="R699" t="str">
        <f>IF(ISERROR(MATCH(P699&amp;"."&amp;Q699,R$5:R698,0)),P699&amp;"."&amp;Q699,P699&amp;"."&amp;Q699&amp;COUNTIFS(P$5:P698,P699,Q$5:Q698,Q699))</f>
        <v>Total Distribution Expense by Factor.NA1</v>
      </c>
      <c r="S699" s="55">
        <f t="shared" si="45"/>
        <v>0</v>
      </c>
    </row>
    <row r="700" spans="1:19" hidden="1">
      <c r="A700" s="5">
        <v>765</v>
      </c>
      <c r="B700" s="59"/>
      <c r="C700" s="60">
        <v>901</v>
      </c>
      <c r="D700" s="63" t="s">
        <v>334</v>
      </c>
      <c r="E700" s="63"/>
      <c r="F700" s="63"/>
      <c r="G700" s="63"/>
      <c r="H700" s="62"/>
      <c r="I700" s="66"/>
      <c r="J700" s="66"/>
      <c r="K700" s="62"/>
      <c r="L700" s="66"/>
      <c r="M700" s="66"/>
      <c r="N700" s="66"/>
      <c r="P700">
        <f t="shared" si="43"/>
        <v>901</v>
      </c>
      <c r="Q700" t="str">
        <f t="shared" si="44"/>
        <v>NA</v>
      </c>
      <c r="R700" t="str">
        <f>IF(ISERROR(MATCH(P700&amp;"."&amp;Q700,R$5:R699,0)),P700&amp;"."&amp;Q700,P700&amp;"."&amp;Q700&amp;COUNTIFS(P$5:P699,P700,Q$5:Q699,Q700))</f>
        <v>901.NA</v>
      </c>
      <c r="S700" s="55">
        <f t="shared" si="45"/>
        <v>0</v>
      </c>
    </row>
    <row r="701" spans="1:19" hidden="1">
      <c r="A701" s="5">
        <v>766</v>
      </c>
      <c r="B701" s="59"/>
      <c r="C701" s="60"/>
      <c r="D701" s="63"/>
      <c r="E701" s="63"/>
      <c r="F701" s="63" t="s">
        <v>149</v>
      </c>
      <c r="G701" s="63" t="s">
        <v>12</v>
      </c>
      <c r="H701" s="62"/>
      <c r="I701" s="65">
        <v>469.52</v>
      </c>
      <c r="J701" s="65">
        <v>0</v>
      </c>
      <c r="K701" s="62"/>
      <c r="L701" s="65">
        <v>483.90694395849732</v>
      </c>
      <c r="M701" s="65">
        <v>483.90694395849732</v>
      </c>
      <c r="N701" s="65">
        <v>0</v>
      </c>
      <c r="P701">
        <f t="shared" si="43"/>
        <v>901</v>
      </c>
      <c r="Q701" t="str">
        <f t="shared" si="44"/>
        <v>S</v>
      </c>
      <c r="R701" t="str">
        <f>IF(ISERROR(MATCH(P701&amp;"."&amp;Q701,R$5:R700,0)),P701&amp;"."&amp;Q701,P701&amp;"."&amp;Q701&amp;COUNTIFS(P$5:P700,P701,Q$5:Q700,Q701))</f>
        <v>901.S</v>
      </c>
      <c r="S701" s="55">
        <f t="shared" si="45"/>
        <v>0</v>
      </c>
    </row>
    <row r="702" spans="1:19" hidden="1">
      <c r="A702" s="5">
        <v>767</v>
      </c>
      <c r="B702" s="59"/>
      <c r="C702" s="60"/>
      <c r="D702" s="61"/>
      <c r="E702" s="63"/>
      <c r="F702" s="63" t="s">
        <v>149</v>
      </c>
      <c r="G702" s="63" t="s">
        <v>155</v>
      </c>
      <c r="H702" s="62"/>
      <c r="I702" s="65">
        <v>2281715.85</v>
      </c>
      <c r="J702" s="65">
        <v>1090874.5576265608</v>
      </c>
      <c r="K702" s="62"/>
      <c r="L702" s="65">
        <v>2478071.8074719403</v>
      </c>
      <c r="M702" s="65">
        <v>1293320.6533162619</v>
      </c>
      <c r="N702" s="65">
        <v>1184751.1541556783</v>
      </c>
      <c r="P702">
        <f t="shared" si="43"/>
        <v>901</v>
      </c>
      <c r="Q702" t="str">
        <f t="shared" si="44"/>
        <v>CN</v>
      </c>
      <c r="R702" t="str">
        <f>IF(ISERROR(MATCH(P702&amp;"."&amp;Q702,R$5:R701,0)),P702&amp;"."&amp;Q702,P702&amp;"."&amp;Q702&amp;COUNTIFS(P$5:P701,P702,Q$5:Q701,Q702))</f>
        <v>901.CN</v>
      </c>
      <c r="S702" s="55">
        <f t="shared" si="45"/>
        <v>1184751.1541556783</v>
      </c>
    </row>
    <row r="703" spans="1:19" hidden="1">
      <c r="A703" s="5">
        <v>768</v>
      </c>
      <c r="B703" s="59"/>
      <c r="C703" s="60"/>
      <c r="D703" s="63"/>
      <c r="E703" s="63"/>
      <c r="F703" s="60"/>
      <c r="G703" s="61"/>
      <c r="H703" s="62" t="s">
        <v>178</v>
      </c>
      <c r="I703" s="65">
        <v>2282185.37</v>
      </c>
      <c r="J703" s="65">
        <v>1090874.5576265608</v>
      </c>
      <c r="K703" s="62"/>
      <c r="L703" s="65">
        <v>2478555.714415899</v>
      </c>
      <c r="M703" s="65">
        <v>1293804.5602602204</v>
      </c>
      <c r="N703" s="64">
        <v>1184751.1541556783</v>
      </c>
      <c r="P703">
        <f t="shared" si="43"/>
        <v>901</v>
      </c>
      <c r="Q703" t="str">
        <f t="shared" si="44"/>
        <v>NA</v>
      </c>
      <c r="R703" t="str">
        <f>IF(ISERROR(MATCH(P703&amp;"."&amp;Q703,R$5:R702,0)),P703&amp;"."&amp;Q703,P703&amp;"."&amp;Q703&amp;COUNTIFS(P$5:P702,P703,Q$5:Q702,Q703))</f>
        <v>901.NA1</v>
      </c>
      <c r="S703" s="55">
        <f t="shared" si="45"/>
        <v>1184751.1541556783</v>
      </c>
    </row>
    <row r="704" spans="1:19" hidden="1">
      <c r="A704" s="5">
        <v>769</v>
      </c>
      <c r="B704" s="59"/>
      <c r="C704" s="60"/>
      <c r="D704" s="63"/>
      <c r="E704" s="63"/>
      <c r="F704" s="60"/>
      <c r="G704" s="61"/>
      <c r="H704" s="62"/>
      <c r="I704" s="65"/>
      <c r="J704" s="65"/>
      <c r="K704" s="62"/>
      <c r="L704" s="65"/>
      <c r="M704" s="65"/>
      <c r="N704" s="64"/>
      <c r="P704">
        <f t="shared" si="43"/>
        <v>901</v>
      </c>
      <c r="Q704" t="str">
        <f t="shared" si="44"/>
        <v>NA</v>
      </c>
      <c r="R704" t="str">
        <f>IF(ISERROR(MATCH(P704&amp;"."&amp;Q704,R$5:R703,0)),P704&amp;"."&amp;Q704,P704&amp;"."&amp;Q704&amp;COUNTIFS(P$5:P703,P704,Q$5:Q703,Q704))</f>
        <v>901.NA2</v>
      </c>
      <c r="S704" s="55">
        <f t="shared" si="45"/>
        <v>0</v>
      </c>
    </row>
    <row r="705" spans="1:19" hidden="1">
      <c r="A705" s="5">
        <v>770</v>
      </c>
      <c r="B705" s="59"/>
      <c r="C705" s="60">
        <v>902</v>
      </c>
      <c r="D705" s="63" t="s">
        <v>335</v>
      </c>
      <c r="E705" s="63"/>
      <c r="F705" s="63"/>
      <c r="G705" s="63"/>
      <c r="H705" s="62"/>
      <c r="I705" s="66"/>
      <c r="J705" s="66"/>
      <c r="K705" s="62"/>
      <c r="L705" s="66"/>
      <c r="M705" s="66"/>
      <c r="N705" s="66"/>
      <c r="P705">
        <f t="shared" si="43"/>
        <v>902</v>
      </c>
      <c r="Q705" t="str">
        <f t="shared" si="44"/>
        <v>NA</v>
      </c>
      <c r="R705" t="str">
        <f>IF(ISERROR(MATCH(P705&amp;"."&amp;Q705,R$5:R704,0)),P705&amp;"."&amp;Q705,P705&amp;"."&amp;Q705&amp;COUNTIFS(P$5:P704,P705,Q$5:Q704,Q705))</f>
        <v>902.NA</v>
      </c>
      <c r="S705" s="55">
        <f t="shared" si="45"/>
        <v>0</v>
      </c>
    </row>
    <row r="706" spans="1:19" hidden="1">
      <c r="A706" s="5">
        <v>771</v>
      </c>
      <c r="B706" s="59"/>
      <c r="C706" s="60"/>
      <c r="D706" s="63"/>
      <c r="E706" s="63"/>
      <c r="F706" s="63" t="s">
        <v>149</v>
      </c>
      <c r="G706" s="63" t="s">
        <v>12</v>
      </c>
      <c r="H706" s="62"/>
      <c r="I706" s="65">
        <v>13955933.499999998</v>
      </c>
      <c r="J706" s="65">
        <v>4733733.07</v>
      </c>
      <c r="K706" s="62"/>
      <c r="L706" s="65">
        <v>15128756.6608053</v>
      </c>
      <c r="M706" s="65">
        <v>9986583.6401843783</v>
      </c>
      <c r="N706" s="65">
        <v>5142173.0206209216</v>
      </c>
      <c r="P706">
        <f t="shared" si="43"/>
        <v>902</v>
      </c>
      <c r="Q706" t="str">
        <f t="shared" si="44"/>
        <v>S</v>
      </c>
      <c r="R706" t="str">
        <f>IF(ISERROR(MATCH(P706&amp;"."&amp;Q706,R$5:R705,0)),P706&amp;"."&amp;Q706,P706&amp;"."&amp;Q706&amp;COUNTIFS(P$5:P705,P706,Q$5:Q705,Q706))</f>
        <v>902.S</v>
      </c>
      <c r="S706" s="55">
        <f t="shared" si="45"/>
        <v>5142173.0206209216</v>
      </c>
    </row>
    <row r="707" spans="1:19" ht="15.75" hidden="1" thickBot="1">
      <c r="A707" s="5">
        <v>772</v>
      </c>
      <c r="B707" s="59"/>
      <c r="C707" s="45"/>
      <c r="D707" s="63"/>
      <c r="E707" s="63"/>
      <c r="F707" s="63" t="s">
        <v>149</v>
      </c>
      <c r="G707" s="63" t="s">
        <v>155</v>
      </c>
      <c r="H707" s="41"/>
      <c r="I707" s="68">
        <v>639887.93999999994</v>
      </c>
      <c r="J707" s="68">
        <v>305926.55675248575</v>
      </c>
      <c r="K707" s="41"/>
      <c r="L707" s="68">
        <v>692620.21759515489</v>
      </c>
      <c r="M707" s="68">
        <v>361482.67762832384</v>
      </c>
      <c r="N707" s="68">
        <v>331137.53996683104</v>
      </c>
      <c r="P707">
        <f t="shared" si="43"/>
        <v>902</v>
      </c>
      <c r="Q707" t="str">
        <f t="shared" si="44"/>
        <v>CN</v>
      </c>
      <c r="R707" t="str">
        <f>IF(ISERROR(MATCH(P707&amp;"."&amp;Q707,R$5:R706,0)),P707&amp;"."&amp;Q707,P707&amp;"."&amp;Q707&amp;COUNTIFS(P$5:P706,P707,Q$5:Q706,Q707))</f>
        <v>902.CN</v>
      </c>
      <c r="S707" s="55">
        <f t="shared" si="45"/>
        <v>331137.53996683104</v>
      </c>
    </row>
    <row r="708" spans="1:19" hidden="1">
      <c r="A708" s="5">
        <v>773</v>
      </c>
      <c r="B708" s="59"/>
      <c r="C708" s="60"/>
      <c r="D708" s="63"/>
      <c r="E708" s="63"/>
      <c r="F708" s="63"/>
      <c r="G708" s="63"/>
      <c r="H708" s="90" t="s">
        <v>178</v>
      </c>
      <c r="I708" s="65">
        <v>14595821.439999998</v>
      </c>
      <c r="J708" s="65">
        <v>5039659.6267524865</v>
      </c>
      <c r="K708" s="90"/>
      <c r="L708" s="65">
        <v>15821376.878400454</v>
      </c>
      <c r="M708" s="65">
        <v>10348066.317812702</v>
      </c>
      <c r="N708" s="65">
        <v>5473310.5605877526</v>
      </c>
      <c r="P708">
        <f t="shared" si="43"/>
        <v>902</v>
      </c>
      <c r="Q708" t="str">
        <f t="shared" si="44"/>
        <v>NA</v>
      </c>
      <c r="R708" t="str">
        <f>IF(ISERROR(MATCH(P708&amp;"."&amp;Q708,R$5:R707,0)),P708&amp;"."&amp;Q708,P708&amp;"."&amp;Q708&amp;COUNTIFS(P$5:P707,P708,Q$5:Q707,Q708))</f>
        <v>902.NA1</v>
      </c>
      <c r="S708" s="55">
        <f t="shared" si="45"/>
        <v>5473310.5605877526</v>
      </c>
    </row>
    <row r="709" spans="1:19" hidden="1">
      <c r="A709" s="5">
        <v>774</v>
      </c>
      <c r="B709" s="59"/>
      <c r="C709" s="60"/>
      <c r="D709" s="63"/>
      <c r="E709" s="63"/>
      <c r="F709" s="63"/>
      <c r="G709" s="63"/>
      <c r="H709" s="62"/>
      <c r="I709" s="65"/>
      <c r="J709" s="65"/>
      <c r="K709" s="62"/>
      <c r="L709" s="65"/>
      <c r="M709" s="65"/>
      <c r="N709" s="65"/>
      <c r="P709">
        <f t="shared" si="43"/>
        <v>902</v>
      </c>
      <c r="Q709" t="str">
        <f t="shared" si="44"/>
        <v>NA</v>
      </c>
      <c r="R709" t="str">
        <f>IF(ISERROR(MATCH(P709&amp;"."&amp;Q709,R$5:R708,0)),P709&amp;"."&amp;Q709,P709&amp;"."&amp;Q709&amp;COUNTIFS(P$5:P708,P709,Q$5:Q708,Q709))</f>
        <v>902.NA2</v>
      </c>
      <c r="S709" s="55">
        <f t="shared" si="45"/>
        <v>0</v>
      </c>
    </row>
    <row r="710" spans="1:19" hidden="1">
      <c r="A710" s="5">
        <v>775</v>
      </c>
      <c r="B710" s="59"/>
      <c r="C710" s="60">
        <v>903</v>
      </c>
      <c r="D710" s="63" t="s">
        <v>336</v>
      </c>
      <c r="E710" s="60"/>
      <c r="F710" s="63"/>
      <c r="G710" s="63"/>
      <c r="H710" s="62"/>
      <c r="I710" s="65"/>
      <c r="J710" s="65"/>
      <c r="K710" s="62"/>
      <c r="L710" s="65"/>
      <c r="M710" s="65"/>
      <c r="N710" s="64"/>
      <c r="P710">
        <f t="shared" si="43"/>
        <v>903</v>
      </c>
      <c r="Q710" t="str">
        <f t="shared" si="44"/>
        <v>NA</v>
      </c>
      <c r="R710" t="str">
        <f>IF(ISERROR(MATCH(P710&amp;"."&amp;Q710,R$5:R709,0)),P710&amp;"."&amp;Q710,P710&amp;"."&amp;Q710&amp;COUNTIFS(P$5:P709,P710,Q$5:Q709,Q710))</f>
        <v>903.NA</v>
      </c>
      <c r="S710" s="55">
        <f t="shared" si="45"/>
        <v>0</v>
      </c>
    </row>
    <row r="711" spans="1:19" hidden="1">
      <c r="A711" s="5">
        <v>776</v>
      </c>
      <c r="B711" s="59"/>
      <c r="C711" s="60"/>
      <c r="D711" s="63"/>
      <c r="E711" s="70"/>
      <c r="F711" s="63" t="s">
        <v>149</v>
      </c>
      <c r="G711" s="63" t="s">
        <v>12</v>
      </c>
      <c r="H711" s="62"/>
      <c r="I711" s="65">
        <v>5770890.3299999991</v>
      </c>
      <c r="J711" s="65">
        <v>2935573.82</v>
      </c>
      <c r="K711" s="62"/>
      <c r="L711" s="65">
        <v>6282293.9787112344</v>
      </c>
      <c r="M711" s="65">
        <v>3072200.7546621561</v>
      </c>
      <c r="N711" s="64">
        <v>3210093.2240490783</v>
      </c>
      <c r="P711">
        <f t="shared" ref="P711:P774" si="46">IF(OR(C711="",C711=" ",C711="  ",C711="   "),P710,C711)</f>
        <v>903</v>
      </c>
      <c r="Q711" t="str">
        <f t="shared" ref="Q711:Q774" si="47">IF(G711="","NA",G711)</f>
        <v>S</v>
      </c>
      <c r="R711" t="str">
        <f>IF(ISERROR(MATCH(P711&amp;"."&amp;Q711,R$5:R710,0)),P711&amp;"."&amp;Q711,P711&amp;"."&amp;Q711&amp;COUNTIFS(P$5:P710,P711,Q$5:Q710,Q711))</f>
        <v>903.S</v>
      </c>
      <c r="S711" s="55">
        <f t="shared" si="45"/>
        <v>3210093.2240490783</v>
      </c>
    </row>
    <row r="712" spans="1:19" hidden="1">
      <c r="A712" s="5">
        <v>777</v>
      </c>
      <c r="B712" s="59"/>
      <c r="C712" s="60"/>
      <c r="D712" s="63"/>
      <c r="E712" s="61"/>
      <c r="F712" s="63" t="s">
        <v>149</v>
      </c>
      <c r="G712" s="63" t="s">
        <v>155</v>
      </c>
      <c r="H712" s="62"/>
      <c r="I712" s="65">
        <v>40794665.789999999</v>
      </c>
      <c r="J712" s="65">
        <v>19503683.158965498</v>
      </c>
      <c r="K712" s="62"/>
      <c r="L712" s="65">
        <v>44050865.953592174</v>
      </c>
      <c r="M712" s="65">
        <v>22990413.176270321</v>
      </c>
      <c r="N712" s="64">
        <v>21060452.777321853</v>
      </c>
      <c r="P712">
        <f t="shared" si="46"/>
        <v>903</v>
      </c>
      <c r="Q712" t="str">
        <f t="shared" si="47"/>
        <v>CN</v>
      </c>
      <c r="R712" t="str">
        <f>IF(ISERROR(MATCH(P712&amp;"."&amp;Q712,R$5:R711,0)),P712&amp;"."&amp;Q712,P712&amp;"."&amp;Q712&amp;COUNTIFS(P$5:P711,P712,Q$5:Q711,Q712))</f>
        <v>903.CN</v>
      </c>
      <c r="S712" s="55">
        <f t="shared" ref="S712:S775" si="48">N712</f>
        <v>21060452.777321853</v>
      </c>
    </row>
    <row r="713" spans="1:19" ht="15.75" hidden="1" thickBot="1">
      <c r="A713" s="5">
        <v>778</v>
      </c>
      <c r="B713" s="59"/>
      <c r="C713" s="60"/>
      <c r="D713" s="63"/>
      <c r="E713" s="63"/>
      <c r="F713" s="63"/>
      <c r="G713" s="63"/>
      <c r="H713" s="62" t="s">
        <v>178</v>
      </c>
      <c r="I713" s="81">
        <v>46565556.119999997</v>
      </c>
      <c r="J713" s="81">
        <v>22439256.978965499</v>
      </c>
      <c r="K713" s="62"/>
      <c r="L713" s="81">
        <v>50333159.932303406</v>
      </c>
      <c r="M713" s="81">
        <v>26062613.930932477</v>
      </c>
      <c r="N713" s="81">
        <v>24270546.001370929</v>
      </c>
      <c r="P713">
        <f t="shared" si="46"/>
        <v>903</v>
      </c>
      <c r="Q713" t="str">
        <f t="shared" si="47"/>
        <v>NA</v>
      </c>
      <c r="R713" t="str">
        <f>IF(ISERROR(MATCH(P713&amp;"."&amp;Q713,R$5:R712,0)),P713&amp;"."&amp;Q713,P713&amp;"."&amp;Q713&amp;COUNTIFS(P$5:P712,P713,Q$5:Q712,Q713))</f>
        <v>903.NA1</v>
      </c>
      <c r="S713" s="55">
        <f t="shared" si="48"/>
        <v>24270546.001370929</v>
      </c>
    </row>
    <row r="714" spans="1:19" hidden="1">
      <c r="A714" s="5">
        <v>779</v>
      </c>
      <c r="B714" s="59"/>
      <c r="C714" s="60"/>
      <c r="D714" s="63"/>
      <c r="E714" s="63"/>
      <c r="F714" s="63"/>
      <c r="G714" s="63"/>
      <c r="H714" s="62"/>
      <c r="I714" s="65"/>
      <c r="J714" s="65"/>
      <c r="K714" s="62"/>
      <c r="L714" s="65"/>
      <c r="M714" s="65"/>
      <c r="N714" s="65"/>
      <c r="P714">
        <f t="shared" si="46"/>
        <v>903</v>
      </c>
      <c r="Q714" t="str">
        <f t="shared" si="47"/>
        <v>NA</v>
      </c>
      <c r="R714" t="str">
        <f>IF(ISERROR(MATCH(P714&amp;"."&amp;Q714,R$5:R713,0)),P714&amp;"."&amp;Q714,P714&amp;"."&amp;Q714&amp;COUNTIFS(P$5:P713,P714,Q$5:Q713,Q714))</f>
        <v>903.NA2</v>
      </c>
      <c r="S714" s="55">
        <f t="shared" si="48"/>
        <v>0</v>
      </c>
    </row>
    <row r="715" spans="1:19" hidden="1">
      <c r="A715" s="5">
        <v>780</v>
      </c>
      <c r="B715" s="59"/>
      <c r="C715" s="60">
        <v>904</v>
      </c>
      <c r="D715" s="61" t="s">
        <v>337</v>
      </c>
      <c r="E715" s="63"/>
      <c r="F715" s="63"/>
      <c r="G715" s="63"/>
      <c r="H715" s="62"/>
      <c r="I715" s="65"/>
      <c r="J715" s="65"/>
      <c r="K715" s="62"/>
      <c r="L715" s="65"/>
      <c r="M715" s="65"/>
      <c r="N715" s="65"/>
      <c r="P715">
        <f t="shared" si="46"/>
        <v>904</v>
      </c>
      <c r="Q715" t="str">
        <f t="shared" si="47"/>
        <v>NA</v>
      </c>
      <c r="R715" t="str">
        <f>IF(ISERROR(MATCH(P715&amp;"."&amp;Q715,R$5:R714,0)),P715&amp;"."&amp;Q715,P715&amp;"."&amp;Q715&amp;COUNTIFS(P$5:P714,P715,Q$5:Q714,Q715))</f>
        <v>904.NA</v>
      </c>
      <c r="S715" s="55">
        <f t="shared" si="48"/>
        <v>0</v>
      </c>
    </row>
    <row r="716" spans="1:19" hidden="1">
      <c r="A716" s="5">
        <v>781</v>
      </c>
      <c r="B716" s="59"/>
      <c r="C716" s="60"/>
      <c r="D716" s="63"/>
      <c r="E716" s="63"/>
      <c r="F716" s="60" t="s">
        <v>149</v>
      </c>
      <c r="G716" s="61" t="s">
        <v>12</v>
      </c>
      <c r="H716" s="62"/>
      <c r="I716" s="65">
        <v>12079916.709999999</v>
      </c>
      <c r="J716" s="65">
        <v>3868502</v>
      </c>
      <c r="K716" s="62"/>
      <c r="L716" s="65">
        <v>12475317.147962948</v>
      </c>
      <c r="M716" s="65">
        <v>8463027.3425880708</v>
      </c>
      <c r="N716" s="64">
        <v>4012289.805374878</v>
      </c>
      <c r="P716">
        <f t="shared" si="46"/>
        <v>904</v>
      </c>
      <c r="Q716" t="str">
        <f t="shared" si="47"/>
        <v>S</v>
      </c>
      <c r="R716" t="str">
        <f>IF(ISERROR(MATCH(P716&amp;"."&amp;Q716,R$5:R715,0)),P716&amp;"."&amp;Q716,P716&amp;"."&amp;Q716&amp;COUNTIFS(P$5:P715,P716,Q$5:Q715,Q716))</f>
        <v>904.S</v>
      </c>
      <c r="S716" s="55">
        <f t="shared" si="48"/>
        <v>4012289.805374878</v>
      </c>
    </row>
    <row r="717" spans="1:19" hidden="1">
      <c r="A717" s="5">
        <v>782</v>
      </c>
      <c r="B717" s="59"/>
      <c r="C717" s="60"/>
      <c r="D717" s="63"/>
      <c r="E717" s="63"/>
      <c r="F717" s="60" t="s">
        <v>13</v>
      </c>
      <c r="G717" s="61" t="s">
        <v>15</v>
      </c>
      <c r="H717" s="62"/>
      <c r="I717" s="65">
        <v>0</v>
      </c>
      <c r="J717" s="65">
        <v>0</v>
      </c>
      <c r="K717" s="62"/>
      <c r="L717" s="65">
        <v>0</v>
      </c>
      <c r="M717" s="65">
        <v>0</v>
      </c>
      <c r="N717" s="64">
        <v>0</v>
      </c>
      <c r="P717">
        <f t="shared" si="46"/>
        <v>904</v>
      </c>
      <c r="Q717" t="str">
        <f t="shared" si="47"/>
        <v>SG</v>
      </c>
      <c r="R717" t="str">
        <f>IF(ISERROR(MATCH(P717&amp;"."&amp;Q717,R$5:R716,0)),P717&amp;"."&amp;Q717,P717&amp;"."&amp;Q717&amp;COUNTIFS(P$5:P716,P717,Q$5:Q716,Q717))</f>
        <v>904.SG</v>
      </c>
      <c r="S717" s="55">
        <f t="shared" si="48"/>
        <v>0</v>
      </c>
    </row>
    <row r="718" spans="1:19" hidden="1">
      <c r="A718" s="5">
        <v>783</v>
      </c>
      <c r="B718" s="59"/>
      <c r="C718" s="60"/>
      <c r="D718" s="63"/>
      <c r="E718" s="63"/>
      <c r="F718" s="63" t="s">
        <v>149</v>
      </c>
      <c r="G718" s="63" t="s">
        <v>155</v>
      </c>
      <c r="H718" s="62"/>
      <c r="I718" s="66">
        <v>988334.27</v>
      </c>
      <c r="J718" s="66">
        <v>472516.64118186315</v>
      </c>
      <c r="K718" s="62"/>
      <c r="L718" s="66">
        <v>1018618.6237117746</v>
      </c>
      <c r="M718" s="66">
        <v>531623.21605320997</v>
      </c>
      <c r="N718" s="66">
        <v>486995.40765856463</v>
      </c>
      <c r="P718">
        <f t="shared" si="46"/>
        <v>904</v>
      </c>
      <c r="Q718" t="str">
        <f t="shared" si="47"/>
        <v>CN</v>
      </c>
      <c r="R718" t="str">
        <f>IF(ISERROR(MATCH(P718&amp;"."&amp;Q718,R$5:R717,0)),P718&amp;"."&amp;Q718,P718&amp;"."&amp;Q718&amp;COUNTIFS(P$5:P717,P718,Q$5:Q717,Q718))</f>
        <v>904.CN</v>
      </c>
      <c r="S718" s="55">
        <f t="shared" si="48"/>
        <v>486995.40765856463</v>
      </c>
    </row>
    <row r="719" spans="1:19" hidden="1">
      <c r="A719" s="5">
        <v>784</v>
      </c>
      <c r="B719" s="59"/>
      <c r="C719" s="60"/>
      <c r="D719" s="63"/>
      <c r="E719" s="63"/>
      <c r="F719" s="63"/>
      <c r="G719" s="63"/>
      <c r="H719" s="62" t="s">
        <v>178</v>
      </c>
      <c r="I719" s="65">
        <v>13068250.979999999</v>
      </c>
      <c r="J719" s="65">
        <v>4341018.6411818629</v>
      </c>
      <c r="K719" s="62"/>
      <c r="L719" s="65">
        <v>13493935.771674722</v>
      </c>
      <c r="M719" s="65">
        <v>8994650.558641281</v>
      </c>
      <c r="N719" s="65">
        <v>4499285.2130334424</v>
      </c>
      <c r="P719">
        <f t="shared" si="46"/>
        <v>904</v>
      </c>
      <c r="Q719" t="str">
        <f t="shared" si="47"/>
        <v>NA</v>
      </c>
      <c r="R719" t="str">
        <f>IF(ISERROR(MATCH(P719&amp;"."&amp;Q719,R$5:R718,0)),P719&amp;"."&amp;Q719,P719&amp;"."&amp;Q719&amp;COUNTIFS(P$5:P718,P719,Q$5:Q718,Q719))</f>
        <v>904.NA1</v>
      </c>
      <c r="S719" s="55">
        <f t="shared" si="48"/>
        <v>4499285.2130334424</v>
      </c>
    </row>
    <row r="720" spans="1:19" hidden="1">
      <c r="A720" s="5">
        <v>785</v>
      </c>
      <c r="B720" s="59"/>
      <c r="C720" s="60"/>
      <c r="D720" s="61"/>
      <c r="E720" s="63"/>
      <c r="F720" s="63"/>
      <c r="G720" s="63"/>
      <c r="H720" s="62"/>
      <c r="I720" s="65"/>
      <c r="J720" s="65"/>
      <c r="K720" s="62"/>
      <c r="L720" s="65"/>
      <c r="M720" s="65"/>
      <c r="N720" s="65"/>
      <c r="P720">
        <f t="shared" si="46"/>
        <v>904</v>
      </c>
      <c r="Q720" t="str">
        <f t="shared" si="47"/>
        <v>NA</v>
      </c>
      <c r="R720" t="str">
        <f>IF(ISERROR(MATCH(P720&amp;"."&amp;Q720,R$5:R719,0)),P720&amp;"."&amp;Q720,P720&amp;"."&amp;Q720&amp;COUNTIFS(P$5:P719,P720,Q$5:Q719,Q720))</f>
        <v>904.NA2</v>
      </c>
      <c r="S720" s="55">
        <f t="shared" si="48"/>
        <v>0</v>
      </c>
    </row>
    <row r="721" spans="1:19" hidden="1">
      <c r="A721" s="5">
        <v>786</v>
      </c>
      <c r="B721" s="59"/>
      <c r="C721" s="60">
        <v>905</v>
      </c>
      <c r="D721" s="63" t="s">
        <v>338</v>
      </c>
      <c r="E721" s="63"/>
      <c r="F721" s="60"/>
      <c r="G721" s="61"/>
      <c r="H721" s="62"/>
      <c r="I721" s="65"/>
      <c r="J721" s="65"/>
      <c r="K721" s="62"/>
      <c r="L721" s="65"/>
      <c r="M721" s="65"/>
      <c r="N721" s="64"/>
      <c r="P721">
        <f t="shared" si="46"/>
        <v>905</v>
      </c>
      <c r="Q721" t="str">
        <f t="shared" si="47"/>
        <v>NA</v>
      </c>
      <c r="R721" t="str">
        <f>IF(ISERROR(MATCH(P721&amp;"."&amp;Q721,R$5:R720,0)),P721&amp;"."&amp;Q721,P721&amp;"."&amp;Q721&amp;COUNTIFS(P$5:P720,P721,Q$5:Q720,Q721))</f>
        <v>905.NA</v>
      </c>
      <c r="S721" s="55">
        <f t="shared" si="48"/>
        <v>0</v>
      </c>
    </row>
    <row r="722" spans="1:19" hidden="1">
      <c r="A722" s="5">
        <v>787</v>
      </c>
      <c r="B722" s="59"/>
      <c r="C722" s="60"/>
      <c r="D722" s="63"/>
      <c r="E722" s="63"/>
      <c r="F722" s="60" t="s">
        <v>149</v>
      </c>
      <c r="G722" s="61" t="s">
        <v>12</v>
      </c>
      <c r="H722" s="62"/>
      <c r="I722" s="65">
        <v>329925.55</v>
      </c>
      <c r="J722" s="65">
        <v>329925.55</v>
      </c>
      <c r="K722" s="62"/>
      <c r="L722" s="65">
        <v>340035.06694991991</v>
      </c>
      <c r="M722" s="65">
        <v>0</v>
      </c>
      <c r="N722" s="64">
        <v>340035.06694991991</v>
      </c>
      <c r="P722">
        <f t="shared" si="46"/>
        <v>905</v>
      </c>
      <c r="Q722" t="str">
        <f t="shared" si="47"/>
        <v>S</v>
      </c>
      <c r="R722" t="str">
        <f>IF(ISERROR(MATCH(P722&amp;"."&amp;Q722,R$5:R721,0)),P722&amp;"."&amp;Q722,P722&amp;"."&amp;Q722&amp;COUNTIFS(P$5:P721,P722,Q$5:Q721,Q722))</f>
        <v>905.S</v>
      </c>
      <c r="S722" s="55">
        <f t="shared" si="48"/>
        <v>340035.06694991991</v>
      </c>
    </row>
    <row r="723" spans="1:19" hidden="1">
      <c r="A723" s="5">
        <v>788</v>
      </c>
      <c r="B723" s="59"/>
      <c r="C723" s="60"/>
      <c r="D723" s="63"/>
      <c r="E723" s="63"/>
      <c r="F723" s="63" t="s">
        <v>149</v>
      </c>
      <c r="G723" s="63" t="s">
        <v>155</v>
      </c>
      <c r="H723" s="62"/>
      <c r="I723" s="67">
        <v>17944.5</v>
      </c>
      <c r="J723" s="67">
        <v>8579.1569968406984</v>
      </c>
      <c r="K723" s="62"/>
      <c r="L723" s="67">
        <v>18494.352010272738</v>
      </c>
      <c r="M723" s="65">
        <v>9652.3140905220516</v>
      </c>
      <c r="N723" s="65">
        <v>8842.0379197506863</v>
      </c>
      <c r="P723">
        <f t="shared" si="46"/>
        <v>905</v>
      </c>
      <c r="Q723" t="str">
        <f t="shared" si="47"/>
        <v>CN</v>
      </c>
      <c r="R723" t="str">
        <f>IF(ISERROR(MATCH(P723&amp;"."&amp;Q723,R$5:R722,0)),P723&amp;"."&amp;Q723,P723&amp;"."&amp;Q723&amp;COUNTIFS(P$5:P722,P723,Q$5:Q722,Q723))</f>
        <v>905.CN</v>
      </c>
      <c r="S723" s="55">
        <f t="shared" si="48"/>
        <v>8842.0379197506863</v>
      </c>
    </row>
    <row r="724" spans="1:19" hidden="1">
      <c r="A724" s="5">
        <v>789</v>
      </c>
      <c r="B724" s="59"/>
      <c r="C724" s="60"/>
      <c r="D724" s="63"/>
      <c r="E724" s="63"/>
      <c r="F724" s="63"/>
      <c r="G724" s="63"/>
      <c r="H724" s="62" t="s">
        <v>178</v>
      </c>
      <c r="I724" s="67">
        <v>347870.05</v>
      </c>
      <c r="J724" s="67">
        <v>338504.70699684066</v>
      </c>
      <c r="K724" s="62"/>
      <c r="L724" s="67">
        <v>358529.41896019265</v>
      </c>
      <c r="M724" s="65">
        <v>9652.3140905220516</v>
      </c>
      <c r="N724" s="65">
        <v>348877.10486967058</v>
      </c>
      <c r="P724">
        <f t="shared" si="46"/>
        <v>905</v>
      </c>
      <c r="Q724" t="str">
        <f t="shared" si="47"/>
        <v>NA</v>
      </c>
      <c r="R724" t="str">
        <f>IF(ISERROR(MATCH(P724&amp;"."&amp;Q724,R$5:R723,0)),P724&amp;"."&amp;Q724,P724&amp;"."&amp;Q724&amp;COUNTIFS(P$5:P723,P724,Q$5:Q723,Q724))</f>
        <v>905.NA1</v>
      </c>
      <c r="S724" s="55">
        <f t="shared" si="48"/>
        <v>348877.10486967058</v>
      </c>
    </row>
    <row r="725" spans="1:19" hidden="1">
      <c r="A725" s="5">
        <v>790</v>
      </c>
      <c r="B725" s="59"/>
      <c r="C725" s="60"/>
      <c r="D725" s="63"/>
      <c r="E725" s="63"/>
      <c r="F725" s="63"/>
      <c r="G725" s="63"/>
      <c r="H725" s="62"/>
      <c r="I725" s="66"/>
      <c r="J725" s="66"/>
      <c r="K725" s="62"/>
      <c r="L725" s="66"/>
      <c r="M725" s="66"/>
      <c r="N725" s="66"/>
      <c r="P725">
        <f t="shared" si="46"/>
        <v>905</v>
      </c>
      <c r="Q725" t="str">
        <f t="shared" si="47"/>
        <v>NA</v>
      </c>
      <c r="R725" t="str">
        <f>IF(ISERROR(MATCH(P725&amp;"."&amp;Q725,R$5:R724,0)),P725&amp;"."&amp;Q725,P725&amp;"."&amp;Q725&amp;COUNTIFS(P$5:P724,P725,Q$5:Q724,Q725))</f>
        <v>905.NA2</v>
      </c>
      <c r="S725" s="55">
        <f t="shared" si="48"/>
        <v>0</v>
      </c>
    </row>
    <row r="726" spans="1:19" hidden="1">
      <c r="A726" s="5">
        <v>791</v>
      </c>
      <c r="B726" s="59"/>
      <c r="C726" s="60" t="s">
        <v>339</v>
      </c>
      <c r="D726" s="63"/>
      <c r="E726" s="63"/>
      <c r="F726" s="63"/>
      <c r="G726" s="63"/>
      <c r="H726" s="62" t="s">
        <v>178</v>
      </c>
      <c r="I726" s="69">
        <v>76859683.959999979</v>
      </c>
      <c r="J726" s="69">
        <v>33249314.511523254</v>
      </c>
      <c r="K726" s="62"/>
      <c r="L726" s="69">
        <v>82485557.715754688</v>
      </c>
      <c r="M726" s="65">
        <v>46708787.681737192</v>
      </c>
      <c r="N726" s="65">
        <v>35776770.034017473</v>
      </c>
      <c r="P726" t="str">
        <f t="shared" si="46"/>
        <v>Total Customer Accounts Expense</v>
      </c>
      <c r="Q726" t="str">
        <f t="shared" si="47"/>
        <v>NA</v>
      </c>
      <c r="R726" t="str">
        <f>IF(ISERROR(MATCH(P726&amp;"."&amp;Q726,R$5:R725,0)),P726&amp;"."&amp;Q726,P726&amp;"."&amp;Q726&amp;COUNTIFS(P$5:P725,P726,Q$5:Q725,Q726))</f>
        <v>Total Customer Accounts Expense.NA</v>
      </c>
      <c r="S726" s="55">
        <f t="shared" si="48"/>
        <v>35776770.034017473</v>
      </c>
    </row>
    <row r="727" spans="1:19" hidden="1">
      <c r="A727" s="5">
        <v>792</v>
      </c>
      <c r="B727" s="59"/>
      <c r="C727" s="60"/>
      <c r="D727" s="61"/>
      <c r="E727" s="63"/>
      <c r="F727" s="63"/>
      <c r="G727" s="63"/>
      <c r="H727" s="62"/>
      <c r="I727" s="65"/>
      <c r="J727" s="65"/>
      <c r="K727" s="62"/>
      <c r="L727" s="65"/>
      <c r="M727" s="65"/>
      <c r="N727" s="65"/>
      <c r="P727" t="str">
        <f t="shared" si="46"/>
        <v>Total Customer Accounts Expense</v>
      </c>
      <c r="Q727" t="str">
        <f t="shared" si="47"/>
        <v>NA</v>
      </c>
      <c r="R727" t="str">
        <f>IF(ISERROR(MATCH(P727&amp;"."&amp;Q727,R$5:R726,0)),P727&amp;"."&amp;Q727,P727&amp;"."&amp;Q727&amp;COUNTIFS(P$5:P726,P727,Q$5:Q726,Q727))</f>
        <v>Total Customer Accounts Expense.NA1</v>
      </c>
      <c r="S727" s="55">
        <f t="shared" si="48"/>
        <v>0</v>
      </c>
    </row>
    <row r="728" spans="1:19" hidden="1">
      <c r="A728" s="5">
        <v>793</v>
      </c>
      <c r="B728" s="59"/>
      <c r="C728" s="60" t="s">
        <v>340</v>
      </c>
      <c r="D728" s="63"/>
      <c r="E728" s="63"/>
      <c r="F728" s="60"/>
      <c r="G728" s="61"/>
      <c r="H728" s="62"/>
      <c r="I728" s="65"/>
      <c r="J728" s="65"/>
      <c r="K728" s="62"/>
      <c r="L728" s="65"/>
      <c r="M728" s="65"/>
      <c r="N728" s="64"/>
      <c r="P728" t="str">
        <f t="shared" si="46"/>
        <v>Summary of Customer Accts Exp by Factor</v>
      </c>
      <c r="Q728" t="str">
        <f t="shared" si="47"/>
        <v>NA</v>
      </c>
      <c r="R728" t="str">
        <f>IF(ISERROR(MATCH(P728&amp;"."&amp;Q728,R$5:R727,0)),P728&amp;"."&amp;Q728,P728&amp;"."&amp;Q728&amp;COUNTIFS(P$5:P727,P728,Q$5:Q727,Q728))</f>
        <v>Summary of Customer Accts Exp by Factor.NA</v>
      </c>
      <c r="S728" s="55">
        <f t="shared" si="48"/>
        <v>0</v>
      </c>
    </row>
    <row r="729" spans="1:19" hidden="1">
      <c r="A729" s="5">
        <v>794</v>
      </c>
      <c r="B729" s="59"/>
      <c r="C729" s="60"/>
      <c r="D729" s="63"/>
      <c r="E729" s="63" t="s">
        <v>12</v>
      </c>
      <c r="F729" s="60"/>
      <c r="G729" s="61"/>
      <c r="H729" s="62"/>
      <c r="I729" s="65">
        <v>32137135.609999996</v>
      </c>
      <c r="J729" s="65">
        <v>11867734.440000001</v>
      </c>
      <c r="K729" s="62"/>
      <c r="L729" s="65">
        <v>34226886.761373363</v>
      </c>
      <c r="M729" s="65">
        <v>21522295.644378565</v>
      </c>
      <c r="N729" s="64">
        <v>12704591.116994798</v>
      </c>
      <c r="P729" t="str">
        <f t="shared" si="46"/>
        <v>Summary of Customer Accts Exp by Factor</v>
      </c>
      <c r="Q729" t="str">
        <f t="shared" si="47"/>
        <v>NA</v>
      </c>
      <c r="R729" t="str">
        <f>IF(ISERROR(MATCH(P729&amp;"."&amp;Q729,R$5:R728,0)),P729&amp;"."&amp;Q729,P729&amp;"."&amp;Q729&amp;COUNTIFS(P$5:P728,P729,Q$5:Q728,Q729))</f>
        <v>Summary of Customer Accts Exp by Factor.NA1</v>
      </c>
      <c r="S729" s="55">
        <f t="shared" si="48"/>
        <v>12704591.116994798</v>
      </c>
    </row>
    <row r="730" spans="1:19" hidden="1">
      <c r="A730" s="5">
        <v>795</v>
      </c>
      <c r="B730" s="59"/>
      <c r="C730" s="60"/>
      <c r="D730" s="63"/>
      <c r="E730" s="63" t="s">
        <v>155</v>
      </c>
      <c r="F730" s="63"/>
      <c r="G730" s="63"/>
      <c r="H730" s="62"/>
      <c r="I730" s="66">
        <v>44722548.350000001</v>
      </c>
      <c r="J730" s="66">
        <v>21381580.071523253</v>
      </c>
      <c r="K730" s="62"/>
      <c r="L730" s="66">
        <v>48258670.954381317</v>
      </c>
      <c r="M730" s="66">
        <v>25186492.037358638</v>
      </c>
      <c r="N730" s="66">
        <v>23072178.917022679</v>
      </c>
      <c r="P730" t="str">
        <f t="shared" si="46"/>
        <v>Summary of Customer Accts Exp by Factor</v>
      </c>
      <c r="Q730" t="str">
        <f t="shared" si="47"/>
        <v>NA</v>
      </c>
      <c r="R730" t="str">
        <f>IF(ISERROR(MATCH(P730&amp;"."&amp;Q730,R$5:R729,0)),P730&amp;"."&amp;Q730,P730&amp;"."&amp;Q730&amp;COUNTIFS(P$5:P729,P730,Q$5:Q729,Q730))</f>
        <v>Summary of Customer Accts Exp by Factor.NA2</v>
      </c>
      <c r="S730" s="55">
        <f t="shared" si="48"/>
        <v>23072178.917022679</v>
      </c>
    </row>
    <row r="731" spans="1:19" hidden="1">
      <c r="A731" s="5">
        <v>796</v>
      </c>
      <c r="B731" s="59"/>
      <c r="C731" s="60"/>
      <c r="D731" s="63"/>
      <c r="E731" s="63" t="s">
        <v>15</v>
      </c>
      <c r="F731" s="63"/>
      <c r="G731" s="63"/>
      <c r="H731" s="62"/>
      <c r="I731" s="65">
        <v>0</v>
      </c>
      <c r="J731" s="65">
        <v>0</v>
      </c>
      <c r="K731" s="62"/>
      <c r="L731" s="65">
        <v>0</v>
      </c>
      <c r="M731" s="65">
        <v>0</v>
      </c>
      <c r="N731" s="65">
        <v>0</v>
      </c>
      <c r="P731" t="str">
        <f t="shared" si="46"/>
        <v>Summary of Customer Accts Exp by Factor</v>
      </c>
      <c r="Q731" t="str">
        <f t="shared" si="47"/>
        <v>NA</v>
      </c>
      <c r="R731" t="str">
        <f>IF(ISERROR(MATCH(P731&amp;"."&amp;Q731,R$5:R730,0)),P731&amp;"."&amp;Q731,P731&amp;"."&amp;Q731&amp;COUNTIFS(P$5:P730,P731,Q$5:Q730,Q731))</f>
        <v>Summary of Customer Accts Exp by Factor.NA3</v>
      </c>
      <c r="S731" s="55">
        <f t="shared" si="48"/>
        <v>0</v>
      </c>
    </row>
    <row r="732" spans="1:19" hidden="1">
      <c r="A732" s="5">
        <v>797</v>
      </c>
      <c r="B732" s="59"/>
      <c r="C732" s="60" t="s">
        <v>341</v>
      </c>
      <c r="D732" s="61"/>
      <c r="E732" s="63"/>
      <c r="F732" s="63"/>
      <c r="G732" s="63"/>
      <c r="H732" s="62" t="s">
        <v>141</v>
      </c>
      <c r="I732" s="65">
        <v>76859683.959999993</v>
      </c>
      <c r="J732" s="65">
        <v>33249314.511523254</v>
      </c>
      <c r="K732" s="62"/>
      <c r="L732" s="65">
        <v>82485557.715754688</v>
      </c>
      <c r="M732" s="65">
        <v>46708787.681737199</v>
      </c>
      <c r="N732" s="65">
        <v>35776770.034017473</v>
      </c>
      <c r="P732" t="str">
        <f t="shared" si="46"/>
        <v>Total Customer Accounts Expense by Factor</v>
      </c>
      <c r="Q732" t="str">
        <f t="shared" si="47"/>
        <v>NA</v>
      </c>
      <c r="R732" t="str">
        <f>IF(ISERROR(MATCH(P732&amp;"."&amp;Q732,R$5:R731,0)),P732&amp;"."&amp;Q732,P732&amp;"."&amp;Q732&amp;COUNTIFS(P$5:P731,P732,Q$5:Q731,Q732))</f>
        <v>Total Customer Accounts Expense by Factor.NA</v>
      </c>
      <c r="S732" s="55">
        <f t="shared" si="48"/>
        <v>35776770.034017473</v>
      </c>
    </row>
    <row r="733" spans="1:19" hidden="1">
      <c r="A733" s="5">
        <v>798</v>
      </c>
      <c r="B733" s="59"/>
      <c r="C733" s="60"/>
      <c r="D733" s="63"/>
      <c r="E733" s="63"/>
      <c r="F733" s="60"/>
      <c r="G733" s="61"/>
      <c r="H733" s="62"/>
      <c r="I733" s="65"/>
      <c r="J733" s="65"/>
      <c r="K733" s="62"/>
      <c r="L733" s="65"/>
      <c r="M733" s="65"/>
      <c r="N733" s="64"/>
      <c r="P733" t="str">
        <f t="shared" si="46"/>
        <v>Total Customer Accounts Expense by Factor</v>
      </c>
      <c r="Q733" t="str">
        <f t="shared" si="47"/>
        <v>NA</v>
      </c>
      <c r="R733" t="str">
        <f>IF(ISERROR(MATCH(P733&amp;"."&amp;Q733,R$5:R732,0)),P733&amp;"."&amp;Q733,P733&amp;"."&amp;Q733&amp;COUNTIFS(P$5:P732,P733,Q$5:Q732,Q733))</f>
        <v>Total Customer Accounts Expense by Factor.NA1</v>
      </c>
      <c r="S733" s="55">
        <f t="shared" si="48"/>
        <v>0</v>
      </c>
    </row>
    <row r="734" spans="1:19" hidden="1">
      <c r="A734" s="5">
        <v>799</v>
      </c>
      <c r="B734" s="59"/>
      <c r="C734" s="60">
        <v>907</v>
      </c>
      <c r="D734" s="63" t="s">
        <v>334</v>
      </c>
      <c r="E734" s="63"/>
      <c r="F734" s="60"/>
      <c r="G734" s="61"/>
      <c r="H734" s="62"/>
      <c r="I734" s="65"/>
      <c r="J734" s="65"/>
      <c r="K734" s="62"/>
      <c r="L734" s="65"/>
      <c r="M734" s="65"/>
      <c r="N734" s="64"/>
      <c r="P734">
        <f t="shared" si="46"/>
        <v>907</v>
      </c>
      <c r="Q734" t="str">
        <f t="shared" si="47"/>
        <v>NA</v>
      </c>
      <c r="R734" t="str">
        <f>IF(ISERROR(MATCH(P734&amp;"."&amp;Q734,R$5:R733,0)),P734&amp;"."&amp;Q734,P734&amp;"."&amp;Q734&amp;COUNTIFS(P$5:P733,P734,Q$5:Q733,Q734))</f>
        <v>907.NA</v>
      </c>
      <c r="S734" s="55">
        <f t="shared" si="48"/>
        <v>0</v>
      </c>
    </row>
    <row r="735" spans="1:19" hidden="1">
      <c r="A735" s="5">
        <v>800</v>
      </c>
      <c r="B735" s="59"/>
      <c r="C735" s="60"/>
      <c r="D735" s="63"/>
      <c r="E735" s="63"/>
      <c r="F735" s="63" t="s">
        <v>149</v>
      </c>
      <c r="G735" s="63" t="s">
        <v>12</v>
      </c>
      <c r="H735" s="62"/>
      <c r="I735" s="67">
        <v>0</v>
      </c>
      <c r="J735" s="67">
        <v>0</v>
      </c>
      <c r="K735" s="62"/>
      <c r="L735" s="67">
        <v>0</v>
      </c>
      <c r="M735" s="65">
        <v>0</v>
      </c>
      <c r="N735" s="65">
        <v>0</v>
      </c>
      <c r="P735">
        <f t="shared" si="46"/>
        <v>907</v>
      </c>
      <c r="Q735" t="str">
        <f t="shared" si="47"/>
        <v>S</v>
      </c>
      <c r="R735" t="str">
        <f>IF(ISERROR(MATCH(P735&amp;"."&amp;Q735,R$5:R734,0)),P735&amp;"."&amp;Q735,P735&amp;"."&amp;Q735&amp;COUNTIFS(P$5:P734,P735,Q$5:Q734,Q735))</f>
        <v>907.S</v>
      </c>
      <c r="S735" s="55">
        <f t="shared" si="48"/>
        <v>0</v>
      </c>
    </row>
    <row r="736" spans="1:19" hidden="1">
      <c r="A736" s="5">
        <v>801</v>
      </c>
      <c r="B736" s="59"/>
      <c r="C736" s="60"/>
      <c r="D736" s="63"/>
      <c r="E736" s="63"/>
      <c r="F736" s="63" t="s">
        <v>149</v>
      </c>
      <c r="G736" s="63" t="s">
        <v>155</v>
      </c>
      <c r="H736" s="62"/>
      <c r="I736" s="66">
        <v>6736.71</v>
      </c>
      <c r="J736" s="66">
        <v>3220.7803356006966</v>
      </c>
      <c r="K736" s="62"/>
      <c r="L736" s="66">
        <v>6139.4330646279996</v>
      </c>
      <c r="M736" s="66">
        <v>3204.2072219999836</v>
      </c>
      <c r="N736" s="66">
        <v>2935.2258426280159</v>
      </c>
      <c r="P736">
        <f t="shared" si="46"/>
        <v>907</v>
      </c>
      <c r="Q736" t="str">
        <f t="shared" si="47"/>
        <v>CN</v>
      </c>
      <c r="R736" t="str">
        <f>IF(ISERROR(MATCH(P736&amp;"."&amp;Q736,R$5:R735,0)),P736&amp;"."&amp;Q736,P736&amp;"."&amp;Q736&amp;COUNTIFS(P$5:P735,P736,Q$5:Q735,Q736))</f>
        <v>907.CN</v>
      </c>
      <c r="S736" s="55">
        <f t="shared" si="48"/>
        <v>2935.2258426280159</v>
      </c>
    </row>
    <row r="737" spans="1:19" hidden="1">
      <c r="A737" s="5">
        <v>802</v>
      </c>
      <c r="B737" s="59"/>
      <c r="C737" s="60"/>
      <c r="D737" s="63"/>
      <c r="E737" s="63"/>
      <c r="F737" s="63"/>
      <c r="G737" s="63"/>
      <c r="H737" s="62" t="s">
        <v>178</v>
      </c>
      <c r="I737" s="65">
        <v>6736.71</v>
      </c>
      <c r="J737" s="65">
        <v>3220.7803356006966</v>
      </c>
      <c r="K737" s="62"/>
      <c r="L737" s="65">
        <v>6139.4330646279996</v>
      </c>
      <c r="M737" s="65">
        <v>3204.2072219999836</v>
      </c>
      <c r="N737" s="65">
        <v>2935.2258426280159</v>
      </c>
      <c r="P737">
        <f t="shared" si="46"/>
        <v>907</v>
      </c>
      <c r="Q737" t="str">
        <f t="shared" si="47"/>
        <v>NA</v>
      </c>
      <c r="R737" t="str">
        <f>IF(ISERROR(MATCH(P737&amp;"."&amp;Q737,R$5:R736,0)),P737&amp;"."&amp;Q737,P737&amp;"."&amp;Q737&amp;COUNTIFS(P$5:P736,P737,Q$5:Q736,Q737))</f>
        <v>907.NA1</v>
      </c>
      <c r="S737" s="55">
        <f t="shared" si="48"/>
        <v>2935.2258426280159</v>
      </c>
    </row>
    <row r="738" spans="1:19" ht="15.75" hidden="1" thickBot="1">
      <c r="A738" s="5">
        <v>803</v>
      </c>
      <c r="B738" s="59"/>
      <c r="C738" s="45"/>
      <c r="D738" s="63"/>
      <c r="E738" s="63"/>
      <c r="F738" s="63"/>
      <c r="G738" s="63"/>
      <c r="H738" s="41"/>
      <c r="I738" s="68"/>
      <c r="J738" s="68"/>
      <c r="K738" s="41"/>
      <c r="L738" s="68"/>
      <c r="M738" s="68"/>
      <c r="N738" s="68"/>
      <c r="P738">
        <f t="shared" si="46"/>
        <v>907</v>
      </c>
      <c r="Q738" t="str">
        <f t="shared" si="47"/>
        <v>NA</v>
      </c>
      <c r="R738" t="str">
        <f>IF(ISERROR(MATCH(P738&amp;"."&amp;Q738,R$5:R737,0)),P738&amp;"."&amp;Q738,P738&amp;"."&amp;Q738&amp;COUNTIFS(P$5:P737,P738,Q$5:Q737,Q738))</f>
        <v>907.NA2</v>
      </c>
      <c r="S738" s="55">
        <f t="shared" si="48"/>
        <v>0</v>
      </c>
    </row>
    <row r="739" spans="1:19" hidden="1">
      <c r="A739" s="5">
        <v>804</v>
      </c>
      <c r="B739" s="59"/>
      <c r="C739" s="60">
        <v>908</v>
      </c>
      <c r="D739" s="63" t="s">
        <v>342</v>
      </c>
      <c r="E739" s="63"/>
      <c r="F739" s="63"/>
      <c r="G739" s="63"/>
      <c r="H739" s="62"/>
      <c r="I739" s="65"/>
      <c r="J739" s="65"/>
      <c r="K739" s="62"/>
      <c r="L739" s="65"/>
      <c r="M739" s="65"/>
      <c r="N739" s="65"/>
      <c r="P739">
        <f t="shared" si="46"/>
        <v>908</v>
      </c>
      <c r="Q739" t="str">
        <f t="shared" si="47"/>
        <v>NA</v>
      </c>
      <c r="R739" t="str">
        <f>IF(ISERROR(MATCH(P739&amp;"."&amp;Q739,R$5:R738,0)),P739&amp;"."&amp;Q739,P739&amp;"."&amp;Q739&amp;COUNTIFS(P$5:P738,P739,Q$5:Q738,Q739))</f>
        <v>908.NA</v>
      </c>
      <c r="S739" s="55">
        <f t="shared" si="48"/>
        <v>0</v>
      </c>
    </row>
    <row r="740" spans="1:19" hidden="1">
      <c r="A740" s="5">
        <v>805</v>
      </c>
      <c r="B740" s="59"/>
      <c r="C740" s="60"/>
      <c r="D740" s="63"/>
      <c r="E740" s="63"/>
      <c r="F740" s="63" t="s">
        <v>149</v>
      </c>
      <c r="G740" s="63" t="s">
        <v>12</v>
      </c>
      <c r="H740" s="62"/>
      <c r="I740" s="65">
        <v>92521120.480000004</v>
      </c>
      <c r="J740" s="65">
        <v>2655759.23</v>
      </c>
      <c r="K740" s="62"/>
      <c r="L740" s="65">
        <v>94889537.858068407</v>
      </c>
      <c r="M740" s="65">
        <v>91966321.333729476</v>
      </c>
      <c r="N740" s="65">
        <v>2923216.5243389346</v>
      </c>
      <c r="P740">
        <f t="shared" si="46"/>
        <v>908</v>
      </c>
      <c r="Q740" t="str">
        <f t="shared" si="47"/>
        <v>S</v>
      </c>
      <c r="R740" t="str">
        <f>IF(ISERROR(MATCH(P740&amp;"."&amp;Q740,R$5:R739,0)),P740&amp;"."&amp;Q740,P740&amp;"."&amp;Q740&amp;COUNTIFS(P$5:P739,P740,Q$5:Q739,Q740))</f>
        <v>908.S</v>
      </c>
      <c r="S740" s="55">
        <f t="shared" si="48"/>
        <v>2923216.5243389346</v>
      </c>
    </row>
    <row r="741" spans="1:19" hidden="1">
      <c r="A741" s="5">
        <v>806</v>
      </c>
      <c r="B741" s="59"/>
      <c r="C741" s="60"/>
      <c r="D741" s="63"/>
      <c r="E741" s="63"/>
      <c r="F741" s="63" t="s">
        <v>149</v>
      </c>
      <c r="G741" s="63" t="s">
        <v>155</v>
      </c>
      <c r="H741" s="62"/>
      <c r="I741" s="65">
        <v>2701777.33</v>
      </c>
      <c r="J741" s="65">
        <v>1291703.4124425356</v>
      </c>
      <c r="K741" s="62"/>
      <c r="L741" s="65">
        <v>2947662.9710789351</v>
      </c>
      <c r="M741" s="65">
        <v>1538403.1197228045</v>
      </c>
      <c r="N741" s="65">
        <v>1409259.8513561306</v>
      </c>
      <c r="P741">
        <f t="shared" si="46"/>
        <v>908</v>
      </c>
      <c r="Q741" t="str">
        <f t="shared" si="47"/>
        <v>CN</v>
      </c>
      <c r="R741" t="str">
        <f>IF(ISERROR(MATCH(P741&amp;"."&amp;Q741,R$5:R740,0)),P741&amp;"."&amp;Q741,P741&amp;"."&amp;Q741&amp;COUNTIFS(P$5:P740,P741,Q$5:Q740,Q741))</f>
        <v>908.CN</v>
      </c>
      <c r="S741" s="55">
        <f t="shared" si="48"/>
        <v>1409259.8513561306</v>
      </c>
    </row>
    <row r="742" spans="1:19" hidden="1">
      <c r="A742" s="5">
        <v>807</v>
      </c>
      <c r="B742" s="59"/>
      <c r="C742" s="60"/>
      <c r="D742" s="63"/>
      <c r="E742" s="60"/>
      <c r="F742" s="63"/>
      <c r="G742" s="63"/>
      <c r="H742" s="62"/>
      <c r="I742" s="65"/>
      <c r="J742" s="65"/>
      <c r="K742" s="62"/>
      <c r="L742" s="65"/>
      <c r="M742" s="65"/>
      <c r="N742" s="64"/>
      <c r="P742">
        <f t="shared" si="46"/>
        <v>908</v>
      </c>
      <c r="Q742" t="str">
        <f t="shared" si="47"/>
        <v>NA</v>
      </c>
      <c r="R742" t="str">
        <f>IF(ISERROR(MATCH(P742&amp;"."&amp;Q742,R$5:R741,0)),P742&amp;"."&amp;Q742,P742&amp;"."&amp;Q742&amp;COUNTIFS(P$5:P741,P742,Q$5:Q741,Q742))</f>
        <v>908.NA1</v>
      </c>
      <c r="S742" s="55">
        <f t="shared" si="48"/>
        <v>0</v>
      </c>
    </row>
    <row r="743" spans="1:19" hidden="1">
      <c r="A743" s="5">
        <v>808</v>
      </c>
      <c r="B743" s="59"/>
      <c r="C743" s="60"/>
      <c r="D743" s="63"/>
      <c r="E743" s="70"/>
      <c r="F743" s="63"/>
      <c r="G743" s="63"/>
      <c r="H743" s="62"/>
      <c r="I743" s="65"/>
      <c r="J743" s="65"/>
      <c r="K743" s="62"/>
      <c r="L743" s="65"/>
      <c r="M743" s="65"/>
      <c r="N743" s="64"/>
      <c r="P743">
        <f t="shared" si="46"/>
        <v>908</v>
      </c>
      <c r="Q743" t="str">
        <f t="shared" si="47"/>
        <v>NA</v>
      </c>
      <c r="R743" t="str">
        <f>IF(ISERROR(MATCH(P743&amp;"."&amp;Q743,R$5:R742,0)),P743&amp;"."&amp;Q743,P743&amp;"."&amp;Q743&amp;COUNTIFS(P$5:P742,P743,Q$5:Q742,Q743))</f>
        <v>908.NA2</v>
      </c>
      <c r="S743" s="55">
        <f t="shared" si="48"/>
        <v>0</v>
      </c>
    </row>
    <row r="744" spans="1:19" hidden="1">
      <c r="A744" s="5">
        <v>809</v>
      </c>
      <c r="B744" s="59"/>
      <c r="C744" s="60"/>
      <c r="D744" s="63"/>
      <c r="E744" s="63"/>
      <c r="F744" s="63"/>
      <c r="G744" s="63"/>
      <c r="H744" s="62" t="s">
        <v>178</v>
      </c>
      <c r="I744" s="65">
        <v>95222897.810000002</v>
      </c>
      <c r="J744" s="65">
        <v>3947462.6424425356</v>
      </c>
      <c r="K744" s="62"/>
      <c r="L744" s="65">
        <v>97837200.829147339</v>
      </c>
      <c r="M744" s="65">
        <v>93504724.453452274</v>
      </c>
      <c r="N744" s="65">
        <v>4332476.3756950647</v>
      </c>
      <c r="P744">
        <f t="shared" si="46"/>
        <v>908</v>
      </c>
      <c r="Q744" t="str">
        <f t="shared" si="47"/>
        <v>NA</v>
      </c>
      <c r="R744" t="str">
        <f>IF(ISERROR(MATCH(P744&amp;"."&amp;Q744,R$5:R743,0)),P744&amp;"."&amp;Q744,P744&amp;"."&amp;Q744&amp;COUNTIFS(P$5:P743,P744,Q$5:Q743,Q744))</f>
        <v>908.NA3</v>
      </c>
      <c r="S744" s="55">
        <f t="shared" si="48"/>
        <v>4332476.3756950647</v>
      </c>
    </row>
    <row r="745" spans="1:19" ht="15.75" hidden="1" thickBot="1">
      <c r="A745" s="5">
        <v>810</v>
      </c>
      <c r="B745" s="59"/>
      <c r="C745" s="60"/>
      <c r="D745" s="63"/>
      <c r="E745" s="63"/>
      <c r="F745" s="63"/>
      <c r="G745" s="63"/>
      <c r="H745" s="62"/>
      <c r="I745" s="81"/>
      <c r="J745" s="81"/>
      <c r="K745" s="62"/>
      <c r="L745" s="81"/>
      <c r="M745" s="81"/>
      <c r="N745" s="81"/>
      <c r="P745">
        <f t="shared" si="46"/>
        <v>908</v>
      </c>
      <c r="Q745" t="str">
        <f t="shared" si="47"/>
        <v>NA</v>
      </c>
      <c r="R745" t="str">
        <f>IF(ISERROR(MATCH(P745&amp;"."&amp;Q745,R$5:R744,0)),P745&amp;"."&amp;Q745,P745&amp;"."&amp;Q745&amp;COUNTIFS(P$5:P744,P745,Q$5:Q744,Q745))</f>
        <v>908.NA4</v>
      </c>
      <c r="S745" s="55">
        <f t="shared" si="48"/>
        <v>0</v>
      </c>
    </row>
    <row r="746" spans="1:19" hidden="1">
      <c r="A746" s="5">
        <v>811</v>
      </c>
      <c r="B746" s="59"/>
      <c r="C746" s="60">
        <v>909</v>
      </c>
      <c r="D746" s="63" t="s">
        <v>343</v>
      </c>
      <c r="E746" s="63"/>
      <c r="F746" s="63"/>
      <c r="G746" s="63"/>
      <c r="H746" s="62"/>
      <c r="I746" s="65"/>
      <c r="J746" s="65"/>
      <c r="K746" s="62"/>
      <c r="L746" s="65"/>
      <c r="M746" s="65"/>
      <c r="N746" s="65"/>
      <c r="P746">
        <f t="shared" si="46"/>
        <v>909</v>
      </c>
      <c r="Q746" t="str">
        <f t="shared" si="47"/>
        <v>NA</v>
      </c>
      <c r="R746" t="str">
        <f>IF(ISERROR(MATCH(P746&amp;"."&amp;Q746,R$5:R745,0)),P746&amp;"."&amp;Q746,P746&amp;"."&amp;Q746&amp;COUNTIFS(P$5:P745,P746,Q$5:Q745,Q746))</f>
        <v>909.NA</v>
      </c>
      <c r="S746" s="55">
        <f t="shared" si="48"/>
        <v>0</v>
      </c>
    </row>
    <row r="747" spans="1:19" hidden="1">
      <c r="A747" s="5">
        <v>812</v>
      </c>
      <c r="B747" s="59"/>
      <c r="C747" s="60"/>
      <c r="D747" s="63"/>
      <c r="E747" s="63"/>
      <c r="F747" s="63" t="s">
        <v>149</v>
      </c>
      <c r="G747" s="63" t="s">
        <v>12</v>
      </c>
      <c r="H747" s="62"/>
      <c r="I747" s="65">
        <v>3446996.3899999997</v>
      </c>
      <c r="J747" s="65">
        <v>1189566.94</v>
      </c>
      <c r="K747" s="62"/>
      <c r="L747" s="65">
        <v>3515082.8622503392</v>
      </c>
      <c r="M747" s="65">
        <v>2293454.6283052713</v>
      </c>
      <c r="N747" s="65">
        <v>1221628.2339450682</v>
      </c>
      <c r="P747">
        <f t="shared" si="46"/>
        <v>909</v>
      </c>
      <c r="Q747" t="str">
        <f t="shared" si="47"/>
        <v>S</v>
      </c>
      <c r="R747" t="str">
        <f>IF(ISERROR(MATCH(P747&amp;"."&amp;Q747,R$5:R746,0)),P747&amp;"."&amp;Q747,P747&amp;"."&amp;Q747&amp;COUNTIFS(P$5:P746,P747,Q$5:Q746,Q747))</f>
        <v>909.S</v>
      </c>
      <c r="S747" s="55">
        <f t="shared" si="48"/>
        <v>1221628.2339450682</v>
      </c>
    </row>
    <row r="748" spans="1:19" hidden="1">
      <c r="A748" s="5">
        <v>813</v>
      </c>
      <c r="B748" s="59"/>
      <c r="C748" s="60"/>
      <c r="D748" s="61"/>
      <c r="E748" s="63"/>
      <c r="F748" s="63" t="s">
        <v>149</v>
      </c>
      <c r="G748" s="63" t="s">
        <v>155</v>
      </c>
      <c r="H748" s="62"/>
      <c r="I748" s="65">
        <v>2863519.55</v>
      </c>
      <c r="J748" s="65">
        <v>1369031.3902851918</v>
      </c>
      <c r="K748" s="62"/>
      <c r="L748" s="65">
        <v>3026181.8404688044</v>
      </c>
      <c r="M748" s="65">
        <v>1579382.5922105524</v>
      </c>
      <c r="N748" s="65">
        <v>1446799.2482582519</v>
      </c>
      <c r="P748">
        <f t="shared" si="46"/>
        <v>909</v>
      </c>
      <c r="Q748" t="str">
        <f t="shared" si="47"/>
        <v>CN</v>
      </c>
      <c r="R748" t="str">
        <f>IF(ISERROR(MATCH(P748&amp;"."&amp;Q748,R$5:R747,0)),P748&amp;"."&amp;Q748,P748&amp;"."&amp;Q748&amp;COUNTIFS(P$5:P747,P748,Q$5:Q747,Q748))</f>
        <v>909.CN</v>
      </c>
      <c r="S748" s="55">
        <f t="shared" si="48"/>
        <v>1446799.2482582519</v>
      </c>
    </row>
    <row r="749" spans="1:19" hidden="1">
      <c r="A749" s="5">
        <v>814</v>
      </c>
      <c r="B749" s="59"/>
      <c r="C749" s="60"/>
      <c r="D749" s="63"/>
      <c r="E749" s="63"/>
      <c r="F749" s="60"/>
      <c r="G749" s="61"/>
      <c r="H749" s="62" t="s">
        <v>178</v>
      </c>
      <c r="I749" s="65">
        <v>6310515.9399999995</v>
      </c>
      <c r="J749" s="65">
        <v>2558598.3302851915</v>
      </c>
      <c r="K749" s="62"/>
      <c r="L749" s="65">
        <v>6541264.7027191436</v>
      </c>
      <c r="M749" s="65">
        <v>3872837.2205158239</v>
      </c>
      <c r="N749" s="64">
        <v>2668427.4822033201</v>
      </c>
      <c r="P749">
        <f t="shared" si="46"/>
        <v>909</v>
      </c>
      <c r="Q749" t="str">
        <f t="shared" si="47"/>
        <v>NA</v>
      </c>
      <c r="R749" t="str">
        <f>IF(ISERROR(MATCH(P749&amp;"."&amp;Q749,R$5:R748,0)),P749&amp;"."&amp;Q749,P749&amp;"."&amp;Q749&amp;COUNTIFS(P$5:P748,P749,Q$5:Q748,Q749))</f>
        <v>909.NA1</v>
      </c>
      <c r="S749" s="55">
        <f t="shared" si="48"/>
        <v>2668427.4822033201</v>
      </c>
    </row>
    <row r="750" spans="1:19" hidden="1">
      <c r="A750" s="5">
        <v>815</v>
      </c>
      <c r="B750" s="59"/>
      <c r="C750" s="60"/>
      <c r="D750" s="63"/>
      <c r="E750" s="63"/>
      <c r="F750" s="60"/>
      <c r="G750" s="61"/>
      <c r="H750" s="62"/>
      <c r="I750" s="65"/>
      <c r="J750" s="65"/>
      <c r="K750" s="62"/>
      <c r="L750" s="65"/>
      <c r="M750" s="65"/>
      <c r="N750" s="64"/>
      <c r="P750">
        <f t="shared" si="46"/>
        <v>909</v>
      </c>
      <c r="Q750" t="str">
        <f t="shared" si="47"/>
        <v>NA</v>
      </c>
      <c r="R750" t="str">
        <f>IF(ISERROR(MATCH(P750&amp;"."&amp;Q750,R$5:R749,0)),P750&amp;"."&amp;Q750,P750&amp;"."&amp;Q750&amp;COUNTIFS(P$5:P749,P750,Q$5:Q749,Q750))</f>
        <v>909.NA2</v>
      </c>
      <c r="S750" s="55">
        <f t="shared" si="48"/>
        <v>0</v>
      </c>
    </row>
    <row r="751" spans="1:19" hidden="1">
      <c r="A751" s="5">
        <v>816</v>
      </c>
      <c r="B751" s="59"/>
      <c r="C751" s="60">
        <v>910</v>
      </c>
      <c r="D751" s="63" t="s">
        <v>344</v>
      </c>
      <c r="E751" s="63"/>
      <c r="F751" s="63"/>
      <c r="G751" s="63"/>
      <c r="H751" s="62"/>
      <c r="I751" s="66"/>
      <c r="J751" s="66"/>
      <c r="K751" s="62"/>
      <c r="L751" s="66"/>
      <c r="M751" s="66"/>
      <c r="N751" s="66"/>
      <c r="P751">
        <f t="shared" si="46"/>
        <v>910</v>
      </c>
      <c r="Q751" t="str">
        <f t="shared" si="47"/>
        <v>NA</v>
      </c>
      <c r="R751" t="str">
        <f>IF(ISERROR(MATCH(P751&amp;"."&amp;Q751,R$5:R750,0)),P751&amp;"."&amp;Q751,P751&amp;"."&amp;Q751&amp;COUNTIFS(P$5:P750,P751,Q$5:Q750,Q751))</f>
        <v>910.NA</v>
      </c>
      <c r="S751" s="55">
        <f t="shared" si="48"/>
        <v>0</v>
      </c>
    </row>
    <row r="752" spans="1:19" hidden="1">
      <c r="A752" s="5">
        <v>817</v>
      </c>
      <c r="B752" s="59"/>
      <c r="C752" s="60"/>
      <c r="D752" s="63"/>
      <c r="E752" s="63"/>
      <c r="F752" s="63" t="s">
        <v>149</v>
      </c>
      <c r="G752" s="63" t="s">
        <v>12</v>
      </c>
      <c r="H752" s="62"/>
      <c r="I752" s="65">
        <v>0</v>
      </c>
      <c r="J752" s="65">
        <v>0</v>
      </c>
      <c r="K752" s="62"/>
      <c r="L752" s="65">
        <v>0</v>
      </c>
      <c r="M752" s="65">
        <v>0</v>
      </c>
      <c r="N752" s="65">
        <v>0</v>
      </c>
      <c r="P752">
        <f t="shared" si="46"/>
        <v>910</v>
      </c>
      <c r="Q752" t="str">
        <f t="shared" si="47"/>
        <v>S</v>
      </c>
      <c r="R752" t="str">
        <f>IF(ISERROR(MATCH(P752&amp;"."&amp;Q752,R$5:R751,0)),P752&amp;"."&amp;Q752,P752&amp;"."&amp;Q752&amp;COUNTIFS(P$5:P751,P752,Q$5:Q751,Q752))</f>
        <v>910.S</v>
      </c>
      <c r="S752" s="55">
        <f t="shared" si="48"/>
        <v>0</v>
      </c>
    </row>
    <row r="753" spans="1:19" hidden="1">
      <c r="A753" s="5">
        <v>818</v>
      </c>
      <c r="B753" s="59"/>
      <c r="C753" s="60"/>
      <c r="D753" s="61"/>
      <c r="E753" s="63"/>
      <c r="F753" s="63" t="s">
        <v>149</v>
      </c>
      <c r="G753" s="63" t="s">
        <v>155</v>
      </c>
      <c r="H753" s="62"/>
      <c r="I753" s="65">
        <v>4532.63</v>
      </c>
      <c r="J753" s="65">
        <v>2167.0230086427628</v>
      </c>
      <c r="K753" s="62"/>
      <c r="L753" s="65">
        <v>4885.7047895337573</v>
      </c>
      <c r="M753" s="65">
        <v>2549.8788579320608</v>
      </c>
      <c r="N753" s="65">
        <v>2335.8259316016965</v>
      </c>
      <c r="P753">
        <f t="shared" si="46"/>
        <v>910</v>
      </c>
      <c r="Q753" t="str">
        <f t="shared" si="47"/>
        <v>CN</v>
      </c>
      <c r="R753" t="str">
        <f>IF(ISERROR(MATCH(P753&amp;"."&amp;Q753,R$5:R752,0)),P753&amp;"."&amp;Q753,P753&amp;"."&amp;Q753&amp;COUNTIFS(P$5:P752,P753,Q$5:Q752,Q753))</f>
        <v>910.CN</v>
      </c>
      <c r="S753" s="55">
        <f t="shared" si="48"/>
        <v>2335.8259316016965</v>
      </c>
    </row>
    <row r="754" spans="1:19" hidden="1">
      <c r="A754" s="5">
        <v>819</v>
      </c>
      <c r="B754" s="59"/>
      <c r="C754" s="60"/>
      <c r="D754" s="63"/>
      <c r="E754" s="63"/>
      <c r="F754" s="60"/>
      <c r="G754" s="61"/>
      <c r="H754" s="62"/>
      <c r="I754" s="65"/>
      <c r="J754" s="65"/>
      <c r="K754" s="62"/>
      <c r="L754" s="65"/>
      <c r="M754" s="65"/>
      <c r="N754" s="64"/>
      <c r="P754">
        <f t="shared" si="46"/>
        <v>910</v>
      </c>
      <c r="Q754" t="str">
        <f t="shared" si="47"/>
        <v>NA</v>
      </c>
      <c r="R754" t="str">
        <f>IF(ISERROR(MATCH(P754&amp;"."&amp;Q754,R$5:R753,0)),P754&amp;"."&amp;Q754,P754&amp;"."&amp;Q754&amp;COUNTIFS(P$5:P753,P754,Q$5:Q753,Q754))</f>
        <v>910.NA1</v>
      </c>
      <c r="S754" s="55">
        <f t="shared" si="48"/>
        <v>0</v>
      </c>
    </row>
    <row r="755" spans="1:19" hidden="1">
      <c r="A755" s="5">
        <v>820</v>
      </c>
      <c r="B755" s="59"/>
      <c r="C755" s="60"/>
      <c r="D755" s="63"/>
      <c r="E755" s="63"/>
      <c r="F755" s="60"/>
      <c r="G755" s="61"/>
      <c r="H755" s="62" t="s">
        <v>178</v>
      </c>
      <c r="I755" s="65">
        <v>4532.63</v>
      </c>
      <c r="J755" s="65">
        <v>2167.0230086427628</v>
      </c>
      <c r="K755" s="62"/>
      <c r="L755" s="65">
        <v>4885.7047895337573</v>
      </c>
      <c r="M755" s="65">
        <v>2549.8788579320608</v>
      </c>
      <c r="N755" s="64">
        <v>2335.8259316016965</v>
      </c>
      <c r="P755">
        <f t="shared" si="46"/>
        <v>910</v>
      </c>
      <c r="Q755" t="str">
        <f t="shared" si="47"/>
        <v>NA</v>
      </c>
      <c r="R755" t="str">
        <f>IF(ISERROR(MATCH(P755&amp;"."&amp;Q755,R$5:R754,0)),P755&amp;"."&amp;Q755,P755&amp;"."&amp;Q755&amp;COUNTIFS(P$5:P754,P755,Q$5:Q754,Q755))</f>
        <v>910.NA2</v>
      </c>
      <c r="S755" s="55">
        <f t="shared" si="48"/>
        <v>2335.8259316016965</v>
      </c>
    </row>
    <row r="756" spans="1:19" hidden="1">
      <c r="A756" s="5">
        <v>821</v>
      </c>
      <c r="B756" s="59"/>
      <c r="C756" s="60"/>
      <c r="D756" s="63"/>
      <c r="E756" s="63"/>
      <c r="F756" s="63"/>
      <c r="G756" s="63"/>
      <c r="H756" s="62"/>
      <c r="I756" s="66"/>
      <c r="J756" s="66"/>
      <c r="K756" s="62"/>
      <c r="L756" s="66"/>
      <c r="M756" s="66"/>
      <c r="N756" s="66"/>
      <c r="P756">
        <f t="shared" si="46"/>
        <v>910</v>
      </c>
      <c r="Q756" t="str">
        <f t="shared" si="47"/>
        <v>NA</v>
      </c>
      <c r="R756" t="str">
        <f>IF(ISERROR(MATCH(P756&amp;"."&amp;Q756,R$5:R755,0)),P756&amp;"."&amp;Q756,P756&amp;"."&amp;Q756&amp;COUNTIFS(P$5:P755,P756,Q$5:Q755,Q756))</f>
        <v>910.NA3</v>
      </c>
      <c r="S756" s="55">
        <f t="shared" si="48"/>
        <v>0</v>
      </c>
    </row>
    <row r="757" spans="1:19" hidden="1">
      <c r="A757" s="5">
        <v>822</v>
      </c>
      <c r="B757" s="59"/>
      <c r="C757" s="60" t="s">
        <v>345</v>
      </c>
      <c r="D757" s="63"/>
      <c r="E757" s="63"/>
      <c r="F757" s="63"/>
      <c r="G757" s="63"/>
      <c r="H757" s="62" t="s">
        <v>178</v>
      </c>
      <c r="I757" s="65">
        <v>101544683.08999999</v>
      </c>
      <c r="J757" s="65">
        <v>6511448.7760719713</v>
      </c>
      <c r="K757" s="62"/>
      <c r="L757" s="65">
        <v>104389490.66972065</v>
      </c>
      <c r="M757" s="65">
        <v>97383315.760048017</v>
      </c>
      <c r="N757" s="65">
        <v>7006174.9096726151</v>
      </c>
      <c r="P757" t="str">
        <f t="shared" si="46"/>
        <v>Total Customer Service Expense</v>
      </c>
      <c r="Q757" t="str">
        <f t="shared" si="47"/>
        <v>NA</v>
      </c>
      <c r="R757" t="str">
        <f>IF(ISERROR(MATCH(P757&amp;"."&amp;Q757,R$5:R756,0)),P757&amp;"."&amp;Q757,P757&amp;"."&amp;Q757&amp;COUNTIFS(P$5:P756,P757,Q$5:Q756,Q757))</f>
        <v>Total Customer Service Expense.NA</v>
      </c>
      <c r="S757" s="55">
        <f t="shared" si="48"/>
        <v>7006174.9096726151</v>
      </c>
    </row>
    <row r="758" spans="1:19" hidden="1">
      <c r="A758" s="5">
        <v>823</v>
      </c>
      <c r="B758" s="59"/>
      <c r="C758" s="60"/>
      <c r="D758" s="61"/>
      <c r="E758" s="63"/>
      <c r="F758" s="63"/>
      <c r="G758" s="63"/>
      <c r="H758" s="62"/>
      <c r="I758" s="65"/>
      <c r="J758" s="65"/>
      <c r="K758" s="62"/>
      <c r="L758" s="65"/>
      <c r="M758" s="65"/>
      <c r="N758" s="65"/>
      <c r="P758" t="str">
        <f t="shared" si="46"/>
        <v>Total Customer Service Expense</v>
      </c>
      <c r="Q758" t="str">
        <f t="shared" si="47"/>
        <v>NA</v>
      </c>
      <c r="R758" t="str">
        <f>IF(ISERROR(MATCH(P758&amp;"."&amp;Q758,R$5:R757,0)),P758&amp;"."&amp;Q758,P758&amp;"."&amp;Q758&amp;COUNTIFS(P$5:P757,P758,Q$5:Q757,Q758))</f>
        <v>Total Customer Service Expense.NA1</v>
      </c>
      <c r="S758" s="55">
        <f t="shared" si="48"/>
        <v>0</v>
      </c>
    </row>
    <row r="759" spans="1:19" hidden="1">
      <c r="A759" s="5">
        <v>824</v>
      </c>
      <c r="B759" s="59"/>
      <c r="C759" s="60"/>
      <c r="D759" s="63"/>
      <c r="E759" s="63"/>
      <c r="F759" s="60"/>
      <c r="G759" s="61"/>
      <c r="H759" s="62"/>
      <c r="I759" s="65"/>
      <c r="J759" s="65"/>
      <c r="K759" s="62"/>
      <c r="L759" s="65"/>
      <c r="M759" s="65"/>
      <c r="N759" s="64"/>
      <c r="P759" t="str">
        <f t="shared" si="46"/>
        <v>Total Customer Service Expense</v>
      </c>
      <c r="Q759" t="str">
        <f t="shared" si="47"/>
        <v>NA</v>
      </c>
      <c r="R759" t="str">
        <f>IF(ISERROR(MATCH(P759&amp;"."&amp;Q759,R$5:R758,0)),P759&amp;"."&amp;Q759,P759&amp;"."&amp;Q759&amp;COUNTIFS(P$5:P758,P759,Q$5:Q758,Q759))</f>
        <v>Total Customer Service Expense.NA2</v>
      </c>
      <c r="S759" s="55">
        <f t="shared" si="48"/>
        <v>0</v>
      </c>
    </row>
    <row r="760" spans="1:19" hidden="1">
      <c r="A760" s="5">
        <v>825</v>
      </c>
      <c r="B760" s="59"/>
      <c r="C760" s="60" t="s">
        <v>346</v>
      </c>
      <c r="D760" s="63"/>
      <c r="E760" s="63"/>
      <c r="F760" s="60"/>
      <c r="G760" s="61"/>
      <c r="H760" s="62"/>
      <c r="I760" s="65"/>
      <c r="J760" s="65"/>
      <c r="K760" s="62"/>
      <c r="L760" s="65"/>
      <c r="M760" s="65"/>
      <c r="N760" s="64"/>
      <c r="P760" t="str">
        <f t="shared" si="46"/>
        <v>Summary of Customer Service Exp by Factor</v>
      </c>
      <c r="Q760" t="str">
        <f t="shared" si="47"/>
        <v>NA</v>
      </c>
      <c r="R760" t="str">
        <f>IF(ISERROR(MATCH(P760&amp;"."&amp;Q760,R$5:R759,0)),P760&amp;"."&amp;Q760,P760&amp;"."&amp;Q760&amp;COUNTIFS(P$5:P759,P760,Q$5:Q759,Q760))</f>
        <v>Summary of Customer Service Exp by Factor.NA</v>
      </c>
      <c r="S760" s="55">
        <f t="shared" si="48"/>
        <v>0</v>
      </c>
    </row>
    <row r="761" spans="1:19" hidden="1">
      <c r="A761" s="5">
        <v>826</v>
      </c>
      <c r="B761" s="59"/>
      <c r="C761" s="60"/>
      <c r="D761" s="63"/>
      <c r="E761" s="63" t="s">
        <v>12</v>
      </c>
      <c r="F761" s="63"/>
      <c r="G761" s="63"/>
      <c r="H761" s="62"/>
      <c r="I761" s="66">
        <v>95968116.870000005</v>
      </c>
      <c r="J761" s="66">
        <v>3845326.17</v>
      </c>
      <c r="K761" s="62"/>
      <c r="L761" s="66">
        <v>98404620.72031875</v>
      </c>
      <c r="M761" s="66">
        <v>94259775.962034747</v>
      </c>
      <c r="N761" s="66">
        <v>4144844.7582840025</v>
      </c>
      <c r="P761" t="str">
        <f t="shared" si="46"/>
        <v>Summary of Customer Service Exp by Factor</v>
      </c>
      <c r="Q761" t="str">
        <f t="shared" si="47"/>
        <v>NA</v>
      </c>
      <c r="R761" t="str">
        <f>IF(ISERROR(MATCH(P761&amp;"."&amp;Q761,R$5:R760,0)),P761&amp;"."&amp;Q761,P761&amp;"."&amp;Q761&amp;COUNTIFS(P$5:P760,P761,Q$5:Q760,Q761))</f>
        <v>Summary of Customer Service Exp by Factor.NA1</v>
      </c>
      <c r="S761" s="55">
        <f t="shared" si="48"/>
        <v>4144844.7582840025</v>
      </c>
    </row>
    <row r="762" spans="1:19" hidden="1">
      <c r="A762" s="5">
        <v>827</v>
      </c>
      <c r="B762" s="59"/>
      <c r="C762" s="60"/>
      <c r="D762" s="63"/>
      <c r="E762" s="63" t="s">
        <v>155</v>
      </c>
      <c r="F762" s="63"/>
      <c r="G762" s="63"/>
      <c r="H762" s="62"/>
      <c r="I762" s="69">
        <v>5576566.2199999997</v>
      </c>
      <c r="J762" s="69">
        <v>2666122.6060719709</v>
      </c>
      <c r="K762" s="62"/>
      <c r="L762" s="69">
        <v>5984869.949401902</v>
      </c>
      <c r="M762" s="65">
        <v>3123539.7980132899</v>
      </c>
      <c r="N762" s="65">
        <v>2861330.1513886121</v>
      </c>
      <c r="P762" t="str">
        <f t="shared" si="46"/>
        <v>Summary of Customer Service Exp by Factor</v>
      </c>
      <c r="Q762" t="str">
        <f t="shared" si="47"/>
        <v>NA</v>
      </c>
      <c r="R762" t="str">
        <f>IF(ISERROR(MATCH(P762&amp;"."&amp;Q762,R$5:R761,0)),P762&amp;"."&amp;Q762,P762&amp;"."&amp;Q762&amp;COUNTIFS(P$5:P761,P762,Q$5:Q761,Q762))</f>
        <v>Summary of Customer Service Exp by Factor.NA2</v>
      </c>
      <c r="S762" s="55">
        <f t="shared" si="48"/>
        <v>2861330.1513886121</v>
      </c>
    </row>
    <row r="763" spans="1:19" hidden="1">
      <c r="A763" s="5">
        <v>828</v>
      </c>
      <c r="B763" s="59"/>
      <c r="C763" s="60"/>
      <c r="D763" s="61"/>
      <c r="E763" s="63"/>
      <c r="F763" s="63"/>
      <c r="G763" s="63"/>
      <c r="H763" s="62"/>
      <c r="I763" s="65"/>
      <c r="J763" s="65"/>
      <c r="K763" s="62"/>
      <c r="L763" s="65"/>
      <c r="M763" s="65"/>
      <c r="N763" s="65"/>
      <c r="P763" t="str">
        <f t="shared" si="46"/>
        <v>Summary of Customer Service Exp by Factor</v>
      </c>
      <c r="Q763" t="str">
        <f t="shared" si="47"/>
        <v>NA</v>
      </c>
      <c r="R763" t="str">
        <f>IF(ISERROR(MATCH(P763&amp;"."&amp;Q763,R$5:R762,0)),P763&amp;"."&amp;Q763,P763&amp;"."&amp;Q763&amp;COUNTIFS(P$5:P762,P763,Q$5:Q762,Q763))</f>
        <v>Summary of Customer Service Exp by Factor.NA3</v>
      </c>
      <c r="S763" s="55">
        <f t="shared" si="48"/>
        <v>0</v>
      </c>
    </row>
    <row r="764" spans="1:19" hidden="1">
      <c r="A764" s="5">
        <v>829</v>
      </c>
      <c r="B764" s="59"/>
      <c r="C764" s="60" t="s">
        <v>347</v>
      </c>
      <c r="D764" s="63"/>
      <c r="E764" s="63"/>
      <c r="F764" s="60"/>
      <c r="G764" s="61"/>
      <c r="H764" s="62" t="s">
        <v>178</v>
      </c>
      <c r="I764" s="65">
        <v>101544683.09</v>
      </c>
      <c r="J764" s="65">
        <v>6511448.7760719713</v>
      </c>
      <c r="K764" s="62"/>
      <c r="L764" s="65">
        <v>104389490.66972065</v>
      </c>
      <c r="M764" s="65">
        <v>97383315.760048032</v>
      </c>
      <c r="N764" s="64">
        <v>7006174.9096726142</v>
      </c>
      <c r="P764" t="str">
        <f t="shared" si="46"/>
        <v>Total Customer Service Expense by Factor</v>
      </c>
      <c r="Q764" t="str">
        <f t="shared" si="47"/>
        <v>NA</v>
      </c>
      <c r="R764" t="str">
        <f>IF(ISERROR(MATCH(P764&amp;"."&amp;Q764,R$5:R763,0)),P764&amp;"."&amp;Q764,P764&amp;"."&amp;Q764&amp;COUNTIFS(P$5:P763,P764,Q$5:Q763,Q764))</f>
        <v>Total Customer Service Expense by Factor.NA</v>
      </c>
      <c r="S764" s="55">
        <f t="shared" si="48"/>
        <v>7006174.9096726142</v>
      </c>
    </row>
    <row r="765" spans="1:19" hidden="1">
      <c r="A765" s="5">
        <v>830</v>
      </c>
      <c r="B765" s="59"/>
      <c r="C765" s="60"/>
      <c r="D765" s="63"/>
      <c r="E765" s="63"/>
      <c r="F765" s="60"/>
      <c r="G765" s="61"/>
      <c r="H765" s="62"/>
      <c r="I765" s="65"/>
      <c r="J765" s="65"/>
      <c r="K765" s="62"/>
      <c r="L765" s="65"/>
      <c r="M765" s="65"/>
      <c r="N765" s="64"/>
      <c r="P765" t="str">
        <f t="shared" si="46"/>
        <v>Total Customer Service Expense by Factor</v>
      </c>
      <c r="Q765" t="str">
        <f t="shared" si="47"/>
        <v>NA</v>
      </c>
      <c r="R765" t="str">
        <f>IF(ISERROR(MATCH(P765&amp;"."&amp;Q765,R$5:R764,0)),P765&amp;"."&amp;Q765,P765&amp;"."&amp;Q765&amp;COUNTIFS(P$5:P764,P765,Q$5:Q764,Q765))</f>
        <v>Total Customer Service Expense by Factor.NA1</v>
      </c>
      <c r="S765" s="55">
        <f t="shared" si="48"/>
        <v>0</v>
      </c>
    </row>
    <row r="766" spans="1:19" hidden="1">
      <c r="A766" s="5">
        <v>831</v>
      </c>
      <c r="B766" s="59"/>
      <c r="C766" s="60"/>
      <c r="D766" s="63"/>
      <c r="E766" s="63"/>
      <c r="F766" s="63"/>
      <c r="G766" s="63"/>
      <c r="H766" s="62"/>
      <c r="I766" s="66"/>
      <c r="J766" s="66"/>
      <c r="K766" s="62"/>
      <c r="L766" s="66"/>
      <c r="M766" s="66"/>
      <c r="N766" s="66"/>
      <c r="P766" t="str">
        <f t="shared" si="46"/>
        <v>Total Customer Service Expense by Factor</v>
      </c>
      <c r="Q766" t="str">
        <f t="shared" si="47"/>
        <v>NA</v>
      </c>
      <c r="R766" t="str">
        <f>IF(ISERROR(MATCH(P766&amp;"."&amp;Q766,R$5:R765,0)),P766&amp;"."&amp;Q766,P766&amp;"."&amp;Q766&amp;COUNTIFS(P$5:P765,P766,Q$5:Q765,Q766))</f>
        <v>Total Customer Service Expense by Factor.NA2</v>
      </c>
      <c r="S766" s="55">
        <f t="shared" si="48"/>
        <v>0</v>
      </c>
    </row>
    <row r="767" spans="1:19" hidden="1">
      <c r="A767" s="5">
        <v>832</v>
      </c>
      <c r="B767" s="59"/>
      <c r="C767" s="60">
        <v>911</v>
      </c>
      <c r="D767" s="63" t="s">
        <v>334</v>
      </c>
      <c r="E767" s="63"/>
      <c r="F767" s="63"/>
      <c r="G767" s="63"/>
      <c r="H767" s="62"/>
      <c r="I767" s="65"/>
      <c r="J767" s="65"/>
      <c r="K767" s="62"/>
      <c r="L767" s="65"/>
      <c r="M767" s="65"/>
      <c r="N767" s="65"/>
      <c r="P767">
        <f t="shared" si="46"/>
        <v>911</v>
      </c>
      <c r="Q767" t="str">
        <f t="shared" si="47"/>
        <v>NA</v>
      </c>
      <c r="R767" t="str">
        <f>IF(ISERROR(MATCH(P767&amp;"."&amp;Q767,R$5:R766,0)),P767&amp;"."&amp;Q767,P767&amp;"."&amp;Q767&amp;COUNTIFS(P$5:P766,P767,Q$5:Q766,Q767))</f>
        <v>911.NA</v>
      </c>
      <c r="S767" s="55">
        <f t="shared" si="48"/>
        <v>0</v>
      </c>
    </row>
    <row r="768" spans="1:19" ht="15.75" hidden="1" thickBot="1">
      <c r="A768" s="5">
        <v>833</v>
      </c>
      <c r="B768" s="59"/>
      <c r="C768" s="45"/>
      <c r="D768" s="63"/>
      <c r="E768" s="63"/>
      <c r="F768" s="63" t="s">
        <v>149</v>
      </c>
      <c r="G768" s="63" t="s">
        <v>12</v>
      </c>
      <c r="H768" s="41"/>
      <c r="I768" s="68">
        <v>0</v>
      </c>
      <c r="J768" s="68">
        <v>0</v>
      </c>
      <c r="K768" s="62"/>
      <c r="L768" s="68">
        <v>0</v>
      </c>
      <c r="M768" s="68">
        <v>0</v>
      </c>
      <c r="N768" s="68">
        <v>0</v>
      </c>
      <c r="P768">
        <f t="shared" si="46"/>
        <v>911</v>
      </c>
      <c r="Q768" t="str">
        <f t="shared" si="47"/>
        <v>S</v>
      </c>
      <c r="R768" t="str">
        <f>IF(ISERROR(MATCH(P768&amp;"."&amp;Q768,R$5:R767,0)),P768&amp;"."&amp;Q768,P768&amp;"."&amp;Q768&amp;COUNTIFS(P$5:P767,P768,Q$5:Q767,Q768))</f>
        <v>911.S</v>
      </c>
      <c r="S768" s="55">
        <f t="shared" si="48"/>
        <v>0</v>
      </c>
    </row>
    <row r="769" spans="1:19" hidden="1">
      <c r="A769" s="5">
        <v>834</v>
      </c>
      <c r="B769" s="59"/>
      <c r="C769" s="60"/>
      <c r="D769" s="63"/>
      <c r="E769" s="63"/>
      <c r="F769" s="63" t="s">
        <v>149</v>
      </c>
      <c r="G769" s="63" t="s">
        <v>155</v>
      </c>
      <c r="H769" s="62"/>
      <c r="I769" s="65">
        <v>0</v>
      </c>
      <c r="J769" s="65">
        <v>0</v>
      </c>
      <c r="K769" s="62"/>
      <c r="L769" s="65">
        <v>0</v>
      </c>
      <c r="M769" s="65">
        <v>0</v>
      </c>
      <c r="N769" s="65">
        <v>0</v>
      </c>
      <c r="P769">
        <f t="shared" si="46"/>
        <v>911</v>
      </c>
      <c r="Q769" t="str">
        <f t="shared" si="47"/>
        <v>CN</v>
      </c>
      <c r="R769" t="str">
        <f>IF(ISERROR(MATCH(P769&amp;"."&amp;Q769,R$5:R768,0)),P769&amp;"."&amp;Q769,P769&amp;"."&amp;Q769&amp;COUNTIFS(P$5:P768,P769,Q$5:Q768,Q769))</f>
        <v>911.CN</v>
      </c>
      <c r="S769" s="55">
        <f t="shared" si="48"/>
        <v>0</v>
      </c>
    </row>
    <row r="770" spans="1:19" hidden="1">
      <c r="A770" s="5">
        <v>835</v>
      </c>
      <c r="B770" s="59"/>
      <c r="C770" s="60"/>
      <c r="D770" s="63"/>
      <c r="E770" s="63"/>
      <c r="F770" s="63"/>
      <c r="G770" s="63"/>
      <c r="H770" s="62" t="s">
        <v>178</v>
      </c>
      <c r="I770" s="65">
        <v>0</v>
      </c>
      <c r="J770" s="65">
        <v>0</v>
      </c>
      <c r="K770" s="62"/>
      <c r="L770" s="65">
        <v>0</v>
      </c>
      <c r="M770" s="65">
        <v>0</v>
      </c>
      <c r="N770" s="65">
        <v>0</v>
      </c>
      <c r="P770">
        <f t="shared" si="46"/>
        <v>911</v>
      </c>
      <c r="Q770" t="str">
        <f t="shared" si="47"/>
        <v>NA</v>
      </c>
      <c r="R770" t="str">
        <f>IF(ISERROR(MATCH(P770&amp;"."&amp;Q770,R$5:R769,0)),P770&amp;"."&amp;Q770,P770&amp;"."&amp;Q770&amp;COUNTIFS(P$5:P769,P770,Q$5:Q769,Q770))</f>
        <v>911.NA1</v>
      </c>
      <c r="S770" s="55">
        <f t="shared" si="48"/>
        <v>0</v>
      </c>
    </row>
    <row r="771" spans="1:19" hidden="1">
      <c r="A771" s="5">
        <v>836</v>
      </c>
      <c r="B771" s="59"/>
      <c r="C771" s="60"/>
      <c r="D771" s="63"/>
      <c r="E771" s="63"/>
      <c r="F771" s="63"/>
      <c r="G771" s="63"/>
      <c r="H771" s="62"/>
      <c r="I771" s="65"/>
      <c r="J771" s="65"/>
      <c r="K771" s="62"/>
      <c r="L771" s="65"/>
      <c r="M771" s="65"/>
      <c r="N771" s="65"/>
      <c r="P771">
        <f t="shared" si="46"/>
        <v>911</v>
      </c>
      <c r="Q771" t="str">
        <f t="shared" si="47"/>
        <v>NA</v>
      </c>
      <c r="R771" t="str">
        <f>IF(ISERROR(MATCH(P771&amp;"."&amp;Q771,R$5:R770,0)),P771&amp;"."&amp;Q771,P771&amp;"."&amp;Q771&amp;COUNTIFS(P$5:P770,P771,Q$5:Q770,Q771))</f>
        <v>911.NA2</v>
      </c>
      <c r="S771" s="55">
        <f t="shared" si="48"/>
        <v>0</v>
      </c>
    </row>
    <row r="772" spans="1:19" hidden="1">
      <c r="A772" s="5">
        <v>837</v>
      </c>
      <c r="B772" s="59"/>
      <c r="C772" s="60">
        <v>912</v>
      </c>
      <c r="D772" s="63" t="s">
        <v>348</v>
      </c>
      <c r="E772" s="60"/>
      <c r="F772" s="63"/>
      <c r="G772" s="63"/>
      <c r="H772" s="62"/>
      <c r="I772" s="65"/>
      <c r="J772" s="65"/>
      <c r="K772" s="62"/>
      <c r="L772" s="65"/>
      <c r="M772" s="65"/>
      <c r="N772" s="64"/>
      <c r="P772">
        <f t="shared" si="46"/>
        <v>912</v>
      </c>
      <c r="Q772" t="str">
        <f t="shared" si="47"/>
        <v>NA</v>
      </c>
      <c r="R772" t="str">
        <f>IF(ISERROR(MATCH(P772&amp;"."&amp;Q772,R$5:R771,0)),P772&amp;"."&amp;Q772,P772&amp;"."&amp;Q772&amp;COUNTIFS(P$5:P771,P772,Q$5:Q771,Q772))</f>
        <v>912.NA</v>
      </c>
      <c r="S772" s="55">
        <f t="shared" si="48"/>
        <v>0</v>
      </c>
    </row>
    <row r="773" spans="1:19" hidden="1">
      <c r="A773" s="5">
        <v>838</v>
      </c>
      <c r="B773" s="59"/>
      <c r="C773" s="60"/>
      <c r="D773" s="63"/>
      <c r="E773" s="61"/>
      <c r="F773" s="63" t="s">
        <v>149</v>
      </c>
      <c r="G773" s="63" t="s">
        <v>12</v>
      </c>
      <c r="H773" s="62"/>
      <c r="I773" s="65">
        <v>0</v>
      </c>
      <c r="J773" s="65">
        <v>0</v>
      </c>
      <c r="K773" s="62"/>
      <c r="L773" s="65">
        <v>0</v>
      </c>
      <c r="M773" s="65">
        <v>0</v>
      </c>
      <c r="N773" s="64">
        <v>0</v>
      </c>
      <c r="P773">
        <f t="shared" si="46"/>
        <v>912</v>
      </c>
      <c r="Q773" t="str">
        <f t="shared" si="47"/>
        <v>S</v>
      </c>
      <c r="R773" t="str">
        <f>IF(ISERROR(MATCH(P773&amp;"."&amp;Q773,R$5:R772,0)),P773&amp;"."&amp;Q773,P773&amp;"."&amp;Q773&amp;COUNTIFS(P$5:P772,P773,Q$5:Q772,Q773))</f>
        <v>912.S</v>
      </c>
      <c r="S773" s="55">
        <f t="shared" si="48"/>
        <v>0</v>
      </c>
    </row>
    <row r="774" spans="1:19" ht="15.75" hidden="1" thickBot="1">
      <c r="A774" s="5">
        <v>839</v>
      </c>
      <c r="B774" s="59"/>
      <c r="C774" s="60"/>
      <c r="D774" s="63"/>
      <c r="E774" s="63"/>
      <c r="F774" s="63" t="s">
        <v>149</v>
      </c>
      <c r="G774" s="63" t="s">
        <v>155</v>
      </c>
      <c r="H774" s="62"/>
      <c r="I774" s="81">
        <v>0</v>
      </c>
      <c r="J774" s="81">
        <v>0</v>
      </c>
      <c r="K774" s="62"/>
      <c r="L774" s="81">
        <v>0</v>
      </c>
      <c r="M774" s="81">
        <v>0</v>
      </c>
      <c r="N774" s="81">
        <v>0</v>
      </c>
      <c r="P774">
        <f t="shared" si="46"/>
        <v>912</v>
      </c>
      <c r="Q774" t="str">
        <f t="shared" si="47"/>
        <v>CN</v>
      </c>
      <c r="R774" t="str">
        <f>IF(ISERROR(MATCH(P774&amp;"."&amp;Q774,R$5:R773,0)),P774&amp;"."&amp;Q774,P774&amp;"."&amp;Q774&amp;COUNTIFS(P$5:P773,P774,Q$5:Q773,Q774))</f>
        <v>912.CN</v>
      </c>
      <c r="S774" s="55">
        <f t="shared" si="48"/>
        <v>0</v>
      </c>
    </row>
    <row r="775" spans="1:19" hidden="1">
      <c r="A775" s="5">
        <v>840</v>
      </c>
      <c r="B775" s="59"/>
      <c r="C775" s="60"/>
      <c r="D775" s="63"/>
      <c r="E775" s="63"/>
      <c r="F775" s="63"/>
      <c r="G775" s="63"/>
      <c r="H775" s="62" t="s">
        <v>178</v>
      </c>
      <c r="I775" s="65">
        <v>0</v>
      </c>
      <c r="J775" s="65">
        <v>0</v>
      </c>
      <c r="K775" s="62"/>
      <c r="L775" s="65">
        <v>0</v>
      </c>
      <c r="M775" s="65">
        <v>0</v>
      </c>
      <c r="N775" s="65">
        <v>0</v>
      </c>
      <c r="P775">
        <f t="shared" ref="P775:P838" si="49">IF(OR(C775="",C775=" ",C775="  ",C775="   "),P774,C775)</f>
        <v>912</v>
      </c>
      <c r="Q775" t="str">
        <f t="shared" ref="Q775:Q838" si="50">IF(G775="","NA",G775)</f>
        <v>NA</v>
      </c>
      <c r="R775" t="str">
        <f>IF(ISERROR(MATCH(P775&amp;"."&amp;Q775,R$5:R774,0)),P775&amp;"."&amp;Q775,P775&amp;"."&amp;Q775&amp;COUNTIFS(P$5:P774,P775,Q$5:Q774,Q775))</f>
        <v>912.NA1</v>
      </c>
      <c r="S775" s="55">
        <f t="shared" si="48"/>
        <v>0</v>
      </c>
    </row>
    <row r="776" spans="1:19" ht="15.75" hidden="1" thickBot="1">
      <c r="A776" s="5">
        <v>841</v>
      </c>
      <c r="B776" s="59"/>
      <c r="C776" s="45"/>
      <c r="D776" s="63"/>
      <c r="E776" s="63"/>
      <c r="F776" s="63"/>
      <c r="G776" s="63"/>
      <c r="H776" s="41"/>
      <c r="I776" s="68"/>
      <c r="J776" s="68"/>
      <c r="K776" s="41"/>
      <c r="L776" s="68"/>
      <c r="M776" s="68"/>
      <c r="N776" s="68"/>
      <c r="P776">
        <f t="shared" si="49"/>
        <v>912</v>
      </c>
      <c r="Q776" t="str">
        <f t="shared" si="50"/>
        <v>NA</v>
      </c>
      <c r="R776" t="str">
        <f>IF(ISERROR(MATCH(P776&amp;"."&amp;Q776,R$5:R775,0)),P776&amp;"."&amp;Q776,P776&amp;"."&amp;Q776&amp;COUNTIFS(P$5:P775,P776,Q$5:Q775,Q776))</f>
        <v>912.NA2</v>
      </c>
      <c r="S776" s="55">
        <f t="shared" ref="S776:S839" si="51">N776</f>
        <v>0</v>
      </c>
    </row>
    <row r="777" spans="1:19" hidden="1">
      <c r="A777" s="5">
        <v>842</v>
      </c>
      <c r="B777" s="59"/>
      <c r="C777" s="60">
        <v>913</v>
      </c>
      <c r="D777" s="61" t="s">
        <v>349</v>
      </c>
      <c r="E777" s="63"/>
      <c r="F777" s="63"/>
      <c r="G777" s="63"/>
      <c r="H777" s="62"/>
      <c r="I777" s="65"/>
      <c r="J777" s="65"/>
      <c r="K777" s="62"/>
      <c r="L777" s="65"/>
      <c r="M777" s="65"/>
      <c r="N777" s="65"/>
      <c r="P777">
        <f t="shared" si="49"/>
        <v>913</v>
      </c>
      <c r="Q777" t="str">
        <f t="shared" si="50"/>
        <v>NA</v>
      </c>
      <c r="R777" t="str">
        <f>IF(ISERROR(MATCH(P777&amp;"."&amp;Q777,R$5:R776,0)),P777&amp;"."&amp;Q777,P777&amp;"."&amp;Q777&amp;COUNTIFS(P$5:P776,P777,Q$5:Q776,Q777))</f>
        <v>913.NA</v>
      </c>
      <c r="S777" s="55">
        <f t="shared" si="51"/>
        <v>0</v>
      </c>
    </row>
    <row r="778" spans="1:19" hidden="1">
      <c r="A778" s="5">
        <v>843</v>
      </c>
      <c r="B778" s="59"/>
      <c r="C778" s="60"/>
      <c r="D778" s="63"/>
      <c r="E778" s="63"/>
      <c r="F778" s="60" t="s">
        <v>149</v>
      </c>
      <c r="G778" s="61" t="s">
        <v>12</v>
      </c>
      <c r="H778" s="62"/>
      <c r="I778" s="65">
        <v>0</v>
      </c>
      <c r="J778" s="65">
        <v>0</v>
      </c>
      <c r="K778" s="62"/>
      <c r="L778" s="65">
        <v>0</v>
      </c>
      <c r="M778" s="65">
        <v>0</v>
      </c>
      <c r="N778" s="64">
        <v>0</v>
      </c>
      <c r="P778">
        <f t="shared" si="49"/>
        <v>913</v>
      </c>
      <c r="Q778" t="str">
        <f t="shared" si="50"/>
        <v>S</v>
      </c>
      <c r="R778" t="str">
        <f>IF(ISERROR(MATCH(P778&amp;"."&amp;Q778,R$5:R777,0)),P778&amp;"."&amp;Q778,P778&amp;"."&amp;Q778&amp;COUNTIFS(P$5:P777,P778,Q$5:Q777,Q778))</f>
        <v>913.S</v>
      </c>
      <c r="S778" s="55">
        <f t="shared" si="51"/>
        <v>0</v>
      </c>
    </row>
    <row r="779" spans="1:19" hidden="1">
      <c r="A779" s="5">
        <v>844</v>
      </c>
      <c r="B779" s="59"/>
      <c r="C779" s="60"/>
      <c r="D779" s="63"/>
      <c r="E779" s="63"/>
      <c r="F779" s="60" t="s">
        <v>149</v>
      </c>
      <c r="G779" s="61" t="s">
        <v>155</v>
      </c>
      <c r="H779" s="62"/>
      <c r="I779" s="65">
        <v>0</v>
      </c>
      <c r="J779" s="65">
        <v>0</v>
      </c>
      <c r="K779" s="62"/>
      <c r="L779" s="65">
        <v>0</v>
      </c>
      <c r="M779" s="65">
        <v>0</v>
      </c>
      <c r="N779" s="64">
        <v>0</v>
      </c>
      <c r="P779">
        <f t="shared" si="49"/>
        <v>913</v>
      </c>
      <c r="Q779" t="str">
        <f t="shared" si="50"/>
        <v>CN</v>
      </c>
      <c r="R779" t="str">
        <f>IF(ISERROR(MATCH(P779&amp;"."&amp;Q779,R$5:R778,0)),P779&amp;"."&amp;Q779,P779&amp;"."&amp;Q779&amp;COUNTIFS(P$5:P778,P779,Q$5:Q778,Q779))</f>
        <v>913.CN</v>
      </c>
      <c r="S779" s="55">
        <f t="shared" si="51"/>
        <v>0</v>
      </c>
    </row>
    <row r="780" spans="1:19" hidden="1">
      <c r="A780" s="5">
        <v>845</v>
      </c>
      <c r="B780" s="59"/>
      <c r="C780" s="60"/>
      <c r="D780" s="63"/>
      <c r="E780" s="63"/>
      <c r="F780" s="60"/>
      <c r="G780" s="61"/>
      <c r="H780" s="62" t="s">
        <v>178</v>
      </c>
      <c r="I780" s="65">
        <v>0</v>
      </c>
      <c r="J780" s="65">
        <v>0</v>
      </c>
      <c r="K780" s="62"/>
      <c r="L780" s="65">
        <v>0</v>
      </c>
      <c r="M780" s="65">
        <v>0</v>
      </c>
      <c r="N780" s="64">
        <v>0</v>
      </c>
      <c r="P780">
        <f t="shared" si="49"/>
        <v>913</v>
      </c>
      <c r="Q780" t="str">
        <f t="shared" si="50"/>
        <v>NA</v>
      </c>
      <c r="R780" t="str">
        <f>IF(ISERROR(MATCH(P780&amp;"."&amp;Q780,R$5:R779,0)),P780&amp;"."&amp;Q780,P780&amp;"."&amp;Q780&amp;COUNTIFS(P$5:P779,P780,Q$5:Q779,Q780))</f>
        <v>913.NA1</v>
      </c>
      <c r="S780" s="55">
        <f t="shared" si="51"/>
        <v>0</v>
      </c>
    </row>
    <row r="781" spans="1:19" hidden="1">
      <c r="A781" s="5">
        <v>846</v>
      </c>
      <c r="B781" s="59"/>
      <c r="C781" s="60"/>
      <c r="D781" s="63"/>
      <c r="E781" s="63"/>
      <c r="F781" s="63"/>
      <c r="G781" s="63"/>
      <c r="H781" s="62"/>
      <c r="I781" s="66"/>
      <c r="J781" s="66"/>
      <c r="K781" s="62"/>
      <c r="L781" s="66"/>
      <c r="M781" s="66"/>
      <c r="N781" s="66"/>
      <c r="P781">
        <f t="shared" si="49"/>
        <v>913</v>
      </c>
      <c r="Q781" t="str">
        <f t="shared" si="50"/>
        <v>NA</v>
      </c>
      <c r="R781" t="str">
        <f>IF(ISERROR(MATCH(P781&amp;"."&amp;Q781,R$5:R780,0)),P781&amp;"."&amp;Q781,P781&amp;"."&amp;Q781&amp;COUNTIFS(P$5:P780,P781,Q$5:Q780,Q781))</f>
        <v>913.NA2</v>
      </c>
      <c r="S781" s="55">
        <f t="shared" si="51"/>
        <v>0</v>
      </c>
    </row>
    <row r="782" spans="1:19" hidden="1">
      <c r="A782" s="5">
        <v>847</v>
      </c>
      <c r="B782" s="59"/>
      <c r="C782" s="60">
        <v>916</v>
      </c>
      <c r="D782" s="63" t="s">
        <v>350</v>
      </c>
      <c r="E782" s="63"/>
      <c r="F782" s="63"/>
      <c r="G782" s="63"/>
      <c r="H782" s="62"/>
      <c r="I782" s="65"/>
      <c r="J782" s="65"/>
      <c r="K782" s="62"/>
      <c r="L782" s="65"/>
      <c r="M782" s="65"/>
      <c r="N782" s="65"/>
      <c r="P782">
        <f t="shared" si="49"/>
        <v>916</v>
      </c>
      <c r="Q782" t="str">
        <f t="shared" si="50"/>
        <v>NA</v>
      </c>
      <c r="R782" t="str">
        <f>IF(ISERROR(MATCH(P782&amp;"."&amp;Q782,R$5:R781,0)),P782&amp;"."&amp;Q782,P782&amp;"."&amp;Q782&amp;COUNTIFS(P$5:P781,P782,Q$5:Q781,Q782))</f>
        <v>916.NA</v>
      </c>
      <c r="S782" s="55">
        <f t="shared" si="51"/>
        <v>0</v>
      </c>
    </row>
    <row r="783" spans="1:19" hidden="1">
      <c r="A783" s="5">
        <v>848</v>
      </c>
      <c r="B783" s="59"/>
      <c r="C783" s="60"/>
      <c r="D783" s="61"/>
      <c r="E783" s="63"/>
      <c r="F783" s="63" t="s">
        <v>149</v>
      </c>
      <c r="G783" s="63" t="s">
        <v>12</v>
      </c>
      <c r="H783" s="62"/>
      <c r="I783" s="65">
        <v>0</v>
      </c>
      <c r="J783" s="65">
        <v>0</v>
      </c>
      <c r="K783" s="62"/>
      <c r="L783" s="65">
        <v>0</v>
      </c>
      <c r="M783" s="65">
        <v>0</v>
      </c>
      <c r="N783" s="65">
        <v>0</v>
      </c>
      <c r="P783">
        <f t="shared" si="49"/>
        <v>916</v>
      </c>
      <c r="Q783" t="str">
        <f t="shared" si="50"/>
        <v>S</v>
      </c>
      <c r="R783" t="str">
        <f>IF(ISERROR(MATCH(P783&amp;"."&amp;Q783,R$5:R782,0)),P783&amp;"."&amp;Q783,P783&amp;"."&amp;Q783&amp;COUNTIFS(P$5:P782,P783,Q$5:Q782,Q783))</f>
        <v>916.S</v>
      </c>
      <c r="S783" s="55">
        <f t="shared" si="51"/>
        <v>0</v>
      </c>
    </row>
    <row r="784" spans="1:19" hidden="1">
      <c r="A784" s="5">
        <v>849</v>
      </c>
      <c r="B784" s="59"/>
      <c r="C784" s="60"/>
      <c r="D784" s="63"/>
      <c r="E784" s="63"/>
      <c r="F784" s="60" t="s">
        <v>149</v>
      </c>
      <c r="G784" s="61" t="s">
        <v>155</v>
      </c>
      <c r="H784" s="62"/>
      <c r="I784" s="65">
        <v>0</v>
      </c>
      <c r="J784" s="65">
        <v>0</v>
      </c>
      <c r="K784" s="62"/>
      <c r="L784" s="65">
        <v>0</v>
      </c>
      <c r="M784" s="65">
        <v>0</v>
      </c>
      <c r="N784" s="64">
        <v>0</v>
      </c>
      <c r="P784">
        <f t="shared" si="49"/>
        <v>916</v>
      </c>
      <c r="Q784" t="str">
        <f t="shared" si="50"/>
        <v>CN</v>
      </c>
      <c r="R784" t="str">
        <f>IF(ISERROR(MATCH(P784&amp;"."&amp;Q784,R$5:R783,0)),P784&amp;"."&amp;Q784,P784&amp;"."&amp;Q784&amp;COUNTIFS(P$5:P783,P784,Q$5:Q783,Q784))</f>
        <v>916.CN</v>
      </c>
      <c r="S784" s="55">
        <f t="shared" si="51"/>
        <v>0</v>
      </c>
    </row>
    <row r="785" spans="1:19" hidden="1">
      <c r="A785" s="5">
        <v>850</v>
      </c>
      <c r="B785" s="59"/>
      <c r="C785" s="60"/>
      <c r="D785" s="63"/>
      <c r="E785" s="63"/>
      <c r="F785" s="60"/>
      <c r="G785" s="61"/>
      <c r="H785" s="62" t="s">
        <v>178</v>
      </c>
      <c r="I785" s="65">
        <v>0</v>
      </c>
      <c r="J785" s="65">
        <v>0</v>
      </c>
      <c r="K785" s="62"/>
      <c r="L785" s="65">
        <v>0</v>
      </c>
      <c r="M785" s="65">
        <v>0</v>
      </c>
      <c r="N785" s="64">
        <v>0</v>
      </c>
      <c r="P785">
        <f t="shared" si="49"/>
        <v>916</v>
      </c>
      <c r="Q785" t="str">
        <f t="shared" si="50"/>
        <v>NA</v>
      </c>
      <c r="R785" t="str">
        <f>IF(ISERROR(MATCH(P785&amp;"."&amp;Q785,R$5:R784,0)),P785&amp;"."&amp;Q785,P785&amp;"."&amp;Q785&amp;COUNTIFS(P$5:P784,P785,Q$5:Q784,Q785))</f>
        <v>916.NA1</v>
      </c>
      <c r="S785" s="55">
        <f t="shared" si="51"/>
        <v>0</v>
      </c>
    </row>
    <row r="786" spans="1:19" hidden="1">
      <c r="A786" s="5">
        <v>851</v>
      </c>
      <c r="B786" s="59"/>
      <c r="C786" s="60"/>
      <c r="D786" s="63"/>
      <c r="E786" s="63"/>
      <c r="F786" s="60"/>
      <c r="G786" s="61"/>
      <c r="H786" s="62"/>
      <c r="I786" s="65"/>
      <c r="J786" s="65"/>
      <c r="K786" s="62"/>
      <c r="L786" s="65"/>
      <c r="M786" s="65"/>
      <c r="N786" s="64"/>
      <c r="P786">
        <f t="shared" si="49"/>
        <v>916</v>
      </c>
      <c r="Q786" t="str">
        <f t="shared" si="50"/>
        <v>NA</v>
      </c>
      <c r="R786" t="str">
        <f>IF(ISERROR(MATCH(P786&amp;"."&amp;Q786,R$5:R785,0)),P786&amp;"."&amp;Q786,P786&amp;"."&amp;Q786&amp;COUNTIFS(P$5:P785,P786,Q$5:Q785,Q786))</f>
        <v>916.NA2</v>
      </c>
      <c r="S786" s="55">
        <f t="shared" si="51"/>
        <v>0</v>
      </c>
    </row>
    <row r="787" spans="1:19" hidden="1">
      <c r="A787" s="5">
        <v>852</v>
      </c>
      <c r="B787" s="59"/>
      <c r="C787" s="60" t="s">
        <v>351</v>
      </c>
      <c r="D787" s="63"/>
      <c r="E787" s="63"/>
      <c r="F787" s="63"/>
      <c r="G787" s="63"/>
      <c r="H787" s="62" t="s">
        <v>178</v>
      </c>
      <c r="I787" s="66">
        <v>0</v>
      </c>
      <c r="J787" s="66">
        <v>0</v>
      </c>
      <c r="K787" s="62"/>
      <c r="L787" s="66">
        <v>0</v>
      </c>
      <c r="M787" s="66">
        <v>0</v>
      </c>
      <c r="N787" s="66">
        <v>0</v>
      </c>
      <c r="P787" t="str">
        <f t="shared" si="49"/>
        <v>Total Sales Expense</v>
      </c>
      <c r="Q787" t="str">
        <f t="shared" si="50"/>
        <v>NA</v>
      </c>
      <c r="R787" t="str">
        <f>IF(ISERROR(MATCH(P787&amp;"."&amp;Q787,R$5:R786,0)),P787&amp;"."&amp;Q787,P787&amp;"."&amp;Q787&amp;COUNTIFS(P$5:P786,P787,Q$5:Q786,Q787))</f>
        <v>Total Sales Expense.NA</v>
      </c>
      <c r="S787" s="55">
        <f t="shared" si="51"/>
        <v>0</v>
      </c>
    </row>
    <row r="788" spans="1:19" hidden="1">
      <c r="A788" s="5">
        <v>853</v>
      </c>
      <c r="B788" s="59"/>
      <c r="C788" s="60"/>
      <c r="D788" s="63"/>
      <c r="E788" s="63"/>
      <c r="F788" s="63"/>
      <c r="G788" s="63"/>
      <c r="H788" s="62"/>
      <c r="I788" s="65"/>
      <c r="J788" s="65"/>
      <c r="K788" s="62"/>
      <c r="L788" s="65"/>
      <c r="M788" s="65"/>
      <c r="N788" s="65"/>
      <c r="P788" t="str">
        <f t="shared" si="49"/>
        <v>Total Sales Expense</v>
      </c>
      <c r="Q788" t="str">
        <f t="shared" si="50"/>
        <v>NA</v>
      </c>
      <c r="R788" t="str">
        <f>IF(ISERROR(MATCH(P788&amp;"."&amp;Q788,R$5:R787,0)),P788&amp;"."&amp;Q788,P788&amp;"."&amp;Q788&amp;COUNTIFS(P$5:P787,P788,Q$5:Q787,Q788))</f>
        <v>Total Sales Expense.NA1</v>
      </c>
      <c r="S788" s="55">
        <f t="shared" si="51"/>
        <v>0</v>
      </c>
    </row>
    <row r="789" spans="1:19" hidden="1">
      <c r="A789" s="5">
        <v>854</v>
      </c>
      <c r="B789" s="59"/>
      <c r="C789" s="60"/>
      <c r="D789" s="61"/>
      <c r="E789" s="63"/>
      <c r="F789" s="63"/>
      <c r="G789" s="63"/>
      <c r="H789" s="62"/>
      <c r="I789" s="65"/>
      <c r="J789" s="65"/>
      <c r="K789" s="62"/>
      <c r="L789" s="65"/>
      <c r="M789" s="65"/>
      <c r="N789" s="65"/>
      <c r="P789" t="str">
        <f t="shared" si="49"/>
        <v>Total Sales Expense</v>
      </c>
      <c r="Q789" t="str">
        <f t="shared" si="50"/>
        <v>NA</v>
      </c>
      <c r="R789" t="str">
        <f>IF(ISERROR(MATCH(P789&amp;"."&amp;Q789,R$5:R788,0)),P789&amp;"."&amp;Q789,P789&amp;"."&amp;Q789&amp;COUNTIFS(P$5:P788,P789,Q$5:Q788,Q789))</f>
        <v>Total Sales Expense.NA2</v>
      </c>
      <c r="S789" s="55">
        <f t="shared" si="51"/>
        <v>0</v>
      </c>
    </row>
    <row r="790" spans="1:19" hidden="1">
      <c r="A790" s="5">
        <v>855</v>
      </c>
      <c r="B790" s="59"/>
      <c r="C790" s="60" t="s">
        <v>352</v>
      </c>
      <c r="D790" s="63"/>
      <c r="E790" s="63"/>
      <c r="F790" s="60"/>
      <c r="G790" s="61"/>
      <c r="H790" s="62"/>
      <c r="I790" s="65"/>
      <c r="J790" s="65"/>
      <c r="K790" s="62"/>
      <c r="L790" s="65"/>
      <c r="M790" s="65"/>
      <c r="N790" s="64"/>
      <c r="P790" t="str">
        <f t="shared" si="49"/>
        <v>Total Sales Expense by Factor</v>
      </c>
      <c r="Q790" t="str">
        <f t="shared" si="50"/>
        <v>NA</v>
      </c>
      <c r="R790" t="str">
        <f>IF(ISERROR(MATCH(P790&amp;"."&amp;Q790,R$5:R789,0)),P790&amp;"."&amp;Q790,P790&amp;"."&amp;Q790&amp;COUNTIFS(P$5:P789,P790,Q$5:Q789,Q790))</f>
        <v>Total Sales Expense by Factor.NA</v>
      </c>
      <c r="S790" s="55">
        <f t="shared" si="51"/>
        <v>0</v>
      </c>
    </row>
    <row r="791" spans="1:19" hidden="1">
      <c r="A791" s="5">
        <v>856</v>
      </c>
      <c r="B791" s="59"/>
      <c r="C791" s="60"/>
      <c r="D791" s="63"/>
      <c r="E791" s="63" t="s">
        <v>12</v>
      </c>
      <c r="F791" s="60"/>
      <c r="G791" s="61"/>
      <c r="H791" s="62"/>
      <c r="I791" s="65">
        <v>0</v>
      </c>
      <c r="J791" s="65">
        <v>0</v>
      </c>
      <c r="K791" s="62"/>
      <c r="L791" s="65">
        <v>0</v>
      </c>
      <c r="M791" s="65">
        <v>0</v>
      </c>
      <c r="N791" s="64">
        <v>0</v>
      </c>
      <c r="P791" t="str">
        <f t="shared" si="49"/>
        <v>Total Sales Expense by Factor</v>
      </c>
      <c r="Q791" t="str">
        <f t="shared" si="50"/>
        <v>NA</v>
      </c>
      <c r="R791" t="str">
        <f>IF(ISERROR(MATCH(P791&amp;"."&amp;Q791,R$5:R790,0)),P791&amp;"."&amp;Q791,P791&amp;"."&amp;Q791&amp;COUNTIFS(P$5:P790,P791,Q$5:Q790,Q791))</f>
        <v>Total Sales Expense by Factor.NA1</v>
      </c>
      <c r="S791" s="55">
        <f t="shared" si="51"/>
        <v>0</v>
      </c>
    </row>
    <row r="792" spans="1:19" hidden="1">
      <c r="A792" s="5">
        <v>857</v>
      </c>
      <c r="B792" s="59"/>
      <c r="C792" s="60"/>
      <c r="D792" s="63"/>
      <c r="E792" s="63" t="s">
        <v>155</v>
      </c>
      <c r="F792" s="60"/>
      <c r="G792" s="61"/>
      <c r="H792" s="62"/>
      <c r="I792" s="65">
        <v>0</v>
      </c>
      <c r="J792" s="65">
        <v>0</v>
      </c>
      <c r="K792" s="62"/>
      <c r="L792" s="65">
        <v>0</v>
      </c>
      <c r="M792" s="65">
        <v>0</v>
      </c>
      <c r="N792" s="64">
        <v>0</v>
      </c>
      <c r="P792" t="str">
        <f t="shared" si="49"/>
        <v>Total Sales Expense by Factor</v>
      </c>
      <c r="Q792" t="str">
        <f t="shared" si="50"/>
        <v>NA</v>
      </c>
      <c r="R792" t="str">
        <f>IF(ISERROR(MATCH(P792&amp;"."&amp;Q792,R$5:R791,0)),P792&amp;"."&amp;Q792,P792&amp;"."&amp;Q792&amp;COUNTIFS(P$5:P791,P792,Q$5:Q791,Q792))</f>
        <v>Total Sales Expense by Factor.NA2</v>
      </c>
      <c r="S792" s="55">
        <f t="shared" si="51"/>
        <v>0</v>
      </c>
    </row>
    <row r="793" spans="1:19" hidden="1">
      <c r="A793" s="5">
        <v>858</v>
      </c>
      <c r="B793" s="59"/>
      <c r="C793" s="60" t="s">
        <v>352</v>
      </c>
      <c r="D793" s="63"/>
      <c r="E793" s="63"/>
      <c r="F793" s="63"/>
      <c r="G793" s="63"/>
      <c r="H793" s="62" t="s">
        <v>141</v>
      </c>
      <c r="I793" s="66">
        <v>0</v>
      </c>
      <c r="J793" s="66">
        <v>0</v>
      </c>
      <c r="K793" s="62"/>
      <c r="L793" s="66">
        <v>0</v>
      </c>
      <c r="M793" s="66">
        <v>0</v>
      </c>
      <c r="N793" s="66">
        <v>0</v>
      </c>
      <c r="P793" t="str">
        <f t="shared" si="49"/>
        <v>Total Sales Expense by Factor</v>
      </c>
      <c r="Q793" t="str">
        <f t="shared" si="50"/>
        <v>NA</v>
      </c>
      <c r="R793" t="str">
        <f>IF(ISERROR(MATCH(P793&amp;"."&amp;Q793,R$5:R792,0)),P793&amp;"."&amp;Q793,P793&amp;"."&amp;Q793&amp;COUNTIFS(P$5:P792,P793,Q$5:Q792,Q793))</f>
        <v>Total Sales Expense by Factor.NA3</v>
      </c>
      <c r="S793" s="55">
        <f t="shared" si="51"/>
        <v>0</v>
      </c>
    </row>
    <row r="794" spans="1:19" hidden="1">
      <c r="A794" s="5">
        <v>859</v>
      </c>
      <c r="B794" s="59"/>
      <c r="C794" s="60"/>
      <c r="D794" s="63"/>
      <c r="E794" s="63"/>
      <c r="F794" s="63"/>
      <c r="G794" s="63"/>
      <c r="H794" s="62"/>
      <c r="I794" s="77"/>
      <c r="J794" s="77"/>
      <c r="K794" s="62"/>
      <c r="L794" s="77"/>
      <c r="M794" s="77"/>
      <c r="N794" s="77"/>
      <c r="P794" t="str">
        <f t="shared" si="49"/>
        <v>Total Sales Expense by Factor</v>
      </c>
      <c r="Q794" t="str">
        <f t="shared" si="50"/>
        <v>NA</v>
      </c>
      <c r="R794" t="str">
        <f>IF(ISERROR(MATCH(P794&amp;"."&amp;Q794,R$5:R793,0)),P794&amp;"."&amp;Q794,P794&amp;"."&amp;Q794&amp;COUNTIFS(P$5:P793,P794,Q$5:Q793,Q794))</f>
        <v>Total Sales Expense by Factor.NA4</v>
      </c>
      <c r="S794" s="55">
        <f t="shared" si="51"/>
        <v>0</v>
      </c>
    </row>
    <row r="795" spans="1:19" hidden="1">
      <c r="A795" s="5">
        <v>860</v>
      </c>
      <c r="B795" s="59"/>
      <c r="C795" s="60" t="s">
        <v>353</v>
      </c>
      <c r="D795" s="61"/>
      <c r="E795" s="63"/>
      <c r="F795" s="63"/>
      <c r="G795" s="63"/>
      <c r="H795" s="62" t="s">
        <v>178</v>
      </c>
      <c r="I795" s="65">
        <v>101544683.09</v>
      </c>
      <c r="J795" s="65">
        <v>6511448.7760719713</v>
      </c>
      <c r="K795" s="62"/>
      <c r="L795" s="65">
        <v>104389490.66972065</v>
      </c>
      <c r="M795" s="65">
        <v>97383315.760048032</v>
      </c>
      <c r="N795" s="65">
        <v>7006174.9096726142</v>
      </c>
      <c r="P795" t="str">
        <f t="shared" si="49"/>
        <v>Total Customer Service Exp Including Sales</v>
      </c>
      <c r="Q795" t="str">
        <f t="shared" si="50"/>
        <v>NA</v>
      </c>
      <c r="R795" t="str">
        <f>IF(ISERROR(MATCH(P795&amp;"."&amp;Q795,R$5:R794,0)),P795&amp;"."&amp;Q795,P795&amp;"."&amp;Q795&amp;COUNTIFS(P$5:P794,P795,Q$5:Q794,Q795))</f>
        <v>Total Customer Service Exp Including Sales.NA</v>
      </c>
      <c r="S795" s="55">
        <f t="shared" si="51"/>
        <v>7006174.9096726142</v>
      </c>
    </row>
    <row r="796" spans="1:19" hidden="1">
      <c r="A796" s="5">
        <v>861</v>
      </c>
      <c r="B796" s="59"/>
      <c r="C796" s="60">
        <v>920</v>
      </c>
      <c r="D796" s="63" t="s">
        <v>354</v>
      </c>
      <c r="E796" s="63"/>
      <c r="F796" s="60"/>
      <c r="G796" s="61"/>
      <c r="H796" s="62"/>
      <c r="I796" s="65"/>
      <c r="J796" s="65"/>
      <c r="K796" s="62"/>
      <c r="L796" s="65"/>
      <c r="M796" s="65"/>
      <c r="N796" s="64"/>
      <c r="P796">
        <f t="shared" si="49"/>
        <v>920</v>
      </c>
      <c r="Q796" t="str">
        <f t="shared" si="50"/>
        <v>NA</v>
      </c>
      <c r="R796" t="str">
        <f>IF(ISERROR(MATCH(P796&amp;"."&amp;Q796,R$5:R795,0)),P796&amp;"."&amp;Q796,P796&amp;"."&amp;Q796&amp;COUNTIFS(P$5:P795,P796,Q$5:Q795,Q796))</f>
        <v>920.NA</v>
      </c>
      <c r="S796" s="55">
        <f t="shared" si="51"/>
        <v>0</v>
      </c>
    </row>
    <row r="797" spans="1:19" hidden="1">
      <c r="A797" s="5">
        <v>862</v>
      </c>
      <c r="B797" s="59"/>
      <c r="C797" s="60"/>
      <c r="D797" s="63"/>
      <c r="E797" s="63"/>
      <c r="F797" s="60" t="s">
        <v>171</v>
      </c>
      <c r="G797" s="61" t="s">
        <v>12</v>
      </c>
      <c r="H797" s="62"/>
      <c r="I797" s="65">
        <v>15.11</v>
      </c>
      <c r="J797" s="65">
        <v>0</v>
      </c>
      <c r="K797" s="62"/>
      <c r="L797" s="65">
        <v>2471.7036785542055</v>
      </c>
      <c r="M797" s="65">
        <v>2097.4652725041037</v>
      </c>
      <c r="N797" s="64">
        <v>374.23840605010184</v>
      </c>
      <c r="P797">
        <f t="shared" si="49"/>
        <v>920</v>
      </c>
      <c r="Q797" t="str">
        <f t="shared" si="50"/>
        <v>S</v>
      </c>
      <c r="R797" t="str">
        <f>IF(ISERROR(MATCH(P797&amp;"."&amp;Q797,R$5:R796,0)),P797&amp;"."&amp;Q797,P797&amp;"."&amp;Q797&amp;COUNTIFS(P$5:P796,P797,Q$5:Q796,Q797))</f>
        <v>920.S</v>
      </c>
      <c r="S797" s="55">
        <f t="shared" si="51"/>
        <v>374.23840605010184</v>
      </c>
    </row>
    <row r="798" spans="1:19" hidden="1">
      <c r="A798" s="5">
        <v>863</v>
      </c>
      <c r="B798" s="59"/>
      <c r="C798" s="60"/>
      <c r="D798" s="63"/>
      <c r="E798" s="63"/>
      <c r="F798" s="60" t="s">
        <v>149</v>
      </c>
      <c r="G798" s="61" t="s">
        <v>155</v>
      </c>
      <c r="H798" s="62"/>
      <c r="I798" s="65">
        <v>0</v>
      </c>
      <c r="J798" s="65">
        <v>0</v>
      </c>
      <c r="K798" s="62"/>
      <c r="L798" s="65">
        <v>0</v>
      </c>
      <c r="M798" s="65">
        <v>0</v>
      </c>
      <c r="N798" s="64">
        <v>0</v>
      </c>
      <c r="P798">
        <f t="shared" si="49"/>
        <v>920</v>
      </c>
      <c r="Q798" t="str">
        <f t="shared" si="50"/>
        <v>CN</v>
      </c>
      <c r="R798" t="str">
        <f>IF(ISERROR(MATCH(P798&amp;"."&amp;Q798,R$5:R797,0)),P798&amp;"."&amp;Q798,P798&amp;"."&amp;Q798&amp;COUNTIFS(P$5:P797,P798,Q$5:Q797,Q798))</f>
        <v>920.CN</v>
      </c>
      <c r="S798" s="55">
        <f t="shared" si="51"/>
        <v>0</v>
      </c>
    </row>
    <row r="799" spans="1:19" hidden="1">
      <c r="A799" s="5">
        <v>864</v>
      </c>
      <c r="B799" s="59"/>
      <c r="C799" s="60"/>
      <c r="D799" s="63"/>
      <c r="E799" s="63"/>
      <c r="F799" s="63" t="s">
        <v>171</v>
      </c>
      <c r="G799" s="63" t="s">
        <v>136</v>
      </c>
      <c r="H799" s="62"/>
      <c r="I799" s="66">
        <v>76578643.400000006</v>
      </c>
      <c r="J799" s="66">
        <v>33234005.980154585</v>
      </c>
      <c r="K799" s="62"/>
      <c r="L799" s="66">
        <v>84695697.999911055</v>
      </c>
      <c r="M799" s="66">
        <v>47688318.952225529</v>
      </c>
      <c r="N799" s="66">
        <v>37007379.047685526</v>
      </c>
      <c r="P799">
        <f t="shared" si="49"/>
        <v>920</v>
      </c>
      <c r="Q799" t="str">
        <f t="shared" si="50"/>
        <v>SO</v>
      </c>
      <c r="R799" t="str">
        <f>IF(ISERROR(MATCH(P799&amp;"."&amp;Q799,R$5:R798,0)),P799&amp;"."&amp;Q799,P799&amp;"."&amp;Q799&amp;COUNTIFS(P$5:P798,P799,Q$5:Q798,Q799))</f>
        <v>920.SO</v>
      </c>
      <c r="S799" s="55">
        <f t="shared" si="51"/>
        <v>37007379.047685526</v>
      </c>
    </row>
    <row r="800" spans="1:19" hidden="1">
      <c r="A800" s="5">
        <v>865</v>
      </c>
      <c r="B800" s="59"/>
      <c r="C800" s="60"/>
      <c r="D800" s="63"/>
      <c r="E800" s="63"/>
      <c r="F800" s="63"/>
      <c r="G800" s="63"/>
      <c r="H800" s="62" t="s">
        <v>178</v>
      </c>
      <c r="I800" s="65">
        <v>76578658.510000005</v>
      </c>
      <c r="J800" s="65">
        <v>33234005.980154585</v>
      </c>
      <c r="K800" s="62"/>
      <c r="L800" s="65">
        <v>84698169.703589603</v>
      </c>
      <c r="M800" s="65">
        <v>47690416.41749803</v>
      </c>
      <c r="N800" s="65">
        <v>37007753.286091574</v>
      </c>
      <c r="P800">
        <f t="shared" si="49"/>
        <v>920</v>
      </c>
      <c r="Q800" t="str">
        <f t="shared" si="50"/>
        <v>NA</v>
      </c>
      <c r="R800" t="str">
        <f>IF(ISERROR(MATCH(P800&amp;"."&amp;Q800,R$5:R799,0)),P800&amp;"."&amp;Q800,P800&amp;"."&amp;Q800&amp;COUNTIFS(P$5:P799,P800,Q$5:Q799,Q800))</f>
        <v>920.NA1</v>
      </c>
      <c r="S800" s="55">
        <f t="shared" si="51"/>
        <v>37007753.286091574</v>
      </c>
    </row>
    <row r="801" spans="1:19" hidden="1">
      <c r="A801" s="5">
        <v>866</v>
      </c>
      <c r="B801" s="59"/>
      <c r="C801" s="60"/>
      <c r="D801" s="61"/>
      <c r="E801" s="63"/>
      <c r="F801" s="63"/>
      <c r="G801" s="63"/>
      <c r="H801" s="62"/>
      <c r="I801" s="65"/>
      <c r="J801" s="65"/>
      <c r="K801" s="62"/>
      <c r="L801" s="65"/>
      <c r="M801" s="65"/>
      <c r="N801" s="65"/>
      <c r="P801">
        <f t="shared" si="49"/>
        <v>920</v>
      </c>
      <c r="Q801" t="str">
        <f t="shared" si="50"/>
        <v>NA</v>
      </c>
      <c r="R801" t="str">
        <f>IF(ISERROR(MATCH(P801&amp;"."&amp;Q801,R$5:R800,0)),P801&amp;"."&amp;Q801,P801&amp;"."&amp;Q801&amp;COUNTIFS(P$5:P800,P801,Q$5:Q800,Q801))</f>
        <v>920.NA2</v>
      </c>
      <c r="S801" s="55">
        <f t="shared" si="51"/>
        <v>0</v>
      </c>
    </row>
    <row r="802" spans="1:19" hidden="1">
      <c r="A802" s="5">
        <v>867</v>
      </c>
      <c r="B802" s="59"/>
      <c r="C802" s="60">
        <v>921</v>
      </c>
      <c r="D802" s="63" t="s">
        <v>355</v>
      </c>
      <c r="E802" s="63"/>
      <c r="F802" s="60"/>
      <c r="G802" s="61"/>
      <c r="H802" s="62"/>
      <c r="I802" s="65"/>
      <c r="J802" s="65"/>
      <c r="K802" s="62"/>
      <c r="L802" s="65"/>
      <c r="M802" s="65"/>
      <c r="N802" s="64"/>
      <c r="P802">
        <f t="shared" si="49"/>
        <v>921</v>
      </c>
      <c r="Q802" t="str">
        <f t="shared" si="50"/>
        <v>NA</v>
      </c>
      <c r="R802" t="str">
        <f>IF(ISERROR(MATCH(P802&amp;"."&amp;Q802,R$5:R801,0)),P802&amp;"."&amp;Q802,P802&amp;"."&amp;Q802&amp;COUNTIFS(P$5:P801,P802,Q$5:Q801,Q802))</f>
        <v>921.NA</v>
      </c>
      <c r="S802" s="55">
        <f t="shared" si="51"/>
        <v>0</v>
      </c>
    </row>
    <row r="803" spans="1:19" hidden="1">
      <c r="A803" s="5">
        <v>868</v>
      </c>
      <c r="B803" s="59"/>
      <c r="C803" s="60"/>
      <c r="D803" s="63"/>
      <c r="E803" s="63"/>
      <c r="F803" s="60" t="s">
        <v>171</v>
      </c>
      <c r="G803" s="61" t="s">
        <v>12</v>
      </c>
      <c r="H803" s="62"/>
      <c r="I803" s="65">
        <v>253210.88999999998</v>
      </c>
      <c r="J803" s="65">
        <v>123656.78</v>
      </c>
      <c r="K803" s="62"/>
      <c r="L803" s="65">
        <v>259700.22230760331</v>
      </c>
      <c r="M803" s="65">
        <v>132874.34504836536</v>
      </c>
      <c r="N803" s="64">
        <v>126825.87725923794</v>
      </c>
      <c r="P803">
        <f t="shared" si="49"/>
        <v>921</v>
      </c>
      <c r="Q803" t="str">
        <f t="shared" si="50"/>
        <v>S</v>
      </c>
      <c r="R803" t="str">
        <f>IF(ISERROR(MATCH(P803&amp;"."&amp;Q803,R$5:R802,0)),P803&amp;"."&amp;Q803,P803&amp;"."&amp;Q803&amp;COUNTIFS(P$5:P802,P803,Q$5:Q802,Q803))</f>
        <v>921.S</v>
      </c>
      <c r="S803" s="55">
        <f t="shared" si="51"/>
        <v>126825.87725923794</v>
      </c>
    </row>
    <row r="804" spans="1:19" hidden="1">
      <c r="A804" s="5">
        <v>869</v>
      </c>
      <c r="B804" s="59"/>
      <c r="C804" s="60"/>
      <c r="D804" s="63"/>
      <c r="E804" s="63"/>
      <c r="F804" s="60" t="s">
        <v>149</v>
      </c>
      <c r="G804" s="61" t="s">
        <v>155</v>
      </c>
      <c r="H804" s="62"/>
      <c r="I804" s="65">
        <v>86951.99</v>
      </c>
      <c r="J804" s="65">
        <v>41571.220897641193</v>
      </c>
      <c r="K804" s="62"/>
      <c r="L804" s="65">
        <v>89180.410578267401</v>
      </c>
      <c r="M804" s="65">
        <v>46543.795270308474</v>
      </c>
      <c r="N804" s="64">
        <v>42636.615307958928</v>
      </c>
      <c r="P804">
        <f t="shared" si="49"/>
        <v>921</v>
      </c>
      <c r="Q804" t="str">
        <f t="shared" si="50"/>
        <v>CN</v>
      </c>
      <c r="R804" t="str">
        <f>IF(ISERROR(MATCH(P804&amp;"."&amp;Q804,R$5:R803,0)),P804&amp;"."&amp;Q804,P804&amp;"."&amp;Q804&amp;COUNTIFS(P$5:P803,P804,Q$5:Q803,Q804))</f>
        <v>921.CN</v>
      </c>
      <c r="S804" s="55">
        <f t="shared" si="51"/>
        <v>42636.615307958928</v>
      </c>
    </row>
    <row r="805" spans="1:19" hidden="1">
      <c r="A805" s="5">
        <v>870</v>
      </c>
      <c r="B805" s="59"/>
      <c r="C805" s="60"/>
      <c r="D805" s="63"/>
      <c r="E805" s="63"/>
      <c r="F805" s="63" t="s">
        <v>171</v>
      </c>
      <c r="G805" s="63" t="s">
        <v>136</v>
      </c>
      <c r="H805" s="62"/>
      <c r="I805" s="66">
        <v>9254191.5700000003</v>
      </c>
      <c r="J805" s="66">
        <v>4016183.1592184636</v>
      </c>
      <c r="K805" s="62"/>
      <c r="L805" s="66">
        <v>11032918.639340576</v>
      </c>
      <c r="M805" s="66">
        <v>6212137.7528216364</v>
      </c>
      <c r="N805" s="66">
        <v>4820780.8865189394</v>
      </c>
      <c r="P805">
        <f t="shared" si="49"/>
        <v>921</v>
      </c>
      <c r="Q805" t="str">
        <f t="shared" si="50"/>
        <v>SO</v>
      </c>
      <c r="R805" t="str">
        <f>IF(ISERROR(MATCH(P805&amp;"."&amp;Q805,R$5:R804,0)),P805&amp;"."&amp;Q805,P805&amp;"."&amp;Q805&amp;COUNTIFS(P$5:P804,P805,Q$5:Q804,Q805))</f>
        <v>921.SO</v>
      </c>
      <c r="S805" s="55">
        <f t="shared" si="51"/>
        <v>4820780.8865189394</v>
      </c>
    </row>
    <row r="806" spans="1:19" hidden="1">
      <c r="A806" s="5">
        <v>871</v>
      </c>
      <c r="B806" s="59"/>
      <c r="C806" s="60"/>
      <c r="D806" s="63"/>
      <c r="E806" s="63"/>
      <c r="F806" s="63"/>
      <c r="G806" s="63"/>
      <c r="H806" s="62" t="s">
        <v>178</v>
      </c>
      <c r="I806" s="77">
        <v>9594354.4500000011</v>
      </c>
      <c r="J806" s="77">
        <v>4181411.1601161049</v>
      </c>
      <c r="K806" s="62"/>
      <c r="L806" s="77">
        <v>11381799.272226447</v>
      </c>
      <c r="M806" s="65">
        <v>6391555.8931403104</v>
      </c>
      <c r="N806" s="65">
        <v>4990243.3790861359</v>
      </c>
      <c r="P806">
        <f t="shared" si="49"/>
        <v>921</v>
      </c>
      <c r="Q806" t="str">
        <f t="shared" si="50"/>
        <v>NA</v>
      </c>
      <c r="R806" t="str">
        <f>IF(ISERROR(MATCH(P806&amp;"."&amp;Q806,R$5:R805,0)),P806&amp;"."&amp;Q806,P806&amp;"."&amp;Q806&amp;COUNTIFS(P$5:P805,P806,Q$5:Q805,Q806))</f>
        <v>921.NA1</v>
      </c>
      <c r="S806" s="55">
        <f t="shared" si="51"/>
        <v>4990243.3790861359</v>
      </c>
    </row>
    <row r="807" spans="1:19" hidden="1">
      <c r="A807" s="5">
        <v>872</v>
      </c>
      <c r="B807" s="59"/>
      <c r="C807" s="60"/>
      <c r="D807" s="61"/>
      <c r="E807" s="63"/>
      <c r="F807" s="63"/>
      <c r="G807" s="63"/>
      <c r="H807" s="62"/>
      <c r="I807" s="65"/>
      <c r="J807" s="65"/>
      <c r="K807" s="62"/>
      <c r="L807" s="65"/>
      <c r="M807" s="65"/>
      <c r="N807" s="65"/>
      <c r="P807">
        <f t="shared" si="49"/>
        <v>921</v>
      </c>
      <c r="Q807" t="str">
        <f t="shared" si="50"/>
        <v>NA</v>
      </c>
      <c r="R807" t="str">
        <f>IF(ISERROR(MATCH(P807&amp;"."&amp;Q807,R$5:R806,0)),P807&amp;"."&amp;Q807,P807&amp;"."&amp;Q807&amp;COUNTIFS(P$5:P806,P807,Q$5:Q806,Q807))</f>
        <v>921.NA2</v>
      </c>
      <c r="S807" s="55">
        <f t="shared" si="51"/>
        <v>0</v>
      </c>
    </row>
    <row r="808" spans="1:19" hidden="1">
      <c r="A808" s="5">
        <v>873</v>
      </c>
      <c r="B808" s="59"/>
      <c r="C808" s="60">
        <v>922</v>
      </c>
      <c r="D808" s="63" t="s">
        <v>356</v>
      </c>
      <c r="E808" s="63"/>
      <c r="F808" s="60"/>
      <c r="G808" s="61"/>
      <c r="H808" s="62"/>
      <c r="I808" s="65"/>
      <c r="J808" s="65"/>
      <c r="K808" s="62"/>
      <c r="L808" s="65"/>
      <c r="M808" s="65"/>
      <c r="N808" s="64"/>
      <c r="P808">
        <f t="shared" si="49"/>
        <v>922</v>
      </c>
      <c r="Q808" t="str">
        <f t="shared" si="50"/>
        <v>NA</v>
      </c>
      <c r="R808" t="str">
        <f>IF(ISERROR(MATCH(P808&amp;"."&amp;Q808,R$5:R807,0)),P808&amp;"."&amp;Q808,P808&amp;"."&amp;Q808&amp;COUNTIFS(P$5:P807,P808,Q$5:Q807,Q808))</f>
        <v>922.NA</v>
      </c>
      <c r="S808" s="55">
        <f t="shared" si="51"/>
        <v>0</v>
      </c>
    </row>
    <row r="809" spans="1:19" hidden="1">
      <c r="A809" s="5">
        <v>874</v>
      </c>
      <c r="B809" s="59"/>
      <c r="C809" s="60"/>
      <c r="D809" s="63"/>
      <c r="E809" s="63"/>
      <c r="F809" s="60" t="s">
        <v>171</v>
      </c>
      <c r="G809" s="61" t="s">
        <v>12</v>
      </c>
      <c r="H809" s="62"/>
      <c r="I809" s="65">
        <v>0</v>
      </c>
      <c r="J809" s="65">
        <v>0</v>
      </c>
      <c r="K809" s="62"/>
      <c r="L809" s="65">
        <v>0</v>
      </c>
      <c r="M809" s="65">
        <v>0</v>
      </c>
      <c r="N809" s="64">
        <v>0</v>
      </c>
      <c r="P809">
        <f t="shared" si="49"/>
        <v>922</v>
      </c>
      <c r="Q809" t="str">
        <f t="shared" si="50"/>
        <v>S</v>
      </c>
      <c r="R809" t="str">
        <f>IF(ISERROR(MATCH(P809&amp;"."&amp;Q809,R$5:R808,0)),P809&amp;"."&amp;Q809,P809&amp;"."&amp;Q809&amp;COUNTIFS(P$5:P808,P809,Q$5:Q808,Q809))</f>
        <v>922.S</v>
      </c>
      <c r="S809" s="55">
        <f t="shared" si="51"/>
        <v>0</v>
      </c>
    </row>
    <row r="810" spans="1:19" hidden="1">
      <c r="A810" s="5">
        <v>875</v>
      </c>
      <c r="B810" s="59"/>
      <c r="C810" s="60"/>
      <c r="D810" s="63"/>
      <c r="E810" s="63"/>
      <c r="F810" s="63" t="s">
        <v>149</v>
      </c>
      <c r="G810" s="63" t="s">
        <v>155</v>
      </c>
      <c r="H810" s="62"/>
      <c r="I810" s="66">
        <v>0</v>
      </c>
      <c r="J810" s="66">
        <v>0</v>
      </c>
      <c r="K810" s="62"/>
      <c r="L810" s="66">
        <v>0</v>
      </c>
      <c r="M810" s="66">
        <v>0</v>
      </c>
      <c r="N810" s="66">
        <v>0</v>
      </c>
      <c r="P810">
        <f t="shared" si="49"/>
        <v>922</v>
      </c>
      <c r="Q810" t="str">
        <f t="shared" si="50"/>
        <v>CN</v>
      </c>
      <c r="R810" t="str">
        <f>IF(ISERROR(MATCH(P810&amp;"."&amp;Q810,R$5:R809,0)),P810&amp;"."&amp;Q810,P810&amp;"."&amp;Q810&amp;COUNTIFS(P$5:P809,P810,Q$5:Q809,Q810))</f>
        <v>922.CN</v>
      </c>
      <c r="S810" s="55">
        <f t="shared" si="51"/>
        <v>0</v>
      </c>
    </row>
    <row r="811" spans="1:19" hidden="1">
      <c r="A811" s="5">
        <v>876</v>
      </c>
      <c r="B811" s="59"/>
      <c r="C811" s="60"/>
      <c r="D811" s="63"/>
      <c r="E811" s="63"/>
      <c r="F811" s="63" t="s">
        <v>171</v>
      </c>
      <c r="G811" s="63" t="s">
        <v>136</v>
      </c>
      <c r="H811" s="62"/>
      <c r="I811" s="65">
        <v>-34578090.979999997</v>
      </c>
      <c r="J811" s="65">
        <v>-15006383.390850838</v>
      </c>
      <c r="K811" s="62"/>
      <c r="L811" s="65">
        <v>-37511246.14704591</v>
      </c>
      <c r="M811" s="65">
        <v>-21120887.043845423</v>
      </c>
      <c r="N811" s="65">
        <v>-16390359.103200486</v>
      </c>
      <c r="P811">
        <f t="shared" si="49"/>
        <v>922</v>
      </c>
      <c r="Q811" t="str">
        <f t="shared" si="50"/>
        <v>SO</v>
      </c>
      <c r="R811" t="str">
        <f>IF(ISERROR(MATCH(P811&amp;"."&amp;Q811,R$5:R810,0)),P811&amp;"."&amp;Q811,P811&amp;"."&amp;Q811&amp;COUNTIFS(P$5:P810,P811,Q$5:Q810,Q811))</f>
        <v>922.SO</v>
      </c>
      <c r="S811" s="55">
        <f t="shared" si="51"/>
        <v>-16390359.103200486</v>
      </c>
    </row>
    <row r="812" spans="1:19" hidden="1">
      <c r="A812" s="5">
        <v>877</v>
      </c>
      <c r="B812" s="59"/>
      <c r="C812" s="60"/>
      <c r="D812" s="61"/>
      <c r="E812" s="63"/>
      <c r="F812" s="63"/>
      <c r="G812" s="63"/>
      <c r="H812" s="62" t="s">
        <v>178</v>
      </c>
      <c r="I812" s="65">
        <v>-34578090.979999997</v>
      </c>
      <c r="J812" s="65">
        <v>-15006383.390850838</v>
      </c>
      <c r="K812" s="62"/>
      <c r="L812" s="65">
        <v>-37511246.14704591</v>
      </c>
      <c r="M812" s="65">
        <v>-21120887.043845423</v>
      </c>
      <c r="N812" s="65">
        <v>-16390359.103200486</v>
      </c>
      <c r="P812">
        <f t="shared" si="49"/>
        <v>922</v>
      </c>
      <c r="Q812" t="str">
        <f t="shared" si="50"/>
        <v>NA</v>
      </c>
      <c r="R812" t="str">
        <f>IF(ISERROR(MATCH(P812&amp;"."&amp;Q812,R$5:R811,0)),P812&amp;"."&amp;Q812,P812&amp;"."&amp;Q812&amp;COUNTIFS(P$5:P811,P812,Q$5:Q811,Q812))</f>
        <v>922.NA1</v>
      </c>
      <c r="S812" s="55">
        <f t="shared" si="51"/>
        <v>-16390359.103200486</v>
      </c>
    </row>
    <row r="813" spans="1:19" hidden="1">
      <c r="A813" s="5">
        <v>878</v>
      </c>
      <c r="B813" s="59"/>
      <c r="C813" s="60"/>
      <c r="D813" s="63"/>
      <c r="E813" s="63"/>
      <c r="F813" s="60"/>
      <c r="G813" s="61"/>
      <c r="H813" s="62"/>
      <c r="I813" s="65"/>
      <c r="J813" s="65"/>
      <c r="K813" s="62"/>
      <c r="L813" s="65"/>
      <c r="M813" s="65"/>
      <c r="N813" s="64"/>
      <c r="P813">
        <f t="shared" si="49"/>
        <v>922</v>
      </c>
      <c r="Q813" t="str">
        <f t="shared" si="50"/>
        <v>NA</v>
      </c>
      <c r="R813" t="str">
        <f>IF(ISERROR(MATCH(P813&amp;"."&amp;Q813,R$5:R812,0)),P813&amp;"."&amp;Q813,P813&amp;"."&amp;Q813&amp;COUNTIFS(P$5:P812,P813,Q$5:Q812,Q813))</f>
        <v>922.NA2</v>
      </c>
      <c r="S813" s="55">
        <f t="shared" si="51"/>
        <v>0</v>
      </c>
    </row>
    <row r="814" spans="1:19" hidden="1">
      <c r="A814" s="5">
        <v>879</v>
      </c>
      <c r="B814" s="59"/>
      <c r="C814" s="60">
        <v>923</v>
      </c>
      <c r="D814" s="63" t="s">
        <v>357</v>
      </c>
      <c r="E814" s="63"/>
      <c r="F814" s="60"/>
      <c r="G814" s="61"/>
      <c r="H814" s="62"/>
      <c r="I814" s="65"/>
      <c r="J814" s="65"/>
      <c r="K814" s="62"/>
      <c r="L814" s="65"/>
      <c r="M814" s="65"/>
      <c r="N814" s="64"/>
      <c r="P814">
        <f t="shared" si="49"/>
        <v>923</v>
      </c>
      <c r="Q814" t="str">
        <f t="shared" si="50"/>
        <v>NA</v>
      </c>
      <c r="R814" t="str">
        <f>IF(ISERROR(MATCH(P814&amp;"."&amp;Q814,R$5:R813,0)),P814&amp;"."&amp;Q814,P814&amp;"."&amp;Q814&amp;COUNTIFS(P$5:P813,P814,Q$5:Q813,Q814))</f>
        <v>923.NA</v>
      </c>
      <c r="S814" s="55">
        <f t="shared" si="51"/>
        <v>0</v>
      </c>
    </row>
    <row r="815" spans="1:19" hidden="1">
      <c r="A815" s="5">
        <v>880</v>
      </c>
      <c r="B815" s="59"/>
      <c r="C815" s="60"/>
      <c r="D815" s="63"/>
      <c r="E815" s="63"/>
      <c r="F815" s="60" t="s">
        <v>171</v>
      </c>
      <c r="G815" s="61" t="s">
        <v>12</v>
      </c>
      <c r="H815" s="62"/>
      <c r="I815" s="65">
        <v>1671719.9900000002</v>
      </c>
      <c r="J815" s="65">
        <v>1258081.48</v>
      </c>
      <c r="K815" s="62"/>
      <c r="L815" s="65">
        <v>1732105.0824646661</v>
      </c>
      <c r="M815" s="65">
        <v>428579.76799937151</v>
      </c>
      <c r="N815" s="64">
        <v>1303525.3144652946</v>
      </c>
      <c r="P815">
        <f t="shared" si="49"/>
        <v>923</v>
      </c>
      <c r="Q815" t="str">
        <f t="shared" si="50"/>
        <v>S</v>
      </c>
      <c r="R815" t="str">
        <f>IF(ISERROR(MATCH(P815&amp;"."&amp;Q815,R$5:R814,0)),P815&amp;"."&amp;Q815,P815&amp;"."&amp;Q815&amp;COUNTIFS(P$5:P814,P815,Q$5:Q814,Q815))</f>
        <v>923.S</v>
      </c>
      <c r="S815" s="55">
        <f t="shared" si="51"/>
        <v>1303525.3144652946</v>
      </c>
    </row>
    <row r="816" spans="1:19" hidden="1">
      <c r="A816" s="5">
        <v>881</v>
      </c>
      <c r="B816" s="59"/>
      <c r="C816" s="60"/>
      <c r="D816" s="63"/>
      <c r="E816" s="63"/>
      <c r="F816" s="63" t="s">
        <v>149</v>
      </c>
      <c r="G816" s="63" t="s">
        <v>155</v>
      </c>
      <c r="H816" s="62"/>
      <c r="I816" s="66">
        <v>0</v>
      </c>
      <c r="J816" s="66">
        <v>0</v>
      </c>
      <c r="K816" s="62"/>
      <c r="L816" s="66">
        <v>0</v>
      </c>
      <c r="M816" s="66">
        <v>0</v>
      </c>
      <c r="N816" s="66">
        <v>0</v>
      </c>
      <c r="P816">
        <f t="shared" si="49"/>
        <v>923</v>
      </c>
      <c r="Q816" t="str">
        <f t="shared" si="50"/>
        <v>CN</v>
      </c>
      <c r="R816" t="str">
        <f>IF(ISERROR(MATCH(P816&amp;"."&amp;Q816,R$5:R815,0)),P816&amp;"."&amp;Q816,P816&amp;"."&amp;Q816&amp;COUNTIFS(P$5:P815,P816,Q$5:Q815,Q816))</f>
        <v>923.CN</v>
      </c>
      <c r="S816" s="55">
        <f t="shared" si="51"/>
        <v>0</v>
      </c>
    </row>
    <row r="817" spans="1:19" hidden="1">
      <c r="A817" s="5">
        <v>882</v>
      </c>
      <c r="B817" s="59"/>
      <c r="C817" s="60"/>
      <c r="D817" s="63"/>
      <c r="E817" s="63"/>
      <c r="F817" s="63" t="s">
        <v>171</v>
      </c>
      <c r="G817" s="63" t="s">
        <v>136</v>
      </c>
      <c r="H817" s="62"/>
      <c r="I817" s="65">
        <v>20368325</v>
      </c>
      <c r="J817" s="65">
        <v>8839553.7554760613</v>
      </c>
      <c r="K817" s="62"/>
      <c r="L817" s="65">
        <v>21104060.168468833</v>
      </c>
      <c r="M817" s="65">
        <v>11882742.291136878</v>
      </c>
      <c r="N817" s="65">
        <v>9221317.8773319554</v>
      </c>
      <c r="P817">
        <f t="shared" si="49"/>
        <v>923</v>
      </c>
      <c r="Q817" t="str">
        <f t="shared" si="50"/>
        <v>SO</v>
      </c>
      <c r="R817" t="str">
        <f>IF(ISERROR(MATCH(P817&amp;"."&amp;Q817,R$5:R816,0)),P817&amp;"."&amp;Q817,P817&amp;"."&amp;Q817&amp;COUNTIFS(P$5:P816,P817,Q$5:Q816,Q817))</f>
        <v>923.SO</v>
      </c>
      <c r="S817" s="55">
        <f t="shared" si="51"/>
        <v>9221317.8773319554</v>
      </c>
    </row>
    <row r="818" spans="1:19" hidden="1">
      <c r="A818" s="5">
        <v>883</v>
      </c>
      <c r="B818" s="59"/>
      <c r="C818" s="60"/>
      <c r="D818" s="61"/>
      <c r="E818" s="63"/>
      <c r="F818" s="63"/>
      <c r="G818" s="63"/>
      <c r="H818" s="62" t="s">
        <v>178</v>
      </c>
      <c r="I818" s="65">
        <v>22040044.990000002</v>
      </c>
      <c r="J818" s="65">
        <v>10097635.235476062</v>
      </c>
      <c r="K818" s="62"/>
      <c r="L818" s="65">
        <v>22836165.250933498</v>
      </c>
      <c r="M818" s="65">
        <v>12311322.059136249</v>
      </c>
      <c r="N818" s="65">
        <v>10524843.191797249</v>
      </c>
      <c r="P818">
        <f t="shared" si="49"/>
        <v>923</v>
      </c>
      <c r="Q818" t="str">
        <f t="shared" si="50"/>
        <v>NA</v>
      </c>
      <c r="R818" t="str">
        <f>IF(ISERROR(MATCH(P818&amp;"."&amp;Q818,R$5:R817,0)),P818&amp;"."&amp;Q818,P818&amp;"."&amp;Q818&amp;COUNTIFS(P$5:P817,P818,Q$5:Q817,Q818))</f>
        <v>923.NA1</v>
      </c>
      <c r="S818" s="55">
        <f t="shared" si="51"/>
        <v>10524843.191797249</v>
      </c>
    </row>
    <row r="819" spans="1:19" hidden="1">
      <c r="A819" s="5">
        <v>884</v>
      </c>
      <c r="B819" s="59"/>
      <c r="C819" s="60"/>
      <c r="D819" s="63"/>
      <c r="E819" s="63"/>
      <c r="F819" s="60"/>
      <c r="G819" s="61"/>
      <c r="H819" s="62"/>
      <c r="I819" s="65"/>
      <c r="J819" s="65"/>
      <c r="K819" s="62"/>
      <c r="L819" s="65"/>
      <c r="M819" s="65"/>
      <c r="N819" s="64"/>
      <c r="P819">
        <f t="shared" si="49"/>
        <v>923</v>
      </c>
      <c r="Q819" t="str">
        <f t="shared" si="50"/>
        <v>NA</v>
      </c>
      <c r="R819" t="str">
        <f>IF(ISERROR(MATCH(P819&amp;"."&amp;Q819,R$5:R818,0)),P819&amp;"."&amp;Q819,P819&amp;"."&amp;Q819&amp;COUNTIFS(P$5:P818,P819,Q$5:Q818,Q819))</f>
        <v>923.NA2</v>
      </c>
      <c r="S819" s="55">
        <f t="shared" si="51"/>
        <v>0</v>
      </c>
    </row>
    <row r="820" spans="1:19" hidden="1">
      <c r="A820" s="5">
        <v>885</v>
      </c>
      <c r="B820" s="59"/>
      <c r="C820" s="60">
        <v>924</v>
      </c>
      <c r="D820" s="63" t="s">
        <v>358</v>
      </c>
      <c r="E820" s="63"/>
      <c r="F820" s="60"/>
      <c r="G820" s="61"/>
      <c r="H820" s="62"/>
      <c r="I820" s="65"/>
      <c r="J820" s="65"/>
      <c r="K820" s="62"/>
      <c r="L820" s="65"/>
      <c r="M820" s="65"/>
      <c r="N820" s="64"/>
      <c r="P820">
        <f t="shared" si="49"/>
        <v>924</v>
      </c>
      <c r="Q820" t="str">
        <f t="shared" si="50"/>
        <v>NA</v>
      </c>
      <c r="R820" t="str">
        <f>IF(ISERROR(MATCH(P820&amp;"."&amp;Q820,R$5:R819,0)),P820&amp;"."&amp;Q820,P820&amp;"."&amp;Q820&amp;COUNTIFS(P$5:P819,P820,Q$5:Q819,Q820))</f>
        <v>924.NA</v>
      </c>
      <c r="S820" s="55">
        <f t="shared" si="51"/>
        <v>0</v>
      </c>
    </row>
    <row r="821" spans="1:19" hidden="1">
      <c r="A821" s="5">
        <v>886</v>
      </c>
      <c r="B821" s="59"/>
      <c r="C821" s="60"/>
      <c r="D821" s="63"/>
      <c r="E821" s="63"/>
      <c r="F821" s="63" t="s">
        <v>134</v>
      </c>
      <c r="G821" s="63" t="s">
        <v>12</v>
      </c>
      <c r="H821" s="62"/>
      <c r="I821" s="66">
        <v>10192677.16</v>
      </c>
      <c r="J821" s="66">
        <v>2152236</v>
      </c>
      <c r="K821" s="62"/>
      <c r="L821" s="66">
        <v>8514051.5758609641</v>
      </c>
      <c r="M821" s="66">
        <v>8040441.1600000001</v>
      </c>
      <c r="N821" s="66">
        <v>473610.41586096445</v>
      </c>
      <c r="P821">
        <f t="shared" si="49"/>
        <v>924</v>
      </c>
      <c r="Q821" t="str">
        <f t="shared" si="50"/>
        <v>S</v>
      </c>
      <c r="R821" t="str">
        <f>IF(ISERROR(MATCH(P821&amp;"."&amp;Q821,R$5:R820,0)),P821&amp;"."&amp;Q821,P821&amp;"."&amp;Q821&amp;COUNTIFS(P$5:P820,P821,Q$5:Q820,Q821))</f>
        <v>924.S</v>
      </c>
      <c r="S821" s="55">
        <f t="shared" si="51"/>
        <v>473610.41586096445</v>
      </c>
    </row>
    <row r="822" spans="1:19" hidden="1">
      <c r="A822" s="5">
        <v>887</v>
      </c>
      <c r="B822" s="59"/>
      <c r="C822" s="60"/>
      <c r="D822" s="63"/>
      <c r="E822" s="63"/>
      <c r="F822" s="63" t="s">
        <v>134</v>
      </c>
      <c r="G822" s="63" t="s">
        <v>15</v>
      </c>
      <c r="H822" s="62"/>
      <c r="I822" s="65">
        <v>0</v>
      </c>
      <c r="J822" s="65">
        <v>0</v>
      </c>
      <c r="K822" s="62"/>
      <c r="L822" s="65">
        <v>0</v>
      </c>
      <c r="M822" s="65">
        <v>0</v>
      </c>
      <c r="N822" s="65">
        <v>0</v>
      </c>
      <c r="P822">
        <f t="shared" si="49"/>
        <v>924</v>
      </c>
      <c r="Q822" t="str">
        <f t="shared" si="50"/>
        <v>SG</v>
      </c>
      <c r="R822" t="str">
        <f>IF(ISERROR(MATCH(P822&amp;"."&amp;Q822,R$5:R821,0)),P822&amp;"."&amp;Q822,P822&amp;"."&amp;Q822&amp;COUNTIFS(P$5:P821,P822,Q$5:Q821,Q822))</f>
        <v>924.SG</v>
      </c>
      <c r="S822" s="55">
        <f t="shared" si="51"/>
        <v>0</v>
      </c>
    </row>
    <row r="823" spans="1:19" hidden="1">
      <c r="A823" s="5">
        <v>888</v>
      </c>
      <c r="B823" s="59"/>
      <c r="C823" s="60"/>
      <c r="D823" s="61"/>
      <c r="E823" s="63"/>
      <c r="F823" s="63" t="s">
        <v>171</v>
      </c>
      <c r="G823" s="63" t="s">
        <v>136</v>
      </c>
      <c r="H823" s="62"/>
      <c r="I823" s="65">
        <v>4737083.91</v>
      </c>
      <c r="J823" s="65">
        <v>2055824.8096809986</v>
      </c>
      <c r="K823" s="62"/>
      <c r="L823" s="65">
        <v>3257783.8342857142</v>
      </c>
      <c r="M823" s="65">
        <v>1834310.8119492035</v>
      </c>
      <c r="N823" s="65">
        <v>1423473.0223365107</v>
      </c>
      <c r="P823">
        <f t="shared" si="49"/>
        <v>924</v>
      </c>
      <c r="Q823" t="str">
        <f t="shared" si="50"/>
        <v>SO</v>
      </c>
      <c r="R823" t="str">
        <f>IF(ISERROR(MATCH(P823&amp;"."&amp;Q823,R$5:R822,0)),P823&amp;"."&amp;Q823,P823&amp;"."&amp;Q823&amp;COUNTIFS(P$5:P822,P823,Q$5:Q822,Q823))</f>
        <v>924.SO</v>
      </c>
      <c r="S823" s="55">
        <f t="shared" si="51"/>
        <v>1423473.0223365107</v>
      </c>
    </row>
    <row r="824" spans="1:19" hidden="1">
      <c r="A824" s="5">
        <v>889</v>
      </c>
      <c r="B824" s="59"/>
      <c r="C824" s="60"/>
      <c r="D824" s="63"/>
      <c r="E824" s="63"/>
      <c r="F824" s="60"/>
      <c r="G824" s="61"/>
      <c r="H824" s="62" t="s">
        <v>178</v>
      </c>
      <c r="I824" s="65">
        <v>14929761.07</v>
      </c>
      <c r="J824" s="65">
        <v>4208060.8096809983</v>
      </c>
      <c r="K824" s="62"/>
      <c r="L824" s="65">
        <v>11771835.410146678</v>
      </c>
      <c r="M824" s="65">
        <v>9874751.9719492029</v>
      </c>
      <c r="N824" s="64">
        <v>1897083.4381974752</v>
      </c>
      <c r="P824">
        <f t="shared" si="49"/>
        <v>924</v>
      </c>
      <c r="Q824" t="str">
        <f t="shared" si="50"/>
        <v>NA</v>
      </c>
      <c r="R824" t="str">
        <f>IF(ISERROR(MATCH(P824&amp;"."&amp;Q824,R$5:R823,0)),P824&amp;"."&amp;Q824,P824&amp;"."&amp;Q824&amp;COUNTIFS(P$5:P823,P824,Q$5:Q823,Q824))</f>
        <v>924.NA1</v>
      </c>
      <c r="S824" s="55">
        <f t="shared" si="51"/>
        <v>1897083.4381974752</v>
      </c>
    </row>
    <row r="825" spans="1:19" hidden="1">
      <c r="A825" s="5">
        <v>890</v>
      </c>
      <c r="B825" s="59"/>
      <c r="C825" s="60"/>
      <c r="D825" s="63"/>
      <c r="E825" s="63"/>
      <c r="F825" s="60"/>
      <c r="G825" s="61"/>
      <c r="H825" s="62"/>
      <c r="I825" s="65"/>
      <c r="J825" s="65"/>
      <c r="K825" s="62"/>
      <c r="L825" s="65"/>
      <c r="M825" s="65"/>
      <c r="N825" s="64"/>
      <c r="P825">
        <f t="shared" si="49"/>
        <v>924</v>
      </c>
      <c r="Q825" t="str">
        <f t="shared" si="50"/>
        <v>NA</v>
      </c>
      <c r="R825" t="str">
        <f>IF(ISERROR(MATCH(P825&amp;"."&amp;Q825,R$5:R824,0)),P825&amp;"."&amp;Q825,P825&amp;"."&amp;Q825&amp;COUNTIFS(P$5:P824,P825,Q$5:Q824,Q825))</f>
        <v>924.NA2</v>
      </c>
      <c r="S825" s="55">
        <f t="shared" si="51"/>
        <v>0</v>
      </c>
    </row>
    <row r="826" spans="1:19" hidden="1">
      <c r="A826" s="5">
        <v>891</v>
      </c>
      <c r="B826" s="59"/>
      <c r="C826" s="60">
        <v>925</v>
      </c>
      <c r="D826" s="63" t="s">
        <v>359</v>
      </c>
      <c r="E826" s="63"/>
      <c r="F826" s="60"/>
      <c r="G826" s="61"/>
      <c r="H826" s="62"/>
      <c r="I826" s="65"/>
      <c r="J826" s="65"/>
      <c r="K826" s="62"/>
      <c r="L826" s="65"/>
      <c r="M826" s="65"/>
      <c r="N826" s="64"/>
      <c r="P826">
        <f t="shared" si="49"/>
        <v>925</v>
      </c>
      <c r="Q826" t="str">
        <f t="shared" si="50"/>
        <v>NA</v>
      </c>
      <c r="R826" t="str">
        <f>IF(ISERROR(MATCH(P826&amp;"."&amp;Q826,R$5:R825,0)),P826&amp;"."&amp;Q826,P826&amp;"."&amp;Q826&amp;COUNTIFS(P$5:P825,P826,Q$5:Q825,Q826))</f>
        <v>925.NA</v>
      </c>
      <c r="S826" s="55">
        <f t="shared" si="51"/>
        <v>0</v>
      </c>
    </row>
    <row r="827" spans="1:19" hidden="1">
      <c r="A827" s="5">
        <v>892</v>
      </c>
      <c r="B827" s="59"/>
      <c r="C827" s="60"/>
      <c r="D827" s="63"/>
      <c r="E827" s="63"/>
      <c r="F827" s="60" t="s">
        <v>171</v>
      </c>
      <c r="G827" s="61" t="s">
        <v>12</v>
      </c>
      <c r="H827" s="62"/>
      <c r="I827" s="65">
        <v>1845854.75</v>
      </c>
      <c r="J827" s="65">
        <v>0</v>
      </c>
      <c r="K827" s="62"/>
      <c r="L827" s="65">
        <v>1845854.75</v>
      </c>
      <c r="M827" s="65">
        <v>1845854.75</v>
      </c>
      <c r="N827" s="64">
        <v>0</v>
      </c>
      <c r="P827">
        <f t="shared" si="49"/>
        <v>925</v>
      </c>
      <c r="Q827" t="str">
        <f t="shared" si="50"/>
        <v>S</v>
      </c>
      <c r="R827" t="str">
        <f>IF(ISERROR(MATCH(P827&amp;"."&amp;Q827,R$5:R826,0)),P827&amp;"."&amp;Q827,P827&amp;"."&amp;Q827&amp;COUNTIFS(P$5:P826,P827,Q$5:Q826,Q827))</f>
        <v>925.S</v>
      </c>
      <c r="S827" s="55">
        <f t="shared" si="51"/>
        <v>0</v>
      </c>
    </row>
    <row r="828" spans="1:19" hidden="1">
      <c r="A828" s="5">
        <v>893</v>
      </c>
      <c r="B828" s="59"/>
      <c r="C828" s="60"/>
      <c r="D828" s="63"/>
      <c r="E828" s="63"/>
      <c r="F828" s="63" t="s">
        <v>171</v>
      </c>
      <c r="G828" s="63" t="s">
        <v>136</v>
      </c>
      <c r="H828" s="62"/>
      <c r="I828" s="66">
        <v>6250814</v>
      </c>
      <c r="J828" s="66">
        <v>2712761.4258159343</v>
      </c>
      <c r="K828" s="62"/>
      <c r="L828" s="66">
        <v>13197757.966666665</v>
      </c>
      <c r="M828" s="66">
        <v>7431060.9184581758</v>
      </c>
      <c r="N828" s="66">
        <v>5766697.0482084891</v>
      </c>
      <c r="P828">
        <f t="shared" si="49"/>
        <v>925</v>
      </c>
      <c r="Q828" t="str">
        <f t="shared" si="50"/>
        <v>SO</v>
      </c>
      <c r="R828" t="str">
        <f>IF(ISERROR(MATCH(P828&amp;"."&amp;Q828,R$5:R827,0)),P828&amp;"."&amp;Q828,P828&amp;"."&amp;Q828&amp;COUNTIFS(P$5:P827,P828,Q$5:Q827,Q828))</f>
        <v>925.SO</v>
      </c>
      <c r="S828" s="55">
        <f t="shared" si="51"/>
        <v>5766697.0482084891</v>
      </c>
    </row>
    <row r="829" spans="1:19" hidden="1">
      <c r="A829" s="5">
        <v>894</v>
      </c>
      <c r="B829" s="59"/>
      <c r="C829" s="60"/>
      <c r="D829" s="63"/>
      <c r="E829" s="63"/>
      <c r="F829" s="63"/>
      <c r="G829" s="63"/>
      <c r="H829" s="62" t="s">
        <v>178</v>
      </c>
      <c r="I829" s="69">
        <v>8096668.75</v>
      </c>
      <c r="J829" s="69">
        <v>2712761.4258159343</v>
      </c>
      <c r="K829" s="62"/>
      <c r="L829" s="69">
        <v>15043612.716666665</v>
      </c>
      <c r="M829" s="65">
        <v>9276915.6684581749</v>
      </c>
      <c r="N829" s="65">
        <v>5766697.0482084891</v>
      </c>
      <c r="P829">
        <f t="shared" si="49"/>
        <v>925</v>
      </c>
      <c r="Q829" t="str">
        <f t="shared" si="50"/>
        <v>NA</v>
      </c>
      <c r="R829" t="str">
        <f>IF(ISERROR(MATCH(P829&amp;"."&amp;Q829,R$5:R828,0)),P829&amp;"."&amp;Q829,P829&amp;"."&amp;Q829&amp;COUNTIFS(P$5:P828,P829,Q$5:Q828,Q829))</f>
        <v>925.NA1</v>
      </c>
      <c r="S829" s="55">
        <f t="shared" si="51"/>
        <v>5766697.0482084891</v>
      </c>
    </row>
    <row r="830" spans="1:19" hidden="1">
      <c r="A830" s="5">
        <v>895</v>
      </c>
      <c r="B830" s="59"/>
      <c r="C830" s="60"/>
      <c r="D830" s="61"/>
      <c r="E830" s="63"/>
      <c r="F830" s="63"/>
      <c r="G830" s="63"/>
      <c r="H830" s="62"/>
      <c r="I830" s="65"/>
      <c r="J830" s="65"/>
      <c r="K830" s="62"/>
      <c r="L830" s="65"/>
      <c r="M830" s="65"/>
      <c r="N830" s="65"/>
      <c r="P830">
        <f t="shared" si="49"/>
        <v>925</v>
      </c>
      <c r="Q830" t="str">
        <f t="shared" si="50"/>
        <v>NA</v>
      </c>
      <c r="R830" t="str">
        <f>IF(ISERROR(MATCH(P830&amp;"."&amp;Q830,R$5:R829,0)),P830&amp;"."&amp;Q830,P830&amp;"."&amp;Q830&amp;COUNTIFS(P$5:P829,P830,Q$5:Q829,Q830))</f>
        <v>925.NA2</v>
      </c>
      <c r="S830" s="55">
        <f t="shared" si="51"/>
        <v>0</v>
      </c>
    </row>
    <row r="831" spans="1:19" hidden="1">
      <c r="A831" s="5">
        <v>896</v>
      </c>
      <c r="B831" s="59"/>
      <c r="C831" s="60">
        <v>926</v>
      </c>
      <c r="D831" s="63" t="s">
        <v>360</v>
      </c>
      <c r="E831" s="63"/>
      <c r="F831" s="60"/>
      <c r="G831" s="61"/>
      <c r="H831" s="62"/>
      <c r="I831" s="65"/>
      <c r="J831" s="65"/>
      <c r="K831" s="62"/>
      <c r="L831" s="65"/>
      <c r="M831" s="65"/>
      <c r="N831" s="64"/>
      <c r="P831">
        <f t="shared" si="49"/>
        <v>926</v>
      </c>
      <c r="Q831" t="str">
        <f t="shared" si="50"/>
        <v>NA</v>
      </c>
      <c r="R831" t="str">
        <f>IF(ISERROR(MATCH(P831&amp;"."&amp;Q831,R$5:R830,0)),P831&amp;"."&amp;Q831,P831&amp;"."&amp;Q831&amp;COUNTIFS(P$5:P830,P831,Q$5:Q830,Q831))</f>
        <v>926.NA</v>
      </c>
      <c r="S831" s="55">
        <f t="shared" si="51"/>
        <v>0</v>
      </c>
    </row>
    <row r="832" spans="1:19" hidden="1">
      <c r="A832" s="5">
        <v>897</v>
      </c>
      <c r="B832" s="59"/>
      <c r="C832" s="60"/>
      <c r="D832" s="63"/>
      <c r="E832" s="63"/>
      <c r="F832" s="60" t="s">
        <v>361</v>
      </c>
      <c r="G832" s="61" t="s">
        <v>12</v>
      </c>
      <c r="H832" s="62"/>
      <c r="I832" s="65">
        <v>448379.76</v>
      </c>
      <c r="J832" s="65">
        <v>0</v>
      </c>
      <c r="K832" s="62"/>
      <c r="L832" s="65">
        <v>478279.78433189285</v>
      </c>
      <c r="M832" s="65">
        <v>478279.78433189285</v>
      </c>
      <c r="N832" s="64">
        <v>0</v>
      </c>
      <c r="P832">
        <f t="shared" si="49"/>
        <v>926</v>
      </c>
      <c r="Q832" t="str">
        <f t="shared" si="50"/>
        <v>S</v>
      </c>
      <c r="R832" t="str">
        <f>IF(ISERROR(MATCH(P832&amp;"."&amp;Q832,R$5:R831,0)),P832&amp;"."&amp;Q832,P832&amp;"."&amp;Q832&amp;COUNTIFS(P$5:P831,P832,Q$5:Q831,Q832))</f>
        <v>926.S</v>
      </c>
      <c r="S832" s="55">
        <f t="shared" si="51"/>
        <v>0</v>
      </c>
    </row>
    <row r="833" spans="1:19" hidden="1">
      <c r="A833" s="5">
        <v>898</v>
      </c>
      <c r="B833" s="59"/>
      <c r="C833" s="60"/>
      <c r="D833" s="63"/>
      <c r="E833" s="63"/>
      <c r="F833" s="63" t="s">
        <v>149</v>
      </c>
      <c r="G833" s="63" t="s">
        <v>155</v>
      </c>
      <c r="H833" s="62"/>
      <c r="I833" s="66">
        <v>0</v>
      </c>
      <c r="J833" s="66">
        <v>0</v>
      </c>
      <c r="K833" s="62"/>
      <c r="L833" s="66">
        <v>0</v>
      </c>
      <c r="M833" s="66">
        <v>0</v>
      </c>
      <c r="N833" s="66">
        <v>0</v>
      </c>
      <c r="P833">
        <f t="shared" si="49"/>
        <v>926</v>
      </c>
      <c r="Q833" t="str">
        <f t="shared" si="50"/>
        <v>CN</v>
      </c>
      <c r="R833" t="str">
        <f>IF(ISERROR(MATCH(P833&amp;"."&amp;Q833,R$5:R832,0)),P833&amp;"."&amp;Q833,P833&amp;"."&amp;Q833&amp;COUNTIFS(P$5:P832,P833,Q$5:Q832,Q833))</f>
        <v>926.CN</v>
      </c>
      <c r="S833" s="55">
        <f t="shared" si="51"/>
        <v>0</v>
      </c>
    </row>
    <row r="834" spans="1:19" hidden="1">
      <c r="A834" s="5">
        <v>899</v>
      </c>
      <c r="B834" s="59"/>
      <c r="C834" s="60"/>
      <c r="D834" s="63"/>
      <c r="E834" s="63"/>
      <c r="F834" s="63" t="s">
        <v>361</v>
      </c>
      <c r="G834" s="63" t="s">
        <v>136</v>
      </c>
      <c r="H834" s="62"/>
      <c r="I834" s="65">
        <v>101775991.98999999</v>
      </c>
      <c r="J834" s="65">
        <v>44169285.015459344</v>
      </c>
      <c r="K834" s="62"/>
      <c r="L834" s="65">
        <v>108562883.16658552</v>
      </c>
      <c r="M834" s="65">
        <v>61126852.025314942</v>
      </c>
      <c r="N834" s="65">
        <v>47436031.141270578</v>
      </c>
      <c r="P834">
        <f t="shared" si="49"/>
        <v>926</v>
      </c>
      <c r="Q834" t="str">
        <f t="shared" si="50"/>
        <v>SO</v>
      </c>
      <c r="R834" t="str">
        <f>IF(ISERROR(MATCH(P834&amp;"."&amp;Q834,R$5:R833,0)),P834&amp;"."&amp;Q834,P834&amp;"."&amp;Q834&amp;COUNTIFS(P$5:P833,P834,Q$5:Q833,Q834))</f>
        <v>926.SO</v>
      </c>
      <c r="S834" s="55">
        <f t="shared" si="51"/>
        <v>47436031.141270578</v>
      </c>
    </row>
    <row r="835" spans="1:19" hidden="1">
      <c r="A835" s="5">
        <v>900</v>
      </c>
      <c r="B835" s="59"/>
      <c r="C835" s="60"/>
      <c r="D835" s="61"/>
      <c r="E835" s="63"/>
      <c r="F835" s="63"/>
      <c r="G835" s="63"/>
      <c r="H835" s="62" t="s">
        <v>178</v>
      </c>
      <c r="I835" s="65">
        <v>102224371.75</v>
      </c>
      <c r="J835" s="65">
        <v>44169285.015459344</v>
      </c>
      <c r="K835" s="62"/>
      <c r="L835" s="65">
        <v>109041162.95091741</v>
      </c>
      <c r="M835" s="65">
        <v>61605131.809646837</v>
      </c>
      <c r="N835" s="65">
        <v>47436031.141270578</v>
      </c>
      <c r="P835">
        <f t="shared" si="49"/>
        <v>926</v>
      </c>
      <c r="Q835" t="str">
        <f t="shared" si="50"/>
        <v>NA</v>
      </c>
      <c r="R835" t="str">
        <f>IF(ISERROR(MATCH(P835&amp;"."&amp;Q835,R$5:R834,0)),P835&amp;"."&amp;Q835,P835&amp;"."&amp;Q835&amp;COUNTIFS(P$5:P834,P835,Q$5:Q834,Q835))</f>
        <v>926.NA1</v>
      </c>
      <c r="S835" s="55">
        <f t="shared" si="51"/>
        <v>47436031.141270578</v>
      </c>
    </row>
    <row r="836" spans="1:19" hidden="1">
      <c r="A836" s="5">
        <v>901</v>
      </c>
      <c r="B836" s="59"/>
      <c r="C836" s="60"/>
      <c r="D836" s="63"/>
      <c r="E836" s="63"/>
      <c r="F836" s="60"/>
      <c r="G836" s="61"/>
      <c r="H836" s="62"/>
      <c r="I836" s="65"/>
      <c r="J836" s="65"/>
      <c r="K836" s="62"/>
      <c r="L836" s="65"/>
      <c r="M836" s="65"/>
      <c r="N836" s="64"/>
      <c r="P836">
        <f t="shared" si="49"/>
        <v>926</v>
      </c>
      <c r="Q836" t="str">
        <f t="shared" si="50"/>
        <v>NA</v>
      </c>
      <c r="R836" t="str">
        <f>IF(ISERROR(MATCH(P836&amp;"."&amp;Q836,R$5:R835,0)),P836&amp;"."&amp;Q836,P836&amp;"."&amp;Q836&amp;COUNTIFS(P$5:P835,P836,Q$5:Q835,Q836))</f>
        <v>926.NA2</v>
      </c>
      <c r="S836" s="55">
        <f t="shared" si="51"/>
        <v>0</v>
      </c>
    </row>
    <row r="837" spans="1:19" hidden="1">
      <c r="A837" s="5">
        <v>902</v>
      </c>
      <c r="B837" s="59"/>
      <c r="C837" s="60">
        <v>927</v>
      </c>
      <c r="D837" s="63" t="s">
        <v>362</v>
      </c>
      <c r="E837" s="63"/>
      <c r="F837" s="60"/>
      <c r="G837" s="61"/>
      <c r="H837" s="62"/>
      <c r="I837" s="65"/>
      <c r="J837" s="65"/>
      <c r="K837" s="62"/>
      <c r="L837" s="65"/>
      <c r="M837" s="65"/>
      <c r="N837" s="64"/>
      <c r="P837">
        <f t="shared" si="49"/>
        <v>927</v>
      </c>
      <c r="Q837" t="str">
        <f t="shared" si="50"/>
        <v>NA</v>
      </c>
      <c r="R837" t="str">
        <f>IF(ISERROR(MATCH(P837&amp;"."&amp;Q837,R$5:R836,0)),P837&amp;"."&amp;Q837,P837&amp;"."&amp;Q837&amp;COUNTIFS(P$5:P836,P837,Q$5:Q836,Q837))</f>
        <v>927.NA</v>
      </c>
      <c r="S837" s="55">
        <f t="shared" si="51"/>
        <v>0</v>
      </c>
    </row>
    <row r="838" spans="1:19" hidden="1">
      <c r="A838" s="5">
        <v>903</v>
      </c>
      <c r="B838" s="59"/>
      <c r="C838" s="60"/>
      <c r="D838" s="63"/>
      <c r="E838" s="63"/>
      <c r="F838" s="60" t="s">
        <v>154</v>
      </c>
      <c r="G838" s="61" t="s">
        <v>12</v>
      </c>
      <c r="H838" s="62"/>
      <c r="I838" s="65">
        <v>0</v>
      </c>
      <c r="J838" s="65">
        <v>0</v>
      </c>
      <c r="K838" s="62"/>
      <c r="L838" s="65">
        <v>0</v>
      </c>
      <c r="M838" s="65">
        <v>0</v>
      </c>
      <c r="N838" s="64">
        <v>0</v>
      </c>
      <c r="P838">
        <f t="shared" si="49"/>
        <v>927</v>
      </c>
      <c r="Q838" t="str">
        <f t="shared" si="50"/>
        <v>S</v>
      </c>
      <c r="R838" t="str">
        <f>IF(ISERROR(MATCH(P838&amp;"."&amp;Q838,R$5:R837,0)),P838&amp;"."&amp;Q838,P838&amp;"."&amp;Q838&amp;COUNTIFS(P$5:P837,P838,Q$5:Q837,Q838))</f>
        <v>927.S</v>
      </c>
      <c r="S838" s="55">
        <f t="shared" si="51"/>
        <v>0</v>
      </c>
    </row>
    <row r="839" spans="1:19" hidden="1">
      <c r="A839" s="5">
        <v>904</v>
      </c>
      <c r="B839" s="59"/>
      <c r="C839" s="60"/>
      <c r="D839" s="63"/>
      <c r="E839" s="63"/>
      <c r="F839" s="60" t="s">
        <v>154</v>
      </c>
      <c r="G839" s="61" t="s">
        <v>136</v>
      </c>
      <c r="H839" s="62"/>
      <c r="I839" s="65">
        <v>0</v>
      </c>
      <c r="J839" s="65">
        <v>0</v>
      </c>
      <c r="K839" s="62"/>
      <c r="L839" s="65">
        <v>0</v>
      </c>
      <c r="M839" s="65">
        <v>0</v>
      </c>
      <c r="N839" s="64">
        <v>0</v>
      </c>
      <c r="P839">
        <f t="shared" ref="P839:P902" si="52">IF(OR(C839="",C839=" ",C839="  ",C839="   "),P838,C839)</f>
        <v>927</v>
      </c>
      <c r="Q839" t="str">
        <f t="shared" ref="Q839:Q902" si="53">IF(G839="","NA",G839)</f>
        <v>SO</v>
      </c>
      <c r="R839" t="str">
        <f>IF(ISERROR(MATCH(P839&amp;"."&amp;Q839,R$5:R838,0)),P839&amp;"."&amp;Q839,P839&amp;"."&amp;Q839&amp;COUNTIFS(P$5:P838,P839,Q$5:Q838,Q839))</f>
        <v>927.SO</v>
      </c>
      <c r="S839" s="55">
        <f t="shared" si="51"/>
        <v>0</v>
      </c>
    </row>
    <row r="840" spans="1:19" hidden="1">
      <c r="A840" s="5">
        <v>905</v>
      </c>
      <c r="B840" s="59"/>
      <c r="C840" s="60"/>
      <c r="D840" s="63"/>
      <c r="E840" s="63"/>
      <c r="F840" s="63"/>
      <c r="G840" s="63"/>
      <c r="H840" s="62" t="s">
        <v>178</v>
      </c>
      <c r="I840" s="66">
        <v>0</v>
      </c>
      <c r="J840" s="66">
        <v>0</v>
      </c>
      <c r="K840" s="62"/>
      <c r="L840" s="66">
        <v>0</v>
      </c>
      <c r="M840" s="66">
        <v>0</v>
      </c>
      <c r="N840" s="66">
        <v>0</v>
      </c>
      <c r="P840">
        <f t="shared" si="52"/>
        <v>927</v>
      </c>
      <c r="Q840" t="str">
        <f t="shared" si="53"/>
        <v>NA</v>
      </c>
      <c r="R840" t="str">
        <f>IF(ISERROR(MATCH(P840&amp;"."&amp;Q840,R$5:R839,0)),P840&amp;"."&amp;Q840,P840&amp;"."&amp;Q840&amp;COUNTIFS(P$5:P839,P840,Q$5:Q839,Q840))</f>
        <v>927.NA1</v>
      </c>
      <c r="S840" s="55">
        <f t="shared" ref="S840:S903" si="54">N840</f>
        <v>0</v>
      </c>
    </row>
    <row r="841" spans="1:19" hidden="1">
      <c r="A841" s="5">
        <v>906</v>
      </c>
      <c r="B841" s="59"/>
      <c r="C841" s="60"/>
      <c r="D841" s="63"/>
      <c r="E841" s="63"/>
      <c r="F841" s="63"/>
      <c r="G841" s="63"/>
      <c r="H841" s="62"/>
      <c r="I841" s="65"/>
      <c r="J841" s="65"/>
      <c r="K841" s="62"/>
      <c r="L841" s="65"/>
      <c r="M841" s="65"/>
      <c r="N841" s="65"/>
      <c r="P841">
        <f t="shared" si="52"/>
        <v>927</v>
      </c>
      <c r="Q841" t="str">
        <f t="shared" si="53"/>
        <v>NA</v>
      </c>
      <c r="R841" t="str">
        <f>IF(ISERROR(MATCH(P841&amp;"."&amp;Q841,R$5:R840,0)),P841&amp;"."&amp;Q841,P841&amp;"."&amp;Q841&amp;COUNTIFS(P$5:P840,P841,Q$5:Q840,Q841))</f>
        <v>927.NA2</v>
      </c>
      <c r="S841" s="55">
        <f t="shared" si="54"/>
        <v>0</v>
      </c>
    </row>
    <row r="842" spans="1:19" hidden="1">
      <c r="A842" s="5">
        <v>907</v>
      </c>
      <c r="B842" s="59"/>
      <c r="C842" s="60">
        <v>928</v>
      </c>
      <c r="D842" s="61" t="s">
        <v>363</v>
      </c>
      <c r="E842" s="63"/>
      <c r="F842" s="63"/>
      <c r="G842" s="63"/>
      <c r="H842" s="62"/>
      <c r="I842" s="65"/>
      <c r="J842" s="65"/>
      <c r="K842" s="62"/>
      <c r="L842" s="65"/>
      <c r="M842" s="65"/>
      <c r="N842" s="65"/>
      <c r="P842">
        <f t="shared" si="52"/>
        <v>928</v>
      </c>
      <c r="Q842" t="str">
        <f t="shared" si="53"/>
        <v>NA</v>
      </c>
      <c r="R842" t="str">
        <f>IF(ISERROR(MATCH(P842&amp;"."&amp;Q842,R$5:R841,0)),P842&amp;"."&amp;Q842,P842&amp;"."&amp;Q842&amp;COUNTIFS(P$5:P841,P842,Q$5:Q841,Q842))</f>
        <v>928.NA</v>
      </c>
      <c r="S842" s="55">
        <f t="shared" si="54"/>
        <v>0</v>
      </c>
    </row>
    <row r="843" spans="1:19" hidden="1">
      <c r="A843" s="5">
        <v>908</v>
      </c>
      <c r="B843" s="59"/>
      <c r="C843" s="60"/>
      <c r="D843" s="63"/>
      <c r="E843" s="63"/>
      <c r="F843" s="60" t="s">
        <v>154</v>
      </c>
      <c r="G843" s="61" t="s">
        <v>12</v>
      </c>
      <c r="H843" s="62"/>
      <c r="I843" s="65">
        <v>14999576.07</v>
      </c>
      <c r="J843" s="65">
        <v>6488291.6500000004</v>
      </c>
      <c r="K843" s="62"/>
      <c r="L843" s="65">
        <v>15495988.650348462</v>
      </c>
      <c r="M843" s="65">
        <v>8805464.9120471422</v>
      </c>
      <c r="N843" s="64">
        <v>6690523.73830132</v>
      </c>
      <c r="P843">
        <f t="shared" si="52"/>
        <v>928</v>
      </c>
      <c r="Q843" t="str">
        <f t="shared" si="53"/>
        <v>S</v>
      </c>
      <c r="R843" t="str">
        <f>IF(ISERROR(MATCH(P843&amp;"."&amp;Q843,R$5:R842,0)),P843&amp;"."&amp;Q843,P843&amp;"."&amp;Q843&amp;COUNTIFS(P$5:P842,P843,Q$5:Q842,Q843))</f>
        <v>928.S</v>
      </c>
      <c r="S843" s="55">
        <f t="shared" si="54"/>
        <v>6690523.73830132</v>
      </c>
    </row>
    <row r="844" spans="1:19" hidden="1">
      <c r="A844" s="5">
        <v>909</v>
      </c>
      <c r="B844" s="59"/>
      <c r="C844" s="60"/>
      <c r="D844" s="63"/>
      <c r="E844" s="63"/>
      <c r="F844" s="60" t="s">
        <v>13</v>
      </c>
      <c r="G844" s="61" t="s">
        <v>16</v>
      </c>
      <c r="H844" s="62"/>
      <c r="I844" s="65">
        <v>0</v>
      </c>
      <c r="J844" s="65">
        <v>0</v>
      </c>
      <c r="K844" s="62"/>
      <c r="L844" s="65">
        <v>0</v>
      </c>
      <c r="M844" s="65">
        <v>0</v>
      </c>
      <c r="N844" s="64">
        <v>0</v>
      </c>
      <c r="P844">
        <f t="shared" si="52"/>
        <v>928</v>
      </c>
      <c r="Q844" t="str">
        <f t="shared" si="53"/>
        <v>SE</v>
      </c>
      <c r="R844" t="str">
        <f>IF(ISERROR(MATCH(P844&amp;"."&amp;Q844,R$5:R843,0)),P844&amp;"."&amp;Q844,P844&amp;"."&amp;Q844&amp;COUNTIFS(P$5:P843,P844,Q$5:Q843,Q844))</f>
        <v>928.SE</v>
      </c>
      <c r="S844" s="55">
        <f t="shared" si="54"/>
        <v>0</v>
      </c>
    </row>
    <row r="845" spans="1:19" hidden="1">
      <c r="A845" s="5">
        <v>910</v>
      </c>
      <c r="B845" s="59"/>
      <c r="C845" s="60"/>
      <c r="D845" s="63"/>
      <c r="E845" s="63"/>
      <c r="F845" s="63" t="s">
        <v>154</v>
      </c>
      <c r="G845" s="63" t="s">
        <v>136</v>
      </c>
      <c r="H845" s="62"/>
      <c r="I845" s="66">
        <v>5479721.0700000003</v>
      </c>
      <c r="J845" s="66">
        <v>2378118.4247246548</v>
      </c>
      <c r="K845" s="62"/>
      <c r="L845" s="66">
        <v>5679206.4670262104</v>
      </c>
      <c r="M845" s="66">
        <v>3197704.4382510693</v>
      </c>
      <c r="N845" s="66">
        <v>2481502.0287751411</v>
      </c>
      <c r="P845">
        <f t="shared" si="52"/>
        <v>928</v>
      </c>
      <c r="Q845" t="str">
        <f t="shared" si="53"/>
        <v>SO</v>
      </c>
      <c r="R845" t="str">
        <f>IF(ISERROR(MATCH(P845&amp;"."&amp;Q845,R$5:R844,0)),P845&amp;"."&amp;Q845,P845&amp;"."&amp;Q845&amp;COUNTIFS(P$5:P844,P845,Q$5:Q844,Q845))</f>
        <v>928.SO</v>
      </c>
      <c r="S845" s="55">
        <f t="shared" si="54"/>
        <v>2481502.0287751411</v>
      </c>
    </row>
    <row r="846" spans="1:19" hidden="1">
      <c r="A846" s="5">
        <v>911</v>
      </c>
      <c r="B846" s="59"/>
      <c r="C846" s="60"/>
      <c r="D846" s="63"/>
      <c r="E846" s="63"/>
      <c r="F846" s="63" t="s">
        <v>116</v>
      </c>
      <c r="G846" s="63" t="s">
        <v>15</v>
      </c>
      <c r="H846" s="62"/>
      <c r="I846" s="65">
        <v>5126538.54</v>
      </c>
      <c r="J846" s="65">
        <v>2255548.6983866668</v>
      </c>
      <c r="K846" s="62"/>
      <c r="L846" s="65">
        <v>5280955.2799203238</v>
      </c>
      <c r="M846" s="65">
        <v>2957467.0792712979</v>
      </c>
      <c r="N846" s="65">
        <v>2323488.2006490258</v>
      </c>
      <c r="P846">
        <f t="shared" si="52"/>
        <v>928</v>
      </c>
      <c r="Q846" t="str">
        <f t="shared" si="53"/>
        <v>SG</v>
      </c>
      <c r="R846" t="str">
        <f>IF(ISERROR(MATCH(P846&amp;"."&amp;Q846,R$5:R845,0)),P846&amp;"."&amp;Q846,P846&amp;"."&amp;Q846&amp;COUNTIFS(P$5:P845,P846,Q$5:Q845,Q846))</f>
        <v>928.SG</v>
      </c>
      <c r="S846" s="55">
        <f t="shared" si="54"/>
        <v>2323488.2006490258</v>
      </c>
    </row>
    <row r="847" spans="1:19" hidden="1">
      <c r="A847" s="5">
        <v>912</v>
      </c>
      <c r="B847" s="59"/>
      <c r="C847" s="60"/>
      <c r="D847" s="61"/>
      <c r="E847" s="63"/>
      <c r="F847" s="63"/>
      <c r="G847" s="63"/>
      <c r="H847" s="62" t="s">
        <v>178</v>
      </c>
      <c r="I847" s="65">
        <v>25605835.68</v>
      </c>
      <c r="J847" s="65">
        <v>11121958.773111323</v>
      </c>
      <c r="K847" s="62"/>
      <c r="L847" s="65">
        <v>26456150.397294998</v>
      </c>
      <c r="M847" s="65">
        <v>14960636.429569509</v>
      </c>
      <c r="N847" s="65">
        <v>11495513.967725486</v>
      </c>
      <c r="P847">
        <f t="shared" si="52"/>
        <v>928</v>
      </c>
      <c r="Q847" t="str">
        <f t="shared" si="53"/>
        <v>NA</v>
      </c>
      <c r="R847" t="str">
        <f>IF(ISERROR(MATCH(P847&amp;"."&amp;Q847,R$5:R846,0)),P847&amp;"."&amp;Q847,P847&amp;"."&amp;Q847&amp;COUNTIFS(P$5:P846,P847,Q$5:Q846,Q847))</f>
        <v>928.NA1</v>
      </c>
      <c r="S847" s="55">
        <f t="shared" si="54"/>
        <v>11495513.967725486</v>
      </c>
    </row>
    <row r="848" spans="1:19" hidden="1">
      <c r="A848" s="5">
        <v>913</v>
      </c>
      <c r="B848" s="59"/>
      <c r="C848" s="60"/>
      <c r="D848" s="63"/>
      <c r="E848" s="63"/>
      <c r="F848" s="60"/>
      <c r="G848" s="61"/>
      <c r="H848" s="62"/>
      <c r="I848" s="65"/>
      <c r="J848" s="65"/>
      <c r="K848" s="62"/>
      <c r="L848" s="65"/>
      <c r="M848" s="65"/>
      <c r="N848" s="64"/>
      <c r="P848">
        <f t="shared" si="52"/>
        <v>928</v>
      </c>
      <c r="Q848" t="str">
        <f t="shared" si="53"/>
        <v>NA</v>
      </c>
      <c r="R848" t="str">
        <f>IF(ISERROR(MATCH(P848&amp;"."&amp;Q848,R$5:R847,0)),P848&amp;"."&amp;Q848,P848&amp;"."&amp;Q848&amp;COUNTIFS(P$5:P847,P848,Q$5:Q847,Q848))</f>
        <v>928.NA2</v>
      </c>
      <c r="S848" s="55">
        <f t="shared" si="54"/>
        <v>0</v>
      </c>
    </row>
    <row r="849" spans="1:19" hidden="1">
      <c r="A849" s="5">
        <v>914</v>
      </c>
      <c r="B849" s="59"/>
      <c r="C849" s="60">
        <v>929</v>
      </c>
      <c r="D849" s="63" t="s">
        <v>364</v>
      </c>
      <c r="E849" s="63"/>
      <c r="F849" s="60"/>
      <c r="G849" s="61"/>
      <c r="H849" s="62"/>
      <c r="I849" s="65"/>
      <c r="J849" s="65"/>
      <c r="K849" s="62"/>
      <c r="L849" s="65"/>
      <c r="M849" s="65"/>
      <c r="N849" s="64"/>
      <c r="P849">
        <f t="shared" si="52"/>
        <v>929</v>
      </c>
      <c r="Q849" t="str">
        <f t="shared" si="53"/>
        <v>NA</v>
      </c>
      <c r="R849" t="str">
        <f>IF(ISERROR(MATCH(P849&amp;"."&amp;Q849,R$5:R848,0)),P849&amp;"."&amp;Q849,P849&amp;"."&amp;Q849&amp;COUNTIFS(P$5:P848,P849,Q$5:Q848,Q849))</f>
        <v>929.NA</v>
      </c>
      <c r="S849" s="55">
        <f t="shared" si="54"/>
        <v>0</v>
      </c>
    </row>
    <row r="850" spans="1:19" hidden="1">
      <c r="A850" s="5">
        <v>915</v>
      </c>
      <c r="B850" s="59"/>
      <c r="C850" s="60"/>
      <c r="D850" s="63"/>
      <c r="E850" s="63"/>
      <c r="F850" s="60" t="s">
        <v>361</v>
      </c>
      <c r="G850" s="61" t="s">
        <v>12</v>
      </c>
      <c r="H850" s="62"/>
      <c r="I850" s="65">
        <v>0</v>
      </c>
      <c r="J850" s="65">
        <v>0</v>
      </c>
      <c r="K850" s="62"/>
      <c r="L850" s="65">
        <v>0</v>
      </c>
      <c r="M850" s="65">
        <v>0</v>
      </c>
      <c r="N850" s="64">
        <v>0</v>
      </c>
      <c r="P850">
        <f t="shared" si="52"/>
        <v>929</v>
      </c>
      <c r="Q850" t="str">
        <f t="shared" si="53"/>
        <v>S</v>
      </c>
      <c r="R850" t="str">
        <f>IF(ISERROR(MATCH(P850&amp;"."&amp;Q850,R$5:R849,0)),P850&amp;"."&amp;Q850,P850&amp;"."&amp;Q850&amp;COUNTIFS(P$5:P849,P850,Q$5:Q849,Q850))</f>
        <v>929.S</v>
      </c>
      <c r="S850" s="55">
        <f t="shared" si="54"/>
        <v>0</v>
      </c>
    </row>
    <row r="851" spans="1:19" hidden="1">
      <c r="A851" s="5">
        <v>916</v>
      </c>
      <c r="B851" s="59"/>
      <c r="C851" s="60"/>
      <c r="D851" s="63"/>
      <c r="E851" s="63"/>
      <c r="F851" s="63" t="s">
        <v>361</v>
      </c>
      <c r="G851" s="63" t="s">
        <v>136</v>
      </c>
      <c r="H851" s="62"/>
      <c r="I851" s="66">
        <v>-130646460.7</v>
      </c>
      <c r="J851" s="66">
        <v>-56698644.209592134</v>
      </c>
      <c r="K851" s="62"/>
      <c r="L851" s="66">
        <v>-137042390.02799839</v>
      </c>
      <c r="M851" s="66">
        <v>-77162374.948929995</v>
      </c>
      <c r="N851" s="66">
        <v>-59880015.079068385</v>
      </c>
      <c r="P851">
        <f t="shared" si="52"/>
        <v>929</v>
      </c>
      <c r="Q851" t="str">
        <f t="shared" si="53"/>
        <v>SO</v>
      </c>
      <c r="R851" t="str">
        <f>IF(ISERROR(MATCH(P851&amp;"."&amp;Q851,R$5:R850,0)),P851&amp;"."&amp;Q851,P851&amp;"."&amp;Q851&amp;COUNTIFS(P$5:P850,P851,Q$5:Q850,Q851))</f>
        <v>929.SO</v>
      </c>
      <c r="S851" s="55">
        <f t="shared" si="54"/>
        <v>-59880015.079068385</v>
      </c>
    </row>
    <row r="852" spans="1:19" hidden="1">
      <c r="A852" s="5">
        <v>917</v>
      </c>
      <c r="B852" s="59"/>
      <c r="C852" s="60"/>
      <c r="D852" s="63"/>
      <c r="E852" s="63"/>
      <c r="F852" s="63"/>
      <c r="G852" s="63"/>
      <c r="H852" s="62" t="s">
        <v>178</v>
      </c>
      <c r="I852" s="65">
        <v>-130646460.7</v>
      </c>
      <c r="J852" s="65">
        <v>-56698644.209592134</v>
      </c>
      <c r="K852" s="62"/>
      <c r="L852" s="65">
        <v>-137042390.02799839</v>
      </c>
      <c r="M852" s="65">
        <v>-77162374.948929995</v>
      </c>
      <c r="N852" s="65">
        <v>-59880015.079068385</v>
      </c>
      <c r="P852">
        <f t="shared" si="52"/>
        <v>929</v>
      </c>
      <c r="Q852" t="str">
        <f t="shared" si="53"/>
        <v>NA</v>
      </c>
      <c r="R852" t="str">
        <f>IF(ISERROR(MATCH(P852&amp;"."&amp;Q852,R$5:R851,0)),P852&amp;"."&amp;Q852,P852&amp;"."&amp;Q852&amp;COUNTIFS(P$5:P851,P852,Q$5:Q851,Q852))</f>
        <v>929.NA1</v>
      </c>
      <c r="S852" s="55">
        <f t="shared" si="54"/>
        <v>-59880015.079068385</v>
      </c>
    </row>
    <row r="853" spans="1:19" ht="15.75" hidden="1" thickBot="1">
      <c r="A853" s="5">
        <v>918</v>
      </c>
      <c r="B853" s="59"/>
      <c r="C853" s="45"/>
      <c r="D853" s="63"/>
      <c r="E853" s="63"/>
      <c r="F853" s="63"/>
      <c r="G853" s="63"/>
      <c r="H853" s="41"/>
      <c r="I853" s="68"/>
      <c r="J853" s="68"/>
      <c r="K853" s="41"/>
      <c r="L853" s="68"/>
      <c r="M853" s="68"/>
      <c r="N853" s="68"/>
      <c r="P853">
        <f t="shared" si="52"/>
        <v>929</v>
      </c>
      <c r="Q853" t="str">
        <f t="shared" si="53"/>
        <v>NA</v>
      </c>
      <c r="R853" t="str">
        <f>IF(ISERROR(MATCH(P853&amp;"."&amp;Q853,R$5:R852,0)),P853&amp;"."&amp;Q853,P853&amp;"."&amp;Q853&amp;COUNTIFS(P$5:P852,P853,Q$5:Q852,Q853))</f>
        <v>929.NA2</v>
      </c>
      <c r="S853" s="55">
        <f t="shared" si="54"/>
        <v>0</v>
      </c>
    </row>
    <row r="854" spans="1:19" hidden="1">
      <c r="A854" s="5">
        <v>919</v>
      </c>
      <c r="B854" s="59"/>
      <c r="C854" s="60">
        <v>930</v>
      </c>
      <c r="D854" s="63" t="s">
        <v>365</v>
      </c>
      <c r="E854" s="63"/>
      <c r="F854" s="63"/>
      <c r="G854" s="63"/>
      <c r="H854" s="62"/>
      <c r="I854" s="65"/>
      <c r="J854" s="65"/>
      <c r="K854" s="62"/>
      <c r="L854" s="65"/>
      <c r="M854" s="65"/>
      <c r="N854" s="65"/>
      <c r="P854">
        <f t="shared" si="52"/>
        <v>930</v>
      </c>
      <c r="Q854" t="str">
        <f t="shared" si="53"/>
        <v>NA</v>
      </c>
      <c r="R854" t="str">
        <f>IF(ISERROR(MATCH(P854&amp;"."&amp;Q854,R$5:R853,0)),P854&amp;"."&amp;Q854,P854&amp;"."&amp;Q854&amp;COUNTIFS(P$5:P853,P854,Q$5:Q853,Q854))</f>
        <v>930.NA</v>
      </c>
      <c r="S854" s="55">
        <f t="shared" si="54"/>
        <v>0</v>
      </c>
    </row>
    <row r="855" spans="1:19" hidden="1">
      <c r="A855" s="5">
        <v>920</v>
      </c>
      <c r="B855" s="59"/>
      <c r="C855" s="60"/>
      <c r="D855" s="63"/>
      <c r="E855" s="63"/>
      <c r="F855" s="63" t="s">
        <v>171</v>
      </c>
      <c r="G855" s="63" t="s">
        <v>12</v>
      </c>
      <c r="H855" s="62"/>
      <c r="I855" s="65">
        <v>55230</v>
      </c>
      <c r="J855" s="65">
        <v>20000</v>
      </c>
      <c r="K855" s="62"/>
      <c r="L855" s="65">
        <v>56071.633447224303</v>
      </c>
      <c r="M855" s="65">
        <v>35766.859430485463</v>
      </c>
      <c r="N855" s="65">
        <v>20304.774016738837</v>
      </c>
      <c r="P855">
        <f t="shared" si="52"/>
        <v>930</v>
      </c>
      <c r="Q855" t="str">
        <f t="shared" si="53"/>
        <v>S</v>
      </c>
      <c r="R855" t="str">
        <f>IF(ISERROR(MATCH(P855&amp;"."&amp;Q855,R$5:R854,0)),P855&amp;"."&amp;Q855,P855&amp;"."&amp;Q855&amp;COUNTIFS(P$5:P854,P855,Q$5:Q854,Q855))</f>
        <v>930.S</v>
      </c>
      <c r="S855" s="55">
        <f t="shared" si="54"/>
        <v>20304.774016738837</v>
      </c>
    </row>
    <row r="856" spans="1:19" hidden="1">
      <c r="A856" s="5">
        <v>921</v>
      </c>
      <c r="B856" s="59"/>
      <c r="C856" s="60"/>
      <c r="D856" s="63"/>
      <c r="E856" s="61"/>
      <c r="F856" s="63" t="s">
        <v>149</v>
      </c>
      <c r="G856" s="63" t="s">
        <v>155</v>
      </c>
      <c r="H856" s="62"/>
      <c r="I856" s="65">
        <v>0</v>
      </c>
      <c r="J856" s="65">
        <v>0</v>
      </c>
      <c r="K856" s="62"/>
      <c r="L856" s="65">
        <v>0</v>
      </c>
      <c r="M856" s="65">
        <v>0</v>
      </c>
      <c r="N856" s="64">
        <v>0</v>
      </c>
      <c r="P856">
        <f t="shared" si="52"/>
        <v>930</v>
      </c>
      <c r="Q856" t="str">
        <f t="shared" si="53"/>
        <v>CN</v>
      </c>
      <c r="R856" t="str">
        <f>IF(ISERROR(MATCH(P856&amp;"."&amp;Q856,R$5:R855,0)),P856&amp;"."&amp;Q856,P856&amp;"."&amp;Q856&amp;COUNTIFS(P$5:P855,P856,Q$5:Q855,Q856))</f>
        <v>930.CN</v>
      </c>
      <c r="S856" s="55">
        <f t="shared" si="54"/>
        <v>0</v>
      </c>
    </row>
    <row r="857" spans="1:19" hidden="1">
      <c r="A857" s="5">
        <v>922</v>
      </c>
      <c r="B857" s="59"/>
      <c r="C857" s="60"/>
      <c r="D857" s="63"/>
      <c r="E857" s="61"/>
      <c r="F857" s="63" t="s">
        <v>13</v>
      </c>
      <c r="G857" s="63" t="s">
        <v>15</v>
      </c>
      <c r="H857" s="62"/>
      <c r="I857" s="65">
        <v>0</v>
      </c>
      <c r="J857" s="65">
        <v>0</v>
      </c>
      <c r="K857" s="62"/>
      <c r="L857" s="65">
        <v>0</v>
      </c>
      <c r="M857" s="65">
        <v>0</v>
      </c>
      <c r="N857" s="64">
        <v>0</v>
      </c>
      <c r="P857">
        <f t="shared" si="52"/>
        <v>930</v>
      </c>
      <c r="Q857" t="str">
        <f t="shared" si="53"/>
        <v>SG</v>
      </c>
      <c r="R857" t="str">
        <f>IF(ISERROR(MATCH(P857&amp;"."&amp;Q857,R$5:R856,0)),P857&amp;"."&amp;Q857,P857&amp;"."&amp;Q857&amp;COUNTIFS(P$5:P856,P857,Q$5:Q856,Q857))</f>
        <v>930.SG</v>
      </c>
      <c r="S857" s="55">
        <f t="shared" si="54"/>
        <v>0</v>
      </c>
    </row>
    <row r="858" spans="1:19" hidden="1">
      <c r="A858" s="5">
        <v>923</v>
      </c>
      <c r="B858" s="59"/>
      <c r="C858" s="60"/>
      <c r="D858" s="63"/>
      <c r="E858" s="61"/>
      <c r="F858" s="63" t="s">
        <v>361</v>
      </c>
      <c r="G858" s="63" t="s">
        <v>136</v>
      </c>
      <c r="H858" s="62"/>
      <c r="I858" s="65">
        <v>2243870.14</v>
      </c>
      <c r="J858" s="65">
        <v>973806.66907257203</v>
      </c>
      <c r="K858" s="62"/>
      <c r="L858" s="65">
        <v>2278063.805780407</v>
      </c>
      <c r="M858" s="65">
        <v>1282674.7512452272</v>
      </c>
      <c r="N858" s="64">
        <v>995389.05453517986</v>
      </c>
      <c r="P858">
        <f t="shared" si="52"/>
        <v>930</v>
      </c>
      <c r="Q858" t="str">
        <f t="shared" si="53"/>
        <v>SO</v>
      </c>
      <c r="R858" t="str">
        <f>IF(ISERROR(MATCH(P858&amp;"."&amp;Q858,R$5:R857,0)),P858&amp;"."&amp;Q858,P858&amp;"."&amp;Q858&amp;COUNTIFS(P$5:P857,P858,Q$5:Q857,Q858))</f>
        <v>930.SO</v>
      </c>
      <c r="S858" s="55">
        <f t="shared" si="54"/>
        <v>995389.05453517986</v>
      </c>
    </row>
    <row r="859" spans="1:19" hidden="1">
      <c r="A859" s="5">
        <v>924</v>
      </c>
      <c r="B859" s="59"/>
      <c r="C859" s="60"/>
      <c r="D859" s="63"/>
      <c r="E859" s="61"/>
      <c r="F859" s="63"/>
      <c r="G859" s="63"/>
      <c r="H859" s="62" t="s">
        <v>178</v>
      </c>
      <c r="I859" s="65">
        <v>2299100.14</v>
      </c>
      <c r="J859" s="65">
        <v>993806.66907257203</v>
      </c>
      <c r="K859" s="62"/>
      <c r="L859" s="65">
        <v>2334135.4392276313</v>
      </c>
      <c r="M859" s="65">
        <v>1318441.6106757126</v>
      </c>
      <c r="N859" s="64">
        <v>1015693.8285519187</v>
      </c>
      <c r="P859">
        <f t="shared" si="52"/>
        <v>930</v>
      </c>
      <c r="Q859" t="str">
        <f t="shared" si="53"/>
        <v>NA</v>
      </c>
      <c r="R859" t="str">
        <f>IF(ISERROR(MATCH(P859&amp;"."&amp;Q859,R$5:R858,0)),P859&amp;"."&amp;Q859,P859&amp;"."&amp;Q859&amp;COUNTIFS(P$5:P858,P859,Q$5:Q858,Q859))</f>
        <v>930.NA1</v>
      </c>
      <c r="S859" s="55">
        <f t="shared" si="54"/>
        <v>1015693.8285519187</v>
      </c>
    </row>
    <row r="860" spans="1:19" hidden="1">
      <c r="A860" s="5">
        <v>925</v>
      </c>
      <c r="B860" s="59"/>
      <c r="C860" s="60"/>
      <c r="D860" s="63"/>
      <c r="E860" s="70"/>
      <c r="F860" s="63"/>
      <c r="G860" s="63"/>
      <c r="H860" s="62"/>
      <c r="I860" s="91"/>
      <c r="J860" s="91"/>
      <c r="K860" s="62"/>
      <c r="L860" s="91"/>
      <c r="M860" s="91"/>
      <c r="N860" s="64"/>
      <c r="P860">
        <f t="shared" si="52"/>
        <v>930</v>
      </c>
      <c r="Q860" t="str">
        <f t="shared" si="53"/>
        <v>NA</v>
      </c>
      <c r="R860" t="str">
        <f>IF(ISERROR(MATCH(P860&amp;"."&amp;Q860,R$5:R859,0)),P860&amp;"."&amp;Q860,P860&amp;"."&amp;Q860&amp;COUNTIFS(P$5:P859,P860,Q$5:Q859,Q860))</f>
        <v>930.NA2</v>
      </c>
      <c r="S860" s="55">
        <f t="shared" si="54"/>
        <v>0</v>
      </c>
    </row>
    <row r="861" spans="1:19" ht="15.75" hidden="1" thickBot="1">
      <c r="A861" s="5">
        <v>926</v>
      </c>
      <c r="B861" s="59"/>
      <c r="C861" s="60">
        <v>931</v>
      </c>
      <c r="D861" s="63" t="s">
        <v>187</v>
      </c>
      <c r="E861" s="63"/>
      <c r="F861" s="63"/>
      <c r="G861" s="63"/>
      <c r="H861" s="62"/>
      <c r="I861" s="81"/>
      <c r="J861" s="81"/>
      <c r="K861" s="62"/>
      <c r="L861" s="81"/>
      <c r="M861" s="81"/>
      <c r="N861" s="81"/>
      <c r="P861">
        <f t="shared" si="52"/>
        <v>931</v>
      </c>
      <c r="Q861" t="str">
        <f t="shared" si="53"/>
        <v>NA</v>
      </c>
      <c r="R861" t="str">
        <f>IF(ISERROR(MATCH(P861&amp;"."&amp;Q861,R$5:R860,0)),P861&amp;"."&amp;Q861,P861&amp;"."&amp;Q861&amp;COUNTIFS(P$5:P860,P861,Q$5:Q860,Q861))</f>
        <v>931.NA</v>
      </c>
      <c r="S861" s="55">
        <f t="shared" si="54"/>
        <v>0</v>
      </c>
    </row>
    <row r="862" spans="1:19" hidden="1">
      <c r="A862" s="5">
        <v>927</v>
      </c>
      <c r="B862" s="59"/>
      <c r="C862" s="60"/>
      <c r="D862" s="63"/>
      <c r="E862" s="63"/>
      <c r="F862" s="63" t="s">
        <v>171</v>
      </c>
      <c r="G862" s="63" t="s">
        <v>12</v>
      </c>
      <c r="H862" s="62"/>
      <c r="I862" s="65">
        <v>362674.97000000003</v>
      </c>
      <c r="J862" s="65">
        <v>9974.02</v>
      </c>
      <c r="K862" s="62"/>
      <c r="L862" s="65">
        <v>376659.29989832029</v>
      </c>
      <c r="M862" s="65">
        <v>366300.69315363141</v>
      </c>
      <c r="N862" s="65">
        <v>10358.606744688901</v>
      </c>
      <c r="P862">
        <f t="shared" si="52"/>
        <v>931</v>
      </c>
      <c r="Q862" t="str">
        <f t="shared" si="53"/>
        <v>S</v>
      </c>
      <c r="R862" t="str">
        <f>IF(ISERROR(MATCH(P862&amp;"."&amp;Q862,R$5:R861,0)),P862&amp;"."&amp;Q862,P862&amp;"."&amp;Q862&amp;COUNTIFS(P$5:P861,P862,Q$5:Q861,Q862))</f>
        <v>931.S</v>
      </c>
      <c r="S862" s="55">
        <f t="shared" si="54"/>
        <v>10358.606744688901</v>
      </c>
    </row>
    <row r="863" spans="1:19" ht="15.75" hidden="1" thickBot="1">
      <c r="A863" s="5">
        <v>928</v>
      </c>
      <c r="B863" s="59"/>
      <c r="C863" s="45"/>
      <c r="D863" s="63"/>
      <c r="E863" s="63"/>
      <c r="F863" s="63" t="s">
        <v>171</v>
      </c>
      <c r="G863" s="63" t="s">
        <v>136</v>
      </c>
      <c r="H863" s="41"/>
      <c r="I863" s="92">
        <v>2178623.9300000002</v>
      </c>
      <c r="J863" s="92">
        <v>945490.77266793011</v>
      </c>
      <c r="K863" s="41"/>
      <c r="L863" s="92">
        <v>2262629.1641122275</v>
      </c>
      <c r="M863" s="92">
        <v>1273984.2022307278</v>
      </c>
      <c r="N863" s="92">
        <v>988644.96188149962</v>
      </c>
      <c r="P863">
        <f t="shared" si="52"/>
        <v>931</v>
      </c>
      <c r="Q863" t="str">
        <f t="shared" si="53"/>
        <v>SO</v>
      </c>
      <c r="R863" t="str">
        <f>IF(ISERROR(MATCH(P863&amp;"."&amp;Q863,R$5:R862,0)),P863&amp;"."&amp;Q863,P863&amp;"."&amp;Q863&amp;COUNTIFS(P$5:P862,P863,Q$5:Q862,Q863))</f>
        <v>931.SO</v>
      </c>
      <c r="S863" s="55">
        <f t="shared" si="54"/>
        <v>988644.96188149962</v>
      </c>
    </row>
    <row r="864" spans="1:19" hidden="1">
      <c r="A864" s="5">
        <v>929</v>
      </c>
      <c r="B864" s="59"/>
      <c r="C864" s="60"/>
      <c r="D864" s="61"/>
      <c r="E864" s="63"/>
      <c r="F864" s="63"/>
      <c r="G864" s="63"/>
      <c r="H864" s="62" t="s">
        <v>178</v>
      </c>
      <c r="I864" s="65">
        <v>2541298.9000000004</v>
      </c>
      <c r="J864" s="65">
        <v>955464.79266793013</v>
      </c>
      <c r="K864" s="62"/>
      <c r="L864" s="65">
        <v>2639288.4640105478</v>
      </c>
      <c r="M864" s="65">
        <v>1640284.8953843592</v>
      </c>
      <c r="N864" s="65">
        <v>999003.56862618856</v>
      </c>
      <c r="P864">
        <f t="shared" si="52"/>
        <v>931</v>
      </c>
      <c r="Q864" t="str">
        <f t="shared" si="53"/>
        <v>NA</v>
      </c>
      <c r="R864" t="str">
        <f>IF(ISERROR(MATCH(P864&amp;"."&amp;Q864,R$5:R863,0)),P864&amp;"."&amp;Q864,P864&amp;"."&amp;Q864&amp;COUNTIFS(P$5:P863,P864,Q$5:Q863,Q864))</f>
        <v>931.NA1</v>
      </c>
      <c r="S864" s="55">
        <f t="shared" si="54"/>
        <v>999003.56862618856</v>
      </c>
    </row>
    <row r="865" spans="1:19" hidden="1">
      <c r="A865" s="5">
        <v>930</v>
      </c>
      <c r="B865" s="59"/>
      <c r="C865" s="60"/>
      <c r="D865" s="63"/>
      <c r="E865" s="63"/>
      <c r="F865" s="60"/>
      <c r="G865" s="61"/>
      <c r="H865" s="62"/>
      <c r="I865" s="65"/>
      <c r="J865" s="65"/>
      <c r="K865" s="62"/>
      <c r="L865" s="65"/>
      <c r="M865" s="65"/>
      <c r="N865" s="64"/>
      <c r="P865">
        <f t="shared" si="52"/>
        <v>931</v>
      </c>
      <c r="Q865" t="str">
        <f t="shared" si="53"/>
        <v>NA</v>
      </c>
      <c r="R865" t="str">
        <f>IF(ISERROR(MATCH(P865&amp;"."&amp;Q865,R$5:R864,0)),P865&amp;"."&amp;Q865,P865&amp;"."&amp;Q865&amp;COUNTIFS(P$5:P864,P865,Q$5:Q864,Q865))</f>
        <v>931.NA2</v>
      </c>
      <c r="S865" s="55">
        <f t="shared" si="54"/>
        <v>0</v>
      </c>
    </row>
    <row r="866" spans="1:19" hidden="1">
      <c r="A866" s="5">
        <v>931</v>
      </c>
      <c r="B866" s="59"/>
      <c r="C866" s="60">
        <v>935</v>
      </c>
      <c r="D866" s="63" t="s">
        <v>366</v>
      </c>
      <c r="E866" s="63"/>
      <c r="F866" s="60"/>
      <c r="G866" s="61"/>
      <c r="H866" s="62"/>
      <c r="I866" s="65"/>
      <c r="J866" s="65"/>
      <c r="K866" s="62"/>
      <c r="L866" s="65"/>
      <c r="M866" s="65"/>
      <c r="N866" s="64"/>
      <c r="P866">
        <f t="shared" si="52"/>
        <v>935</v>
      </c>
      <c r="Q866" t="str">
        <f t="shared" si="53"/>
        <v>NA</v>
      </c>
      <c r="R866" t="str">
        <f>IF(ISERROR(MATCH(P866&amp;"."&amp;Q866,R$5:R865,0)),P866&amp;"."&amp;Q866,P866&amp;"."&amp;Q866&amp;COUNTIFS(P$5:P865,P866,Q$5:Q865,Q866))</f>
        <v>935.NA</v>
      </c>
      <c r="S866" s="55">
        <f t="shared" si="54"/>
        <v>0</v>
      </c>
    </row>
    <row r="867" spans="1:19" hidden="1">
      <c r="A867" s="5">
        <v>932</v>
      </c>
      <c r="B867" s="59"/>
      <c r="C867" s="60"/>
      <c r="D867" s="63"/>
      <c r="E867" s="63"/>
      <c r="F867" s="60" t="s">
        <v>164</v>
      </c>
      <c r="G867" s="61" t="s">
        <v>12</v>
      </c>
      <c r="H867" s="62"/>
      <c r="I867" s="65">
        <v>428430.81</v>
      </c>
      <c r="J867" s="65">
        <v>97430.38</v>
      </c>
      <c r="K867" s="62"/>
      <c r="L867" s="65">
        <v>432881.41702527087</v>
      </c>
      <c r="M867" s="65">
        <v>334776.35895995487</v>
      </c>
      <c r="N867" s="64">
        <v>98105.058065315985</v>
      </c>
      <c r="P867">
        <f t="shared" si="52"/>
        <v>935</v>
      </c>
      <c r="Q867" t="str">
        <f t="shared" si="53"/>
        <v>S</v>
      </c>
      <c r="R867" t="str">
        <f>IF(ISERROR(MATCH(P867&amp;"."&amp;Q867,R$5:R866,0)),P867&amp;"."&amp;Q867,P867&amp;"."&amp;Q867&amp;COUNTIFS(P$5:P866,P867,Q$5:Q866,Q867))</f>
        <v>935.S</v>
      </c>
      <c r="S867" s="55">
        <f t="shared" si="54"/>
        <v>98105.058065315985</v>
      </c>
    </row>
    <row r="868" spans="1:19" hidden="1">
      <c r="A868" s="5">
        <v>933</v>
      </c>
      <c r="B868" s="59"/>
      <c r="C868" s="60"/>
      <c r="D868" s="63"/>
      <c r="E868" s="63"/>
      <c r="F868" s="60" t="s">
        <v>149</v>
      </c>
      <c r="G868" s="61" t="s">
        <v>155</v>
      </c>
      <c r="H868" s="62"/>
      <c r="I868" s="65">
        <v>50456.41</v>
      </c>
      <c r="J868" s="65">
        <v>24122.904672014432</v>
      </c>
      <c r="K868" s="62"/>
      <c r="L868" s="65">
        <v>50805.80649297878</v>
      </c>
      <c r="M868" s="65">
        <v>26515.857469357423</v>
      </c>
      <c r="N868" s="64">
        <v>24289.949023621357</v>
      </c>
      <c r="P868">
        <f t="shared" si="52"/>
        <v>935</v>
      </c>
      <c r="Q868" t="str">
        <f t="shared" si="53"/>
        <v>CN</v>
      </c>
      <c r="R868" t="str">
        <f>IF(ISERROR(MATCH(P868&amp;"."&amp;Q868,R$5:R867,0)),P868&amp;"."&amp;Q868,P868&amp;"."&amp;Q868&amp;COUNTIFS(P$5:P867,P868,Q$5:Q867,Q868))</f>
        <v>935.CN</v>
      </c>
      <c r="S868" s="55">
        <f t="shared" si="54"/>
        <v>24289.949023621357</v>
      </c>
    </row>
    <row r="869" spans="1:19" hidden="1">
      <c r="A869" s="5">
        <v>934</v>
      </c>
      <c r="B869" s="59"/>
      <c r="C869" s="60"/>
      <c r="D869" s="63"/>
      <c r="E869" s="63"/>
      <c r="F869" s="63" t="s">
        <v>164</v>
      </c>
      <c r="G869" s="63" t="s">
        <v>136</v>
      </c>
      <c r="H869" s="62"/>
      <c r="I869" s="66">
        <v>23958481.25</v>
      </c>
      <c r="J869" s="66">
        <v>10397628.813804783</v>
      </c>
      <c r="K869" s="62"/>
      <c r="L869" s="66">
        <v>24330479.518780168</v>
      </c>
      <c r="M869" s="66">
        <v>13699393.179962905</v>
      </c>
      <c r="N869" s="66">
        <v>10631086.338817263</v>
      </c>
      <c r="P869">
        <f t="shared" si="52"/>
        <v>935</v>
      </c>
      <c r="Q869" t="str">
        <f t="shared" si="53"/>
        <v>SO</v>
      </c>
      <c r="R869" t="str">
        <f>IF(ISERROR(MATCH(P869&amp;"."&amp;Q869,R$5:R868,0)),P869&amp;"."&amp;Q869,P869&amp;"."&amp;Q869&amp;COUNTIFS(P$5:P868,P869,Q$5:Q868,Q869))</f>
        <v>935.SO</v>
      </c>
      <c r="S869" s="55">
        <f t="shared" si="54"/>
        <v>10631086.338817263</v>
      </c>
    </row>
    <row r="870" spans="1:19" hidden="1">
      <c r="A870" s="5">
        <v>935</v>
      </c>
      <c r="B870" s="59"/>
      <c r="C870" s="60"/>
      <c r="D870" s="63"/>
      <c r="E870" s="63"/>
      <c r="F870" s="63"/>
      <c r="G870" s="63"/>
      <c r="H870" s="62" t="s">
        <v>178</v>
      </c>
      <c r="I870" s="65">
        <v>24437368.469999999</v>
      </c>
      <c r="J870" s="65">
        <v>10519182.098476797</v>
      </c>
      <c r="K870" s="62"/>
      <c r="L870" s="65">
        <v>24814166.742298417</v>
      </c>
      <c r="M870" s="65">
        <v>14060685.396392217</v>
      </c>
      <c r="N870" s="65">
        <v>10753481.3459062</v>
      </c>
      <c r="P870">
        <f t="shared" si="52"/>
        <v>935</v>
      </c>
      <c r="Q870" t="str">
        <f t="shared" si="53"/>
        <v>NA</v>
      </c>
      <c r="R870" t="str">
        <f>IF(ISERROR(MATCH(P870&amp;"."&amp;Q870,R$5:R869,0)),P870&amp;"."&amp;Q870,P870&amp;"."&amp;Q870&amp;COUNTIFS(P$5:P869,P870,Q$5:Q869,Q870))</f>
        <v>935.NA1</v>
      </c>
      <c r="S870" s="55">
        <f t="shared" si="54"/>
        <v>10753481.3459062</v>
      </c>
    </row>
    <row r="871" spans="1:19" hidden="1">
      <c r="A871" s="5">
        <v>936</v>
      </c>
      <c r="B871" s="59"/>
      <c r="C871" s="60"/>
      <c r="D871" s="61"/>
      <c r="E871" s="63"/>
      <c r="F871" s="63"/>
      <c r="G871" s="63"/>
      <c r="H871" s="62"/>
      <c r="I871" s="65"/>
      <c r="J871" s="65"/>
      <c r="K871" s="62"/>
      <c r="L871" s="65"/>
      <c r="M871" s="65"/>
      <c r="N871" s="65"/>
      <c r="P871">
        <f t="shared" si="52"/>
        <v>935</v>
      </c>
      <c r="Q871" t="str">
        <f t="shared" si="53"/>
        <v>NA</v>
      </c>
      <c r="R871" t="str">
        <f>IF(ISERROR(MATCH(P871&amp;"."&amp;Q871,R$5:R870,0)),P871&amp;"."&amp;Q871,P871&amp;"."&amp;Q871&amp;COUNTIFS(P$5:P870,P871,Q$5:Q870,Q871))</f>
        <v>935.NA2</v>
      </c>
      <c r="S871" s="55">
        <f t="shared" si="54"/>
        <v>0</v>
      </c>
    </row>
    <row r="872" spans="1:19" hidden="1">
      <c r="A872" s="5">
        <v>937</v>
      </c>
      <c r="B872" s="59"/>
      <c r="C872" s="60" t="s">
        <v>367</v>
      </c>
      <c r="D872" s="63"/>
      <c r="E872" s="63"/>
      <c r="F872" s="60"/>
      <c r="G872" s="61"/>
      <c r="H872" s="62" t="s">
        <v>178</v>
      </c>
      <c r="I872" s="65">
        <v>123122911.03</v>
      </c>
      <c r="J872" s="65">
        <v>50488544.359588675</v>
      </c>
      <c r="K872" s="62"/>
      <c r="L872" s="65">
        <v>136462850.17226759</v>
      </c>
      <c r="M872" s="65">
        <v>80846880.159075201</v>
      </c>
      <c r="N872" s="64">
        <v>55615970.013192415</v>
      </c>
      <c r="P872" t="str">
        <f t="shared" si="52"/>
        <v>Total Administrative &amp; General Expense</v>
      </c>
      <c r="Q872" t="str">
        <f t="shared" si="53"/>
        <v>NA</v>
      </c>
      <c r="R872" t="str">
        <f>IF(ISERROR(MATCH(P872&amp;"."&amp;Q872,R$5:R871,0)),P872&amp;"."&amp;Q872,P872&amp;"."&amp;Q872&amp;COUNTIFS(P$5:P871,P872,Q$5:Q871,Q872))</f>
        <v>Total Administrative &amp; General Expense.NA</v>
      </c>
      <c r="S872" s="55">
        <f t="shared" si="54"/>
        <v>55615970.013192415</v>
      </c>
    </row>
    <row r="873" spans="1:19" hidden="1">
      <c r="A873" s="5">
        <v>938</v>
      </c>
      <c r="B873" s="59"/>
      <c r="C873" s="60"/>
      <c r="D873" s="63"/>
      <c r="E873" s="63"/>
      <c r="F873" s="63"/>
      <c r="G873" s="63"/>
      <c r="H873" s="62"/>
      <c r="I873" s="66"/>
      <c r="J873" s="66"/>
      <c r="K873" s="62"/>
      <c r="L873" s="66"/>
      <c r="M873" s="66"/>
      <c r="N873" s="66"/>
      <c r="P873" t="str">
        <f t="shared" si="52"/>
        <v>Total Administrative &amp; General Expense</v>
      </c>
      <c r="Q873" t="str">
        <f t="shared" si="53"/>
        <v>NA</v>
      </c>
      <c r="R873" t="str">
        <f>IF(ISERROR(MATCH(P873&amp;"."&amp;Q873,R$5:R872,0)),P873&amp;"."&amp;Q873,P873&amp;"."&amp;Q873&amp;COUNTIFS(P$5:P872,P873,Q$5:Q872,Q873))</f>
        <v>Total Administrative &amp; General Expense.NA1</v>
      </c>
      <c r="S873" s="55">
        <f t="shared" si="54"/>
        <v>0</v>
      </c>
    </row>
    <row r="874" spans="1:19" hidden="1">
      <c r="A874" s="5">
        <v>939</v>
      </c>
      <c r="B874" s="59"/>
      <c r="C874" s="60" t="s">
        <v>368</v>
      </c>
      <c r="D874" s="63"/>
      <c r="E874" s="63"/>
      <c r="F874" s="63"/>
      <c r="G874" s="63"/>
      <c r="H874" s="62"/>
      <c r="I874" s="65"/>
      <c r="J874" s="65"/>
      <c r="K874" s="62"/>
      <c r="L874" s="65"/>
      <c r="M874" s="65"/>
      <c r="N874" s="65"/>
      <c r="P874" t="str">
        <f t="shared" si="52"/>
        <v>Summary of A&amp;G Expense by Factor</v>
      </c>
      <c r="Q874" t="str">
        <f t="shared" si="53"/>
        <v>NA</v>
      </c>
      <c r="R874" t="str">
        <f>IF(ISERROR(MATCH(P874&amp;"."&amp;Q874,R$5:R873,0)),P874&amp;"."&amp;Q874,P874&amp;"."&amp;Q874&amp;COUNTIFS(P$5:P873,P874,Q$5:Q873,Q874))</f>
        <v>Summary of A&amp;G Expense by Factor.NA</v>
      </c>
      <c r="S874" s="55">
        <f t="shared" si="54"/>
        <v>0</v>
      </c>
    </row>
    <row r="875" spans="1:19" hidden="1">
      <c r="A875" s="5">
        <v>940</v>
      </c>
      <c r="B875" s="59"/>
      <c r="C875" s="60"/>
      <c r="D875" s="61"/>
      <c r="E875" s="63" t="s">
        <v>12</v>
      </c>
      <c r="F875" s="63"/>
      <c r="G875" s="63"/>
      <c r="H875" s="62"/>
      <c r="I875" s="65">
        <v>30257769.509999998</v>
      </c>
      <c r="J875" s="65">
        <v>10149670.310000001</v>
      </c>
      <c r="K875" s="62"/>
      <c r="L875" s="65">
        <v>29194064.119362958</v>
      </c>
      <c r="M875" s="65">
        <v>20470436.096243352</v>
      </c>
      <c r="N875" s="65">
        <v>8723628.0231196079</v>
      </c>
      <c r="P875" t="str">
        <f t="shared" si="52"/>
        <v>Summary of A&amp;G Expense by Factor</v>
      </c>
      <c r="Q875" t="str">
        <f t="shared" si="53"/>
        <v>NA</v>
      </c>
      <c r="R875" t="str">
        <f>IF(ISERROR(MATCH(P875&amp;"."&amp;Q875,R$5:R874,0)),P875&amp;"."&amp;Q875,P875&amp;"."&amp;Q875&amp;COUNTIFS(P$5:P874,P875,Q$5:Q874,Q875))</f>
        <v>Summary of A&amp;G Expense by Factor.NA1</v>
      </c>
      <c r="S875" s="55">
        <f t="shared" si="54"/>
        <v>8723628.0231196079</v>
      </c>
    </row>
    <row r="876" spans="1:19" hidden="1">
      <c r="A876" s="5">
        <v>941</v>
      </c>
      <c r="B876" s="59"/>
      <c r="C876" s="60"/>
      <c r="D876" s="63"/>
      <c r="E876" s="63" t="s">
        <v>16</v>
      </c>
      <c r="F876" s="60"/>
      <c r="G876" s="61"/>
      <c r="H876" s="62"/>
      <c r="I876" s="65">
        <v>0</v>
      </c>
      <c r="J876" s="65">
        <v>0</v>
      </c>
      <c r="K876" s="62"/>
      <c r="L876" s="65">
        <v>0</v>
      </c>
      <c r="M876" s="65">
        <v>0</v>
      </c>
      <c r="N876" s="64">
        <v>0</v>
      </c>
      <c r="P876" t="str">
        <f t="shared" si="52"/>
        <v>Summary of A&amp;G Expense by Factor</v>
      </c>
      <c r="Q876" t="str">
        <f t="shared" si="53"/>
        <v>NA</v>
      </c>
      <c r="R876" t="str">
        <f>IF(ISERROR(MATCH(P876&amp;"."&amp;Q876,R$5:R875,0)),P876&amp;"."&amp;Q876,P876&amp;"."&amp;Q876&amp;COUNTIFS(P$5:P875,P876,Q$5:Q875,Q876))</f>
        <v>Summary of A&amp;G Expense by Factor.NA2</v>
      </c>
      <c r="S876" s="55">
        <f t="shared" si="54"/>
        <v>0</v>
      </c>
    </row>
    <row r="877" spans="1:19" hidden="1">
      <c r="A877" s="5">
        <v>942</v>
      </c>
      <c r="B877" s="59"/>
      <c r="C877" s="60"/>
      <c r="D877" s="63"/>
      <c r="E877" s="70" t="s">
        <v>136</v>
      </c>
      <c r="F877" s="60"/>
      <c r="G877" s="61"/>
      <c r="H877" s="62"/>
      <c r="I877" s="65">
        <v>87601194.579999983</v>
      </c>
      <c r="J877" s="65">
        <v>38017631.225632355</v>
      </c>
      <c r="K877" s="62"/>
      <c r="L877" s="65">
        <v>101847844.55591308</v>
      </c>
      <c r="M877" s="65">
        <v>57345917.330820866</v>
      </c>
      <c r="N877" s="64">
        <v>44501927.22509221</v>
      </c>
      <c r="P877" t="str">
        <f t="shared" si="52"/>
        <v>Summary of A&amp;G Expense by Factor</v>
      </c>
      <c r="Q877" t="str">
        <f t="shared" si="53"/>
        <v>NA</v>
      </c>
      <c r="R877" t="str">
        <f>IF(ISERROR(MATCH(P877&amp;"."&amp;Q877,R$5:R876,0)),P877&amp;"."&amp;Q877,P877&amp;"."&amp;Q877&amp;COUNTIFS(P$5:P876,P877,Q$5:Q876,Q877))</f>
        <v>Summary of A&amp;G Expense by Factor.NA3</v>
      </c>
      <c r="S877" s="55">
        <f t="shared" si="54"/>
        <v>44501927.22509221</v>
      </c>
    </row>
    <row r="878" spans="1:19" hidden="1">
      <c r="A878" s="5">
        <v>943</v>
      </c>
      <c r="B878" s="59"/>
      <c r="C878" s="60"/>
      <c r="D878" s="63"/>
      <c r="E878" s="63" t="s">
        <v>15</v>
      </c>
      <c r="F878" s="60"/>
      <c r="G878" s="61"/>
      <c r="H878" s="62"/>
      <c r="I878" s="65">
        <v>5126538.54</v>
      </c>
      <c r="J878" s="65">
        <v>2255548.6983866668</v>
      </c>
      <c r="K878" s="62"/>
      <c r="L878" s="65">
        <v>5280955.2799203238</v>
      </c>
      <c r="M878" s="65">
        <v>2957467.0792712979</v>
      </c>
      <c r="N878" s="64">
        <v>2323488.2006490258</v>
      </c>
      <c r="P878" t="str">
        <f t="shared" si="52"/>
        <v>Summary of A&amp;G Expense by Factor</v>
      </c>
      <c r="Q878" t="str">
        <f t="shared" si="53"/>
        <v>NA</v>
      </c>
      <c r="R878" t="str">
        <f>IF(ISERROR(MATCH(P878&amp;"."&amp;Q878,R$5:R877,0)),P878&amp;"."&amp;Q878,P878&amp;"."&amp;Q878&amp;COUNTIFS(P$5:P877,P878,Q$5:Q877,Q878))</f>
        <v>Summary of A&amp;G Expense by Factor.NA4</v>
      </c>
      <c r="S878" s="55">
        <f t="shared" si="54"/>
        <v>2323488.2006490258</v>
      </c>
    </row>
    <row r="879" spans="1:19" hidden="1">
      <c r="A879" s="5">
        <v>944</v>
      </c>
      <c r="B879" s="59"/>
      <c r="C879" s="60"/>
      <c r="D879" s="63"/>
      <c r="E879" s="63" t="s">
        <v>155</v>
      </c>
      <c r="F879" s="60"/>
      <c r="G879" s="61"/>
      <c r="H879" s="62"/>
      <c r="I879" s="65">
        <v>137408.40000000002</v>
      </c>
      <c r="J879" s="65">
        <v>65694.125569655618</v>
      </c>
      <c r="K879" s="62"/>
      <c r="L879" s="65">
        <v>139986.21707124618</v>
      </c>
      <c r="M879" s="65">
        <v>73059.652739665893</v>
      </c>
      <c r="N879" s="64">
        <v>66926.564331580288</v>
      </c>
      <c r="P879" t="str">
        <f t="shared" si="52"/>
        <v>Summary of A&amp;G Expense by Factor</v>
      </c>
      <c r="Q879" t="str">
        <f t="shared" si="53"/>
        <v>NA</v>
      </c>
      <c r="R879" t="str">
        <f>IF(ISERROR(MATCH(P879&amp;"."&amp;Q879,R$5:R878,0)),P879&amp;"."&amp;Q879,P879&amp;"."&amp;Q879&amp;COUNTIFS(P$5:P878,P879,Q$5:Q878,Q879))</f>
        <v>Summary of A&amp;G Expense by Factor.NA5</v>
      </c>
      <c r="S879" s="55">
        <f t="shared" si="54"/>
        <v>66926.564331580288</v>
      </c>
    </row>
    <row r="880" spans="1:19" hidden="1">
      <c r="A880" s="5">
        <v>945</v>
      </c>
      <c r="B880" s="59"/>
      <c r="C880" s="60" t="s">
        <v>369</v>
      </c>
      <c r="D880" s="63"/>
      <c r="E880" s="63"/>
      <c r="F880" s="63"/>
      <c r="G880" s="63"/>
      <c r="H880" s="62" t="s">
        <v>141</v>
      </c>
      <c r="I880" s="66">
        <v>123122911.02999999</v>
      </c>
      <c r="J880" s="66">
        <v>50488544.359588683</v>
      </c>
      <c r="K880" s="62"/>
      <c r="L880" s="66">
        <v>136462850.17226759</v>
      </c>
      <c r="M880" s="66">
        <v>80846880.159075171</v>
      </c>
      <c r="N880" s="66">
        <v>55615970.013192423</v>
      </c>
      <c r="P880" t="str">
        <f t="shared" si="52"/>
        <v>Total A&amp;G Expense by Factor</v>
      </c>
      <c r="Q880" t="str">
        <f t="shared" si="53"/>
        <v>NA</v>
      </c>
      <c r="R880" t="str">
        <f>IF(ISERROR(MATCH(P880&amp;"."&amp;Q880,R$5:R879,0)),P880&amp;"."&amp;Q880,P880&amp;"."&amp;Q880&amp;COUNTIFS(P$5:P879,P880,Q$5:Q879,Q880))</f>
        <v>Total A&amp;G Expense by Factor.NA</v>
      </c>
      <c r="S880" s="55">
        <f t="shared" si="54"/>
        <v>55615970.013192423</v>
      </c>
    </row>
    <row r="881" spans="1:19" hidden="1">
      <c r="A881" s="5">
        <v>946</v>
      </c>
      <c r="B881" s="59"/>
      <c r="C881" s="60"/>
      <c r="D881" s="63"/>
      <c r="E881" s="63"/>
      <c r="F881" s="63"/>
      <c r="G881" s="63"/>
      <c r="H881" s="62"/>
      <c r="I881" s="65"/>
      <c r="J881" s="65"/>
      <c r="K881" s="62"/>
      <c r="L881" s="65"/>
      <c r="M881" s="65"/>
      <c r="N881" s="65"/>
      <c r="P881" t="str">
        <f t="shared" si="52"/>
        <v>Total A&amp;G Expense by Factor</v>
      </c>
      <c r="Q881" t="str">
        <f t="shared" si="53"/>
        <v>NA</v>
      </c>
      <c r="R881" t="str">
        <f>IF(ISERROR(MATCH(P881&amp;"."&amp;Q881,R$5:R880,0)),P881&amp;"."&amp;Q881,P881&amp;"."&amp;Q881&amp;COUNTIFS(P$5:P880,P881,Q$5:Q880,Q881))</f>
        <v>Total A&amp;G Expense by Factor.NA1</v>
      </c>
      <c r="S881" s="55">
        <f t="shared" si="54"/>
        <v>0</v>
      </c>
    </row>
    <row r="882" spans="1:19" hidden="1">
      <c r="A882" s="5">
        <v>947</v>
      </c>
      <c r="B882" s="59"/>
      <c r="C882" s="60" t="s">
        <v>370</v>
      </c>
      <c r="D882" s="61"/>
      <c r="E882" s="63"/>
      <c r="F882" s="63"/>
      <c r="G882" s="63"/>
      <c r="H882" s="62" t="s">
        <v>178</v>
      </c>
      <c r="I882" s="65">
        <v>2797211034.4968972</v>
      </c>
      <c r="J882" s="65">
        <v>1205152965.4531283</v>
      </c>
      <c r="K882" s="62"/>
      <c r="L882" s="65">
        <v>2673496821.4991913</v>
      </c>
      <c r="M882" s="65">
        <v>1525714764.3134708</v>
      </c>
      <c r="N882" s="65">
        <v>1147782057.1857204</v>
      </c>
      <c r="P882" t="str">
        <f t="shared" si="52"/>
        <v>Total O&amp;M Expense</v>
      </c>
      <c r="Q882" t="str">
        <f t="shared" si="53"/>
        <v>NA</v>
      </c>
      <c r="R882" t="str">
        <f>IF(ISERROR(MATCH(P882&amp;"."&amp;Q882,R$5:R881,0)),P882&amp;"."&amp;Q882,P882&amp;"."&amp;Q882&amp;COUNTIFS(P$5:P881,P882,Q$5:Q881,Q882))</f>
        <v>Total O&amp;M Expense.NA</v>
      </c>
      <c r="S882" s="55">
        <f t="shared" si="54"/>
        <v>1147782057.1857204</v>
      </c>
    </row>
    <row r="883" spans="1:19" hidden="1">
      <c r="A883" s="5">
        <v>948</v>
      </c>
      <c r="B883" s="59"/>
      <c r="C883" s="60" t="s">
        <v>231</v>
      </c>
      <c r="D883" s="63" t="s">
        <v>371</v>
      </c>
      <c r="E883" s="63"/>
      <c r="F883" s="60"/>
      <c r="G883" s="61"/>
      <c r="H883" s="62"/>
      <c r="I883" s="65"/>
      <c r="J883" s="65"/>
      <c r="K883" s="62"/>
      <c r="L883" s="65"/>
      <c r="M883" s="65"/>
      <c r="N883" s="64"/>
      <c r="P883" t="str">
        <f t="shared" si="52"/>
        <v>403SP</v>
      </c>
      <c r="Q883" t="str">
        <f t="shared" si="53"/>
        <v>NA</v>
      </c>
      <c r="R883" t="str">
        <f>IF(ISERROR(MATCH(P883&amp;"."&amp;Q883,R$5:R882,0)),P883&amp;"."&amp;Q883,P883&amp;"."&amp;Q883&amp;COUNTIFS(P$5:P882,P883,Q$5:Q882,Q883))</f>
        <v>403SP.NA</v>
      </c>
      <c r="S883" s="55">
        <f t="shared" si="54"/>
        <v>0</v>
      </c>
    </row>
    <row r="884" spans="1:19" hidden="1">
      <c r="A884" s="5">
        <v>949</v>
      </c>
      <c r="B884" s="59"/>
      <c r="C884" s="60"/>
      <c r="D884" s="63"/>
      <c r="E884" s="63"/>
      <c r="F884" s="60" t="s">
        <v>13</v>
      </c>
      <c r="G884" s="61" t="s">
        <v>15</v>
      </c>
      <c r="H884" s="62"/>
      <c r="I884" s="65">
        <v>30098077.260000002</v>
      </c>
      <c r="J884" s="65">
        <v>13242400.980318066</v>
      </c>
      <c r="K884" s="62"/>
      <c r="L884" s="65">
        <v>50607867.163018942</v>
      </c>
      <c r="M884" s="65">
        <v>28341671.753187355</v>
      </c>
      <c r="N884" s="64">
        <v>22266195.409831587</v>
      </c>
      <c r="P884" t="str">
        <f t="shared" si="52"/>
        <v>403SP</v>
      </c>
      <c r="Q884" t="str">
        <f t="shared" si="53"/>
        <v>SG</v>
      </c>
      <c r="R884" t="str">
        <f>IF(ISERROR(MATCH(P884&amp;"."&amp;Q884,R$5:R883,0)),P884&amp;"."&amp;Q884,P884&amp;"."&amp;Q884&amp;COUNTIFS(P$5:P883,P884,Q$5:Q883,Q884))</f>
        <v>403SP.SG</v>
      </c>
      <c r="S884" s="55">
        <f t="shared" si="54"/>
        <v>22266195.409831587</v>
      </c>
    </row>
    <row r="885" spans="1:19" hidden="1">
      <c r="A885" s="5">
        <v>950</v>
      </c>
      <c r="B885" s="59"/>
      <c r="C885" s="60"/>
      <c r="D885" s="63"/>
      <c r="E885" s="63"/>
      <c r="F885" s="60" t="s">
        <v>13</v>
      </c>
      <c r="G885" s="61" t="s">
        <v>15</v>
      </c>
      <c r="H885" s="62"/>
      <c r="I885" s="65">
        <v>29477833.030000001</v>
      </c>
      <c r="J885" s="65">
        <v>12969509.036808295</v>
      </c>
      <c r="K885" s="62"/>
      <c r="L885" s="65">
        <v>37620624.914296784</v>
      </c>
      <c r="M885" s="65">
        <v>21068491.170280274</v>
      </c>
      <c r="N885" s="64">
        <v>16552133.74401651</v>
      </c>
      <c r="P885" t="str">
        <f t="shared" si="52"/>
        <v>403SP</v>
      </c>
      <c r="Q885" t="str">
        <f t="shared" si="53"/>
        <v>SG</v>
      </c>
      <c r="R885" t="str">
        <f>IF(ISERROR(MATCH(P885&amp;"."&amp;Q885,R$5:R884,0)),P885&amp;"."&amp;Q885,P885&amp;"."&amp;Q885&amp;COUNTIFS(P$5:P884,P885,Q$5:Q884,Q885))</f>
        <v>403SP.SG1</v>
      </c>
      <c r="S885" s="55">
        <f t="shared" si="54"/>
        <v>16552133.74401651</v>
      </c>
    </row>
    <row r="886" spans="1:19" hidden="1">
      <c r="A886" s="5">
        <v>951</v>
      </c>
      <c r="B886" s="59"/>
      <c r="C886" s="60"/>
      <c r="D886" s="63"/>
      <c r="E886" s="63"/>
      <c r="F886" s="60" t="s">
        <v>13</v>
      </c>
      <c r="G886" s="61" t="s">
        <v>15</v>
      </c>
      <c r="H886" s="62"/>
      <c r="I886" s="65">
        <v>170783644.71000001</v>
      </c>
      <c r="J886" s="65">
        <v>75140530.891507059</v>
      </c>
      <c r="K886" s="62"/>
      <c r="L886" s="65">
        <v>243780110.7934649</v>
      </c>
      <c r="M886" s="65">
        <v>136522961.10026133</v>
      </c>
      <c r="N886" s="64">
        <v>107257149.69320355</v>
      </c>
      <c r="P886" t="str">
        <f t="shared" si="52"/>
        <v>403SP</v>
      </c>
      <c r="Q886" t="str">
        <f t="shared" si="53"/>
        <v>SG</v>
      </c>
      <c r="R886" t="str">
        <f>IF(ISERROR(MATCH(P886&amp;"."&amp;Q886,R$5:R885,0)),P886&amp;"."&amp;Q886,P886&amp;"."&amp;Q886&amp;COUNTIFS(P$5:P885,P886,Q$5:Q885,Q886))</f>
        <v>403SP.SG2</v>
      </c>
      <c r="S886" s="55">
        <f t="shared" si="54"/>
        <v>107257149.69320355</v>
      </c>
    </row>
    <row r="887" spans="1:19" hidden="1">
      <c r="A887" s="5">
        <v>952</v>
      </c>
      <c r="B887" s="59"/>
      <c r="C887" s="60"/>
      <c r="D887" s="63"/>
      <c r="E887" s="63"/>
      <c r="F887" s="63" t="s">
        <v>13</v>
      </c>
      <c r="G887" s="63" t="s">
        <v>15</v>
      </c>
      <c r="H887" s="62"/>
      <c r="I887" s="66">
        <v>15154392.119999999</v>
      </c>
      <c r="J887" s="66">
        <v>6667553.389954065</v>
      </c>
      <c r="K887" s="62"/>
      <c r="L887" s="66">
        <v>0</v>
      </c>
      <c r="M887" s="66">
        <v>0</v>
      </c>
      <c r="N887" s="66">
        <v>0</v>
      </c>
      <c r="P887" t="str">
        <f t="shared" si="52"/>
        <v>403SP</v>
      </c>
      <c r="Q887" t="str">
        <f t="shared" si="53"/>
        <v>SG</v>
      </c>
      <c r="R887" t="str">
        <f>IF(ISERROR(MATCH(P887&amp;"."&amp;Q887,R$5:R886,0)),P887&amp;"."&amp;Q887,P887&amp;"."&amp;Q887&amp;COUNTIFS(P$5:P886,P887,Q$5:Q886,Q887))</f>
        <v>403SP.SG3</v>
      </c>
      <c r="S887" s="55">
        <f t="shared" si="54"/>
        <v>0</v>
      </c>
    </row>
    <row r="888" spans="1:19" hidden="1">
      <c r="A888" s="5">
        <v>953</v>
      </c>
      <c r="B888" s="59"/>
      <c r="C888" s="60"/>
      <c r="D888" s="63"/>
      <c r="E888" s="63"/>
      <c r="F888" s="63"/>
      <c r="G888" s="63"/>
      <c r="H888" s="62" t="s">
        <v>372</v>
      </c>
      <c r="I888" s="65">
        <v>245513947.12</v>
      </c>
      <c r="J888" s="65">
        <v>108019994.29858747</v>
      </c>
      <c r="K888" s="62"/>
      <c r="L888" s="65">
        <v>332008602.87078059</v>
      </c>
      <c r="M888" s="65">
        <v>185933124.02372897</v>
      </c>
      <c r="N888" s="65">
        <v>146075478.84705165</v>
      </c>
      <c r="P888" t="str">
        <f t="shared" si="52"/>
        <v>403SP</v>
      </c>
      <c r="Q888" t="str">
        <f t="shared" si="53"/>
        <v>NA</v>
      </c>
      <c r="R888" t="str">
        <f>IF(ISERROR(MATCH(P888&amp;"."&amp;Q888,R$5:R887,0)),P888&amp;"."&amp;Q888,P888&amp;"."&amp;Q888&amp;COUNTIFS(P$5:P887,P888,Q$5:Q887,Q888))</f>
        <v>403SP.NA1</v>
      </c>
      <c r="S888" s="55">
        <f t="shared" si="54"/>
        <v>146075478.84705165</v>
      </c>
    </row>
    <row r="889" spans="1:19" hidden="1">
      <c r="A889" s="5">
        <v>954</v>
      </c>
      <c r="B889" s="59"/>
      <c r="C889" s="60"/>
      <c r="D889" s="61"/>
      <c r="E889" s="63"/>
      <c r="F889" s="63"/>
      <c r="G889" s="63"/>
      <c r="H889" s="62"/>
      <c r="I889" s="65"/>
      <c r="J889" s="65"/>
      <c r="K889" s="62"/>
      <c r="L889" s="65"/>
      <c r="M889" s="65"/>
      <c r="N889" s="65"/>
      <c r="P889" t="str">
        <f t="shared" si="52"/>
        <v>403SP</v>
      </c>
      <c r="Q889" t="str">
        <f t="shared" si="53"/>
        <v>NA</v>
      </c>
      <c r="R889" t="str">
        <f>IF(ISERROR(MATCH(P889&amp;"."&amp;Q889,R$5:R888,0)),P889&amp;"."&amp;Q889,P889&amp;"."&amp;Q889&amp;COUNTIFS(P$5:P888,P889,Q$5:Q888,Q889))</f>
        <v>403SP.NA2</v>
      </c>
      <c r="S889" s="55">
        <f t="shared" si="54"/>
        <v>0</v>
      </c>
    </row>
    <row r="890" spans="1:19" hidden="1">
      <c r="A890" s="5">
        <v>955</v>
      </c>
      <c r="B890" s="59"/>
      <c r="C890" s="60" t="s">
        <v>229</v>
      </c>
      <c r="D890" s="63" t="s">
        <v>373</v>
      </c>
      <c r="E890" s="63"/>
      <c r="F890" s="60"/>
      <c r="G890" s="61"/>
      <c r="H890" s="62"/>
      <c r="I890" s="65"/>
      <c r="J890" s="65"/>
      <c r="K890" s="62"/>
      <c r="L890" s="65"/>
      <c r="M890" s="65"/>
      <c r="N890" s="64"/>
      <c r="P890" t="str">
        <f t="shared" si="52"/>
        <v>403NP</v>
      </c>
      <c r="Q890" t="str">
        <f t="shared" si="53"/>
        <v>NA</v>
      </c>
      <c r="R890" t="str">
        <f>IF(ISERROR(MATCH(P890&amp;"."&amp;Q890,R$5:R889,0)),P890&amp;"."&amp;Q890,P890&amp;"."&amp;Q890&amp;COUNTIFS(P$5:P889,P890,Q$5:Q889,Q890))</f>
        <v>403NP.NA</v>
      </c>
      <c r="S890" s="55">
        <f t="shared" si="54"/>
        <v>0</v>
      </c>
    </row>
    <row r="891" spans="1:19" hidden="1">
      <c r="A891" s="5">
        <v>956</v>
      </c>
      <c r="B891" s="59"/>
      <c r="C891" s="60"/>
      <c r="D891" s="63"/>
      <c r="E891" s="63"/>
      <c r="F891" s="60" t="s">
        <v>13</v>
      </c>
      <c r="G891" s="61" t="s">
        <v>15</v>
      </c>
      <c r="H891" s="62"/>
      <c r="I891" s="65">
        <v>0</v>
      </c>
      <c r="J891" s="65">
        <v>0</v>
      </c>
      <c r="K891" s="62"/>
      <c r="L891" s="65">
        <v>0</v>
      </c>
      <c r="M891" s="65">
        <v>0</v>
      </c>
      <c r="N891" s="64">
        <v>0</v>
      </c>
      <c r="P891" t="str">
        <f t="shared" si="52"/>
        <v>403NP</v>
      </c>
      <c r="Q891" t="str">
        <f t="shared" si="53"/>
        <v>SG</v>
      </c>
      <c r="R891" t="str">
        <f>IF(ISERROR(MATCH(P891&amp;"."&amp;Q891,R$5:R890,0)),P891&amp;"."&amp;Q891,P891&amp;"."&amp;Q891&amp;COUNTIFS(P$5:P890,P891,Q$5:Q890,Q891))</f>
        <v>403NP.SG</v>
      </c>
      <c r="S891" s="55">
        <f t="shared" si="54"/>
        <v>0</v>
      </c>
    </row>
    <row r="892" spans="1:19" hidden="1">
      <c r="A892" s="5">
        <v>957</v>
      </c>
      <c r="B892" s="59"/>
      <c r="C892" s="60"/>
      <c r="D892" s="63"/>
      <c r="E892" s="63"/>
      <c r="F892" s="60"/>
      <c r="G892" s="61"/>
      <c r="H892" s="62" t="s">
        <v>372</v>
      </c>
      <c r="I892" s="65">
        <v>0</v>
      </c>
      <c r="J892" s="65">
        <v>0</v>
      </c>
      <c r="K892" s="62"/>
      <c r="L892" s="65">
        <v>0</v>
      </c>
      <c r="M892" s="65">
        <v>0</v>
      </c>
      <c r="N892" s="64">
        <v>0</v>
      </c>
      <c r="P892" t="str">
        <f t="shared" si="52"/>
        <v>403NP</v>
      </c>
      <c r="Q892" t="str">
        <f t="shared" si="53"/>
        <v>NA</v>
      </c>
      <c r="R892" t="str">
        <f>IF(ISERROR(MATCH(P892&amp;"."&amp;Q892,R$5:R891,0)),P892&amp;"."&amp;Q892,P892&amp;"."&amp;Q892&amp;COUNTIFS(P$5:P891,P892,Q$5:Q891,Q892))</f>
        <v>403NP.NA1</v>
      </c>
      <c r="S892" s="55">
        <f t="shared" si="54"/>
        <v>0</v>
      </c>
    </row>
    <row r="893" spans="1:19" hidden="1">
      <c r="A893" s="5">
        <v>958</v>
      </c>
      <c r="B893" s="59"/>
      <c r="C893" s="60"/>
      <c r="D893" s="63"/>
      <c r="E893" s="63"/>
      <c r="F893" s="63"/>
      <c r="G893" s="63"/>
      <c r="H893" s="62"/>
      <c r="I893" s="66"/>
      <c r="J893" s="66"/>
      <c r="K893" s="62"/>
      <c r="L893" s="66"/>
      <c r="M893" s="66"/>
      <c r="N893" s="66"/>
      <c r="P893" t="str">
        <f t="shared" si="52"/>
        <v>403NP</v>
      </c>
      <c r="Q893" t="str">
        <f t="shared" si="53"/>
        <v>NA</v>
      </c>
      <c r="R893" t="str">
        <f>IF(ISERROR(MATCH(P893&amp;"."&amp;Q893,R$5:R892,0)),P893&amp;"."&amp;Q893,P893&amp;"."&amp;Q893&amp;COUNTIFS(P$5:P892,P893,Q$5:Q892,Q893))</f>
        <v>403NP.NA2</v>
      </c>
      <c r="S893" s="55">
        <f t="shared" si="54"/>
        <v>0</v>
      </c>
    </row>
    <row r="894" spans="1:19" hidden="1">
      <c r="A894" s="5">
        <v>959</v>
      </c>
      <c r="B894" s="59"/>
      <c r="C894" s="60" t="s">
        <v>226</v>
      </c>
      <c r="D894" s="63" t="s">
        <v>374</v>
      </c>
      <c r="E894" s="63"/>
      <c r="F894" s="63"/>
      <c r="G894" s="63"/>
      <c r="H894" s="62"/>
      <c r="I894" s="69"/>
      <c r="J894" s="69"/>
      <c r="K894" s="62"/>
      <c r="L894" s="69"/>
      <c r="M894" s="65"/>
      <c r="N894" s="65"/>
      <c r="P894" t="str">
        <f t="shared" si="52"/>
        <v>403HP</v>
      </c>
      <c r="Q894" t="str">
        <f t="shared" si="53"/>
        <v>NA</v>
      </c>
      <c r="R894" t="str">
        <f>IF(ISERROR(MATCH(P894&amp;"."&amp;Q894,R$5:R893,0)),P894&amp;"."&amp;Q894,P894&amp;"."&amp;Q894&amp;COUNTIFS(P$5:P893,P894,Q$5:Q893,Q894))</f>
        <v>403HP.NA</v>
      </c>
      <c r="S894" s="55">
        <f t="shared" si="54"/>
        <v>0</v>
      </c>
    </row>
    <row r="895" spans="1:19" hidden="1">
      <c r="A895" s="5">
        <v>960</v>
      </c>
      <c r="B895" s="59"/>
      <c r="C895" s="60"/>
      <c r="D895" s="63"/>
      <c r="E895" s="70"/>
      <c r="F895" s="63" t="s">
        <v>13</v>
      </c>
      <c r="G895" s="63" t="s">
        <v>15</v>
      </c>
      <c r="H895" s="62"/>
      <c r="I895" s="69">
        <v>-17573171.109999999</v>
      </c>
      <c r="J895" s="69">
        <v>-7731755.6309030848</v>
      </c>
      <c r="K895" s="62"/>
      <c r="L895" s="69">
        <v>4059159.3438162543</v>
      </c>
      <c r="M895" s="69">
        <v>2273230.787334783</v>
      </c>
      <c r="N895" s="69">
        <v>1785928.5564814713</v>
      </c>
      <c r="P895" t="str">
        <f t="shared" si="52"/>
        <v>403HP</v>
      </c>
      <c r="Q895" t="str">
        <f t="shared" si="53"/>
        <v>SG</v>
      </c>
      <c r="R895" t="str">
        <f>IF(ISERROR(MATCH(P895&amp;"."&amp;Q895,R$5:R894,0)),P895&amp;"."&amp;Q895,P895&amp;"."&amp;Q895&amp;COUNTIFS(P$5:P894,P895,Q$5:Q894,Q895))</f>
        <v>403HP.SG</v>
      </c>
      <c r="S895" s="55">
        <f t="shared" si="54"/>
        <v>1785928.5564814713</v>
      </c>
    </row>
    <row r="896" spans="1:19" hidden="1">
      <c r="A896" s="5">
        <v>961</v>
      </c>
      <c r="B896" s="59"/>
      <c r="C896" s="71"/>
      <c r="D896" s="72"/>
      <c r="E896" s="73"/>
      <c r="F896" s="63" t="s">
        <v>13</v>
      </c>
      <c r="G896" s="72" t="s">
        <v>15</v>
      </c>
      <c r="H896" s="74"/>
      <c r="I896" s="75">
        <v>1372185.96</v>
      </c>
      <c r="J896" s="75">
        <v>603727.49212228868</v>
      </c>
      <c r="K896" s="62"/>
      <c r="L896" s="75">
        <v>1296853.3602107256</v>
      </c>
      <c r="M896" s="75">
        <v>726270.32727371436</v>
      </c>
      <c r="N896" s="75">
        <v>570583.03293701122</v>
      </c>
      <c r="P896" t="str">
        <f t="shared" si="52"/>
        <v>403HP</v>
      </c>
      <c r="Q896" t="str">
        <f t="shared" si="53"/>
        <v>SG</v>
      </c>
      <c r="R896" t="str">
        <f>IF(ISERROR(MATCH(P896&amp;"."&amp;Q896,R$5:R895,0)),P896&amp;"."&amp;Q896,P896&amp;"."&amp;Q896&amp;COUNTIFS(P$5:P895,P896,Q$5:Q895,Q896))</f>
        <v>403HP.SG1</v>
      </c>
      <c r="S896" s="55">
        <f t="shared" si="54"/>
        <v>570583.03293701122</v>
      </c>
    </row>
    <row r="897" spans="1:19" hidden="1">
      <c r="A897" s="5">
        <v>962</v>
      </c>
      <c r="B897" s="59"/>
      <c r="C897" s="60"/>
      <c r="D897" s="61"/>
      <c r="E897" s="63"/>
      <c r="F897" s="63" t="s">
        <v>13</v>
      </c>
      <c r="G897" s="63" t="s">
        <v>15</v>
      </c>
      <c r="H897" s="62"/>
      <c r="I897" s="65">
        <v>51635992.030000001</v>
      </c>
      <c r="J897" s="65">
        <v>22718544.628978994</v>
      </c>
      <c r="K897" s="62"/>
      <c r="L897" s="65">
        <v>25648638.846177761</v>
      </c>
      <c r="M897" s="65">
        <v>14363879.448877696</v>
      </c>
      <c r="N897" s="65">
        <v>11284759.397300065</v>
      </c>
      <c r="P897" t="str">
        <f t="shared" si="52"/>
        <v>403HP</v>
      </c>
      <c r="Q897" t="str">
        <f t="shared" si="53"/>
        <v>SG</v>
      </c>
      <c r="R897" t="str">
        <f>IF(ISERROR(MATCH(P897&amp;"."&amp;Q897,R$5:R896,0)),P897&amp;"."&amp;Q897,P897&amp;"."&amp;Q897&amp;COUNTIFS(P$5:P896,P897,Q$5:Q896,Q897))</f>
        <v>403HP.SG2</v>
      </c>
      <c r="S897" s="55">
        <f t="shared" si="54"/>
        <v>11284759.397300065</v>
      </c>
    </row>
    <row r="898" spans="1:19" hidden="1">
      <c r="A898" s="5">
        <v>963</v>
      </c>
      <c r="B898" s="59"/>
      <c r="C898" s="93"/>
      <c r="D898" s="94"/>
      <c r="E898" s="95"/>
      <c r="F898" s="60" t="s">
        <v>13</v>
      </c>
      <c r="G898" s="61" t="s">
        <v>15</v>
      </c>
      <c r="H898" s="62"/>
      <c r="I898" s="65">
        <v>6080619.7699999996</v>
      </c>
      <c r="J898" s="65">
        <v>2675320.5697362674</v>
      </c>
      <c r="K898" s="62"/>
      <c r="L898" s="65">
        <v>7287117.6310035028</v>
      </c>
      <c r="M898" s="65">
        <v>4080968.1874063262</v>
      </c>
      <c r="N898" s="64">
        <v>3206149.4435971766</v>
      </c>
      <c r="P898" t="str">
        <f t="shared" si="52"/>
        <v>403HP</v>
      </c>
      <c r="Q898" t="str">
        <f t="shared" si="53"/>
        <v>SG</v>
      </c>
      <c r="R898" t="str">
        <f>IF(ISERROR(MATCH(P898&amp;"."&amp;Q898,R$5:R897,0)),P898&amp;"."&amp;Q898,P898&amp;"."&amp;Q898&amp;COUNTIFS(P$5:P897,P898,Q$5:Q897,Q898))</f>
        <v>403HP.SG3</v>
      </c>
      <c r="S898" s="55">
        <f t="shared" si="54"/>
        <v>3206149.4435971766</v>
      </c>
    </row>
    <row r="899" spans="1:19" hidden="1">
      <c r="A899" s="5">
        <v>964</v>
      </c>
      <c r="B899" s="59"/>
      <c r="C899" s="93"/>
      <c r="D899" s="96"/>
      <c r="E899" s="94"/>
      <c r="F899" s="60"/>
      <c r="G899" s="61"/>
      <c r="H899" s="62" t="s">
        <v>372</v>
      </c>
      <c r="I899" s="65">
        <v>41515626.650000006</v>
      </c>
      <c r="J899" s="65">
        <v>18265837.059934467</v>
      </c>
      <c r="K899" s="62"/>
      <c r="L899" s="65">
        <v>38291769.181208238</v>
      </c>
      <c r="M899" s="65">
        <v>21444348.75089252</v>
      </c>
      <c r="N899" s="64">
        <v>16847420.430315722</v>
      </c>
      <c r="P899" t="str">
        <f t="shared" si="52"/>
        <v>403HP</v>
      </c>
      <c r="Q899" t="str">
        <f t="shared" si="53"/>
        <v>NA</v>
      </c>
      <c r="R899" t="str">
        <f>IF(ISERROR(MATCH(P899&amp;"."&amp;Q899,R$5:R898,0)),P899&amp;"."&amp;Q899,P899&amp;"."&amp;Q899&amp;COUNTIFS(P$5:P898,P899,Q$5:Q898,Q899))</f>
        <v>403HP.NA1</v>
      </c>
      <c r="S899" s="55">
        <f t="shared" si="54"/>
        <v>16847420.430315722</v>
      </c>
    </row>
    <row r="900" spans="1:19" hidden="1">
      <c r="A900" s="5">
        <v>965</v>
      </c>
      <c r="B900" s="59"/>
      <c r="C900" s="93"/>
      <c r="D900" s="94"/>
      <c r="E900" s="95"/>
      <c r="F900" s="60"/>
      <c r="G900" s="61"/>
      <c r="H900" s="62"/>
      <c r="I900" s="65"/>
      <c r="J900" s="65"/>
      <c r="K900" s="62"/>
      <c r="L900" s="65"/>
      <c r="M900" s="65"/>
      <c r="N900" s="64"/>
      <c r="P900" t="str">
        <f t="shared" si="52"/>
        <v>403HP</v>
      </c>
      <c r="Q900" t="str">
        <f t="shared" si="53"/>
        <v>NA</v>
      </c>
      <c r="R900" t="str">
        <f>IF(ISERROR(MATCH(P900&amp;"."&amp;Q900,R$5:R899,0)),P900&amp;"."&amp;Q900,P900&amp;"."&amp;Q900&amp;COUNTIFS(P$5:P899,P900,Q$5:Q899,Q900))</f>
        <v>403HP.NA2</v>
      </c>
      <c r="S900" s="55">
        <f t="shared" si="54"/>
        <v>0</v>
      </c>
    </row>
    <row r="901" spans="1:19" hidden="1">
      <c r="A901" s="5">
        <v>966</v>
      </c>
      <c r="B901" s="59"/>
      <c r="C901" s="93" t="s">
        <v>230</v>
      </c>
      <c r="D901" s="94" t="s">
        <v>375</v>
      </c>
      <c r="E901" s="95"/>
      <c r="F901" s="60"/>
      <c r="G901" s="61"/>
      <c r="H901" s="62"/>
      <c r="I901" s="65"/>
      <c r="J901" s="65"/>
      <c r="K901" s="62"/>
      <c r="L901" s="65"/>
      <c r="M901" s="65"/>
      <c r="N901" s="64"/>
      <c r="P901" t="str">
        <f t="shared" si="52"/>
        <v>403OP</v>
      </c>
      <c r="Q901" t="str">
        <f t="shared" si="53"/>
        <v>NA</v>
      </c>
      <c r="R901" t="str">
        <f>IF(ISERROR(MATCH(P901&amp;"."&amp;Q901,R$5:R900,0)),P901&amp;"."&amp;Q901,P901&amp;"."&amp;Q901&amp;COUNTIFS(P$5:P900,P901,Q$5:Q900,Q901))</f>
        <v>403OP.NA</v>
      </c>
      <c r="S901" s="55">
        <f t="shared" si="54"/>
        <v>0</v>
      </c>
    </row>
    <row r="902" spans="1:19" hidden="1">
      <c r="A902" s="5">
        <v>967</v>
      </c>
      <c r="B902" s="59"/>
      <c r="C902" s="93"/>
      <c r="D902" s="96"/>
      <c r="E902" s="95"/>
      <c r="F902" s="60" t="s">
        <v>13</v>
      </c>
      <c r="G902" s="61" t="s">
        <v>15</v>
      </c>
      <c r="H902" s="62"/>
      <c r="I902" s="65">
        <v>0</v>
      </c>
      <c r="J902" s="65">
        <v>0</v>
      </c>
      <c r="K902" s="62"/>
      <c r="L902" s="65">
        <v>0</v>
      </c>
      <c r="M902" s="65">
        <v>0</v>
      </c>
      <c r="N902" s="64">
        <v>0</v>
      </c>
      <c r="P902" t="str">
        <f t="shared" si="52"/>
        <v>403OP</v>
      </c>
      <c r="Q902" t="str">
        <f t="shared" si="53"/>
        <v>SG</v>
      </c>
      <c r="R902" t="str">
        <f>IF(ISERROR(MATCH(P902&amp;"."&amp;Q902,R$5:R901,0)),P902&amp;"."&amp;Q902,P902&amp;"."&amp;Q902&amp;COUNTIFS(P$5:P901,P902,Q$5:Q901,Q902))</f>
        <v>403OP.SG</v>
      </c>
      <c r="S902" s="55">
        <f t="shared" si="54"/>
        <v>0</v>
      </c>
    </row>
    <row r="903" spans="1:19" hidden="1">
      <c r="A903" s="5">
        <v>968</v>
      </c>
      <c r="B903" s="59"/>
      <c r="C903" s="93"/>
      <c r="D903" s="96"/>
      <c r="E903" s="95"/>
      <c r="F903" s="60" t="s">
        <v>13</v>
      </c>
      <c r="G903" s="61" t="s">
        <v>15</v>
      </c>
      <c r="H903" s="62"/>
      <c r="I903" s="65">
        <v>57807314.479999997</v>
      </c>
      <c r="J903" s="65">
        <v>25433772.108654179</v>
      </c>
      <c r="K903" s="62"/>
      <c r="L903" s="65">
        <v>68856986.03306286</v>
      </c>
      <c r="M903" s="65">
        <v>38561634.889227733</v>
      </c>
      <c r="N903" s="64">
        <v>30295351.143835124</v>
      </c>
      <c r="P903" t="str">
        <f t="shared" ref="P903:P966" si="55">IF(OR(C903="",C903=" ",C903="  ",C903="   "),P902,C903)</f>
        <v>403OP</v>
      </c>
      <c r="Q903" t="str">
        <f t="shared" ref="Q903:Q966" si="56">IF(G903="","NA",G903)</f>
        <v>SG</v>
      </c>
      <c r="R903" t="str">
        <f>IF(ISERROR(MATCH(P903&amp;"."&amp;Q903,R$5:R902,0)),P903&amp;"."&amp;Q903,P903&amp;"."&amp;Q903&amp;COUNTIFS(P$5:P902,P903,Q$5:Q902,Q903))</f>
        <v>403OP.SG1</v>
      </c>
      <c r="S903" s="55">
        <f t="shared" si="54"/>
        <v>30295351.143835124</v>
      </c>
    </row>
    <row r="904" spans="1:19" hidden="1">
      <c r="A904" s="5">
        <v>969</v>
      </c>
      <c r="B904" s="59"/>
      <c r="C904" s="93"/>
      <c r="D904" s="96"/>
      <c r="E904" s="94"/>
      <c r="F904" s="60" t="s">
        <v>13</v>
      </c>
      <c r="G904" s="61" t="s">
        <v>15</v>
      </c>
      <c r="H904" s="62"/>
      <c r="I904" s="65">
        <v>3263690.58</v>
      </c>
      <c r="J904" s="65">
        <v>1435942.2019786136</v>
      </c>
      <c r="K904" s="62"/>
      <c r="L904" s="65">
        <v>4148757.6579576498</v>
      </c>
      <c r="M904" s="65">
        <v>2323408.0848852713</v>
      </c>
      <c r="N904" s="64">
        <v>1825349.5730723783</v>
      </c>
      <c r="P904" t="str">
        <f t="shared" si="55"/>
        <v>403OP</v>
      </c>
      <c r="Q904" t="str">
        <f t="shared" si="56"/>
        <v>SG</v>
      </c>
      <c r="R904" t="str">
        <f>IF(ISERROR(MATCH(P904&amp;"."&amp;Q904,R$5:R903,0)),P904&amp;"."&amp;Q904,P904&amp;"."&amp;Q904&amp;COUNTIFS(P$5:P903,P904,Q$5:Q903,Q904))</f>
        <v>403OP.SG2</v>
      </c>
      <c r="S904" s="55">
        <f t="shared" ref="S904:S967" si="57">N904</f>
        <v>1825349.5730723783</v>
      </c>
    </row>
    <row r="905" spans="1:19" hidden="1">
      <c r="A905" s="5">
        <v>970</v>
      </c>
      <c r="B905" s="59"/>
      <c r="C905" s="93"/>
      <c r="D905" s="96"/>
      <c r="E905" s="94"/>
      <c r="F905" s="60" t="s">
        <v>13</v>
      </c>
      <c r="G905" s="61" t="s">
        <v>15</v>
      </c>
      <c r="H905" s="62"/>
      <c r="I905" s="65">
        <v>67194413.219999999</v>
      </c>
      <c r="J905" s="65">
        <v>29563860.701460142</v>
      </c>
      <c r="K905" s="62"/>
      <c r="L905" s="65">
        <v>170577172.38823628</v>
      </c>
      <c r="M905" s="65">
        <v>95527484.152640879</v>
      </c>
      <c r="N905" s="64">
        <v>75049688.235595405</v>
      </c>
      <c r="P905" t="str">
        <f t="shared" si="55"/>
        <v>403OP</v>
      </c>
      <c r="Q905" t="str">
        <f t="shared" si="56"/>
        <v>SG</v>
      </c>
      <c r="R905" t="str">
        <f>IF(ISERROR(MATCH(P905&amp;"."&amp;Q905,R$5:R904,0)),P905&amp;"."&amp;Q905,P905&amp;"."&amp;Q905&amp;COUNTIFS(P$5:P904,P905,Q$5:Q904,Q905))</f>
        <v>403OP.SG3</v>
      </c>
      <c r="S905" s="55">
        <f t="shared" si="57"/>
        <v>75049688.235595405</v>
      </c>
    </row>
    <row r="906" spans="1:19" hidden="1">
      <c r="A906" s="5">
        <v>971</v>
      </c>
      <c r="B906" s="59"/>
      <c r="C906" s="93"/>
      <c r="D906" s="96"/>
      <c r="E906" s="94"/>
      <c r="F906" s="60"/>
      <c r="G906" s="61"/>
      <c r="H906" s="62" t="s">
        <v>372</v>
      </c>
      <c r="I906" s="65">
        <v>128265418.28</v>
      </c>
      <c r="J906" s="65">
        <v>56433575.012092933</v>
      </c>
      <c r="K906" s="62"/>
      <c r="L906" s="65">
        <v>243582916.07925677</v>
      </c>
      <c r="M906" s="65">
        <v>136412527.12675387</v>
      </c>
      <c r="N906" s="64">
        <v>107170388.95250291</v>
      </c>
      <c r="P906" t="str">
        <f t="shared" si="55"/>
        <v>403OP</v>
      </c>
      <c r="Q906" t="str">
        <f t="shared" si="56"/>
        <v>NA</v>
      </c>
      <c r="R906" t="str">
        <f>IF(ISERROR(MATCH(P906&amp;"."&amp;Q906,R$5:R905,0)),P906&amp;"."&amp;Q906,P906&amp;"."&amp;Q906&amp;COUNTIFS(P$5:P905,P906,Q$5:Q905,Q906))</f>
        <v>403OP.NA1</v>
      </c>
      <c r="S906" s="55">
        <f t="shared" si="57"/>
        <v>107170388.95250291</v>
      </c>
    </row>
    <row r="907" spans="1:19" hidden="1">
      <c r="A907" s="5">
        <v>972</v>
      </c>
      <c r="B907" s="59"/>
      <c r="C907" s="93"/>
      <c r="D907" s="96"/>
      <c r="E907" s="94"/>
      <c r="F907" s="60"/>
      <c r="G907" s="61"/>
      <c r="H907" s="62"/>
      <c r="I907" s="65"/>
      <c r="J907" s="65"/>
      <c r="K907" s="62"/>
      <c r="L907" s="65"/>
      <c r="M907" s="65"/>
      <c r="N907" s="64"/>
      <c r="P907" t="str">
        <f t="shared" si="55"/>
        <v>403OP</v>
      </c>
      <c r="Q907" t="str">
        <f t="shared" si="56"/>
        <v>NA</v>
      </c>
      <c r="R907" t="str">
        <f>IF(ISERROR(MATCH(P907&amp;"."&amp;Q907,R$5:R906,0)),P907&amp;"."&amp;Q907,P907&amp;"."&amp;Q907&amp;COUNTIFS(P$5:P906,P907,Q$5:Q906,Q907))</f>
        <v>403OP.NA2</v>
      </c>
      <c r="S907" s="55">
        <f t="shared" si="57"/>
        <v>0</v>
      </c>
    </row>
    <row r="908" spans="1:19" hidden="1">
      <c r="A908" s="5">
        <v>973</v>
      </c>
      <c r="B908" s="59"/>
      <c r="C908" s="93" t="s">
        <v>232</v>
      </c>
      <c r="D908" s="96" t="s">
        <v>376</v>
      </c>
      <c r="E908" s="94"/>
      <c r="F908" s="60"/>
      <c r="G908" s="61"/>
      <c r="H908" s="62"/>
      <c r="I908" s="65"/>
      <c r="J908" s="65"/>
      <c r="K908" s="62"/>
      <c r="L908" s="65"/>
      <c r="M908" s="65"/>
      <c r="N908" s="64"/>
      <c r="P908" t="str">
        <f t="shared" si="55"/>
        <v>403TP</v>
      </c>
      <c r="Q908" t="str">
        <f t="shared" si="56"/>
        <v>NA</v>
      </c>
      <c r="R908" t="str">
        <f>IF(ISERROR(MATCH(P908&amp;"."&amp;Q908,R$5:R907,0)),P908&amp;"."&amp;Q908,P908&amp;"."&amp;Q908&amp;COUNTIFS(P$5:P907,P908,Q$5:Q907,Q908))</f>
        <v>403TP.NA</v>
      </c>
      <c r="S908" s="55">
        <f t="shared" si="57"/>
        <v>0</v>
      </c>
    </row>
    <row r="909" spans="1:19" hidden="1">
      <c r="A909" s="5">
        <v>974</v>
      </c>
      <c r="B909" s="59"/>
      <c r="C909" s="93"/>
      <c r="D909" s="94"/>
      <c r="E909" s="94"/>
      <c r="F909" s="60" t="s">
        <v>18</v>
      </c>
      <c r="G909" s="61" t="s">
        <v>15</v>
      </c>
      <c r="H909" s="62"/>
      <c r="I909" s="65">
        <v>8646935.2699999996</v>
      </c>
      <c r="J909" s="65">
        <v>3804435.1839169557</v>
      </c>
      <c r="K909" s="62"/>
      <c r="L909" s="65">
        <v>8156894.5973702744</v>
      </c>
      <c r="M909" s="65">
        <v>4568065.0492409514</v>
      </c>
      <c r="N909" s="64">
        <v>3588829.5481293229</v>
      </c>
      <c r="P909" t="str">
        <f t="shared" si="55"/>
        <v>403TP</v>
      </c>
      <c r="Q909" t="str">
        <f t="shared" si="56"/>
        <v>SG</v>
      </c>
      <c r="R909" t="str">
        <f>IF(ISERROR(MATCH(P909&amp;"."&amp;Q909,R$5:R908,0)),P909&amp;"."&amp;Q909,P909&amp;"."&amp;Q909&amp;COUNTIFS(P$5:P908,P909,Q$5:Q908,Q909))</f>
        <v>403TP.SG</v>
      </c>
      <c r="S909" s="55">
        <f t="shared" si="57"/>
        <v>3588829.5481293229</v>
      </c>
    </row>
    <row r="910" spans="1:19" hidden="1">
      <c r="A910" s="5">
        <v>975</v>
      </c>
      <c r="B910" s="59"/>
      <c r="C910" s="93"/>
      <c r="D910" s="94"/>
      <c r="E910" s="95"/>
      <c r="F910" s="60" t="s">
        <v>18</v>
      </c>
      <c r="G910" s="61" t="s">
        <v>15</v>
      </c>
      <c r="H910" s="62"/>
      <c r="I910" s="65">
        <v>10802099.890000001</v>
      </c>
      <c r="J910" s="65">
        <v>4752653.6973488275</v>
      </c>
      <c r="K910" s="62"/>
      <c r="L910" s="65">
        <v>10352004.410201274</v>
      </c>
      <c r="M910" s="65">
        <v>5797381.4631703282</v>
      </c>
      <c r="N910" s="64">
        <v>4554622.9470309457</v>
      </c>
      <c r="P910" t="str">
        <f t="shared" si="55"/>
        <v>403TP</v>
      </c>
      <c r="Q910" t="str">
        <f t="shared" si="56"/>
        <v>SG</v>
      </c>
      <c r="R910" t="str">
        <f>IF(ISERROR(MATCH(P910&amp;"."&amp;Q910,R$5:R909,0)),P910&amp;"."&amp;Q910,P910&amp;"."&amp;Q910&amp;COUNTIFS(P$5:P909,P910,Q$5:Q909,Q910))</f>
        <v>403TP.SG1</v>
      </c>
      <c r="S910" s="55">
        <f t="shared" si="57"/>
        <v>4554622.9470309457</v>
      </c>
    </row>
    <row r="911" spans="1:19" hidden="1">
      <c r="A911" s="5">
        <v>976</v>
      </c>
      <c r="B911" s="59"/>
      <c r="C911" s="93"/>
      <c r="D911" s="94"/>
      <c r="E911" s="95"/>
      <c r="F911" s="60" t="s">
        <v>18</v>
      </c>
      <c r="G911" s="61" t="s">
        <v>15</v>
      </c>
      <c r="H911" s="62"/>
      <c r="I911" s="65">
        <v>93058623.599999994</v>
      </c>
      <c r="J911" s="65">
        <v>40943466.180327348</v>
      </c>
      <c r="K911" s="62"/>
      <c r="L911" s="65">
        <v>112702820.74096118</v>
      </c>
      <c r="M911" s="65">
        <v>63116399.29043974</v>
      </c>
      <c r="N911" s="64">
        <v>49586421.450521439</v>
      </c>
      <c r="P911" t="str">
        <f t="shared" si="55"/>
        <v>403TP</v>
      </c>
      <c r="Q911" t="str">
        <f t="shared" si="56"/>
        <v>SG</v>
      </c>
      <c r="R911" t="str">
        <f>IF(ISERROR(MATCH(P911&amp;"."&amp;Q911,R$5:R910,0)),P911&amp;"."&amp;Q911,P911&amp;"."&amp;Q911&amp;COUNTIFS(P$5:P910,P911,Q$5:Q910,Q911))</f>
        <v>403TP.SG2</v>
      </c>
      <c r="S911" s="55">
        <f t="shared" si="57"/>
        <v>49586421.450521439</v>
      </c>
    </row>
    <row r="912" spans="1:19" hidden="1">
      <c r="A912" s="5">
        <v>977</v>
      </c>
      <c r="B912" s="59"/>
      <c r="C912" s="60"/>
      <c r="D912" s="63"/>
      <c r="E912" s="63"/>
      <c r="F912" s="63"/>
      <c r="G912" s="63"/>
      <c r="H912" s="62" t="s">
        <v>372</v>
      </c>
      <c r="I912" s="66">
        <v>112507658.75999999</v>
      </c>
      <c r="J912" s="66">
        <v>49500555.06159313</v>
      </c>
      <c r="K912" s="62"/>
      <c r="L912" s="66">
        <v>131211719.74853273</v>
      </c>
      <c r="M912" s="66">
        <v>73481845.802851021</v>
      </c>
      <c r="N912" s="66">
        <v>57729873.945681706</v>
      </c>
      <c r="P912" t="str">
        <f t="shared" si="55"/>
        <v>403TP</v>
      </c>
      <c r="Q912" t="str">
        <f t="shared" si="56"/>
        <v>NA</v>
      </c>
      <c r="R912" t="str">
        <f>IF(ISERROR(MATCH(P912&amp;"."&amp;Q912,R$5:R911,0)),P912&amp;"."&amp;Q912,P912&amp;"."&amp;Q912&amp;COUNTIFS(P$5:P911,P912,Q$5:Q911,Q912))</f>
        <v>403TP.NA1</v>
      </c>
      <c r="S912" s="55">
        <f t="shared" si="57"/>
        <v>57729873.945681706</v>
      </c>
    </row>
    <row r="913" spans="1:19" hidden="1">
      <c r="A913" s="5">
        <v>978</v>
      </c>
      <c r="B913" s="59"/>
      <c r="C913" s="60"/>
      <c r="D913" s="63"/>
      <c r="E913" s="63"/>
      <c r="F913" s="63"/>
      <c r="G913" s="63"/>
      <c r="H913" s="62"/>
      <c r="I913" s="65"/>
      <c r="J913" s="65"/>
      <c r="K913" s="62"/>
      <c r="L913" s="65"/>
      <c r="M913" s="65"/>
      <c r="N913" s="65"/>
      <c r="P913" t="str">
        <f t="shared" si="55"/>
        <v>403TP</v>
      </c>
      <c r="Q913" t="str">
        <f t="shared" si="56"/>
        <v>NA</v>
      </c>
      <c r="R913" t="str">
        <f>IF(ISERROR(MATCH(P913&amp;"."&amp;Q913,R$5:R912,0)),P913&amp;"."&amp;Q913,P913&amp;"."&amp;Q913&amp;COUNTIFS(P$5:P912,P913,Q$5:Q912,Q913))</f>
        <v>403TP.NA2</v>
      </c>
      <c r="S913" s="55">
        <f t="shared" si="57"/>
        <v>0</v>
      </c>
    </row>
    <row r="914" spans="1:19" hidden="1">
      <c r="A914" s="5">
        <v>979</v>
      </c>
      <c r="B914" s="59"/>
      <c r="C914" s="60"/>
      <c r="D914" s="61"/>
      <c r="E914" s="63"/>
      <c r="F914" s="63"/>
      <c r="G914" s="63"/>
      <c r="H914" s="62"/>
      <c r="I914" s="65"/>
      <c r="J914" s="65"/>
      <c r="K914" s="62"/>
      <c r="L914" s="65"/>
      <c r="M914" s="65"/>
      <c r="N914" s="65"/>
      <c r="P914" t="str">
        <f t="shared" si="55"/>
        <v>403TP</v>
      </c>
      <c r="Q914" t="str">
        <f t="shared" si="56"/>
        <v>NA</v>
      </c>
      <c r="R914" t="str">
        <f>IF(ISERROR(MATCH(P914&amp;"."&amp;Q914,R$5:R913,0)),P914&amp;"."&amp;Q914,P914&amp;"."&amp;Q914&amp;COUNTIFS(P$5:P913,P914,Q$5:Q913,Q914))</f>
        <v>403TP.NA3</v>
      </c>
      <c r="S914" s="55">
        <f t="shared" si="57"/>
        <v>0</v>
      </c>
    </row>
    <row r="915" spans="1:19" hidden="1">
      <c r="A915" s="5">
        <v>980</v>
      </c>
      <c r="B915" s="59"/>
      <c r="C915" s="60"/>
      <c r="D915" s="63"/>
      <c r="E915" s="63"/>
      <c r="F915" s="60"/>
      <c r="G915" s="61"/>
      <c r="H915" s="62"/>
      <c r="I915" s="65"/>
      <c r="J915" s="65"/>
      <c r="K915" s="62"/>
      <c r="L915" s="65"/>
      <c r="M915" s="65"/>
      <c r="N915" s="64"/>
      <c r="P915" t="str">
        <f t="shared" si="55"/>
        <v>403TP</v>
      </c>
      <c r="Q915" t="str">
        <f t="shared" si="56"/>
        <v>NA</v>
      </c>
      <c r="R915" t="str">
        <f>IF(ISERROR(MATCH(P915&amp;"."&amp;Q915,R$5:R914,0)),P915&amp;"."&amp;Q915,P915&amp;"."&amp;Q915&amp;COUNTIFS(P$5:P914,P915,Q$5:Q914,Q915))</f>
        <v>403TP.NA4</v>
      </c>
      <c r="S915" s="55">
        <f t="shared" si="57"/>
        <v>0</v>
      </c>
    </row>
    <row r="916" spans="1:19" hidden="1">
      <c r="A916" s="5">
        <v>981</v>
      </c>
      <c r="B916" s="59"/>
      <c r="C916" s="60">
        <v>403</v>
      </c>
      <c r="D916" s="63" t="s">
        <v>377</v>
      </c>
      <c r="E916" s="63"/>
      <c r="F916" s="60"/>
      <c r="G916" s="61"/>
      <c r="H916" s="62"/>
      <c r="I916" s="65"/>
      <c r="J916" s="65"/>
      <c r="K916" s="62"/>
      <c r="L916" s="65"/>
      <c r="M916" s="65"/>
      <c r="N916" s="64"/>
      <c r="P916">
        <f t="shared" si="55"/>
        <v>403</v>
      </c>
      <c r="Q916" t="str">
        <f t="shared" si="56"/>
        <v>NA</v>
      </c>
      <c r="R916" t="str">
        <f>IF(ISERROR(MATCH(P916&amp;"."&amp;Q916,R$5:R915,0)),P916&amp;"."&amp;Q916,P916&amp;"."&amp;Q916&amp;COUNTIFS(P$5:P915,P916,Q$5:Q915,Q916))</f>
        <v>403.NA</v>
      </c>
      <c r="S916" s="55">
        <f t="shared" si="57"/>
        <v>0</v>
      </c>
    </row>
    <row r="917" spans="1:19" hidden="1">
      <c r="A917" s="5">
        <v>982</v>
      </c>
      <c r="B917" s="59"/>
      <c r="C917" s="60">
        <v>360</v>
      </c>
      <c r="D917" s="63" t="s">
        <v>378</v>
      </c>
      <c r="E917" s="63"/>
      <c r="F917" s="60" t="s">
        <v>139</v>
      </c>
      <c r="G917" s="61" t="s">
        <v>12</v>
      </c>
      <c r="H917" s="62"/>
      <c r="I917" s="65">
        <v>429065.18</v>
      </c>
      <c r="J917" s="65">
        <v>184688.92</v>
      </c>
      <c r="K917" s="62"/>
      <c r="L917" s="65">
        <v>809165.37057619728</v>
      </c>
      <c r="M917" s="65">
        <v>354220.76646278647</v>
      </c>
      <c r="N917" s="64">
        <v>454944.60411341081</v>
      </c>
      <c r="P917">
        <f t="shared" si="55"/>
        <v>360</v>
      </c>
      <c r="Q917" t="str">
        <f t="shared" si="56"/>
        <v>S</v>
      </c>
      <c r="R917" t="str">
        <f>IF(ISERROR(MATCH(P917&amp;"."&amp;Q917,R$5:R916,0)),P917&amp;"."&amp;Q917,P917&amp;"."&amp;Q917&amp;COUNTIFS(P$5:P916,P917,Q$5:Q916,Q917))</f>
        <v>360.S</v>
      </c>
      <c r="S917" s="55">
        <f t="shared" si="57"/>
        <v>454944.60411341081</v>
      </c>
    </row>
    <row r="918" spans="1:19" hidden="1">
      <c r="A918" s="5">
        <v>983</v>
      </c>
      <c r="B918" s="59"/>
      <c r="C918" s="60">
        <v>361</v>
      </c>
      <c r="D918" s="63" t="s">
        <v>379</v>
      </c>
      <c r="E918" s="63"/>
      <c r="F918" s="60" t="s">
        <v>139</v>
      </c>
      <c r="G918" s="61" t="s">
        <v>12</v>
      </c>
      <c r="H918" s="62"/>
      <c r="I918" s="65">
        <v>2115832.56</v>
      </c>
      <c r="J918" s="65">
        <v>960158.51</v>
      </c>
      <c r="K918" s="62"/>
      <c r="L918" s="65">
        <v>2841785.0675737681</v>
      </c>
      <c r="M918" s="65">
        <v>1365465.8282913535</v>
      </c>
      <c r="N918" s="64">
        <v>1476319.2392824145</v>
      </c>
      <c r="P918">
        <f t="shared" si="55"/>
        <v>361</v>
      </c>
      <c r="Q918" t="str">
        <f t="shared" si="56"/>
        <v>S</v>
      </c>
      <c r="R918" t="str">
        <f>IF(ISERROR(MATCH(P918&amp;"."&amp;Q918,R$5:R917,0)),P918&amp;"."&amp;Q918,P918&amp;"."&amp;Q918&amp;COUNTIFS(P$5:P917,P918,Q$5:Q917,Q918))</f>
        <v>361.S</v>
      </c>
      <c r="S918" s="55">
        <f t="shared" si="57"/>
        <v>1476319.2392824145</v>
      </c>
    </row>
    <row r="919" spans="1:19" hidden="1">
      <c r="A919" s="5">
        <v>984</v>
      </c>
      <c r="B919" s="59"/>
      <c r="C919" s="60">
        <v>362</v>
      </c>
      <c r="D919" s="63" t="s">
        <v>380</v>
      </c>
      <c r="E919" s="63"/>
      <c r="F919" s="60" t="s">
        <v>139</v>
      </c>
      <c r="G919" s="61" t="s">
        <v>12</v>
      </c>
      <c r="H919" s="62"/>
      <c r="I919" s="65">
        <v>-3638676.99</v>
      </c>
      <c r="J919" s="65">
        <v>-10997658.99</v>
      </c>
      <c r="K919" s="62"/>
      <c r="L919" s="65">
        <v>2463668.3120428203</v>
      </c>
      <c r="M919" s="65">
        <v>9122488.3717076033</v>
      </c>
      <c r="N919" s="64">
        <v>-6658820.0596647831</v>
      </c>
      <c r="P919">
        <f t="shared" si="55"/>
        <v>362</v>
      </c>
      <c r="Q919" t="str">
        <f t="shared" si="56"/>
        <v>S</v>
      </c>
      <c r="R919" t="str">
        <f>IF(ISERROR(MATCH(P919&amp;"."&amp;Q919,R$5:R918,0)),P919&amp;"."&amp;Q919,P919&amp;"."&amp;Q919&amp;COUNTIFS(P$5:P918,P919,Q$5:Q918,Q919))</f>
        <v>362.S</v>
      </c>
      <c r="S919" s="55">
        <f t="shared" si="57"/>
        <v>-6658820.0596647831</v>
      </c>
    </row>
    <row r="920" spans="1:19" hidden="1">
      <c r="A920" s="5">
        <v>985</v>
      </c>
      <c r="B920" s="59"/>
      <c r="C920" s="60">
        <v>363</v>
      </c>
      <c r="D920" s="63" t="s">
        <v>381</v>
      </c>
      <c r="E920" s="63"/>
      <c r="F920" s="60" t="s">
        <v>139</v>
      </c>
      <c r="G920" s="61" t="s">
        <v>12</v>
      </c>
      <c r="H920" s="62"/>
      <c r="I920" s="65">
        <v>0</v>
      </c>
      <c r="J920" s="65">
        <v>0</v>
      </c>
      <c r="K920" s="62"/>
      <c r="L920" s="65">
        <v>0</v>
      </c>
      <c r="M920" s="65">
        <v>0</v>
      </c>
      <c r="N920" s="64">
        <v>0</v>
      </c>
      <c r="P920">
        <f t="shared" si="55"/>
        <v>363</v>
      </c>
      <c r="Q920" t="str">
        <f t="shared" si="56"/>
        <v>S</v>
      </c>
      <c r="R920" t="str">
        <f>IF(ISERROR(MATCH(P920&amp;"."&amp;Q920,R$5:R919,0)),P920&amp;"."&amp;Q920,P920&amp;"."&amp;Q920&amp;COUNTIFS(P$5:P919,P920,Q$5:Q919,Q920))</f>
        <v>363.S</v>
      </c>
      <c r="S920" s="55">
        <f t="shared" si="57"/>
        <v>0</v>
      </c>
    </row>
    <row r="921" spans="1:19" hidden="1">
      <c r="A921" s="5">
        <v>986</v>
      </c>
      <c r="B921" s="59"/>
      <c r="C921" s="60">
        <v>364</v>
      </c>
      <c r="D921" s="63" t="s">
        <v>382</v>
      </c>
      <c r="E921" s="63"/>
      <c r="F921" s="60" t="s">
        <v>139</v>
      </c>
      <c r="G921" s="61" t="s">
        <v>12</v>
      </c>
      <c r="H921" s="62"/>
      <c r="I921" s="65">
        <v>44079599.870000005</v>
      </c>
      <c r="J921" s="65">
        <v>14324521.470000001</v>
      </c>
      <c r="K921" s="62"/>
      <c r="L921" s="65">
        <v>51438473.709947355</v>
      </c>
      <c r="M921" s="65">
        <v>31881706.81301282</v>
      </c>
      <c r="N921" s="64">
        <v>19556766.896934535</v>
      </c>
      <c r="P921">
        <f t="shared" si="55"/>
        <v>364</v>
      </c>
      <c r="Q921" t="str">
        <f t="shared" si="56"/>
        <v>S</v>
      </c>
      <c r="R921" t="str">
        <f>IF(ISERROR(MATCH(P921&amp;"."&amp;Q921,R$5:R920,0)),P921&amp;"."&amp;Q921,P921&amp;"."&amp;Q921&amp;COUNTIFS(P$5:P920,P921,Q$5:Q920,Q921))</f>
        <v>364.S</v>
      </c>
      <c r="S921" s="55">
        <f t="shared" si="57"/>
        <v>19556766.896934535</v>
      </c>
    </row>
    <row r="922" spans="1:19" hidden="1">
      <c r="A922" s="5">
        <v>987</v>
      </c>
      <c r="B922" s="59"/>
      <c r="C922" s="60">
        <v>365</v>
      </c>
      <c r="D922" s="63" t="s">
        <v>383</v>
      </c>
      <c r="E922" s="63"/>
      <c r="F922" s="60" t="s">
        <v>139</v>
      </c>
      <c r="G922" s="61" t="s">
        <v>12</v>
      </c>
      <c r="H922" s="62"/>
      <c r="I922" s="65">
        <v>20849815.110000003</v>
      </c>
      <c r="J922" s="65">
        <v>6819390.4100000001</v>
      </c>
      <c r="K922" s="62"/>
      <c r="L922" s="65">
        <v>25527544.964026641</v>
      </c>
      <c r="M922" s="65">
        <v>15382233.880634427</v>
      </c>
      <c r="N922" s="64">
        <v>10145311.083392214</v>
      </c>
      <c r="P922">
        <f t="shared" si="55"/>
        <v>365</v>
      </c>
      <c r="Q922" t="str">
        <f t="shared" si="56"/>
        <v>S</v>
      </c>
      <c r="R922" t="str">
        <f>IF(ISERROR(MATCH(P922&amp;"."&amp;Q922,R$5:R921,0)),P922&amp;"."&amp;Q922,P922&amp;"."&amp;Q922&amp;COUNTIFS(P$5:P921,P922,Q$5:Q921,Q922))</f>
        <v>365.S</v>
      </c>
      <c r="S922" s="55">
        <f t="shared" si="57"/>
        <v>10145311.083392214</v>
      </c>
    </row>
    <row r="923" spans="1:19" hidden="1">
      <c r="A923" s="5">
        <v>988</v>
      </c>
      <c r="B923" s="59"/>
      <c r="C923" s="60">
        <v>366</v>
      </c>
      <c r="D923" s="63" t="s">
        <v>384</v>
      </c>
      <c r="E923" s="63"/>
      <c r="F923" s="60" t="s">
        <v>139</v>
      </c>
      <c r="G923" s="61" t="s">
        <v>12</v>
      </c>
      <c r="H923" s="62"/>
      <c r="I923" s="65">
        <v>9604185.5300000012</v>
      </c>
      <c r="J923" s="65">
        <v>5331334.05</v>
      </c>
      <c r="K923" s="62"/>
      <c r="L923" s="65">
        <v>11927628.544727929</v>
      </c>
      <c r="M923" s="65">
        <v>4944299.3181615965</v>
      </c>
      <c r="N923" s="64">
        <v>6983329.2265663324</v>
      </c>
      <c r="P923">
        <f t="shared" si="55"/>
        <v>366</v>
      </c>
      <c r="Q923" t="str">
        <f t="shared" si="56"/>
        <v>S</v>
      </c>
      <c r="R923" t="str">
        <f>IF(ISERROR(MATCH(P923&amp;"."&amp;Q923,R$5:R922,0)),P923&amp;"."&amp;Q923,P923&amp;"."&amp;Q923&amp;COUNTIFS(P$5:P922,P923,Q$5:Q922,Q923))</f>
        <v>366.S</v>
      </c>
      <c r="S923" s="55">
        <f t="shared" si="57"/>
        <v>6983329.2265663324</v>
      </c>
    </row>
    <row r="924" spans="1:19" hidden="1">
      <c r="A924" s="5">
        <v>989</v>
      </c>
      <c r="B924" s="59"/>
      <c r="C924" s="60">
        <v>367</v>
      </c>
      <c r="D924" s="63" t="s">
        <v>385</v>
      </c>
      <c r="E924" s="63"/>
      <c r="F924" s="63" t="s">
        <v>139</v>
      </c>
      <c r="G924" s="63" t="s">
        <v>12</v>
      </c>
      <c r="H924" s="62"/>
      <c r="I924" s="66">
        <v>22509452.66</v>
      </c>
      <c r="J924" s="66">
        <v>14361486.310000001</v>
      </c>
      <c r="K924" s="62"/>
      <c r="L924" s="66">
        <v>27941633.188673317</v>
      </c>
      <c r="M924" s="66">
        <v>9717802.9456732199</v>
      </c>
      <c r="N924" s="66">
        <v>18223830.243000098</v>
      </c>
      <c r="P924">
        <f t="shared" si="55"/>
        <v>367</v>
      </c>
      <c r="Q924" t="str">
        <f t="shared" si="56"/>
        <v>S</v>
      </c>
      <c r="R924" t="str">
        <f>IF(ISERROR(MATCH(P924&amp;"."&amp;Q924,R$5:R923,0)),P924&amp;"."&amp;Q924,P924&amp;"."&amp;Q924&amp;COUNTIFS(P$5:P923,P924,Q$5:Q923,Q924))</f>
        <v>367.S</v>
      </c>
      <c r="S924" s="55">
        <f t="shared" si="57"/>
        <v>18223830.243000098</v>
      </c>
    </row>
    <row r="925" spans="1:19" hidden="1">
      <c r="A925" s="5">
        <v>990</v>
      </c>
      <c r="B925" s="59"/>
      <c r="C925" s="60">
        <v>368</v>
      </c>
      <c r="D925" s="63" t="s">
        <v>386</v>
      </c>
      <c r="E925" s="63"/>
      <c r="F925" s="63" t="s">
        <v>139</v>
      </c>
      <c r="G925" s="63" t="s">
        <v>12</v>
      </c>
      <c r="H925" s="62"/>
      <c r="I925" s="65">
        <v>34758471.140000001</v>
      </c>
      <c r="J925" s="65">
        <v>13031356.689999999</v>
      </c>
      <c r="K925" s="62"/>
      <c r="L925" s="65">
        <v>43114313.038672939</v>
      </c>
      <c r="M925" s="65">
        <v>24141854.963677291</v>
      </c>
      <c r="N925" s="65">
        <v>18972458.074995648</v>
      </c>
      <c r="P925">
        <f t="shared" si="55"/>
        <v>368</v>
      </c>
      <c r="Q925" t="str">
        <f t="shared" si="56"/>
        <v>S</v>
      </c>
      <c r="R925" t="str">
        <f>IF(ISERROR(MATCH(P925&amp;"."&amp;Q925,R$5:R924,0)),P925&amp;"."&amp;Q925,P925&amp;"."&amp;Q925&amp;COUNTIFS(P$5:P924,P925,Q$5:Q924,Q925))</f>
        <v>368.S</v>
      </c>
      <c r="S925" s="55">
        <f t="shared" si="57"/>
        <v>18972458.074995648</v>
      </c>
    </row>
    <row r="926" spans="1:19" hidden="1">
      <c r="A926" s="5">
        <v>991</v>
      </c>
      <c r="B926" s="59"/>
      <c r="C926" s="60">
        <v>369</v>
      </c>
      <c r="D926" s="61" t="s">
        <v>387</v>
      </c>
      <c r="E926" s="63"/>
      <c r="F926" s="63" t="s">
        <v>139</v>
      </c>
      <c r="G926" s="63" t="s">
        <v>12</v>
      </c>
      <c r="H926" s="62"/>
      <c r="I926" s="65">
        <v>19400498.129999999</v>
      </c>
      <c r="J926" s="65">
        <v>7601132.4199999999</v>
      </c>
      <c r="K926" s="62"/>
      <c r="L926" s="65">
        <v>24403317.779828943</v>
      </c>
      <c r="M926" s="65">
        <v>13245122.036837801</v>
      </c>
      <c r="N926" s="65">
        <v>11158195.742991142</v>
      </c>
      <c r="P926">
        <f t="shared" si="55"/>
        <v>369</v>
      </c>
      <c r="Q926" t="str">
        <f t="shared" si="56"/>
        <v>S</v>
      </c>
      <c r="R926" t="str">
        <f>IF(ISERROR(MATCH(P926&amp;"."&amp;Q926,R$5:R925,0)),P926&amp;"."&amp;Q926,P926&amp;"."&amp;Q926&amp;COUNTIFS(P$5:P925,P926,Q$5:Q925,Q926))</f>
        <v>369.S</v>
      </c>
      <c r="S926" s="55">
        <f t="shared" si="57"/>
        <v>11158195.742991142</v>
      </c>
    </row>
    <row r="927" spans="1:19" hidden="1">
      <c r="A927" s="5">
        <v>992</v>
      </c>
      <c r="B927" s="59"/>
      <c r="C927" s="60">
        <v>370</v>
      </c>
      <c r="D927" s="63" t="s">
        <v>388</v>
      </c>
      <c r="E927" s="63"/>
      <c r="F927" s="60" t="s">
        <v>139</v>
      </c>
      <c r="G927" s="61" t="s">
        <v>12</v>
      </c>
      <c r="H927" s="62"/>
      <c r="I927" s="65">
        <v>9134490.5000000019</v>
      </c>
      <c r="J927" s="65">
        <v>3626550.72</v>
      </c>
      <c r="K927" s="62"/>
      <c r="L927" s="65">
        <v>10545047.961358687</v>
      </c>
      <c r="M927" s="65">
        <v>5915574.3774609175</v>
      </c>
      <c r="N927" s="64">
        <v>4629473.5838977695</v>
      </c>
      <c r="P927">
        <f t="shared" si="55"/>
        <v>370</v>
      </c>
      <c r="Q927" t="str">
        <f t="shared" si="56"/>
        <v>S</v>
      </c>
      <c r="R927" t="str">
        <f>IF(ISERROR(MATCH(P927&amp;"."&amp;Q927,R$5:R926,0)),P927&amp;"."&amp;Q927,P927&amp;"."&amp;Q927&amp;COUNTIFS(P$5:P926,P927,Q$5:Q926,Q927))</f>
        <v>370.S</v>
      </c>
      <c r="S927" s="55">
        <f t="shared" si="57"/>
        <v>4629473.5838977695</v>
      </c>
    </row>
    <row r="928" spans="1:19" hidden="1">
      <c r="A928" s="5">
        <v>993</v>
      </c>
      <c r="B928" s="59"/>
      <c r="C928" s="60">
        <v>371</v>
      </c>
      <c r="D928" s="63" t="s">
        <v>389</v>
      </c>
      <c r="E928" s="63"/>
      <c r="F928" s="63" t="s">
        <v>139</v>
      </c>
      <c r="G928" s="63" t="s">
        <v>12</v>
      </c>
      <c r="H928" s="62"/>
      <c r="I928" s="66">
        <v>496453.67</v>
      </c>
      <c r="J928" s="66">
        <v>269409.93</v>
      </c>
      <c r="K928" s="62"/>
      <c r="L928" s="66">
        <v>548942.79124999151</v>
      </c>
      <c r="M928" s="66">
        <v>242212.48171946744</v>
      </c>
      <c r="N928" s="66">
        <v>306730.30953052407</v>
      </c>
      <c r="P928">
        <f t="shared" si="55"/>
        <v>371</v>
      </c>
      <c r="Q928" t="str">
        <f t="shared" si="56"/>
        <v>S</v>
      </c>
      <c r="R928" t="str">
        <f>IF(ISERROR(MATCH(P928&amp;"."&amp;Q928,R$5:R927,0)),P928&amp;"."&amp;Q928,P928&amp;"."&amp;Q928&amp;COUNTIFS(P$5:P927,P928,Q$5:Q927,Q928))</f>
        <v>371.S</v>
      </c>
      <c r="S928" s="55">
        <f t="shared" si="57"/>
        <v>306730.30953052407</v>
      </c>
    </row>
    <row r="929" spans="1:19" hidden="1">
      <c r="A929" s="5">
        <v>994</v>
      </c>
      <c r="B929" s="59"/>
      <c r="C929" s="60">
        <v>372</v>
      </c>
      <c r="D929" s="63" t="s">
        <v>390</v>
      </c>
      <c r="E929" s="63"/>
      <c r="F929" s="63" t="s">
        <v>139</v>
      </c>
      <c r="G929" s="63" t="s">
        <v>12</v>
      </c>
      <c r="H929" s="62"/>
      <c r="I929" s="65">
        <v>0</v>
      </c>
      <c r="J929" s="65">
        <v>0</v>
      </c>
      <c r="K929" s="62"/>
      <c r="L929" s="65">
        <v>0</v>
      </c>
      <c r="M929" s="65">
        <v>0</v>
      </c>
      <c r="N929" s="65">
        <v>0</v>
      </c>
      <c r="P929">
        <f t="shared" si="55"/>
        <v>372</v>
      </c>
      <c r="Q929" t="str">
        <f t="shared" si="56"/>
        <v>S</v>
      </c>
      <c r="R929" t="str">
        <f>IF(ISERROR(MATCH(P929&amp;"."&amp;Q929,R$5:R928,0)),P929&amp;"."&amp;Q929,P929&amp;"."&amp;Q929&amp;COUNTIFS(P$5:P928,P929,Q$5:Q928,Q929))</f>
        <v>372.S</v>
      </c>
      <c r="S929" s="55">
        <f t="shared" si="57"/>
        <v>0</v>
      </c>
    </row>
    <row r="930" spans="1:19" hidden="1">
      <c r="A930" s="5">
        <v>995</v>
      </c>
      <c r="B930" s="59"/>
      <c r="C930" s="60">
        <v>373</v>
      </c>
      <c r="D930" s="61" t="s">
        <v>391</v>
      </c>
      <c r="E930" s="63"/>
      <c r="F930" s="63" t="s">
        <v>139</v>
      </c>
      <c r="G930" s="63" t="s">
        <v>12</v>
      </c>
      <c r="H930" s="62"/>
      <c r="I930" s="65">
        <v>2242101.6800000002</v>
      </c>
      <c r="J930" s="65">
        <v>1044454.65</v>
      </c>
      <c r="K930" s="62"/>
      <c r="L930" s="65">
        <v>2615596.6007107776</v>
      </c>
      <c r="M930" s="65">
        <v>1305582.6907783877</v>
      </c>
      <c r="N930" s="65">
        <v>1310013.9099323899</v>
      </c>
      <c r="P930">
        <f t="shared" si="55"/>
        <v>373</v>
      </c>
      <c r="Q930" t="str">
        <f t="shared" si="56"/>
        <v>S</v>
      </c>
      <c r="R930" t="str">
        <f>IF(ISERROR(MATCH(P930&amp;"."&amp;Q930,R$5:R929,0)),P930&amp;"."&amp;Q930,P930&amp;"."&amp;Q930&amp;COUNTIFS(P$5:P929,P930,Q$5:Q929,Q930))</f>
        <v>373.S</v>
      </c>
      <c r="S930" s="55">
        <f t="shared" si="57"/>
        <v>1310013.9099323899</v>
      </c>
    </row>
    <row r="931" spans="1:19" hidden="1">
      <c r="A931" s="5">
        <v>996</v>
      </c>
      <c r="B931" s="59"/>
      <c r="C931" s="60"/>
      <c r="D931" s="63"/>
      <c r="E931" s="63"/>
      <c r="F931" s="60"/>
      <c r="G931" s="61"/>
      <c r="H931" s="62" t="s">
        <v>372</v>
      </c>
      <c r="I931" s="65">
        <v>161981289.03999999</v>
      </c>
      <c r="J931" s="65">
        <v>56556825.089999996</v>
      </c>
      <c r="K931" s="62"/>
      <c r="L931" s="65">
        <v>204177117.32938936</v>
      </c>
      <c r="M931" s="65">
        <v>117618564.47441767</v>
      </c>
      <c r="N931" s="64">
        <v>86558552.854971692</v>
      </c>
      <c r="P931">
        <f t="shared" si="55"/>
        <v>373</v>
      </c>
      <c r="Q931" t="str">
        <f t="shared" si="56"/>
        <v>NA</v>
      </c>
      <c r="R931" t="str">
        <f>IF(ISERROR(MATCH(P931&amp;"."&amp;Q931,R$5:R930,0)),P931&amp;"."&amp;Q931,P931&amp;"."&amp;Q931&amp;COUNTIFS(P$5:P930,P931,Q$5:Q930,Q931))</f>
        <v>373.NA</v>
      </c>
      <c r="S931" s="55">
        <f t="shared" si="57"/>
        <v>86558552.854971692</v>
      </c>
    </row>
    <row r="932" spans="1:19" hidden="1">
      <c r="A932" s="5">
        <v>997</v>
      </c>
      <c r="B932" s="59"/>
      <c r="C932" s="60"/>
      <c r="D932" s="63"/>
      <c r="E932" s="63"/>
      <c r="F932" s="63"/>
      <c r="G932" s="63"/>
      <c r="H932" s="62"/>
      <c r="I932" s="66"/>
      <c r="J932" s="66"/>
      <c r="K932" s="62"/>
      <c r="L932" s="66"/>
      <c r="M932" s="66"/>
      <c r="N932" s="66"/>
      <c r="P932">
        <f t="shared" si="55"/>
        <v>373</v>
      </c>
      <c r="Q932" t="str">
        <f t="shared" si="56"/>
        <v>NA</v>
      </c>
      <c r="R932" t="str">
        <f>IF(ISERROR(MATCH(P932&amp;"."&amp;Q932,R$5:R931,0)),P932&amp;"."&amp;Q932,P932&amp;"."&amp;Q932&amp;COUNTIFS(P$5:P931,P932,Q$5:Q931,Q932))</f>
        <v>373.NA1</v>
      </c>
      <c r="S932" s="55">
        <f t="shared" si="57"/>
        <v>0</v>
      </c>
    </row>
    <row r="933" spans="1:19" hidden="1">
      <c r="A933" s="5">
        <v>998</v>
      </c>
      <c r="B933" s="59"/>
      <c r="C933" s="60" t="s">
        <v>224</v>
      </c>
      <c r="D933" s="63" t="s">
        <v>392</v>
      </c>
      <c r="E933" s="63"/>
      <c r="F933" s="63"/>
      <c r="G933" s="63"/>
      <c r="H933" s="62"/>
      <c r="I933" s="65"/>
      <c r="J933" s="65"/>
      <c r="K933" s="62"/>
      <c r="L933" s="65"/>
      <c r="M933" s="65"/>
      <c r="N933" s="65"/>
      <c r="P933" t="str">
        <f t="shared" si="55"/>
        <v>403GP</v>
      </c>
      <c r="Q933" t="str">
        <f t="shared" si="56"/>
        <v>NA</v>
      </c>
      <c r="R933" t="str">
        <f>IF(ISERROR(MATCH(P933&amp;"."&amp;Q933,R$5:R932,0)),P933&amp;"."&amp;Q933,P933&amp;"."&amp;Q933&amp;COUNTIFS(P$5:P932,P933,Q$5:Q932,Q933))</f>
        <v>403GP.NA</v>
      </c>
      <c r="S933" s="55">
        <f t="shared" si="57"/>
        <v>0</v>
      </c>
    </row>
    <row r="934" spans="1:19" hidden="1">
      <c r="A934" s="5">
        <v>999</v>
      </c>
      <c r="B934" s="59"/>
      <c r="C934" s="60"/>
      <c r="D934" s="61"/>
      <c r="E934" s="63"/>
      <c r="F934" s="63" t="s">
        <v>393</v>
      </c>
      <c r="G934" s="63" t="s">
        <v>12</v>
      </c>
      <c r="H934" s="62"/>
      <c r="I934" s="65">
        <v>15001279.489999998</v>
      </c>
      <c r="J934" s="65">
        <v>4830631.04</v>
      </c>
      <c r="K934" s="62"/>
      <c r="L934" s="65">
        <v>17507834.909043312</v>
      </c>
      <c r="M934" s="65">
        <v>10937649.70417928</v>
      </c>
      <c r="N934" s="65">
        <v>6570185.2048640316</v>
      </c>
      <c r="P934" t="str">
        <f t="shared" si="55"/>
        <v>403GP</v>
      </c>
      <c r="Q934" t="str">
        <f t="shared" si="56"/>
        <v>S</v>
      </c>
      <c r="R934" t="str">
        <f>IF(ISERROR(MATCH(P934&amp;"."&amp;Q934,R$5:R933,0)),P934&amp;"."&amp;Q934,P934&amp;"."&amp;Q934&amp;COUNTIFS(P$5:P933,P934,Q$5:Q933,Q934))</f>
        <v>403GP.S</v>
      </c>
      <c r="S934" s="55">
        <f t="shared" si="57"/>
        <v>6570185.2048640316</v>
      </c>
    </row>
    <row r="935" spans="1:19" hidden="1">
      <c r="A935" s="5">
        <v>1000</v>
      </c>
      <c r="B935" s="59"/>
      <c r="C935" s="60"/>
      <c r="D935" s="63"/>
      <c r="E935" s="63"/>
      <c r="F935" s="60" t="s">
        <v>394</v>
      </c>
      <c r="G935" s="61" t="s">
        <v>15</v>
      </c>
      <c r="H935" s="62"/>
      <c r="I935" s="65">
        <v>23759.8</v>
      </c>
      <c r="J935" s="65">
        <v>10453.717561231389</v>
      </c>
      <c r="K935" s="62"/>
      <c r="L935" s="65">
        <v>21260.271696375119</v>
      </c>
      <c r="M935" s="65">
        <v>11906.284053846677</v>
      </c>
      <c r="N935" s="64">
        <v>9353.9876425284419</v>
      </c>
      <c r="P935" t="str">
        <f t="shared" si="55"/>
        <v>403GP</v>
      </c>
      <c r="Q935" t="str">
        <f t="shared" si="56"/>
        <v>SG</v>
      </c>
      <c r="R935" t="str">
        <f>IF(ISERROR(MATCH(P935&amp;"."&amp;Q935,R$5:R934,0)),P935&amp;"."&amp;Q935,P935&amp;"."&amp;Q935&amp;COUNTIFS(P$5:P934,P935,Q$5:Q934,Q935))</f>
        <v>403GP.SG</v>
      </c>
      <c r="S935" s="55">
        <f t="shared" si="57"/>
        <v>9353.9876425284419</v>
      </c>
    </row>
    <row r="936" spans="1:19" hidden="1">
      <c r="A936" s="5">
        <v>1001</v>
      </c>
      <c r="B936" s="59"/>
      <c r="C936" s="60"/>
      <c r="D936" s="63"/>
      <c r="E936" s="63"/>
      <c r="F936" s="60" t="s">
        <v>395</v>
      </c>
      <c r="G936" s="61" t="s">
        <v>15</v>
      </c>
      <c r="H936" s="62"/>
      <c r="I936" s="65">
        <v>72996.38</v>
      </c>
      <c r="J936" s="65">
        <v>32116.580927125644</v>
      </c>
      <c r="K936" s="62"/>
      <c r="L936" s="65">
        <v>75915.219250433482</v>
      </c>
      <c r="M936" s="65">
        <v>42514.422078614371</v>
      </c>
      <c r="N936" s="64">
        <v>33400.797171819111</v>
      </c>
      <c r="P936" t="str">
        <f t="shared" si="55"/>
        <v>403GP</v>
      </c>
      <c r="Q936" t="str">
        <f t="shared" si="56"/>
        <v>SG</v>
      </c>
      <c r="R936" t="str">
        <f>IF(ISERROR(MATCH(P936&amp;"."&amp;Q936,R$5:R935,0)),P936&amp;"."&amp;Q936,P936&amp;"."&amp;Q936&amp;COUNTIFS(P$5:P935,P936,Q$5:Q935,Q936))</f>
        <v>403GP.SG1</v>
      </c>
      <c r="S936" s="55">
        <f t="shared" si="57"/>
        <v>33400.797171819111</v>
      </c>
    </row>
    <row r="937" spans="1:19" hidden="1">
      <c r="A937" s="5">
        <v>1002</v>
      </c>
      <c r="B937" s="59"/>
      <c r="C937" s="60"/>
      <c r="D937" s="63"/>
      <c r="E937" s="63"/>
      <c r="F937" s="63" t="s">
        <v>13</v>
      </c>
      <c r="G937" s="63" t="s">
        <v>16</v>
      </c>
      <c r="H937" s="62"/>
      <c r="I937" s="66">
        <v>100518.85</v>
      </c>
      <c r="J937" s="66">
        <v>43581.163192244043</v>
      </c>
      <c r="K937" s="62"/>
      <c r="L937" s="66">
        <v>127088.83778931465</v>
      </c>
      <c r="M937" s="66">
        <v>71987.93502720831</v>
      </c>
      <c r="N937" s="66">
        <v>55100.902762106343</v>
      </c>
      <c r="P937" t="str">
        <f t="shared" si="55"/>
        <v>403GP</v>
      </c>
      <c r="Q937" t="str">
        <f t="shared" si="56"/>
        <v>SE</v>
      </c>
      <c r="R937" t="str">
        <f>IF(ISERROR(MATCH(P937&amp;"."&amp;Q937,R$5:R936,0)),P937&amp;"."&amp;Q937,P937&amp;"."&amp;Q937&amp;COUNTIFS(P$5:P936,P937,Q$5:Q936,Q937))</f>
        <v>403GP.SE</v>
      </c>
      <c r="S937" s="55">
        <f t="shared" si="57"/>
        <v>55100.902762106343</v>
      </c>
    </row>
    <row r="938" spans="1:19" hidden="1">
      <c r="A938" s="5">
        <v>1003</v>
      </c>
      <c r="B938" s="59"/>
      <c r="C938" s="60"/>
      <c r="D938" s="61"/>
      <c r="E938" s="61"/>
      <c r="F938" s="63" t="s">
        <v>149</v>
      </c>
      <c r="G938" s="61" t="s">
        <v>155</v>
      </c>
      <c r="H938" s="62"/>
      <c r="I938" s="77">
        <v>955260.73</v>
      </c>
      <c r="J938" s="77">
        <v>456704.38159807475</v>
      </c>
      <c r="K938" s="62"/>
      <c r="L938" s="77">
        <v>936664.80666701775</v>
      </c>
      <c r="M938" s="77">
        <v>488851.02362420323</v>
      </c>
      <c r="N938" s="77">
        <v>447813.78304281452</v>
      </c>
      <c r="P938" t="str">
        <f t="shared" si="55"/>
        <v>403GP</v>
      </c>
      <c r="Q938" t="str">
        <f t="shared" si="56"/>
        <v>CN</v>
      </c>
      <c r="R938" t="str">
        <f>IF(ISERROR(MATCH(P938&amp;"."&amp;Q938,R$5:R937,0)),P938&amp;"."&amp;Q938,P938&amp;"."&amp;Q938&amp;COUNTIFS(P$5:P937,P938,Q$5:Q937,Q938))</f>
        <v>403GP.CN</v>
      </c>
      <c r="S938" s="55">
        <f t="shared" si="57"/>
        <v>447813.78304281452</v>
      </c>
    </row>
    <row r="939" spans="1:19" hidden="1">
      <c r="A939" s="5">
        <v>1004</v>
      </c>
      <c r="B939" s="59"/>
      <c r="C939" s="60"/>
      <c r="D939" s="61"/>
      <c r="E939" s="61"/>
      <c r="F939" s="60" t="s">
        <v>396</v>
      </c>
      <c r="G939" s="61" t="s">
        <v>15</v>
      </c>
      <c r="H939" s="62"/>
      <c r="I939" s="65">
        <v>9895515.3800000008</v>
      </c>
      <c r="J939" s="65">
        <v>4353779.1944941171</v>
      </c>
      <c r="K939" s="62"/>
      <c r="L939" s="65">
        <v>10480044.170757446</v>
      </c>
      <c r="M939" s="65">
        <v>5869086.9324672343</v>
      </c>
      <c r="N939" s="64">
        <v>4610957.2382902121</v>
      </c>
      <c r="P939" t="str">
        <f t="shared" si="55"/>
        <v>403GP</v>
      </c>
      <c r="Q939" t="str">
        <f t="shared" si="56"/>
        <v>SG</v>
      </c>
      <c r="R939" t="str">
        <f>IF(ISERROR(MATCH(P939&amp;"."&amp;Q939,R$5:R938,0)),P939&amp;"."&amp;Q939,P939&amp;"."&amp;Q939&amp;COUNTIFS(P$5:P938,P939,Q$5:Q938,Q939))</f>
        <v>403GP.SG2</v>
      </c>
      <c r="S939" s="55">
        <f t="shared" si="57"/>
        <v>4610957.2382902121</v>
      </c>
    </row>
    <row r="940" spans="1:19" hidden="1">
      <c r="A940" s="5">
        <v>1005</v>
      </c>
      <c r="B940" s="59"/>
      <c r="C940" s="60"/>
      <c r="D940" s="61"/>
      <c r="E940" s="61"/>
      <c r="F940" s="61" t="s">
        <v>171</v>
      </c>
      <c r="G940" s="63" t="s">
        <v>136</v>
      </c>
      <c r="H940" s="62"/>
      <c r="I940" s="66">
        <v>15153706.52</v>
      </c>
      <c r="J940" s="66">
        <v>6576485.9593632799</v>
      </c>
      <c r="K940" s="62"/>
      <c r="L940" s="66">
        <v>18511595.938310366</v>
      </c>
      <c r="M940" s="66">
        <v>10423042.873107845</v>
      </c>
      <c r="N940" s="66">
        <v>8088553.0652025212</v>
      </c>
      <c r="P940" t="str">
        <f t="shared" si="55"/>
        <v>403GP</v>
      </c>
      <c r="Q940" t="str">
        <f t="shared" si="56"/>
        <v>SO</v>
      </c>
      <c r="R940" t="str">
        <f>IF(ISERROR(MATCH(P940&amp;"."&amp;Q940,R$5:R939,0)),P940&amp;"."&amp;Q940,P940&amp;"."&amp;Q940&amp;COUNTIFS(P$5:P939,P940,Q$5:Q939,Q940))</f>
        <v>403GP.SO</v>
      </c>
      <c r="S940" s="55">
        <f t="shared" si="57"/>
        <v>8088553.0652025212</v>
      </c>
    </row>
    <row r="941" spans="1:19" hidden="1">
      <c r="A941" s="5">
        <v>1006</v>
      </c>
      <c r="B941" s="59"/>
      <c r="C941" s="60"/>
      <c r="D941" s="61"/>
      <c r="E941" s="61"/>
      <c r="F941" s="61" t="s">
        <v>396</v>
      </c>
      <c r="G941" s="61" t="s">
        <v>15</v>
      </c>
      <c r="H941" s="62"/>
      <c r="I941" s="77">
        <v>8186.99</v>
      </c>
      <c r="J941" s="77">
        <v>3602.0707723392356</v>
      </c>
      <c r="K941" s="62"/>
      <c r="L941" s="77">
        <v>8888.0262642424241</v>
      </c>
      <c r="M941" s="77">
        <v>4977.5170746365839</v>
      </c>
      <c r="N941" s="77">
        <v>3910.5091896058407</v>
      </c>
      <c r="P941" t="str">
        <f t="shared" si="55"/>
        <v>403GP</v>
      </c>
      <c r="Q941" t="str">
        <f t="shared" si="56"/>
        <v>SG</v>
      </c>
      <c r="R941" t="str">
        <f>IF(ISERROR(MATCH(P941&amp;"."&amp;Q941,R$5:R940,0)),P941&amp;"."&amp;Q941,P941&amp;"."&amp;Q941&amp;COUNTIFS(P$5:P940,P941,Q$5:Q940,Q941))</f>
        <v>403GP.SG3</v>
      </c>
      <c r="S941" s="55">
        <f t="shared" si="57"/>
        <v>3910.5091896058407</v>
      </c>
    </row>
    <row r="942" spans="1:19" hidden="1">
      <c r="A942" s="5">
        <v>1007</v>
      </c>
      <c r="B942" s="59"/>
      <c r="C942" s="60"/>
      <c r="D942" s="61"/>
      <c r="E942" s="61"/>
      <c r="F942" s="63" t="s">
        <v>396</v>
      </c>
      <c r="G942" s="61" t="s">
        <v>15</v>
      </c>
      <c r="H942" s="62"/>
      <c r="I942" s="77">
        <v>140182.44</v>
      </c>
      <c r="J942" s="77">
        <v>61676.766420772299</v>
      </c>
      <c r="K942" s="62"/>
      <c r="L942" s="77">
        <v>137178.8489546577</v>
      </c>
      <c r="M942" s="77">
        <v>76823.587447960948</v>
      </c>
      <c r="N942" s="77">
        <v>60355.261506696756</v>
      </c>
      <c r="P942" t="str">
        <f t="shared" si="55"/>
        <v>403GP</v>
      </c>
      <c r="Q942" t="str">
        <f t="shared" si="56"/>
        <v>SG</v>
      </c>
      <c r="R942" t="str">
        <f>IF(ISERROR(MATCH(P942&amp;"."&amp;Q942,R$5:R941,0)),P942&amp;"."&amp;Q942,P942&amp;"."&amp;Q942&amp;COUNTIFS(P$5:P941,P942,Q$5:Q941,Q942))</f>
        <v>403GP.SG4</v>
      </c>
      <c r="S942" s="55">
        <f t="shared" si="57"/>
        <v>60355.261506696756</v>
      </c>
    </row>
    <row r="943" spans="1:19" ht="15.75" hidden="1" thickBot="1">
      <c r="A943" s="5">
        <v>1008</v>
      </c>
      <c r="B943" s="59"/>
      <c r="C943" s="45"/>
      <c r="D943" s="63"/>
      <c r="E943" s="63"/>
      <c r="F943" s="63"/>
      <c r="G943" s="63"/>
      <c r="H943" s="41" t="s">
        <v>372</v>
      </c>
      <c r="I943" s="68">
        <v>41351406.580000006</v>
      </c>
      <c r="J943" s="68">
        <v>16369030.874329183</v>
      </c>
      <c r="K943" s="41"/>
      <c r="L943" s="68">
        <v>47806471.028733164</v>
      </c>
      <c r="M943" s="68">
        <v>27926840.279060829</v>
      </c>
      <c r="N943" s="68">
        <v>19879630.749672335</v>
      </c>
      <c r="P943" t="str">
        <f t="shared" si="55"/>
        <v>403GP</v>
      </c>
      <c r="Q943" t="str">
        <f t="shared" si="56"/>
        <v>NA</v>
      </c>
      <c r="R943" t="str">
        <f>IF(ISERROR(MATCH(P943&amp;"."&amp;Q943,R$5:R942,0)),P943&amp;"."&amp;Q943,P943&amp;"."&amp;Q943&amp;COUNTIFS(P$5:P942,P943,Q$5:Q942,Q943))</f>
        <v>403GP.NA1</v>
      </c>
      <c r="S943" s="55">
        <f t="shared" si="57"/>
        <v>19879630.749672335</v>
      </c>
    </row>
    <row r="944" spans="1:19" hidden="1">
      <c r="A944" s="5">
        <v>1009</v>
      </c>
      <c r="B944" s="59"/>
      <c r="C944" s="45"/>
      <c r="D944" s="63"/>
      <c r="E944" s="63"/>
      <c r="F944" s="63"/>
      <c r="G944" s="63"/>
      <c r="H944" s="41"/>
      <c r="I944" s="43"/>
      <c r="J944" s="43"/>
      <c r="K944" s="41"/>
      <c r="L944" s="43"/>
      <c r="M944" s="65"/>
      <c r="N944" s="65"/>
      <c r="P944" t="str">
        <f t="shared" si="55"/>
        <v>403GP</v>
      </c>
      <c r="Q944" t="str">
        <f t="shared" si="56"/>
        <v>NA</v>
      </c>
      <c r="R944" t="str">
        <f>IF(ISERROR(MATCH(P944&amp;"."&amp;Q944,R$5:R943,0)),P944&amp;"."&amp;Q944,P944&amp;"."&amp;Q944&amp;COUNTIFS(P$5:P943,P944,Q$5:Q943,Q944))</f>
        <v>403GP.NA2</v>
      </c>
      <c r="S944" s="55">
        <f t="shared" si="57"/>
        <v>0</v>
      </c>
    </row>
    <row r="945" spans="1:19" hidden="1">
      <c r="A945" s="5">
        <v>1010</v>
      </c>
      <c r="B945" s="59"/>
      <c r="C945" s="60" t="s">
        <v>225</v>
      </c>
      <c r="D945" s="63" t="s">
        <v>397</v>
      </c>
      <c r="E945" s="60"/>
      <c r="F945" s="63"/>
      <c r="G945" s="63"/>
      <c r="H945" s="62"/>
      <c r="I945" s="65"/>
      <c r="J945" s="65"/>
      <c r="K945" s="62"/>
      <c r="L945" s="65"/>
      <c r="M945" s="65"/>
      <c r="N945" s="64"/>
      <c r="P945" t="str">
        <f t="shared" si="55"/>
        <v>403GV0</v>
      </c>
      <c r="Q945" t="str">
        <f t="shared" si="56"/>
        <v>NA</v>
      </c>
      <c r="R945" t="str">
        <f>IF(ISERROR(MATCH(P945&amp;"."&amp;Q945,R$5:R944,0)),P945&amp;"."&amp;Q945,P945&amp;"."&amp;Q945&amp;COUNTIFS(P$5:P944,P945,Q$5:Q944,Q945))</f>
        <v>403GV0.NA</v>
      </c>
      <c r="S945" s="55">
        <f t="shared" si="57"/>
        <v>0</v>
      </c>
    </row>
    <row r="946" spans="1:19" hidden="1">
      <c r="A946" s="5">
        <v>1011</v>
      </c>
      <c r="B946" s="59"/>
      <c r="C946" s="60"/>
      <c r="D946" s="63"/>
      <c r="E946" s="61"/>
      <c r="F946" s="63" t="s">
        <v>396</v>
      </c>
      <c r="G946" s="63" t="s">
        <v>15</v>
      </c>
      <c r="H946" s="62"/>
      <c r="I946" s="65">
        <v>0</v>
      </c>
      <c r="J946" s="65">
        <v>0</v>
      </c>
      <c r="K946" s="62"/>
      <c r="L946" s="65">
        <v>0</v>
      </c>
      <c r="M946" s="65">
        <v>0</v>
      </c>
      <c r="N946" s="64">
        <v>0</v>
      </c>
      <c r="P946" t="str">
        <f t="shared" si="55"/>
        <v>403GV0</v>
      </c>
      <c r="Q946" t="str">
        <f t="shared" si="56"/>
        <v>SG</v>
      </c>
      <c r="R946" t="str">
        <f>IF(ISERROR(MATCH(P946&amp;"."&amp;Q946,R$5:R945,0)),P946&amp;"."&amp;Q946,P946&amp;"."&amp;Q946&amp;COUNTIFS(P$5:P945,P946,Q$5:Q945,Q946))</f>
        <v>403GV0.SG</v>
      </c>
      <c r="S946" s="55">
        <f t="shared" si="57"/>
        <v>0</v>
      </c>
    </row>
    <row r="947" spans="1:19" hidden="1">
      <c r="A947" s="5">
        <v>1012</v>
      </c>
      <c r="B947" s="59"/>
      <c r="C947" s="60"/>
      <c r="D947" s="63"/>
      <c r="E947" s="61"/>
      <c r="F947" s="63"/>
      <c r="G947" s="63"/>
      <c r="H947" s="62" t="s">
        <v>372</v>
      </c>
      <c r="I947" s="65">
        <v>0</v>
      </c>
      <c r="J947" s="65">
        <v>0</v>
      </c>
      <c r="K947" s="62"/>
      <c r="L947" s="65">
        <v>0</v>
      </c>
      <c r="M947" s="65">
        <v>0</v>
      </c>
      <c r="N947" s="64">
        <v>0</v>
      </c>
      <c r="P947" t="str">
        <f t="shared" si="55"/>
        <v>403GV0</v>
      </c>
      <c r="Q947" t="str">
        <f t="shared" si="56"/>
        <v>NA</v>
      </c>
      <c r="R947" t="str">
        <f>IF(ISERROR(MATCH(P947&amp;"."&amp;Q947,R$5:R946,0)),P947&amp;"."&amp;Q947,P947&amp;"."&amp;Q947&amp;COUNTIFS(P$5:P946,P947,Q$5:Q946,Q947))</f>
        <v>403GV0.NA1</v>
      </c>
      <c r="S947" s="55">
        <f t="shared" si="57"/>
        <v>0</v>
      </c>
    </row>
    <row r="948" spans="1:19" hidden="1">
      <c r="A948" s="5">
        <v>1013</v>
      </c>
      <c r="B948" s="59"/>
      <c r="C948" s="60"/>
      <c r="D948" s="63"/>
      <c r="E948" s="61"/>
      <c r="F948" s="63"/>
      <c r="G948" s="63"/>
      <c r="H948" s="62"/>
      <c r="I948" s="65"/>
      <c r="J948" s="65"/>
      <c r="K948" s="62"/>
      <c r="L948" s="65"/>
      <c r="M948" s="65"/>
      <c r="N948" s="64"/>
      <c r="P948" t="str">
        <f t="shared" si="55"/>
        <v>403GV0</v>
      </c>
      <c r="Q948" t="str">
        <f t="shared" si="56"/>
        <v>NA</v>
      </c>
      <c r="R948" t="str">
        <f>IF(ISERROR(MATCH(P948&amp;"."&amp;Q948,R$5:R947,0)),P948&amp;"."&amp;Q948,P948&amp;"."&amp;Q948&amp;COUNTIFS(P$5:P947,P948,Q$5:Q947,Q948))</f>
        <v>403GV0.NA2</v>
      </c>
      <c r="S948" s="55">
        <f t="shared" si="57"/>
        <v>0</v>
      </c>
    </row>
    <row r="949" spans="1:19" hidden="1">
      <c r="A949" s="5">
        <v>1014</v>
      </c>
      <c r="B949" s="59"/>
      <c r="C949" s="60" t="s">
        <v>227</v>
      </c>
      <c r="D949" s="63" t="s">
        <v>398</v>
      </c>
      <c r="E949" s="61"/>
      <c r="F949" s="63"/>
      <c r="G949" s="63"/>
      <c r="H949" s="62"/>
      <c r="I949" s="65"/>
      <c r="J949" s="65"/>
      <c r="K949" s="62"/>
      <c r="L949" s="65"/>
      <c r="M949" s="65"/>
      <c r="N949" s="64"/>
      <c r="P949" t="str">
        <f t="shared" si="55"/>
        <v>403MP</v>
      </c>
      <c r="Q949" t="str">
        <f t="shared" si="56"/>
        <v>NA</v>
      </c>
      <c r="R949" t="str">
        <f>IF(ISERROR(MATCH(P949&amp;"."&amp;Q949,R$5:R948,0)),P949&amp;"."&amp;Q949,P949&amp;"."&amp;Q949&amp;COUNTIFS(P$5:P948,P949,Q$5:Q948,Q949))</f>
        <v>403MP.NA</v>
      </c>
      <c r="S949" s="55">
        <f t="shared" si="57"/>
        <v>0</v>
      </c>
    </row>
    <row r="950" spans="1:19" hidden="1">
      <c r="A950" s="5">
        <v>1015</v>
      </c>
      <c r="B950" s="59"/>
      <c r="C950" s="60"/>
      <c r="D950" s="63"/>
      <c r="E950" s="61"/>
      <c r="F950" s="63" t="s">
        <v>13</v>
      </c>
      <c r="G950" s="63" t="s">
        <v>16</v>
      </c>
      <c r="H950" s="62"/>
      <c r="I950" s="65">
        <v>0</v>
      </c>
      <c r="J950" s="65">
        <v>0</v>
      </c>
      <c r="K950" s="62"/>
      <c r="L950" s="65">
        <v>0</v>
      </c>
      <c r="M950" s="65">
        <v>0</v>
      </c>
      <c r="N950" s="64">
        <v>0</v>
      </c>
      <c r="P950" t="str">
        <f t="shared" si="55"/>
        <v>403MP</v>
      </c>
      <c r="Q950" t="str">
        <f t="shared" si="56"/>
        <v>SE</v>
      </c>
      <c r="R950" t="str">
        <f>IF(ISERROR(MATCH(P950&amp;"."&amp;Q950,R$5:R949,0)),P950&amp;"."&amp;Q950,P950&amp;"."&amp;Q950&amp;COUNTIFS(P$5:P949,P950,Q$5:Q949,Q950))</f>
        <v>403MP.SE</v>
      </c>
      <c r="S950" s="55">
        <f t="shared" si="57"/>
        <v>0</v>
      </c>
    </row>
    <row r="951" spans="1:19" hidden="1">
      <c r="A951" s="5">
        <v>1016</v>
      </c>
      <c r="B951" s="59"/>
      <c r="C951" s="60"/>
      <c r="D951" s="63"/>
      <c r="E951" s="61"/>
      <c r="F951" s="63"/>
      <c r="G951" s="63"/>
      <c r="H951" s="62" t="s">
        <v>372</v>
      </c>
      <c r="I951" s="65">
        <v>0</v>
      </c>
      <c r="J951" s="65">
        <v>0</v>
      </c>
      <c r="K951" s="62"/>
      <c r="L951" s="65">
        <v>0</v>
      </c>
      <c r="M951" s="65">
        <v>0</v>
      </c>
      <c r="N951" s="64">
        <v>0</v>
      </c>
      <c r="P951" t="str">
        <f t="shared" si="55"/>
        <v>403MP</v>
      </c>
      <c r="Q951" t="str">
        <f t="shared" si="56"/>
        <v>NA</v>
      </c>
      <c r="R951" t="str">
        <f>IF(ISERROR(MATCH(P951&amp;"."&amp;Q951,R$5:R950,0)),P951&amp;"."&amp;Q951,P951&amp;"."&amp;Q951&amp;COUNTIFS(P$5:P950,P951,Q$5:Q950,Q951))</f>
        <v>403MP.NA1</v>
      </c>
      <c r="S951" s="55">
        <f t="shared" si="57"/>
        <v>0</v>
      </c>
    </row>
    <row r="952" spans="1:19" hidden="1">
      <c r="A952" s="5">
        <v>1017</v>
      </c>
      <c r="B952" s="59"/>
      <c r="C952" s="60"/>
      <c r="D952" s="63"/>
      <c r="E952" s="61"/>
      <c r="F952" s="63"/>
      <c r="G952" s="63"/>
      <c r="H952" s="62"/>
      <c r="I952" s="65"/>
      <c r="J952" s="65"/>
      <c r="K952" s="62"/>
      <c r="L952" s="65"/>
      <c r="M952" s="65"/>
      <c r="N952" s="64"/>
      <c r="P952" t="str">
        <f t="shared" si="55"/>
        <v>403MP</v>
      </c>
      <c r="Q952" t="str">
        <f t="shared" si="56"/>
        <v>NA</v>
      </c>
      <c r="R952" t="str">
        <f>IF(ISERROR(MATCH(P952&amp;"."&amp;Q952,R$5:R951,0)),P952&amp;"."&amp;Q952,P952&amp;"."&amp;Q952&amp;COUNTIFS(P$5:P951,P952,Q$5:Q951,Q952))</f>
        <v>403MP.NA2</v>
      </c>
      <c r="S952" s="55">
        <f t="shared" si="57"/>
        <v>0</v>
      </c>
    </row>
    <row r="953" spans="1:19" hidden="1">
      <c r="A953" s="5">
        <v>1018</v>
      </c>
      <c r="B953" s="59"/>
      <c r="C953" s="60" t="s">
        <v>223</v>
      </c>
      <c r="D953" s="63" t="s">
        <v>399</v>
      </c>
      <c r="E953" s="61"/>
      <c r="F953" s="63"/>
      <c r="G953" s="63"/>
      <c r="H953" s="62"/>
      <c r="I953" s="65"/>
      <c r="J953" s="65"/>
      <c r="K953" s="62"/>
      <c r="L953" s="65"/>
      <c r="M953" s="65"/>
      <c r="N953" s="64"/>
      <c r="P953" t="str">
        <f t="shared" si="55"/>
        <v>403EP</v>
      </c>
      <c r="Q953" t="str">
        <f t="shared" si="56"/>
        <v>NA</v>
      </c>
      <c r="R953" t="str">
        <f>IF(ISERROR(MATCH(P953&amp;"."&amp;Q953,R$5:R952,0)),P953&amp;"."&amp;Q953,P953&amp;"."&amp;Q953&amp;COUNTIFS(P$5:P952,P953,Q$5:Q952,Q953))</f>
        <v>403EP.NA</v>
      </c>
      <c r="S953" s="55">
        <f t="shared" si="57"/>
        <v>0</v>
      </c>
    </row>
    <row r="954" spans="1:19" ht="15.75" hidden="1" thickBot="1">
      <c r="A954" s="5">
        <v>1019</v>
      </c>
      <c r="B954" s="59"/>
      <c r="C954" s="60"/>
      <c r="D954" s="63"/>
      <c r="E954" s="63"/>
      <c r="F954" s="63" t="s">
        <v>13</v>
      </c>
      <c r="G954" s="63" t="s">
        <v>15</v>
      </c>
      <c r="H954" s="62"/>
      <c r="I954" s="81">
        <v>0</v>
      </c>
      <c r="J954" s="81">
        <v>0</v>
      </c>
      <c r="K954" s="62"/>
      <c r="L954" s="81">
        <v>0</v>
      </c>
      <c r="M954" s="81">
        <v>0</v>
      </c>
      <c r="N954" s="81">
        <v>0</v>
      </c>
      <c r="P954" t="str">
        <f t="shared" si="55"/>
        <v>403EP</v>
      </c>
      <c r="Q954" t="str">
        <f t="shared" si="56"/>
        <v>SG</v>
      </c>
      <c r="R954" t="str">
        <f>IF(ISERROR(MATCH(P954&amp;"."&amp;Q954,R$5:R953,0)),P954&amp;"."&amp;Q954,P954&amp;"."&amp;Q954&amp;COUNTIFS(P$5:P953,P954,Q$5:Q953,Q954))</f>
        <v>403EP.SG</v>
      </c>
      <c r="S954" s="55">
        <f t="shared" si="57"/>
        <v>0</v>
      </c>
    </row>
    <row r="955" spans="1:19" hidden="1">
      <c r="A955" s="5">
        <v>1020</v>
      </c>
      <c r="B955" s="59"/>
      <c r="C955" s="60"/>
      <c r="D955" s="63"/>
      <c r="E955" s="63"/>
      <c r="F955" s="63" t="s">
        <v>13</v>
      </c>
      <c r="G955" s="63" t="s">
        <v>15</v>
      </c>
      <c r="H955" s="62"/>
      <c r="I955" s="65">
        <v>0</v>
      </c>
      <c r="J955" s="65">
        <v>0</v>
      </c>
      <c r="K955" s="62"/>
      <c r="L955" s="65">
        <v>0</v>
      </c>
      <c r="M955" s="65">
        <v>0</v>
      </c>
      <c r="N955" s="65">
        <v>0</v>
      </c>
      <c r="P955" t="str">
        <f t="shared" si="55"/>
        <v>403EP</v>
      </c>
      <c r="Q955" t="str">
        <f t="shared" si="56"/>
        <v>SG</v>
      </c>
      <c r="R955" t="str">
        <f>IF(ISERROR(MATCH(P955&amp;"."&amp;Q955,R$5:R954,0)),P955&amp;"."&amp;Q955,P955&amp;"."&amp;Q955&amp;COUNTIFS(P$5:P954,P955,Q$5:Q954,Q955))</f>
        <v>403EP.SG1</v>
      </c>
      <c r="S955" s="55">
        <f t="shared" si="57"/>
        <v>0</v>
      </c>
    </row>
    <row r="956" spans="1:19" hidden="1">
      <c r="A956" s="5">
        <v>1021</v>
      </c>
      <c r="B956" s="59"/>
      <c r="C956" s="60"/>
      <c r="D956" s="61"/>
      <c r="E956" s="63"/>
      <c r="F956" s="63"/>
      <c r="G956" s="63"/>
      <c r="H956" s="62" t="s">
        <v>372</v>
      </c>
      <c r="I956" s="65">
        <v>0</v>
      </c>
      <c r="J956" s="65">
        <v>0</v>
      </c>
      <c r="K956" s="62"/>
      <c r="L956" s="65">
        <v>0</v>
      </c>
      <c r="M956" s="65">
        <v>0</v>
      </c>
      <c r="N956" s="65">
        <v>0</v>
      </c>
      <c r="P956" t="str">
        <f t="shared" si="55"/>
        <v>403EP</v>
      </c>
      <c r="Q956" t="str">
        <f t="shared" si="56"/>
        <v>NA</v>
      </c>
      <c r="R956" t="str">
        <f>IF(ISERROR(MATCH(P956&amp;"."&amp;Q956,R$5:R955,0)),P956&amp;"."&amp;Q956,P956&amp;"."&amp;Q956&amp;COUNTIFS(P$5:P955,P956,Q$5:Q955,Q956))</f>
        <v>403EP.NA1</v>
      </c>
      <c r="S956" s="55">
        <f t="shared" si="57"/>
        <v>0</v>
      </c>
    </row>
    <row r="957" spans="1:19" hidden="1">
      <c r="A957" s="5">
        <v>1022</v>
      </c>
      <c r="B957" s="59"/>
      <c r="C957" s="60">
        <v>4031</v>
      </c>
      <c r="D957" s="63" t="s">
        <v>400</v>
      </c>
      <c r="E957" s="63"/>
      <c r="F957" s="60"/>
      <c r="G957" s="61"/>
      <c r="H957" s="62"/>
      <c r="I957" s="65"/>
      <c r="J957" s="65"/>
      <c r="K957" s="62"/>
      <c r="L957" s="65"/>
      <c r="M957" s="65"/>
      <c r="N957" s="64"/>
      <c r="P957">
        <f t="shared" si="55"/>
        <v>4031</v>
      </c>
      <c r="Q957" t="str">
        <f t="shared" si="56"/>
        <v>NA</v>
      </c>
      <c r="R957" t="str">
        <f>IF(ISERROR(MATCH(P957&amp;"."&amp;Q957,R$5:R956,0)),P957&amp;"."&amp;Q957,P957&amp;"."&amp;Q957&amp;COUNTIFS(P$5:P956,P957,Q$5:Q956,Q957))</f>
        <v>4031.NA</v>
      </c>
      <c r="S957" s="55">
        <f t="shared" si="57"/>
        <v>0</v>
      </c>
    </row>
    <row r="958" spans="1:19" hidden="1">
      <c r="A958" s="5">
        <v>1023</v>
      </c>
      <c r="B958" s="59"/>
      <c r="C958" s="60"/>
      <c r="D958" s="63"/>
      <c r="E958" s="63"/>
      <c r="F958" s="60" t="s">
        <v>13</v>
      </c>
      <c r="G958" s="61" t="s">
        <v>12</v>
      </c>
      <c r="H958" s="62"/>
      <c r="I958" s="65">
        <v>0</v>
      </c>
      <c r="J958" s="65">
        <v>0</v>
      </c>
      <c r="K958" s="62"/>
      <c r="L958" s="65">
        <v>0</v>
      </c>
      <c r="M958" s="65">
        <v>0</v>
      </c>
      <c r="N958" s="64">
        <v>0</v>
      </c>
      <c r="P958">
        <f t="shared" si="55"/>
        <v>4031</v>
      </c>
      <c r="Q958" t="str">
        <f t="shared" si="56"/>
        <v>S</v>
      </c>
      <c r="R958" t="str">
        <f>IF(ISERROR(MATCH(P958&amp;"."&amp;Q958,R$5:R957,0)),P958&amp;"."&amp;Q958,P958&amp;"."&amp;Q958&amp;COUNTIFS(P$5:P957,P958,Q$5:Q957,Q958))</f>
        <v>4031.S</v>
      </c>
      <c r="S958" s="55">
        <f t="shared" si="57"/>
        <v>0</v>
      </c>
    </row>
    <row r="959" spans="1:19" hidden="1">
      <c r="A959" s="5">
        <v>1024</v>
      </c>
      <c r="B959" s="59"/>
      <c r="C959" s="60"/>
      <c r="D959" s="63"/>
      <c r="E959" s="63"/>
      <c r="F959" s="60" t="s">
        <v>141</v>
      </c>
      <c r="G959" s="61"/>
      <c r="H959" s="62" t="s">
        <v>372</v>
      </c>
      <c r="I959" s="65">
        <v>0</v>
      </c>
      <c r="J959" s="65">
        <v>0</v>
      </c>
      <c r="K959" s="62"/>
      <c r="L959" s="65">
        <v>0</v>
      </c>
      <c r="M959" s="65">
        <v>0</v>
      </c>
      <c r="N959" s="64">
        <v>0</v>
      </c>
      <c r="P959">
        <f t="shared" si="55"/>
        <v>4031</v>
      </c>
      <c r="Q959" t="str">
        <f t="shared" si="56"/>
        <v>NA</v>
      </c>
      <c r="R959" t="str">
        <f>IF(ISERROR(MATCH(P959&amp;"."&amp;Q959,R$5:R958,0)),P959&amp;"."&amp;Q959,P959&amp;"."&amp;Q959&amp;COUNTIFS(P$5:P958,P959,Q$5:Q958,Q959))</f>
        <v>4031.NA1</v>
      </c>
      <c r="S959" s="55">
        <f t="shared" si="57"/>
        <v>0</v>
      </c>
    </row>
    <row r="960" spans="1:19" hidden="1">
      <c r="A960" s="5">
        <v>1025</v>
      </c>
      <c r="B960" s="59"/>
      <c r="C960" s="60"/>
      <c r="D960" s="63"/>
      <c r="E960" s="63"/>
      <c r="F960" s="60" t="s">
        <v>141</v>
      </c>
      <c r="G960" s="61"/>
      <c r="H960" s="62"/>
      <c r="I960" s="65"/>
      <c r="J960" s="65"/>
      <c r="K960" s="62"/>
      <c r="L960" s="65"/>
      <c r="M960" s="65"/>
      <c r="N960" s="64"/>
      <c r="P960">
        <f t="shared" si="55"/>
        <v>4031</v>
      </c>
      <c r="Q960" t="str">
        <f t="shared" si="56"/>
        <v>NA</v>
      </c>
      <c r="R960" t="str">
        <f>IF(ISERROR(MATCH(P960&amp;"."&amp;Q960,R$5:R959,0)),P960&amp;"."&amp;Q960,P960&amp;"."&amp;Q960&amp;COUNTIFS(P$5:P959,P960,Q$5:Q959,Q960))</f>
        <v>4031.NA2</v>
      </c>
      <c r="S960" s="55">
        <f t="shared" si="57"/>
        <v>0</v>
      </c>
    </row>
    <row r="961" spans="1:19" hidden="1">
      <c r="A961" s="5">
        <v>1026</v>
      </c>
      <c r="B961" s="59"/>
      <c r="C961" s="60"/>
      <c r="D961" s="63"/>
      <c r="E961" s="63"/>
      <c r="F961" s="60"/>
      <c r="G961" s="61"/>
      <c r="H961" s="62"/>
      <c r="I961" s="65"/>
      <c r="J961" s="65"/>
      <c r="K961" s="62"/>
      <c r="L961" s="65"/>
      <c r="M961" s="65"/>
      <c r="N961" s="64"/>
      <c r="P961">
        <f t="shared" si="55"/>
        <v>4031</v>
      </c>
      <c r="Q961" t="str">
        <f t="shared" si="56"/>
        <v>NA</v>
      </c>
      <c r="R961" t="str">
        <f>IF(ISERROR(MATCH(P961&amp;"."&amp;Q961,R$5:R960,0)),P961&amp;"."&amp;Q961,P961&amp;"."&amp;Q961&amp;COUNTIFS(P$5:P960,P961,Q$5:Q960,Q961))</f>
        <v>4031.NA3</v>
      </c>
      <c r="S961" s="55">
        <f t="shared" si="57"/>
        <v>0</v>
      </c>
    </row>
    <row r="962" spans="1:19" hidden="1">
      <c r="A962" s="5">
        <v>1027</v>
      </c>
      <c r="B962" s="59"/>
      <c r="C962" s="60" t="s">
        <v>401</v>
      </c>
      <c r="D962" s="63"/>
      <c r="E962" s="63"/>
      <c r="F962" s="60"/>
      <c r="G962" s="61"/>
      <c r="H962" s="62" t="s">
        <v>372</v>
      </c>
      <c r="I962" s="65">
        <v>731135346.42999983</v>
      </c>
      <c r="J962" s="65">
        <v>305145817.39653736</v>
      </c>
      <c r="K962" s="62"/>
      <c r="L962" s="65">
        <v>997078596.23790061</v>
      </c>
      <c r="M962" s="65">
        <v>562817250.4577049</v>
      </c>
      <c r="N962" s="64">
        <v>434261345.78019589</v>
      </c>
      <c r="P962" t="str">
        <f t="shared" si="55"/>
        <v>Total Depreciation Expense</v>
      </c>
      <c r="Q962" t="str">
        <f t="shared" si="56"/>
        <v>NA</v>
      </c>
      <c r="R962" t="str">
        <f>IF(ISERROR(MATCH(P962&amp;"."&amp;Q962,R$5:R961,0)),P962&amp;"."&amp;Q962,P962&amp;"."&amp;Q962&amp;COUNTIFS(P$5:P961,P962,Q$5:Q961,Q962))</f>
        <v>Total Depreciation Expense.NA</v>
      </c>
      <c r="S962" s="55">
        <f t="shared" si="57"/>
        <v>434261345.78019589</v>
      </c>
    </row>
    <row r="963" spans="1:19" hidden="1">
      <c r="A963" s="5">
        <v>1028</v>
      </c>
      <c r="B963" s="59"/>
      <c r="C963" s="60"/>
      <c r="D963" s="63"/>
      <c r="E963" s="63"/>
      <c r="F963" s="63"/>
      <c r="G963" s="63"/>
      <c r="H963" s="62"/>
      <c r="I963" s="66"/>
      <c r="J963" s="66"/>
      <c r="K963" s="62"/>
      <c r="L963" s="66"/>
      <c r="M963" s="66"/>
      <c r="N963" s="66"/>
      <c r="P963" t="str">
        <f t="shared" si="55"/>
        <v>Total Depreciation Expense</v>
      </c>
      <c r="Q963" t="str">
        <f t="shared" si="56"/>
        <v>NA</v>
      </c>
      <c r="R963" t="str">
        <f>IF(ISERROR(MATCH(P963&amp;"."&amp;Q963,R$5:R962,0)),P963&amp;"."&amp;Q963,P963&amp;"."&amp;Q963&amp;COUNTIFS(P$5:P962,P963,Q$5:Q962,Q963))</f>
        <v>Total Depreciation Expense.NA1</v>
      </c>
      <c r="S963" s="55">
        <f t="shared" si="57"/>
        <v>0</v>
      </c>
    </row>
    <row r="964" spans="1:19" hidden="1">
      <c r="A964" s="5">
        <v>1029</v>
      </c>
      <c r="B964" s="59"/>
      <c r="C964" s="60" t="s">
        <v>402</v>
      </c>
      <c r="D964" s="63"/>
      <c r="E964" s="63" t="s">
        <v>12</v>
      </c>
      <c r="F964" s="63"/>
      <c r="G964" s="63"/>
      <c r="H964" s="62"/>
      <c r="I964" s="65">
        <v>176982568.53</v>
      </c>
      <c r="J964" s="65">
        <v>61387456.129999995</v>
      </c>
      <c r="K964" s="62"/>
      <c r="L964" s="65">
        <v>221684952.23843268</v>
      </c>
      <c r="M964" s="65">
        <v>128556214.17859696</v>
      </c>
      <c r="N964" s="65">
        <v>93128738.059835717</v>
      </c>
      <c r="P964" t="str">
        <f t="shared" si="55"/>
        <v>Summary</v>
      </c>
      <c r="Q964" t="str">
        <f t="shared" si="56"/>
        <v>NA</v>
      </c>
      <c r="R964" t="str">
        <f>IF(ISERROR(MATCH(P964&amp;"."&amp;Q964,R$5:R963,0)),P964&amp;"."&amp;Q964,P964&amp;"."&amp;Q964&amp;COUNTIFS(P$5:P963,P964,Q$5:Q963,Q964))</f>
        <v>Summary.NA</v>
      </c>
      <c r="S964" s="55">
        <f t="shared" si="57"/>
        <v>93128738.059835717</v>
      </c>
    </row>
    <row r="965" spans="1:19" hidden="1">
      <c r="A965" s="5">
        <v>1030</v>
      </c>
      <c r="B965" s="59"/>
      <c r="C965" s="60"/>
      <c r="D965" s="61"/>
      <c r="E965" s="63" t="s">
        <v>17</v>
      </c>
      <c r="F965" s="63"/>
      <c r="G965" s="63"/>
      <c r="H965" s="62"/>
      <c r="I965" s="65">
        <v>0</v>
      </c>
      <c r="J965" s="65">
        <v>0</v>
      </c>
      <c r="K965" s="62"/>
      <c r="L965" s="65">
        <v>0</v>
      </c>
      <c r="M965" s="65">
        <v>0</v>
      </c>
      <c r="N965" s="65">
        <v>0</v>
      </c>
      <c r="P965" t="str">
        <f t="shared" si="55"/>
        <v>Summary</v>
      </c>
      <c r="Q965" t="str">
        <f t="shared" si="56"/>
        <v>NA</v>
      </c>
      <c r="R965" t="str">
        <f>IF(ISERROR(MATCH(P965&amp;"."&amp;Q965,R$5:R964,0)),P965&amp;"."&amp;Q965,P965&amp;"."&amp;Q965&amp;COUNTIFS(P$5:P964,P965,Q$5:Q964,Q965))</f>
        <v>Summary.NA1</v>
      </c>
      <c r="S965" s="55">
        <f t="shared" si="57"/>
        <v>0</v>
      </c>
    </row>
    <row r="966" spans="1:19" hidden="1">
      <c r="A966" s="5">
        <v>1031</v>
      </c>
      <c r="B966" s="59"/>
      <c r="C966" s="60"/>
      <c r="D966" s="63"/>
      <c r="E966" s="63" t="s">
        <v>14</v>
      </c>
      <c r="F966" s="60"/>
      <c r="G966" s="61"/>
      <c r="H966" s="62"/>
      <c r="I966" s="65">
        <v>0</v>
      </c>
      <c r="J966" s="65">
        <v>0</v>
      </c>
      <c r="K966" s="62"/>
      <c r="L966" s="65">
        <v>0</v>
      </c>
      <c r="M966" s="65">
        <v>0</v>
      </c>
      <c r="N966" s="64">
        <v>0</v>
      </c>
      <c r="P966" t="str">
        <f t="shared" si="55"/>
        <v>Summary</v>
      </c>
      <c r="Q966" t="str">
        <f t="shared" si="56"/>
        <v>NA</v>
      </c>
      <c r="R966" t="str">
        <f>IF(ISERROR(MATCH(P966&amp;"."&amp;Q966,R$5:R965,0)),P966&amp;"."&amp;Q966,P966&amp;"."&amp;Q966&amp;COUNTIFS(P$5:P965,P966,Q$5:Q965,Q966))</f>
        <v>Summary.NA2</v>
      </c>
      <c r="S966" s="55">
        <f t="shared" si="57"/>
        <v>0</v>
      </c>
    </row>
    <row r="967" spans="1:19" hidden="1">
      <c r="A967" s="5">
        <v>1032</v>
      </c>
      <c r="B967" s="59"/>
      <c r="C967" s="60"/>
      <c r="D967" s="63"/>
      <c r="E967" s="63" t="s">
        <v>15</v>
      </c>
      <c r="F967" s="60"/>
      <c r="G967" s="61"/>
      <c r="H967" s="62"/>
      <c r="I967" s="65">
        <v>537943291.80000007</v>
      </c>
      <c r="J967" s="65">
        <v>236681589.7623837</v>
      </c>
      <c r="K967" s="62"/>
      <c r="L967" s="65">
        <v>755818294.41670144</v>
      </c>
      <c r="M967" s="65">
        <v>423277154.44734859</v>
      </c>
      <c r="N967" s="64">
        <v>332541139.96935284</v>
      </c>
      <c r="P967" t="str">
        <f t="shared" ref="P967:P1030" si="58">IF(OR(C967="",C967=" ",C967="  ",C967="   "),P966,C967)</f>
        <v>Summary</v>
      </c>
      <c r="Q967" t="str">
        <f t="shared" ref="Q967:Q1030" si="59">IF(G967="","NA",G967)</f>
        <v>NA</v>
      </c>
      <c r="R967" t="str">
        <f>IF(ISERROR(MATCH(P967&amp;"."&amp;Q967,R$5:R966,0)),P967&amp;"."&amp;Q967,P967&amp;"."&amp;Q967&amp;COUNTIFS(P$5:P966,P967,Q$5:Q966,Q967))</f>
        <v>Summary.NA3</v>
      </c>
      <c r="S967" s="55">
        <f t="shared" si="57"/>
        <v>332541139.96935284</v>
      </c>
    </row>
    <row r="968" spans="1:19" hidden="1">
      <c r="A968" s="5">
        <v>1033</v>
      </c>
      <c r="B968" s="59"/>
      <c r="C968" s="60"/>
      <c r="D968" s="63"/>
      <c r="E968" s="63" t="s">
        <v>136</v>
      </c>
      <c r="F968" s="63"/>
      <c r="G968" s="63"/>
      <c r="H968" s="62"/>
      <c r="I968" s="66">
        <v>15153706.52</v>
      </c>
      <c r="J968" s="66">
        <v>6576485.9593632799</v>
      </c>
      <c r="K968" s="62"/>
      <c r="L968" s="66">
        <v>18511595.938310366</v>
      </c>
      <c r="M968" s="66">
        <v>10423042.873107845</v>
      </c>
      <c r="N968" s="66">
        <v>8088553.0652025212</v>
      </c>
      <c r="P968" t="str">
        <f t="shared" si="58"/>
        <v>Summary</v>
      </c>
      <c r="Q968" t="str">
        <f t="shared" si="59"/>
        <v>NA</v>
      </c>
      <c r="R968" t="str">
        <f>IF(ISERROR(MATCH(P968&amp;"."&amp;Q968,R$5:R967,0)),P968&amp;"."&amp;Q968,P968&amp;"."&amp;Q968&amp;COUNTIFS(P$5:P967,P968,Q$5:Q967,Q968))</f>
        <v>Summary.NA4</v>
      </c>
      <c r="S968" s="55">
        <f t="shared" ref="S968:S1031" si="60">N968</f>
        <v>8088553.0652025212</v>
      </c>
    </row>
    <row r="969" spans="1:19" hidden="1">
      <c r="A969" s="5">
        <v>1034</v>
      </c>
      <c r="B969" s="59"/>
      <c r="C969" s="60"/>
      <c r="D969" s="63"/>
      <c r="E969" s="63" t="s">
        <v>155</v>
      </c>
      <c r="F969" s="63"/>
      <c r="G969" s="63"/>
      <c r="H969" s="62"/>
      <c r="I969" s="69">
        <v>955260.73</v>
      </c>
      <c r="J969" s="69">
        <v>456704.38159807475</v>
      </c>
      <c r="K969" s="62"/>
      <c r="L969" s="69">
        <v>936664.80666701775</v>
      </c>
      <c r="M969" s="65">
        <v>488851.02362420323</v>
      </c>
      <c r="N969" s="65">
        <v>447813.78304281452</v>
      </c>
      <c r="P969" t="str">
        <f t="shared" si="58"/>
        <v>Summary</v>
      </c>
      <c r="Q969" t="str">
        <f t="shared" si="59"/>
        <v>NA</v>
      </c>
      <c r="R969" t="str">
        <f>IF(ISERROR(MATCH(P969&amp;"."&amp;Q969,R$5:R968,0)),P969&amp;"."&amp;Q969,P969&amp;"."&amp;Q969&amp;COUNTIFS(P$5:P968,P969,Q$5:Q968,Q969))</f>
        <v>Summary.NA5</v>
      </c>
      <c r="S969" s="55">
        <f t="shared" si="60"/>
        <v>447813.78304281452</v>
      </c>
    </row>
    <row r="970" spans="1:19" hidden="1">
      <c r="A970" s="5">
        <v>1035</v>
      </c>
      <c r="B970" s="59"/>
      <c r="C970" s="60"/>
      <c r="D970" s="61"/>
      <c r="E970" s="63" t="s">
        <v>16</v>
      </c>
      <c r="F970" s="63"/>
      <c r="G970" s="63"/>
      <c r="H970" s="62"/>
      <c r="I970" s="65">
        <v>100518.85</v>
      </c>
      <c r="J970" s="65">
        <v>43581.163192244043</v>
      </c>
      <c r="K970" s="62"/>
      <c r="L970" s="65">
        <v>127088.83778931465</v>
      </c>
      <c r="M970" s="65">
        <v>71987.93502720831</v>
      </c>
      <c r="N970" s="65">
        <v>55100.902762106343</v>
      </c>
      <c r="P970" t="str">
        <f t="shared" si="58"/>
        <v>Summary</v>
      </c>
      <c r="Q970" t="str">
        <f t="shared" si="59"/>
        <v>NA</v>
      </c>
      <c r="R970" t="str">
        <f>IF(ISERROR(MATCH(P970&amp;"."&amp;Q970,R$5:R969,0)),P970&amp;"."&amp;Q970,P970&amp;"."&amp;Q970&amp;COUNTIFS(P$5:P969,P970,Q$5:Q969,Q970))</f>
        <v>Summary.NA6</v>
      </c>
      <c r="S970" s="55">
        <f t="shared" si="60"/>
        <v>55100.902762106343</v>
      </c>
    </row>
    <row r="971" spans="1:19" hidden="1">
      <c r="A971" s="5">
        <v>1036</v>
      </c>
      <c r="B971" s="59"/>
      <c r="C971" s="60"/>
      <c r="D971" s="63"/>
      <c r="E971" s="63" t="s">
        <v>301</v>
      </c>
      <c r="F971" s="60"/>
      <c r="G971" s="61"/>
      <c r="H971" s="62"/>
      <c r="I971" s="65">
        <v>0</v>
      </c>
      <c r="J971" s="65">
        <v>0</v>
      </c>
      <c r="K971" s="62"/>
      <c r="L971" s="65">
        <v>0</v>
      </c>
      <c r="M971" s="65">
        <v>0</v>
      </c>
      <c r="N971" s="64">
        <v>0</v>
      </c>
      <c r="P971" t="str">
        <f t="shared" si="58"/>
        <v>Summary</v>
      </c>
      <c r="Q971" t="str">
        <f t="shared" si="59"/>
        <v>NA</v>
      </c>
      <c r="R971" t="str">
        <f>IF(ISERROR(MATCH(P971&amp;"."&amp;Q971,R$5:R970,0)),P971&amp;"."&amp;Q971,P971&amp;"."&amp;Q971&amp;COUNTIFS(P$5:P970,P971,Q$5:Q970,Q971))</f>
        <v>Summary.NA7</v>
      </c>
      <c r="S971" s="55">
        <f t="shared" si="60"/>
        <v>0</v>
      </c>
    </row>
    <row r="972" spans="1:19" hidden="1">
      <c r="A972" s="5">
        <v>1037</v>
      </c>
      <c r="B972" s="59"/>
      <c r="C972" s="60"/>
      <c r="D972" s="63"/>
      <c r="E972" s="63" t="s">
        <v>298</v>
      </c>
      <c r="F972" s="60"/>
      <c r="G972" s="61"/>
      <c r="H972" s="62"/>
      <c r="I972" s="65">
        <v>0</v>
      </c>
      <c r="J972" s="65">
        <v>0</v>
      </c>
      <c r="K972" s="62"/>
      <c r="L972" s="65">
        <v>0</v>
      </c>
      <c r="M972" s="65">
        <v>0</v>
      </c>
      <c r="N972" s="64">
        <v>0</v>
      </c>
      <c r="P972" t="str">
        <f t="shared" si="58"/>
        <v>Summary</v>
      </c>
      <c r="Q972" t="str">
        <f t="shared" si="59"/>
        <v>NA</v>
      </c>
      <c r="R972" t="str">
        <f>IF(ISERROR(MATCH(P972&amp;"."&amp;Q972,R$5:R971,0)),P972&amp;"."&amp;Q972,P972&amp;"."&amp;Q972&amp;COUNTIFS(P$5:P971,P972,Q$5:Q971,Q972))</f>
        <v>Summary.NA8</v>
      </c>
      <c r="S972" s="55">
        <f t="shared" si="60"/>
        <v>0</v>
      </c>
    </row>
    <row r="973" spans="1:19" hidden="1">
      <c r="A973" s="5">
        <v>1038</v>
      </c>
      <c r="B973" s="59"/>
      <c r="C973" s="60" t="s">
        <v>403</v>
      </c>
      <c r="D973" s="63"/>
      <c r="E973" s="63"/>
      <c r="F973" s="60"/>
      <c r="G973" s="61"/>
      <c r="H973" s="62" t="s">
        <v>141</v>
      </c>
      <c r="I973" s="65">
        <v>731135346.43000007</v>
      </c>
      <c r="J973" s="65">
        <v>305145817.3965373</v>
      </c>
      <c r="K973" s="62"/>
      <c r="L973" s="65">
        <v>997078596.23790073</v>
      </c>
      <c r="M973" s="65">
        <v>562817250.45770478</v>
      </c>
      <c r="N973" s="64">
        <v>434261345.78019601</v>
      </c>
      <c r="P973" t="str">
        <f t="shared" si="58"/>
        <v>Total Depreciation Expense By Factor</v>
      </c>
      <c r="Q973" t="str">
        <f t="shared" si="59"/>
        <v>NA</v>
      </c>
      <c r="R973" t="str">
        <f>IF(ISERROR(MATCH(P973&amp;"."&amp;Q973,R$5:R972,0)),P973&amp;"."&amp;Q973,P973&amp;"."&amp;Q973&amp;COUNTIFS(P$5:P972,P973,Q$5:Q972,Q973))</f>
        <v>Total Depreciation Expense By Factor.NA</v>
      </c>
      <c r="S973" s="55">
        <f t="shared" si="60"/>
        <v>434261345.78019601</v>
      </c>
    </row>
    <row r="974" spans="1:19" hidden="1">
      <c r="A974" s="5">
        <v>1039</v>
      </c>
      <c r="B974" s="59"/>
      <c r="C974" s="60"/>
      <c r="D974" s="63"/>
      <c r="E974" s="63"/>
      <c r="F974" s="60"/>
      <c r="G974" s="61"/>
      <c r="H974" s="62"/>
      <c r="I974" s="65"/>
      <c r="J974" s="65"/>
      <c r="K974" s="62"/>
      <c r="L974" s="65"/>
      <c r="M974" s="65"/>
      <c r="N974" s="64"/>
      <c r="P974" t="str">
        <f t="shared" si="58"/>
        <v>Total Depreciation Expense By Factor</v>
      </c>
      <c r="Q974" t="str">
        <f t="shared" si="59"/>
        <v>NA</v>
      </c>
      <c r="R974" t="str">
        <f>IF(ISERROR(MATCH(P974&amp;"."&amp;Q974,R$5:R973,0)),P974&amp;"."&amp;Q974,P974&amp;"."&amp;Q974&amp;COUNTIFS(P$5:P973,P974,Q$5:Q973,Q974))</f>
        <v>Total Depreciation Expense By Factor.NA1</v>
      </c>
      <c r="S974" s="55">
        <f t="shared" si="60"/>
        <v>0</v>
      </c>
    </row>
    <row r="975" spans="1:19" hidden="1">
      <c r="A975" s="5">
        <v>1040</v>
      </c>
      <c r="B975" s="59"/>
      <c r="C975" s="60" t="s">
        <v>233</v>
      </c>
      <c r="D975" s="63" t="s">
        <v>404</v>
      </c>
      <c r="E975" s="63"/>
      <c r="F975" s="60"/>
      <c r="G975" s="61"/>
      <c r="H975" s="62"/>
      <c r="I975" s="65"/>
      <c r="J975" s="65"/>
      <c r="K975" s="62"/>
      <c r="L975" s="65"/>
      <c r="M975" s="65"/>
      <c r="N975" s="64"/>
      <c r="P975" t="str">
        <f t="shared" si="58"/>
        <v>404GP</v>
      </c>
      <c r="Q975" t="str">
        <f t="shared" si="59"/>
        <v>NA</v>
      </c>
      <c r="R975" t="str">
        <f>IF(ISERROR(MATCH(P975&amp;"."&amp;Q975,R$5:R974,0)),P975&amp;"."&amp;Q975,P975&amp;"."&amp;Q975&amp;COUNTIFS(P$5:P974,P975,Q$5:Q974,Q975))</f>
        <v>404GP.NA</v>
      </c>
      <c r="S975" s="55">
        <f t="shared" si="60"/>
        <v>0</v>
      </c>
    </row>
    <row r="976" spans="1:19" hidden="1">
      <c r="A976" s="5">
        <v>1041</v>
      </c>
      <c r="B976" s="59"/>
      <c r="C976" s="60"/>
      <c r="D976" s="63"/>
      <c r="E976" s="63"/>
      <c r="F976" s="60" t="s">
        <v>405</v>
      </c>
      <c r="G976" s="61" t="s">
        <v>12</v>
      </c>
      <c r="H976" s="62"/>
      <c r="I976" s="65">
        <v>421920.03000000009</v>
      </c>
      <c r="J976" s="65">
        <v>4734.83</v>
      </c>
      <c r="K976" s="62"/>
      <c r="L976" s="65">
        <v>421984.5</v>
      </c>
      <c r="M976" s="65">
        <v>411172.13</v>
      </c>
      <c r="N976" s="64">
        <v>10812.370000000003</v>
      </c>
      <c r="P976" t="str">
        <f t="shared" si="58"/>
        <v>404GP</v>
      </c>
      <c r="Q976" t="str">
        <f t="shared" si="59"/>
        <v>S</v>
      </c>
      <c r="R976" t="str">
        <f>IF(ISERROR(MATCH(P976&amp;"."&amp;Q976,R$5:R975,0)),P976&amp;"."&amp;Q976,P976&amp;"."&amp;Q976&amp;COUNTIFS(P$5:P975,P976,Q$5:Q975,Q976))</f>
        <v>404GP.S</v>
      </c>
      <c r="S976" s="55">
        <f t="shared" si="60"/>
        <v>10812.370000000003</v>
      </c>
    </row>
    <row r="977" spans="1:19" hidden="1">
      <c r="A977" s="5">
        <v>1042</v>
      </c>
      <c r="B977" s="59"/>
      <c r="C977" s="60"/>
      <c r="D977" s="63"/>
      <c r="E977" s="63"/>
      <c r="F977" s="60" t="s">
        <v>406</v>
      </c>
      <c r="G977" s="61" t="s">
        <v>15</v>
      </c>
      <c r="H977" s="62"/>
      <c r="I977" s="65">
        <v>0</v>
      </c>
      <c r="J977" s="65">
        <v>0</v>
      </c>
      <c r="K977" s="62"/>
      <c r="L977" s="65">
        <v>0</v>
      </c>
      <c r="M977" s="65">
        <v>0</v>
      </c>
      <c r="N977" s="64">
        <v>0</v>
      </c>
      <c r="P977" t="str">
        <f t="shared" si="58"/>
        <v>404GP</v>
      </c>
      <c r="Q977" t="str">
        <f t="shared" si="59"/>
        <v>SG</v>
      </c>
      <c r="R977" t="str">
        <f>IF(ISERROR(MATCH(P977&amp;"."&amp;Q977,R$5:R976,0)),P977&amp;"."&amp;Q977,P977&amp;"."&amp;Q977&amp;COUNTIFS(P$5:P976,P977,Q$5:Q976,Q977))</f>
        <v>404GP.SG</v>
      </c>
      <c r="S977" s="55">
        <f t="shared" si="60"/>
        <v>0</v>
      </c>
    </row>
    <row r="978" spans="1:19" hidden="1">
      <c r="A978" s="5">
        <v>1043</v>
      </c>
      <c r="B978" s="59"/>
      <c r="C978" s="60"/>
      <c r="D978" s="63"/>
      <c r="E978" s="63"/>
      <c r="F978" s="60" t="s">
        <v>171</v>
      </c>
      <c r="G978" s="61" t="s">
        <v>136</v>
      </c>
      <c r="H978" s="62"/>
      <c r="I978" s="65">
        <v>284353.06</v>
      </c>
      <c r="J978" s="65">
        <v>123405.04972323986</v>
      </c>
      <c r="K978" s="62"/>
      <c r="L978" s="65">
        <v>284353.06</v>
      </c>
      <c r="M978" s="65">
        <v>160106.35416612972</v>
      </c>
      <c r="N978" s="64">
        <v>124246.70583387029</v>
      </c>
      <c r="P978" t="str">
        <f t="shared" si="58"/>
        <v>404GP</v>
      </c>
      <c r="Q978" t="str">
        <f t="shared" si="59"/>
        <v>SO</v>
      </c>
      <c r="R978" t="str">
        <f>IF(ISERROR(MATCH(P978&amp;"."&amp;Q978,R$5:R977,0)),P978&amp;"."&amp;Q978,P978&amp;"."&amp;Q978&amp;COUNTIFS(P$5:P977,P978,Q$5:Q977,Q978))</f>
        <v>404GP.SO</v>
      </c>
      <c r="S978" s="55">
        <f t="shared" si="60"/>
        <v>124246.70583387029</v>
      </c>
    </row>
    <row r="979" spans="1:19" hidden="1">
      <c r="A979" s="5">
        <v>1044</v>
      </c>
      <c r="B979" s="59"/>
      <c r="C979" s="60"/>
      <c r="D979" s="63"/>
      <c r="E979" s="63"/>
      <c r="F979" s="60" t="s">
        <v>407</v>
      </c>
      <c r="G979" s="61" t="s">
        <v>15</v>
      </c>
      <c r="H979" s="62"/>
      <c r="I979" s="65">
        <v>0</v>
      </c>
      <c r="J979" s="65">
        <v>0</v>
      </c>
      <c r="K979" s="62"/>
      <c r="L979" s="65">
        <v>0</v>
      </c>
      <c r="M979" s="65">
        <v>0</v>
      </c>
      <c r="N979" s="64">
        <v>0</v>
      </c>
      <c r="P979" t="str">
        <f t="shared" si="58"/>
        <v>404GP</v>
      </c>
      <c r="Q979" t="str">
        <f t="shared" si="59"/>
        <v>SG</v>
      </c>
      <c r="R979" t="str">
        <f>IF(ISERROR(MATCH(P979&amp;"."&amp;Q979,R$5:R978,0)),P979&amp;"."&amp;Q979,P979&amp;"."&amp;Q979&amp;COUNTIFS(P$5:P978,P979,Q$5:Q978,Q979))</f>
        <v>404GP.SG1</v>
      </c>
      <c r="S979" s="55">
        <f t="shared" si="60"/>
        <v>0</v>
      </c>
    </row>
    <row r="980" spans="1:19" hidden="1">
      <c r="A980" s="5">
        <v>1045</v>
      </c>
      <c r="B980" s="59"/>
      <c r="C980" s="60"/>
      <c r="D980" s="63"/>
      <c r="E980" s="63"/>
      <c r="F980" s="60" t="s">
        <v>149</v>
      </c>
      <c r="G980" s="61" t="s">
        <v>155</v>
      </c>
      <c r="H980" s="62"/>
      <c r="I980" s="65">
        <v>0</v>
      </c>
      <c r="J980" s="65">
        <v>0</v>
      </c>
      <c r="K980" s="62"/>
      <c r="L980" s="65">
        <v>0</v>
      </c>
      <c r="M980" s="65">
        <v>0</v>
      </c>
      <c r="N980" s="64">
        <v>0</v>
      </c>
      <c r="P980" t="str">
        <f t="shared" si="58"/>
        <v>404GP</v>
      </c>
      <c r="Q980" t="str">
        <f t="shared" si="59"/>
        <v>CN</v>
      </c>
      <c r="R980" t="str">
        <f>IF(ISERROR(MATCH(P980&amp;"."&amp;Q980,R$5:R979,0)),P980&amp;"."&amp;Q980,P980&amp;"."&amp;Q980&amp;COUNTIFS(P$5:P979,P980,Q$5:Q979,Q980))</f>
        <v>404GP.CN</v>
      </c>
      <c r="S980" s="55">
        <f t="shared" si="60"/>
        <v>0</v>
      </c>
    </row>
    <row r="981" spans="1:19" hidden="1">
      <c r="A981" s="5">
        <v>1046</v>
      </c>
      <c r="B981" s="59"/>
      <c r="C981" s="60"/>
      <c r="D981" s="63"/>
      <c r="E981" s="63"/>
      <c r="F981" s="60" t="s">
        <v>408</v>
      </c>
      <c r="G981" s="61" t="s">
        <v>15</v>
      </c>
      <c r="H981" s="62"/>
      <c r="I981" s="65">
        <v>0</v>
      </c>
      <c r="J981" s="65">
        <v>0</v>
      </c>
      <c r="K981" s="62"/>
      <c r="L981" s="65">
        <v>0</v>
      </c>
      <c r="M981" s="65">
        <v>0</v>
      </c>
      <c r="N981" s="64">
        <v>0</v>
      </c>
      <c r="P981" t="str">
        <f t="shared" si="58"/>
        <v>404GP</v>
      </c>
      <c r="Q981" t="str">
        <f t="shared" si="59"/>
        <v>SG</v>
      </c>
      <c r="R981" t="str">
        <f>IF(ISERROR(MATCH(P981&amp;"."&amp;Q981,R$5:R980,0)),P981&amp;"."&amp;Q981,P981&amp;"."&amp;Q981&amp;COUNTIFS(P$5:P980,P981,Q$5:Q980,Q981))</f>
        <v>404GP.SG2</v>
      </c>
      <c r="S981" s="55">
        <f t="shared" si="60"/>
        <v>0</v>
      </c>
    </row>
    <row r="982" spans="1:19" hidden="1">
      <c r="A982" s="5">
        <v>1047</v>
      </c>
      <c r="B982" s="59"/>
      <c r="C982" s="60"/>
      <c r="D982" s="63"/>
      <c r="E982" s="63"/>
      <c r="F982" s="63"/>
      <c r="G982" s="63"/>
      <c r="H982" s="62" t="s">
        <v>409</v>
      </c>
      <c r="I982" s="66">
        <v>706273.09000000008</v>
      </c>
      <c r="J982" s="66">
        <v>128139.87972323986</v>
      </c>
      <c r="K982" s="62"/>
      <c r="L982" s="66">
        <v>706337.56</v>
      </c>
      <c r="M982" s="66">
        <v>571278.48416612973</v>
      </c>
      <c r="N982" s="66">
        <v>135059.0758338703</v>
      </c>
      <c r="P982" t="str">
        <f t="shared" si="58"/>
        <v>404GP</v>
      </c>
      <c r="Q982" t="str">
        <f t="shared" si="59"/>
        <v>NA</v>
      </c>
      <c r="R982" t="str">
        <f>IF(ISERROR(MATCH(P982&amp;"."&amp;Q982,R$5:R981,0)),P982&amp;"."&amp;Q982,P982&amp;"."&amp;Q982&amp;COUNTIFS(P$5:P981,P982,Q$5:Q981,Q982))</f>
        <v>404GP.NA1</v>
      </c>
      <c r="S982" s="55">
        <f t="shared" si="60"/>
        <v>135059.0758338703</v>
      </c>
    </row>
    <row r="983" spans="1:19" hidden="1">
      <c r="A983" s="5">
        <v>1048</v>
      </c>
      <c r="B983" s="59"/>
      <c r="C983" s="60"/>
      <c r="D983" s="63"/>
      <c r="E983" s="63"/>
      <c r="F983" s="63"/>
      <c r="G983" s="63"/>
      <c r="H983" s="62"/>
      <c r="I983" s="65"/>
      <c r="J983" s="65"/>
      <c r="K983" s="62"/>
      <c r="L983" s="65"/>
      <c r="M983" s="65"/>
      <c r="N983" s="65"/>
      <c r="P983" t="str">
        <f t="shared" si="58"/>
        <v>404GP</v>
      </c>
      <c r="Q983" t="str">
        <f t="shared" si="59"/>
        <v>NA</v>
      </c>
      <c r="R983" t="str">
        <f>IF(ISERROR(MATCH(P983&amp;"."&amp;Q983,R$5:R982,0)),P983&amp;"."&amp;Q983,P983&amp;"."&amp;Q983&amp;COUNTIFS(P$5:P982,P983,Q$5:Q982,Q983))</f>
        <v>404GP.NA2</v>
      </c>
      <c r="S983" s="55">
        <f t="shared" si="60"/>
        <v>0</v>
      </c>
    </row>
    <row r="984" spans="1:19" hidden="1">
      <c r="A984" s="5">
        <v>1049</v>
      </c>
      <c r="B984" s="59"/>
      <c r="C984" s="60" t="s">
        <v>239</v>
      </c>
      <c r="D984" s="61" t="s">
        <v>410</v>
      </c>
      <c r="E984" s="63"/>
      <c r="F984" s="63"/>
      <c r="G984" s="63"/>
      <c r="H984" s="62"/>
      <c r="I984" s="65"/>
      <c r="J984" s="65"/>
      <c r="K984" s="62"/>
      <c r="L984" s="65"/>
      <c r="M984" s="65"/>
      <c r="N984" s="65"/>
      <c r="P984" t="str">
        <f t="shared" si="58"/>
        <v>404SP</v>
      </c>
      <c r="Q984" t="str">
        <f t="shared" si="59"/>
        <v>NA</v>
      </c>
      <c r="R984" t="str">
        <f>IF(ISERROR(MATCH(P984&amp;"."&amp;Q984,R$5:R983,0)),P984&amp;"."&amp;Q984,P984&amp;"."&amp;Q984&amp;COUNTIFS(P$5:P983,P984,Q$5:Q983,Q984))</f>
        <v>404SP.NA</v>
      </c>
      <c r="S984" s="55">
        <f t="shared" si="60"/>
        <v>0</v>
      </c>
    </row>
    <row r="985" spans="1:19" hidden="1">
      <c r="A985" s="5">
        <v>1050</v>
      </c>
      <c r="B985" s="59"/>
      <c r="C985" s="60"/>
      <c r="D985" s="63"/>
      <c r="E985" s="63"/>
      <c r="F985" s="60" t="s">
        <v>13</v>
      </c>
      <c r="G985" s="61" t="s">
        <v>15</v>
      </c>
      <c r="H985" s="62"/>
      <c r="I985" s="65">
        <v>0</v>
      </c>
      <c r="J985" s="65">
        <v>0</v>
      </c>
      <c r="K985" s="62"/>
      <c r="L985" s="65">
        <v>0</v>
      </c>
      <c r="M985" s="65">
        <v>0</v>
      </c>
      <c r="N985" s="64">
        <v>0</v>
      </c>
      <c r="P985" t="str">
        <f t="shared" si="58"/>
        <v>404SP</v>
      </c>
      <c r="Q985" t="str">
        <f t="shared" si="59"/>
        <v>SG</v>
      </c>
      <c r="R985" t="str">
        <f>IF(ISERROR(MATCH(P985&amp;"."&amp;Q985,R$5:R984,0)),P985&amp;"."&amp;Q985,P985&amp;"."&amp;Q985&amp;COUNTIFS(P$5:P984,P985,Q$5:Q984,Q985))</f>
        <v>404SP.SG</v>
      </c>
      <c r="S985" s="55">
        <f t="shared" si="60"/>
        <v>0</v>
      </c>
    </row>
    <row r="986" spans="1:19" hidden="1">
      <c r="A986" s="5">
        <v>1051</v>
      </c>
      <c r="B986" s="59"/>
      <c r="C986" s="60"/>
      <c r="D986" s="63"/>
      <c r="E986" s="63"/>
      <c r="F986" s="63" t="s">
        <v>13</v>
      </c>
      <c r="G986" s="63" t="s">
        <v>15</v>
      </c>
      <c r="H986" s="62"/>
      <c r="I986" s="66">
        <v>0</v>
      </c>
      <c r="J986" s="66">
        <v>0</v>
      </c>
      <c r="K986" s="62"/>
      <c r="L986" s="66">
        <v>0</v>
      </c>
      <c r="M986" s="66">
        <v>0</v>
      </c>
      <c r="N986" s="66">
        <v>0</v>
      </c>
      <c r="P986" t="str">
        <f t="shared" si="58"/>
        <v>404SP</v>
      </c>
      <c r="Q986" t="str">
        <f t="shared" si="59"/>
        <v>SG</v>
      </c>
      <c r="R986" t="str">
        <f>IF(ISERROR(MATCH(P986&amp;"."&amp;Q986,R$5:R985,0)),P986&amp;"."&amp;Q986,P986&amp;"."&amp;Q986&amp;COUNTIFS(P$5:P985,P986,Q$5:Q985,Q986))</f>
        <v>404SP.SG1</v>
      </c>
      <c r="S986" s="55">
        <f t="shared" si="60"/>
        <v>0</v>
      </c>
    </row>
    <row r="987" spans="1:19" hidden="1">
      <c r="A987" s="5">
        <v>1052</v>
      </c>
      <c r="B987" s="59"/>
      <c r="C987" s="60"/>
      <c r="D987" s="63"/>
      <c r="E987" s="63"/>
      <c r="F987" s="63"/>
      <c r="G987" s="63"/>
      <c r="H987" s="62" t="s">
        <v>409</v>
      </c>
      <c r="I987" s="77">
        <v>0</v>
      </c>
      <c r="J987" s="77">
        <v>0</v>
      </c>
      <c r="K987" s="62"/>
      <c r="L987" s="77">
        <v>0</v>
      </c>
      <c r="M987" s="77">
        <v>0</v>
      </c>
      <c r="N987" s="77">
        <v>0</v>
      </c>
      <c r="P987" t="str">
        <f t="shared" si="58"/>
        <v>404SP</v>
      </c>
      <c r="Q987" t="str">
        <f t="shared" si="59"/>
        <v>NA</v>
      </c>
      <c r="R987" t="str">
        <f>IF(ISERROR(MATCH(P987&amp;"."&amp;Q987,R$5:R986,0)),P987&amp;"."&amp;Q987,P987&amp;"."&amp;Q987&amp;COUNTIFS(P$5:P986,P987,Q$5:Q986,Q987))</f>
        <v>404SP.NA1</v>
      </c>
      <c r="S987" s="55">
        <f t="shared" si="60"/>
        <v>0</v>
      </c>
    </row>
    <row r="988" spans="1:19" hidden="1">
      <c r="A988" s="5">
        <v>1053</v>
      </c>
      <c r="B988" s="59"/>
      <c r="C988" s="61"/>
      <c r="D988" s="61"/>
      <c r="E988" s="63"/>
      <c r="F988" s="63"/>
      <c r="G988" s="63"/>
      <c r="H988" s="62"/>
      <c r="I988" s="77"/>
      <c r="J988" s="77"/>
      <c r="K988" s="62"/>
      <c r="L988" s="77"/>
      <c r="M988" s="77"/>
      <c r="N988" s="77"/>
      <c r="P988" t="str">
        <f t="shared" si="58"/>
        <v>404SP</v>
      </c>
      <c r="Q988" t="str">
        <f t="shared" si="59"/>
        <v>NA</v>
      </c>
      <c r="R988" t="str">
        <f>IF(ISERROR(MATCH(P988&amp;"."&amp;Q988,R$5:R987,0)),P988&amp;"."&amp;Q988,P988&amp;"."&amp;Q988&amp;COUNTIFS(P$5:P987,P988,Q$5:Q987,Q988))</f>
        <v>404SP.NA2</v>
      </c>
      <c r="S988" s="55">
        <f t="shared" si="60"/>
        <v>0</v>
      </c>
    </row>
    <row r="989" spans="1:19" hidden="1">
      <c r="A989" s="5">
        <v>1054</v>
      </c>
      <c r="B989" s="59"/>
      <c r="C989" s="60" t="s">
        <v>235</v>
      </c>
      <c r="D989" s="63" t="s">
        <v>411</v>
      </c>
      <c r="E989" s="63"/>
      <c r="F989" s="60"/>
      <c r="G989" s="61"/>
      <c r="H989" s="62"/>
      <c r="I989" s="65"/>
      <c r="J989" s="65"/>
      <c r="K989" s="62"/>
      <c r="L989" s="65"/>
      <c r="M989" s="65"/>
      <c r="N989" s="64"/>
      <c r="P989" t="str">
        <f t="shared" si="58"/>
        <v>404IP</v>
      </c>
      <c r="Q989" t="str">
        <f t="shared" si="59"/>
        <v>NA</v>
      </c>
      <c r="R989" t="str">
        <f>IF(ISERROR(MATCH(P989&amp;"."&amp;Q989,R$5:R988,0)),P989&amp;"."&amp;Q989,P989&amp;"."&amp;Q989&amp;COUNTIFS(P$5:P988,P989,Q$5:Q988,Q989))</f>
        <v>404IP.NA</v>
      </c>
      <c r="S989" s="55">
        <f t="shared" si="60"/>
        <v>0</v>
      </c>
    </row>
    <row r="990" spans="1:19" hidden="1">
      <c r="A990" s="5">
        <v>1055</v>
      </c>
      <c r="B990" s="59"/>
      <c r="C990" s="60"/>
      <c r="D990" s="63"/>
      <c r="E990" s="63"/>
      <c r="F990" s="63" t="s">
        <v>405</v>
      </c>
      <c r="G990" s="63" t="s">
        <v>12</v>
      </c>
      <c r="H990" s="62"/>
      <c r="I990" s="66">
        <v>999640.14999999991</v>
      </c>
      <c r="J990" s="66">
        <v>-3413242.71</v>
      </c>
      <c r="K990" s="62"/>
      <c r="L990" s="66">
        <v>8719350.5378794968</v>
      </c>
      <c r="M990" s="66">
        <v>4411490.9513825234</v>
      </c>
      <c r="N990" s="66">
        <v>4307859.5864969734</v>
      </c>
      <c r="P990" t="str">
        <f t="shared" si="58"/>
        <v>404IP</v>
      </c>
      <c r="Q990" t="str">
        <f t="shared" si="59"/>
        <v>S</v>
      </c>
      <c r="R990" t="str">
        <f>IF(ISERROR(MATCH(P990&amp;"."&amp;Q990,R$5:R989,0)),P990&amp;"."&amp;Q990,P990&amp;"."&amp;Q990&amp;COUNTIFS(P$5:P989,P990,Q$5:Q989,Q990))</f>
        <v>404IP.S</v>
      </c>
      <c r="S990" s="55">
        <f t="shared" si="60"/>
        <v>4307859.5864969734</v>
      </c>
    </row>
    <row r="991" spans="1:19" hidden="1">
      <c r="A991" s="5">
        <v>1056</v>
      </c>
      <c r="B991" s="59"/>
      <c r="C991" s="60"/>
      <c r="D991" s="63"/>
      <c r="E991" s="63"/>
      <c r="F991" s="63" t="s">
        <v>13</v>
      </c>
      <c r="G991" s="63" t="s">
        <v>16</v>
      </c>
      <c r="H991" s="62"/>
      <c r="I991" s="77">
        <v>0</v>
      </c>
      <c r="J991" s="77">
        <v>0</v>
      </c>
      <c r="K991" s="62"/>
      <c r="L991" s="77">
        <v>0</v>
      </c>
      <c r="M991" s="77">
        <v>0</v>
      </c>
      <c r="N991" s="77">
        <v>0</v>
      </c>
      <c r="P991" t="str">
        <f t="shared" si="58"/>
        <v>404IP</v>
      </c>
      <c r="Q991" t="str">
        <f t="shared" si="59"/>
        <v>SE</v>
      </c>
      <c r="R991" t="str">
        <f>IF(ISERROR(MATCH(P991&amp;"."&amp;Q991,R$5:R990,0)),P991&amp;"."&amp;Q991,P991&amp;"."&amp;Q991&amp;COUNTIFS(P$5:P990,P991,Q$5:Q990,Q991))</f>
        <v>404IP.SE</v>
      </c>
      <c r="S991" s="55">
        <f t="shared" si="60"/>
        <v>0</v>
      </c>
    </row>
    <row r="992" spans="1:19" hidden="1">
      <c r="A992" s="5">
        <v>1057</v>
      </c>
      <c r="B992" s="59"/>
      <c r="C992" s="60"/>
      <c r="D992" s="63"/>
      <c r="E992" s="63"/>
      <c r="F992" s="63" t="s">
        <v>406</v>
      </c>
      <c r="G992" s="63" t="s">
        <v>15</v>
      </c>
      <c r="H992" s="62"/>
      <c r="I992" s="65">
        <v>14768915.82</v>
      </c>
      <c r="J992" s="65">
        <v>6497953.4620612171</v>
      </c>
      <c r="K992" s="62"/>
      <c r="L992" s="65">
        <v>6944958.309856669</v>
      </c>
      <c r="M992" s="65">
        <v>3889350.4071904626</v>
      </c>
      <c r="N992" s="65">
        <v>3055607.9026662065</v>
      </c>
      <c r="P992" t="str">
        <f t="shared" si="58"/>
        <v>404IP</v>
      </c>
      <c r="Q992" t="str">
        <f t="shared" si="59"/>
        <v>SG</v>
      </c>
      <c r="R992" t="str">
        <f>IF(ISERROR(MATCH(P992&amp;"."&amp;Q992,R$5:R991,0)),P992&amp;"."&amp;Q992,P992&amp;"."&amp;Q992&amp;COUNTIFS(P$5:P991,P992,Q$5:Q991,Q992))</f>
        <v>404IP.SG</v>
      </c>
      <c r="S992" s="55">
        <f t="shared" si="60"/>
        <v>3055607.9026662065</v>
      </c>
    </row>
    <row r="993" spans="1:19" hidden="1">
      <c r="A993" s="5">
        <v>1058</v>
      </c>
      <c r="B993" s="59"/>
      <c r="C993" s="60"/>
      <c r="D993" s="61"/>
      <c r="E993" s="63"/>
      <c r="F993" s="63" t="s">
        <v>171</v>
      </c>
      <c r="G993" s="63" t="s">
        <v>136</v>
      </c>
      <c r="H993" s="62"/>
      <c r="I993" s="65">
        <v>11379692.560000001</v>
      </c>
      <c r="J993" s="65">
        <v>4938619.3565210197</v>
      </c>
      <c r="K993" s="62"/>
      <c r="L993" s="65">
        <v>19967935.939427797</v>
      </c>
      <c r="M993" s="65">
        <v>11243042.095219994</v>
      </c>
      <c r="N993" s="65">
        <v>8724893.8442078028</v>
      </c>
      <c r="P993" t="str">
        <f t="shared" si="58"/>
        <v>404IP</v>
      </c>
      <c r="Q993" t="str">
        <f t="shared" si="59"/>
        <v>SO</v>
      </c>
      <c r="R993" t="str">
        <f>IF(ISERROR(MATCH(P993&amp;"."&amp;Q993,R$5:R992,0)),P993&amp;"."&amp;Q993,P993&amp;"."&amp;Q993&amp;COUNTIFS(P$5:P992,P993,Q$5:Q992,Q993))</f>
        <v>404IP.SO</v>
      </c>
      <c r="S993" s="55">
        <f t="shared" si="60"/>
        <v>8724893.8442078028</v>
      </c>
    </row>
    <row r="994" spans="1:19" hidden="1">
      <c r="A994" s="5">
        <v>1059</v>
      </c>
      <c r="B994" s="59"/>
      <c r="C994" s="60"/>
      <c r="D994" s="63"/>
      <c r="E994" s="63"/>
      <c r="F994" s="60" t="s">
        <v>149</v>
      </c>
      <c r="G994" s="61" t="s">
        <v>155</v>
      </c>
      <c r="H994" s="62"/>
      <c r="I994" s="65">
        <v>10889663.289999999</v>
      </c>
      <c r="J994" s="65">
        <v>5206282.2038865825</v>
      </c>
      <c r="K994" s="62"/>
      <c r="L994" s="65">
        <v>11980746.407048479</v>
      </c>
      <c r="M994" s="65">
        <v>6252823.9592007259</v>
      </c>
      <c r="N994" s="64">
        <v>5727922.4478477528</v>
      </c>
      <c r="P994" t="str">
        <f t="shared" si="58"/>
        <v>404IP</v>
      </c>
      <c r="Q994" t="str">
        <f t="shared" si="59"/>
        <v>CN</v>
      </c>
      <c r="R994" t="str">
        <f>IF(ISERROR(MATCH(P994&amp;"."&amp;Q994,R$5:R993,0)),P994&amp;"."&amp;Q994,P994&amp;"."&amp;Q994&amp;COUNTIFS(P$5:P993,P994,Q$5:Q993,Q994))</f>
        <v>404IP.CN</v>
      </c>
      <c r="S994" s="55">
        <f t="shared" si="60"/>
        <v>5727922.4478477528</v>
      </c>
    </row>
    <row r="995" spans="1:19" hidden="1">
      <c r="A995" s="5">
        <v>1060</v>
      </c>
      <c r="B995" s="59"/>
      <c r="C995" s="60"/>
      <c r="D995" s="63"/>
      <c r="E995" s="70"/>
      <c r="F995" s="60" t="s">
        <v>406</v>
      </c>
      <c r="G995" s="61" t="s">
        <v>15</v>
      </c>
      <c r="H995" s="62"/>
      <c r="I995" s="65">
        <v>10565963.029999999</v>
      </c>
      <c r="J995" s="65">
        <v>4648759.386780723</v>
      </c>
      <c r="K995" s="62"/>
      <c r="L995" s="65">
        <v>2620847.0039593494</v>
      </c>
      <c r="M995" s="65">
        <v>1467739.8923426471</v>
      </c>
      <c r="N995" s="64">
        <v>1153107.1116167023</v>
      </c>
      <c r="P995" t="str">
        <f t="shared" si="58"/>
        <v>404IP</v>
      </c>
      <c r="Q995" t="str">
        <f t="shared" si="59"/>
        <v>SG</v>
      </c>
      <c r="R995" t="str">
        <f>IF(ISERROR(MATCH(P995&amp;"."&amp;Q995,R$5:R994,0)),P995&amp;"."&amp;Q995,P995&amp;"."&amp;Q995&amp;COUNTIFS(P$5:P994,P995,Q$5:Q994,Q995))</f>
        <v>404IP.SG1</v>
      </c>
      <c r="S995" s="55">
        <f t="shared" si="60"/>
        <v>1153107.1116167023</v>
      </c>
    </row>
    <row r="996" spans="1:19" hidden="1">
      <c r="A996" s="5">
        <v>1061</v>
      </c>
      <c r="B996" s="59"/>
      <c r="C996" s="60"/>
      <c r="D996" s="63"/>
      <c r="E996" s="63"/>
      <c r="F996" s="60" t="s">
        <v>406</v>
      </c>
      <c r="G996" s="61" t="s">
        <v>15</v>
      </c>
      <c r="H996" s="62"/>
      <c r="I996" s="65">
        <v>315841.06</v>
      </c>
      <c r="J996" s="65">
        <v>138962.1644744458</v>
      </c>
      <c r="K996" s="62"/>
      <c r="L996" s="65">
        <v>296796.23000000004</v>
      </c>
      <c r="M996" s="65">
        <v>166213.31424909848</v>
      </c>
      <c r="N996" s="64">
        <v>130582.91575090156</v>
      </c>
      <c r="P996" t="str">
        <f t="shared" si="58"/>
        <v>404IP</v>
      </c>
      <c r="Q996" t="str">
        <f t="shared" si="59"/>
        <v>SG</v>
      </c>
      <c r="R996" t="str">
        <f>IF(ISERROR(MATCH(P996&amp;"."&amp;Q996,R$5:R995,0)),P996&amp;"."&amp;Q996,P996&amp;"."&amp;Q996&amp;COUNTIFS(P$5:P995,P996,Q$5:Q995,Q996))</f>
        <v>404IP.SG2</v>
      </c>
      <c r="S996" s="55">
        <f t="shared" si="60"/>
        <v>130582.91575090156</v>
      </c>
    </row>
    <row r="997" spans="1:19" hidden="1">
      <c r="A997" s="5">
        <v>1062</v>
      </c>
      <c r="B997" s="59"/>
      <c r="C997" s="60"/>
      <c r="D997" s="63"/>
      <c r="E997" s="63"/>
      <c r="F997" s="63" t="s">
        <v>408</v>
      </c>
      <c r="G997" s="63" t="s">
        <v>15</v>
      </c>
      <c r="H997" s="62"/>
      <c r="I997" s="66">
        <v>78645.87</v>
      </c>
      <c r="J997" s="66">
        <v>34602.215184358494</v>
      </c>
      <c r="K997" s="62"/>
      <c r="L997" s="66">
        <v>0</v>
      </c>
      <c r="M997" s="66">
        <v>0</v>
      </c>
      <c r="N997" s="66">
        <v>0</v>
      </c>
      <c r="P997" t="str">
        <f t="shared" si="58"/>
        <v>404IP</v>
      </c>
      <c r="Q997" t="str">
        <f t="shared" si="59"/>
        <v>SG</v>
      </c>
      <c r="R997" t="str">
        <f>IF(ISERROR(MATCH(P997&amp;"."&amp;Q997,R$5:R996,0)),P997&amp;"."&amp;Q997,P997&amp;"."&amp;Q997&amp;COUNTIFS(P$5:P996,P997,Q$5:Q996,Q997))</f>
        <v>404IP.SG3</v>
      </c>
      <c r="S997" s="55">
        <f t="shared" si="60"/>
        <v>0</v>
      </c>
    </row>
    <row r="998" spans="1:19" hidden="1">
      <c r="A998" s="5">
        <v>1063</v>
      </c>
      <c r="B998" s="59"/>
      <c r="C998" s="60"/>
      <c r="D998" s="63"/>
      <c r="E998" s="63"/>
      <c r="F998" s="63" t="s">
        <v>406</v>
      </c>
      <c r="G998" s="63" t="s">
        <v>15</v>
      </c>
      <c r="H998" s="62"/>
      <c r="I998" s="65">
        <v>0</v>
      </c>
      <c r="J998" s="65">
        <v>0</v>
      </c>
      <c r="K998" s="62"/>
      <c r="L998" s="65">
        <v>0</v>
      </c>
      <c r="M998" s="65">
        <v>0</v>
      </c>
      <c r="N998" s="65">
        <v>0</v>
      </c>
      <c r="P998" t="str">
        <f t="shared" si="58"/>
        <v>404IP</v>
      </c>
      <c r="Q998" t="str">
        <f t="shared" si="59"/>
        <v>SG</v>
      </c>
      <c r="R998" t="str">
        <f>IF(ISERROR(MATCH(P998&amp;"."&amp;Q998,R$5:R997,0)),P998&amp;"."&amp;Q998,P998&amp;"."&amp;Q998&amp;COUNTIFS(P$5:P997,P998,Q$5:Q997,Q998))</f>
        <v>404IP.SG4</v>
      </c>
      <c r="S998" s="55">
        <f t="shared" si="60"/>
        <v>0</v>
      </c>
    </row>
    <row r="999" spans="1:19" hidden="1">
      <c r="A999" s="5">
        <v>1064</v>
      </c>
      <c r="B999" s="59"/>
      <c r="C999" s="45"/>
      <c r="D999" s="63"/>
      <c r="E999" s="63"/>
      <c r="F999" s="63" t="s">
        <v>406</v>
      </c>
      <c r="G999" s="63" t="s">
        <v>15</v>
      </c>
      <c r="H999" s="41"/>
      <c r="I999" s="97">
        <v>8926.73</v>
      </c>
      <c r="J999" s="97">
        <v>3927.537865022899</v>
      </c>
      <c r="K999" s="41"/>
      <c r="L999" s="97">
        <v>0</v>
      </c>
      <c r="M999" s="97">
        <v>0</v>
      </c>
      <c r="N999" s="97">
        <v>0</v>
      </c>
      <c r="P999" t="str">
        <f t="shared" si="58"/>
        <v>404IP</v>
      </c>
      <c r="Q999" t="str">
        <f t="shared" si="59"/>
        <v>SG</v>
      </c>
      <c r="R999" t="str">
        <f>IF(ISERROR(MATCH(P999&amp;"."&amp;Q999,R$5:R998,0)),P999&amp;"."&amp;Q999,P999&amp;"."&amp;Q999&amp;COUNTIFS(P$5:P998,P999,Q$5:Q998,Q999))</f>
        <v>404IP.SG5</v>
      </c>
      <c r="S999" s="55">
        <f t="shared" si="60"/>
        <v>0</v>
      </c>
    </row>
    <row r="1000" spans="1:19" hidden="1">
      <c r="A1000" s="5">
        <v>1065</v>
      </c>
      <c r="B1000" s="59"/>
      <c r="C1000" s="60"/>
      <c r="D1000" s="63"/>
      <c r="E1000" s="63"/>
      <c r="F1000" s="63" t="s">
        <v>407</v>
      </c>
      <c r="G1000" s="63" t="s">
        <v>15</v>
      </c>
      <c r="H1000" s="62"/>
      <c r="I1000" s="65">
        <v>16484.990000000002</v>
      </c>
      <c r="J1000" s="65">
        <v>7252.9831673551071</v>
      </c>
      <c r="K1000" s="62"/>
      <c r="L1000" s="65">
        <v>16150.450000000006</v>
      </c>
      <c r="M1000" s="65">
        <v>9044.6560628965963</v>
      </c>
      <c r="N1000" s="65">
        <v>7105.793937103409</v>
      </c>
      <c r="P1000" t="str">
        <f t="shared" si="58"/>
        <v>404IP</v>
      </c>
      <c r="Q1000" t="str">
        <f t="shared" si="59"/>
        <v>SG</v>
      </c>
      <c r="R1000" t="str">
        <f>IF(ISERROR(MATCH(P1000&amp;"."&amp;Q1000,R$5:R999,0)),P1000&amp;"."&amp;Q1000,P1000&amp;"."&amp;Q1000&amp;COUNTIFS(P$5:P999,P1000,Q$5:Q999,Q1000))</f>
        <v>404IP.SG6</v>
      </c>
      <c r="S1000" s="55">
        <f t="shared" si="60"/>
        <v>7105.793937103409</v>
      </c>
    </row>
    <row r="1001" spans="1:19" hidden="1">
      <c r="A1001" s="5">
        <v>1066</v>
      </c>
      <c r="B1001" s="59"/>
      <c r="C1001" s="60"/>
      <c r="D1001" s="63"/>
      <c r="E1001" s="63"/>
      <c r="F1001" s="63"/>
      <c r="G1001" s="63"/>
      <c r="H1001" s="62" t="s">
        <v>409</v>
      </c>
      <c r="I1001" s="65">
        <v>49023773.5</v>
      </c>
      <c r="J1001" s="65">
        <v>18063116.599940725</v>
      </c>
      <c r="K1001" s="62"/>
      <c r="L1001" s="65">
        <v>50546784.878171787</v>
      </c>
      <c r="M1001" s="65">
        <v>27439705.275648348</v>
      </c>
      <c r="N1001" s="65">
        <v>23107079.602523442</v>
      </c>
      <c r="P1001" t="str">
        <f t="shared" si="58"/>
        <v>404IP</v>
      </c>
      <c r="Q1001" t="str">
        <f t="shared" si="59"/>
        <v>NA</v>
      </c>
      <c r="R1001" t="str">
        <f>IF(ISERROR(MATCH(P1001&amp;"."&amp;Q1001,R$5:R1000,0)),P1001&amp;"."&amp;Q1001,P1001&amp;"."&amp;Q1001&amp;COUNTIFS(P$5:P1000,P1001,Q$5:Q1000,Q1001))</f>
        <v>404IP.NA1</v>
      </c>
      <c r="S1001" s="55">
        <f t="shared" si="60"/>
        <v>23107079.602523442</v>
      </c>
    </row>
    <row r="1002" spans="1:19" hidden="1">
      <c r="A1002" s="5">
        <v>1067</v>
      </c>
      <c r="B1002" s="59"/>
      <c r="C1002" s="60"/>
      <c r="D1002" s="61"/>
      <c r="E1002" s="63"/>
      <c r="F1002" s="63"/>
      <c r="G1002" s="63"/>
      <c r="H1002" s="62"/>
      <c r="I1002" s="65"/>
      <c r="J1002" s="65"/>
      <c r="K1002" s="62"/>
      <c r="L1002" s="65"/>
      <c r="M1002" s="65"/>
      <c r="N1002" s="65"/>
      <c r="P1002" t="str">
        <f t="shared" si="58"/>
        <v>404IP</v>
      </c>
      <c r="Q1002" t="str">
        <f t="shared" si="59"/>
        <v>NA</v>
      </c>
      <c r="R1002" t="str">
        <f>IF(ISERROR(MATCH(P1002&amp;"."&amp;Q1002,R$5:R1001,0)),P1002&amp;"."&amp;Q1002,P1002&amp;"."&amp;Q1002&amp;COUNTIFS(P$5:P1001,P1002,Q$5:Q1001,Q1002))</f>
        <v>404IP.NA2</v>
      </c>
      <c r="S1002" s="55">
        <f t="shared" si="60"/>
        <v>0</v>
      </c>
    </row>
    <row r="1003" spans="1:19" hidden="1">
      <c r="A1003" s="5">
        <v>1068</v>
      </c>
      <c r="B1003" s="59"/>
      <c r="C1003" s="60" t="s">
        <v>237</v>
      </c>
      <c r="D1003" s="63" t="s">
        <v>412</v>
      </c>
      <c r="E1003" s="63"/>
      <c r="F1003" s="60"/>
      <c r="G1003" s="61"/>
      <c r="H1003" s="62"/>
      <c r="I1003" s="65"/>
      <c r="J1003" s="65"/>
      <c r="K1003" s="62"/>
      <c r="L1003" s="65"/>
      <c r="M1003" s="65"/>
      <c r="N1003" s="64"/>
      <c r="P1003" t="str">
        <f t="shared" si="58"/>
        <v>404MP</v>
      </c>
      <c r="Q1003" t="str">
        <f t="shared" si="59"/>
        <v>NA</v>
      </c>
      <c r="R1003" t="str">
        <f>IF(ISERROR(MATCH(P1003&amp;"."&amp;Q1003,R$5:R1002,0)),P1003&amp;"."&amp;Q1003,P1003&amp;"."&amp;Q1003&amp;COUNTIFS(P$5:P1002,P1003,Q$5:Q1002,Q1003))</f>
        <v>404MP.NA</v>
      </c>
      <c r="S1003" s="55">
        <f t="shared" si="60"/>
        <v>0</v>
      </c>
    </row>
    <row r="1004" spans="1:19" hidden="1">
      <c r="A1004" s="5">
        <v>1069</v>
      </c>
      <c r="B1004" s="59"/>
      <c r="C1004" s="60"/>
      <c r="D1004" s="63"/>
      <c r="E1004" s="63"/>
      <c r="F1004" s="63" t="s">
        <v>13</v>
      </c>
      <c r="G1004" s="63" t="s">
        <v>16</v>
      </c>
      <c r="H1004" s="62"/>
      <c r="I1004" s="65">
        <v>0</v>
      </c>
      <c r="J1004" s="65">
        <v>0</v>
      </c>
      <c r="K1004" s="62"/>
      <c r="L1004" s="65">
        <v>0</v>
      </c>
      <c r="M1004" s="65">
        <v>0</v>
      </c>
      <c r="N1004" s="65">
        <v>0</v>
      </c>
      <c r="P1004" t="str">
        <f t="shared" si="58"/>
        <v>404MP</v>
      </c>
      <c r="Q1004" t="str">
        <f t="shared" si="59"/>
        <v>SE</v>
      </c>
      <c r="R1004" t="str">
        <f>IF(ISERROR(MATCH(P1004&amp;"."&amp;Q1004,R$5:R1003,0)),P1004&amp;"."&amp;Q1004,P1004&amp;"."&amp;Q1004&amp;COUNTIFS(P$5:P1003,P1004,Q$5:Q1003,Q1004))</f>
        <v>404MP.SE</v>
      </c>
      <c r="S1004" s="55">
        <f t="shared" si="60"/>
        <v>0</v>
      </c>
    </row>
    <row r="1005" spans="1:19" hidden="1">
      <c r="A1005" s="5">
        <v>1070</v>
      </c>
      <c r="B1005" s="59"/>
      <c r="C1005" s="60"/>
      <c r="D1005" s="63"/>
      <c r="E1005" s="63"/>
      <c r="F1005" s="63"/>
      <c r="G1005" s="63"/>
      <c r="H1005" s="62" t="s">
        <v>409</v>
      </c>
      <c r="I1005" s="66">
        <v>0</v>
      </c>
      <c r="J1005" s="66">
        <v>0</v>
      </c>
      <c r="K1005" s="62"/>
      <c r="L1005" s="66">
        <v>0</v>
      </c>
      <c r="M1005" s="66">
        <v>0</v>
      </c>
      <c r="N1005" s="66">
        <v>0</v>
      </c>
      <c r="P1005" t="str">
        <f t="shared" si="58"/>
        <v>404MP</v>
      </c>
      <c r="Q1005" t="str">
        <f t="shared" si="59"/>
        <v>NA</v>
      </c>
      <c r="R1005" t="str">
        <f>IF(ISERROR(MATCH(P1005&amp;"."&amp;Q1005,R$5:R1004,0)),P1005&amp;"."&amp;Q1005,P1005&amp;"."&amp;Q1005&amp;COUNTIFS(P$5:P1004,P1005,Q$5:Q1004,Q1005))</f>
        <v>404MP.NA1</v>
      </c>
      <c r="S1005" s="55">
        <f t="shared" si="60"/>
        <v>0</v>
      </c>
    </row>
    <row r="1006" spans="1:19" hidden="1">
      <c r="A1006" s="5">
        <v>1071</v>
      </c>
      <c r="B1006" s="59"/>
      <c r="C1006" s="60"/>
      <c r="D1006" s="63"/>
      <c r="E1006" s="63"/>
      <c r="F1006" s="63"/>
      <c r="G1006" s="63"/>
      <c r="H1006" s="62"/>
      <c r="I1006" s="65"/>
      <c r="J1006" s="65"/>
      <c r="K1006" s="62"/>
      <c r="L1006" s="65"/>
      <c r="M1006" s="65"/>
      <c r="N1006" s="65"/>
      <c r="P1006" t="str">
        <f t="shared" si="58"/>
        <v>404MP</v>
      </c>
      <c r="Q1006" t="str">
        <f t="shared" si="59"/>
        <v>NA</v>
      </c>
      <c r="R1006" t="str">
        <f>IF(ISERROR(MATCH(P1006&amp;"."&amp;Q1006,R$5:R1005,0)),P1006&amp;"."&amp;Q1006,P1006&amp;"."&amp;Q1006&amp;COUNTIFS(P$5:P1005,P1006,Q$5:Q1005,Q1006))</f>
        <v>404MP.NA2</v>
      </c>
      <c r="S1006" s="55">
        <f t="shared" si="60"/>
        <v>0</v>
      </c>
    </row>
    <row r="1007" spans="1:19" hidden="1">
      <c r="A1007" s="5">
        <v>1072</v>
      </c>
      <c r="B1007" s="59"/>
      <c r="C1007" s="60" t="s">
        <v>238</v>
      </c>
      <c r="D1007" s="61" t="s">
        <v>413</v>
      </c>
      <c r="E1007" s="63"/>
      <c r="F1007" s="63"/>
      <c r="G1007" s="63"/>
      <c r="H1007" s="62"/>
      <c r="I1007" s="65"/>
      <c r="J1007" s="65"/>
      <c r="K1007" s="62"/>
      <c r="L1007" s="65"/>
      <c r="M1007" s="65"/>
      <c r="N1007" s="65"/>
      <c r="P1007" t="str">
        <f t="shared" si="58"/>
        <v>404OP</v>
      </c>
      <c r="Q1007" t="str">
        <f t="shared" si="59"/>
        <v>NA</v>
      </c>
      <c r="R1007" t="str">
        <f>IF(ISERROR(MATCH(P1007&amp;"."&amp;Q1007,R$5:R1006,0)),P1007&amp;"."&amp;Q1007,P1007&amp;"."&amp;Q1007&amp;COUNTIFS(P$5:P1006,P1007,Q$5:Q1006,Q1007))</f>
        <v>404OP.NA</v>
      </c>
      <c r="S1007" s="55">
        <f t="shared" si="60"/>
        <v>0</v>
      </c>
    </row>
    <row r="1008" spans="1:19" hidden="1">
      <c r="A1008" s="5">
        <v>1073</v>
      </c>
      <c r="B1008" s="59"/>
      <c r="C1008" s="60"/>
      <c r="D1008" s="63"/>
      <c r="E1008" s="63"/>
      <c r="F1008" s="60" t="s">
        <v>13</v>
      </c>
      <c r="G1008" s="61" t="s">
        <v>15</v>
      </c>
      <c r="H1008" s="62"/>
      <c r="I1008" s="65">
        <v>0</v>
      </c>
      <c r="J1008" s="65">
        <v>0</v>
      </c>
      <c r="K1008" s="62"/>
      <c r="L1008" s="65">
        <v>0</v>
      </c>
      <c r="M1008" s="65">
        <v>0</v>
      </c>
      <c r="N1008" s="64">
        <v>0</v>
      </c>
      <c r="P1008" t="str">
        <f t="shared" si="58"/>
        <v>404OP</v>
      </c>
      <c r="Q1008" t="str">
        <f t="shared" si="59"/>
        <v>SG</v>
      </c>
      <c r="R1008" t="str">
        <f>IF(ISERROR(MATCH(P1008&amp;"."&amp;Q1008,R$5:R1007,0)),P1008&amp;"."&amp;Q1008,P1008&amp;"."&amp;Q1008&amp;COUNTIFS(P$5:P1007,P1008,Q$5:Q1007,Q1008))</f>
        <v>404OP.SG</v>
      </c>
      <c r="S1008" s="55">
        <f t="shared" si="60"/>
        <v>0</v>
      </c>
    </row>
    <row r="1009" spans="1:19" hidden="1">
      <c r="A1009" s="5">
        <v>1074</v>
      </c>
      <c r="B1009" s="59"/>
      <c r="C1009" s="60"/>
      <c r="D1009" s="63"/>
      <c r="E1009" s="63"/>
      <c r="F1009" s="60"/>
      <c r="G1009" s="61"/>
      <c r="H1009" s="62" t="s">
        <v>409</v>
      </c>
      <c r="I1009" s="65">
        <v>0</v>
      </c>
      <c r="J1009" s="65">
        <v>0</v>
      </c>
      <c r="K1009" s="62"/>
      <c r="L1009" s="65">
        <v>0</v>
      </c>
      <c r="M1009" s="65">
        <v>0</v>
      </c>
      <c r="N1009" s="64">
        <v>0</v>
      </c>
      <c r="P1009" t="str">
        <f t="shared" si="58"/>
        <v>404OP</v>
      </c>
      <c r="Q1009" t="str">
        <f t="shared" si="59"/>
        <v>NA</v>
      </c>
      <c r="R1009" t="str">
        <f>IF(ISERROR(MATCH(P1009&amp;"."&amp;Q1009,R$5:R1008,0)),P1009&amp;"."&amp;Q1009,P1009&amp;"."&amp;Q1009&amp;COUNTIFS(P$5:P1008,P1009,Q$5:Q1008,Q1009))</f>
        <v>404OP.NA1</v>
      </c>
      <c r="S1009" s="55">
        <f t="shared" si="60"/>
        <v>0</v>
      </c>
    </row>
    <row r="1010" spans="1:19" hidden="1">
      <c r="A1010" s="5">
        <v>1075</v>
      </c>
      <c r="B1010" s="59"/>
      <c r="C1010" s="60"/>
      <c r="D1010" s="63"/>
      <c r="E1010" s="63"/>
      <c r="F1010" s="60"/>
      <c r="G1010" s="61"/>
      <c r="H1010" s="62"/>
      <c r="I1010" s="65"/>
      <c r="J1010" s="65"/>
      <c r="K1010" s="62"/>
      <c r="L1010" s="65"/>
      <c r="M1010" s="65"/>
      <c r="N1010" s="64"/>
      <c r="P1010" t="str">
        <f t="shared" si="58"/>
        <v>404OP</v>
      </c>
      <c r="Q1010" t="str">
        <f t="shared" si="59"/>
        <v>NA</v>
      </c>
      <c r="R1010" t="str">
        <f>IF(ISERROR(MATCH(P1010&amp;"."&amp;Q1010,R$5:R1009,0)),P1010&amp;"."&amp;Q1010,P1010&amp;"."&amp;Q1010&amp;COUNTIFS(P$5:P1009,P1010,Q$5:Q1009,Q1010))</f>
        <v>404OP.NA2</v>
      </c>
      <c r="S1010" s="55">
        <f t="shared" si="60"/>
        <v>0</v>
      </c>
    </row>
    <row r="1011" spans="1:19" hidden="1">
      <c r="A1011" s="5">
        <v>1076</v>
      </c>
      <c r="B1011" s="59"/>
      <c r="C1011" s="60"/>
      <c r="D1011" s="63"/>
      <c r="E1011" s="63"/>
      <c r="F1011" s="60"/>
      <c r="G1011" s="61"/>
      <c r="H1011" s="62"/>
      <c r="I1011" s="65"/>
      <c r="J1011" s="65"/>
      <c r="K1011" s="62"/>
      <c r="L1011" s="65"/>
      <c r="M1011" s="65"/>
      <c r="N1011" s="64"/>
      <c r="P1011" t="str">
        <f t="shared" si="58"/>
        <v>404OP</v>
      </c>
      <c r="Q1011" t="str">
        <f t="shared" si="59"/>
        <v>NA</v>
      </c>
      <c r="R1011" t="str">
        <f>IF(ISERROR(MATCH(P1011&amp;"."&amp;Q1011,R$5:R1010,0)),P1011&amp;"."&amp;Q1011,P1011&amp;"."&amp;Q1011&amp;COUNTIFS(P$5:P1010,P1011,Q$5:Q1010,Q1011))</f>
        <v>404OP.NA3</v>
      </c>
      <c r="S1011" s="55">
        <f t="shared" si="60"/>
        <v>0</v>
      </c>
    </row>
    <row r="1012" spans="1:19" hidden="1">
      <c r="A1012" s="5">
        <v>1077</v>
      </c>
      <c r="B1012" s="59"/>
      <c r="C1012" s="60" t="s">
        <v>234</v>
      </c>
      <c r="D1012" s="63" t="s">
        <v>414</v>
      </c>
      <c r="E1012" s="63"/>
      <c r="F1012" s="60"/>
      <c r="G1012" s="61"/>
      <c r="H1012" s="62"/>
      <c r="I1012" s="65"/>
      <c r="J1012" s="65"/>
      <c r="K1012" s="62"/>
      <c r="L1012" s="65"/>
      <c r="M1012" s="65"/>
      <c r="N1012" s="64"/>
      <c r="P1012" t="str">
        <f t="shared" si="58"/>
        <v>404HP</v>
      </c>
      <c r="Q1012" t="str">
        <f t="shared" si="59"/>
        <v>NA</v>
      </c>
      <c r="R1012" t="str">
        <f>IF(ISERROR(MATCH(P1012&amp;"."&amp;Q1012,R$5:R1011,0)),P1012&amp;"."&amp;Q1012,P1012&amp;"."&amp;Q1012&amp;COUNTIFS(P$5:P1011,P1012,Q$5:Q1011,Q1012))</f>
        <v>404HP.NA</v>
      </c>
      <c r="S1012" s="55">
        <f t="shared" si="60"/>
        <v>0</v>
      </c>
    </row>
    <row r="1013" spans="1:19" hidden="1">
      <c r="A1013" s="5">
        <v>1078</v>
      </c>
      <c r="B1013" s="59"/>
      <c r="C1013" s="60"/>
      <c r="D1013" s="63"/>
      <c r="E1013" s="63"/>
      <c r="F1013" s="63" t="s">
        <v>13</v>
      </c>
      <c r="G1013" s="63" t="s">
        <v>15</v>
      </c>
      <c r="H1013" s="62"/>
      <c r="I1013" s="66">
        <v>311695.71999999997</v>
      </c>
      <c r="J1013" s="66">
        <v>137138.31858536947</v>
      </c>
      <c r="K1013" s="62"/>
      <c r="L1013" s="66">
        <v>311695.71999999997</v>
      </c>
      <c r="M1013" s="66">
        <v>174557.4014146305</v>
      </c>
      <c r="N1013" s="66">
        <v>137138.31858536947</v>
      </c>
      <c r="P1013" t="str">
        <f t="shared" si="58"/>
        <v>404HP</v>
      </c>
      <c r="Q1013" t="str">
        <f t="shared" si="59"/>
        <v>SG</v>
      </c>
      <c r="R1013" t="str">
        <f>IF(ISERROR(MATCH(P1013&amp;"."&amp;Q1013,R$5:R1012,0)),P1013&amp;"."&amp;Q1013,P1013&amp;"."&amp;Q1013&amp;COUNTIFS(P$5:P1012,P1013,Q$5:Q1012,Q1013))</f>
        <v>404HP.SG</v>
      </c>
      <c r="S1013" s="55">
        <f t="shared" si="60"/>
        <v>137138.31858536947</v>
      </c>
    </row>
    <row r="1014" spans="1:19" hidden="1">
      <c r="A1014" s="5">
        <v>1079</v>
      </c>
      <c r="B1014" s="59"/>
      <c r="C1014" s="60"/>
      <c r="D1014" s="61"/>
      <c r="E1014" s="63"/>
      <c r="F1014" s="63" t="s">
        <v>13</v>
      </c>
      <c r="G1014" s="63" t="s">
        <v>15</v>
      </c>
      <c r="H1014" s="62"/>
      <c r="I1014" s="65">
        <v>0</v>
      </c>
      <c r="J1014" s="65">
        <v>0</v>
      </c>
      <c r="K1014" s="62"/>
      <c r="L1014" s="65">
        <v>0</v>
      </c>
      <c r="M1014" s="65">
        <v>0</v>
      </c>
      <c r="N1014" s="65">
        <v>0</v>
      </c>
      <c r="P1014" t="str">
        <f t="shared" si="58"/>
        <v>404HP</v>
      </c>
      <c r="Q1014" t="str">
        <f t="shared" si="59"/>
        <v>SG</v>
      </c>
      <c r="R1014" t="str">
        <f>IF(ISERROR(MATCH(P1014&amp;"."&amp;Q1014,R$5:R1013,0)),P1014&amp;"."&amp;Q1014,P1014&amp;"."&amp;Q1014&amp;COUNTIFS(P$5:P1013,P1014,Q$5:Q1013,Q1014))</f>
        <v>404HP.SG1</v>
      </c>
      <c r="S1014" s="55">
        <f t="shared" si="60"/>
        <v>0</v>
      </c>
    </row>
    <row r="1015" spans="1:19" hidden="1">
      <c r="A1015" s="5">
        <v>1080</v>
      </c>
      <c r="B1015" s="59"/>
      <c r="C1015" s="60"/>
      <c r="D1015" s="63"/>
      <c r="E1015" s="63"/>
      <c r="F1015" s="60" t="s">
        <v>13</v>
      </c>
      <c r="G1015" s="61" t="s">
        <v>15</v>
      </c>
      <c r="H1015" s="62"/>
      <c r="I1015" s="65">
        <v>0</v>
      </c>
      <c r="J1015" s="65">
        <v>0</v>
      </c>
      <c r="K1015" s="62"/>
      <c r="L1015" s="65">
        <v>0</v>
      </c>
      <c r="M1015" s="65">
        <v>0</v>
      </c>
      <c r="N1015" s="64">
        <v>0</v>
      </c>
      <c r="P1015" t="str">
        <f t="shared" si="58"/>
        <v>404HP</v>
      </c>
      <c r="Q1015" t="str">
        <f t="shared" si="59"/>
        <v>SG</v>
      </c>
      <c r="R1015" t="str">
        <f>IF(ISERROR(MATCH(P1015&amp;"."&amp;Q1015,R$5:R1014,0)),P1015&amp;"."&amp;Q1015,P1015&amp;"."&amp;Q1015&amp;COUNTIFS(P$5:P1014,P1015,Q$5:Q1014,Q1015))</f>
        <v>404HP.SG2</v>
      </c>
      <c r="S1015" s="55">
        <f t="shared" si="60"/>
        <v>0</v>
      </c>
    </row>
    <row r="1016" spans="1:19" hidden="1">
      <c r="A1016" s="5">
        <v>1081</v>
      </c>
      <c r="B1016" s="59"/>
      <c r="C1016" s="60"/>
      <c r="D1016" s="63"/>
      <c r="E1016" s="63"/>
      <c r="F1016" s="60"/>
      <c r="G1016" s="61"/>
      <c r="H1016" s="62" t="s">
        <v>409</v>
      </c>
      <c r="I1016" s="65">
        <v>311695.71999999997</v>
      </c>
      <c r="J1016" s="65">
        <v>137138.31858536947</v>
      </c>
      <c r="K1016" s="62"/>
      <c r="L1016" s="65">
        <v>311695.71999999997</v>
      </c>
      <c r="M1016" s="65">
        <v>174557.4014146305</v>
      </c>
      <c r="N1016" s="64">
        <v>137138.31858536947</v>
      </c>
      <c r="P1016" t="str">
        <f t="shared" si="58"/>
        <v>404HP</v>
      </c>
      <c r="Q1016" t="str">
        <f t="shared" si="59"/>
        <v>NA</v>
      </c>
      <c r="R1016" t="str">
        <f>IF(ISERROR(MATCH(P1016&amp;"."&amp;Q1016,R$5:R1015,0)),P1016&amp;"."&amp;Q1016,P1016&amp;"."&amp;Q1016&amp;COUNTIFS(P$5:P1015,P1016,Q$5:Q1015,Q1016))</f>
        <v>404HP.NA1</v>
      </c>
      <c r="S1016" s="55">
        <f t="shared" si="60"/>
        <v>137138.31858536947</v>
      </c>
    </row>
    <row r="1017" spans="1:19" hidden="1">
      <c r="A1017" s="5">
        <v>1082</v>
      </c>
      <c r="B1017" s="59"/>
      <c r="C1017" s="60"/>
      <c r="D1017" s="63"/>
      <c r="E1017" s="63"/>
      <c r="F1017" s="60"/>
      <c r="G1017" s="61"/>
      <c r="H1017" s="62"/>
      <c r="I1017" s="65"/>
      <c r="J1017" s="65"/>
      <c r="K1017" s="62"/>
      <c r="L1017" s="65"/>
      <c r="M1017" s="65"/>
      <c r="N1017" s="64"/>
      <c r="P1017" t="str">
        <f t="shared" si="58"/>
        <v>404HP</v>
      </c>
      <c r="Q1017" t="str">
        <f t="shared" si="59"/>
        <v>NA</v>
      </c>
      <c r="R1017" t="str">
        <f>IF(ISERROR(MATCH(P1017&amp;"."&amp;Q1017,R$5:R1016,0)),P1017&amp;"."&amp;Q1017,P1017&amp;"."&amp;Q1017&amp;COUNTIFS(P$5:P1016,P1017,Q$5:Q1016,Q1017))</f>
        <v>404HP.NA2</v>
      </c>
      <c r="S1017" s="55">
        <f t="shared" si="60"/>
        <v>0</v>
      </c>
    </row>
    <row r="1018" spans="1:19" hidden="1">
      <c r="A1018" s="5">
        <v>1083</v>
      </c>
      <c r="B1018" s="59"/>
      <c r="C1018" s="60" t="s">
        <v>415</v>
      </c>
      <c r="D1018" s="63"/>
      <c r="E1018" s="63"/>
      <c r="F1018" s="60"/>
      <c r="G1018" s="61"/>
      <c r="H1018" s="62" t="s">
        <v>409</v>
      </c>
      <c r="I1018" s="65">
        <v>50041742.309999995</v>
      </c>
      <c r="J1018" s="65">
        <v>18328394.798249334</v>
      </c>
      <c r="K1018" s="62"/>
      <c r="L1018" s="65">
        <v>51564818.158171788</v>
      </c>
      <c r="M1018" s="65">
        <v>28185541.161229108</v>
      </c>
      <c r="N1018" s="64">
        <v>23379276.99694268</v>
      </c>
      <c r="P1018" t="str">
        <f t="shared" si="58"/>
        <v>Total Amortization of Limited Term Plant</v>
      </c>
      <c r="Q1018" t="str">
        <f t="shared" si="59"/>
        <v>NA</v>
      </c>
      <c r="R1018" t="str">
        <f>IF(ISERROR(MATCH(P1018&amp;"."&amp;Q1018,R$5:R1017,0)),P1018&amp;"."&amp;Q1018,P1018&amp;"."&amp;Q1018&amp;COUNTIFS(P$5:P1017,P1018,Q$5:Q1017,Q1018))</f>
        <v>Total Amortization of Limited Term Plant.NA</v>
      </c>
      <c r="S1018" s="55">
        <f t="shared" si="60"/>
        <v>23379276.99694268</v>
      </c>
    </row>
    <row r="1019" spans="1:19" hidden="1">
      <c r="A1019" s="5">
        <v>1084</v>
      </c>
      <c r="B1019" s="59"/>
      <c r="C1019" s="60"/>
      <c r="D1019" s="63"/>
      <c r="E1019" s="63"/>
      <c r="F1019" s="60"/>
      <c r="G1019" s="61"/>
      <c r="H1019" s="62"/>
      <c r="I1019" s="65"/>
      <c r="J1019" s="65"/>
      <c r="K1019" s="62"/>
      <c r="L1019" s="65"/>
      <c r="M1019" s="65"/>
      <c r="N1019" s="64"/>
      <c r="P1019" t="str">
        <f t="shared" si="58"/>
        <v>Total Amortization of Limited Term Plant</v>
      </c>
      <c r="Q1019" t="str">
        <f t="shared" si="59"/>
        <v>NA</v>
      </c>
      <c r="R1019" t="str">
        <f>IF(ISERROR(MATCH(P1019&amp;"."&amp;Q1019,R$5:R1018,0)),P1019&amp;"."&amp;Q1019,P1019&amp;"."&amp;Q1019&amp;COUNTIFS(P$5:P1018,P1019,Q$5:Q1018,Q1019))</f>
        <v>Total Amortization of Limited Term Plant.NA1</v>
      </c>
      <c r="S1019" s="55">
        <f t="shared" si="60"/>
        <v>0</v>
      </c>
    </row>
    <row r="1020" spans="1:19" hidden="1">
      <c r="A1020" s="5">
        <v>1085</v>
      </c>
      <c r="B1020" s="59"/>
      <c r="C1020" s="60"/>
      <c r="D1020" s="63"/>
      <c r="E1020" s="63"/>
      <c r="F1020" s="60"/>
      <c r="G1020" s="61"/>
      <c r="H1020" s="62"/>
      <c r="I1020" s="65"/>
      <c r="J1020" s="65"/>
      <c r="K1020" s="62"/>
      <c r="L1020" s="65"/>
      <c r="M1020" s="65"/>
      <c r="N1020" s="64"/>
      <c r="P1020" t="str">
        <f t="shared" si="58"/>
        <v>Total Amortization of Limited Term Plant</v>
      </c>
      <c r="Q1020" t="str">
        <f t="shared" si="59"/>
        <v>NA</v>
      </c>
      <c r="R1020" t="str">
        <f>IF(ISERROR(MATCH(P1020&amp;"."&amp;Q1020,R$5:R1019,0)),P1020&amp;"."&amp;Q1020,P1020&amp;"."&amp;Q1020&amp;COUNTIFS(P$5:P1019,P1020,Q$5:Q1019,Q1020))</f>
        <v>Total Amortization of Limited Term Plant.NA2</v>
      </c>
      <c r="S1020" s="55">
        <f t="shared" si="60"/>
        <v>0</v>
      </c>
    </row>
    <row r="1021" spans="1:19" hidden="1">
      <c r="A1021" s="5">
        <v>1086</v>
      </c>
      <c r="B1021" s="59"/>
      <c r="C1021" s="60">
        <v>405</v>
      </c>
      <c r="D1021" s="63" t="s">
        <v>414</v>
      </c>
      <c r="E1021" s="63"/>
      <c r="F1021" s="63"/>
      <c r="G1021" s="63"/>
      <c r="H1021" s="62"/>
      <c r="I1021" s="66"/>
      <c r="J1021" s="66"/>
      <c r="K1021" s="62"/>
      <c r="L1021" s="66"/>
      <c r="M1021" s="66"/>
      <c r="N1021" s="66"/>
      <c r="P1021">
        <f t="shared" si="58"/>
        <v>405</v>
      </c>
      <c r="Q1021" t="str">
        <f t="shared" si="59"/>
        <v>NA</v>
      </c>
      <c r="R1021" t="str">
        <f>IF(ISERROR(MATCH(P1021&amp;"."&amp;Q1021,R$5:R1020,0)),P1021&amp;"."&amp;Q1021,P1021&amp;"."&amp;Q1021&amp;COUNTIFS(P$5:P1020,P1021,Q$5:Q1020,Q1021))</f>
        <v>405.NA</v>
      </c>
      <c r="S1021" s="55">
        <f t="shared" si="60"/>
        <v>0</v>
      </c>
    </row>
    <row r="1022" spans="1:19" hidden="1">
      <c r="A1022" s="5">
        <v>1087</v>
      </c>
      <c r="B1022" s="59"/>
      <c r="C1022" s="60"/>
      <c r="D1022" s="63"/>
      <c r="E1022" s="63"/>
      <c r="F1022" s="63" t="s">
        <v>140</v>
      </c>
      <c r="G1022" s="63" t="s">
        <v>12</v>
      </c>
      <c r="H1022" s="62"/>
      <c r="I1022" s="65">
        <v>0</v>
      </c>
      <c r="J1022" s="65">
        <v>0</v>
      </c>
      <c r="K1022" s="62"/>
      <c r="L1022" s="65">
        <v>0</v>
      </c>
      <c r="M1022" s="65">
        <v>0</v>
      </c>
      <c r="N1022" s="65">
        <v>0</v>
      </c>
      <c r="P1022">
        <f t="shared" si="58"/>
        <v>405</v>
      </c>
      <c r="Q1022" t="str">
        <f t="shared" si="59"/>
        <v>S</v>
      </c>
      <c r="R1022" t="str">
        <f>IF(ISERROR(MATCH(P1022&amp;"."&amp;Q1022,R$5:R1021,0)),P1022&amp;"."&amp;Q1022,P1022&amp;"."&amp;Q1022&amp;COUNTIFS(P$5:P1021,P1022,Q$5:Q1021,Q1022))</f>
        <v>405.S</v>
      </c>
      <c r="S1022" s="55">
        <f t="shared" si="60"/>
        <v>0</v>
      </c>
    </row>
    <row r="1023" spans="1:19" ht="15.75" hidden="1" thickBot="1">
      <c r="A1023" s="5">
        <v>1088</v>
      </c>
      <c r="B1023" s="59"/>
      <c r="C1023" s="45"/>
      <c r="D1023" s="63"/>
      <c r="E1023" s="63"/>
      <c r="F1023" s="63"/>
      <c r="G1023" s="63"/>
      <c r="H1023" s="41"/>
      <c r="I1023" s="68"/>
      <c r="J1023" s="68"/>
      <c r="K1023" s="41"/>
      <c r="L1023" s="68"/>
      <c r="M1023" s="68"/>
      <c r="N1023" s="68"/>
      <c r="P1023">
        <f t="shared" si="58"/>
        <v>405</v>
      </c>
      <c r="Q1023" t="str">
        <f t="shared" si="59"/>
        <v>NA</v>
      </c>
      <c r="R1023" t="str">
        <f>IF(ISERROR(MATCH(P1023&amp;"."&amp;Q1023,R$5:R1022,0)),P1023&amp;"."&amp;Q1023,P1023&amp;"."&amp;Q1023&amp;COUNTIFS(P$5:P1022,P1023,Q$5:Q1022,Q1023))</f>
        <v>405.NA1</v>
      </c>
      <c r="S1023" s="55">
        <f t="shared" si="60"/>
        <v>0</v>
      </c>
    </row>
    <row r="1024" spans="1:19" hidden="1">
      <c r="A1024" s="5">
        <v>1089</v>
      </c>
      <c r="B1024" s="59"/>
      <c r="C1024" s="60"/>
      <c r="D1024" s="63"/>
      <c r="E1024" s="63"/>
      <c r="F1024" s="63"/>
      <c r="G1024" s="63"/>
      <c r="H1024" s="62" t="s">
        <v>409</v>
      </c>
      <c r="I1024" s="65">
        <v>0</v>
      </c>
      <c r="J1024" s="65">
        <v>0</v>
      </c>
      <c r="K1024" s="62"/>
      <c r="L1024" s="65">
        <v>0</v>
      </c>
      <c r="M1024" s="65">
        <v>0</v>
      </c>
      <c r="N1024" s="65">
        <v>0</v>
      </c>
      <c r="P1024">
        <f t="shared" si="58"/>
        <v>405</v>
      </c>
      <c r="Q1024" t="str">
        <f t="shared" si="59"/>
        <v>NA</v>
      </c>
      <c r="R1024" t="str">
        <f>IF(ISERROR(MATCH(P1024&amp;"."&amp;Q1024,R$5:R1023,0)),P1024&amp;"."&amp;Q1024,P1024&amp;"."&amp;Q1024&amp;COUNTIFS(P$5:P1023,P1024,Q$5:Q1023,Q1024))</f>
        <v>405.NA2</v>
      </c>
      <c r="S1024" s="55">
        <f t="shared" si="60"/>
        <v>0</v>
      </c>
    </row>
    <row r="1025" spans="1:19" hidden="1">
      <c r="A1025" s="5">
        <v>1090</v>
      </c>
      <c r="B1025" s="59"/>
      <c r="C1025" s="60"/>
      <c r="D1025" s="63"/>
      <c r="E1025" s="63"/>
      <c r="F1025" s="63"/>
      <c r="G1025" s="63"/>
      <c r="H1025" s="62"/>
      <c r="I1025" s="65"/>
      <c r="J1025" s="65"/>
      <c r="K1025" s="62"/>
      <c r="L1025" s="65"/>
      <c r="M1025" s="65"/>
      <c r="N1025" s="65"/>
      <c r="P1025">
        <f t="shared" si="58"/>
        <v>405</v>
      </c>
      <c r="Q1025" t="str">
        <f t="shared" si="59"/>
        <v>NA</v>
      </c>
      <c r="R1025" t="str">
        <f>IF(ISERROR(MATCH(P1025&amp;"."&amp;Q1025,R$5:R1024,0)),P1025&amp;"."&amp;Q1025,P1025&amp;"."&amp;Q1025&amp;COUNTIFS(P$5:P1024,P1025,Q$5:Q1024,Q1025))</f>
        <v>405.NA3</v>
      </c>
      <c r="S1025" s="55">
        <f t="shared" si="60"/>
        <v>0</v>
      </c>
    </row>
    <row r="1026" spans="1:19" hidden="1">
      <c r="A1026" s="5">
        <v>1091</v>
      </c>
      <c r="B1026" s="59"/>
      <c r="C1026" s="60">
        <v>406</v>
      </c>
      <c r="D1026" s="63" t="s">
        <v>416</v>
      </c>
      <c r="E1026" s="63"/>
      <c r="F1026" s="63"/>
      <c r="G1026" s="63"/>
      <c r="H1026" s="62"/>
      <c r="I1026" s="65"/>
      <c r="J1026" s="65"/>
      <c r="K1026" s="62"/>
      <c r="L1026" s="65"/>
      <c r="M1026" s="65"/>
      <c r="N1026" s="65"/>
      <c r="P1026">
        <f t="shared" si="58"/>
        <v>406</v>
      </c>
      <c r="Q1026" t="str">
        <f t="shared" si="59"/>
        <v>NA</v>
      </c>
      <c r="R1026" t="str">
        <f>IF(ISERROR(MATCH(P1026&amp;"."&amp;Q1026,R$5:R1025,0)),P1026&amp;"."&amp;Q1026,P1026&amp;"."&amp;Q1026&amp;COUNTIFS(P$5:P1025,P1026,Q$5:Q1025,Q1026))</f>
        <v>406.NA</v>
      </c>
      <c r="S1026" s="55">
        <f t="shared" si="60"/>
        <v>0</v>
      </c>
    </row>
    <row r="1027" spans="1:19" hidden="1">
      <c r="A1027" s="5">
        <v>1092</v>
      </c>
      <c r="B1027" s="59"/>
      <c r="C1027" s="60"/>
      <c r="D1027" s="63"/>
      <c r="E1027" s="63"/>
      <c r="F1027" s="63" t="s">
        <v>13</v>
      </c>
      <c r="G1027" s="63" t="s">
        <v>12</v>
      </c>
      <c r="H1027" s="62"/>
      <c r="I1027" s="65">
        <v>301635.48</v>
      </c>
      <c r="J1027" s="65">
        <v>301635.48</v>
      </c>
      <c r="K1027" s="62"/>
      <c r="L1027" s="65">
        <v>301635.48</v>
      </c>
      <c r="M1027" s="65">
        <v>0</v>
      </c>
      <c r="N1027" s="65">
        <v>301635.48</v>
      </c>
      <c r="P1027">
        <f t="shared" si="58"/>
        <v>406</v>
      </c>
      <c r="Q1027" t="str">
        <f t="shared" si="59"/>
        <v>S</v>
      </c>
      <c r="R1027" t="str">
        <f>IF(ISERROR(MATCH(P1027&amp;"."&amp;Q1027,R$5:R1026,0)),P1027&amp;"."&amp;Q1027,P1027&amp;"."&amp;Q1027&amp;COUNTIFS(P$5:P1026,P1027,Q$5:Q1026,Q1027))</f>
        <v>406.S</v>
      </c>
      <c r="S1027" s="55">
        <f t="shared" si="60"/>
        <v>301635.48</v>
      </c>
    </row>
    <row r="1028" spans="1:19" hidden="1">
      <c r="A1028" s="5">
        <v>1093</v>
      </c>
      <c r="B1028" s="59"/>
      <c r="C1028" s="60"/>
      <c r="D1028" s="63"/>
      <c r="E1028" s="60"/>
      <c r="F1028" s="63" t="s">
        <v>13</v>
      </c>
      <c r="G1028" s="63" t="s">
        <v>15</v>
      </c>
      <c r="H1028" s="62"/>
      <c r="I1028" s="65">
        <v>0</v>
      </c>
      <c r="J1028" s="65">
        <v>0</v>
      </c>
      <c r="K1028" s="62"/>
      <c r="L1028" s="65">
        <v>0</v>
      </c>
      <c r="M1028" s="65">
        <v>0</v>
      </c>
      <c r="N1028" s="64">
        <v>0</v>
      </c>
      <c r="P1028">
        <f t="shared" si="58"/>
        <v>406</v>
      </c>
      <c r="Q1028" t="str">
        <f t="shared" si="59"/>
        <v>SG</v>
      </c>
      <c r="R1028" t="str">
        <f>IF(ISERROR(MATCH(P1028&amp;"."&amp;Q1028,R$5:R1027,0)),P1028&amp;"."&amp;Q1028,P1028&amp;"."&amp;Q1028&amp;COUNTIFS(P$5:P1027,P1028,Q$5:Q1027,Q1028))</f>
        <v>406.SG</v>
      </c>
      <c r="S1028" s="55">
        <f t="shared" si="60"/>
        <v>0</v>
      </c>
    </row>
    <row r="1029" spans="1:19" hidden="1">
      <c r="A1029" s="5">
        <v>1094</v>
      </c>
      <c r="B1029" s="59"/>
      <c r="C1029" s="60"/>
      <c r="D1029" s="63"/>
      <c r="E1029" s="61"/>
      <c r="F1029" s="63" t="s">
        <v>13</v>
      </c>
      <c r="G1029" s="63" t="s">
        <v>15</v>
      </c>
      <c r="H1029" s="62"/>
      <c r="I1029" s="65">
        <v>0</v>
      </c>
      <c r="J1029" s="65">
        <v>0</v>
      </c>
      <c r="K1029" s="62"/>
      <c r="L1029" s="65">
        <v>0</v>
      </c>
      <c r="M1029" s="65">
        <v>0</v>
      </c>
      <c r="N1029" s="64">
        <v>0</v>
      </c>
      <c r="P1029">
        <f t="shared" si="58"/>
        <v>406</v>
      </c>
      <c r="Q1029" t="str">
        <f t="shared" si="59"/>
        <v>SG</v>
      </c>
      <c r="R1029" t="str">
        <f>IF(ISERROR(MATCH(P1029&amp;"."&amp;Q1029,R$5:R1028,0)),P1029&amp;"."&amp;Q1029,P1029&amp;"."&amp;Q1029&amp;COUNTIFS(P$5:P1028,P1029,Q$5:Q1028,Q1029))</f>
        <v>406.SG1</v>
      </c>
      <c r="S1029" s="55">
        <f t="shared" si="60"/>
        <v>0</v>
      </c>
    </row>
    <row r="1030" spans="1:19" hidden="1">
      <c r="A1030" s="5">
        <v>1095</v>
      </c>
      <c r="B1030" s="59"/>
      <c r="C1030" s="60"/>
      <c r="D1030" s="63"/>
      <c r="E1030" s="61"/>
      <c r="F1030" s="63" t="s">
        <v>13</v>
      </c>
      <c r="G1030" s="63" t="s">
        <v>15</v>
      </c>
      <c r="H1030" s="62"/>
      <c r="I1030" s="65">
        <v>4781559.42</v>
      </c>
      <c r="J1030" s="65">
        <v>2103766.5165079413</v>
      </c>
      <c r="K1030" s="62"/>
      <c r="L1030" s="65">
        <v>4781559.42</v>
      </c>
      <c r="M1030" s="65">
        <v>2677792.9034920586</v>
      </c>
      <c r="N1030" s="64">
        <v>2103766.5165079413</v>
      </c>
      <c r="P1030">
        <f t="shared" si="58"/>
        <v>406</v>
      </c>
      <c r="Q1030" t="str">
        <f t="shared" si="59"/>
        <v>SG</v>
      </c>
      <c r="R1030" t="str">
        <f>IF(ISERROR(MATCH(P1030&amp;"."&amp;Q1030,R$5:R1029,0)),P1030&amp;"."&amp;Q1030,P1030&amp;"."&amp;Q1030&amp;COUNTIFS(P$5:P1029,P1030,Q$5:Q1029,Q1030))</f>
        <v>406.SG2</v>
      </c>
      <c r="S1030" s="55">
        <f t="shared" si="60"/>
        <v>2103766.5165079413</v>
      </c>
    </row>
    <row r="1031" spans="1:19" hidden="1">
      <c r="A1031" s="5">
        <v>1096</v>
      </c>
      <c r="B1031" s="59"/>
      <c r="C1031" s="60"/>
      <c r="D1031" s="63"/>
      <c r="E1031" s="61"/>
      <c r="F1031" s="63" t="s">
        <v>13</v>
      </c>
      <c r="G1031" s="63" t="s">
        <v>136</v>
      </c>
      <c r="H1031" s="62"/>
      <c r="I1031" s="65">
        <v>0</v>
      </c>
      <c r="J1031" s="65">
        <v>0</v>
      </c>
      <c r="K1031" s="62"/>
      <c r="L1031" s="65">
        <v>0</v>
      </c>
      <c r="M1031" s="65">
        <v>0</v>
      </c>
      <c r="N1031" s="64">
        <v>0</v>
      </c>
      <c r="P1031">
        <f t="shared" ref="P1031:P1094" si="61">IF(OR(C1031="",C1031=" ",C1031="  ",C1031="   "),P1030,C1031)</f>
        <v>406</v>
      </c>
      <c r="Q1031" t="str">
        <f t="shared" ref="Q1031:Q1094" si="62">IF(G1031="","NA",G1031)</f>
        <v>SO</v>
      </c>
      <c r="R1031" t="str">
        <f>IF(ISERROR(MATCH(P1031&amp;"."&amp;Q1031,R$5:R1030,0)),P1031&amp;"."&amp;Q1031,P1031&amp;"."&amp;Q1031&amp;COUNTIFS(P$5:P1030,P1031,Q$5:Q1030,Q1031))</f>
        <v>406.SO</v>
      </c>
      <c r="S1031" s="55">
        <f t="shared" si="60"/>
        <v>0</v>
      </c>
    </row>
    <row r="1032" spans="1:19" hidden="1">
      <c r="A1032" s="5">
        <v>1097</v>
      </c>
      <c r="B1032" s="59"/>
      <c r="C1032" s="60"/>
      <c r="D1032" s="63"/>
      <c r="E1032" s="61"/>
      <c r="F1032" s="63"/>
      <c r="G1032" s="63"/>
      <c r="H1032" s="62" t="s">
        <v>409</v>
      </c>
      <c r="I1032" s="65">
        <v>5083194.9000000004</v>
      </c>
      <c r="J1032" s="65">
        <v>2405401.9965079413</v>
      </c>
      <c r="K1032" s="62"/>
      <c r="L1032" s="65">
        <v>5083194.9000000004</v>
      </c>
      <c r="M1032" s="65">
        <v>2677792.9034920586</v>
      </c>
      <c r="N1032" s="64">
        <v>2405401.9965079413</v>
      </c>
      <c r="P1032">
        <f t="shared" si="61"/>
        <v>406</v>
      </c>
      <c r="Q1032" t="str">
        <f t="shared" si="62"/>
        <v>NA</v>
      </c>
      <c r="R1032" t="str">
        <f>IF(ISERROR(MATCH(P1032&amp;"."&amp;Q1032,R$5:R1031,0)),P1032&amp;"."&amp;Q1032,P1032&amp;"."&amp;Q1032&amp;COUNTIFS(P$5:P1031,P1032,Q$5:Q1031,Q1032))</f>
        <v>406.NA1</v>
      </c>
      <c r="S1032" s="55">
        <f t="shared" ref="S1032:S1095" si="63">N1032</f>
        <v>2405401.9965079413</v>
      </c>
    </row>
    <row r="1033" spans="1:19" hidden="1">
      <c r="A1033" s="5">
        <v>1098</v>
      </c>
      <c r="B1033" s="59"/>
      <c r="C1033" s="60">
        <v>407</v>
      </c>
      <c r="D1033" s="63" t="s">
        <v>417</v>
      </c>
      <c r="E1033" s="61"/>
      <c r="F1033" s="63"/>
      <c r="G1033" s="63"/>
      <c r="H1033" s="62"/>
      <c r="I1033" s="65"/>
      <c r="J1033" s="65"/>
      <c r="K1033" s="62"/>
      <c r="L1033" s="65"/>
      <c r="M1033" s="65"/>
      <c r="N1033" s="64"/>
      <c r="P1033">
        <f t="shared" si="61"/>
        <v>407</v>
      </c>
      <c r="Q1033" t="str">
        <f t="shared" si="62"/>
        <v>NA</v>
      </c>
      <c r="R1033" t="str">
        <f>IF(ISERROR(MATCH(P1033&amp;"."&amp;Q1033,R$5:R1032,0)),P1033&amp;"."&amp;Q1033,P1033&amp;"."&amp;Q1033&amp;COUNTIFS(P$5:P1032,P1033,Q$5:Q1032,Q1033))</f>
        <v>407.NA</v>
      </c>
      <c r="S1033" s="55">
        <f t="shared" si="63"/>
        <v>0</v>
      </c>
    </row>
    <row r="1034" spans="1:19" hidden="1">
      <c r="A1034" s="5">
        <v>1099</v>
      </c>
      <c r="B1034" s="59"/>
      <c r="C1034" s="60"/>
      <c r="D1034" s="63"/>
      <c r="E1034" s="61"/>
      <c r="F1034" s="63" t="s">
        <v>139</v>
      </c>
      <c r="G1034" s="63" t="s">
        <v>12</v>
      </c>
      <c r="H1034" s="62"/>
      <c r="I1034" s="65">
        <v>124290.24000000001</v>
      </c>
      <c r="J1034" s="65">
        <v>0</v>
      </c>
      <c r="K1034" s="62"/>
      <c r="L1034" s="65">
        <v>-35669881.34568806</v>
      </c>
      <c r="M1034" s="65">
        <v>556453.40000000596</v>
      </c>
      <c r="N1034" s="64">
        <v>-36226334.745688066</v>
      </c>
      <c r="P1034">
        <f t="shared" si="61"/>
        <v>407</v>
      </c>
      <c r="Q1034" t="str">
        <f t="shared" si="62"/>
        <v>S</v>
      </c>
      <c r="R1034" t="str">
        <f>IF(ISERROR(MATCH(P1034&amp;"."&amp;Q1034,R$5:R1033,0)),P1034&amp;"."&amp;Q1034,P1034&amp;"."&amp;Q1034&amp;COUNTIFS(P$5:P1033,P1034,Q$5:Q1033,Q1034))</f>
        <v>407.S</v>
      </c>
      <c r="S1034" s="55">
        <f t="shared" si="63"/>
        <v>-36226334.745688066</v>
      </c>
    </row>
    <row r="1035" spans="1:19" hidden="1">
      <c r="A1035" s="5">
        <v>1100</v>
      </c>
      <c r="B1035" s="59"/>
      <c r="C1035" s="60"/>
      <c r="D1035" s="63"/>
      <c r="E1035" s="61"/>
      <c r="F1035" s="63" t="s">
        <v>140</v>
      </c>
      <c r="G1035" s="63" t="s">
        <v>136</v>
      </c>
      <c r="H1035" s="62"/>
      <c r="I1035" s="65">
        <v>0</v>
      </c>
      <c r="J1035" s="65">
        <v>0</v>
      </c>
      <c r="K1035" s="62"/>
      <c r="L1035" s="65">
        <v>0</v>
      </c>
      <c r="M1035" s="65">
        <v>0</v>
      </c>
      <c r="N1035" s="64">
        <v>0</v>
      </c>
      <c r="P1035">
        <f t="shared" si="61"/>
        <v>407</v>
      </c>
      <c r="Q1035" t="str">
        <f t="shared" si="62"/>
        <v>SO</v>
      </c>
      <c r="R1035" t="str">
        <f>IF(ISERROR(MATCH(P1035&amp;"."&amp;Q1035,R$5:R1034,0)),P1035&amp;"."&amp;Q1035,P1035&amp;"."&amp;Q1035&amp;COUNTIFS(P$5:P1034,P1035,Q$5:Q1034,Q1035))</f>
        <v>407.SO</v>
      </c>
      <c r="S1035" s="55">
        <f t="shared" si="63"/>
        <v>0</v>
      </c>
    </row>
    <row r="1036" spans="1:19" hidden="1">
      <c r="A1036" s="5">
        <v>1101</v>
      </c>
      <c r="B1036" s="59"/>
      <c r="C1036" s="60"/>
      <c r="D1036" s="63"/>
      <c r="E1036" s="61"/>
      <c r="F1036" s="63" t="s">
        <v>13</v>
      </c>
      <c r="G1036" s="63" t="s">
        <v>418</v>
      </c>
      <c r="H1036" s="62"/>
      <c r="I1036" s="65">
        <v>0</v>
      </c>
      <c r="J1036" s="65">
        <v>0</v>
      </c>
      <c r="K1036" s="62"/>
      <c r="L1036" s="65">
        <v>0</v>
      </c>
      <c r="M1036" s="65">
        <v>0</v>
      </c>
      <c r="N1036" s="64">
        <v>0</v>
      </c>
      <c r="P1036">
        <f t="shared" si="61"/>
        <v>407</v>
      </c>
      <c r="Q1036" t="str">
        <f t="shared" si="62"/>
        <v>SG-P</v>
      </c>
      <c r="R1036" t="str">
        <f>IF(ISERROR(MATCH(P1036&amp;"."&amp;Q1036,R$5:R1035,0)),P1036&amp;"."&amp;Q1036,P1036&amp;"."&amp;Q1036&amp;COUNTIFS(P$5:P1035,P1036,Q$5:Q1035,Q1036))</f>
        <v>407.SG-P</v>
      </c>
      <c r="S1036" s="55">
        <f t="shared" si="63"/>
        <v>0</v>
      </c>
    </row>
    <row r="1037" spans="1:19" hidden="1">
      <c r="A1037" s="5">
        <v>1102</v>
      </c>
      <c r="B1037" s="59"/>
      <c r="C1037" s="60"/>
      <c r="D1037" s="63"/>
      <c r="E1037" s="61"/>
      <c r="F1037" s="63" t="s">
        <v>13</v>
      </c>
      <c r="G1037" s="63" t="s">
        <v>16</v>
      </c>
      <c r="H1037" s="62"/>
      <c r="I1037" s="65">
        <v>0</v>
      </c>
      <c r="J1037" s="65">
        <v>0</v>
      </c>
      <c r="K1037" s="62"/>
      <c r="L1037" s="65">
        <v>0</v>
      </c>
      <c r="M1037" s="65">
        <v>0</v>
      </c>
      <c r="N1037" s="64">
        <v>0</v>
      </c>
      <c r="P1037">
        <f t="shared" si="61"/>
        <v>407</v>
      </c>
      <c r="Q1037" t="str">
        <f t="shared" si="62"/>
        <v>SE</v>
      </c>
      <c r="R1037" t="str">
        <f>IF(ISERROR(MATCH(P1037&amp;"."&amp;Q1037,R$5:R1036,0)),P1037&amp;"."&amp;Q1037,P1037&amp;"."&amp;Q1037&amp;COUNTIFS(P$5:P1036,P1037,Q$5:Q1036,Q1037))</f>
        <v>407.SE</v>
      </c>
      <c r="S1037" s="55">
        <f t="shared" si="63"/>
        <v>0</v>
      </c>
    </row>
    <row r="1038" spans="1:19" ht="15.75" hidden="1" thickBot="1">
      <c r="A1038" s="5">
        <v>1103</v>
      </c>
      <c r="B1038" s="59"/>
      <c r="C1038" s="60"/>
      <c r="D1038" s="63"/>
      <c r="E1038" s="63"/>
      <c r="F1038" s="63" t="s">
        <v>13</v>
      </c>
      <c r="G1038" s="63" t="s">
        <v>15</v>
      </c>
      <c r="H1038" s="62"/>
      <c r="I1038" s="81">
        <v>0</v>
      </c>
      <c r="J1038" s="81">
        <v>0</v>
      </c>
      <c r="K1038" s="62"/>
      <c r="L1038" s="81">
        <v>40417654</v>
      </c>
      <c r="M1038" s="81">
        <v>22634897.436242133</v>
      </c>
      <c r="N1038" s="81">
        <v>17782756.563757867</v>
      </c>
      <c r="P1038">
        <f t="shared" si="61"/>
        <v>407</v>
      </c>
      <c r="Q1038" t="str">
        <f t="shared" si="62"/>
        <v>SG</v>
      </c>
      <c r="R1038" t="str">
        <f>IF(ISERROR(MATCH(P1038&amp;"."&amp;Q1038,R$5:R1037,0)),P1038&amp;"."&amp;Q1038,P1038&amp;"."&amp;Q1038&amp;COUNTIFS(P$5:P1037,P1038,Q$5:Q1037,Q1038))</f>
        <v>407.SG</v>
      </c>
      <c r="S1038" s="55">
        <f t="shared" si="63"/>
        <v>17782756.563757867</v>
      </c>
    </row>
    <row r="1039" spans="1:19" hidden="1">
      <c r="A1039" s="5">
        <v>1104</v>
      </c>
      <c r="B1039" s="59"/>
      <c r="C1039" s="60"/>
      <c r="D1039" s="61"/>
      <c r="E1039" s="63"/>
      <c r="F1039" s="63" t="s">
        <v>13</v>
      </c>
      <c r="G1039" s="63" t="s">
        <v>284</v>
      </c>
      <c r="H1039" s="62"/>
      <c r="I1039" s="65">
        <v>0</v>
      </c>
      <c r="J1039" s="65">
        <v>0</v>
      </c>
      <c r="K1039" s="62"/>
      <c r="L1039" s="65">
        <v>0</v>
      </c>
      <c r="M1039" s="65">
        <v>0</v>
      </c>
      <c r="N1039" s="65">
        <v>0</v>
      </c>
      <c r="P1039">
        <f t="shared" si="61"/>
        <v>407</v>
      </c>
      <c r="Q1039" t="str">
        <f t="shared" si="62"/>
        <v>TROJP</v>
      </c>
      <c r="R1039" t="str">
        <f>IF(ISERROR(MATCH(P1039&amp;"."&amp;Q1039,R$5:R1038,0)),P1039&amp;"."&amp;Q1039,P1039&amp;"."&amp;Q1039&amp;COUNTIFS(P$5:P1038,P1039,Q$5:Q1038,Q1039))</f>
        <v>407.TROJP</v>
      </c>
      <c r="S1039" s="55">
        <f t="shared" si="63"/>
        <v>0</v>
      </c>
    </row>
    <row r="1040" spans="1:19" hidden="1">
      <c r="A1040" s="5">
        <v>1105</v>
      </c>
      <c r="B1040" s="59"/>
      <c r="C1040" s="60"/>
      <c r="D1040" s="63"/>
      <c r="E1040" s="63"/>
      <c r="F1040" s="60"/>
      <c r="G1040" s="61"/>
      <c r="H1040" s="62" t="s">
        <v>409</v>
      </c>
      <c r="I1040" s="65">
        <v>124290.24000000001</v>
      </c>
      <c r="J1040" s="65">
        <v>0</v>
      </c>
      <c r="K1040" s="62"/>
      <c r="L1040" s="65">
        <v>4747772.6543119401</v>
      </c>
      <c r="M1040" s="65">
        <v>23191350.836242139</v>
      </c>
      <c r="N1040" s="64">
        <v>-18443578.181930199</v>
      </c>
      <c r="P1040">
        <f t="shared" si="61"/>
        <v>407</v>
      </c>
      <c r="Q1040" t="str">
        <f t="shared" si="62"/>
        <v>NA</v>
      </c>
      <c r="R1040" t="str">
        <f>IF(ISERROR(MATCH(P1040&amp;"."&amp;Q1040,R$5:R1039,0)),P1040&amp;"."&amp;Q1040,P1040&amp;"."&amp;Q1040&amp;COUNTIFS(P$5:P1039,P1040,Q$5:Q1039,Q1040))</f>
        <v>407.NA1</v>
      </c>
      <c r="S1040" s="55">
        <f t="shared" si="63"/>
        <v>-18443578.181930199</v>
      </c>
    </row>
    <row r="1041" spans="1:19" hidden="1">
      <c r="A1041" s="5">
        <v>1106</v>
      </c>
      <c r="B1041" s="59"/>
      <c r="C1041" s="60"/>
      <c r="D1041" s="63"/>
      <c r="E1041" s="63"/>
      <c r="F1041" s="60"/>
      <c r="G1041" s="61"/>
      <c r="H1041" s="62"/>
      <c r="I1041" s="65"/>
      <c r="J1041" s="65"/>
      <c r="K1041" s="62"/>
      <c r="L1041" s="65"/>
      <c r="M1041" s="65"/>
      <c r="N1041" s="64"/>
      <c r="P1041">
        <f t="shared" si="61"/>
        <v>407</v>
      </c>
      <c r="Q1041" t="str">
        <f t="shared" si="62"/>
        <v>NA</v>
      </c>
      <c r="R1041" t="str">
        <f>IF(ISERROR(MATCH(P1041&amp;"."&amp;Q1041,R$5:R1040,0)),P1041&amp;"."&amp;Q1041,P1041&amp;"."&amp;Q1041&amp;COUNTIFS(P$5:P1040,P1041,Q$5:Q1040,Q1041))</f>
        <v>407.NA2</v>
      </c>
      <c r="S1041" s="55">
        <f t="shared" si="63"/>
        <v>0</v>
      </c>
    </row>
    <row r="1042" spans="1:19" hidden="1">
      <c r="A1042" s="5">
        <v>1107</v>
      </c>
      <c r="B1042" s="59"/>
      <c r="C1042" s="60" t="s">
        <v>419</v>
      </c>
      <c r="D1042" s="63"/>
      <c r="E1042" s="63"/>
      <c r="F1042" s="60"/>
      <c r="G1042" s="61"/>
      <c r="H1042" s="62" t="s">
        <v>409</v>
      </c>
      <c r="I1042" s="65">
        <v>55249227.449999996</v>
      </c>
      <c r="J1042" s="65">
        <v>20733796.794757277</v>
      </c>
      <c r="K1042" s="62"/>
      <c r="L1042" s="65">
        <v>61395785.712483726</v>
      </c>
      <c r="M1042" s="65">
        <v>54054684.900963306</v>
      </c>
      <c r="N1042" s="64">
        <v>7341100.8115204237</v>
      </c>
      <c r="P1042" t="str">
        <f t="shared" si="61"/>
        <v>Total Amortization Expense</v>
      </c>
      <c r="Q1042" t="str">
        <f t="shared" si="62"/>
        <v>NA</v>
      </c>
      <c r="R1042" t="str">
        <f>IF(ISERROR(MATCH(P1042&amp;"."&amp;Q1042,R$5:R1041,0)),P1042&amp;"."&amp;Q1042,P1042&amp;"."&amp;Q1042&amp;COUNTIFS(P$5:P1041,P1042,Q$5:Q1041,Q1042))</f>
        <v>Total Amortization Expense.NA</v>
      </c>
      <c r="S1042" s="55">
        <f t="shared" si="63"/>
        <v>7341100.8115204237</v>
      </c>
    </row>
    <row r="1043" spans="1:19" hidden="1">
      <c r="A1043" s="5">
        <v>1108</v>
      </c>
      <c r="B1043" s="59"/>
      <c r="C1043" s="60"/>
      <c r="D1043" s="63"/>
      <c r="E1043" s="63"/>
      <c r="F1043" s="60"/>
      <c r="G1043" s="61"/>
      <c r="H1043" s="62"/>
      <c r="I1043" s="65"/>
      <c r="J1043" s="65"/>
      <c r="K1043" s="62"/>
      <c r="L1043" s="65"/>
      <c r="M1043" s="65"/>
      <c r="N1043" s="64"/>
      <c r="P1043" t="str">
        <f t="shared" si="61"/>
        <v>Total Amortization Expense</v>
      </c>
      <c r="Q1043" t="str">
        <f t="shared" si="62"/>
        <v>NA</v>
      </c>
      <c r="R1043" t="str">
        <f>IF(ISERROR(MATCH(P1043&amp;"."&amp;Q1043,R$5:R1042,0)),P1043&amp;"."&amp;Q1043,P1043&amp;"."&amp;Q1043&amp;COUNTIFS(P$5:P1042,P1043,Q$5:Q1042,Q1043))</f>
        <v>Total Amortization Expense.NA1</v>
      </c>
      <c r="S1043" s="55">
        <f t="shared" si="63"/>
        <v>0</v>
      </c>
    </row>
    <row r="1044" spans="1:19" hidden="1">
      <c r="A1044" s="5">
        <v>1109</v>
      </c>
      <c r="B1044" s="59"/>
      <c r="C1044" s="60"/>
      <c r="D1044" s="63"/>
      <c r="E1044" s="63"/>
      <c r="F1044" s="60"/>
      <c r="G1044" s="61"/>
      <c r="H1044" s="62"/>
      <c r="I1044" s="65"/>
      <c r="J1044" s="65"/>
      <c r="K1044" s="62"/>
      <c r="L1044" s="65"/>
      <c r="M1044" s="65"/>
      <c r="N1044" s="64"/>
      <c r="P1044" t="str">
        <f t="shared" si="61"/>
        <v>Total Amortization Expense</v>
      </c>
      <c r="Q1044" t="str">
        <f t="shared" si="62"/>
        <v>NA</v>
      </c>
      <c r="R1044" t="str">
        <f>IF(ISERROR(MATCH(P1044&amp;"."&amp;Q1044,R$5:R1043,0)),P1044&amp;"."&amp;Q1044,P1044&amp;"."&amp;Q1044&amp;COUNTIFS(P$5:P1043,P1044,Q$5:Q1043,Q1044))</f>
        <v>Total Amortization Expense.NA2</v>
      </c>
      <c r="S1044" s="55">
        <f t="shared" si="63"/>
        <v>0</v>
      </c>
    </row>
    <row r="1045" spans="1:19" hidden="1">
      <c r="A1045" s="5">
        <v>1110</v>
      </c>
      <c r="B1045" s="59"/>
      <c r="C1045" s="60"/>
      <c r="D1045" s="63"/>
      <c r="E1045" s="63"/>
      <c r="F1045" s="60"/>
      <c r="G1045" s="61"/>
      <c r="H1045" s="62"/>
      <c r="I1045" s="65"/>
      <c r="J1045" s="65"/>
      <c r="K1045" s="62"/>
      <c r="L1045" s="65"/>
      <c r="M1045" s="65"/>
      <c r="N1045" s="64"/>
      <c r="P1045" t="str">
        <f t="shared" si="61"/>
        <v>Total Amortization Expense</v>
      </c>
      <c r="Q1045" t="str">
        <f t="shared" si="62"/>
        <v>NA</v>
      </c>
      <c r="R1045" t="str">
        <f>IF(ISERROR(MATCH(P1045&amp;"."&amp;Q1045,R$5:R1044,0)),P1045&amp;"."&amp;Q1045,P1045&amp;"."&amp;Q1045&amp;COUNTIFS(P$5:P1044,P1045,Q$5:Q1044,Q1045))</f>
        <v>Total Amortization Expense.NA3</v>
      </c>
      <c r="S1045" s="55">
        <f t="shared" si="63"/>
        <v>0</v>
      </c>
    </row>
    <row r="1046" spans="1:19" hidden="1">
      <c r="A1046" s="5">
        <v>1111</v>
      </c>
      <c r="B1046" s="59"/>
      <c r="C1046" s="60" t="s">
        <v>420</v>
      </c>
      <c r="D1046" s="63"/>
      <c r="E1046" s="63"/>
      <c r="F1046" s="60"/>
      <c r="G1046" s="61"/>
      <c r="H1046" s="62"/>
      <c r="I1046" s="65"/>
      <c r="J1046" s="65"/>
      <c r="K1046" s="62"/>
      <c r="L1046" s="65"/>
      <c r="M1046" s="65"/>
      <c r="N1046" s="64"/>
      <c r="P1046" t="str">
        <f t="shared" si="61"/>
        <v>Summary of Amortization Expense by Factor</v>
      </c>
      <c r="Q1046" t="str">
        <f t="shared" si="62"/>
        <v>NA</v>
      </c>
      <c r="R1046" t="str">
        <f>IF(ISERROR(MATCH(P1046&amp;"."&amp;Q1046,R$5:R1045,0)),P1046&amp;"."&amp;Q1046,P1046&amp;"."&amp;Q1046&amp;COUNTIFS(P$5:P1045,P1046,Q$5:Q1045,Q1046))</f>
        <v>Summary of Amortization Expense by Factor.NA</v>
      </c>
      <c r="S1046" s="55">
        <f t="shared" si="63"/>
        <v>0</v>
      </c>
    </row>
    <row r="1047" spans="1:19" hidden="1">
      <c r="A1047" s="5">
        <v>1112</v>
      </c>
      <c r="B1047" s="59"/>
      <c r="C1047" s="60"/>
      <c r="D1047" s="63"/>
      <c r="E1047" s="63" t="s">
        <v>12</v>
      </c>
      <c r="F1047" s="60"/>
      <c r="G1047" s="61"/>
      <c r="H1047" s="62"/>
      <c r="I1047" s="65">
        <v>1847485.9</v>
      </c>
      <c r="J1047" s="65">
        <v>-3106872.4</v>
      </c>
      <c r="K1047" s="62"/>
      <c r="L1047" s="65">
        <v>-26226910.827808563</v>
      </c>
      <c r="M1047" s="65">
        <v>5379116.4813825302</v>
      </c>
      <c r="N1047" s="64">
        <v>-31606027.309191093</v>
      </c>
      <c r="P1047" t="str">
        <f t="shared" si="61"/>
        <v>Summary of Amortization Expense by Factor</v>
      </c>
      <c r="Q1047" t="str">
        <f t="shared" si="62"/>
        <v>NA</v>
      </c>
      <c r="R1047" t="str">
        <f>IF(ISERROR(MATCH(P1047&amp;"."&amp;Q1047,R$5:R1046,0)),P1047&amp;"."&amp;Q1047,P1047&amp;"."&amp;Q1047&amp;COUNTIFS(P$5:P1046,P1047,Q$5:Q1046,Q1047))</f>
        <v>Summary of Amortization Expense by Factor.NA1</v>
      </c>
      <c r="S1047" s="55">
        <f t="shared" si="63"/>
        <v>-31606027.309191093</v>
      </c>
    </row>
    <row r="1048" spans="1:19" hidden="1">
      <c r="A1048" s="5">
        <v>1113</v>
      </c>
      <c r="B1048" s="59"/>
      <c r="C1048" s="60"/>
      <c r="D1048" s="63"/>
      <c r="E1048" s="63" t="s">
        <v>16</v>
      </c>
      <c r="F1048" s="63"/>
      <c r="G1048" s="63"/>
      <c r="H1048" s="62"/>
      <c r="I1048" s="65">
        <v>0</v>
      </c>
      <c r="J1048" s="65">
        <v>0</v>
      </c>
      <c r="K1048" s="62"/>
      <c r="L1048" s="65">
        <v>0</v>
      </c>
      <c r="M1048" s="65">
        <v>0</v>
      </c>
      <c r="N1048" s="65">
        <v>0</v>
      </c>
      <c r="P1048" t="str">
        <f t="shared" si="61"/>
        <v>Summary of Amortization Expense by Factor</v>
      </c>
      <c r="Q1048" t="str">
        <f t="shared" si="62"/>
        <v>NA</v>
      </c>
      <c r="R1048" t="str">
        <f>IF(ISERROR(MATCH(P1048&amp;"."&amp;Q1048,R$5:R1047,0)),P1048&amp;"."&amp;Q1048,P1048&amp;"."&amp;Q1048&amp;COUNTIFS(P$5:P1047,P1048,Q$5:Q1047,Q1048))</f>
        <v>Summary of Amortization Expense by Factor.NA2</v>
      </c>
      <c r="S1048" s="55">
        <f t="shared" si="63"/>
        <v>0</v>
      </c>
    </row>
    <row r="1049" spans="1:19" hidden="1">
      <c r="A1049" s="5">
        <v>1114</v>
      </c>
      <c r="B1049" s="59"/>
      <c r="C1049" s="60"/>
      <c r="D1049" s="63"/>
      <c r="E1049" s="63" t="s">
        <v>284</v>
      </c>
      <c r="F1049" s="63"/>
      <c r="G1049" s="63"/>
      <c r="H1049" s="62"/>
      <c r="I1049" s="65">
        <v>0</v>
      </c>
      <c r="J1049" s="65">
        <v>0</v>
      </c>
      <c r="K1049" s="62"/>
      <c r="L1049" s="65">
        <v>0</v>
      </c>
      <c r="M1049" s="65">
        <v>0</v>
      </c>
      <c r="N1049" s="65">
        <v>0</v>
      </c>
      <c r="P1049" t="str">
        <f t="shared" si="61"/>
        <v>Summary of Amortization Expense by Factor</v>
      </c>
      <c r="Q1049" t="str">
        <f t="shared" si="62"/>
        <v>NA</v>
      </c>
      <c r="R1049" t="str">
        <f>IF(ISERROR(MATCH(P1049&amp;"."&amp;Q1049,R$5:R1048,0)),P1049&amp;"."&amp;Q1049,P1049&amp;"."&amp;Q1049&amp;COUNTIFS(P$5:P1048,P1049,Q$5:Q1048,Q1049))</f>
        <v>Summary of Amortization Expense by Factor.NA3</v>
      </c>
      <c r="S1049" s="55">
        <f t="shared" si="63"/>
        <v>0</v>
      </c>
    </row>
    <row r="1050" spans="1:19" hidden="1">
      <c r="A1050" s="5">
        <v>1115</v>
      </c>
      <c r="B1050" s="59"/>
      <c r="C1050" s="60"/>
      <c r="D1050" s="63"/>
      <c r="E1050" s="63" t="s">
        <v>17</v>
      </c>
      <c r="F1050" s="63"/>
      <c r="G1050" s="63"/>
      <c r="H1050" s="62"/>
      <c r="I1050" s="65">
        <v>0</v>
      </c>
      <c r="J1050" s="65">
        <v>0</v>
      </c>
      <c r="K1050" s="62"/>
      <c r="L1050" s="65">
        <v>0</v>
      </c>
      <c r="M1050" s="65">
        <v>0</v>
      </c>
      <c r="N1050" s="65">
        <v>0</v>
      </c>
      <c r="P1050" t="str">
        <f t="shared" si="61"/>
        <v>Summary of Amortization Expense by Factor</v>
      </c>
      <c r="Q1050" t="str">
        <f t="shared" si="62"/>
        <v>NA</v>
      </c>
      <c r="R1050" t="str">
        <f>IF(ISERROR(MATCH(P1050&amp;"."&amp;Q1050,R$5:R1049,0)),P1050&amp;"."&amp;Q1050,P1050&amp;"."&amp;Q1050&amp;COUNTIFS(P$5:P1049,P1050,Q$5:Q1049,Q1050))</f>
        <v>Summary of Amortization Expense by Factor.NA4</v>
      </c>
      <c r="S1050" s="55">
        <f t="shared" si="63"/>
        <v>0</v>
      </c>
    </row>
    <row r="1051" spans="1:19" ht="15.75" hidden="1" thickBot="1">
      <c r="A1051" s="5">
        <v>1116</v>
      </c>
      <c r="B1051" s="59"/>
      <c r="C1051" s="45"/>
      <c r="D1051" s="63"/>
      <c r="E1051" s="63" t="s">
        <v>14</v>
      </c>
      <c r="F1051" s="63"/>
      <c r="G1051" s="63"/>
      <c r="H1051" s="41"/>
      <c r="I1051" s="92">
        <v>0</v>
      </c>
      <c r="J1051" s="92">
        <v>0</v>
      </c>
      <c r="K1051" s="41"/>
      <c r="L1051" s="92">
        <v>0</v>
      </c>
      <c r="M1051" s="92">
        <v>0</v>
      </c>
      <c r="N1051" s="92">
        <v>0</v>
      </c>
      <c r="P1051" t="str">
        <f t="shared" si="61"/>
        <v>Summary of Amortization Expense by Factor</v>
      </c>
      <c r="Q1051" t="str">
        <f t="shared" si="62"/>
        <v>NA</v>
      </c>
      <c r="R1051" t="str">
        <f>IF(ISERROR(MATCH(P1051&amp;"."&amp;Q1051,R$5:R1050,0)),P1051&amp;"."&amp;Q1051,P1051&amp;"."&amp;Q1051&amp;COUNTIFS(P$5:P1050,P1051,Q$5:Q1050,Q1051))</f>
        <v>Summary of Amortization Expense by Factor.NA5</v>
      </c>
      <c r="S1051" s="55">
        <f t="shared" si="63"/>
        <v>0</v>
      </c>
    </row>
    <row r="1052" spans="1:19" hidden="1">
      <c r="A1052" s="5">
        <v>1117</v>
      </c>
      <c r="B1052" s="59"/>
      <c r="C1052" s="60"/>
      <c r="D1052" s="63"/>
      <c r="E1052" s="63" t="s">
        <v>136</v>
      </c>
      <c r="F1052" s="63"/>
      <c r="G1052" s="63"/>
      <c r="H1052" s="62"/>
      <c r="I1052" s="65">
        <v>11664045.620000001</v>
      </c>
      <c r="J1052" s="65">
        <v>5062024.4062442593</v>
      </c>
      <c r="K1052" s="62"/>
      <c r="L1052" s="65">
        <v>20252288.999427795</v>
      </c>
      <c r="M1052" s="65">
        <v>11403148.449386122</v>
      </c>
      <c r="N1052" s="65">
        <v>8849140.5500416737</v>
      </c>
      <c r="P1052" t="str">
        <f t="shared" si="61"/>
        <v>Summary of Amortization Expense by Factor</v>
      </c>
      <c r="Q1052" t="str">
        <f t="shared" si="62"/>
        <v>NA</v>
      </c>
      <c r="R1052" t="str">
        <f>IF(ISERROR(MATCH(P1052&amp;"."&amp;Q1052,R$5:R1051,0)),P1052&amp;"."&amp;Q1052,P1052&amp;"."&amp;Q1052&amp;COUNTIFS(P$5:P1051,P1052,Q$5:Q1051,Q1052))</f>
        <v>Summary of Amortization Expense by Factor.NA6</v>
      </c>
      <c r="S1052" s="55">
        <f t="shared" si="63"/>
        <v>8849140.5500416737</v>
      </c>
    </row>
    <row r="1053" spans="1:19" hidden="1">
      <c r="A1053" s="5">
        <v>1118</v>
      </c>
      <c r="B1053" s="59"/>
      <c r="C1053" s="60"/>
      <c r="D1053" s="63"/>
      <c r="E1053" s="63" t="s">
        <v>298</v>
      </c>
      <c r="F1053" s="63"/>
      <c r="G1053" s="63"/>
      <c r="H1053" s="62"/>
      <c r="I1053" s="65">
        <v>0</v>
      </c>
      <c r="J1053" s="65">
        <v>0</v>
      </c>
      <c r="K1053" s="62"/>
      <c r="L1053" s="65">
        <v>0</v>
      </c>
      <c r="M1053" s="65">
        <v>0</v>
      </c>
      <c r="N1053" s="65">
        <v>0</v>
      </c>
      <c r="P1053" t="str">
        <f t="shared" si="61"/>
        <v>Summary of Amortization Expense by Factor</v>
      </c>
      <c r="Q1053" t="str">
        <f t="shared" si="62"/>
        <v>NA</v>
      </c>
      <c r="R1053" t="str">
        <f>IF(ISERROR(MATCH(P1053&amp;"."&amp;Q1053,R$5:R1052,0)),P1053&amp;"."&amp;Q1053,P1053&amp;"."&amp;Q1053&amp;COUNTIFS(P$5:P1052,P1053,Q$5:Q1052,Q1053))</f>
        <v>Summary of Amortization Expense by Factor.NA7</v>
      </c>
      <c r="S1053" s="55">
        <f t="shared" si="63"/>
        <v>0</v>
      </c>
    </row>
    <row r="1054" spans="1:19" hidden="1">
      <c r="A1054" s="5">
        <v>1119</v>
      </c>
      <c r="B1054" s="59"/>
      <c r="C1054" s="60"/>
      <c r="D1054" s="61"/>
      <c r="E1054" s="63" t="s">
        <v>301</v>
      </c>
      <c r="F1054" s="63"/>
      <c r="G1054" s="63"/>
      <c r="H1054" s="62"/>
      <c r="I1054" s="65">
        <v>0</v>
      </c>
      <c r="J1054" s="65">
        <v>0</v>
      </c>
      <c r="K1054" s="62"/>
      <c r="L1054" s="65">
        <v>0</v>
      </c>
      <c r="M1054" s="65">
        <v>0</v>
      </c>
      <c r="N1054" s="65">
        <v>0</v>
      </c>
      <c r="P1054" t="str">
        <f t="shared" si="61"/>
        <v>Summary of Amortization Expense by Factor</v>
      </c>
      <c r="Q1054" t="str">
        <f t="shared" si="62"/>
        <v>NA</v>
      </c>
      <c r="R1054" t="str">
        <f>IF(ISERROR(MATCH(P1054&amp;"."&amp;Q1054,R$5:R1053,0)),P1054&amp;"."&amp;Q1054,P1054&amp;"."&amp;Q1054&amp;COUNTIFS(P$5:P1053,P1054,Q$5:Q1053,Q1054))</f>
        <v>Summary of Amortization Expense by Factor.NA8</v>
      </c>
      <c r="S1054" s="55">
        <f t="shared" si="63"/>
        <v>0</v>
      </c>
    </row>
    <row r="1055" spans="1:19" hidden="1">
      <c r="A1055" s="5">
        <v>1120</v>
      </c>
      <c r="B1055" s="59"/>
      <c r="C1055" s="60"/>
      <c r="D1055" s="63"/>
      <c r="E1055" s="63" t="s">
        <v>155</v>
      </c>
      <c r="F1055" s="60"/>
      <c r="G1055" s="61"/>
      <c r="H1055" s="62"/>
      <c r="I1055" s="65">
        <v>10889663.289999999</v>
      </c>
      <c r="J1055" s="65">
        <v>5206282.2038865825</v>
      </c>
      <c r="K1055" s="62"/>
      <c r="L1055" s="65">
        <v>11980746.407048479</v>
      </c>
      <c r="M1055" s="65">
        <v>6252823.9592007259</v>
      </c>
      <c r="N1055" s="64">
        <v>5727922.4478477528</v>
      </c>
      <c r="P1055" t="str">
        <f t="shared" si="61"/>
        <v>Summary of Amortization Expense by Factor</v>
      </c>
      <c r="Q1055" t="str">
        <f t="shared" si="62"/>
        <v>NA</v>
      </c>
      <c r="R1055" t="str">
        <f>IF(ISERROR(MATCH(P1055&amp;"."&amp;Q1055,R$5:R1054,0)),P1055&amp;"."&amp;Q1055,P1055&amp;"."&amp;Q1055&amp;COUNTIFS(P$5:P1054,P1055,Q$5:Q1054,Q1055))</f>
        <v>Summary of Amortization Expense by Factor.NA9</v>
      </c>
      <c r="S1055" s="55">
        <f t="shared" si="63"/>
        <v>5727922.4478477528</v>
      </c>
    </row>
    <row r="1056" spans="1:19" hidden="1">
      <c r="A1056" s="5">
        <v>1121</v>
      </c>
      <c r="B1056" s="59"/>
      <c r="C1056" s="60"/>
      <c r="D1056" s="63"/>
      <c r="E1056" s="63" t="s">
        <v>15</v>
      </c>
      <c r="F1056" s="63"/>
      <c r="G1056" s="63"/>
      <c r="H1056" s="62"/>
      <c r="I1056" s="65">
        <v>30848032.640000001</v>
      </c>
      <c r="J1056" s="65">
        <v>13572362.584626433</v>
      </c>
      <c r="K1056" s="62"/>
      <c r="L1056" s="65">
        <v>55389661.133816019</v>
      </c>
      <c r="M1056" s="65">
        <v>31019596.010993928</v>
      </c>
      <c r="N1056" s="65">
        <v>24370065.122822091</v>
      </c>
      <c r="P1056" t="str">
        <f t="shared" si="61"/>
        <v>Summary of Amortization Expense by Factor</v>
      </c>
      <c r="Q1056" t="str">
        <f t="shared" si="62"/>
        <v>NA</v>
      </c>
      <c r="R1056" t="str">
        <f>IF(ISERROR(MATCH(P1056&amp;"."&amp;Q1056,R$5:R1055,0)),P1056&amp;"."&amp;Q1056,P1056&amp;"."&amp;Q1056&amp;COUNTIFS(P$5:P1055,P1056,Q$5:Q1055,Q1056))</f>
        <v>Summary of Amortization Expense by Factor.NA10</v>
      </c>
      <c r="S1056" s="55">
        <f t="shared" si="63"/>
        <v>24370065.122822091</v>
      </c>
    </row>
    <row r="1057" spans="1:19" hidden="1">
      <c r="A1057" s="5">
        <v>1122</v>
      </c>
      <c r="B1057" s="59"/>
      <c r="C1057" s="60" t="s">
        <v>421</v>
      </c>
      <c r="D1057" s="63"/>
      <c r="E1057" s="63"/>
      <c r="F1057" s="63"/>
      <c r="G1057" s="63"/>
      <c r="H1057" s="62" t="s">
        <v>141</v>
      </c>
      <c r="I1057" s="66">
        <v>55249227.450000003</v>
      </c>
      <c r="J1057" s="66">
        <v>20733796.794757277</v>
      </c>
      <c r="K1057" s="62"/>
      <c r="L1057" s="66">
        <v>61395785.712483734</v>
      </c>
      <c r="M1057" s="66">
        <v>54054684.900963306</v>
      </c>
      <c r="N1057" s="66">
        <v>7341100.8115204275</v>
      </c>
      <c r="P1057" t="str">
        <f t="shared" si="61"/>
        <v>Total Amortization Expense by Factor</v>
      </c>
      <c r="Q1057" t="str">
        <f t="shared" si="62"/>
        <v>NA</v>
      </c>
      <c r="R1057" t="str">
        <f>IF(ISERROR(MATCH(P1057&amp;"."&amp;Q1057,R$5:R1056,0)),P1057&amp;"."&amp;Q1057,P1057&amp;"."&amp;Q1057&amp;COUNTIFS(P$5:P1056,P1057,Q$5:Q1056,Q1057))</f>
        <v>Total Amortization Expense by Factor.NA</v>
      </c>
      <c r="S1057" s="55">
        <f t="shared" si="63"/>
        <v>7341100.8115204275</v>
      </c>
    </row>
    <row r="1058" spans="1:19" hidden="1">
      <c r="A1058" s="5">
        <v>1123</v>
      </c>
      <c r="B1058" s="59"/>
      <c r="C1058" s="60">
        <v>408</v>
      </c>
      <c r="D1058" s="63" t="s">
        <v>422</v>
      </c>
      <c r="E1058" s="63"/>
      <c r="F1058" s="63"/>
      <c r="G1058" s="63"/>
      <c r="H1058" s="62"/>
      <c r="I1058" s="65"/>
      <c r="J1058" s="65"/>
      <c r="K1058" s="62"/>
      <c r="L1058" s="65"/>
      <c r="M1058" s="65"/>
      <c r="N1058" s="65"/>
      <c r="P1058">
        <f t="shared" si="61"/>
        <v>408</v>
      </c>
      <c r="Q1058" t="str">
        <f t="shared" si="62"/>
        <v>NA</v>
      </c>
      <c r="R1058" t="str">
        <f>IF(ISERROR(MATCH(P1058&amp;"."&amp;Q1058,R$5:R1057,0)),P1058&amp;"."&amp;Q1058,P1058&amp;"."&amp;Q1058&amp;COUNTIFS(P$5:P1057,P1058,Q$5:Q1057,Q1058))</f>
        <v>408.NA</v>
      </c>
      <c r="S1058" s="55">
        <f t="shared" si="63"/>
        <v>0</v>
      </c>
    </row>
    <row r="1059" spans="1:19" hidden="1">
      <c r="A1059" s="5">
        <v>1124</v>
      </c>
      <c r="B1059" s="59"/>
      <c r="C1059" s="60"/>
      <c r="D1059" s="61"/>
      <c r="E1059" s="63"/>
      <c r="F1059" s="63" t="s">
        <v>154</v>
      </c>
      <c r="G1059" s="63" t="s">
        <v>12</v>
      </c>
      <c r="H1059" s="62"/>
      <c r="I1059" s="65">
        <v>35083449.899999999</v>
      </c>
      <c r="J1059" s="65">
        <v>0</v>
      </c>
      <c r="K1059" s="62"/>
      <c r="L1059" s="65">
        <v>35083449.899999999</v>
      </c>
      <c r="M1059" s="65">
        <v>35083449.899999999</v>
      </c>
      <c r="N1059" s="65">
        <v>0</v>
      </c>
      <c r="P1059">
        <f t="shared" si="61"/>
        <v>408</v>
      </c>
      <c r="Q1059" t="str">
        <f t="shared" si="62"/>
        <v>S</v>
      </c>
      <c r="R1059" t="str">
        <f>IF(ISERROR(MATCH(P1059&amp;"."&amp;Q1059,R$5:R1058,0)),P1059&amp;"."&amp;Q1059,P1059&amp;"."&amp;Q1059&amp;COUNTIFS(P$5:P1058,P1059,Q$5:Q1058,Q1059))</f>
        <v>408.S</v>
      </c>
      <c r="S1059" s="55">
        <f t="shared" si="63"/>
        <v>0</v>
      </c>
    </row>
    <row r="1060" spans="1:19" hidden="1">
      <c r="A1060" s="5">
        <v>1125</v>
      </c>
      <c r="B1060" s="59"/>
      <c r="C1060" s="60"/>
      <c r="D1060" s="63"/>
      <c r="E1060" s="63"/>
      <c r="F1060" s="60" t="s">
        <v>140</v>
      </c>
      <c r="G1060" s="61" t="s">
        <v>423</v>
      </c>
      <c r="H1060" s="62"/>
      <c r="I1060" s="65">
        <v>148792507.81</v>
      </c>
      <c r="J1060" s="65">
        <v>64573762.015216619</v>
      </c>
      <c r="K1060" s="62"/>
      <c r="L1060" s="65">
        <v>181331120.81</v>
      </c>
      <c r="M1060" s="65">
        <v>102099357.22072801</v>
      </c>
      <c r="N1060" s="64">
        <v>79231763.589271992</v>
      </c>
      <c r="P1060">
        <f t="shared" si="61"/>
        <v>408</v>
      </c>
      <c r="Q1060" t="str">
        <f t="shared" si="62"/>
        <v>GPS</v>
      </c>
      <c r="R1060" t="str">
        <f>IF(ISERROR(MATCH(P1060&amp;"."&amp;Q1060,R$5:R1059,0)),P1060&amp;"."&amp;Q1060,P1060&amp;"."&amp;Q1060&amp;COUNTIFS(P$5:P1059,P1060,Q$5:Q1059,Q1060))</f>
        <v>408.GPS</v>
      </c>
      <c r="S1060" s="55">
        <f t="shared" si="63"/>
        <v>79231763.589271992</v>
      </c>
    </row>
    <row r="1061" spans="1:19" hidden="1">
      <c r="A1061" s="5">
        <v>1126</v>
      </c>
      <c r="B1061" s="59"/>
      <c r="C1061" s="60"/>
      <c r="D1061" s="63"/>
      <c r="E1061" s="63"/>
      <c r="F1061" s="63" t="s">
        <v>140</v>
      </c>
      <c r="G1061" s="63" t="s">
        <v>136</v>
      </c>
      <c r="H1061" s="62"/>
      <c r="I1061" s="65">
        <v>12307543.9</v>
      </c>
      <c r="J1061" s="65">
        <v>5341293.2041260879</v>
      </c>
      <c r="K1061" s="62"/>
      <c r="L1061" s="65">
        <v>12307543.9</v>
      </c>
      <c r="M1061" s="65">
        <v>6929821.6188304396</v>
      </c>
      <c r="N1061" s="65">
        <v>5377722.2811695607</v>
      </c>
      <c r="P1061">
        <f t="shared" si="61"/>
        <v>408</v>
      </c>
      <c r="Q1061" t="str">
        <f t="shared" si="62"/>
        <v>SO</v>
      </c>
      <c r="R1061" t="str">
        <f>IF(ISERROR(MATCH(P1061&amp;"."&amp;Q1061,R$5:R1060,0)),P1061&amp;"."&amp;Q1061,P1061&amp;"."&amp;Q1061&amp;COUNTIFS(P$5:P1060,P1061,Q$5:Q1060,Q1061))</f>
        <v>408.SO</v>
      </c>
      <c r="S1061" s="55">
        <f t="shared" si="63"/>
        <v>5377722.2811695607</v>
      </c>
    </row>
    <row r="1062" spans="1:19" hidden="1">
      <c r="A1062" s="5">
        <v>1127</v>
      </c>
      <c r="B1062" s="59"/>
      <c r="C1062" s="60"/>
      <c r="D1062" s="63"/>
      <c r="E1062" s="63"/>
      <c r="F1062" s="63" t="s">
        <v>13</v>
      </c>
      <c r="G1062" s="63" t="s">
        <v>16</v>
      </c>
      <c r="H1062" s="62"/>
      <c r="I1062" s="66">
        <v>902710.48</v>
      </c>
      <c r="J1062" s="66">
        <v>391381.04688054975</v>
      </c>
      <c r="K1062" s="62"/>
      <c r="L1062" s="66">
        <v>902710.48</v>
      </c>
      <c r="M1062" s="66">
        <v>511329.43311945023</v>
      </c>
      <c r="N1062" s="66">
        <v>391381.04688054975</v>
      </c>
      <c r="P1062">
        <f t="shared" si="61"/>
        <v>408</v>
      </c>
      <c r="Q1062" t="str">
        <f t="shared" si="62"/>
        <v>SE</v>
      </c>
      <c r="R1062" t="str">
        <f>IF(ISERROR(MATCH(P1062&amp;"."&amp;Q1062,R$5:R1061,0)),P1062&amp;"."&amp;Q1062,P1062&amp;"."&amp;Q1062&amp;COUNTIFS(P$5:P1061,P1062,Q$5:Q1061,Q1062))</f>
        <v>408.SE</v>
      </c>
      <c r="S1062" s="55">
        <f t="shared" si="63"/>
        <v>391381.04688054975</v>
      </c>
    </row>
    <row r="1063" spans="1:19" hidden="1">
      <c r="A1063" s="5">
        <v>1128</v>
      </c>
      <c r="B1063" s="59"/>
      <c r="C1063" s="60"/>
      <c r="D1063" s="63"/>
      <c r="E1063" s="63"/>
      <c r="F1063" s="63" t="s">
        <v>13</v>
      </c>
      <c r="G1063" s="63" t="s">
        <v>15</v>
      </c>
      <c r="H1063" s="62"/>
      <c r="I1063" s="65">
        <v>2050814</v>
      </c>
      <c r="J1063" s="65">
        <v>902306.85134635784</v>
      </c>
      <c r="K1063" s="62"/>
      <c r="L1063" s="65">
        <v>2309486</v>
      </c>
      <c r="M1063" s="65">
        <v>1293369.9402849334</v>
      </c>
      <c r="N1063" s="65">
        <v>1016116.0597150666</v>
      </c>
      <c r="P1063">
        <f t="shared" si="61"/>
        <v>408</v>
      </c>
      <c r="Q1063" t="str">
        <f t="shared" si="62"/>
        <v>SG</v>
      </c>
      <c r="R1063" t="str">
        <f>IF(ISERROR(MATCH(P1063&amp;"."&amp;Q1063,R$5:R1062,0)),P1063&amp;"."&amp;Q1063,P1063&amp;"."&amp;Q1063&amp;COUNTIFS(P$5:P1062,P1063,Q$5:Q1062,Q1063))</f>
        <v>408.SG</v>
      </c>
      <c r="S1063" s="55">
        <f t="shared" si="63"/>
        <v>1016116.0597150666</v>
      </c>
    </row>
    <row r="1064" spans="1:19" ht="15.75" hidden="1" thickBot="1">
      <c r="A1064" s="5">
        <v>1129</v>
      </c>
      <c r="B1064" s="59"/>
      <c r="C1064" s="45"/>
      <c r="D1064" s="63"/>
      <c r="E1064" s="63"/>
      <c r="F1064" s="63" t="s">
        <v>154</v>
      </c>
      <c r="G1064" s="63" t="s">
        <v>424</v>
      </c>
      <c r="H1064" s="41"/>
      <c r="I1064" s="68">
        <v>0</v>
      </c>
      <c r="J1064" s="68">
        <v>0</v>
      </c>
      <c r="K1064" s="41"/>
      <c r="L1064" s="68">
        <v>0</v>
      </c>
      <c r="M1064" s="68">
        <v>0</v>
      </c>
      <c r="N1064" s="68">
        <v>0</v>
      </c>
      <c r="P1064">
        <f t="shared" si="61"/>
        <v>408</v>
      </c>
      <c r="Q1064" t="str">
        <f t="shared" si="62"/>
        <v>OPRV-ID</v>
      </c>
      <c r="R1064" t="str">
        <f>IF(ISERROR(MATCH(P1064&amp;"."&amp;Q1064,R$5:R1063,0)),P1064&amp;"."&amp;Q1064,P1064&amp;"."&amp;Q1064&amp;COUNTIFS(P$5:P1063,P1064,Q$5:Q1063,Q1064))</f>
        <v>408.OPRV-ID</v>
      </c>
      <c r="S1064" s="55">
        <f t="shared" si="63"/>
        <v>0</v>
      </c>
    </row>
    <row r="1065" spans="1:19" hidden="1">
      <c r="A1065" s="5">
        <v>1130</v>
      </c>
      <c r="B1065" s="59"/>
      <c r="C1065" s="60"/>
      <c r="D1065" s="63"/>
      <c r="E1065" s="63"/>
      <c r="F1065" s="63" t="s">
        <v>140</v>
      </c>
      <c r="G1065" s="63" t="s">
        <v>425</v>
      </c>
      <c r="H1065" s="62"/>
      <c r="I1065" s="77">
        <v>0</v>
      </c>
      <c r="J1065" s="77">
        <v>0</v>
      </c>
      <c r="K1065" s="62"/>
      <c r="L1065" s="77">
        <v>0</v>
      </c>
      <c r="M1065" s="77">
        <v>0</v>
      </c>
      <c r="N1065" s="77">
        <v>0</v>
      </c>
      <c r="P1065">
        <f t="shared" si="61"/>
        <v>408</v>
      </c>
      <c r="Q1065" t="str">
        <f t="shared" si="62"/>
        <v>EXCTAX</v>
      </c>
      <c r="R1065" t="str">
        <f>IF(ISERROR(MATCH(P1065&amp;"."&amp;Q1065,R$5:R1064,0)),P1065&amp;"."&amp;Q1065,P1065&amp;"."&amp;Q1065&amp;COUNTIFS(P$5:P1064,P1065,Q$5:Q1064,Q1065))</f>
        <v>408.EXCTAX</v>
      </c>
      <c r="S1065" s="55">
        <f t="shared" si="63"/>
        <v>0</v>
      </c>
    </row>
    <row r="1066" spans="1:19" hidden="1">
      <c r="A1066" s="5">
        <v>1131</v>
      </c>
      <c r="B1066" s="59"/>
      <c r="C1066" s="60"/>
      <c r="D1066" s="63"/>
      <c r="E1066" s="63"/>
      <c r="F1066" s="63" t="s">
        <v>140</v>
      </c>
      <c r="G1066" s="63" t="s">
        <v>15</v>
      </c>
      <c r="H1066" s="62"/>
      <c r="I1066" s="69">
        <v>0</v>
      </c>
      <c r="J1066" s="69">
        <v>0</v>
      </c>
      <c r="K1066" s="62"/>
      <c r="L1066" s="69">
        <v>0</v>
      </c>
      <c r="M1066" s="65">
        <v>0</v>
      </c>
      <c r="N1066" s="65">
        <v>0</v>
      </c>
      <c r="P1066">
        <f t="shared" si="61"/>
        <v>408</v>
      </c>
      <c r="Q1066" t="str">
        <f t="shared" si="62"/>
        <v>SG</v>
      </c>
      <c r="R1066" t="str">
        <f>IF(ISERROR(MATCH(P1066&amp;"."&amp;Q1066,R$5:R1065,0)),P1066&amp;"."&amp;Q1066,P1066&amp;"."&amp;Q1066&amp;COUNTIFS(P$5:P1065,P1066,Q$5:Q1065,Q1066))</f>
        <v>408.SG1</v>
      </c>
      <c r="S1066" s="55">
        <f t="shared" si="63"/>
        <v>0</v>
      </c>
    </row>
    <row r="1067" spans="1:19" hidden="1">
      <c r="A1067" s="5">
        <v>1132</v>
      </c>
      <c r="B1067" s="59"/>
      <c r="C1067" s="60"/>
      <c r="D1067" s="61"/>
      <c r="E1067" s="63"/>
      <c r="F1067" s="63"/>
      <c r="G1067" s="63"/>
      <c r="H1067" s="62"/>
      <c r="I1067" s="65"/>
      <c r="J1067" s="65"/>
      <c r="K1067" s="62"/>
      <c r="L1067" s="65"/>
      <c r="M1067" s="65"/>
      <c r="N1067" s="65"/>
      <c r="P1067">
        <f t="shared" si="61"/>
        <v>408</v>
      </c>
      <c r="Q1067" t="str">
        <f t="shared" si="62"/>
        <v>NA</v>
      </c>
      <c r="R1067" t="str">
        <f>IF(ISERROR(MATCH(P1067&amp;"."&amp;Q1067,R$5:R1066,0)),P1067&amp;"."&amp;Q1067,P1067&amp;"."&amp;Q1067&amp;COUNTIFS(P$5:P1066,P1067,Q$5:Q1066,Q1067))</f>
        <v>408.NA1</v>
      </c>
      <c r="S1067" s="55">
        <f t="shared" si="63"/>
        <v>0</v>
      </c>
    </row>
    <row r="1068" spans="1:19" hidden="1">
      <c r="A1068" s="5">
        <v>1133</v>
      </c>
      <c r="B1068" s="59"/>
      <c r="C1068" s="60"/>
      <c r="D1068" s="63"/>
      <c r="E1068" s="63"/>
      <c r="F1068" s="60"/>
      <c r="G1068" s="61"/>
      <c r="H1068" s="62"/>
      <c r="I1068" s="65"/>
      <c r="J1068" s="65"/>
      <c r="K1068" s="62"/>
      <c r="L1068" s="65"/>
      <c r="M1068" s="65"/>
      <c r="N1068" s="64"/>
      <c r="P1068">
        <f t="shared" si="61"/>
        <v>408</v>
      </c>
      <c r="Q1068" t="str">
        <f t="shared" si="62"/>
        <v>NA</v>
      </c>
      <c r="R1068" t="str">
        <f>IF(ISERROR(MATCH(P1068&amp;"."&amp;Q1068,R$5:R1067,0)),P1068&amp;"."&amp;Q1068,P1068&amp;"."&amp;Q1068&amp;COUNTIFS(P$5:P1067,P1068,Q$5:Q1067,Q1068))</f>
        <v>408.NA2</v>
      </c>
      <c r="S1068" s="55">
        <f t="shared" si="63"/>
        <v>0</v>
      </c>
    </row>
    <row r="1069" spans="1:19" hidden="1">
      <c r="A1069" s="5">
        <v>1134</v>
      </c>
      <c r="B1069" s="59"/>
      <c r="C1069" s="60"/>
      <c r="D1069" s="63"/>
      <c r="E1069" s="63"/>
      <c r="F1069" s="60"/>
      <c r="G1069" s="61"/>
      <c r="H1069" s="62"/>
      <c r="I1069" s="65"/>
      <c r="J1069" s="65"/>
      <c r="K1069" s="62"/>
      <c r="L1069" s="65"/>
      <c r="M1069" s="65"/>
      <c r="N1069" s="64"/>
      <c r="P1069">
        <f t="shared" si="61"/>
        <v>408</v>
      </c>
      <c r="Q1069" t="str">
        <f t="shared" si="62"/>
        <v>NA</v>
      </c>
      <c r="R1069" t="str">
        <f>IF(ISERROR(MATCH(P1069&amp;"."&amp;Q1069,R$5:R1068,0)),P1069&amp;"."&amp;Q1069,P1069&amp;"."&amp;Q1069&amp;COUNTIFS(P$5:P1068,P1069,Q$5:Q1068,Q1069))</f>
        <v>408.NA3</v>
      </c>
      <c r="S1069" s="55">
        <f t="shared" si="63"/>
        <v>0</v>
      </c>
    </row>
    <row r="1070" spans="1:19" hidden="1">
      <c r="A1070" s="5">
        <v>1135</v>
      </c>
      <c r="B1070" s="59"/>
      <c r="C1070" s="60" t="s">
        <v>426</v>
      </c>
      <c r="D1070" s="63"/>
      <c r="E1070" s="63"/>
      <c r="F1070" s="63"/>
      <c r="G1070" s="63"/>
      <c r="H1070" s="62" t="s">
        <v>427</v>
      </c>
      <c r="I1070" s="66">
        <v>199137026.09</v>
      </c>
      <c r="J1070" s="66">
        <v>71208743.11756961</v>
      </c>
      <c r="K1070" s="62"/>
      <c r="L1070" s="66">
        <v>231934311.09</v>
      </c>
      <c r="M1070" s="66">
        <v>145917328.11296284</v>
      </c>
      <c r="N1070" s="66">
        <v>86016982.977037162</v>
      </c>
      <c r="P1070" t="str">
        <f t="shared" si="61"/>
        <v>Total Taxes Other Than Income</v>
      </c>
      <c r="Q1070" t="str">
        <f t="shared" si="62"/>
        <v>NA</v>
      </c>
      <c r="R1070" t="str">
        <f>IF(ISERROR(MATCH(P1070&amp;"."&amp;Q1070,R$5:R1069,0)),P1070&amp;"."&amp;Q1070,P1070&amp;"."&amp;Q1070&amp;COUNTIFS(P$5:P1069,P1070,Q$5:Q1069,Q1070))</f>
        <v>Total Taxes Other Than Income.NA</v>
      </c>
      <c r="S1070" s="55">
        <f t="shared" si="63"/>
        <v>86016982.977037162</v>
      </c>
    </row>
    <row r="1071" spans="1:19" hidden="1">
      <c r="A1071" s="5">
        <v>1136</v>
      </c>
      <c r="B1071" s="59"/>
      <c r="C1071" s="60"/>
      <c r="D1071" s="63"/>
      <c r="E1071" s="63"/>
      <c r="F1071" s="63"/>
      <c r="G1071" s="63"/>
      <c r="H1071" s="62"/>
      <c r="I1071" s="65"/>
      <c r="J1071" s="65"/>
      <c r="K1071" s="62"/>
      <c r="L1071" s="65"/>
      <c r="M1071" s="65"/>
      <c r="N1071" s="65"/>
      <c r="P1071" t="str">
        <f t="shared" si="61"/>
        <v>Total Taxes Other Than Income</v>
      </c>
      <c r="Q1071" t="str">
        <f t="shared" si="62"/>
        <v>NA</v>
      </c>
      <c r="R1071" t="str">
        <f>IF(ISERROR(MATCH(P1071&amp;"."&amp;Q1071,R$5:R1070,0)),P1071&amp;"."&amp;Q1071,P1071&amp;"."&amp;Q1071&amp;COUNTIFS(P$5:P1070,P1071,Q$5:Q1070,Q1071))</f>
        <v>Total Taxes Other Than Income.NA1</v>
      </c>
      <c r="S1071" s="55">
        <f t="shared" si="63"/>
        <v>0</v>
      </c>
    </row>
    <row r="1072" spans="1:19" hidden="1">
      <c r="A1072" s="5">
        <v>1137</v>
      </c>
      <c r="B1072" s="59"/>
      <c r="C1072" s="60"/>
      <c r="D1072" s="61"/>
      <c r="E1072" s="63"/>
      <c r="F1072" s="63"/>
      <c r="G1072" s="63"/>
      <c r="H1072" s="62"/>
      <c r="I1072" s="65"/>
      <c r="J1072" s="65"/>
      <c r="K1072" s="62"/>
      <c r="L1072" s="65"/>
      <c r="M1072" s="65"/>
      <c r="N1072" s="65"/>
      <c r="P1072" t="str">
        <f t="shared" si="61"/>
        <v>Total Taxes Other Than Income</v>
      </c>
      <c r="Q1072" t="str">
        <f t="shared" si="62"/>
        <v>NA</v>
      </c>
      <c r="R1072" t="str">
        <f>IF(ISERROR(MATCH(P1072&amp;"."&amp;Q1072,R$5:R1071,0)),P1072&amp;"."&amp;Q1072,P1072&amp;"."&amp;Q1072&amp;COUNTIFS(P$5:P1071,P1072,Q$5:Q1071,Q1072))</f>
        <v>Total Taxes Other Than Income.NA2</v>
      </c>
      <c r="S1072" s="55">
        <f t="shared" si="63"/>
        <v>0</v>
      </c>
    </row>
    <row r="1073" spans="1:19" hidden="1">
      <c r="A1073" s="5">
        <v>1138</v>
      </c>
      <c r="B1073" s="59"/>
      <c r="C1073" s="60">
        <v>41140</v>
      </c>
      <c r="D1073" s="63" t="s">
        <v>428</v>
      </c>
      <c r="E1073" s="63"/>
      <c r="F1073" s="60"/>
      <c r="G1073" s="61"/>
      <c r="H1073" s="62"/>
      <c r="I1073" s="65"/>
      <c r="J1073" s="65"/>
      <c r="K1073" s="62"/>
      <c r="L1073" s="65"/>
      <c r="M1073" s="65"/>
      <c r="N1073" s="64"/>
      <c r="P1073">
        <f t="shared" si="61"/>
        <v>41140</v>
      </c>
      <c r="Q1073" t="str">
        <f t="shared" si="62"/>
        <v>NA</v>
      </c>
      <c r="R1073" t="str">
        <f>IF(ISERROR(MATCH(P1073&amp;"."&amp;Q1073,R$5:R1072,0)),P1073&amp;"."&amp;Q1073,P1073&amp;"."&amp;Q1073&amp;COUNTIFS(P$5:P1072,P1073,Q$5:Q1072,Q1073))</f>
        <v>41140.NA</v>
      </c>
      <c r="S1073" s="55">
        <f t="shared" si="63"/>
        <v>0</v>
      </c>
    </row>
    <row r="1074" spans="1:19" hidden="1">
      <c r="A1074" s="5">
        <v>1139</v>
      </c>
      <c r="B1074" s="59"/>
      <c r="C1074" s="60"/>
      <c r="D1074" s="63"/>
      <c r="E1074" s="63"/>
      <c r="F1074" s="63" t="s">
        <v>171</v>
      </c>
      <c r="G1074" s="63" t="s">
        <v>14</v>
      </c>
      <c r="H1074" s="62"/>
      <c r="I1074" s="66">
        <v>-2738724.08</v>
      </c>
      <c r="J1074" s="66">
        <v>-2284952.6027873913</v>
      </c>
      <c r="K1074" s="62"/>
      <c r="L1074" s="66">
        <v>-1339178.4118247482</v>
      </c>
      <c r="M1074" s="66">
        <v>-221884.69828802603</v>
      </c>
      <c r="N1074" s="66">
        <v>-1117293.7135367221</v>
      </c>
      <c r="P1074">
        <f t="shared" si="61"/>
        <v>41140</v>
      </c>
      <c r="Q1074" t="str">
        <f t="shared" si="62"/>
        <v>DGU</v>
      </c>
      <c r="R1074" t="str">
        <f>IF(ISERROR(MATCH(P1074&amp;"."&amp;Q1074,R$5:R1073,0)),P1074&amp;"."&amp;Q1074,P1074&amp;"."&amp;Q1074&amp;COUNTIFS(P$5:P1073,P1074,Q$5:Q1073,Q1074))</f>
        <v>41140.DGU</v>
      </c>
      <c r="S1074" s="55">
        <f t="shared" si="63"/>
        <v>-1117293.7135367221</v>
      </c>
    </row>
    <row r="1075" spans="1:19" hidden="1">
      <c r="A1075" s="5">
        <v>1140</v>
      </c>
      <c r="B1075" s="59"/>
      <c r="C1075" s="60"/>
      <c r="D1075" s="63"/>
      <c r="E1075" s="63"/>
      <c r="F1075" s="63"/>
      <c r="G1075" s="63"/>
      <c r="H1075" s="62"/>
      <c r="I1075" s="65"/>
      <c r="J1075" s="65"/>
      <c r="K1075" s="62"/>
      <c r="L1075" s="65"/>
      <c r="M1075" s="65"/>
      <c r="N1075" s="65"/>
      <c r="P1075">
        <f t="shared" si="61"/>
        <v>41140</v>
      </c>
      <c r="Q1075" t="str">
        <f t="shared" si="62"/>
        <v>NA</v>
      </c>
      <c r="R1075" t="str">
        <f>IF(ISERROR(MATCH(P1075&amp;"."&amp;Q1075,R$5:R1074,0)),P1075&amp;"."&amp;Q1075,P1075&amp;"."&amp;Q1075&amp;COUNTIFS(P$5:P1074,P1075,Q$5:Q1074,Q1075))</f>
        <v>41140.NA1</v>
      </c>
      <c r="S1075" s="55">
        <f t="shared" si="63"/>
        <v>0</v>
      </c>
    </row>
    <row r="1076" spans="1:19" hidden="1">
      <c r="A1076" s="5">
        <v>1141</v>
      </c>
      <c r="B1076" s="59"/>
      <c r="C1076" s="60"/>
      <c r="D1076" s="61"/>
      <c r="E1076" s="63"/>
      <c r="F1076" s="63"/>
      <c r="G1076" s="63"/>
      <c r="H1076" s="62" t="s">
        <v>429</v>
      </c>
      <c r="I1076" s="65">
        <v>-2738724.08</v>
      </c>
      <c r="J1076" s="65">
        <v>-2284952.6027873913</v>
      </c>
      <c r="K1076" s="62"/>
      <c r="L1076" s="65">
        <v>-1339178.4118247482</v>
      </c>
      <c r="M1076" s="65">
        <v>-221884.69828802603</v>
      </c>
      <c r="N1076" s="65">
        <v>-1117293.7135367221</v>
      </c>
      <c r="P1076">
        <f t="shared" si="61"/>
        <v>41140</v>
      </c>
      <c r="Q1076" t="str">
        <f t="shared" si="62"/>
        <v>NA</v>
      </c>
      <c r="R1076" t="str">
        <f>IF(ISERROR(MATCH(P1076&amp;"."&amp;Q1076,R$5:R1075,0)),P1076&amp;"."&amp;Q1076,P1076&amp;"."&amp;Q1076&amp;COUNTIFS(P$5:P1075,P1076,Q$5:Q1075,Q1076))</f>
        <v>41140.NA2</v>
      </c>
      <c r="S1076" s="55">
        <f t="shared" si="63"/>
        <v>-1117293.7135367221</v>
      </c>
    </row>
    <row r="1077" spans="1:19" hidden="1">
      <c r="A1077" s="5">
        <v>1142</v>
      </c>
      <c r="B1077" s="59"/>
      <c r="C1077" s="60"/>
      <c r="D1077" s="63"/>
      <c r="E1077" s="63"/>
      <c r="F1077" s="60"/>
      <c r="G1077" s="61"/>
      <c r="H1077" s="62"/>
      <c r="I1077" s="65"/>
      <c r="J1077" s="65"/>
      <c r="K1077" s="62"/>
      <c r="L1077" s="65"/>
      <c r="M1077" s="65"/>
      <c r="N1077" s="64"/>
      <c r="P1077">
        <f t="shared" si="61"/>
        <v>41140</v>
      </c>
      <c r="Q1077" t="str">
        <f t="shared" si="62"/>
        <v>NA</v>
      </c>
      <c r="R1077" t="str">
        <f>IF(ISERROR(MATCH(P1077&amp;"."&amp;Q1077,R$5:R1076,0)),P1077&amp;"."&amp;Q1077,P1077&amp;"."&amp;Q1077&amp;COUNTIFS(P$5:P1076,P1077,Q$5:Q1076,Q1077))</f>
        <v>41140.NA3</v>
      </c>
      <c r="S1077" s="55">
        <f t="shared" si="63"/>
        <v>0</v>
      </c>
    </row>
    <row r="1078" spans="1:19" hidden="1">
      <c r="A1078" s="5">
        <v>1143</v>
      </c>
      <c r="B1078" s="59"/>
      <c r="C1078" s="60">
        <v>41141</v>
      </c>
      <c r="D1078" s="63" t="s">
        <v>430</v>
      </c>
      <c r="E1078" s="63"/>
      <c r="F1078" s="63"/>
      <c r="G1078" s="63"/>
      <c r="H1078" s="62"/>
      <c r="I1078" s="66"/>
      <c r="J1078" s="66"/>
      <c r="K1078" s="62"/>
      <c r="L1078" s="66"/>
      <c r="M1078" s="66"/>
      <c r="N1078" s="66"/>
      <c r="P1078">
        <f t="shared" si="61"/>
        <v>41141</v>
      </c>
      <c r="Q1078" t="str">
        <f t="shared" si="62"/>
        <v>NA</v>
      </c>
      <c r="R1078" t="str">
        <f>IF(ISERROR(MATCH(P1078&amp;"."&amp;Q1078,R$5:R1077,0)),P1078&amp;"."&amp;Q1078,P1078&amp;"."&amp;Q1078&amp;COUNTIFS(P$5:P1077,P1078,Q$5:Q1077,Q1078))</f>
        <v>41141.NA</v>
      </c>
      <c r="S1078" s="55">
        <f t="shared" si="63"/>
        <v>0</v>
      </c>
    </row>
    <row r="1079" spans="1:19" hidden="1">
      <c r="A1079" s="5">
        <v>1144</v>
      </c>
      <c r="B1079" s="59"/>
      <c r="C1079" s="60"/>
      <c r="D1079" s="63"/>
      <c r="E1079" s="63"/>
      <c r="F1079" s="63" t="s">
        <v>171</v>
      </c>
      <c r="G1079" s="63" t="s">
        <v>14</v>
      </c>
      <c r="H1079" s="62"/>
      <c r="I1079" s="65">
        <v>0</v>
      </c>
      <c r="J1079" s="65">
        <v>0</v>
      </c>
      <c r="K1079" s="62"/>
      <c r="L1079" s="65">
        <v>0</v>
      </c>
      <c r="M1079" s="65">
        <v>0</v>
      </c>
      <c r="N1079" s="65">
        <v>0</v>
      </c>
      <c r="P1079">
        <f t="shared" si="61"/>
        <v>41141</v>
      </c>
      <c r="Q1079" t="str">
        <f t="shared" si="62"/>
        <v>DGU</v>
      </c>
      <c r="R1079" t="str">
        <f>IF(ISERROR(MATCH(P1079&amp;"."&amp;Q1079,R$5:R1078,0)),P1079&amp;"."&amp;Q1079,P1079&amp;"."&amp;Q1079&amp;COUNTIFS(P$5:P1078,P1079,Q$5:Q1078,Q1079))</f>
        <v>41141.DGU</v>
      </c>
      <c r="S1079" s="55">
        <f t="shared" si="63"/>
        <v>0</v>
      </c>
    </row>
    <row r="1080" spans="1:19" hidden="1">
      <c r="A1080" s="5">
        <v>1145</v>
      </c>
      <c r="B1080" s="59"/>
      <c r="C1080" s="60"/>
      <c r="D1080" s="61"/>
      <c r="E1080" s="63"/>
      <c r="F1080" s="63"/>
      <c r="G1080" s="63"/>
      <c r="H1080" s="62"/>
      <c r="I1080" s="65"/>
      <c r="J1080" s="65"/>
      <c r="K1080" s="62"/>
      <c r="L1080" s="65"/>
      <c r="M1080" s="65"/>
      <c r="N1080" s="65"/>
      <c r="P1080">
        <f t="shared" si="61"/>
        <v>41141</v>
      </c>
      <c r="Q1080" t="str">
        <f t="shared" si="62"/>
        <v>NA</v>
      </c>
      <c r="R1080" t="str">
        <f>IF(ISERROR(MATCH(P1080&amp;"."&amp;Q1080,R$5:R1079,0)),P1080&amp;"."&amp;Q1080,P1080&amp;"."&amp;Q1080&amp;COUNTIFS(P$5:P1079,P1080,Q$5:Q1079,Q1080))</f>
        <v>41141.NA1</v>
      </c>
      <c r="S1080" s="55">
        <f t="shared" si="63"/>
        <v>0</v>
      </c>
    </row>
    <row r="1081" spans="1:19" hidden="1">
      <c r="A1081" s="5">
        <v>1146</v>
      </c>
      <c r="B1081" s="59"/>
      <c r="C1081" s="60"/>
      <c r="D1081" s="63"/>
      <c r="E1081" s="63"/>
      <c r="F1081" s="60"/>
      <c r="G1081" s="61"/>
      <c r="H1081" s="62" t="s">
        <v>429</v>
      </c>
      <c r="I1081" s="65">
        <v>0</v>
      </c>
      <c r="J1081" s="65">
        <v>0</v>
      </c>
      <c r="K1081" s="62"/>
      <c r="L1081" s="65">
        <v>0</v>
      </c>
      <c r="M1081" s="65">
        <v>0</v>
      </c>
      <c r="N1081" s="64">
        <v>0</v>
      </c>
      <c r="P1081">
        <f t="shared" si="61"/>
        <v>41141</v>
      </c>
      <c r="Q1081" t="str">
        <f t="shared" si="62"/>
        <v>NA</v>
      </c>
      <c r="R1081" t="str">
        <f>IF(ISERROR(MATCH(P1081&amp;"."&amp;Q1081,R$5:R1080,0)),P1081&amp;"."&amp;Q1081,P1081&amp;"."&amp;Q1081&amp;COUNTIFS(P$5:P1080,P1081,Q$5:Q1080,Q1081))</f>
        <v>41141.NA2</v>
      </c>
      <c r="S1081" s="55">
        <f t="shared" si="63"/>
        <v>0</v>
      </c>
    </row>
    <row r="1082" spans="1:19" hidden="1">
      <c r="A1082" s="5">
        <v>1147</v>
      </c>
      <c r="B1082" s="59"/>
      <c r="C1082" s="60"/>
      <c r="D1082" s="63"/>
      <c r="E1082" s="63"/>
      <c r="F1082" s="60"/>
      <c r="G1082" s="61"/>
      <c r="H1082" s="62"/>
      <c r="I1082" s="65"/>
      <c r="J1082" s="65"/>
      <c r="K1082" s="62"/>
      <c r="L1082" s="65"/>
      <c r="M1082" s="65"/>
      <c r="N1082" s="64"/>
      <c r="P1082">
        <f t="shared" si="61"/>
        <v>41141</v>
      </c>
      <c r="Q1082" t="str">
        <f t="shared" si="62"/>
        <v>NA</v>
      </c>
      <c r="R1082" t="str">
        <f>IF(ISERROR(MATCH(P1082&amp;"."&amp;Q1082,R$5:R1081,0)),P1082&amp;"."&amp;Q1082,P1082&amp;"."&amp;Q1082&amp;COUNTIFS(P$5:P1081,P1082,Q$5:Q1081,Q1082))</f>
        <v>41141.NA3</v>
      </c>
      <c r="S1082" s="55">
        <f t="shared" si="63"/>
        <v>0</v>
      </c>
    </row>
    <row r="1083" spans="1:19" hidden="1">
      <c r="A1083" s="5">
        <v>1148</v>
      </c>
      <c r="B1083" s="59"/>
      <c r="C1083" s="60" t="s">
        <v>431</v>
      </c>
      <c r="D1083" s="63"/>
      <c r="E1083" s="63"/>
      <c r="F1083" s="60"/>
      <c r="G1083" s="61"/>
      <c r="H1083" s="62" t="s">
        <v>429</v>
      </c>
      <c r="I1083" s="65">
        <v>-2738724.08</v>
      </c>
      <c r="J1083" s="65">
        <v>-2284952.6027873913</v>
      </c>
      <c r="K1083" s="62"/>
      <c r="L1083" s="65">
        <v>-1339178.4118247482</v>
      </c>
      <c r="M1083" s="65">
        <v>-221884.69828802603</v>
      </c>
      <c r="N1083" s="64">
        <v>-1117293.7135367221</v>
      </c>
      <c r="P1083" t="str">
        <f t="shared" si="61"/>
        <v>Total Deferred ITC</v>
      </c>
      <c r="Q1083" t="str">
        <f t="shared" si="62"/>
        <v>NA</v>
      </c>
      <c r="R1083" t="str">
        <f>IF(ISERROR(MATCH(P1083&amp;"."&amp;Q1083,R$5:R1082,0)),P1083&amp;"."&amp;Q1083,P1083&amp;"."&amp;Q1083&amp;COUNTIFS(P$5:P1082,P1083,Q$5:Q1082,Q1083))</f>
        <v>Total Deferred ITC.NA</v>
      </c>
      <c r="S1083" s="55">
        <f t="shared" si="63"/>
        <v>-1117293.7135367221</v>
      </c>
    </row>
    <row r="1084" spans="1:19" hidden="1">
      <c r="A1084" s="5">
        <v>1149</v>
      </c>
      <c r="B1084" s="59"/>
      <c r="C1084" s="60"/>
      <c r="D1084" s="63"/>
      <c r="E1084" s="63"/>
      <c r="F1084" s="63"/>
      <c r="G1084" s="63"/>
      <c r="H1084" s="62"/>
      <c r="I1084" s="66"/>
      <c r="J1084" s="66"/>
      <c r="K1084" s="62"/>
      <c r="L1084" s="66"/>
      <c r="M1084" s="66"/>
      <c r="N1084" s="66"/>
      <c r="P1084" t="str">
        <f t="shared" si="61"/>
        <v>Total Deferred ITC</v>
      </c>
      <c r="Q1084" t="str">
        <f t="shared" si="62"/>
        <v>NA</v>
      </c>
      <c r="R1084" t="str">
        <f>IF(ISERROR(MATCH(P1084&amp;"."&amp;Q1084,R$5:R1083,0)),P1084&amp;"."&amp;Q1084,P1084&amp;"."&amp;Q1084&amp;COUNTIFS(P$5:P1083,P1084,Q$5:Q1083,Q1084))</f>
        <v>Total Deferred ITC.NA1</v>
      </c>
      <c r="S1084" s="55">
        <f t="shared" si="63"/>
        <v>0</v>
      </c>
    </row>
    <row r="1085" spans="1:19" hidden="1">
      <c r="A1085" s="5">
        <v>1150</v>
      </c>
      <c r="B1085" s="59"/>
      <c r="C1085" s="60"/>
      <c r="D1085" s="63"/>
      <c r="E1085" s="63"/>
      <c r="F1085" s="63"/>
      <c r="G1085" s="63"/>
      <c r="H1085" s="62"/>
      <c r="I1085" s="65"/>
      <c r="J1085" s="65"/>
      <c r="K1085" s="62"/>
      <c r="L1085" s="65"/>
      <c r="M1085" s="65"/>
      <c r="N1085" s="65"/>
      <c r="P1085" t="str">
        <f t="shared" si="61"/>
        <v>Total Deferred ITC</v>
      </c>
      <c r="Q1085" t="str">
        <f t="shared" si="62"/>
        <v>NA</v>
      </c>
      <c r="R1085" t="str">
        <f>IF(ISERROR(MATCH(P1085&amp;"."&amp;Q1085,R$5:R1084,0)),P1085&amp;"."&amp;Q1085,P1085&amp;"."&amp;Q1085&amp;COUNTIFS(P$5:P1084,P1085,Q$5:Q1084,Q1085))</f>
        <v>Total Deferred ITC.NA2</v>
      </c>
      <c r="S1085" s="55">
        <f t="shared" si="63"/>
        <v>0</v>
      </c>
    </row>
    <row r="1086" spans="1:19" hidden="1">
      <c r="A1086" s="5">
        <v>1151</v>
      </c>
      <c r="B1086" s="59"/>
      <c r="C1086" s="60">
        <v>427</v>
      </c>
      <c r="D1086" s="61" t="s">
        <v>432</v>
      </c>
      <c r="E1086" s="63"/>
      <c r="F1086" s="63"/>
      <c r="G1086" s="63"/>
      <c r="H1086" s="62"/>
      <c r="I1086" s="65"/>
      <c r="J1086" s="65"/>
      <c r="K1086" s="62"/>
      <c r="L1086" s="65"/>
      <c r="M1086" s="65"/>
      <c r="N1086" s="65"/>
      <c r="P1086">
        <f t="shared" si="61"/>
        <v>427</v>
      </c>
      <c r="Q1086" t="str">
        <f t="shared" si="62"/>
        <v>NA</v>
      </c>
      <c r="R1086" t="str">
        <f>IF(ISERROR(MATCH(P1086&amp;"."&amp;Q1086,R$5:R1085,0)),P1086&amp;"."&amp;Q1086,P1086&amp;"."&amp;Q1086&amp;COUNTIFS(P$5:P1085,P1086,Q$5:Q1085,Q1086))</f>
        <v>427.NA</v>
      </c>
      <c r="S1086" s="55">
        <f t="shared" si="63"/>
        <v>0</v>
      </c>
    </row>
    <row r="1087" spans="1:19" hidden="1">
      <c r="A1087" s="5">
        <v>1152</v>
      </c>
      <c r="B1087" s="59"/>
      <c r="C1087" s="60"/>
      <c r="D1087" s="63"/>
      <c r="E1087" s="63"/>
      <c r="F1087" s="60" t="s">
        <v>140</v>
      </c>
      <c r="G1087" s="61" t="s">
        <v>12</v>
      </c>
      <c r="H1087" s="62"/>
      <c r="I1087" s="65">
        <v>0</v>
      </c>
      <c r="J1087" s="65">
        <v>0</v>
      </c>
      <c r="K1087" s="62"/>
      <c r="L1087" s="65">
        <v>398235430.32087773</v>
      </c>
      <c r="M1087" s="65">
        <v>224643696.71430388</v>
      </c>
      <c r="N1087" s="64">
        <v>173591733.60657385</v>
      </c>
      <c r="P1087">
        <f t="shared" si="61"/>
        <v>427</v>
      </c>
      <c r="Q1087" t="str">
        <f t="shared" si="62"/>
        <v>S</v>
      </c>
      <c r="R1087" t="str">
        <f>IF(ISERROR(MATCH(P1087&amp;"."&amp;Q1087,R$5:R1086,0)),P1087&amp;"."&amp;Q1087,P1087&amp;"."&amp;Q1087&amp;COUNTIFS(P$5:P1086,P1087,Q$5:Q1086,Q1087))</f>
        <v>427.S</v>
      </c>
      <c r="S1087" s="55">
        <f t="shared" si="63"/>
        <v>173591733.60657385</v>
      </c>
    </row>
    <row r="1088" spans="1:19" hidden="1">
      <c r="A1088" s="5">
        <v>1153</v>
      </c>
      <c r="B1088" s="59"/>
      <c r="C1088" s="60"/>
      <c r="D1088" s="63"/>
      <c r="E1088" s="63"/>
      <c r="F1088" s="63" t="s">
        <v>140</v>
      </c>
      <c r="G1088" s="63" t="s">
        <v>433</v>
      </c>
      <c r="H1088" s="62"/>
      <c r="I1088" s="66">
        <v>369853258.75999999</v>
      </c>
      <c r="J1088" s="66">
        <v>165829978.07637087</v>
      </c>
      <c r="K1088" s="62"/>
      <c r="L1088" s="66">
        <v>0</v>
      </c>
      <c r="M1088" s="66">
        <v>0</v>
      </c>
      <c r="N1088" s="66">
        <v>0</v>
      </c>
      <c r="P1088">
        <f t="shared" si="61"/>
        <v>427</v>
      </c>
      <c r="Q1088" t="str">
        <f t="shared" si="62"/>
        <v>SNP</v>
      </c>
      <c r="R1088" t="str">
        <f>IF(ISERROR(MATCH(P1088&amp;"."&amp;Q1088,R$5:R1087,0)),P1088&amp;"."&amp;Q1088,P1088&amp;"."&amp;Q1088&amp;COUNTIFS(P$5:P1087,P1088,Q$5:Q1087,Q1088))</f>
        <v>427.SNP</v>
      </c>
      <c r="S1088" s="55">
        <f t="shared" si="63"/>
        <v>0</v>
      </c>
    </row>
    <row r="1089" spans="1:19" hidden="1">
      <c r="A1089" s="5">
        <v>1154</v>
      </c>
      <c r="B1089" s="59"/>
      <c r="C1089" s="60"/>
      <c r="D1089" s="63"/>
      <c r="E1089" s="63"/>
      <c r="F1089" s="63"/>
      <c r="G1089" s="63"/>
      <c r="H1089" s="62" t="s">
        <v>165</v>
      </c>
      <c r="I1089" s="65">
        <v>369853258.75999999</v>
      </c>
      <c r="J1089" s="65">
        <v>165829978.07637087</v>
      </c>
      <c r="K1089" s="62"/>
      <c r="L1089" s="65">
        <v>398235430.32087773</v>
      </c>
      <c r="M1089" s="65">
        <v>224643696.71430388</v>
      </c>
      <c r="N1089" s="65">
        <v>173591733.60657385</v>
      </c>
      <c r="P1089">
        <f t="shared" si="61"/>
        <v>427</v>
      </c>
      <c r="Q1089" t="str">
        <f t="shared" si="62"/>
        <v>NA</v>
      </c>
      <c r="R1089" t="str">
        <f>IF(ISERROR(MATCH(P1089&amp;"."&amp;Q1089,R$5:R1088,0)),P1089&amp;"."&amp;Q1089,P1089&amp;"."&amp;Q1089&amp;COUNTIFS(P$5:P1088,P1089,Q$5:Q1088,Q1089))</f>
        <v>427.NA1</v>
      </c>
      <c r="S1089" s="55">
        <f t="shared" si="63"/>
        <v>173591733.60657385</v>
      </c>
    </row>
    <row r="1090" spans="1:19" ht="15.75" hidden="1" thickBot="1">
      <c r="A1090" s="5">
        <v>1155</v>
      </c>
      <c r="B1090" s="59"/>
      <c r="C1090" s="60"/>
      <c r="D1090" s="61"/>
      <c r="E1090" s="63"/>
      <c r="F1090" s="63"/>
      <c r="G1090" s="63"/>
      <c r="H1090" s="62"/>
      <c r="I1090" s="98"/>
      <c r="J1090" s="98"/>
      <c r="K1090" s="62"/>
      <c r="L1090" s="98"/>
      <c r="M1090" s="98"/>
      <c r="N1090" s="98"/>
      <c r="P1090">
        <f t="shared" si="61"/>
        <v>427</v>
      </c>
      <c r="Q1090" t="str">
        <f t="shared" si="62"/>
        <v>NA</v>
      </c>
      <c r="R1090" t="str">
        <f>IF(ISERROR(MATCH(P1090&amp;"."&amp;Q1090,R$5:R1089,0)),P1090&amp;"."&amp;Q1090,P1090&amp;"."&amp;Q1090&amp;COUNTIFS(P$5:P1089,P1090,Q$5:Q1089,Q1090))</f>
        <v>427.NA2</v>
      </c>
      <c r="S1090" s="55">
        <f t="shared" si="63"/>
        <v>0</v>
      </c>
    </row>
    <row r="1091" spans="1:19" hidden="1">
      <c r="A1091" s="5">
        <v>1156</v>
      </c>
      <c r="B1091" s="59"/>
      <c r="C1091" s="60">
        <v>428</v>
      </c>
      <c r="D1091" s="63" t="s">
        <v>434</v>
      </c>
      <c r="E1091" s="63"/>
      <c r="F1091" s="63"/>
      <c r="G1091" s="63"/>
      <c r="H1091" s="62"/>
      <c r="I1091" s="65"/>
      <c r="J1091" s="65"/>
      <c r="K1091" s="62"/>
      <c r="L1091" s="65"/>
      <c r="M1091" s="65"/>
      <c r="N1091" s="65"/>
      <c r="P1091">
        <f t="shared" si="61"/>
        <v>428</v>
      </c>
      <c r="Q1091" t="str">
        <f t="shared" si="62"/>
        <v>NA</v>
      </c>
      <c r="R1091" t="str">
        <f>IF(ISERROR(MATCH(P1091&amp;"."&amp;Q1091,R$5:R1090,0)),P1091&amp;"."&amp;Q1091,P1091&amp;"."&amp;Q1091&amp;COUNTIFS(P$5:P1090,P1091,Q$5:Q1090,Q1091))</f>
        <v>428.NA</v>
      </c>
      <c r="S1091" s="55">
        <f t="shared" si="63"/>
        <v>0</v>
      </c>
    </row>
    <row r="1092" spans="1:19" hidden="1">
      <c r="A1092" s="5">
        <v>1157</v>
      </c>
      <c r="B1092" s="59"/>
      <c r="C1092" s="60"/>
      <c r="D1092" s="61"/>
      <c r="E1092" s="63"/>
      <c r="F1092" s="63" t="s">
        <v>140</v>
      </c>
      <c r="G1092" s="63" t="s">
        <v>433</v>
      </c>
      <c r="H1092" s="62"/>
      <c r="I1092" s="65">
        <v>4475935.18</v>
      </c>
      <c r="J1092" s="65">
        <v>2006861.4110881845</v>
      </c>
      <c r="K1092" s="62"/>
      <c r="L1092" s="65">
        <v>4475935.18</v>
      </c>
      <c r="M1092" s="65">
        <v>2490886.8670123806</v>
      </c>
      <c r="N1092" s="65">
        <v>1985048.3129876188</v>
      </c>
      <c r="P1092">
        <f t="shared" si="61"/>
        <v>428</v>
      </c>
      <c r="Q1092" t="str">
        <f t="shared" si="62"/>
        <v>SNP</v>
      </c>
      <c r="R1092" t="str">
        <f>IF(ISERROR(MATCH(P1092&amp;"."&amp;Q1092,R$5:R1091,0)),P1092&amp;"."&amp;Q1092,P1092&amp;"."&amp;Q1092&amp;COUNTIFS(P$5:P1091,P1092,Q$5:Q1091,Q1092))</f>
        <v>428.SNP</v>
      </c>
      <c r="S1092" s="55">
        <f t="shared" si="63"/>
        <v>1985048.3129876188</v>
      </c>
    </row>
    <row r="1093" spans="1:19" hidden="1">
      <c r="A1093" s="5">
        <v>1158</v>
      </c>
      <c r="B1093" s="59"/>
      <c r="C1093" s="60"/>
      <c r="D1093" s="63"/>
      <c r="E1093" s="61"/>
      <c r="F1093" s="60"/>
      <c r="G1093" s="61"/>
      <c r="H1093" s="62" t="s">
        <v>165</v>
      </c>
      <c r="I1093" s="65">
        <v>4475935.18</v>
      </c>
      <c r="J1093" s="65">
        <v>2006861.4110881845</v>
      </c>
      <c r="K1093" s="62"/>
      <c r="L1093" s="65">
        <v>4475935.18</v>
      </c>
      <c r="M1093" s="65">
        <v>2490886.8670123806</v>
      </c>
      <c r="N1093" s="64">
        <v>1985048.3129876188</v>
      </c>
      <c r="P1093">
        <f t="shared" si="61"/>
        <v>428</v>
      </c>
      <c r="Q1093" t="str">
        <f t="shared" si="62"/>
        <v>NA</v>
      </c>
      <c r="R1093" t="str">
        <f>IF(ISERROR(MATCH(P1093&amp;"."&amp;Q1093,R$5:R1092,0)),P1093&amp;"."&amp;Q1093,P1093&amp;"."&amp;Q1093&amp;COUNTIFS(P$5:P1092,P1093,Q$5:Q1092,Q1093))</f>
        <v>428.NA1</v>
      </c>
      <c r="S1093" s="55">
        <f t="shared" si="63"/>
        <v>1985048.3129876188</v>
      </c>
    </row>
    <row r="1094" spans="1:19" hidden="1">
      <c r="A1094" s="5">
        <v>1159</v>
      </c>
      <c r="B1094" s="59"/>
      <c r="C1094" s="60"/>
      <c r="D1094" s="63"/>
      <c r="E1094" s="61"/>
      <c r="F1094" s="60"/>
      <c r="G1094" s="61"/>
      <c r="H1094" s="62"/>
      <c r="I1094" s="65"/>
      <c r="J1094" s="65"/>
      <c r="K1094" s="62"/>
      <c r="L1094" s="65"/>
      <c r="M1094" s="65"/>
      <c r="N1094" s="64"/>
      <c r="P1094">
        <f t="shared" si="61"/>
        <v>428</v>
      </c>
      <c r="Q1094" t="str">
        <f t="shared" si="62"/>
        <v>NA</v>
      </c>
      <c r="R1094" t="str">
        <f>IF(ISERROR(MATCH(P1094&amp;"."&amp;Q1094,R$5:R1093,0)),P1094&amp;"."&amp;Q1094,P1094&amp;"."&amp;Q1094&amp;COUNTIFS(P$5:P1093,P1094,Q$5:Q1093,Q1094))</f>
        <v>428.NA2</v>
      </c>
      <c r="S1094" s="55">
        <f t="shared" si="63"/>
        <v>0</v>
      </c>
    </row>
    <row r="1095" spans="1:19" hidden="1">
      <c r="A1095" s="5">
        <v>1160</v>
      </c>
      <c r="B1095" s="59"/>
      <c r="C1095" s="60">
        <v>429</v>
      </c>
      <c r="D1095" s="63" t="s">
        <v>435</v>
      </c>
      <c r="E1095" s="61"/>
      <c r="F1095" s="60"/>
      <c r="G1095" s="61"/>
      <c r="H1095" s="62"/>
      <c r="I1095" s="65"/>
      <c r="J1095" s="65"/>
      <c r="K1095" s="62"/>
      <c r="L1095" s="65"/>
      <c r="M1095" s="65"/>
      <c r="N1095" s="64"/>
      <c r="P1095">
        <f t="shared" ref="P1095:P1158" si="64">IF(OR(C1095="",C1095=" ",C1095="  ",C1095="   "),P1094,C1095)</f>
        <v>429</v>
      </c>
      <c r="Q1095" t="str">
        <f t="shared" ref="Q1095:Q1158" si="65">IF(G1095="","NA",G1095)</f>
        <v>NA</v>
      </c>
      <c r="R1095" t="str">
        <f>IF(ISERROR(MATCH(P1095&amp;"."&amp;Q1095,R$5:R1094,0)),P1095&amp;"."&amp;Q1095,P1095&amp;"."&amp;Q1095&amp;COUNTIFS(P$5:P1094,P1095,Q$5:Q1094,Q1095))</f>
        <v>429.NA</v>
      </c>
      <c r="S1095" s="55">
        <f t="shared" si="63"/>
        <v>0</v>
      </c>
    </row>
    <row r="1096" spans="1:19" hidden="1">
      <c r="A1096" s="5">
        <v>1161</v>
      </c>
      <c r="B1096" s="59"/>
      <c r="C1096" s="60"/>
      <c r="D1096" s="63"/>
      <c r="E1096" s="61"/>
      <c r="F1096" s="60" t="s">
        <v>140</v>
      </c>
      <c r="G1096" s="61" t="s">
        <v>433</v>
      </c>
      <c r="H1096" s="62"/>
      <c r="I1096" s="65">
        <v>-11025.84</v>
      </c>
      <c r="J1096" s="65">
        <v>-4943.6222668516275</v>
      </c>
      <c r="K1096" s="62"/>
      <c r="L1096" s="65">
        <v>-11025.84</v>
      </c>
      <c r="M1096" s="65">
        <v>-6135.9512480204839</v>
      </c>
      <c r="N1096" s="64">
        <v>-4889.8887519795162</v>
      </c>
      <c r="P1096">
        <f t="shared" si="64"/>
        <v>429</v>
      </c>
      <c r="Q1096" t="str">
        <f t="shared" si="65"/>
        <v>SNP</v>
      </c>
      <c r="R1096" t="str">
        <f>IF(ISERROR(MATCH(P1096&amp;"."&amp;Q1096,R$5:R1095,0)),P1096&amp;"."&amp;Q1096,P1096&amp;"."&amp;Q1096&amp;COUNTIFS(P$5:P1095,P1096,Q$5:Q1095,Q1096))</f>
        <v>429.SNP</v>
      </c>
      <c r="S1096" s="55">
        <f t="shared" ref="S1096:S1159" si="66">N1096</f>
        <v>-4889.8887519795162</v>
      </c>
    </row>
    <row r="1097" spans="1:19" hidden="1">
      <c r="A1097" s="5">
        <v>1162</v>
      </c>
      <c r="B1097" s="59"/>
      <c r="C1097" s="60"/>
      <c r="D1097" s="63"/>
      <c r="E1097" s="63"/>
      <c r="F1097" s="63"/>
      <c r="G1097" s="63"/>
      <c r="H1097" s="62" t="s">
        <v>165</v>
      </c>
      <c r="I1097" s="65">
        <v>-11025.84</v>
      </c>
      <c r="J1097" s="65">
        <v>-4943.6222668516275</v>
      </c>
      <c r="K1097" s="62"/>
      <c r="L1097" s="65">
        <v>-11025.84</v>
      </c>
      <c r="M1097" s="65">
        <v>-6135.9512480204839</v>
      </c>
      <c r="N1097" s="65">
        <v>-4889.8887519795162</v>
      </c>
      <c r="P1097">
        <f t="shared" si="64"/>
        <v>429</v>
      </c>
      <c r="Q1097" t="str">
        <f t="shared" si="65"/>
        <v>NA</v>
      </c>
      <c r="R1097" t="str">
        <f>IF(ISERROR(MATCH(P1097&amp;"."&amp;Q1097,R$5:R1096,0)),P1097&amp;"."&amp;Q1097,P1097&amp;"."&amp;Q1097&amp;COUNTIFS(P$5:P1096,P1097,Q$5:Q1096,Q1097))</f>
        <v>429.NA1</v>
      </c>
      <c r="S1097" s="55">
        <f t="shared" si="66"/>
        <v>-4889.8887519795162</v>
      </c>
    </row>
    <row r="1098" spans="1:19" hidden="1">
      <c r="A1098" s="5">
        <v>1163</v>
      </c>
      <c r="B1098" s="59"/>
      <c r="C1098" s="60"/>
      <c r="D1098" s="63"/>
      <c r="E1098" s="61"/>
      <c r="F1098" s="63"/>
      <c r="G1098" s="63"/>
      <c r="H1098" s="62"/>
      <c r="I1098" s="66"/>
      <c r="J1098" s="66"/>
      <c r="K1098" s="62"/>
      <c r="L1098" s="66"/>
      <c r="M1098" s="66"/>
      <c r="N1098" s="66"/>
      <c r="P1098">
        <f t="shared" si="64"/>
        <v>429</v>
      </c>
      <c r="Q1098" t="str">
        <f t="shared" si="65"/>
        <v>NA</v>
      </c>
      <c r="R1098" t="str">
        <f>IF(ISERROR(MATCH(P1098&amp;"."&amp;Q1098,R$5:R1097,0)),P1098&amp;"."&amp;Q1098,P1098&amp;"."&amp;Q1098&amp;COUNTIFS(P$5:P1097,P1098,Q$5:Q1097,Q1098))</f>
        <v>429.NA2</v>
      </c>
      <c r="S1098" s="55">
        <f t="shared" si="66"/>
        <v>0</v>
      </c>
    </row>
    <row r="1099" spans="1:19" hidden="1">
      <c r="A1099" s="5">
        <v>1164</v>
      </c>
      <c r="B1099" s="59"/>
      <c r="C1099" s="60">
        <v>431</v>
      </c>
      <c r="D1099" s="63" t="s">
        <v>436</v>
      </c>
      <c r="E1099" s="63"/>
      <c r="F1099" s="63"/>
      <c r="G1099" s="63"/>
      <c r="H1099" s="62"/>
      <c r="I1099" s="65"/>
      <c r="J1099" s="65"/>
      <c r="K1099" s="62"/>
      <c r="L1099" s="65"/>
      <c r="M1099" s="65"/>
      <c r="N1099" s="65"/>
      <c r="P1099">
        <f t="shared" si="64"/>
        <v>431</v>
      </c>
      <c r="Q1099" t="str">
        <f t="shared" si="65"/>
        <v>NA</v>
      </c>
      <c r="R1099" t="str">
        <f>IF(ISERROR(MATCH(P1099&amp;"."&amp;Q1099,R$5:R1098,0)),P1099&amp;"."&amp;Q1099,P1099&amp;"."&amp;Q1099&amp;COUNTIFS(P$5:P1098,P1099,Q$5:Q1098,Q1099))</f>
        <v>431.NA</v>
      </c>
      <c r="S1099" s="55">
        <f t="shared" si="66"/>
        <v>0</v>
      </c>
    </row>
    <row r="1100" spans="1:19" ht="15.75" hidden="1" thickBot="1">
      <c r="A1100" s="5">
        <v>1165</v>
      </c>
      <c r="B1100" s="59"/>
      <c r="C1100" s="60"/>
      <c r="D1100" s="61"/>
      <c r="E1100" s="63"/>
      <c r="F1100" s="63" t="s">
        <v>437</v>
      </c>
      <c r="G1100" s="63" t="s">
        <v>438</v>
      </c>
      <c r="H1100" s="62"/>
      <c r="I1100" s="98">
        <v>0</v>
      </c>
      <c r="J1100" s="98">
        <v>0</v>
      </c>
      <c r="K1100" s="62"/>
      <c r="L1100" s="98">
        <v>0</v>
      </c>
      <c r="M1100" s="98">
        <v>0</v>
      </c>
      <c r="N1100" s="98">
        <v>0</v>
      </c>
      <c r="P1100">
        <f t="shared" si="64"/>
        <v>431</v>
      </c>
      <c r="Q1100" t="str">
        <f t="shared" si="65"/>
        <v>OTH</v>
      </c>
      <c r="R1100" t="str">
        <f>IF(ISERROR(MATCH(P1100&amp;"."&amp;Q1100,R$5:R1099,0)),P1100&amp;"."&amp;Q1100,P1100&amp;"."&amp;Q1100&amp;COUNTIFS(P$5:P1099,P1100,Q$5:Q1099,Q1100))</f>
        <v>431.OTH</v>
      </c>
      <c r="S1100" s="55">
        <f t="shared" si="66"/>
        <v>0</v>
      </c>
    </row>
    <row r="1101" spans="1:19" hidden="1">
      <c r="A1101" s="5">
        <v>1166</v>
      </c>
      <c r="B1101" s="59"/>
      <c r="C1101" s="60"/>
      <c r="D1101" s="63"/>
      <c r="E1101" s="63"/>
      <c r="F1101" s="63" t="s">
        <v>140</v>
      </c>
      <c r="G1101" s="63" t="s">
        <v>136</v>
      </c>
      <c r="H1101" s="62"/>
      <c r="I1101" s="65">
        <v>0</v>
      </c>
      <c r="J1101" s="65">
        <v>0</v>
      </c>
      <c r="K1101" s="62"/>
      <c r="L1101" s="65">
        <v>0</v>
      </c>
      <c r="M1101" s="65">
        <v>0</v>
      </c>
      <c r="N1101" s="65">
        <v>0</v>
      </c>
      <c r="P1101">
        <f t="shared" si="64"/>
        <v>431</v>
      </c>
      <c r="Q1101" t="str">
        <f t="shared" si="65"/>
        <v>SO</v>
      </c>
      <c r="R1101" t="str">
        <f>IF(ISERROR(MATCH(P1101&amp;"."&amp;Q1101,R$5:R1100,0)),P1101&amp;"."&amp;Q1101,P1101&amp;"."&amp;Q1101&amp;COUNTIFS(P$5:P1100,P1101,Q$5:Q1100,Q1101))</f>
        <v>431.SO</v>
      </c>
      <c r="S1101" s="55">
        <f t="shared" si="66"/>
        <v>0</v>
      </c>
    </row>
    <row r="1102" spans="1:19" hidden="1">
      <c r="A1102" s="5">
        <v>1167</v>
      </c>
      <c r="B1102" s="59"/>
      <c r="C1102" s="60"/>
      <c r="D1102" s="63"/>
      <c r="E1102" s="63"/>
      <c r="F1102" s="63" t="s">
        <v>140</v>
      </c>
      <c r="G1102" s="63" t="s">
        <v>433</v>
      </c>
      <c r="H1102" s="62"/>
      <c r="I1102" s="65">
        <v>24622418.77</v>
      </c>
      <c r="J1102" s="65">
        <v>11039878.838720448</v>
      </c>
      <c r="K1102" s="62"/>
      <c r="L1102" s="65">
        <v>24622418.77</v>
      </c>
      <c r="M1102" s="65">
        <v>13702535.242762864</v>
      </c>
      <c r="N1102" s="65">
        <v>10919883.527237136</v>
      </c>
      <c r="P1102">
        <f t="shared" si="64"/>
        <v>431</v>
      </c>
      <c r="Q1102" t="str">
        <f t="shared" si="65"/>
        <v>SNP</v>
      </c>
      <c r="R1102" t="str">
        <f>IF(ISERROR(MATCH(P1102&amp;"."&amp;Q1102,R$5:R1101,0)),P1102&amp;"."&amp;Q1102,P1102&amp;"."&amp;Q1102&amp;COUNTIFS(P$5:P1101,P1102,Q$5:Q1101,Q1102))</f>
        <v>431.SNP</v>
      </c>
      <c r="S1102" s="55">
        <f t="shared" si="66"/>
        <v>10919883.527237136</v>
      </c>
    </row>
    <row r="1103" spans="1:19" hidden="1">
      <c r="A1103" s="5">
        <v>1168</v>
      </c>
      <c r="B1103" s="59"/>
      <c r="C1103" s="60"/>
      <c r="D1103" s="61"/>
      <c r="E1103" s="63"/>
      <c r="F1103" s="63"/>
      <c r="G1103" s="63"/>
      <c r="H1103" s="62" t="s">
        <v>165</v>
      </c>
      <c r="I1103" s="65">
        <v>24622418.77</v>
      </c>
      <c r="J1103" s="65">
        <v>11039878.838720448</v>
      </c>
      <c r="K1103" s="62"/>
      <c r="L1103" s="65">
        <v>24622418.77</v>
      </c>
      <c r="M1103" s="65">
        <v>13702535.242762864</v>
      </c>
      <c r="N1103" s="65">
        <v>10919883.527237136</v>
      </c>
      <c r="P1103">
        <f t="shared" si="64"/>
        <v>431</v>
      </c>
      <c r="Q1103" t="str">
        <f t="shared" si="65"/>
        <v>NA</v>
      </c>
      <c r="R1103" t="str">
        <f>IF(ISERROR(MATCH(P1103&amp;"."&amp;Q1103,R$5:R1102,0)),P1103&amp;"."&amp;Q1103,P1103&amp;"."&amp;Q1103&amp;COUNTIFS(P$5:P1102,P1103,Q$5:Q1102,Q1103))</f>
        <v>431.NA1</v>
      </c>
      <c r="S1103" s="55">
        <f t="shared" si="66"/>
        <v>10919883.527237136</v>
      </c>
    </row>
    <row r="1104" spans="1:19" hidden="1">
      <c r="A1104" s="5">
        <v>1169</v>
      </c>
      <c r="B1104" s="59"/>
      <c r="C1104" s="60"/>
      <c r="D1104" s="63"/>
      <c r="E1104" s="63"/>
      <c r="F1104" s="60"/>
      <c r="G1104" s="61"/>
      <c r="H1104" s="62"/>
      <c r="I1104" s="65"/>
      <c r="J1104" s="65"/>
      <c r="K1104" s="62"/>
      <c r="L1104" s="65"/>
      <c r="M1104" s="65"/>
      <c r="N1104" s="64"/>
      <c r="P1104">
        <f t="shared" si="64"/>
        <v>431</v>
      </c>
      <c r="Q1104" t="str">
        <f t="shared" si="65"/>
        <v>NA</v>
      </c>
      <c r="R1104" t="str">
        <f>IF(ISERROR(MATCH(P1104&amp;"."&amp;Q1104,R$5:R1103,0)),P1104&amp;"."&amp;Q1104,P1104&amp;"."&amp;Q1104&amp;COUNTIFS(P$5:P1103,P1104,Q$5:Q1103,Q1104))</f>
        <v>431.NA2</v>
      </c>
      <c r="S1104" s="55">
        <f t="shared" si="66"/>
        <v>0</v>
      </c>
    </row>
    <row r="1105" spans="1:19" hidden="1">
      <c r="A1105" s="5">
        <v>1170</v>
      </c>
      <c r="B1105" s="59"/>
      <c r="C1105" s="60">
        <v>432</v>
      </c>
      <c r="D1105" s="63" t="s">
        <v>439</v>
      </c>
      <c r="E1105" s="63"/>
      <c r="F1105" s="60"/>
      <c r="G1105" s="61"/>
      <c r="H1105" s="62"/>
      <c r="I1105" s="65"/>
      <c r="J1105" s="65"/>
      <c r="K1105" s="62"/>
      <c r="L1105" s="65"/>
      <c r="M1105" s="65"/>
      <c r="N1105" s="64"/>
      <c r="P1105">
        <f t="shared" si="64"/>
        <v>432</v>
      </c>
      <c r="Q1105" t="str">
        <f t="shared" si="65"/>
        <v>NA</v>
      </c>
      <c r="R1105" t="str">
        <f>IF(ISERROR(MATCH(P1105&amp;"."&amp;Q1105,R$5:R1104,0)),P1105&amp;"."&amp;Q1105,P1105&amp;"."&amp;Q1105&amp;COUNTIFS(P$5:P1104,P1105,Q$5:Q1104,Q1105))</f>
        <v>432.NA</v>
      </c>
      <c r="S1105" s="55">
        <f t="shared" si="66"/>
        <v>0</v>
      </c>
    </row>
    <row r="1106" spans="1:19" ht="15.75" hidden="1" thickBot="1">
      <c r="A1106" s="5">
        <v>1171</v>
      </c>
      <c r="B1106" s="59"/>
      <c r="C1106" s="60"/>
      <c r="D1106" s="61"/>
      <c r="E1106" s="63"/>
      <c r="F1106" s="63" t="s">
        <v>140</v>
      </c>
      <c r="G1106" s="63" t="s">
        <v>433</v>
      </c>
      <c r="H1106" s="62"/>
      <c r="I1106" s="81">
        <v>-36284268.850000001</v>
      </c>
      <c r="J1106" s="81">
        <v>-16268667.006168321</v>
      </c>
      <c r="K1106" s="62"/>
      <c r="L1106" s="81">
        <v>-36284268.850000001</v>
      </c>
      <c r="M1106" s="81">
        <v>-20192430.21245259</v>
      </c>
      <c r="N1106" s="81">
        <v>-16091838.637547409</v>
      </c>
      <c r="P1106">
        <f t="shared" si="64"/>
        <v>432</v>
      </c>
      <c r="Q1106" t="str">
        <f t="shared" si="65"/>
        <v>SNP</v>
      </c>
      <c r="R1106" t="str">
        <f>IF(ISERROR(MATCH(P1106&amp;"."&amp;Q1106,R$5:R1105,0)),P1106&amp;"."&amp;Q1106,P1106&amp;"."&amp;Q1106&amp;COUNTIFS(P$5:P1105,P1106,Q$5:Q1105,Q1106))</f>
        <v>432.SNP</v>
      </c>
      <c r="S1106" s="55">
        <f t="shared" si="66"/>
        <v>-16091838.637547409</v>
      </c>
    </row>
    <row r="1107" spans="1:19" hidden="1">
      <c r="A1107" s="5">
        <v>1172</v>
      </c>
      <c r="B1107" s="59"/>
      <c r="C1107" s="60"/>
      <c r="D1107" s="63"/>
      <c r="E1107" s="63"/>
      <c r="F1107" s="63"/>
      <c r="G1107" s="63"/>
      <c r="H1107" s="62"/>
      <c r="I1107" s="77">
        <v>-36284268.850000001</v>
      </c>
      <c r="J1107" s="77">
        <v>-16268667.006168321</v>
      </c>
      <c r="K1107" s="62"/>
      <c r="L1107" s="77">
        <v>-36284268.850000001</v>
      </c>
      <c r="M1107" s="77">
        <v>-20192430.21245259</v>
      </c>
      <c r="N1107" s="77">
        <v>-16091838.637547409</v>
      </c>
      <c r="P1107">
        <f t="shared" si="64"/>
        <v>432</v>
      </c>
      <c r="Q1107" t="str">
        <f t="shared" si="65"/>
        <v>NA</v>
      </c>
      <c r="R1107" t="str">
        <f>IF(ISERROR(MATCH(P1107&amp;"."&amp;Q1107,R$5:R1106,0)),P1107&amp;"."&amp;Q1107,P1107&amp;"."&amp;Q1107&amp;COUNTIFS(P$5:P1106,P1107,Q$5:Q1106,Q1107))</f>
        <v>432.NA1</v>
      </c>
      <c r="S1107" s="55">
        <f t="shared" si="66"/>
        <v>-16091838.637547409</v>
      </c>
    </row>
    <row r="1108" spans="1:19" hidden="1">
      <c r="A1108" s="5">
        <v>1173</v>
      </c>
      <c r="B1108" s="59"/>
      <c r="C1108" s="60"/>
      <c r="D1108" s="63"/>
      <c r="E1108" s="63"/>
      <c r="F1108" s="63"/>
      <c r="G1108" s="63"/>
      <c r="H1108" s="62"/>
      <c r="I1108" s="77"/>
      <c r="J1108" s="77"/>
      <c r="K1108" s="62"/>
      <c r="L1108" s="77"/>
      <c r="M1108" s="77"/>
      <c r="N1108" s="77"/>
      <c r="P1108">
        <f t="shared" si="64"/>
        <v>432</v>
      </c>
      <c r="Q1108" t="str">
        <f t="shared" si="65"/>
        <v>NA</v>
      </c>
      <c r="R1108" t="str">
        <f>IF(ISERROR(MATCH(P1108&amp;"."&amp;Q1108,R$5:R1107,0)),P1108&amp;"."&amp;Q1108,P1108&amp;"."&amp;Q1108&amp;COUNTIFS(P$5:P1107,P1108,Q$5:Q1107,Q1108))</f>
        <v>432.NA2</v>
      </c>
      <c r="S1108" s="55">
        <f t="shared" si="66"/>
        <v>0</v>
      </c>
    </row>
    <row r="1109" spans="1:19" hidden="1">
      <c r="A1109" s="5">
        <v>1174</v>
      </c>
      <c r="B1109" s="59"/>
      <c r="C1109" s="60"/>
      <c r="D1109" s="61" t="s">
        <v>440</v>
      </c>
      <c r="E1109" s="63"/>
      <c r="F1109" s="63"/>
      <c r="G1109" s="63"/>
      <c r="H1109" s="62" t="s">
        <v>165</v>
      </c>
      <c r="I1109" s="65">
        <v>362656318.01999998</v>
      </c>
      <c r="J1109" s="65">
        <v>162603107.69774431</v>
      </c>
      <c r="K1109" s="62"/>
      <c r="L1109" s="65">
        <v>391038489.58087772</v>
      </c>
      <c r="M1109" s="65">
        <v>220638552.66037852</v>
      </c>
      <c r="N1109" s="65">
        <v>170399936.92049924</v>
      </c>
      <c r="P1109">
        <f t="shared" si="64"/>
        <v>432</v>
      </c>
      <c r="Q1109" t="str">
        <f t="shared" si="65"/>
        <v>NA</v>
      </c>
      <c r="R1109" t="str">
        <f>IF(ISERROR(MATCH(P1109&amp;"."&amp;Q1109,R$5:R1108,0)),P1109&amp;"."&amp;Q1109,P1109&amp;"."&amp;Q1109&amp;COUNTIFS(P$5:P1108,P1109,Q$5:Q1108,Q1109))</f>
        <v>432.NA3</v>
      </c>
      <c r="S1109" s="55">
        <f t="shared" si="66"/>
        <v>170399936.92049924</v>
      </c>
    </row>
    <row r="1110" spans="1:19" hidden="1">
      <c r="A1110" s="5">
        <v>1175</v>
      </c>
      <c r="B1110" s="59"/>
      <c r="C1110" s="60"/>
      <c r="D1110" s="63"/>
      <c r="E1110" s="63"/>
      <c r="F1110" s="60"/>
      <c r="G1110" s="61"/>
      <c r="H1110" s="62"/>
      <c r="I1110" s="65"/>
      <c r="J1110" s="65"/>
      <c r="K1110" s="62"/>
      <c r="L1110" s="65"/>
      <c r="M1110" s="65"/>
      <c r="N1110" s="64"/>
      <c r="P1110">
        <f t="shared" si="64"/>
        <v>432</v>
      </c>
      <c r="Q1110" t="str">
        <f t="shared" si="65"/>
        <v>NA</v>
      </c>
      <c r="R1110" t="str">
        <f>IF(ISERROR(MATCH(P1110&amp;"."&amp;Q1110,R$5:R1109,0)),P1110&amp;"."&amp;Q1110,P1110&amp;"."&amp;Q1110&amp;COUNTIFS(P$5:P1109,P1110,Q$5:Q1109,Q1110))</f>
        <v>432.NA4</v>
      </c>
      <c r="S1110" s="55">
        <f t="shared" si="66"/>
        <v>0</v>
      </c>
    </row>
    <row r="1111" spans="1:19" hidden="1">
      <c r="A1111" s="5">
        <v>1176</v>
      </c>
      <c r="B1111" s="59"/>
      <c r="C1111" s="60"/>
      <c r="D1111" s="63" t="s">
        <v>441</v>
      </c>
      <c r="E1111" s="63"/>
      <c r="F1111" s="60"/>
      <c r="G1111" s="61"/>
      <c r="H1111" s="62"/>
      <c r="I1111" s="65"/>
      <c r="J1111" s="65"/>
      <c r="K1111" s="62"/>
      <c r="L1111" s="65"/>
      <c r="M1111" s="65"/>
      <c r="N1111" s="64"/>
      <c r="P1111">
        <f t="shared" si="64"/>
        <v>432</v>
      </c>
      <c r="Q1111" t="str">
        <f t="shared" si="65"/>
        <v>NA</v>
      </c>
      <c r="R1111" t="str">
        <f>IF(ISERROR(MATCH(P1111&amp;"."&amp;Q1111,R$5:R1110,0)),P1111&amp;"."&amp;Q1111,P1111&amp;"."&amp;Q1111&amp;COUNTIFS(P$5:P1110,P1111,Q$5:Q1110,Q1111))</f>
        <v>432.NA5</v>
      </c>
      <c r="S1111" s="55">
        <f t="shared" si="66"/>
        <v>0</v>
      </c>
    </row>
    <row r="1112" spans="1:19" hidden="1">
      <c r="A1112" s="5">
        <v>1177</v>
      </c>
      <c r="B1112" s="59"/>
      <c r="C1112" s="60"/>
      <c r="D1112" s="63"/>
      <c r="E1112" s="63">
        <v>427</v>
      </c>
      <c r="F1112" s="60" t="s">
        <v>437</v>
      </c>
      <c r="G1112" s="61" t="s">
        <v>437</v>
      </c>
      <c r="H1112" s="62"/>
      <c r="I1112" s="65">
        <v>0</v>
      </c>
      <c r="J1112" s="65">
        <v>0</v>
      </c>
      <c r="K1112" s="62"/>
      <c r="L1112" s="65">
        <v>0</v>
      </c>
      <c r="M1112" s="65">
        <v>0</v>
      </c>
      <c r="N1112" s="64">
        <v>0</v>
      </c>
      <c r="P1112">
        <f t="shared" si="64"/>
        <v>432</v>
      </c>
      <c r="Q1112" t="str">
        <f t="shared" si="65"/>
        <v>NUTIL</v>
      </c>
      <c r="R1112" t="str">
        <f>IF(ISERROR(MATCH(P1112&amp;"."&amp;Q1112,R$5:R1111,0)),P1112&amp;"."&amp;Q1112,P1112&amp;"."&amp;Q1112&amp;COUNTIFS(P$5:P1111,P1112,Q$5:Q1111,Q1112))</f>
        <v>432.NUTIL</v>
      </c>
      <c r="S1112" s="55">
        <f t="shared" si="66"/>
        <v>0</v>
      </c>
    </row>
    <row r="1113" spans="1:19" hidden="1">
      <c r="A1113" s="5">
        <v>1178</v>
      </c>
      <c r="B1113" s="59"/>
      <c r="C1113" s="60"/>
      <c r="D1113" s="63"/>
      <c r="E1113" s="63">
        <v>428</v>
      </c>
      <c r="F1113" s="60" t="s">
        <v>437</v>
      </c>
      <c r="G1113" s="61" t="s">
        <v>437</v>
      </c>
      <c r="H1113" s="62"/>
      <c r="I1113" s="65">
        <v>0</v>
      </c>
      <c r="J1113" s="65">
        <v>0</v>
      </c>
      <c r="K1113" s="62"/>
      <c r="L1113" s="65">
        <v>0</v>
      </c>
      <c r="M1113" s="65">
        <v>0</v>
      </c>
      <c r="N1113" s="64">
        <v>0</v>
      </c>
      <c r="P1113">
        <f t="shared" si="64"/>
        <v>432</v>
      </c>
      <c r="Q1113" t="str">
        <f t="shared" si="65"/>
        <v>NUTIL</v>
      </c>
      <c r="R1113" t="str">
        <f>IF(ISERROR(MATCH(P1113&amp;"."&amp;Q1113,R$5:R1112,0)),P1113&amp;"."&amp;Q1113,P1113&amp;"."&amp;Q1113&amp;COUNTIFS(P$5:P1112,P1113,Q$5:Q1112,Q1113))</f>
        <v>432.NUTIL1</v>
      </c>
      <c r="S1113" s="55">
        <f t="shared" si="66"/>
        <v>0</v>
      </c>
    </row>
    <row r="1114" spans="1:19" hidden="1">
      <c r="A1114" s="5">
        <v>1179</v>
      </c>
      <c r="B1114" s="59"/>
      <c r="C1114" s="60"/>
      <c r="D1114" s="63"/>
      <c r="E1114" s="63">
        <v>429</v>
      </c>
      <c r="F1114" s="60" t="s">
        <v>437</v>
      </c>
      <c r="G1114" s="61" t="s">
        <v>437</v>
      </c>
      <c r="H1114" s="62"/>
      <c r="I1114" s="65">
        <v>0</v>
      </c>
      <c r="J1114" s="65">
        <v>0</v>
      </c>
      <c r="K1114" s="62"/>
      <c r="L1114" s="65">
        <v>0</v>
      </c>
      <c r="M1114" s="65">
        <v>0</v>
      </c>
      <c r="N1114" s="64">
        <v>0</v>
      </c>
      <c r="P1114">
        <f t="shared" si="64"/>
        <v>432</v>
      </c>
      <c r="Q1114" t="str">
        <f t="shared" si="65"/>
        <v>NUTIL</v>
      </c>
      <c r="R1114" t="str">
        <f>IF(ISERROR(MATCH(P1114&amp;"."&amp;Q1114,R$5:R1113,0)),P1114&amp;"."&amp;Q1114,P1114&amp;"."&amp;Q1114&amp;COUNTIFS(P$5:P1113,P1114,Q$5:Q1113,Q1114))</f>
        <v>432.NUTIL2</v>
      </c>
      <c r="S1114" s="55">
        <f t="shared" si="66"/>
        <v>0</v>
      </c>
    </row>
    <row r="1115" spans="1:19" hidden="1">
      <c r="A1115" s="5">
        <v>1180</v>
      </c>
      <c r="B1115" s="59"/>
      <c r="C1115" s="60"/>
      <c r="D1115" s="63"/>
      <c r="E1115" s="63">
        <v>431</v>
      </c>
      <c r="F1115" s="60" t="s">
        <v>437</v>
      </c>
      <c r="G1115" s="61" t="s">
        <v>437</v>
      </c>
      <c r="H1115" s="62"/>
      <c r="I1115" s="65">
        <v>0</v>
      </c>
      <c r="J1115" s="65">
        <v>0</v>
      </c>
      <c r="K1115" s="62"/>
      <c r="L1115" s="65">
        <v>0</v>
      </c>
      <c r="M1115" s="65">
        <v>0</v>
      </c>
      <c r="N1115" s="64">
        <v>0</v>
      </c>
      <c r="P1115">
        <f t="shared" si="64"/>
        <v>432</v>
      </c>
      <c r="Q1115" t="str">
        <f t="shared" si="65"/>
        <v>NUTIL</v>
      </c>
      <c r="R1115" t="str">
        <f>IF(ISERROR(MATCH(P1115&amp;"."&amp;Q1115,R$5:R1114,0)),P1115&amp;"."&amp;Q1115,P1115&amp;"."&amp;Q1115&amp;COUNTIFS(P$5:P1114,P1115,Q$5:Q1114,Q1115))</f>
        <v>432.NUTIL3</v>
      </c>
      <c r="S1115" s="55">
        <f t="shared" si="66"/>
        <v>0</v>
      </c>
    </row>
    <row r="1116" spans="1:19" hidden="1">
      <c r="A1116" s="5">
        <v>1181</v>
      </c>
      <c r="B1116" s="59"/>
      <c r="C1116" s="60"/>
      <c r="D1116" s="63"/>
      <c r="E1116" s="63"/>
      <c r="F1116" s="60"/>
      <c r="G1116" s="61"/>
      <c r="H1116" s="62"/>
      <c r="I1116" s="65"/>
      <c r="J1116" s="65"/>
      <c r="K1116" s="62"/>
      <c r="L1116" s="65"/>
      <c r="M1116" s="65"/>
      <c r="N1116" s="64"/>
      <c r="P1116">
        <f t="shared" si="64"/>
        <v>432</v>
      </c>
      <c r="Q1116" t="str">
        <f t="shared" si="65"/>
        <v>NA</v>
      </c>
      <c r="R1116" t="str">
        <f>IF(ISERROR(MATCH(P1116&amp;"."&amp;Q1116,R$5:R1115,0)),P1116&amp;"."&amp;Q1116,P1116&amp;"."&amp;Q1116&amp;COUNTIFS(P$5:P1115,P1116,Q$5:Q1115,Q1116))</f>
        <v>432.NA6</v>
      </c>
      <c r="S1116" s="55">
        <f t="shared" si="66"/>
        <v>0</v>
      </c>
    </row>
    <row r="1117" spans="1:19" hidden="1">
      <c r="A1117" s="5">
        <v>1182</v>
      </c>
      <c r="B1117" s="59"/>
      <c r="C1117" s="60"/>
      <c r="D1117" s="63"/>
      <c r="E1117" s="63" t="s">
        <v>442</v>
      </c>
      <c r="F1117" s="60"/>
      <c r="G1117" s="61"/>
      <c r="H1117" s="62"/>
      <c r="I1117" s="65">
        <v>0</v>
      </c>
      <c r="J1117" s="65">
        <v>0</v>
      </c>
      <c r="K1117" s="62"/>
      <c r="L1117" s="65">
        <v>0</v>
      </c>
      <c r="M1117" s="65">
        <v>0</v>
      </c>
      <c r="N1117" s="64">
        <v>0</v>
      </c>
      <c r="P1117">
        <f t="shared" si="64"/>
        <v>432</v>
      </c>
      <c r="Q1117" t="str">
        <f t="shared" si="65"/>
        <v>NA</v>
      </c>
      <c r="R1117" t="str">
        <f>IF(ISERROR(MATCH(P1117&amp;"."&amp;Q1117,R$5:R1116,0)),P1117&amp;"."&amp;Q1117,P1117&amp;"."&amp;Q1117&amp;COUNTIFS(P$5:P1116,P1117,Q$5:Q1116,Q1117))</f>
        <v>432.NA7</v>
      </c>
      <c r="S1117" s="55">
        <f t="shared" si="66"/>
        <v>0</v>
      </c>
    </row>
    <row r="1118" spans="1:19" hidden="1">
      <c r="A1118" s="5">
        <v>1183</v>
      </c>
      <c r="B1118" s="59"/>
      <c r="C1118" s="60"/>
      <c r="D1118" s="63"/>
      <c r="E1118" s="63"/>
      <c r="F1118" s="60"/>
      <c r="G1118" s="61"/>
      <c r="H1118" s="62"/>
      <c r="I1118" s="65"/>
      <c r="J1118" s="65"/>
      <c r="K1118" s="62"/>
      <c r="L1118" s="65"/>
      <c r="M1118" s="65"/>
      <c r="N1118" s="64"/>
      <c r="P1118">
        <f t="shared" si="64"/>
        <v>432</v>
      </c>
      <c r="Q1118" t="str">
        <f t="shared" si="65"/>
        <v>NA</v>
      </c>
      <c r="R1118" t="str">
        <f>IF(ISERROR(MATCH(P1118&amp;"."&amp;Q1118,R$5:R1117,0)),P1118&amp;"."&amp;Q1118,P1118&amp;"."&amp;Q1118&amp;COUNTIFS(P$5:P1117,P1118,Q$5:Q1117,Q1118))</f>
        <v>432.NA8</v>
      </c>
      <c r="S1118" s="55">
        <f t="shared" si="66"/>
        <v>0</v>
      </c>
    </row>
    <row r="1119" spans="1:19" hidden="1">
      <c r="A1119" s="5">
        <v>1184</v>
      </c>
      <c r="B1119" s="59"/>
      <c r="C1119" s="60"/>
      <c r="D1119" s="63" t="s">
        <v>443</v>
      </c>
      <c r="E1119" s="63"/>
      <c r="F1119" s="60"/>
      <c r="G1119" s="61"/>
      <c r="H1119" s="62" t="s">
        <v>165</v>
      </c>
      <c r="I1119" s="65">
        <v>362656318.01999998</v>
      </c>
      <c r="J1119" s="65">
        <v>162603107.69774431</v>
      </c>
      <c r="K1119" s="62"/>
      <c r="L1119" s="65">
        <v>391038489.58087772</v>
      </c>
      <c r="M1119" s="65">
        <v>220638552.66037852</v>
      </c>
      <c r="N1119" s="64">
        <v>170399936.92049924</v>
      </c>
      <c r="P1119">
        <f t="shared" si="64"/>
        <v>432</v>
      </c>
      <c r="Q1119" t="str">
        <f t="shared" si="65"/>
        <v>NA</v>
      </c>
      <c r="R1119" t="str">
        <f>IF(ISERROR(MATCH(P1119&amp;"."&amp;Q1119,R$5:R1118,0)),P1119&amp;"."&amp;Q1119,P1119&amp;"."&amp;Q1119&amp;COUNTIFS(P$5:P1118,P1119,Q$5:Q1118,Q1119))</f>
        <v>432.NA9</v>
      </c>
      <c r="S1119" s="55">
        <f t="shared" si="66"/>
        <v>170399936.92049924</v>
      </c>
    </row>
    <row r="1120" spans="1:19" hidden="1">
      <c r="A1120" s="5">
        <v>1185</v>
      </c>
      <c r="B1120" s="59"/>
      <c r="C1120" s="60"/>
      <c r="D1120" s="63"/>
      <c r="E1120" s="63"/>
      <c r="F1120" s="60"/>
      <c r="G1120" s="61"/>
      <c r="H1120" s="62"/>
      <c r="I1120" s="65"/>
      <c r="J1120" s="65"/>
      <c r="K1120" s="62"/>
      <c r="L1120" s="65"/>
      <c r="M1120" s="65"/>
      <c r="N1120" s="64"/>
      <c r="P1120">
        <f t="shared" si="64"/>
        <v>432</v>
      </c>
      <c r="Q1120" t="str">
        <f t="shared" si="65"/>
        <v>NA</v>
      </c>
      <c r="R1120" t="str">
        <f>IF(ISERROR(MATCH(P1120&amp;"."&amp;Q1120,R$5:R1119,0)),P1120&amp;"."&amp;Q1120,P1120&amp;"."&amp;Q1120&amp;COUNTIFS(P$5:P1119,P1120,Q$5:Q1119,Q1120))</f>
        <v>432.NA10</v>
      </c>
      <c r="S1120" s="55">
        <f t="shared" si="66"/>
        <v>0</v>
      </c>
    </row>
    <row r="1121" spans="1:19" hidden="1">
      <c r="A1121" s="5">
        <v>1186</v>
      </c>
      <c r="B1121" s="59"/>
      <c r="C1121" s="60"/>
      <c r="D1121" s="63"/>
      <c r="E1121" s="63"/>
      <c r="F1121" s="60"/>
      <c r="G1121" s="61"/>
      <c r="H1121" s="62"/>
      <c r="I1121" s="65"/>
      <c r="J1121" s="65"/>
      <c r="K1121" s="62"/>
      <c r="L1121" s="65"/>
      <c r="M1121" s="65"/>
      <c r="N1121" s="64"/>
      <c r="P1121">
        <f t="shared" si="64"/>
        <v>432</v>
      </c>
      <c r="Q1121" t="str">
        <f t="shared" si="65"/>
        <v>NA</v>
      </c>
      <c r="R1121" t="str">
        <f>IF(ISERROR(MATCH(P1121&amp;"."&amp;Q1121,R$5:R1120,0)),P1121&amp;"."&amp;Q1121,P1121&amp;"."&amp;Q1121&amp;COUNTIFS(P$5:P1120,P1121,Q$5:Q1120,Q1121))</f>
        <v>432.NA11</v>
      </c>
      <c r="S1121" s="55">
        <f t="shared" si="66"/>
        <v>0</v>
      </c>
    </row>
    <row r="1122" spans="1:19" hidden="1">
      <c r="A1122" s="5">
        <v>1187</v>
      </c>
      <c r="B1122" s="59"/>
      <c r="C1122" s="60">
        <v>419</v>
      </c>
      <c r="D1122" s="63" t="s">
        <v>444</v>
      </c>
      <c r="E1122" s="63"/>
      <c r="F1122" s="60"/>
      <c r="G1122" s="61"/>
      <c r="H1122" s="62"/>
      <c r="I1122" s="65"/>
      <c r="J1122" s="65"/>
      <c r="K1122" s="62"/>
      <c r="L1122" s="65"/>
      <c r="M1122" s="65"/>
      <c r="N1122" s="64"/>
      <c r="P1122">
        <f t="shared" si="64"/>
        <v>419</v>
      </c>
      <c r="Q1122" t="str">
        <f t="shared" si="65"/>
        <v>NA</v>
      </c>
      <c r="R1122" t="str">
        <f>IF(ISERROR(MATCH(P1122&amp;"."&amp;Q1122,R$5:R1121,0)),P1122&amp;"."&amp;Q1122,P1122&amp;"."&amp;Q1122&amp;COUNTIFS(P$5:P1121,P1122,Q$5:Q1121,Q1122))</f>
        <v>419.NA</v>
      </c>
      <c r="S1122" s="55">
        <f t="shared" si="66"/>
        <v>0</v>
      </c>
    </row>
    <row r="1123" spans="1:19" hidden="1">
      <c r="A1123" s="5">
        <v>1188</v>
      </c>
      <c r="B1123" s="59"/>
      <c r="C1123" s="60"/>
      <c r="D1123" s="63"/>
      <c r="E1123" s="63"/>
      <c r="F1123" s="60" t="s">
        <v>140</v>
      </c>
      <c r="G1123" s="61" t="s">
        <v>12</v>
      </c>
      <c r="H1123" s="62"/>
      <c r="I1123" s="65">
        <v>0</v>
      </c>
      <c r="J1123" s="65">
        <v>0</v>
      </c>
      <c r="K1123" s="62"/>
      <c r="L1123" s="65">
        <v>0</v>
      </c>
      <c r="M1123" s="65">
        <v>0</v>
      </c>
      <c r="N1123" s="64">
        <v>0</v>
      </c>
      <c r="P1123">
        <f t="shared" si="64"/>
        <v>419</v>
      </c>
      <c r="Q1123" t="str">
        <f t="shared" si="65"/>
        <v>S</v>
      </c>
      <c r="R1123" t="str">
        <f>IF(ISERROR(MATCH(P1123&amp;"."&amp;Q1123,R$5:R1122,0)),P1123&amp;"."&amp;Q1123,P1123&amp;"."&amp;Q1123&amp;COUNTIFS(P$5:P1122,P1123,Q$5:Q1122,Q1123))</f>
        <v>419.S</v>
      </c>
      <c r="S1123" s="55">
        <f t="shared" si="66"/>
        <v>0</v>
      </c>
    </row>
    <row r="1124" spans="1:19" hidden="1">
      <c r="A1124" s="5">
        <v>1189</v>
      </c>
      <c r="B1124" s="59"/>
      <c r="C1124" s="60"/>
      <c r="D1124" s="63"/>
      <c r="E1124" s="63"/>
      <c r="F1124" s="60" t="s">
        <v>140</v>
      </c>
      <c r="G1124" s="61" t="s">
        <v>433</v>
      </c>
      <c r="H1124" s="62"/>
      <c r="I1124" s="65">
        <v>-72317120.459999993</v>
      </c>
      <c r="J1124" s="65">
        <v>-32424606.83092149</v>
      </c>
      <c r="K1124" s="62"/>
      <c r="L1124" s="65">
        <v>-45834876.281368308</v>
      </c>
      <c r="M1124" s="65">
        <v>-25507404.997852895</v>
      </c>
      <c r="N1124" s="64">
        <v>-20327471.283515412</v>
      </c>
      <c r="P1124">
        <f t="shared" si="64"/>
        <v>419</v>
      </c>
      <c r="Q1124" t="str">
        <f t="shared" si="65"/>
        <v>SNP</v>
      </c>
      <c r="R1124" t="str">
        <f>IF(ISERROR(MATCH(P1124&amp;"."&amp;Q1124,R$5:R1123,0)),P1124&amp;"."&amp;Q1124,P1124&amp;"."&amp;Q1124&amp;COUNTIFS(P$5:P1123,P1124,Q$5:Q1123,Q1124))</f>
        <v>419.SNP</v>
      </c>
      <c r="S1124" s="55">
        <f t="shared" si="66"/>
        <v>-20327471.283515412</v>
      </c>
    </row>
    <row r="1125" spans="1:19" hidden="1">
      <c r="A1125" s="5">
        <v>1190</v>
      </c>
      <c r="B1125" s="59"/>
      <c r="C1125" s="60"/>
      <c r="D1125" s="63" t="s">
        <v>445</v>
      </c>
      <c r="E1125" s="63"/>
      <c r="F1125" s="60"/>
      <c r="G1125" s="61"/>
      <c r="H1125" s="62" t="s">
        <v>165</v>
      </c>
      <c r="I1125" s="65">
        <v>-72317120.459999993</v>
      </c>
      <c r="J1125" s="65">
        <v>-32424606.83092149</v>
      </c>
      <c r="K1125" s="62"/>
      <c r="L1125" s="65">
        <v>-45834876.281368308</v>
      </c>
      <c r="M1125" s="65">
        <v>-25507404.997852895</v>
      </c>
      <c r="N1125" s="65">
        <v>-20327471.283515412</v>
      </c>
      <c r="P1125">
        <f t="shared" si="64"/>
        <v>419</v>
      </c>
      <c r="Q1125" t="str">
        <f t="shared" si="65"/>
        <v>NA</v>
      </c>
      <c r="R1125" t="str">
        <f>IF(ISERROR(MATCH(P1125&amp;"."&amp;Q1125,R$5:R1124,0)),P1125&amp;"."&amp;Q1125,P1125&amp;"."&amp;Q1125&amp;COUNTIFS(P$5:P1124,P1125,Q$5:Q1124,Q1125))</f>
        <v>419.NA1</v>
      </c>
      <c r="S1125" s="55">
        <f t="shared" si="66"/>
        <v>-20327471.283515412</v>
      </c>
    </row>
    <row r="1126" spans="1:19" hidden="1">
      <c r="A1126" s="5">
        <v>1191</v>
      </c>
      <c r="B1126" s="59"/>
      <c r="C1126" s="60"/>
      <c r="D1126" s="63"/>
      <c r="E1126" s="63"/>
      <c r="F1126" s="63"/>
      <c r="G1126" s="63"/>
      <c r="H1126" s="62"/>
      <c r="I1126" s="66"/>
      <c r="J1126" s="66"/>
      <c r="K1126" s="62"/>
      <c r="L1126" s="66"/>
      <c r="M1126" s="66"/>
      <c r="N1126" s="66"/>
      <c r="P1126">
        <f t="shared" si="64"/>
        <v>419</v>
      </c>
      <c r="Q1126" t="str">
        <f t="shared" si="65"/>
        <v>NA</v>
      </c>
      <c r="R1126" t="str">
        <f>IF(ISERROR(MATCH(P1126&amp;"."&amp;Q1126,R$5:R1125,0)),P1126&amp;"."&amp;Q1126,P1126&amp;"."&amp;Q1126&amp;COUNTIFS(P$5:P1125,P1126,Q$5:Q1125,Q1126))</f>
        <v>419.NA2</v>
      </c>
      <c r="S1126" s="55">
        <f t="shared" si="66"/>
        <v>0</v>
      </c>
    </row>
    <row r="1127" spans="1:19" hidden="1">
      <c r="A1127" s="5">
        <v>1192</v>
      </c>
      <c r="B1127" s="59"/>
      <c r="C1127" s="60"/>
      <c r="D1127" s="63"/>
      <c r="E1127" s="63"/>
      <c r="F1127" s="63"/>
      <c r="G1127" s="63"/>
      <c r="H1127" s="62"/>
      <c r="I1127" s="65"/>
      <c r="J1127" s="65"/>
      <c r="K1127" s="62"/>
      <c r="L1127" s="65"/>
      <c r="M1127" s="65"/>
      <c r="N1127" s="65"/>
      <c r="P1127">
        <f t="shared" si="64"/>
        <v>419</v>
      </c>
      <c r="Q1127" t="str">
        <f t="shared" si="65"/>
        <v>NA</v>
      </c>
      <c r="R1127" t="str">
        <f>IF(ISERROR(MATCH(P1127&amp;"."&amp;Q1127,R$5:R1126,0)),P1127&amp;"."&amp;Q1127,P1127&amp;"."&amp;Q1127&amp;COUNTIFS(P$5:P1126,P1127,Q$5:Q1126,Q1127))</f>
        <v>419.NA3</v>
      </c>
      <c r="S1127" s="55">
        <f t="shared" si="66"/>
        <v>0</v>
      </c>
    </row>
    <row r="1128" spans="1:19" hidden="1">
      <c r="A1128" s="5">
        <v>1193</v>
      </c>
      <c r="B1128" s="59"/>
      <c r="C1128" s="60">
        <v>41010</v>
      </c>
      <c r="D1128" s="63" t="s">
        <v>446</v>
      </c>
      <c r="E1128" s="70"/>
      <c r="F1128" s="63"/>
      <c r="G1128" s="63"/>
      <c r="H1128" s="62"/>
      <c r="I1128" s="69"/>
      <c r="J1128" s="69"/>
      <c r="K1128" s="62"/>
      <c r="L1128" s="69"/>
      <c r="M1128" s="69"/>
      <c r="N1128" s="69"/>
      <c r="P1128">
        <f t="shared" si="64"/>
        <v>41010</v>
      </c>
      <c r="Q1128" t="str">
        <f t="shared" si="65"/>
        <v>NA</v>
      </c>
      <c r="R1128" t="str">
        <f>IF(ISERROR(MATCH(P1128&amp;"."&amp;Q1128,R$5:R1127,0)),P1128&amp;"."&amp;Q1128,P1128&amp;"."&amp;Q1128&amp;COUNTIFS(P$5:P1127,P1128,Q$5:Q1127,Q1128))</f>
        <v>41010.NA</v>
      </c>
      <c r="S1128" s="55">
        <f t="shared" si="66"/>
        <v>0</v>
      </c>
    </row>
    <row r="1129" spans="1:19" hidden="1">
      <c r="A1129" s="5">
        <v>1194</v>
      </c>
      <c r="B1129" s="59"/>
      <c r="C1129" s="71"/>
      <c r="D1129" s="72"/>
      <c r="E1129" s="73"/>
      <c r="F1129" s="63" t="s">
        <v>140</v>
      </c>
      <c r="G1129" s="72" t="s">
        <v>12</v>
      </c>
      <c r="H1129" s="74"/>
      <c r="I1129" s="75">
        <v>9824503</v>
      </c>
      <c r="J1129" s="75">
        <v>-147191</v>
      </c>
      <c r="K1129" s="62"/>
      <c r="L1129" s="75">
        <v>-7862372</v>
      </c>
      <c r="M1129" s="75">
        <v>-7822288</v>
      </c>
      <c r="N1129" s="75">
        <v>-40084</v>
      </c>
      <c r="P1129">
        <f t="shared" si="64"/>
        <v>41010</v>
      </c>
      <c r="Q1129" t="str">
        <f t="shared" si="65"/>
        <v>S</v>
      </c>
      <c r="R1129" t="str">
        <f>IF(ISERROR(MATCH(P1129&amp;"."&amp;Q1129,R$5:R1128,0)),P1129&amp;"."&amp;Q1129,P1129&amp;"."&amp;Q1129&amp;COUNTIFS(P$5:P1128,P1129,Q$5:Q1128,Q1129))</f>
        <v>41010.S</v>
      </c>
      <c r="S1129" s="55">
        <f t="shared" si="66"/>
        <v>-40084</v>
      </c>
    </row>
    <row r="1130" spans="1:19" hidden="1">
      <c r="A1130" s="5">
        <v>1195</v>
      </c>
      <c r="B1130" s="59"/>
      <c r="C1130" s="70"/>
      <c r="D1130" s="61"/>
      <c r="E1130" s="63"/>
      <c r="F1130" s="63" t="s">
        <v>13</v>
      </c>
      <c r="G1130" s="63" t="s">
        <v>447</v>
      </c>
      <c r="H1130" s="62"/>
      <c r="I1130" s="65">
        <v>0</v>
      </c>
      <c r="J1130" s="65">
        <v>0</v>
      </c>
      <c r="K1130" s="62"/>
      <c r="L1130" s="65">
        <v>0</v>
      </c>
      <c r="M1130" s="65">
        <v>0</v>
      </c>
      <c r="N1130" s="65">
        <v>0</v>
      </c>
      <c r="P1130">
        <f t="shared" si="64"/>
        <v>41010</v>
      </c>
      <c r="Q1130" t="str">
        <f t="shared" si="65"/>
        <v>TROJD</v>
      </c>
      <c r="R1130" t="str">
        <f>IF(ISERROR(MATCH(P1130&amp;"."&amp;Q1130,R$5:R1129,0)),P1130&amp;"."&amp;Q1130,P1130&amp;"."&amp;Q1130&amp;COUNTIFS(P$5:P1129,P1130,Q$5:Q1129,Q1130))</f>
        <v>41010.TROJD</v>
      </c>
      <c r="S1130" s="55">
        <f t="shared" si="66"/>
        <v>0</v>
      </c>
    </row>
    <row r="1131" spans="1:19" hidden="1">
      <c r="A1131" s="5">
        <v>1196</v>
      </c>
      <c r="B1131" s="59"/>
      <c r="C1131" s="60"/>
      <c r="D1131" s="63"/>
      <c r="E1131" s="63"/>
      <c r="F1131" s="60" t="s">
        <v>134</v>
      </c>
      <c r="G1131" s="61" t="s">
        <v>15</v>
      </c>
      <c r="H1131" s="62"/>
      <c r="I1131" s="65">
        <v>92718</v>
      </c>
      <c r="J1131" s="65">
        <v>40793.600318279277</v>
      </c>
      <c r="K1131" s="62"/>
      <c r="L1131" s="65">
        <v>92718</v>
      </c>
      <c r="M1131" s="65">
        <v>51924.399681720723</v>
      </c>
      <c r="N1131" s="64">
        <v>40793.600318279277</v>
      </c>
      <c r="P1131">
        <f t="shared" si="64"/>
        <v>41010</v>
      </c>
      <c r="Q1131" t="str">
        <f t="shared" si="65"/>
        <v>SG</v>
      </c>
      <c r="R1131" t="str">
        <f>IF(ISERROR(MATCH(P1131&amp;"."&amp;Q1131,R$5:R1130,0)),P1131&amp;"."&amp;Q1131,P1131&amp;"."&amp;Q1131&amp;COUNTIFS(P$5:P1130,P1131,Q$5:Q1130,Q1131))</f>
        <v>41010.SG</v>
      </c>
      <c r="S1131" s="55">
        <f t="shared" si="66"/>
        <v>40793.600318279277</v>
      </c>
    </row>
    <row r="1132" spans="1:19" hidden="1">
      <c r="A1132" s="5">
        <v>1197</v>
      </c>
      <c r="B1132" s="59"/>
      <c r="C1132" s="60"/>
      <c r="D1132" s="63"/>
      <c r="E1132" s="63"/>
      <c r="F1132" s="60" t="s">
        <v>361</v>
      </c>
      <c r="G1132" s="61" t="s">
        <v>136</v>
      </c>
      <c r="H1132" s="62"/>
      <c r="I1132" s="65">
        <v>6994325</v>
      </c>
      <c r="J1132" s="65">
        <v>3035434.2745792842</v>
      </c>
      <c r="K1132" s="62"/>
      <c r="L1132" s="65">
        <v>5886990</v>
      </c>
      <c r="M1132" s="65">
        <v>3314697.9530041418</v>
      </c>
      <c r="N1132" s="64">
        <v>2572292.0469958582</v>
      </c>
      <c r="P1132">
        <f t="shared" si="64"/>
        <v>41010</v>
      </c>
      <c r="Q1132" t="str">
        <f t="shared" si="65"/>
        <v>SO</v>
      </c>
      <c r="R1132" t="str">
        <f>IF(ISERROR(MATCH(P1132&amp;"."&amp;Q1132,R$5:R1131,0)),P1132&amp;"."&amp;Q1132,P1132&amp;"."&amp;Q1132&amp;COUNTIFS(P$5:P1131,P1132,Q$5:Q1131,Q1132))</f>
        <v>41010.SO</v>
      </c>
      <c r="S1132" s="55">
        <f t="shared" si="66"/>
        <v>2572292.0469958582</v>
      </c>
    </row>
    <row r="1133" spans="1:19" hidden="1">
      <c r="A1133" s="5">
        <v>1198</v>
      </c>
      <c r="B1133" s="59"/>
      <c r="C1133" s="60"/>
      <c r="D1133" s="63"/>
      <c r="E1133" s="63"/>
      <c r="F1133" s="60" t="s">
        <v>140</v>
      </c>
      <c r="G1133" s="61" t="s">
        <v>433</v>
      </c>
      <c r="H1133" s="62"/>
      <c r="I1133" s="65">
        <v>26635962</v>
      </c>
      <c r="J1133" s="65">
        <v>11942685.078163099</v>
      </c>
      <c r="K1133" s="62"/>
      <c r="L1133" s="65">
        <v>17331350</v>
      </c>
      <c r="M1133" s="65">
        <v>9645008.3315538615</v>
      </c>
      <c r="N1133" s="64">
        <v>7686341.6684461394</v>
      </c>
      <c r="P1133">
        <f t="shared" si="64"/>
        <v>41010</v>
      </c>
      <c r="Q1133" t="str">
        <f t="shared" si="65"/>
        <v>SNP</v>
      </c>
      <c r="R1133" t="str">
        <f>IF(ISERROR(MATCH(P1133&amp;"."&amp;Q1133,R$5:R1132,0)),P1133&amp;"."&amp;Q1133,P1133&amp;"."&amp;Q1133&amp;COUNTIFS(P$5:P1132,P1133,Q$5:Q1132,Q1133))</f>
        <v>41010.SNP</v>
      </c>
      <c r="S1133" s="55">
        <f t="shared" si="66"/>
        <v>7686341.6684461394</v>
      </c>
    </row>
    <row r="1134" spans="1:19" hidden="1">
      <c r="A1134" s="5">
        <v>1199</v>
      </c>
      <c r="B1134" s="59"/>
      <c r="C1134" s="60"/>
      <c r="D1134" s="63"/>
      <c r="E1134" s="63"/>
      <c r="F1134" s="60" t="s">
        <v>13</v>
      </c>
      <c r="G1134" s="61" t="s">
        <v>16</v>
      </c>
      <c r="H1134" s="62"/>
      <c r="I1134" s="65">
        <v>1338953</v>
      </c>
      <c r="J1134" s="65">
        <v>580519.26777658844</v>
      </c>
      <c r="K1134" s="62"/>
      <c r="L1134" s="65">
        <v>46844</v>
      </c>
      <c r="M1134" s="65">
        <v>26534.217222167983</v>
      </c>
      <c r="N1134" s="64">
        <v>20309.782777832017</v>
      </c>
      <c r="P1134">
        <f t="shared" si="64"/>
        <v>41010</v>
      </c>
      <c r="Q1134" t="str">
        <f t="shared" si="65"/>
        <v>SE</v>
      </c>
      <c r="R1134" t="str">
        <f>IF(ISERROR(MATCH(P1134&amp;"."&amp;Q1134,R$5:R1133,0)),P1134&amp;"."&amp;Q1134,P1134&amp;"."&amp;Q1134&amp;COUNTIFS(P$5:P1133,P1134,Q$5:Q1133,Q1134))</f>
        <v>41010.SE</v>
      </c>
      <c r="S1134" s="55">
        <f t="shared" si="66"/>
        <v>20309.782777832017</v>
      </c>
    </row>
    <row r="1135" spans="1:19" hidden="1">
      <c r="A1135" s="5">
        <v>1200</v>
      </c>
      <c r="B1135" s="59"/>
      <c r="C1135" s="60"/>
      <c r="D1135" s="63"/>
      <c r="E1135" s="63"/>
      <c r="F1135" s="60" t="s">
        <v>134</v>
      </c>
      <c r="G1135" s="61" t="s">
        <v>15</v>
      </c>
      <c r="H1135" s="62"/>
      <c r="I1135" s="65">
        <v>38372712</v>
      </c>
      <c r="J1135" s="65">
        <v>16883033.245501835</v>
      </c>
      <c r="K1135" s="62"/>
      <c r="L1135" s="65">
        <v>211532317</v>
      </c>
      <c r="M1135" s="65">
        <v>118463389.77877486</v>
      </c>
      <c r="N1135" s="64">
        <v>93068927.221225142</v>
      </c>
      <c r="P1135">
        <f t="shared" si="64"/>
        <v>41010</v>
      </c>
      <c r="Q1135" t="str">
        <f t="shared" si="65"/>
        <v>SG</v>
      </c>
      <c r="R1135" t="str">
        <f>IF(ISERROR(MATCH(P1135&amp;"."&amp;Q1135,R$5:R1134,0)),P1135&amp;"."&amp;Q1135,P1135&amp;"."&amp;Q1135&amp;COUNTIFS(P$5:P1134,P1135,Q$5:Q1134,Q1135))</f>
        <v>41010.SG1</v>
      </c>
      <c r="S1135" s="55">
        <f t="shared" si="66"/>
        <v>93068927.221225142</v>
      </c>
    </row>
    <row r="1136" spans="1:19" hidden="1">
      <c r="A1136" s="5">
        <v>1201</v>
      </c>
      <c r="B1136" s="59"/>
      <c r="C1136" s="60"/>
      <c r="D1136" s="63"/>
      <c r="E1136" s="63"/>
      <c r="F1136" s="60" t="s">
        <v>140</v>
      </c>
      <c r="G1136" s="61" t="s">
        <v>423</v>
      </c>
      <c r="H1136" s="62"/>
      <c r="I1136" s="65">
        <v>22217020</v>
      </c>
      <c r="J1136" s="65">
        <v>9641860.2205378599</v>
      </c>
      <c r="K1136" s="62"/>
      <c r="L1136" s="65">
        <v>10080561</v>
      </c>
      <c r="M1136" s="65">
        <v>5675908.2165645557</v>
      </c>
      <c r="N1136" s="64">
        <v>4404652.7834354443</v>
      </c>
      <c r="P1136">
        <f t="shared" si="64"/>
        <v>41010</v>
      </c>
      <c r="Q1136" t="str">
        <f t="shared" si="65"/>
        <v>GPS</v>
      </c>
      <c r="R1136" t="str">
        <f>IF(ISERROR(MATCH(P1136&amp;"."&amp;Q1136,R$5:R1135,0)),P1136&amp;"."&amp;Q1136,P1136&amp;"."&amp;Q1136&amp;COUNTIFS(P$5:P1135,P1136,Q$5:Q1135,Q1136))</f>
        <v>41010.GPS</v>
      </c>
      <c r="S1136" s="55">
        <f t="shared" si="66"/>
        <v>4404652.7834354443</v>
      </c>
    </row>
    <row r="1137" spans="1:19" hidden="1">
      <c r="A1137" s="5">
        <v>1202</v>
      </c>
      <c r="B1137" s="59"/>
      <c r="C1137" s="60"/>
      <c r="D1137" s="63"/>
      <c r="E1137" s="63"/>
      <c r="F1137" s="60" t="s">
        <v>448</v>
      </c>
      <c r="G1137" s="61" t="s">
        <v>448</v>
      </c>
      <c r="H1137" s="62"/>
      <c r="I1137" s="65">
        <v>0</v>
      </c>
      <c r="J1137" s="65">
        <v>0</v>
      </c>
      <c r="K1137" s="62"/>
      <c r="L1137" s="65">
        <v>0</v>
      </c>
      <c r="M1137" s="65">
        <v>0</v>
      </c>
      <c r="N1137" s="64">
        <v>0</v>
      </c>
      <c r="P1137">
        <f t="shared" si="64"/>
        <v>41010</v>
      </c>
      <c r="Q1137" t="str">
        <f t="shared" si="65"/>
        <v>DITEXP</v>
      </c>
      <c r="R1137" t="str">
        <f>IF(ISERROR(MATCH(P1137&amp;"."&amp;Q1137,R$5:R1136,0)),P1137&amp;"."&amp;Q1137,P1137&amp;"."&amp;Q1137&amp;COUNTIFS(P$5:P1136,P1137,Q$5:Q1136,Q1137))</f>
        <v>41010.DITEXP</v>
      </c>
      <c r="S1137" s="55">
        <f t="shared" si="66"/>
        <v>0</v>
      </c>
    </row>
    <row r="1138" spans="1:19" hidden="1">
      <c r="A1138" s="5">
        <v>1203</v>
      </c>
      <c r="B1138" s="59"/>
      <c r="C1138" s="60"/>
      <c r="D1138" s="63"/>
      <c r="E1138" s="63"/>
      <c r="F1138" s="60" t="s">
        <v>149</v>
      </c>
      <c r="G1138" s="61" t="s">
        <v>449</v>
      </c>
      <c r="H1138" s="62"/>
      <c r="I1138" s="65">
        <v>0</v>
      </c>
      <c r="J1138" s="65">
        <v>0</v>
      </c>
      <c r="K1138" s="62"/>
      <c r="L1138" s="65">
        <v>0</v>
      </c>
      <c r="M1138" s="65">
        <v>0</v>
      </c>
      <c r="N1138" s="64">
        <v>0</v>
      </c>
      <c r="P1138">
        <f t="shared" si="64"/>
        <v>41010</v>
      </c>
      <c r="Q1138" t="str">
        <f t="shared" si="65"/>
        <v>BADDEBT</v>
      </c>
      <c r="R1138" t="str">
        <f>IF(ISERROR(MATCH(P1138&amp;"."&amp;Q1138,R$5:R1137,0)),P1138&amp;"."&amp;Q1138,P1138&amp;"."&amp;Q1138&amp;COUNTIFS(P$5:P1137,P1138,Q$5:Q1137,Q1138))</f>
        <v>41010.BADDEBT</v>
      </c>
      <c r="S1138" s="55">
        <f t="shared" si="66"/>
        <v>0</v>
      </c>
    </row>
    <row r="1139" spans="1:19" hidden="1">
      <c r="A1139" s="5">
        <v>1204</v>
      </c>
      <c r="B1139" s="59"/>
      <c r="C1139" s="60"/>
      <c r="D1139" s="63"/>
      <c r="E1139" s="63"/>
      <c r="F1139" s="60" t="s">
        <v>149</v>
      </c>
      <c r="G1139" s="61" t="s">
        <v>155</v>
      </c>
      <c r="H1139" s="62"/>
      <c r="I1139" s="65">
        <v>0</v>
      </c>
      <c r="J1139" s="65">
        <v>0</v>
      </c>
      <c r="K1139" s="62"/>
      <c r="L1139" s="65">
        <v>0</v>
      </c>
      <c r="M1139" s="65">
        <v>0</v>
      </c>
      <c r="N1139" s="64">
        <v>0</v>
      </c>
      <c r="P1139">
        <f t="shared" si="64"/>
        <v>41010</v>
      </c>
      <c r="Q1139" t="str">
        <f t="shared" si="65"/>
        <v>CN</v>
      </c>
      <c r="R1139" t="str">
        <f>IF(ISERROR(MATCH(P1139&amp;"."&amp;Q1139,R$5:R1138,0)),P1139&amp;"."&amp;Q1139,P1139&amp;"."&amp;Q1139&amp;COUNTIFS(P$5:P1138,P1139,Q$5:Q1138,Q1139))</f>
        <v>41010.CN</v>
      </c>
      <c r="S1139" s="55">
        <f t="shared" si="66"/>
        <v>0</v>
      </c>
    </row>
    <row r="1140" spans="1:19" hidden="1">
      <c r="A1140" s="5">
        <v>1205</v>
      </c>
      <c r="B1140" s="59"/>
      <c r="C1140" s="60"/>
      <c r="D1140" s="63"/>
      <c r="E1140" s="63"/>
      <c r="F1140" s="60" t="s">
        <v>450</v>
      </c>
      <c r="G1140" s="61" t="s">
        <v>450</v>
      </c>
      <c r="H1140" s="62"/>
      <c r="I1140" s="65">
        <v>0</v>
      </c>
      <c r="J1140" s="65">
        <v>0</v>
      </c>
      <c r="K1140" s="62"/>
      <c r="L1140" s="65">
        <v>0</v>
      </c>
      <c r="M1140" s="65">
        <v>0</v>
      </c>
      <c r="N1140" s="64">
        <v>0</v>
      </c>
      <c r="P1140">
        <f t="shared" si="64"/>
        <v>41010</v>
      </c>
      <c r="Q1140" t="str">
        <f t="shared" si="65"/>
        <v>IBT</v>
      </c>
      <c r="R1140" t="str">
        <f>IF(ISERROR(MATCH(P1140&amp;"."&amp;Q1140,R$5:R1139,0)),P1140&amp;"."&amp;Q1140,P1140&amp;"."&amp;Q1140&amp;COUNTIFS(P$5:P1139,P1140,Q$5:Q1139,Q1140))</f>
        <v>41010.IBT</v>
      </c>
      <c r="S1140" s="55">
        <f t="shared" si="66"/>
        <v>0</v>
      </c>
    </row>
    <row r="1141" spans="1:19" hidden="1">
      <c r="A1141" s="5">
        <v>1206</v>
      </c>
      <c r="B1141" s="59"/>
      <c r="C1141" s="60"/>
      <c r="D1141" s="63"/>
      <c r="E1141" s="63"/>
      <c r="F1141" s="60" t="s">
        <v>139</v>
      </c>
      <c r="G1141" s="61" t="s">
        <v>451</v>
      </c>
      <c r="H1141" s="62"/>
      <c r="I1141" s="65">
        <v>0</v>
      </c>
      <c r="J1141" s="65">
        <v>0</v>
      </c>
      <c r="K1141" s="62"/>
      <c r="L1141" s="65">
        <v>0</v>
      </c>
      <c r="M1141" s="65">
        <v>0</v>
      </c>
      <c r="N1141" s="64">
        <v>0</v>
      </c>
      <c r="P1141">
        <f t="shared" si="64"/>
        <v>41010</v>
      </c>
      <c r="Q1141" t="str">
        <f t="shared" si="65"/>
        <v>CIAC</v>
      </c>
      <c r="R1141" t="str">
        <f>IF(ISERROR(MATCH(P1141&amp;"."&amp;Q1141,R$5:R1140,0)),P1141&amp;"."&amp;Q1141,P1141&amp;"."&amp;Q1141&amp;COUNTIFS(P$5:P1140,P1141,Q$5:Q1140,Q1141))</f>
        <v>41010.CIAC</v>
      </c>
      <c r="S1141" s="55">
        <f t="shared" si="66"/>
        <v>0</v>
      </c>
    </row>
    <row r="1142" spans="1:19" hidden="1">
      <c r="A1142" s="5">
        <v>1207</v>
      </c>
      <c r="B1142" s="59"/>
      <c r="C1142" s="60"/>
      <c r="D1142" s="63"/>
      <c r="E1142" s="63"/>
      <c r="F1142" s="60" t="s">
        <v>140</v>
      </c>
      <c r="G1142" s="61" t="s">
        <v>452</v>
      </c>
      <c r="H1142" s="62"/>
      <c r="I1142" s="65">
        <v>0</v>
      </c>
      <c r="J1142" s="65">
        <v>0</v>
      </c>
      <c r="K1142" s="62"/>
      <c r="L1142" s="65">
        <v>0</v>
      </c>
      <c r="M1142" s="65">
        <v>0</v>
      </c>
      <c r="N1142" s="64">
        <v>0</v>
      </c>
      <c r="P1142">
        <f t="shared" si="64"/>
        <v>41010</v>
      </c>
      <c r="Q1142" t="str">
        <f t="shared" si="65"/>
        <v>SCHMDEXP</v>
      </c>
      <c r="R1142" t="str">
        <f>IF(ISERROR(MATCH(P1142&amp;"."&amp;Q1142,R$5:R1141,0)),P1142&amp;"."&amp;Q1142,P1142&amp;"."&amp;Q1142&amp;COUNTIFS(P$5:P1141,P1142,Q$5:Q1141,Q1142))</f>
        <v>41010.SCHMDEXP</v>
      </c>
      <c r="S1142" s="55">
        <f t="shared" si="66"/>
        <v>0</v>
      </c>
    </row>
    <row r="1143" spans="1:19" hidden="1">
      <c r="A1143" s="5">
        <v>1208</v>
      </c>
      <c r="B1143" s="59"/>
      <c r="C1143" s="60"/>
      <c r="D1143" s="63"/>
      <c r="E1143" s="63"/>
      <c r="F1143" s="60" t="s">
        <v>453</v>
      </c>
      <c r="G1143" s="61" t="s">
        <v>453</v>
      </c>
      <c r="H1143" s="62"/>
      <c r="I1143" s="65">
        <v>168270646</v>
      </c>
      <c r="J1143" s="65">
        <v>75639011.967971429</v>
      </c>
      <c r="K1143" s="62"/>
      <c r="L1143" s="65">
        <v>203731435</v>
      </c>
      <c r="M1143" s="65">
        <v>112152512.49311788</v>
      </c>
      <c r="N1143" s="64">
        <v>91578922.506882116</v>
      </c>
      <c r="P1143">
        <f t="shared" si="64"/>
        <v>41010</v>
      </c>
      <c r="Q1143" t="str">
        <f t="shared" si="65"/>
        <v>TAXDEPR</v>
      </c>
      <c r="R1143" t="str">
        <f>IF(ISERROR(MATCH(P1143&amp;"."&amp;Q1143,R$5:R1142,0)),P1143&amp;"."&amp;Q1143,P1143&amp;"."&amp;Q1143&amp;COUNTIFS(P$5:P1142,P1143,Q$5:Q1142,Q1143))</f>
        <v>41010.TAXDEPR</v>
      </c>
      <c r="S1143" s="55">
        <f t="shared" si="66"/>
        <v>91578922.506882116</v>
      </c>
    </row>
    <row r="1144" spans="1:19" hidden="1">
      <c r="A1144" s="5">
        <v>1209</v>
      </c>
      <c r="B1144" s="59"/>
      <c r="C1144" s="60"/>
      <c r="D1144" s="63"/>
      <c r="E1144" s="63"/>
      <c r="F1144" s="60" t="s">
        <v>139</v>
      </c>
      <c r="G1144" s="61" t="s">
        <v>321</v>
      </c>
      <c r="H1144" s="62"/>
      <c r="I1144" s="65">
        <v>-251156</v>
      </c>
      <c r="J1144" s="65">
        <v>-121135.4434777431</v>
      </c>
      <c r="K1144" s="62"/>
      <c r="L1144" s="65">
        <v>1</v>
      </c>
      <c r="M1144" s="65">
        <v>0.51511990898457083</v>
      </c>
      <c r="N1144" s="64">
        <v>0.48488009101542923</v>
      </c>
      <c r="P1144">
        <f t="shared" si="64"/>
        <v>41010</v>
      </c>
      <c r="Q1144" t="str">
        <f t="shared" si="65"/>
        <v>SNPD</v>
      </c>
      <c r="R1144" t="str">
        <f>IF(ISERROR(MATCH(P1144&amp;"."&amp;Q1144,R$5:R1143,0)),P1144&amp;"."&amp;Q1144,P1144&amp;"."&amp;Q1144&amp;COUNTIFS(P$5:P1143,P1144,Q$5:Q1143,Q1144))</f>
        <v>41010.SNPD</v>
      </c>
      <c r="S1144" s="55">
        <f t="shared" si="66"/>
        <v>0.48488009101542923</v>
      </c>
    </row>
    <row r="1145" spans="1:19" hidden="1">
      <c r="A1145" s="5">
        <v>1210</v>
      </c>
      <c r="B1145" s="59"/>
      <c r="C1145" s="60"/>
      <c r="D1145" s="63"/>
      <c r="E1145" s="63"/>
      <c r="F1145" s="60"/>
      <c r="G1145" s="61"/>
      <c r="H1145" s="62" t="s">
        <v>429</v>
      </c>
      <c r="I1145" s="65">
        <v>273495683</v>
      </c>
      <c r="J1145" s="65">
        <v>117495011.21137062</v>
      </c>
      <c r="K1145" s="62"/>
      <c r="L1145" s="65">
        <v>440839844</v>
      </c>
      <c r="M1145" s="65">
        <v>241507687.9050391</v>
      </c>
      <c r="N1145" s="64">
        <v>199332156.09496093</v>
      </c>
      <c r="P1145">
        <f t="shared" si="64"/>
        <v>41010</v>
      </c>
      <c r="Q1145" t="str">
        <f t="shared" si="65"/>
        <v>NA</v>
      </c>
      <c r="R1145" t="str">
        <f>IF(ISERROR(MATCH(P1145&amp;"."&amp;Q1145,R$5:R1144,0)),P1145&amp;"."&amp;Q1145,P1145&amp;"."&amp;Q1145&amp;COUNTIFS(P$5:P1144,P1145,Q$5:Q1144,Q1145))</f>
        <v>41010.NA1</v>
      </c>
      <c r="S1145" s="55">
        <f t="shared" si="66"/>
        <v>199332156.09496093</v>
      </c>
    </row>
    <row r="1146" spans="1:19" hidden="1">
      <c r="A1146" s="5">
        <v>1211</v>
      </c>
      <c r="B1146" s="59"/>
      <c r="C1146" s="60"/>
      <c r="D1146" s="63"/>
      <c r="E1146" s="63"/>
      <c r="F1146" s="60"/>
      <c r="G1146" s="61"/>
      <c r="H1146" s="62"/>
      <c r="I1146" s="65"/>
      <c r="J1146" s="65"/>
      <c r="K1146" s="62"/>
      <c r="L1146" s="65"/>
      <c r="M1146" s="65"/>
      <c r="N1146" s="64"/>
      <c r="P1146">
        <f t="shared" si="64"/>
        <v>41010</v>
      </c>
      <c r="Q1146" t="str">
        <f t="shared" si="65"/>
        <v>NA</v>
      </c>
      <c r="R1146" t="str">
        <f>IF(ISERROR(MATCH(P1146&amp;"."&amp;Q1146,R$5:R1145,0)),P1146&amp;"."&amp;Q1146,P1146&amp;"."&amp;Q1146&amp;COUNTIFS(P$5:P1145,P1146,Q$5:Q1145,Q1146))</f>
        <v>41010.NA2</v>
      </c>
      <c r="S1146" s="55">
        <f t="shared" si="66"/>
        <v>0</v>
      </c>
    </row>
    <row r="1147" spans="1:19" hidden="1">
      <c r="A1147" s="5">
        <v>1212</v>
      </c>
      <c r="B1147" s="59"/>
      <c r="C1147" s="60"/>
      <c r="D1147" s="63"/>
      <c r="E1147" s="63"/>
      <c r="F1147" s="63"/>
      <c r="G1147" s="63"/>
      <c r="H1147" s="62"/>
      <c r="I1147" s="66"/>
      <c r="J1147" s="66"/>
      <c r="K1147" s="62"/>
      <c r="L1147" s="66"/>
      <c r="M1147" s="66"/>
      <c r="N1147" s="66"/>
      <c r="P1147">
        <f t="shared" si="64"/>
        <v>41010</v>
      </c>
      <c r="Q1147" t="str">
        <f t="shared" si="65"/>
        <v>NA</v>
      </c>
      <c r="R1147" t="str">
        <f>IF(ISERROR(MATCH(P1147&amp;"."&amp;Q1147,R$5:R1146,0)),P1147&amp;"."&amp;Q1147,P1147&amp;"."&amp;Q1147&amp;COUNTIFS(P$5:P1146,P1147,Q$5:Q1146,Q1147))</f>
        <v>41010.NA3</v>
      </c>
      <c r="S1147" s="55">
        <f t="shared" si="66"/>
        <v>0</v>
      </c>
    </row>
    <row r="1148" spans="1:19" hidden="1">
      <c r="A1148" s="5">
        <v>1213</v>
      </c>
      <c r="B1148" s="59"/>
      <c r="C1148" s="60"/>
      <c r="D1148" s="63"/>
      <c r="E1148" s="63"/>
      <c r="F1148" s="63"/>
      <c r="G1148" s="63"/>
      <c r="H1148" s="62"/>
      <c r="I1148" s="65"/>
      <c r="J1148" s="65"/>
      <c r="K1148" s="62"/>
      <c r="L1148" s="65"/>
      <c r="M1148" s="65"/>
      <c r="N1148" s="65"/>
      <c r="P1148">
        <f t="shared" si="64"/>
        <v>41010</v>
      </c>
      <c r="Q1148" t="str">
        <f t="shared" si="65"/>
        <v>NA</v>
      </c>
      <c r="R1148" t="str">
        <f>IF(ISERROR(MATCH(P1148&amp;"."&amp;Q1148,R$5:R1147,0)),P1148&amp;"."&amp;Q1148,P1148&amp;"."&amp;Q1148&amp;COUNTIFS(P$5:P1147,P1148,Q$5:Q1147,Q1148))</f>
        <v>41010.NA4</v>
      </c>
      <c r="S1148" s="55">
        <f t="shared" si="66"/>
        <v>0</v>
      </c>
    </row>
    <row r="1149" spans="1:19" ht="15.75" hidden="1" thickBot="1">
      <c r="A1149" s="5">
        <v>1214</v>
      </c>
      <c r="B1149" s="59"/>
      <c r="C1149" s="45" t="s">
        <v>240</v>
      </c>
      <c r="D1149" s="63" t="s">
        <v>454</v>
      </c>
      <c r="E1149" s="63"/>
      <c r="F1149" s="63"/>
      <c r="G1149" s="63"/>
      <c r="H1149" s="41"/>
      <c r="I1149" s="68"/>
      <c r="J1149" s="68"/>
      <c r="K1149" s="41"/>
      <c r="L1149" s="68"/>
      <c r="M1149" s="68"/>
      <c r="N1149" s="68"/>
      <c r="P1149" t="str">
        <f t="shared" si="64"/>
        <v>41110</v>
      </c>
      <c r="Q1149" t="str">
        <f t="shared" si="65"/>
        <v>NA</v>
      </c>
      <c r="R1149" t="str">
        <f>IF(ISERROR(MATCH(P1149&amp;"."&amp;Q1149,R$5:R1148,0)),P1149&amp;"."&amp;Q1149,P1149&amp;"."&amp;Q1149&amp;COUNTIFS(P$5:P1148,P1149,Q$5:Q1148,Q1149))</f>
        <v>41110.NA</v>
      </c>
      <c r="S1149" s="55">
        <f t="shared" si="66"/>
        <v>0</v>
      </c>
    </row>
    <row r="1150" spans="1:19" hidden="1">
      <c r="A1150" s="5">
        <v>1215</v>
      </c>
      <c r="B1150" s="59"/>
      <c r="C1150" s="60"/>
      <c r="D1150" s="61"/>
      <c r="E1150" s="63"/>
      <c r="F1150" s="63" t="s">
        <v>140</v>
      </c>
      <c r="G1150" s="63" t="s">
        <v>12</v>
      </c>
      <c r="H1150" s="62"/>
      <c r="I1150" s="65">
        <v>-27497443.139999993</v>
      </c>
      <c r="J1150" s="65">
        <v>-4882047.629999999</v>
      </c>
      <c r="K1150" s="62"/>
      <c r="L1150" s="65">
        <v>-24557125.193114035</v>
      </c>
      <c r="M1150" s="65">
        <v>-13126052.64696281</v>
      </c>
      <c r="N1150" s="65">
        <v>-11431072.546151225</v>
      </c>
      <c r="P1150" t="str">
        <f t="shared" si="64"/>
        <v>41110</v>
      </c>
      <c r="Q1150" t="str">
        <f t="shared" si="65"/>
        <v>S</v>
      </c>
      <c r="R1150" t="str">
        <f>IF(ISERROR(MATCH(P1150&amp;"."&amp;Q1150,R$5:R1149,0)),P1150&amp;"."&amp;Q1150,P1150&amp;"."&amp;Q1150&amp;COUNTIFS(P$5:P1149,P1150,Q$5:Q1149,Q1150))</f>
        <v>41110.S</v>
      </c>
      <c r="S1150" s="55">
        <f t="shared" si="66"/>
        <v>-11431072.546151225</v>
      </c>
    </row>
    <row r="1151" spans="1:19" hidden="1">
      <c r="A1151" s="5">
        <v>1216</v>
      </c>
      <c r="B1151" s="59"/>
      <c r="C1151" s="60"/>
      <c r="D1151" s="63"/>
      <c r="E1151" s="63"/>
      <c r="F1151" s="60" t="s">
        <v>13</v>
      </c>
      <c r="G1151" s="61" t="s">
        <v>16</v>
      </c>
      <c r="H1151" s="62"/>
      <c r="I1151" s="65">
        <v>-6292526</v>
      </c>
      <c r="J1151" s="65">
        <v>-2728200.7553552254</v>
      </c>
      <c r="K1151" s="62"/>
      <c r="L1151" s="65">
        <v>-356481</v>
      </c>
      <c r="M1151" s="65">
        <v>-201924.35081495316</v>
      </c>
      <c r="N1151" s="64">
        <v>-154556.64918504684</v>
      </c>
      <c r="P1151" t="str">
        <f t="shared" si="64"/>
        <v>41110</v>
      </c>
      <c r="Q1151" t="str">
        <f t="shared" si="65"/>
        <v>SE</v>
      </c>
      <c r="R1151" t="str">
        <f>IF(ISERROR(MATCH(P1151&amp;"."&amp;Q1151,R$5:R1150,0)),P1151&amp;"."&amp;Q1151,P1151&amp;"."&amp;Q1151&amp;COUNTIFS(P$5:P1150,P1151,Q$5:Q1150,Q1151))</f>
        <v>41110.SE</v>
      </c>
      <c r="S1151" s="55">
        <f t="shared" si="66"/>
        <v>-154556.64918504684</v>
      </c>
    </row>
    <row r="1152" spans="1:19" hidden="1">
      <c r="A1152" s="5">
        <v>1217</v>
      </c>
      <c r="B1152" s="59"/>
      <c r="C1152" s="60"/>
      <c r="D1152" s="63"/>
      <c r="E1152" s="63"/>
      <c r="F1152" s="60" t="s">
        <v>134</v>
      </c>
      <c r="G1152" s="61" t="s">
        <v>15</v>
      </c>
      <c r="H1152" s="62"/>
      <c r="I1152" s="65">
        <v>-348782</v>
      </c>
      <c r="J1152" s="65">
        <v>-153455.3539356984</v>
      </c>
      <c r="K1152" s="62"/>
      <c r="L1152" s="65">
        <v>-348782</v>
      </c>
      <c r="M1152" s="65">
        <v>-195326.6460643016</v>
      </c>
      <c r="N1152" s="64">
        <v>-153455.3539356984</v>
      </c>
      <c r="P1152" t="str">
        <f t="shared" si="64"/>
        <v>41110</v>
      </c>
      <c r="Q1152" t="str">
        <f t="shared" si="65"/>
        <v>SG</v>
      </c>
      <c r="R1152" t="str">
        <f>IF(ISERROR(MATCH(P1152&amp;"."&amp;Q1152,R$5:R1151,0)),P1152&amp;"."&amp;Q1152,P1152&amp;"."&amp;Q1152&amp;COUNTIFS(P$5:P1151,P1152,Q$5:Q1151,Q1152))</f>
        <v>41110.SG</v>
      </c>
      <c r="S1152" s="55">
        <f t="shared" si="66"/>
        <v>-153455.3539356984</v>
      </c>
    </row>
    <row r="1153" spans="1:19" hidden="1">
      <c r="A1153" s="5">
        <v>1218</v>
      </c>
      <c r="B1153" s="59"/>
      <c r="C1153" s="60"/>
      <c r="D1153" s="63"/>
      <c r="E1153" s="63"/>
      <c r="F1153" s="60" t="s">
        <v>140</v>
      </c>
      <c r="G1153" s="61" t="s">
        <v>433</v>
      </c>
      <c r="H1153" s="62"/>
      <c r="I1153" s="65">
        <v>-16729475</v>
      </c>
      <c r="J1153" s="65">
        <v>-7500943.7034037896</v>
      </c>
      <c r="K1153" s="62"/>
      <c r="L1153" s="65">
        <v>-10284908</v>
      </c>
      <c r="M1153" s="65">
        <v>-5723617.7994942665</v>
      </c>
      <c r="N1153" s="64">
        <v>-4561290.2005057335</v>
      </c>
      <c r="P1153" t="str">
        <f t="shared" si="64"/>
        <v>41110</v>
      </c>
      <c r="Q1153" t="str">
        <f t="shared" si="65"/>
        <v>SNP</v>
      </c>
      <c r="R1153" t="str">
        <f>IF(ISERROR(MATCH(P1153&amp;"."&amp;Q1153,R$5:R1152,0)),P1153&amp;"."&amp;Q1153,P1153&amp;"."&amp;Q1153&amp;COUNTIFS(P$5:P1152,P1153,Q$5:Q1152,Q1153))</f>
        <v>41110.SNP</v>
      </c>
      <c r="S1153" s="55">
        <f t="shared" si="66"/>
        <v>-4561290.2005057335</v>
      </c>
    </row>
    <row r="1154" spans="1:19" hidden="1">
      <c r="A1154" s="5">
        <v>1219</v>
      </c>
      <c r="B1154" s="59"/>
      <c r="C1154" s="60"/>
      <c r="D1154" s="63"/>
      <c r="E1154" s="63"/>
      <c r="F1154" s="60" t="s">
        <v>134</v>
      </c>
      <c r="G1154" s="61" t="s">
        <v>15</v>
      </c>
      <c r="H1154" s="62"/>
      <c r="I1154" s="65">
        <v>1734105.58</v>
      </c>
      <c r="J1154" s="65">
        <v>762963.07017211197</v>
      </c>
      <c r="K1154" s="62"/>
      <c r="L1154" s="65">
        <v>-37586472.228655532</v>
      </c>
      <c r="M1154" s="65">
        <v>-21049364.811866153</v>
      </c>
      <c r="N1154" s="64">
        <v>-16537107.416789379</v>
      </c>
      <c r="P1154" t="str">
        <f t="shared" si="64"/>
        <v>41110</v>
      </c>
      <c r="Q1154" t="str">
        <f t="shared" si="65"/>
        <v>SG</v>
      </c>
      <c r="R1154" t="str">
        <f>IF(ISERROR(MATCH(P1154&amp;"."&amp;Q1154,R$5:R1153,0)),P1154&amp;"."&amp;Q1154,P1154&amp;"."&amp;Q1154&amp;COUNTIFS(P$5:P1153,P1154,Q$5:Q1153,Q1154))</f>
        <v>41110.SG1</v>
      </c>
      <c r="S1154" s="55">
        <f t="shared" si="66"/>
        <v>-16537107.416789379</v>
      </c>
    </row>
    <row r="1155" spans="1:19" hidden="1">
      <c r="A1155" s="5">
        <v>1220</v>
      </c>
      <c r="B1155" s="59"/>
      <c r="C1155" s="60"/>
      <c r="D1155" s="63"/>
      <c r="E1155" s="63"/>
      <c r="F1155" s="60" t="s">
        <v>140</v>
      </c>
      <c r="G1155" s="61" t="s">
        <v>423</v>
      </c>
      <c r="H1155" s="62"/>
      <c r="I1155" s="65">
        <v>427029</v>
      </c>
      <c r="J1155" s="65">
        <v>185324.31118647155</v>
      </c>
      <c r="K1155" s="62"/>
      <c r="L1155" s="65">
        <v>0</v>
      </c>
      <c r="M1155" s="65">
        <v>0</v>
      </c>
      <c r="N1155" s="64">
        <v>0</v>
      </c>
      <c r="P1155" t="str">
        <f t="shared" si="64"/>
        <v>41110</v>
      </c>
      <c r="Q1155" t="str">
        <f t="shared" si="65"/>
        <v>GPS</v>
      </c>
      <c r="R1155" t="str">
        <f>IF(ISERROR(MATCH(P1155&amp;"."&amp;Q1155,R$5:R1154,0)),P1155&amp;"."&amp;Q1155,P1155&amp;"."&amp;Q1155&amp;COUNTIFS(P$5:P1154,P1155,Q$5:Q1154,Q1155))</f>
        <v>41110.GPS</v>
      </c>
      <c r="S1155" s="55">
        <f t="shared" si="66"/>
        <v>0</v>
      </c>
    </row>
    <row r="1156" spans="1:19" hidden="1">
      <c r="A1156" s="5">
        <v>1221</v>
      </c>
      <c r="B1156" s="59"/>
      <c r="C1156" s="60"/>
      <c r="D1156" s="63"/>
      <c r="E1156" s="63"/>
      <c r="F1156" s="60" t="s">
        <v>361</v>
      </c>
      <c r="G1156" s="61" t="s">
        <v>136</v>
      </c>
      <c r="H1156" s="62"/>
      <c r="I1156" s="65">
        <v>-175169</v>
      </c>
      <c r="J1156" s="65">
        <v>-76020.772046448896</v>
      </c>
      <c r="K1156" s="62"/>
      <c r="L1156" s="65">
        <v>-4308954</v>
      </c>
      <c r="M1156" s="65">
        <v>-2426177.2150774859</v>
      </c>
      <c r="N1156" s="64">
        <v>-1882776.7849225141</v>
      </c>
      <c r="P1156" t="str">
        <f t="shared" si="64"/>
        <v>41110</v>
      </c>
      <c r="Q1156" t="str">
        <f t="shared" si="65"/>
        <v>SO</v>
      </c>
      <c r="R1156" t="str">
        <f>IF(ISERROR(MATCH(P1156&amp;"."&amp;Q1156,R$5:R1155,0)),P1156&amp;"."&amp;Q1156,P1156&amp;"."&amp;Q1156&amp;COUNTIFS(P$5:P1155,P1156,Q$5:Q1155,Q1156))</f>
        <v>41110.SO</v>
      </c>
      <c r="S1156" s="55">
        <f t="shared" si="66"/>
        <v>-1882776.7849225141</v>
      </c>
    </row>
    <row r="1157" spans="1:19" hidden="1">
      <c r="A1157" s="5">
        <v>1222</v>
      </c>
      <c r="B1157" s="59"/>
      <c r="C1157" s="60"/>
      <c r="D1157" s="63"/>
      <c r="E1157" s="63"/>
      <c r="F1157" s="63" t="s">
        <v>134</v>
      </c>
      <c r="G1157" s="63" t="s">
        <v>321</v>
      </c>
      <c r="H1157" s="62"/>
      <c r="I1157" s="66">
        <v>-583210</v>
      </c>
      <c r="J1157" s="66">
        <v>-281288.92795973242</v>
      </c>
      <c r="K1157" s="62"/>
      <c r="L1157" s="66">
        <v>0</v>
      </c>
      <c r="M1157" s="66">
        <v>0</v>
      </c>
      <c r="N1157" s="66">
        <v>0</v>
      </c>
      <c r="P1157" t="str">
        <f t="shared" si="64"/>
        <v>41110</v>
      </c>
      <c r="Q1157" t="str">
        <f t="shared" si="65"/>
        <v>SNPD</v>
      </c>
      <c r="R1157" t="str">
        <f>IF(ISERROR(MATCH(P1157&amp;"."&amp;Q1157,R$5:R1156,0)),P1157&amp;"."&amp;Q1157,P1157&amp;"."&amp;Q1157&amp;COUNTIFS(P$5:P1156,P1157,Q$5:Q1156,Q1157))</f>
        <v>41110.SNPD</v>
      </c>
      <c r="S1157" s="55">
        <f t="shared" si="66"/>
        <v>0</v>
      </c>
    </row>
    <row r="1158" spans="1:19" hidden="1">
      <c r="A1158" s="5">
        <v>1223</v>
      </c>
      <c r="B1158" s="59"/>
      <c r="C1158" s="60"/>
      <c r="D1158" s="63"/>
      <c r="E1158" s="63"/>
      <c r="F1158" s="63" t="s">
        <v>149</v>
      </c>
      <c r="G1158" s="63" t="s">
        <v>449</v>
      </c>
      <c r="H1158" s="62"/>
      <c r="I1158" s="65">
        <v>-12823.000012823031</v>
      </c>
      <c r="J1158" s="65">
        <v>-4259.5510429613787</v>
      </c>
      <c r="K1158" s="62"/>
      <c r="L1158" s="65">
        <v>-1.2823031283915043E-5</v>
      </c>
      <c r="M1158" s="65">
        <v>-8.5474458640487841E-6</v>
      </c>
      <c r="N1158" s="65">
        <v>-4.275585419866258E-6</v>
      </c>
      <c r="P1158" t="str">
        <f t="shared" si="64"/>
        <v>41110</v>
      </c>
      <c r="Q1158" t="str">
        <f t="shared" si="65"/>
        <v>BADDEBT</v>
      </c>
      <c r="R1158" t="str">
        <f>IF(ISERROR(MATCH(P1158&amp;"."&amp;Q1158,R$5:R1157,0)),P1158&amp;"."&amp;Q1158,P1158&amp;"."&amp;Q1158&amp;COUNTIFS(P$5:P1157,P1158,Q$5:Q1157,Q1158))</f>
        <v>41110.BADDEBT</v>
      </c>
      <c r="S1158" s="55">
        <f t="shared" si="66"/>
        <v>-4.275585419866258E-6</v>
      </c>
    </row>
    <row r="1159" spans="1:19" hidden="1">
      <c r="A1159" s="5">
        <v>1224</v>
      </c>
      <c r="B1159" s="59"/>
      <c r="C1159" s="60"/>
      <c r="D1159" s="61"/>
      <c r="E1159" s="63"/>
      <c r="F1159" s="63" t="s">
        <v>13</v>
      </c>
      <c r="G1159" s="63" t="s">
        <v>283</v>
      </c>
      <c r="H1159" s="62"/>
      <c r="I1159" s="65">
        <v>0</v>
      </c>
      <c r="J1159" s="65">
        <v>0</v>
      </c>
      <c r="K1159" s="62"/>
      <c r="L1159" s="65">
        <v>0</v>
      </c>
      <c r="M1159" s="65">
        <v>0</v>
      </c>
      <c r="N1159" s="65">
        <v>0</v>
      </c>
      <c r="P1159" t="str">
        <f t="shared" ref="P1159:P1222" si="67">IF(OR(C1159="",C1159=" ",C1159="  ",C1159="   "),P1158,C1159)</f>
        <v>41110</v>
      </c>
      <c r="Q1159" t="str">
        <f t="shared" ref="Q1159:Q1222" si="68">IF(G1159="","NA",G1159)</f>
        <v>SGCT</v>
      </c>
      <c r="R1159" t="str">
        <f>IF(ISERROR(MATCH(P1159&amp;"."&amp;Q1159,R$5:R1158,0)),P1159&amp;"."&amp;Q1159,P1159&amp;"."&amp;Q1159&amp;COUNTIFS(P$5:P1158,P1159,Q$5:Q1158,Q1159))</f>
        <v>41110.SGCT</v>
      </c>
      <c r="S1159" s="55">
        <f t="shared" si="66"/>
        <v>0</v>
      </c>
    </row>
    <row r="1160" spans="1:19" hidden="1">
      <c r="A1160" s="5">
        <v>1225</v>
      </c>
      <c r="B1160" s="59"/>
      <c r="C1160" s="60"/>
      <c r="D1160" s="63"/>
      <c r="E1160" s="63"/>
      <c r="F1160" s="60" t="s">
        <v>448</v>
      </c>
      <c r="G1160" s="61" t="s">
        <v>448</v>
      </c>
      <c r="H1160" s="62"/>
      <c r="I1160" s="65">
        <v>0</v>
      </c>
      <c r="J1160" s="65">
        <v>0</v>
      </c>
      <c r="K1160" s="62"/>
      <c r="L1160" s="65">
        <v>0</v>
      </c>
      <c r="M1160" s="65">
        <v>0</v>
      </c>
      <c r="N1160" s="64">
        <v>0</v>
      </c>
      <c r="P1160" t="str">
        <f t="shared" si="67"/>
        <v>41110</v>
      </c>
      <c r="Q1160" t="str">
        <f t="shared" si="68"/>
        <v>DITEXP</v>
      </c>
      <c r="R1160" t="str">
        <f>IF(ISERROR(MATCH(P1160&amp;"."&amp;Q1160,R$5:R1159,0)),P1160&amp;"."&amp;Q1160,P1160&amp;"."&amp;Q1160&amp;COUNTIFS(P$5:P1159,P1160,Q$5:Q1159,Q1160))</f>
        <v>41110.DITEXP</v>
      </c>
      <c r="S1160" s="55">
        <f t="shared" ref="S1160:S1223" si="69">N1160</f>
        <v>0</v>
      </c>
    </row>
    <row r="1161" spans="1:19" hidden="1">
      <c r="A1161" s="5">
        <v>1226</v>
      </c>
      <c r="B1161" s="59"/>
      <c r="C1161" s="60"/>
      <c r="D1161" s="63"/>
      <c r="E1161" s="63"/>
      <c r="F1161" s="60" t="s">
        <v>13</v>
      </c>
      <c r="G1161" s="61" t="s">
        <v>447</v>
      </c>
      <c r="H1161" s="62"/>
      <c r="I1161" s="65">
        <v>14957</v>
      </c>
      <c r="J1161" s="65">
        <v>6563.5617231830656</v>
      </c>
      <c r="K1161" s="62"/>
      <c r="L1161" s="65">
        <v>-1</v>
      </c>
      <c r="M1161" s="65">
        <v>-0.56117124268348828</v>
      </c>
      <c r="N1161" s="64">
        <v>-0.43882875731651172</v>
      </c>
      <c r="P1161" t="str">
        <f t="shared" si="67"/>
        <v>41110</v>
      </c>
      <c r="Q1161" t="str">
        <f t="shared" si="68"/>
        <v>TROJD</v>
      </c>
      <c r="R1161" t="str">
        <f>IF(ISERROR(MATCH(P1161&amp;"."&amp;Q1161,R$5:R1160,0)),P1161&amp;"."&amp;Q1161,P1161&amp;"."&amp;Q1161&amp;COUNTIFS(P$5:P1160,P1161,Q$5:Q1160,Q1161))</f>
        <v>41110.TROJD</v>
      </c>
      <c r="S1161" s="55">
        <f t="shared" si="69"/>
        <v>-0.43882875731651172</v>
      </c>
    </row>
    <row r="1162" spans="1:19" hidden="1">
      <c r="A1162" s="5">
        <v>1227</v>
      </c>
      <c r="B1162" s="59"/>
      <c r="C1162" s="60"/>
      <c r="D1162" s="63"/>
      <c r="E1162" s="63"/>
      <c r="F1162" s="60" t="s">
        <v>450</v>
      </c>
      <c r="G1162" s="61" t="s">
        <v>450</v>
      </c>
      <c r="H1162" s="62"/>
      <c r="I1162" s="65">
        <v>0</v>
      </c>
      <c r="J1162" s="65">
        <v>0</v>
      </c>
      <c r="K1162" s="62"/>
      <c r="L1162" s="65">
        <v>0</v>
      </c>
      <c r="M1162" s="65">
        <v>0</v>
      </c>
      <c r="N1162" s="64">
        <v>0</v>
      </c>
      <c r="P1162" t="str">
        <f t="shared" si="67"/>
        <v>41110</v>
      </c>
      <c r="Q1162" t="str">
        <f t="shared" si="68"/>
        <v>IBT</v>
      </c>
      <c r="R1162" t="str">
        <f>IF(ISERROR(MATCH(P1162&amp;"."&amp;Q1162,R$5:R1161,0)),P1162&amp;"."&amp;Q1162,P1162&amp;"."&amp;Q1162&amp;COUNTIFS(P$5:P1161,P1162,Q$5:Q1161,Q1162))</f>
        <v>41110.IBT</v>
      </c>
      <c r="S1162" s="55">
        <f t="shared" si="69"/>
        <v>0</v>
      </c>
    </row>
    <row r="1163" spans="1:19" hidden="1">
      <c r="A1163" s="5">
        <v>1228</v>
      </c>
      <c r="B1163" s="59"/>
      <c r="C1163" s="60"/>
      <c r="D1163" s="63"/>
      <c r="E1163" s="63"/>
      <c r="F1163" s="60" t="s">
        <v>139</v>
      </c>
      <c r="G1163" s="61" t="s">
        <v>451</v>
      </c>
      <c r="H1163" s="62"/>
      <c r="I1163" s="65">
        <v>-28260436</v>
      </c>
      <c r="J1163" s="65">
        <v>-13630335.121336445</v>
      </c>
      <c r="K1163" s="62"/>
      <c r="L1163" s="65">
        <v>-15122760</v>
      </c>
      <c r="M1163" s="65">
        <v>-7790034.7547955075</v>
      </c>
      <c r="N1163" s="64">
        <v>-7332725.2452044925</v>
      </c>
      <c r="P1163" t="str">
        <f t="shared" si="67"/>
        <v>41110</v>
      </c>
      <c r="Q1163" t="str">
        <f t="shared" si="68"/>
        <v>CIAC</v>
      </c>
      <c r="R1163" t="str">
        <f>IF(ISERROR(MATCH(P1163&amp;"."&amp;Q1163,R$5:R1162,0)),P1163&amp;"."&amp;Q1163,P1163&amp;"."&amp;Q1163&amp;COUNTIFS(P$5:P1162,P1163,Q$5:Q1162,Q1163))</f>
        <v>41110.CIAC</v>
      </c>
      <c r="S1163" s="55">
        <f t="shared" si="69"/>
        <v>-7332725.2452044925</v>
      </c>
    </row>
    <row r="1164" spans="1:19" hidden="1">
      <c r="A1164" s="5">
        <v>1229</v>
      </c>
      <c r="B1164" s="59"/>
      <c r="C1164" s="60"/>
      <c r="D1164" s="63"/>
      <c r="E1164" s="63"/>
      <c r="F1164" s="60" t="s">
        <v>140</v>
      </c>
      <c r="G1164" s="61" t="s">
        <v>452</v>
      </c>
      <c r="H1164" s="62"/>
      <c r="I1164" s="65">
        <v>-231975121</v>
      </c>
      <c r="J1164" s="65">
        <v>-96816872.907105163</v>
      </c>
      <c r="K1164" s="62"/>
      <c r="L1164" s="65">
        <v>-241630792</v>
      </c>
      <c r="M1164" s="65">
        <v>-136392435.35312003</v>
      </c>
      <c r="N1164" s="64">
        <v>-105238356.64687996</v>
      </c>
      <c r="P1164" t="str">
        <f t="shared" si="67"/>
        <v>41110</v>
      </c>
      <c r="Q1164" t="str">
        <f t="shared" si="68"/>
        <v>SCHMDEXP</v>
      </c>
      <c r="R1164" t="str">
        <f>IF(ISERROR(MATCH(P1164&amp;"."&amp;Q1164,R$5:R1163,0)),P1164&amp;"."&amp;Q1164,P1164&amp;"."&amp;Q1164&amp;COUNTIFS(P$5:P1163,P1164,Q$5:Q1163,Q1164))</f>
        <v>41110.SCHMDEXP</v>
      </c>
      <c r="S1164" s="55">
        <f t="shared" si="69"/>
        <v>-105238356.64687996</v>
      </c>
    </row>
    <row r="1165" spans="1:19" hidden="1">
      <c r="A1165" s="5">
        <v>1230</v>
      </c>
      <c r="B1165" s="59"/>
      <c r="C1165" s="60"/>
      <c r="D1165" s="63"/>
      <c r="E1165" s="63"/>
      <c r="F1165" s="60" t="s">
        <v>453</v>
      </c>
      <c r="G1165" s="61" t="s">
        <v>453</v>
      </c>
      <c r="H1165" s="62"/>
      <c r="I1165" s="65">
        <v>0</v>
      </c>
      <c r="J1165" s="65">
        <v>0</v>
      </c>
      <c r="K1165" s="62"/>
      <c r="L1165" s="65">
        <v>0</v>
      </c>
      <c r="M1165" s="65">
        <v>0</v>
      </c>
      <c r="N1165" s="64">
        <v>0</v>
      </c>
      <c r="P1165" t="str">
        <f t="shared" si="67"/>
        <v>41110</v>
      </c>
      <c r="Q1165" t="str">
        <f t="shared" si="68"/>
        <v>TAXDEPR</v>
      </c>
      <c r="R1165" t="str">
        <f>IF(ISERROR(MATCH(P1165&amp;"."&amp;Q1165,R$5:R1164,0)),P1165&amp;"."&amp;Q1165,P1165&amp;"."&amp;Q1165&amp;COUNTIFS(P$5:P1164,P1165,Q$5:Q1164,Q1165))</f>
        <v>41110.TAXDEPR</v>
      </c>
      <c r="S1165" s="55">
        <f t="shared" si="69"/>
        <v>0</v>
      </c>
    </row>
    <row r="1166" spans="1:19" hidden="1">
      <c r="A1166" s="5">
        <v>1231</v>
      </c>
      <c r="B1166" s="59"/>
      <c r="C1166" s="60"/>
      <c r="D1166" s="63"/>
      <c r="E1166" s="63"/>
      <c r="F1166" s="63"/>
      <c r="G1166" s="63"/>
      <c r="H1166" s="62" t="s">
        <v>429</v>
      </c>
      <c r="I1166" s="66">
        <v>-309698893.56001282</v>
      </c>
      <c r="J1166" s="66">
        <v>-125118573.7791037</v>
      </c>
      <c r="K1166" s="62"/>
      <c r="L1166" s="66">
        <v>-334196275.42178237</v>
      </c>
      <c r="M1166" s="66">
        <v>-186904934.1393753</v>
      </c>
      <c r="N1166" s="66">
        <v>-147291341.28240708</v>
      </c>
      <c r="P1166" t="str">
        <f t="shared" si="67"/>
        <v>41110</v>
      </c>
      <c r="Q1166" t="str">
        <f t="shared" si="68"/>
        <v>NA</v>
      </c>
      <c r="R1166" t="str">
        <f>IF(ISERROR(MATCH(P1166&amp;"."&amp;Q1166,R$5:R1165,0)),P1166&amp;"."&amp;Q1166,P1166&amp;"."&amp;Q1166&amp;COUNTIFS(P$5:P1165,P1166,Q$5:Q1165,Q1166))</f>
        <v>41110.NA1</v>
      </c>
      <c r="S1166" s="55">
        <f t="shared" si="69"/>
        <v>-147291341.28240708</v>
      </c>
    </row>
    <row r="1167" spans="1:19" hidden="1">
      <c r="A1167" s="5">
        <v>1232</v>
      </c>
      <c r="B1167" s="59"/>
      <c r="C1167" s="60"/>
      <c r="D1167" s="63"/>
      <c r="E1167" s="63"/>
      <c r="F1167" s="63"/>
      <c r="G1167" s="63"/>
      <c r="H1167" s="62"/>
      <c r="I1167" s="65"/>
      <c r="J1167" s="65"/>
      <c r="K1167" s="62"/>
      <c r="L1167" s="65"/>
      <c r="M1167" s="65"/>
      <c r="N1167" s="65"/>
      <c r="P1167" t="str">
        <f t="shared" si="67"/>
        <v>41110</v>
      </c>
      <c r="Q1167" t="str">
        <f t="shared" si="68"/>
        <v>NA</v>
      </c>
      <c r="R1167" t="str">
        <f>IF(ISERROR(MATCH(P1167&amp;"."&amp;Q1167,R$5:R1166,0)),P1167&amp;"."&amp;Q1167,P1167&amp;"."&amp;Q1167&amp;COUNTIFS(P$5:P1166,P1167,Q$5:Q1166,Q1167))</f>
        <v>41110.NA2</v>
      </c>
      <c r="S1167" s="55">
        <f t="shared" si="69"/>
        <v>0</v>
      </c>
    </row>
    <row r="1168" spans="1:19" hidden="1">
      <c r="A1168" s="5">
        <v>1233</v>
      </c>
      <c r="B1168" s="59"/>
      <c r="C1168" s="60" t="s">
        <v>455</v>
      </c>
      <c r="D1168" s="61"/>
      <c r="E1168" s="63"/>
      <c r="F1168" s="63"/>
      <c r="G1168" s="63"/>
      <c r="H1168" s="62" t="s">
        <v>429</v>
      </c>
      <c r="I1168" s="65">
        <v>-36203210.560012788</v>
      </c>
      <c r="J1168" s="65">
        <v>-7623562.5677330494</v>
      </c>
      <c r="K1168" s="62"/>
      <c r="L1168" s="65">
        <v>106643568.57821763</v>
      </c>
      <c r="M1168" s="65">
        <v>54602753.765663773</v>
      </c>
      <c r="N1168" s="65">
        <v>52040814.812553868</v>
      </c>
      <c r="P1168" t="str">
        <f t="shared" si="67"/>
        <v>Total Deferred Income Taxes</v>
      </c>
      <c r="Q1168" t="str">
        <f t="shared" si="68"/>
        <v>NA</v>
      </c>
      <c r="R1168" t="str">
        <f>IF(ISERROR(MATCH(P1168&amp;"."&amp;Q1168,R$5:R1167,0)),P1168&amp;"."&amp;Q1168,P1168&amp;"."&amp;Q1168&amp;COUNTIFS(P$5:P1167,P1168,Q$5:Q1167,Q1168))</f>
        <v>Total Deferred Income Taxes.NA</v>
      </c>
      <c r="S1168" s="55">
        <f t="shared" si="69"/>
        <v>52040814.812553868</v>
      </c>
    </row>
    <row r="1169" spans="1:19" hidden="1">
      <c r="A1169" s="5">
        <v>1234</v>
      </c>
      <c r="B1169" s="59"/>
      <c r="C1169" s="60" t="s">
        <v>258</v>
      </c>
      <c r="D1169" s="63" t="s">
        <v>456</v>
      </c>
      <c r="E1169" s="63"/>
      <c r="F1169" s="60"/>
      <c r="G1169" s="61"/>
      <c r="H1169" s="62"/>
      <c r="I1169" s="65"/>
      <c r="J1169" s="65"/>
      <c r="K1169" s="62"/>
      <c r="L1169" s="65"/>
      <c r="M1169" s="65"/>
      <c r="N1169" s="64"/>
      <c r="P1169" t="str">
        <f t="shared" si="67"/>
        <v>SCHMAF</v>
      </c>
      <c r="Q1169" t="str">
        <f t="shared" si="68"/>
        <v>NA</v>
      </c>
      <c r="R1169" t="str">
        <f>IF(ISERROR(MATCH(P1169&amp;"."&amp;Q1169,R$5:R1168,0)),P1169&amp;"."&amp;Q1169,P1169&amp;"."&amp;Q1169&amp;COUNTIFS(P$5:P1168,P1169,Q$5:Q1168,Q1169))</f>
        <v>SCHMAF.NA</v>
      </c>
      <c r="S1169" s="55">
        <f t="shared" si="69"/>
        <v>0</v>
      </c>
    </row>
    <row r="1170" spans="1:19" hidden="1">
      <c r="A1170" s="5">
        <v>1235</v>
      </c>
      <c r="B1170" s="59"/>
      <c r="C1170" s="60"/>
      <c r="D1170" s="63"/>
      <c r="E1170" s="63"/>
      <c r="F1170" s="60" t="s">
        <v>258</v>
      </c>
      <c r="G1170" s="61" t="s">
        <v>12</v>
      </c>
      <c r="H1170" s="62"/>
      <c r="I1170" s="65">
        <v>0</v>
      </c>
      <c r="J1170" s="65">
        <v>0</v>
      </c>
      <c r="K1170" s="62"/>
      <c r="L1170" s="65">
        <v>0</v>
      </c>
      <c r="M1170" s="65">
        <v>0</v>
      </c>
      <c r="N1170" s="64">
        <v>0</v>
      </c>
      <c r="P1170" t="str">
        <f t="shared" si="67"/>
        <v>SCHMAF</v>
      </c>
      <c r="Q1170" t="str">
        <f t="shared" si="68"/>
        <v>S</v>
      </c>
      <c r="R1170" t="str">
        <f>IF(ISERROR(MATCH(P1170&amp;"."&amp;Q1170,R$5:R1169,0)),P1170&amp;"."&amp;Q1170,P1170&amp;"."&amp;Q1170&amp;COUNTIFS(P$5:P1169,P1170,Q$5:Q1169,Q1170))</f>
        <v>SCHMAF.S</v>
      </c>
      <c r="S1170" s="55">
        <f t="shared" si="69"/>
        <v>0</v>
      </c>
    </row>
    <row r="1171" spans="1:19" hidden="1">
      <c r="A1171" s="5">
        <v>1236</v>
      </c>
      <c r="B1171" s="59"/>
      <c r="C1171" s="60"/>
      <c r="D1171" s="63"/>
      <c r="E1171" s="63"/>
      <c r="F1171" s="60" t="s">
        <v>258</v>
      </c>
      <c r="G1171" s="61" t="s">
        <v>433</v>
      </c>
      <c r="H1171" s="62"/>
      <c r="I1171" s="65">
        <v>0</v>
      </c>
      <c r="J1171" s="65">
        <v>0</v>
      </c>
      <c r="K1171" s="62"/>
      <c r="L1171" s="65">
        <v>0</v>
      </c>
      <c r="M1171" s="65">
        <v>0</v>
      </c>
      <c r="N1171" s="64">
        <v>0</v>
      </c>
      <c r="P1171" t="str">
        <f t="shared" si="67"/>
        <v>SCHMAF</v>
      </c>
      <c r="Q1171" t="str">
        <f t="shared" si="68"/>
        <v>SNP</v>
      </c>
      <c r="R1171" t="str">
        <f>IF(ISERROR(MATCH(P1171&amp;"."&amp;Q1171,R$5:R1170,0)),P1171&amp;"."&amp;Q1171,P1171&amp;"."&amp;Q1171&amp;COUNTIFS(P$5:P1170,P1171,Q$5:Q1170,Q1171))</f>
        <v>SCHMAF.SNP</v>
      </c>
      <c r="S1171" s="55">
        <f t="shared" si="69"/>
        <v>0</v>
      </c>
    </row>
    <row r="1172" spans="1:19" hidden="1">
      <c r="A1172" s="5">
        <v>1237</v>
      </c>
      <c r="B1172" s="59"/>
      <c r="C1172" s="60"/>
      <c r="D1172" s="63"/>
      <c r="E1172" s="63"/>
      <c r="F1172" s="60" t="s">
        <v>258</v>
      </c>
      <c r="G1172" s="61" t="s">
        <v>136</v>
      </c>
      <c r="H1172" s="62"/>
      <c r="I1172" s="65">
        <v>0</v>
      </c>
      <c r="J1172" s="65">
        <v>0</v>
      </c>
      <c r="K1172" s="62"/>
      <c r="L1172" s="65">
        <v>0</v>
      </c>
      <c r="M1172" s="65">
        <v>0</v>
      </c>
      <c r="N1172" s="64">
        <v>0</v>
      </c>
      <c r="P1172" t="str">
        <f t="shared" si="67"/>
        <v>SCHMAF</v>
      </c>
      <c r="Q1172" t="str">
        <f t="shared" si="68"/>
        <v>SO</v>
      </c>
      <c r="R1172" t="str">
        <f>IF(ISERROR(MATCH(P1172&amp;"."&amp;Q1172,R$5:R1171,0)),P1172&amp;"."&amp;Q1172,P1172&amp;"."&amp;Q1172&amp;COUNTIFS(P$5:P1171,P1172,Q$5:Q1171,Q1172))</f>
        <v>SCHMAF.SO</v>
      </c>
      <c r="S1172" s="55">
        <f t="shared" si="69"/>
        <v>0</v>
      </c>
    </row>
    <row r="1173" spans="1:19" hidden="1">
      <c r="A1173" s="5">
        <v>1238</v>
      </c>
      <c r="B1173" s="59"/>
      <c r="C1173" s="60"/>
      <c r="D1173" s="63"/>
      <c r="E1173" s="63"/>
      <c r="F1173" s="60" t="s">
        <v>258</v>
      </c>
      <c r="G1173" s="61" t="s">
        <v>16</v>
      </c>
      <c r="H1173" s="62"/>
      <c r="I1173" s="65">
        <v>0</v>
      </c>
      <c r="J1173" s="65">
        <v>0</v>
      </c>
      <c r="K1173" s="62"/>
      <c r="L1173" s="65">
        <v>0</v>
      </c>
      <c r="M1173" s="65">
        <v>0</v>
      </c>
      <c r="N1173" s="64">
        <v>0</v>
      </c>
      <c r="P1173" t="str">
        <f t="shared" si="67"/>
        <v>SCHMAF</v>
      </c>
      <c r="Q1173" t="str">
        <f t="shared" si="68"/>
        <v>SE</v>
      </c>
      <c r="R1173" t="str">
        <f>IF(ISERROR(MATCH(P1173&amp;"."&amp;Q1173,R$5:R1172,0)),P1173&amp;"."&amp;Q1173,P1173&amp;"."&amp;Q1173&amp;COUNTIFS(P$5:P1172,P1173,Q$5:Q1172,Q1173))</f>
        <v>SCHMAF.SE</v>
      </c>
      <c r="S1173" s="55">
        <f t="shared" si="69"/>
        <v>0</v>
      </c>
    </row>
    <row r="1174" spans="1:19" hidden="1">
      <c r="A1174" s="5">
        <v>1239</v>
      </c>
      <c r="B1174" s="59"/>
      <c r="C1174" s="60"/>
      <c r="D1174" s="63"/>
      <c r="E1174" s="63"/>
      <c r="F1174" s="60" t="s">
        <v>258</v>
      </c>
      <c r="G1174" s="61" t="s">
        <v>284</v>
      </c>
      <c r="H1174" s="62"/>
      <c r="I1174" s="65">
        <v>0</v>
      </c>
      <c r="J1174" s="65">
        <v>0</v>
      </c>
      <c r="K1174" s="62"/>
      <c r="L1174" s="65">
        <v>0</v>
      </c>
      <c r="M1174" s="65">
        <v>0</v>
      </c>
      <c r="N1174" s="64">
        <v>0</v>
      </c>
      <c r="P1174" t="str">
        <f t="shared" si="67"/>
        <v>SCHMAF</v>
      </c>
      <c r="Q1174" t="str">
        <f t="shared" si="68"/>
        <v>TROJP</v>
      </c>
      <c r="R1174" t="str">
        <f>IF(ISERROR(MATCH(P1174&amp;"."&amp;Q1174,R$5:R1173,0)),P1174&amp;"."&amp;Q1174,P1174&amp;"."&amp;Q1174&amp;COUNTIFS(P$5:P1173,P1174,Q$5:Q1173,Q1174))</f>
        <v>SCHMAF.TROJP</v>
      </c>
      <c r="S1174" s="55">
        <f t="shared" si="69"/>
        <v>0</v>
      </c>
    </row>
    <row r="1175" spans="1:19" hidden="1">
      <c r="A1175" s="5">
        <v>1240</v>
      </c>
      <c r="B1175" s="59"/>
      <c r="C1175" s="60"/>
      <c r="D1175" s="63"/>
      <c r="E1175" s="63"/>
      <c r="F1175" s="60" t="s">
        <v>258</v>
      </c>
      <c r="G1175" s="61" t="s">
        <v>15</v>
      </c>
      <c r="H1175" s="62"/>
      <c r="I1175" s="65">
        <v>0</v>
      </c>
      <c r="J1175" s="65">
        <v>0</v>
      </c>
      <c r="K1175" s="62"/>
      <c r="L1175" s="65">
        <v>0</v>
      </c>
      <c r="M1175" s="65">
        <v>0</v>
      </c>
      <c r="N1175" s="64">
        <v>0</v>
      </c>
      <c r="P1175" t="str">
        <f t="shared" si="67"/>
        <v>SCHMAF</v>
      </c>
      <c r="Q1175" t="str">
        <f t="shared" si="68"/>
        <v>SG</v>
      </c>
      <c r="R1175" t="str">
        <f>IF(ISERROR(MATCH(P1175&amp;"."&amp;Q1175,R$5:R1174,0)),P1175&amp;"."&amp;Q1175,P1175&amp;"."&amp;Q1175&amp;COUNTIFS(P$5:P1174,P1175,Q$5:Q1174,Q1175))</f>
        <v>SCHMAF.SG</v>
      </c>
      <c r="S1175" s="55">
        <f t="shared" si="69"/>
        <v>0</v>
      </c>
    </row>
    <row r="1176" spans="1:19" hidden="1">
      <c r="A1176" s="5">
        <v>1241</v>
      </c>
      <c r="B1176" s="59"/>
      <c r="C1176" s="60"/>
      <c r="D1176" s="63"/>
      <c r="E1176" s="63"/>
      <c r="F1176" s="60"/>
      <c r="G1176" s="61"/>
      <c r="H1176" s="62" t="s">
        <v>165</v>
      </c>
      <c r="I1176" s="65">
        <v>0</v>
      </c>
      <c r="J1176" s="65">
        <v>0</v>
      </c>
      <c r="K1176" s="62"/>
      <c r="L1176" s="65">
        <v>0</v>
      </c>
      <c r="M1176" s="65">
        <v>0</v>
      </c>
      <c r="N1176" s="64">
        <v>0</v>
      </c>
      <c r="P1176" t="str">
        <f t="shared" si="67"/>
        <v>SCHMAF</v>
      </c>
      <c r="Q1176" t="str">
        <f t="shared" si="68"/>
        <v>NA</v>
      </c>
      <c r="R1176" t="str">
        <f>IF(ISERROR(MATCH(P1176&amp;"."&amp;Q1176,R$5:R1175,0)),P1176&amp;"."&amp;Q1176,P1176&amp;"."&amp;Q1176&amp;COUNTIFS(P$5:P1175,P1176,Q$5:Q1175,Q1176))</f>
        <v>SCHMAF.NA1</v>
      </c>
      <c r="S1176" s="55">
        <f t="shared" si="69"/>
        <v>0</v>
      </c>
    </row>
    <row r="1177" spans="1:19" hidden="1">
      <c r="A1177" s="5">
        <v>1242</v>
      </c>
      <c r="B1177" s="59"/>
      <c r="C1177" s="60"/>
      <c r="D1177" s="63"/>
      <c r="E1177" s="63"/>
      <c r="F1177" s="60"/>
      <c r="G1177" s="61"/>
      <c r="H1177" s="62"/>
      <c r="I1177" s="65"/>
      <c r="J1177" s="65"/>
      <c r="K1177" s="62"/>
      <c r="L1177" s="65"/>
      <c r="M1177" s="65"/>
      <c r="N1177" s="64"/>
      <c r="P1177" t="str">
        <f t="shared" si="67"/>
        <v>SCHMAF</v>
      </c>
      <c r="Q1177" t="str">
        <f t="shared" si="68"/>
        <v>NA</v>
      </c>
      <c r="R1177" t="str">
        <f>IF(ISERROR(MATCH(P1177&amp;"."&amp;Q1177,R$5:R1176,0)),P1177&amp;"."&amp;Q1177,P1177&amp;"."&amp;Q1177&amp;COUNTIFS(P$5:P1176,P1177,Q$5:Q1176,Q1177))</f>
        <v>SCHMAF.NA2</v>
      </c>
      <c r="S1177" s="55">
        <f t="shared" si="69"/>
        <v>0</v>
      </c>
    </row>
    <row r="1178" spans="1:19" hidden="1">
      <c r="A1178" s="5">
        <v>1243</v>
      </c>
      <c r="B1178" s="59"/>
      <c r="C1178" s="60" t="s">
        <v>259</v>
      </c>
      <c r="D1178" s="63" t="s">
        <v>457</v>
      </c>
      <c r="E1178" s="63"/>
      <c r="F1178" s="60"/>
      <c r="G1178" s="61"/>
      <c r="H1178" s="62"/>
      <c r="I1178" s="65"/>
      <c r="J1178" s="65"/>
      <c r="K1178" s="62"/>
      <c r="L1178" s="65"/>
      <c r="M1178" s="65"/>
      <c r="N1178" s="64"/>
      <c r="P1178" t="str">
        <f t="shared" si="67"/>
        <v>SCHMAP</v>
      </c>
      <c r="Q1178" t="str">
        <f t="shared" si="68"/>
        <v>NA</v>
      </c>
      <c r="R1178" t="str">
        <f>IF(ISERROR(MATCH(P1178&amp;"."&amp;Q1178,R$5:R1177,0)),P1178&amp;"."&amp;Q1178,P1178&amp;"."&amp;Q1178&amp;COUNTIFS(P$5:P1177,P1178,Q$5:Q1177,Q1178))</f>
        <v>SCHMAP.NA</v>
      </c>
      <c r="S1178" s="55">
        <f t="shared" si="69"/>
        <v>0</v>
      </c>
    </row>
    <row r="1179" spans="1:19" hidden="1">
      <c r="A1179" s="5">
        <v>1244</v>
      </c>
      <c r="B1179" s="59"/>
      <c r="C1179" s="60"/>
      <c r="D1179" s="63"/>
      <c r="E1179" s="63"/>
      <c r="F1179" s="60" t="s">
        <v>13</v>
      </c>
      <c r="G1179" s="61" t="s">
        <v>12</v>
      </c>
      <c r="H1179" s="62"/>
      <c r="I1179" s="65">
        <v>0</v>
      </c>
      <c r="J1179" s="65">
        <v>0</v>
      </c>
      <c r="K1179" s="62"/>
      <c r="L1179" s="65">
        <v>0</v>
      </c>
      <c r="M1179" s="65">
        <v>0</v>
      </c>
      <c r="N1179" s="64">
        <v>0</v>
      </c>
      <c r="P1179" t="str">
        <f t="shared" si="67"/>
        <v>SCHMAP</v>
      </c>
      <c r="Q1179" t="str">
        <f t="shared" si="68"/>
        <v>S</v>
      </c>
      <c r="R1179" t="str">
        <f>IF(ISERROR(MATCH(P1179&amp;"."&amp;Q1179,R$5:R1178,0)),P1179&amp;"."&amp;Q1179,P1179&amp;"."&amp;Q1179&amp;COUNTIFS(P$5:P1178,P1179,Q$5:Q1178,Q1179))</f>
        <v>SCHMAP.S</v>
      </c>
      <c r="S1179" s="55">
        <f t="shared" si="69"/>
        <v>0</v>
      </c>
    </row>
    <row r="1180" spans="1:19" hidden="1">
      <c r="A1180" s="5">
        <v>1245</v>
      </c>
      <c r="B1180" s="59"/>
      <c r="C1180" s="60"/>
      <c r="D1180" s="63"/>
      <c r="E1180" s="63"/>
      <c r="F1180" s="60" t="s">
        <v>13</v>
      </c>
      <c r="G1180" s="61" t="s">
        <v>16</v>
      </c>
      <c r="H1180" s="62"/>
      <c r="I1180" s="65">
        <v>93519.5</v>
      </c>
      <c r="J1180" s="65">
        <v>40546.510342657784</v>
      </c>
      <c r="K1180" s="62"/>
      <c r="L1180" s="65">
        <v>45959.5</v>
      </c>
      <c r="M1180" s="65">
        <v>26033.202895188915</v>
      </c>
      <c r="N1180" s="64">
        <v>19926.297104811085</v>
      </c>
      <c r="P1180" t="str">
        <f t="shared" si="67"/>
        <v>SCHMAP</v>
      </c>
      <c r="Q1180" t="str">
        <f t="shared" si="68"/>
        <v>SE</v>
      </c>
      <c r="R1180" t="str">
        <f>IF(ISERROR(MATCH(P1180&amp;"."&amp;Q1180,R$5:R1179,0)),P1180&amp;"."&amp;Q1180,P1180&amp;"."&amp;Q1180&amp;COUNTIFS(P$5:P1179,P1180,Q$5:Q1179,Q1180))</f>
        <v>SCHMAP.SE</v>
      </c>
      <c r="S1180" s="55">
        <f t="shared" si="69"/>
        <v>19926.297104811085</v>
      </c>
    </row>
    <row r="1181" spans="1:19" hidden="1">
      <c r="A1181" s="5">
        <v>1246</v>
      </c>
      <c r="B1181" s="59"/>
      <c r="C1181" s="60"/>
      <c r="D1181" s="63"/>
      <c r="E1181" s="63"/>
      <c r="F1181" s="60" t="s">
        <v>361</v>
      </c>
      <c r="G1181" s="61" t="s">
        <v>433</v>
      </c>
      <c r="H1181" s="62"/>
      <c r="I1181" s="65">
        <v>0</v>
      </c>
      <c r="J1181" s="65">
        <v>0</v>
      </c>
      <c r="K1181" s="62"/>
      <c r="L1181" s="65">
        <v>0</v>
      </c>
      <c r="M1181" s="65">
        <v>0</v>
      </c>
      <c r="N1181" s="64">
        <v>0</v>
      </c>
      <c r="P1181" t="str">
        <f t="shared" si="67"/>
        <v>SCHMAP</v>
      </c>
      <c r="Q1181" t="str">
        <f t="shared" si="68"/>
        <v>SNP</v>
      </c>
      <c r="R1181" t="str">
        <f>IF(ISERROR(MATCH(P1181&amp;"."&amp;Q1181,R$5:R1180,0)),P1181&amp;"."&amp;Q1181,P1181&amp;"."&amp;Q1181&amp;COUNTIFS(P$5:P1180,P1181,Q$5:Q1180,Q1181))</f>
        <v>SCHMAP.SNP</v>
      </c>
      <c r="S1181" s="55">
        <f t="shared" si="69"/>
        <v>0</v>
      </c>
    </row>
    <row r="1182" spans="1:19" hidden="1">
      <c r="A1182" s="5">
        <v>1247</v>
      </c>
      <c r="B1182" s="59"/>
      <c r="C1182" s="60"/>
      <c r="D1182" s="63"/>
      <c r="E1182" s="63"/>
      <c r="F1182" s="60" t="s">
        <v>458</v>
      </c>
      <c r="G1182" s="61" t="s">
        <v>136</v>
      </c>
      <c r="H1182" s="62"/>
      <c r="I1182" s="65">
        <v>3059826.7</v>
      </c>
      <c r="J1182" s="65">
        <v>1327919.8263524824</v>
      </c>
      <c r="K1182" s="62"/>
      <c r="L1182" s="65">
        <v>3240658.7</v>
      </c>
      <c r="M1182" s="65">
        <v>1824668.4229589424</v>
      </c>
      <c r="N1182" s="64">
        <v>1415990.2770410578</v>
      </c>
      <c r="P1182" t="str">
        <f t="shared" si="67"/>
        <v>SCHMAP</v>
      </c>
      <c r="Q1182" t="str">
        <f t="shared" si="68"/>
        <v>SO</v>
      </c>
      <c r="R1182" t="str">
        <f>IF(ISERROR(MATCH(P1182&amp;"."&amp;Q1182,R$5:R1181,0)),P1182&amp;"."&amp;Q1182,P1182&amp;"."&amp;Q1182&amp;COUNTIFS(P$5:P1181,P1182,Q$5:Q1181,Q1182))</f>
        <v>SCHMAP.SO</v>
      </c>
      <c r="S1182" s="55">
        <f t="shared" si="69"/>
        <v>1415990.2770410578</v>
      </c>
    </row>
    <row r="1183" spans="1:19" hidden="1">
      <c r="A1183" s="5">
        <v>1248</v>
      </c>
      <c r="B1183" s="59"/>
      <c r="C1183" s="60"/>
      <c r="D1183" s="63"/>
      <c r="E1183" s="63"/>
      <c r="F1183" s="63" t="s">
        <v>259</v>
      </c>
      <c r="G1183" s="63" t="s">
        <v>15</v>
      </c>
      <c r="H1183" s="62"/>
      <c r="I1183" s="66">
        <v>0</v>
      </c>
      <c r="J1183" s="66">
        <v>0</v>
      </c>
      <c r="K1183" s="62"/>
      <c r="L1183" s="66">
        <v>0</v>
      </c>
      <c r="M1183" s="66">
        <v>0</v>
      </c>
      <c r="N1183" s="66">
        <v>0</v>
      </c>
      <c r="P1183" t="str">
        <f t="shared" si="67"/>
        <v>SCHMAP</v>
      </c>
      <c r="Q1183" t="str">
        <f t="shared" si="68"/>
        <v>SG</v>
      </c>
      <c r="R1183" t="str">
        <f>IF(ISERROR(MATCH(P1183&amp;"."&amp;Q1183,R$5:R1182,0)),P1183&amp;"."&amp;Q1183,P1183&amp;"."&amp;Q1183&amp;COUNTIFS(P$5:P1182,P1183,Q$5:Q1182,Q1183))</f>
        <v>SCHMAP.SG</v>
      </c>
      <c r="S1183" s="55">
        <f t="shared" si="69"/>
        <v>0</v>
      </c>
    </row>
    <row r="1184" spans="1:19" hidden="1">
      <c r="A1184" s="5">
        <v>1249</v>
      </c>
      <c r="B1184" s="59"/>
      <c r="C1184" s="60"/>
      <c r="D1184" s="63"/>
      <c r="E1184" s="63"/>
      <c r="F1184" s="63" t="s">
        <v>139</v>
      </c>
      <c r="G1184" s="63" t="s">
        <v>452</v>
      </c>
      <c r="H1184" s="62"/>
      <c r="I1184" s="65">
        <v>147602.99000000002</v>
      </c>
      <c r="J1184" s="65">
        <v>61603.416185043039</v>
      </c>
      <c r="K1184" s="62"/>
      <c r="L1184" s="65">
        <v>99164.99000000002</v>
      </c>
      <c r="M1184" s="65">
        <v>55975.293446324496</v>
      </c>
      <c r="N1184" s="65">
        <v>43189.696553675523</v>
      </c>
      <c r="P1184" t="str">
        <f t="shared" si="67"/>
        <v>SCHMAP</v>
      </c>
      <c r="Q1184" t="str">
        <f t="shared" si="68"/>
        <v>SCHMDEXP</v>
      </c>
      <c r="R1184" t="str">
        <f>IF(ISERROR(MATCH(P1184&amp;"."&amp;Q1184,R$5:R1183,0)),P1184&amp;"."&amp;Q1184,P1184&amp;"."&amp;Q1184&amp;COUNTIFS(P$5:P1183,P1184,Q$5:Q1183,Q1184))</f>
        <v>SCHMAP.SCHMDEXP</v>
      </c>
      <c r="S1184" s="55">
        <f t="shared" si="69"/>
        <v>43189.696553675523</v>
      </c>
    </row>
    <row r="1185" spans="1:19" hidden="1">
      <c r="A1185" s="5">
        <v>1250</v>
      </c>
      <c r="B1185" s="59"/>
      <c r="C1185" s="60"/>
      <c r="D1185" s="63"/>
      <c r="E1185" s="63"/>
      <c r="F1185" s="63"/>
      <c r="G1185" s="63"/>
      <c r="H1185" s="62" t="s">
        <v>165</v>
      </c>
      <c r="I1185" s="66">
        <v>3300949.1900000004</v>
      </c>
      <c r="J1185" s="66">
        <v>1430069.7528801833</v>
      </c>
      <c r="K1185" s="62"/>
      <c r="L1185" s="66">
        <v>3385783.1900000004</v>
      </c>
      <c r="M1185" s="66">
        <v>1906676.9193004558</v>
      </c>
      <c r="N1185" s="66">
        <v>1479106.2706995443</v>
      </c>
      <c r="P1185" t="str">
        <f t="shared" si="67"/>
        <v>SCHMAP</v>
      </c>
      <c r="Q1185" t="str">
        <f t="shared" si="68"/>
        <v>NA</v>
      </c>
      <c r="R1185" t="str">
        <f>IF(ISERROR(MATCH(P1185&amp;"."&amp;Q1185,R$5:R1184,0)),P1185&amp;"."&amp;Q1185,P1185&amp;"."&amp;Q1185&amp;COUNTIFS(P$5:P1184,P1185,Q$5:Q1184,Q1185))</f>
        <v>SCHMAP.NA1</v>
      </c>
      <c r="S1185" s="55">
        <f t="shared" si="69"/>
        <v>1479106.2706995443</v>
      </c>
    </row>
    <row r="1186" spans="1:19" hidden="1">
      <c r="A1186" s="5">
        <v>1251</v>
      </c>
      <c r="B1186" s="59"/>
      <c r="C1186" s="60"/>
      <c r="D1186" s="63"/>
      <c r="E1186" s="63"/>
      <c r="F1186" s="63"/>
      <c r="G1186" s="63"/>
      <c r="H1186" s="62"/>
      <c r="I1186" s="65"/>
      <c r="J1186" s="65"/>
      <c r="K1186" s="62"/>
      <c r="L1186" s="65"/>
      <c r="M1186" s="65"/>
      <c r="N1186" s="65"/>
      <c r="P1186" t="str">
        <f t="shared" si="67"/>
        <v>SCHMAP</v>
      </c>
      <c r="Q1186" t="str">
        <f t="shared" si="68"/>
        <v>NA</v>
      </c>
      <c r="R1186" t="str">
        <f>IF(ISERROR(MATCH(P1186&amp;"."&amp;Q1186,R$5:R1185,0)),P1186&amp;"."&amp;Q1186,P1186&amp;"."&amp;Q1186&amp;COUNTIFS(P$5:P1185,P1186,Q$5:Q1185,Q1186))</f>
        <v>SCHMAP.NA2</v>
      </c>
      <c r="S1186" s="55">
        <f t="shared" si="69"/>
        <v>0</v>
      </c>
    </row>
    <row r="1187" spans="1:19" hidden="1">
      <c r="A1187" s="5">
        <v>1252</v>
      </c>
      <c r="B1187" s="59"/>
      <c r="C1187" s="60" t="s">
        <v>260</v>
      </c>
      <c r="D1187" s="61" t="s">
        <v>459</v>
      </c>
      <c r="E1187" s="63"/>
      <c r="F1187" s="63"/>
      <c r="G1187" s="63"/>
      <c r="H1187" s="62"/>
      <c r="I1187" s="65"/>
      <c r="J1187" s="65"/>
      <c r="K1187" s="62"/>
      <c r="L1187" s="65"/>
      <c r="M1187" s="65"/>
      <c r="N1187" s="65"/>
      <c r="P1187" t="str">
        <f t="shared" si="67"/>
        <v>SCHMAT</v>
      </c>
      <c r="Q1187" t="str">
        <f t="shared" si="68"/>
        <v>NA</v>
      </c>
      <c r="R1187" t="str">
        <f>IF(ISERROR(MATCH(P1187&amp;"."&amp;Q1187,R$5:R1186,0)),P1187&amp;"."&amp;Q1187,P1187&amp;"."&amp;Q1187&amp;COUNTIFS(P$5:P1186,P1187,Q$5:Q1186,Q1187))</f>
        <v>SCHMAT.NA</v>
      </c>
      <c r="S1187" s="55">
        <f t="shared" si="69"/>
        <v>0</v>
      </c>
    </row>
    <row r="1188" spans="1:19" hidden="1">
      <c r="A1188" s="5">
        <v>1253</v>
      </c>
      <c r="B1188" s="59"/>
      <c r="C1188" s="60"/>
      <c r="D1188" s="63"/>
      <c r="E1188" s="63"/>
      <c r="F1188" s="60" t="s">
        <v>460</v>
      </c>
      <c r="G1188" s="61" t="s">
        <v>12</v>
      </c>
      <c r="H1188" s="62"/>
      <c r="I1188" s="65">
        <v>10237259.710000008</v>
      </c>
      <c r="J1188" s="65">
        <v>-291300</v>
      </c>
      <c r="K1188" s="62"/>
      <c r="L1188" s="65">
        <v>-120867965.62641837</v>
      </c>
      <c r="M1188" s="65">
        <v>-88782014.289999992</v>
      </c>
      <c r="N1188" s="64">
        <v>-32085951.336418375</v>
      </c>
      <c r="P1188" t="str">
        <f t="shared" si="67"/>
        <v>SCHMAT</v>
      </c>
      <c r="Q1188" t="str">
        <f t="shared" si="68"/>
        <v>S</v>
      </c>
      <c r="R1188" t="str">
        <f>IF(ISERROR(MATCH(P1188&amp;"."&amp;Q1188,R$5:R1187,0)),P1188&amp;"."&amp;Q1188,P1188&amp;"."&amp;Q1188&amp;COUNTIFS(P$5:P1187,P1188,Q$5:Q1187,Q1188))</f>
        <v>SCHMAT.S</v>
      </c>
      <c r="S1188" s="55">
        <f t="shared" si="69"/>
        <v>-32085951.336418375</v>
      </c>
    </row>
    <row r="1189" spans="1:19" hidden="1">
      <c r="A1189" s="5">
        <v>1254</v>
      </c>
      <c r="B1189" s="59"/>
      <c r="C1189" s="60"/>
      <c r="D1189" s="63"/>
      <c r="E1189" s="63"/>
      <c r="F1189" s="60" t="s">
        <v>13</v>
      </c>
      <c r="G1189" s="61" t="s">
        <v>283</v>
      </c>
      <c r="H1189" s="62"/>
      <c r="I1189" s="65">
        <v>0</v>
      </c>
      <c r="J1189" s="65">
        <v>0</v>
      </c>
      <c r="K1189" s="62"/>
      <c r="L1189" s="65">
        <v>0</v>
      </c>
      <c r="M1189" s="65">
        <v>0</v>
      </c>
      <c r="N1189" s="64">
        <v>0</v>
      </c>
      <c r="P1189" t="str">
        <f t="shared" si="67"/>
        <v>SCHMAT</v>
      </c>
      <c r="Q1189" t="str">
        <f t="shared" si="68"/>
        <v>SGCT</v>
      </c>
      <c r="R1189" t="str">
        <f>IF(ISERROR(MATCH(P1189&amp;"."&amp;Q1189,R$5:R1188,0)),P1189&amp;"."&amp;Q1189,P1189&amp;"."&amp;Q1189&amp;COUNTIFS(P$5:P1188,P1189,Q$5:Q1188,Q1189))</f>
        <v>SCHMAT.SGCT</v>
      </c>
      <c r="S1189" s="55">
        <f t="shared" si="69"/>
        <v>0</v>
      </c>
    </row>
    <row r="1190" spans="1:19" hidden="1">
      <c r="A1190" s="5">
        <v>1255</v>
      </c>
      <c r="B1190" s="59"/>
      <c r="C1190" s="60"/>
      <c r="D1190" s="63"/>
      <c r="E1190" s="63"/>
      <c r="F1190" s="60" t="s">
        <v>139</v>
      </c>
      <c r="G1190" s="61" t="s">
        <v>451</v>
      </c>
      <c r="H1190" s="62"/>
      <c r="I1190" s="65">
        <v>114942433</v>
      </c>
      <c r="J1190" s="65">
        <v>55438064.771957561</v>
      </c>
      <c r="K1190" s="62"/>
      <c r="L1190" s="65">
        <v>61508139.640000001</v>
      </c>
      <c r="M1190" s="65">
        <v>31684067.29316707</v>
      </c>
      <c r="N1190" s="64">
        <v>29824072.346832931</v>
      </c>
      <c r="P1190" t="str">
        <f t="shared" si="67"/>
        <v>SCHMAT</v>
      </c>
      <c r="Q1190" t="str">
        <f t="shared" si="68"/>
        <v>CIAC</v>
      </c>
      <c r="R1190" t="str">
        <f>IF(ISERROR(MATCH(P1190&amp;"."&amp;Q1190,R$5:R1189,0)),P1190&amp;"."&amp;Q1190,P1190&amp;"."&amp;Q1190&amp;COUNTIFS(P$5:P1189,P1190,Q$5:Q1189,Q1190))</f>
        <v>SCHMAT.CIAC</v>
      </c>
      <c r="S1190" s="55">
        <f t="shared" si="69"/>
        <v>29824072.346832931</v>
      </c>
    </row>
    <row r="1191" spans="1:19" hidden="1">
      <c r="A1191" s="5">
        <v>1256</v>
      </c>
      <c r="B1191" s="59"/>
      <c r="C1191" s="60"/>
      <c r="D1191" s="63"/>
      <c r="E1191" s="63"/>
      <c r="F1191" s="63" t="s">
        <v>461</v>
      </c>
      <c r="G1191" s="63" t="s">
        <v>433</v>
      </c>
      <c r="H1191" s="62"/>
      <c r="I1191" s="66">
        <v>68043061.739999995</v>
      </c>
      <c r="J1191" s="66">
        <v>30508260.152752448</v>
      </c>
      <c r="K1191" s="62"/>
      <c r="L1191" s="66">
        <v>41831356.155706041</v>
      </c>
      <c r="M1191" s="66">
        <v>23279420.16299836</v>
      </c>
      <c r="N1191" s="66">
        <v>18551935.992707681</v>
      </c>
      <c r="P1191" t="str">
        <f t="shared" si="67"/>
        <v>SCHMAT</v>
      </c>
      <c r="Q1191" t="str">
        <f t="shared" si="68"/>
        <v>SNP</v>
      </c>
      <c r="R1191" t="str">
        <f>IF(ISERROR(MATCH(P1191&amp;"."&amp;Q1191,R$5:R1190,0)),P1191&amp;"."&amp;Q1191,P1191&amp;"."&amp;Q1191&amp;COUNTIFS(P$5:P1190,P1191,Q$5:Q1190,Q1191))</f>
        <v>SCHMAT.SNP</v>
      </c>
      <c r="S1191" s="55">
        <f t="shared" si="69"/>
        <v>18551935.992707681</v>
      </c>
    </row>
    <row r="1192" spans="1:19" hidden="1">
      <c r="A1192" s="5">
        <v>1257</v>
      </c>
      <c r="B1192" s="59"/>
      <c r="C1192" s="60"/>
      <c r="D1192" s="61"/>
      <c r="E1192" s="63"/>
      <c r="F1192" s="63" t="s">
        <v>13</v>
      </c>
      <c r="G1192" s="63" t="s">
        <v>447</v>
      </c>
      <c r="H1192" s="62"/>
      <c r="I1192" s="65">
        <v>-60835.95</v>
      </c>
      <c r="J1192" s="65">
        <v>-26696.564338669439</v>
      </c>
      <c r="K1192" s="62"/>
      <c r="L1192" s="65">
        <v>5.0000000002910383E-2</v>
      </c>
      <c r="M1192" s="65">
        <v>2.8058562135807638E-2</v>
      </c>
      <c r="N1192" s="64">
        <v>2.1941437867102745E-2</v>
      </c>
      <c r="P1192" t="str">
        <f t="shared" si="67"/>
        <v>SCHMAT</v>
      </c>
      <c r="Q1192" t="str">
        <f t="shared" si="68"/>
        <v>TROJD</v>
      </c>
      <c r="R1192" t="str">
        <f>IF(ISERROR(MATCH(P1192&amp;"."&amp;Q1192,R$5:R1191,0)),P1192&amp;"."&amp;Q1192,P1192&amp;"."&amp;Q1192&amp;COUNTIFS(P$5:P1191,P1192,Q$5:Q1191,Q1192))</f>
        <v>SCHMAT.TROJD</v>
      </c>
      <c r="S1192" s="55">
        <f t="shared" si="69"/>
        <v>2.1941437867102745E-2</v>
      </c>
    </row>
    <row r="1193" spans="1:19" hidden="1">
      <c r="A1193" s="5">
        <v>1258</v>
      </c>
      <c r="B1193" s="59"/>
      <c r="C1193" s="60"/>
      <c r="D1193" s="63"/>
      <c r="E1193" s="63"/>
      <c r="F1193" s="60" t="s">
        <v>13</v>
      </c>
      <c r="G1193" s="61" t="s">
        <v>15</v>
      </c>
      <c r="H1193" s="62"/>
      <c r="I1193" s="65">
        <v>0</v>
      </c>
      <c r="J1193" s="65">
        <v>0</v>
      </c>
      <c r="K1193" s="62"/>
      <c r="L1193" s="65">
        <v>0</v>
      </c>
      <c r="M1193" s="65">
        <v>0</v>
      </c>
      <c r="N1193" s="64">
        <v>0</v>
      </c>
      <c r="P1193" t="str">
        <f t="shared" si="67"/>
        <v>SCHMAT</v>
      </c>
      <c r="Q1193" t="str">
        <f t="shared" si="68"/>
        <v>SG</v>
      </c>
      <c r="R1193" t="str">
        <f>IF(ISERROR(MATCH(P1193&amp;"."&amp;Q1193,R$5:R1192,0)),P1193&amp;"."&amp;Q1193,P1193&amp;"."&amp;Q1193&amp;COUNTIFS(P$5:P1192,P1193,Q$5:Q1192,Q1193))</f>
        <v>SCHMAT.SG</v>
      </c>
      <c r="S1193" s="55">
        <f t="shared" si="69"/>
        <v>0</v>
      </c>
    </row>
    <row r="1194" spans="1:19" hidden="1">
      <c r="A1194" s="5">
        <v>1259</v>
      </c>
      <c r="B1194" s="59"/>
      <c r="C1194" s="60"/>
      <c r="D1194" s="63"/>
      <c r="E1194" s="63"/>
      <c r="F1194" s="60" t="s">
        <v>462</v>
      </c>
      <c r="G1194" s="61" t="s">
        <v>16</v>
      </c>
      <c r="H1194" s="62"/>
      <c r="I1194" s="65">
        <v>25593316.91</v>
      </c>
      <c r="J1194" s="65">
        <v>11096292.097308405</v>
      </c>
      <c r="K1194" s="62"/>
      <c r="L1194" s="65">
        <v>1449899.1604400016</v>
      </c>
      <c r="M1194" s="65">
        <v>821277.84291166405</v>
      </c>
      <c r="N1194" s="64">
        <v>628621.31752833759</v>
      </c>
      <c r="P1194" t="str">
        <f t="shared" si="67"/>
        <v>SCHMAT</v>
      </c>
      <c r="Q1194" t="str">
        <f t="shared" si="68"/>
        <v>SE</v>
      </c>
      <c r="R1194" t="str">
        <f>IF(ISERROR(MATCH(P1194&amp;"."&amp;Q1194,R$5:R1193,0)),P1194&amp;"."&amp;Q1194,P1194&amp;"."&amp;Q1194&amp;COUNTIFS(P$5:P1193,P1194,Q$5:Q1193,Q1194))</f>
        <v>SCHMAT.SE</v>
      </c>
      <c r="S1194" s="55">
        <f t="shared" si="69"/>
        <v>628621.31752833759</v>
      </c>
    </row>
    <row r="1195" spans="1:19" hidden="1">
      <c r="A1195" s="5">
        <v>1260</v>
      </c>
      <c r="B1195" s="59"/>
      <c r="C1195" s="60"/>
      <c r="D1195" s="63"/>
      <c r="E1195" s="63"/>
      <c r="F1195" s="60" t="s">
        <v>13</v>
      </c>
      <c r="G1195" s="61" t="s">
        <v>15</v>
      </c>
      <c r="H1195" s="62"/>
      <c r="I1195" s="65">
        <v>-7047193.79</v>
      </c>
      <c r="J1195" s="65">
        <v>-3100588.9561327873</v>
      </c>
      <c r="K1195" s="62"/>
      <c r="L1195" s="65">
        <v>156308808.71280494</v>
      </c>
      <c r="M1195" s="65">
        <v>87536843.518813118</v>
      </c>
      <c r="N1195" s="64">
        <v>68771965.193991825</v>
      </c>
      <c r="P1195" t="str">
        <f t="shared" si="67"/>
        <v>SCHMAT</v>
      </c>
      <c r="Q1195" t="str">
        <f t="shared" si="68"/>
        <v>SG</v>
      </c>
      <c r="R1195" t="str">
        <f>IF(ISERROR(MATCH(P1195&amp;"."&amp;Q1195,R$5:R1194,0)),P1195&amp;"."&amp;Q1195,P1195&amp;"."&amp;Q1195&amp;COUNTIFS(P$5:P1194,P1195,Q$5:Q1194,Q1195))</f>
        <v>SCHMAT.SG1</v>
      </c>
      <c r="S1195" s="55">
        <f t="shared" si="69"/>
        <v>68771965.193991825</v>
      </c>
    </row>
    <row r="1196" spans="1:19" hidden="1">
      <c r="A1196" s="5">
        <v>1261</v>
      </c>
      <c r="B1196" s="59"/>
      <c r="C1196" s="60"/>
      <c r="D1196" s="63"/>
      <c r="E1196" s="63"/>
      <c r="F1196" s="60" t="s">
        <v>463</v>
      </c>
      <c r="G1196" s="61" t="s">
        <v>423</v>
      </c>
      <c r="H1196" s="62"/>
      <c r="I1196" s="65">
        <v>-1736838.24</v>
      </c>
      <c r="J1196" s="65">
        <v>-753762.27485796879</v>
      </c>
      <c r="K1196" s="62"/>
      <c r="L1196" s="65">
        <v>-0.23999999999068677</v>
      </c>
      <c r="M1196" s="65">
        <v>-0.13513315101437631</v>
      </c>
      <c r="N1196" s="64">
        <v>-0.10486684897631046</v>
      </c>
      <c r="P1196" t="str">
        <f t="shared" si="67"/>
        <v>SCHMAT</v>
      </c>
      <c r="Q1196" t="str">
        <f t="shared" si="68"/>
        <v>GPS</v>
      </c>
      <c r="R1196" t="str">
        <f>IF(ISERROR(MATCH(P1196&amp;"."&amp;Q1196,R$5:R1195,0)),P1196&amp;"."&amp;Q1196,P1196&amp;"."&amp;Q1196&amp;COUNTIFS(P$5:P1195,P1196,Q$5:Q1195,Q1196))</f>
        <v>SCHMAT.GPS</v>
      </c>
      <c r="S1196" s="55">
        <f t="shared" si="69"/>
        <v>-0.10486684897631046</v>
      </c>
    </row>
    <row r="1197" spans="1:19" hidden="1">
      <c r="A1197" s="5">
        <v>1262</v>
      </c>
      <c r="B1197" s="59"/>
      <c r="C1197" s="60"/>
      <c r="D1197" s="63"/>
      <c r="E1197" s="63"/>
      <c r="F1197" s="60" t="s">
        <v>464</v>
      </c>
      <c r="G1197" s="61" t="s">
        <v>136</v>
      </c>
      <c r="H1197" s="62"/>
      <c r="I1197" s="65">
        <v>712465.60000000289</v>
      </c>
      <c r="J1197" s="65">
        <v>309199.60134805052</v>
      </c>
      <c r="K1197" s="62"/>
      <c r="L1197" s="65">
        <v>17525623.600000001</v>
      </c>
      <c r="M1197" s="65">
        <v>9867886.4193825833</v>
      </c>
      <c r="N1197" s="64">
        <v>7657737.1806174172</v>
      </c>
      <c r="P1197" t="str">
        <f t="shared" si="67"/>
        <v>SCHMAT</v>
      </c>
      <c r="Q1197" t="str">
        <f t="shared" si="68"/>
        <v>SO</v>
      </c>
      <c r="R1197" t="str">
        <f>IF(ISERROR(MATCH(P1197&amp;"."&amp;Q1197,R$5:R1196,0)),P1197&amp;"."&amp;Q1197,P1197&amp;"."&amp;Q1197&amp;COUNTIFS(P$5:P1196,P1197,Q$5:Q1196,Q1197))</f>
        <v>SCHMAT.SO</v>
      </c>
      <c r="S1197" s="55">
        <f t="shared" si="69"/>
        <v>7657737.1806174172</v>
      </c>
    </row>
    <row r="1198" spans="1:19" hidden="1">
      <c r="A1198" s="5">
        <v>1263</v>
      </c>
      <c r="B1198" s="59"/>
      <c r="C1198" s="60"/>
      <c r="D1198" s="63"/>
      <c r="E1198" s="63"/>
      <c r="F1198" s="60" t="s">
        <v>461</v>
      </c>
      <c r="G1198" s="61" t="s">
        <v>321</v>
      </c>
      <c r="H1198" s="62"/>
      <c r="I1198" s="65">
        <v>2372063.2200000002</v>
      </c>
      <c r="J1198" s="65">
        <v>1144073.524470621</v>
      </c>
      <c r="K1198" s="62"/>
      <c r="L1198" s="65">
        <v>0.22000000020489097</v>
      </c>
      <c r="M1198" s="65">
        <v>0.11332638008214899</v>
      </c>
      <c r="N1198" s="64">
        <v>0.10667362012274198</v>
      </c>
      <c r="P1198" t="str">
        <f t="shared" si="67"/>
        <v>SCHMAT</v>
      </c>
      <c r="Q1198" t="str">
        <f t="shared" si="68"/>
        <v>SNPD</v>
      </c>
      <c r="R1198" t="str">
        <f>IF(ISERROR(MATCH(P1198&amp;"."&amp;Q1198,R$5:R1197,0)),P1198&amp;"."&amp;Q1198,P1198&amp;"."&amp;Q1198&amp;COUNTIFS(P$5:P1197,P1198,Q$5:Q1197,Q1198))</f>
        <v>SCHMAT.SNPD</v>
      </c>
      <c r="S1198" s="55">
        <f t="shared" si="69"/>
        <v>0.10667362012274198</v>
      </c>
    </row>
    <row r="1199" spans="1:19" hidden="1">
      <c r="A1199" s="5">
        <v>1264</v>
      </c>
      <c r="B1199" s="59"/>
      <c r="C1199" s="60"/>
      <c r="D1199" s="63"/>
      <c r="E1199" s="63"/>
      <c r="F1199" s="63" t="s">
        <v>149</v>
      </c>
      <c r="G1199" s="63" t="s">
        <v>449</v>
      </c>
      <c r="H1199" s="62"/>
      <c r="I1199" s="66">
        <v>52154.8900521549</v>
      </c>
      <c r="J1199" s="66">
        <v>17324.839436562073</v>
      </c>
      <c r="K1199" s="62"/>
      <c r="L1199" s="66">
        <v>-0.10994784509966848</v>
      </c>
      <c r="M1199" s="66">
        <v>-7.3287917111850981E-2</v>
      </c>
      <c r="N1199" s="66">
        <v>-3.6659927987817496E-2</v>
      </c>
      <c r="P1199" t="str">
        <f t="shared" si="67"/>
        <v>SCHMAT</v>
      </c>
      <c r="Q1199" t="str">
        <f t="shared" si="68"/>
        <v>BADDEBT</v>
      </c>
      <c r="R1199" t="str">
        <f>IF(ISERROR(MATCH(P1199&amp;"."&amp;Q1199,R$5:R1198,0)),P1199&amp;"."&amp;Q1199,P1199&amp;"."&amp;Q1199&amp;COUNTIFS(P$5:P1198,P1199,Q$5:Q1198,Q1199))</f>
        <v>SCHMAT.BADDEBT</v>
      </c>
      <c r="S1199" s="55">
        <f t="shared" si="69"/>
        <v>-3.6659927987817496E-2</v>
      </c>
    </row>
    <row r="1200" spans="1:19" hidden="1">
      <c r="A1200" s="5">
        <v>1265</v>
      </c>
      <c r="B1200" s="59"/>
      <c r="C1200" s="60"/>
      <c r="D1200" s="63"/>
      <c r="E1200" s="63"/>
      <c r="F1200" s="63" t="s">
        <v>13</v>
      </c>
      <c r="G1200" s="63" t="s">
        <v>453</v>
      </c>
      <c r="H1200" s="62"/>
      <c r="I1200" s="65">
        <v>0</v>
      </c>
      <c r="J1200" s="65">
        <v>0</v>
      </c>
      <c r="K1200" s="62"/>
      <c r="L1200" s="65">
        <v>0</v>
      </c>
      <c r="M1200" s="65">
        <v>0</v>
      </c>
      <c r="N1200" s="65">
        <v>0</v>
      </c>
      <c r="P1200" t="str">
        <f t="shared" si="67"/>
        <v>SCHMAT</v>
      </c>
      <c r="Q1200" t="str">
        <f t="shared" si="68"/>
        <v>TAXDEPR</v>
      </c>
      <c r="R1200" t="str">
        <f>IF(ISERROR(MATCH(P1200&amp;"."&amp;Q1200,R$5:R1199,0)),P1200&amp;"."&amp;Q1200,P1200&amp;"."&amp;Q1200&amp;COUNTIFS(P$5:P1199,P1200,Q$5:Q1199,Q1200))</f>
        <v>SCHMAT.TAXDEPR</v>
      </c>
      <c r="S1200" s="55">
        <f t="shared" si="69"/>
        <v>0</v>
      </c>
    </row>
    <row r="1201" spans="1:19" hidden="1">
      <c r="A1201" s="5">
        <v>1266</v>
      </c>
      <c r="B1201" s="59"/>
      <c r="C1201" s="60"/>
      <c r="D1201" s="61"/>
      <c r="E1201" s="63"/>
      <c r="F1201" s="63" t="s">
        <v>465</v>
      </c>
      <c r="G1201" s="63" t="s">
        <v>452</v>
      </c>
      <c r="H1201" s="62"/>
      <c r="I1201" s="65">
        <v>943502237.5</v>
      </c>
      <c r="J1201" s="65">
        <v>393779021.7408998</v>
      </c>
      <c r="K1201" s="62"/>
      <c r="L1201" s="65">
        <v>982774325.96631849</v>
      </c>
      <c r="M1201" s="65">
        <v>554742972.1666733</v>
      </c>
      <c r="N1201" s="65">
        <v>428031353.79964519</v>
      </c>
      <c r="P1201" t="str">
        <f t="shared" si="67"/>
        <v>SCHMAT</v>
      </c>
      <c r="Q1201" t="str">
        <f t="shared" si="68"/>
        <v>SCHMDEXP</v>
      </c>
      <c r="R1201" t="str">
        <f>IF(ISERROR(MATCH(P1201&amp;"."&amp;Q1201,R$5:R1200,0)),P1201&amp;"."&amp;Q1201,P1201&amp;"."&amp;Q1201&amp;COUNTIFS(P$5:P1200,P1201,Q$5:Q1200,Q1201))</f>
        <v>SCHMAT.SCHMDEXP</v>
      </c>
      <c r="S1201" s="55">
        <f t="shared" si="69"/>
        <v>428031353.79964519</v>
      </c>
    </row>
    <row r="1202" spans="1:19" hidden="1">
      <c r="A1202" s="5">
        <v>1267</v>
      </c>
      <c r="B1202" s="59"/>
      <c r="C1202" s="60"/>
      <c r="D1202" s="63"/>
      <c r="E1202" s="63"/>
      <c r="F1202" s="60"/>
      <c r="G1202" s="61"/>
      <c r="H1202" s="62" t="s">
        <v>165</v>
      </c>
      <c r="I1202" s="65">
        <v>1156610124.5900521</v>
      </c>
      <c r="J1202" s="65">
        <v>488119888.93284404</v>
      </c>
      <c r="K1202" s="62"/>
      <c r="L1202" s="65">
        <v>1140530187.5289032</v>
      </c>
      <c r="M1202" s="65">
        <v>619150453.04690993</v>
      </c>
      <c r="N1202" s="64">
        <v>521379734.48199332</v>
      </c>
      <c r="P1202" t="str">
        <f t="shared" si="67"/>
        <v>SCHMAT</v>
      </c>
      <c r="Q1202" t="str">
        <f t="shared" si="68"/>
        <v>NA</v>
      </c>
      <c r="R1202" t="str">
        <f>IF(ISERROR(MATCH(P1202&amp;"."&amp;Q1202,R$5:R1201,0)),P1202&amp;"."&amp;Q1202,P1202&amp;"."&amp;Q1202&amp;COUNTIFS(P$5:P1201,P1202,Q$5:Q1201,Q1202))</f>
        <v>SCHMAT.NA1</v>
      </c>
      <c r="S1202" s="55">
        <f t="shared" si="69"/>
        <v>521379734.48199332</v>
      </c>
    </row>
    <row r="1203" spans="1:19" hidden="1">
      <c r="A1203" s="5">
        <v>1268</v>
      </c>
      <c r="B1203" s="59"/>
      <c r="C1203" s="60"/>
      <c r="D1203" s="63"/>
      <c r="E1203" s="63"/>
      <c r="F1203" s="60"/>
      <c r="G1203" s="61"/>
      <c r="H1203" s="62"/>
      <c r="I1203" s="65"/>
      <c r="J1203" s="65"/>
      <c r="K1203" s="62"/>
      <c r="L1203" s="65"/>
      <c r="M1203" s="65"/>
      <c r="N1203" s="64"/>
      <c r="P1203" t="str">
        <f t="shared" si="67"/>
        <v>SCHMAT</v>
      </c>
      <c r="Q1203" t="str">
        <f t="shared" si="68"/>
        <v>NA</v>
      </c>
      <c r="R1203" t="str">
        <f>IF(ISERROR(MATCH(P1203&amp;"."&amp;Q1203,R$5:R1202,0)),P1203&amp;"."&amp;Q1203,P1203&amp;"."&amp;Q1203&amp;COUNTIFS(P$5:P1202,P1203,Q$5:Q1202,Q1203))</f>
        <v>SCHMAT.NA2</v>
      </c>
      <c r="S1203" s="55">
        <f t="shared" si="69"/>
        <v>0</v>
      </c>
    </row>
    <row r="1204" spans="1:19" hidden="1">
      <c r="A1204" s="5">
        <v>1269</v>
      </c>
      <c r="B1204" s="59"/>
      <c r="C1204" s="60" t="s">
        <v>466</v>
      </c>
      <c r="D1204" s="63"/>
      <c r="E1204" s="63"/>
      <c r="F1204" s="60"/>
      <c r="G1204" s="61"/>
      <c r="H1204" s="62" t="s">
        <v>165</v>
      </c>
      <c r="I1204" s="65">
        <v>1159911073.7800522</v>
      </c>
      <c r="J1204" s="65">
        <v>489549958.68572426</v>
      </c>
      <c r="K1204" s="62"/>
      <c r="L1204" s="65">
        <v>1143915970.7189033</v>
      </c>
      <c r="M1204" s="65">
        <v>621057129.96621037</v>
      </c>
      <c r="N1204" s="64">
        <v>522858840.75269282</v>
      </c>
      <c r="P1204" t="str">
        <f t="shared" si="67"/>
        <v>TOTAL SCHEDULE - M ADDITIONS</v>
      </c>
      <c r="Q1204" t="str">
        <f t="shared" si="68"/>
        <v>NA</v>
      </c>
      <c r="R1204" t="str">
        <f>IF(ISERROR(MATCH(P1204&amp;"."&amp;Q1204,R$5:R1203,0)),P1204&amp;"."&amp;Q1204,P1204&amp;"."&amp;Q1204&amp;COUNTIFS(P$5:P1203,P1204,Q$5:Q1203,Q1204))</f>
        <v>TOTAL SCHEDULE - M ADDITIONS.NA</v>
      </c>
      <c r="S1204" s="55">
        <f t="shared" si="69"/>
        <v>522858840.75269282</v>
      </c>
    </row>
    <row r="1205" spans="1:19" hidden="1">
      <c r="A1205" s="5">
        <v>1270</v>
      </c>
      <c r="B1205" s="59"/>
      <c r="C1205" s="60"/>
      <c r="D1205" s="63"/>
      <c r="E1205" s="63"/>
      <c r="F1205" s="60"/>
      <c r="G1205" s="61"/>
      <c r="H1205" s="62"/>
      <c r="I1205" s="65"/>
      <c r="J1205" s="65"/>
      <c r="K1205" s="62"/>
      <c r="L1205" s="65"/>
      <c r="M1205" s="65"/>
      <c r="N1205" s="64"/>
      <c r="P1205" t="str">
        <f t="shared" si="67"/>
        <v>TOTAL SCHEDULE - M ADDITIONS</v>
      </c>
      <c r="Q1205" t="str">
        <f t="shared" si="68"/>
        <v>NA</v>
      </c>
      <c r="R1205" t="str">
        <f>IF(ISERROR(MATCH(P1205&amp;"."&amp;Q1205,R$5:R1204,0)),P1205&amp;"."&amp;Q1205,P1205&amp;"."&amp;Q1205&amp;COUNTIFS(P$5:P1204,P1205,Q$5:Q1204,Q1205))</f>
        <v>TOTAL SCHEDULE - M ADDITIONS.NA1</v>
      </c>
      <c r="S1205" s="55">
        <f t="shared" si="69"/>
        <v>0</v>
      </c>
    </row>
    <row r="1206" spans="1:19" hidden="1">
      <c r="A1206" s="5">
        <v>1271</v>
      </c>
      <c r="B1206" s="59"/>
      <c r="C1206" s="60" t="s">
        <v>261</v>
      </c>
      <c r="D1206" s="63" t="s">
        <v>467</v>
      </c>
      <c r="E1206" s="63"/>
      <c r="F1206" s="60"/>
      <c r="G1206" s="61"/>
      <c r="H1206" s="62"/>
      <c r="I1206" s="65"/>
      <c r="J1206" s="65"/>
      <c r="K1206" s="62"/>
      <c r="L1206" s="65"/>
      <c r="M1206" s="65"/>
      <c r="N1206" s="64"/>
      <c r="P1206" t="str">
        <f t="shared" si="67"/>
        <v>SCHMDF</v>
      </c>
      <c r="Q1206" t="str">
        <f t="shared" si="68"/>
        <v>NA</v>
      </c>
      <c r="R1206" t="str">
        <f>IF(ISERROR(MATCH(P1206&amp;"."&amp;Q1206,R$5:R1205,0)),P1206&amp;"."&amp;Q1206,P1206&amp;"."&amp;Q1206&amp;COUNTIFS(P$5:P1205,P1206,Q$5:Q1205,Q1206))</f>
        <v>SCHMDF.NA</v>
      </c>
      <c r="S1206" s="55">
        <f t="shared" si="69"/>
        <v>0</v>
      </c>
    </row>
    <row r="1207" spans="1:19" hidden="1">
      <c r="A1207" s="5">
        <v>1272</v>
      </c>
      <c r="B1207" s="59"/>
      <c r="C1207" s="60"/>
      <c r="D1207" s="63"/>
      <c r="E1207" s="63"/>
      <c r="F1207" s="60" t="s">
        <v>261</v>
      </c>
      <c r="G1207" s="61" t="s">
        <v>12</v>
      </c>
      <c r="H1207" s="62"/>
      <c r="I1207" s="65">
        <v>0</v>
      </c>
      <c r="J1207" s="65">
        <v>0</v>
      </c>
      <c r="K1207" s="62"/>
      <c r="L1207" s="65">
        <v>0</v>
      </c>
      <c r="M1207" s="65">
        <v>0</v>
      </c>
      <c r="N1207" s="64">
        <v>0</v>
      </c>
      <c r="P1207" t="str">
        <f t="shared" si="67"/>
        <v>SCHMDF</v>
      </c>
      <c r="Q1207" t="str">
        <f t="shared" si="68"/>
        <v>S</v>
      </c>
      <c r="R1207" t="str">
        <f>IF(ISERROR(MATCH(P1207&amp;"."&amp;Q1207,R$5:R1206,0)),P1207&amp;"."&amp;Q1207,P1207&amp;"."&amp;Q1207&amp;COUNTIFS(P$5:P1206,P1207,Q$5:Q1206,Q1207))</f>
        <v>SCHMDF.S</v>
      </c>
      <c r="S1207" s="55">
        <f t="shared" si="69"/>
        <v>0</v>
      </c>
    </row>
    <row r="1208" spans="1:19" hidden="1">
      <c r="A1208" s="5">
        <v>1273</v>
      </c>
      <c r="B1208" s="59"/>
      <c r="C1208" s="60"/>
      <c r="D1208" s="63"/>
      <c r="E1208" s="63"/>
      <c r="F1208" s="60" t="s">
        <v>261</v>
      </c>
      <c r="G1208" s="61" t="s">
        <v>17</v>
      </c>
      <c r="H1208" s="62"/>
      <c r="I1208" s="65">
        <v>0</v>
      </c>
      <c r="J1208" s="65">
        <v>0</v>
      </c>
      <c r="K1208" s="62"/>
      <c r="L1208" s="65">
        <v>0</v>
      </c>
      <c r="M1208" s="65">
        <v>0</v>
      </c>
      <c r="N1208" s="64">
        <v>0</v>
      </c>
      <c r="P1208" t="str">
        <f t="shared" si="67"/>
        <v>SCHMDF</v>
      </c>
      <c r="Q1208" t="str">
        <f t="shared" si="68"/>
        <v>DGP</v>
      </c>
      <c r="R1208" t="str">
        <f>IF(ISERROR(MATCH(P1208&amp;"."&amp;Q1208,R$5:R1207,0)),P1208&amp;"."&amp;Q1208,P1208&amp;"."&amp;Q1208&amp;COUNTIFS(P$5:P1207,P1208,Q$5:Q1207,Q1208))</f>
        <v>SCHMDF.DGP</v>
      </c>
      <c r="S1208" s="55">
        <f t="shared" si="69"/>
        <v>0</v>
      </c>
    </row>
    <row r="1209" spans="1:19" hidden="1">
      <c r="A1209" s="5">
        <v>1274</v>
      </c>
      <c r="B1209" s="59"/>
      <c r="C1209" s="60"/>
      <c r="D1209" s="63"/>
      <c r="E1209" s="63"/>
      <c r="F1209" s="60" t="s">
        <v>261</v>
      </c>
      <c r="G1209" s="61" t="s">
        <v>14</v>
      </c>
      <c r="H1209" s="62"/>
      <c r="I1209" s="65">
        <v>0</v>
      </c>
      <c r="J1209" s="65">
        <v>0</v>
      </c>
      <c r="K1209" s="62"/>
      <c r="L1209" s="65">
        <v>0</v>
      </c>
      <c r="M1209" s="65">
        <v>0</v>
      </c>
      <c r="N1209" s="64">
        <v>0</v>
      </c>
      <c r="P1209" t="str">
        <f t="shared" si="67"/>
        <v>SCHMDF</v>
      </c>
      <c r="Q1209" t="str">
        <f t="shared" si="68"/>
        <v>DGU</v>
      </c>
      <c r="R1209" t="str">
        <f>IF(ISERROR(MATCH(P1209&amp;"."&amp;Q1209,R$5:R1208,0)),P1209&amp;"."&amp;Q1209,P1209&amp;"."&amp;Q1209&amp;COUNTIFS(P$5:P1208,P1209,Q$5:Q1208,Q1209))</f>
        <v>SCHMDF.DGU</v>
      </c>
      <c r="S1209" s="55">
        <f t="shared" si="69"/>
        <v>0</v>
      </c>
    </row>
    <row r="1210" spans="1:19" hidden="1">
      <c r="A1210" s="5">
        <v>1275</v>
      </c>
      <c r="B1210" s="59"/>
      <c r="C1210" s="60"/>
      <c r="D1210" s="63"/>
      <c r="E1210" s="63"/>
      <c r="F1210" s="60"/>
      <c r="G1210" s="61"/>
      <c r="H1210" s="62" t="s">
        <v>165</v>
      </c>
      <c r="I1210" s="65">
        <v>0</v>
      </c>
      <c r="J1210" s="65">
        <v>0</v>
      </c>
      <c r="K1210" s="62"/>
      <c r="L1210" s="65">
        <v>0</v>
      </c>
      <c r="M1210" s="65">
        <v>0</v>
      </c>
      <c r="N1210" s="64">
        <v>0</v>
      </c>
      <c r="P1210" t="str">
        <f t="shared" si="67"/>
        <v>SCHMDF</v>
      </c>
      <c r="Q1210" t="str">
        <f t="shared" si="68"/>
        <v>NA</v>
      </c>
      <c r="R1210" t="str">
        <f>IF(ISERROR(MATCH(P1210&amp;"."&amp;Q1210,R$5:R1209,0)),P1210&amp;"."&amp;Q1210,P1210&amp;"."&amp;Q1210&amp;COUNTIFS(P$5:P1209,P1210,Q$5:Q1209,Q1210))</f>
        <v>SCHMDF.NA1</v>
      </c>
      <c r="S1210" s="55">
        <f t="shared" si="69"/>
        <v>0</v>
      </c>
    </row>
    <row r="1211" spans="1:19" hidden="1">
      <c r="A1211" s="5">
        <v>1276</v>
      </c>
      <c r="B1211" s="59"/>
      <c r="C1211" s="60" t="s">
        <v>262</v>
      </c>
      <c r="D1211" s="63" t="s">
        <v>468</v>
      </c>
      <c r="E1211" s="63"/>
      <c r="F1211" s="60"/>
      <c r="G1211" s="61"/>
      <c r="H1211" s="62"/>
      <c r="I1211" s="65"/>
      <c r="J1211" s="65"/>
      <c r="K1211" s="62"/>
      <c r="L1211" s="65"/>
      <c r="M1211" s="65"/>
      <c r="N1211" s="64"/>
      <c r="P1211" t="str">
        <f t="shared" si="67"/>
        <v>SCHMDP</v>
      </c>
      <c r="Q1211" t="str">
        <f t="shared" si="68"/>
        <v>NA</v>
      </c>
      <c r="R1211" t="str">
        <f>IF(ISERROR(MATCH(P1211&amp;"."&amp;Q1211,R$5:R1210,0)),P1211&amp;"."&amp;Q1211,P1211&amp;"."&amp;Q1211&amp;COUNTIFS(P$5:P1210,P1211,Q$5:Q1210,Q1211))</f>
        <v>SCHMDP.NA</v>
      </c>
      <c r="S1211" s="55">
        <f t="shared" si="69"/>
        <v>0</v>
      </c>
    </row>
    <row r="1212" spans="1:19" hidden="1">
      <c r="A1212" s="5">
        <v>1277</v>
      </c>
      <c r="B1212" s="59"/>
      <c r="C1212" s="60"/>
      <c r="D1212" s="63"/>
      <c r="E1212" s="63"/>
      <c r="F1212" s="60" t="s">
        <v>262</v>
      </c>
      <c r="G1212" s="61" t="s">
        <v>12</v>
      </c>
      <c r="H1212" s="62"/>
      <c r="I1212" s="65">
        <v>0</v>
      </c>
      <c r="J1212" s="65">
        <v>0</v>
      </c>
      <c r="K1212" s="62"/>
      <c r="L1212" s="65">
        <v>0</v>
      </c>
      <c r="M1212" s="65">
        <v>0</v>
      </c>
      <c r="N1212" s="64">
        <v>0</v>
      </c>
      <c r="P1212" t="str">
        <f t="shared" si="67"/>
        <v>SCHMDP</v>
      </c>
      <c r="Q1212" t="str">
        <f t="shared" si="68"/>
        <v>S</v>
      </c>
      <c r="R1212" t="str">
        <f>IF(ISERROR(MATCH(P1212&amp;"."&amp;Q1212,R$5:R1211,0)),P1212&amp;"."&amp;Q1212,P1212&amp;"."&amp;Q1212&amp;COUNTIFS(P$5:P1211,P1212,Q$5:Q1211,Q1212))</f>
        <v>SCHMDP.S</v>
      </c>
      <c r="S1212" s="55">
        <f t="shared" si="69"/>
        <v>0</v>
      </c>
    </row>
    <row r="1213" spans="1:19" hidden="1">
      <c r="A1213" s="5">
        <v>1278</v>
      </c>
      <c r="B1213" s="59"/>
      <c r="C1213" s="60"/>
      <c r="D1213" s="63"/>
      <c r="E1213" s="63"/>
      <c r="F1213" s="60" t="s">
        <v>13</v>
      </c>
      <c r="G1213" s="61" t="s">
        <v>16</v>
      </c>
      <c r="H1213" s="62"/>
      <c r="I1213" s="65">
        <v>4099703</v>
      </c>
      <c r="J1213" s="65">
        <v>1777475.82152733</v>
      </c>
      <c r="K1213" s="62"/>
      <c r="L1213" s="65">
        <v>3962306</v>
      </c>
      <c r="M1213" s="65">
        <v>2244400.3096383642</v>
      </c>
      <c r="N1213" s="64">
        <v>1717905.6903616358</v>
      </c>
      <c r="P1213" t="str">
        <f t="shared" si="67"/>
        <v>SCHMDP</v>
      </c>
      <c r="Q1213" t="str">
        <f t="shared" si="68"/>
        <v>SE</v>
      </c>
      <c r="R1213" t="str">
        <f>IF(ISERROR(MATCH(P1213&amp;"."&amp;Q1213,R$5:R1212,0)),P1213&amp;"."&amp;Q1213,P1213&amp;"."&amp;Q1213&amp;COUNTIFS(P$5:P1212,P1213,Q$5:Q1212,Q1213))</f>
        <v>SCHMDP.SE</v>
      </c>
      <c r="S1213" s="55">
        <f t="shared" si="69"/>
        <v>1717905.6903616358</v>
      </c>
    </row>
    <row r="1214" spans="1:19" hidden="1">
      <c r="A1214" s="5">
        <v>1279</v>
      </c>
      <c r="B1214" s="59"/>
      <c r="C1214" s="60"/>
      <c r="D1214" s="63"/>
      <c r="E1214" s="63"/>
      <c r="F1214" s="63" t="s">
        <v>171</v>
      </c>
      <c r="G1214" s="63" t="s">
        <v>433</v>
      </c>
      <c r="H1214" s="62"/>
      <c r="I1214" s="66">
        <v>107934.67</v>
      </c>
      <c r="J1214" s="66">
        <v>48394.338932660219</v>
      </c>
      <c r="K1214" s="62"/>
      <c r="L1214" s="66">
        <v>107934.67</v>
      </c>
      <c r="M1214" s="66">
        <v>60066.341711033274</v>
      </c>
      <c r="N1214" s="66">
        <v>47868.328288966724</v>
      </c>
      <c r="P1214" t="str">
        <f t="shared" si="67"/>
        <v>SCHMDP</v>
      </c>
      <c r="Q1214" t="str">
        <f t="shared" si="68"/>
        <v>SNP</v>
      </c>
      <c r="R1214" t="str">
        <f>IF(ISERROR(MATCH(P1214&amp;"."&amp;Q1214,R$5:R1213,0)),P1214&amp;"."&amp;Q1214,P1214&amp;"."&amp;Q1214&amp;COUNTIFS(P$5:P1213,P1214,Q$5:Q1213,Q1214))</f>
        <v>SCHMDP.SNP</v>
      </c>
      <c r="S1214" s="55">
        <f t="shared" si="69"/>
        <v>47868.328288966724</v>
      </c>
    </row>
    <row r="1215" spans="1:19" hidden="1">
      <c r="A1215" s="5">
        <v>1280</v>
      </c>
      <c r="B1215" s="59"/>
      <c r="C1215" s="60"/>
      <c r="D1215" s="63"/>
      <c r="E1215" s="63"/>
      <c r="F1215" s="63" t="s">
        <v>465</v>
      </c>
      <c r="G1215" s="63" t="s">
        <v>452</v>
      </c>
      <c r="H1215" s="62"/>
      <c r="I1215" s="65">
        <v>0</v>
      </c>
      <c r="J1215" s="65">
        <v>0</v>
      </c>
      <c r="K1215" s="62"/>
      <c r="L1215" s="65">
        <v>0</v>
      </c>
      <c r="M1215" s="65">
        <v>0</v>
      </c>
      <c r="N1215" s="65">
        <v>0</v>
      </c>
      <c r="P1215" t="str">
        <f t="shared" si="67"/>
        <v>SCHMDP</v>
      </c>
      <c r="Q1215" t="str">
        <f t="shared" si="68"/>
        <v>SCHMDEXP</v>
      </c>
      <c r="R1215" t="str">
        <f>IF(ISERROR(MATCH(P1215&amp;"."&amp;Q1215,R$5:R1214,0)),P1215&amp;"."&amp;Q1215,P1215&amp;"."&amp;Q1215&amp;COUNTIFS(P$5:P1214,P1215,Q$5:Q1214,Q1215))</f>
        <v>SCHMDP.SCHMDEXP</v>
      </c>
      <c r="S1215" s="55">
        <f t="shared" si="69"/>
        <v>0</v>
      </c>
    </row>
    <row r="1216" spans="1:19" hidden="1">
      <c r="A1216" s="5">
        <v>1281</v>
      </c>
      <c r="B1216" s="59"/>
      <c r="C1216" s="60"/>
      <c r="D1216" s="63"/>
      <c r="E1216" s="63"/>
      <c r="F1216" s="63" t="s">
        <v>13</v>
      </c>
      <c r="G1216" s="63" t="s">
        <v>15</v>
      </c>
      <c r="H1216" s="62"/>
      <c r="I1216" s="66">
        <v>0</v>
      </c>
      <c r="J1216" s="66">
        <v>0</v>
      </c>
      <c r="K1216" s="62"/>
      <c r="L1216" s="66">
        <v>0</v>
      </c>
      <c r="M1216" s="66">
        <v>0</v>
      </c>
      <c r="N1216" s="66">
        <v>0</v>
      </c>
      <c r="P1216" t="str">
        <f t="shared" si="67"/>
        <v>SCHMDP</v>
      </c>
      <c r="Q1216" t="str">
        <f t="shared" si="68"/>
        <v>SG</v>
      </c>
      <c r="R1216" t="str">
        <f>IF(ISERROR(MATCH(P1216&amp;"."&amp;Q1216,R$5:R1215,0)),P1216&amp;"."&amp;Q1216,P1216&amp;"."&amp;Q1216&amp;COUNTIFS(P$5:P1215,P1216,Q$5:Q1215,Q1216))</f>
        <v>SCHMDP.SG</v>
      </c>
      <c r="S1216" s="55">
        <f t="shared" si="69"/>
        <v>0</v>
      </c>
    </row>
    <row r="1217" spans="1:19" hidden="1">
      <c r="A1217" s="5">
        <v>1282</v>
      </c>
      <c r="B1217" s="59"/>
      <c r="C1217" s="60"/>
      <c r="D1217" s="63"/>
      <c r="E1217" s="63"/>
      <c r="F1217" s="63" t="s">
        <v>469</v>
      </c>
      <c r="G1217" s="63" t="s">
        <v>136</v>
      </c>
      <c r="H1217" s="62"/>
      <c r="I1217" s="65">
        <v>0</v>
      </c>
      <c r="J1217" s="65">
        <v>0</v>
      </c>
      <c r="K1217" s="62"/>
      <c r="L1217" s="65">
        <v>0</v>
      </c>
      <c r="M1217" s="65">
        <v>0</v>
      </c>
      <c r="N1217" s="65">
        <v>0</v>
      </c>
      <c r="P1217" t="str">
        <f t="shared" si="67"/>
        <v>SCHMDP</v>
      </c>
      <c r="Q1217" t="str">
        <f t="shared" si="68"/>
        <v>SO</v>
      </c>
      <c r="R1217" t="str">
        <f>IF(ISERROR(MATCH(P1217&amp;"."&amp;Q1217,R$5:R1216,0)),P1217&amp;"."&amp;Q1217,P1217&amp;"."&amp;Q1217&amp;COUNTIFS(P$5:P1216,P1217,Q$5:Q1216,Q1217))</f>
        <v>SCHMDP.SO</v>
      </c>
      <c r="S1217" s="55">
        <f t="shared" si="69"/>
        <v>0</v>
      </c>
    </row>
    <row r="1218" spans="1:19" ht="15.75" hidden="1" thickBot="1">
      <c r="A1218" s="5">
        <v>1283</v>
      </c>
      <c r="B1218" s="59"/>
      <c r="C1218" s="45"/>
      <c r="D1218" s="40"/>
      <c r="E1218" s="40"/>
      <c r="F1218" s="40"/>
      <c r="G1218" s="40"/>
      <c r="H1218" s="41" t="s">
        <v>165</v>
      </c>
      <c r="I1218" s="68">
        <v>4207637.67</v>
      </c>
      <c r="J1218" s="68">
        <v>1825870.1604599901</v>
      </c>
      <c r="K1218" s="41"/>
      <c r="L1218" s="68">
        <v>4070240.67</v>
      </c>
      <c r="M1218" s="68">
        <v>2304466.6513493974</v>
      </c>
      <c r="N1218" s="68">
        <v>1765774.0186506025</v>
      </c>
      <c r="P1218" t="str">
        <f t="shared" si="67"/>
        <v>SCHMDP</v>
      </c>
      <c r="Q1218" t="str">
        <f t="shared" si="68"/>
        <v>NA</v>
      </c>
      <c r="R1218" t="str">
        <f>IF(ISERROR(MATCH(P1218&amp;"."&amp;Q1218,R$5:R1217,0)),P1218&amp;"."&amp;Q1218,P1218&amp;"."&amp;Q1218&amp;COUNTIFS(P$5:P1217,P1218,Q$5:Q1217,Q1218))</f>
        <v>SCHMDP.NA1</v>
      </c>
      <c r="S1218" s="55">
        <f t="shared" si="69"/>
        <v>1765774.0186506025</v>
      </c>
    </row>
    <row r="1219" spans="1:19" hidden="1">
      <c r="A1219" s="5">
        <v>1284</v>
      </c>
      <c r="B1219" s="59"/>
      <c r="C1219" s="60"/>
      <c r="D1219" s="63"/>
      <c r="E1219" s="63"/>
      <c r="F1219" s="63"/>
      <c r="G1219" s="63"/>
      <c r="H1219" s="62"/>
      <c r="I1219" s="65"/>
      <c r="J1219" s="65"/>
      <c r="K1219" s="62"/>
      <c r="L1219" s="65"/>
      <c r="M1219" s="65"/>
      <c r="N1219" s="65"/>
      <c r="P1219" t="str">
        <f t="shared" si="67"/>
        <v>SCHMDP</v>
      </c>
      <c r="Q1219" t="str">
        <f t="shared" si="68"/>
        <v>NA</v>
      </c>
      <c r="R1219" t="str">
        <f>IF(ISERROR(MATCH(P1219&amp;"."&amp;Q1219,R$5:R1218,0)),P1219&amp;"."&amp;Q1219,P1219&amp;"."&amp;Q1219&amp;COUNTIFS(P$5:P1218,P1219,Q$5:Q1218,Q1219))</f>
        <v>SCHMDP.NA2</v>
      </c>
      <c r="S1219" s="55">
        <f t="shared" si="69"/>
        <v>0</v>
      </c>
    </row>
    <row r="1220" spans="1:19" hidden="1">
      <c r="A1220" s="5">
        <v>1285</v>
      </c>
      <c r="B1220" s="59"/>
      <c r="C1220" s="60" t="s">
        <v>263</v>
      </c>
      <c r="D1220" s="70" t="s">
        <v>470</v>
      </c>
      <c r="E1220" s="63"/>
      <c r="F1220" s="63"/>
      <c r="G1220" s="63"/>
      <c r="H1220" s="62"/>
      <c r="I1220" s="65"/>
      <c r="J1220" s="65"/>
      <c r="K1220" s="62"/>
      <c r="L1220" s="65"/>
      <c r="M1220" s="65"/>
      <c r="N1220" s="65"/>
      <c r="P1220" t="str">
        <f t="shared" si="67"/>
        <v>SCHMDT</v>
      </c>
      <c r="Q1220" t="str">
        <f t="shared" si="68"/>
        <v>NA</v>
      </c>
      <c r="R1220" t="str">
        <f>IF(ISERROR(MATCH(P1220&amp;"."&amp;Q1220,R$5:R1219,0)),P1220&amp;"."&amp;Q1220,P1220&amp;"."&amp;Q1220&amp;COUNTIFS(P$5:P1219,P1220,Q$5:Q1219,Q1220))</f>
        <v>SCHMDT.NA</v>
      </c>
      <c r="S1220" s="55">
        <f t="shared" si="69"/>
        <v>0</v>
      </c>
    </row>
    <row r="1221" spans="1:19" hidden="1">
      <c r="A1221" s="5">
        <v>1286</v>
      </c>
      <c r="B1221" s="59"/>
      <c r="C1221" s="60"/>
      <c r="D1221" s="70"/>
      <c r="E1221" s="63"/>
      <c r="F1221" s="63" t="s">
        <v>140</v>
      </c>
      <c r="G1221" s="63" t="s">
        <v>12</v>
      </c>
      <c r="H1221" s="62"/>
      <c r="I1221" s="65">
        <v>39958771.519999996</v>
      </c>
      <c r="J1221" s="65">
        <v>-598675.06999999983</v>
      </c>
      <c r="K1221" s="62"/>
      <c r="L1221" s="65">
        <v>-31978286.480000004</v>
      </c>
      <c r="M1221" s="65">
        <v>-31815243.410000004</v>
      </c>
      <c r="N1221" s="65">
        <v>-163043.06999999983</v>
      </c>
      <c r="P1221" t="str">
        <f t="shared" si="67"/>
        <v>SCHMDT</v>
      </c>
      <c r="Q1221" t="str">
        <f t="shared" si="68"/>
        <v>S</v>
      </c>
      <c r="R1221" t="str">
        <f>IF(ISERROR(MATCH(P1221&amp;"."&amp;Q1221,R$5:R1220,0)),P1221&amp;"."&amp;Q1221,P1221&amp;"."&amp;Q1221&amp;COUNTIFS(P$5:P1220,P1221,Q$5:Q1220,Q1221))</f>
        <v>SCHMDT.S</v>
      </c>
      <c r="S1221" s="55">
        <f t="shared" si="69"/>
        <v>-163043.06999999983</v>
      </c>
    </row>
    <row r="1222" spans="1:19" hidden="1">
      <c r="A1222" s="5">
        <v>1287</v>
      </c>
      <c r="B1222" s="59"/>
      <c r="C1222" s="60"/>
      <c r="D1222" s="61"/>
      <c r="E1222" s="63"/>
      <c r="F1222" s="63" t="s">
        <v>149</v>
      </c>
      <c r="G1222" s="63" t="s">
        <v>449</v>
      </c>
      <c r="H1222" s="62"/>
      <c r="I1222" s="65">
        <v>0</v>
      </c>
      <c r="J1222" s="65">
        <v>0</v>
      </c>
      <c r="K1222" s="62"/>
      <c r="L1222" s="65">
        <v>0</v>
      </c>
      <c r="M1222" s="65">
        <v>0</v>
      </c>
      <c r="N1222" s="65">
        <v>0</v>
      </c>
      <c r="P1222" t="str">
        <f t="shared" si="67"/>
        <v>SCHMDT</v>
      </c>
      <c r="Q1222" t="str">
        <f t="shared" si="68"/>
        <v>BADDEBT</v>
      </c>
      <c r="R1222" t="str">
        <f>IF(ISERROR(MATCH(P1222&amp;"."&amp;Q1222,R$5:R1221,0)),P1222&amp;"."&amp;Q1222,P1222&amp;"."&amp;Q1222&amp;COUNTIFS(P$5:P1221,P1222,Q$5:Q1221,Q1222))</f>
        <v>SCHMDT.BADDEBT</v>
      </c>
      <c r="S1222" s="55">
        <f t="shared" si="69"/>
        <v>0</v>
      </c>
    </row>
    <row r="1223" spans="1:19" hidden="1">
      <c r="A1223" s="5">
        <v>1288</v>
      </c>
      <c r="B1223" s="59"/>
      <c r="C1223" s="60"/>
      <c r="D1223" s="63"/>
      <c r="E1223" s="63"/>
      <c r="F1223" s="60" t="s">
        <v>471</v>
      </c>
      <c r="G1223" s="61" t="s">
        <v>433</v>
      </c>
      <c r="H1223" s="62"/>
      <c r="I1223" s="65">
        <v>108335285.02000001</v>
      </c>
      <c r="J1223" s="65">
        <v>48573961.467841871</v>
      </c>
      <c r="K1223" s="62"/>
      <c r="L1223" s="65">
        <v>70491047.960000008</v>
      </c>
      <c r="M1223" s="65">
        <v>39228723.95250012</v>
      </c>
      <c r="N1223" s="64">
        <v>31262324.007499892</v>
      </c>
      <c r="P1223" t="str">
        <f t="shared" ref="P1223:P1286" si="70">IF(OR(C1223="",C1223=" ",C1223="  ",C1223="   "),P1222,C1223)</f>
        <v>SCHMDT</v>
      </c>
      <c r="Q1223" t="str">
        <f t="shared" ref="Q1223:Q1286" si="71">IF(G1223="","NA",G1223)</f>
        <v>SNP</v>
      </c>
      <c r="R1223" t="str">
        <f>IF(ISERROR(MATCH(P1223&amp;"."&amp;Q1223,R$5:R1222,0)),P1223&amp;"."&amp;Q1223,P1223&amp;"."&amp;Q1223&amp;COUNTIFS(P$5:P1222,P1223,Q$5:Q1222,Q1223))</f>
        <v>SCHMDT.SNP</v>
      </c>
      <c r="S1223" s="55">
        <f t="shared" si="69"/>
        <v>31262324.007499892</v>
      </c>
    </row>
    <row r="1224" spans="1:19" hidden="1">
      <c r="A1224" s="5">
        <v>1289</v>
      </c>
      <c r="B1224" s="59"/>
      <c r="C1224" s="60"/>
      <c r="D1224" s="63"/>
      <c r="E1224" s="63"/>
      <c r="F1224" s="60" t="s">
        <v>149</v>
      </c>
      <c r="G1224" s="61" t="s">
        <v>155</v>
      </c>
      <c r="H1224" s="62"/>
      <c r="I1224" s="65">
        <v>0</v>
      </c>
      <c r="J1224" s="65">
        <v>0</v>
      </c>
      <c r="K1224" s="62"/>
      <c r="L1224" s="65">
        <v>0</v>
      </c>
      <c r="M1224" s="65">
        <v>0</v>
      </c>
      <c r="N1224" s="64">
        <v>0</v>
      </c>
      <c r="P1224" t="str">
        <f t="shared" si="70"/>
        <v>SCHMDT</v>
      </c>
      <c r="Q1224" t="str">
        <f t="shared" si="71"/>
        <v>CN</v>
      </c>
      <c r="R1224" t="str">
        <f>IF(ISERROR(MATCH(P1224&amp;"."&amp;Q1224,R$5:R1223,0)),P1224&amp;"."&amp;Q1224,P1224&amp;"."&amp;Q1224&amp;COUNTIFS(P$5:P1223,P1224,Q$5:Q1223,Q1224))</f>
        <v>SCHMDT.CN</v>
      </c>
      <c r="S1224" s="55">
        <f t="shared" ref="S1224:S1287" si="72">N1224</f>
        <v>0</v>
      </c>
    </row>
    <row r="1225" spans="1:19" hidden="1">
      <c r="A1225" s="5">
        <v>1290</v>
      </c>
      <c r="B1225" s="59"/>
      <c r="C1225" s="60"/>
      <c r="D1225" s="61"/>
      <c r="E1225" s="63"/>
      <c r="F1225" s="60" t="s">
        <v>263</v>
      </c>
      <c r="G1225" s="61" t="s">
        <v>15</v>
      </c>
      <c r="H1225" s="62"/>
      <c r="I1225" s="65">
        <v>377111.25</v>
      </c>
      <c r="J1225" s="65">
        <v>165919.51517533485</v>
      </c>
      <c r="K1225" s="62"/>
      <c r="L1225" s="65">
        <v>377111.25</v>
      </c>
      <c r="M1225" s="65">
        <v>211191.73482466515</v>
      </c>
      <c r="N1225" s="64">
        <v>165919.51517533485</v>
      </c>
      <c r="P1225" t="str">
        <f t="shared" si="70"/>
        <v>SCHMDT</v>
      </c>
      <c r="Q1225" t="str">
        <f t="shared" si="71"/>
        <v>SG</v>
      </c>
      <c r="R1225" t="str">
        <f>IF(ISERROR(MATCH(P1225&amp;"."&amp;Q1225,R$5:R1224,0)),P1225&amp;"."&amp;Q1225,P1225&amp;"."&amp;Q1225&amp;COUNTIFS(P$5:P1224,P1225,Q$5:Q1224,Q1225))</f>
        <v>SCHMDT.SG</v>
      </c>
      <c r="S1225" s="55">
        <f t="shared" si="72"/>
        <v>165919.51517533485</v>
      </c>
    </row>
    <row r="1226" spans="1:19" hidden="1">
      <c r="A1226" s="5">
        <v>1291</v>
      </c>
      <c r="B1226" s="59"/>
      <c r="C1226" s="60"/>
      <c r="D1226" s="63"/>
      <c r="E1226" s="63"/>
      <c r="F1226" s="60" t="s">
        <v>149</v>
      </c>
      <c r="G1226" s="61" t="s">
        <v>17</v>
      </c>
      <c r="H1226" s="62"/>
      <c r="I1226" s="65">
        <v>0</v>
      </c>
      <c r="J1226" s="65">
        <v>0</v>
      </c>
      <c r="K1226" s="62"/>
      <c r="L1226" s="65">
        <v>0</v>
      </c>
      <c r="M1226" s="65">
        <v>0</v>
      </c>
      <c r="N1226" s="64">
        <v>0</v>
      </c>
      <c r="P1226" t="str">
        <f t="shared" si="70"/>
        <v>SCHMDT</v>
      </c>
      <c r="Q1226" t="str">
        <f t="shared" si="71"/>
        <v>DGP</v>
      </c>
      <c r="R1226" t="str">
        <f>IF(ISERROR(MATCH(P1226&amp;"."&amp;Q1226,R$5:R1225,0)),P1226&amp;"."&amp;Q1226,P1226&amp;"."&amp;Q1226&amp;COUNTIFS(P$5:P1225,P1226,Q$5:Q1225,Q1226))</f>
        <v>SCHMDT.DGP</v>
      </c>
      <c r="S1226" s="55">
        <f t="shared" si="72"/>
        <v>0</v>
      </c>
    </row>
    <row r="1227" spans="1:19" ht="15.75" hidden="1" thickBot="1">
      <c r="A1227" s="5">
        <v>1292</v>
      </c>
      <c r="B1227" s="59"/>
      <c r="C1227" s="45"/>
      <c r="D1227" s="63"/>
      <c r="E1227" s="63"/>
      <c r="F1227" s="63" t="s">
        <v>13</v>
      </c>
      <c r="G1227" s="63" t="s">
        <v>16</v>
      </c>
      <c r="H1227" s="41"/>
      <c r="I1227" s="92">
        <v>5445868.5300000003</v>
      </c>
      <c r="J1227" s="92">
        <v>2361122.1689209156</v>
      </c>
      <c r="K1227" s="41"/>
      <c r="L1227" s="92">
        <v>190532.53000000026</v>
      </c>
      <c r="M1227" s="92">
        <v>107924.84712896518</v>
      </c>
      <c r="N1227" s="92">
        <v>82607.682871035082</v>
      </c>
      <c r="P1227" t="str">
        <f t="shared" si="70"/>
        <v>SCHMDT</v>
      </c>
      <c r="Q1227" t="str">
        <f t="shared" si="71"/>
        <v>SE</v>
      </c>
      <c r="R1227" t="str">
        <f>IF(ISERROR(MATCH(P1227&amp;"."&amp;Q1227,R$5:R1226,0)),P1227&amp;"."&amp;Q1227,P1227&amp;"."&amp;Q1227&amp;COUNTIFS(P$5:P1226,P1227,Q$5:Q1226,Q1227))</f>
        <v>SCHMDT.SE</v>
      </c>
      <c r="S1227" s="55">
        <f t="shared" si="72"/>
        <v>82607.682871035082</v>
      </c>
    </row>
    <row r="1228" spans="1:19" hidden="1">
      <c r="A1228" s="5">
        <v>1293</v>
      </c>
      <c r="B1228" s="59"/>
      <c r="C1228" s="60"/>
      <c r="D1228" s="63"/>
      <c r="E1228" s="63"/>
      <c r="F1228" s="63" t="s">
        <v>472</v>
      </c>
      <c r="G1228" s="63" t="s">
        <v>15</v>
      </c>
      <c r="H1228" s="62"/>
      <c r="I1228" s="65">
        <v>156071656.29999998</v>
      </c>
      <c r="J1228" s="65">
        <v>68667624.06559734</v>
      </c>
      <c r="K1228" s="62"/>
      <c r="L1228" s="65">
        <v>860356128.31999993</v>
      </c>
      <c r="M1228" s="65">
        <v>481820956.83152652</v>
      </c>
      <c r="N1228" s="65">
        <v>378535171.48847342</v>
      </c>
      <c r="P1228" t="str">
        <f t="shared" si="70"/>
        <v>SCHMDT</v>
      </c>
      <c r="Q1228" t="str">
        <f t="shared" si="71"/>
        <v>SG</v>
      </c>
      <c r="R1228" t="str">
        <f>IF(ISERROR(MATCH(P1228&amp;"."&amp;Q1228,R$5:R1227,0)),P1228&amp;"."&amp;Q1228,P1228&amp;"."&amp;Q1228&amp;COUNTIFS(P$5:P1227,P1228,Q$5:Q1227,Q1228))</f>
        <v>SCHMDT.SG1</v>
      </c>
      <c r="S1228" s="55">
        <f t="shared" si="72"/>
        <v>378535171.48847342</v>
      </c>
    </row>
    <row r="1229" spans="1:19" hidden="1">
      <c r="A1229" s="5">
        <v>1294</v>
      </c>
      <c r="B1229" s="59"/>
      <c r="C1229" s="60"/>
      <c r="D1229" s="63"/>
      <c r="E1229" s="63"/>
      <c r="F1229" s="63" t="s">
        <v>473</v>
      </c>
      <c r="G1229" s="63" t="s">
        <v>423</v>
      </c>
      <c r="H1229" s="62"/>
      <c r="I1229" s="69">
        <v>90362310.349999994</v>
      </c>
      <c r="J1229" s="69">
        <v>39215914.897657812</v>
      </c>
      <c r="K1229" s="62"/>
      <c r="L1229" s="69">
        <v>41000227.829999991</v>
      </c>
      <c r="M1229" s="65">
        <v>23085374.913292594</v>
      </c>
      <c r="N1229" s="65">
        <v>17914852.916707397</v>
      </c>
      <c r="P1229" t="str">
        <f t="shared" si="70"/>
        <v>SCHMDT</v>
      </c>
      <c r="Q1229" t="str">
        <f t="shared" si="71"/>
        <v>GPS</v>
      </c>
      <c r="R1229" t="str">
        <f>IF(ISERROR(MATCH(P1229&amp;"."&amp;Q1229,R$5:R1228,0)),P1229&amp;"."&amp;Q1229,P1229&amp;"."&amp;Q1229&amp;COUNTIFS(P$5:P1228,P1229,Q$5:Q1228,Q1229))</f>
        <v>SCHMDT.GPS</v>
      </c>
      <c r="S1229" s="55">
        <f t="shared" si="72"/>
        <v>17914852.916707397</v>
      </c>
    </row>
    <row r="1230" spans="1:19" hidden="1">
      <c r="A1230" s="5">
        <v>1295</v>
      </c>
      <c r="B1230" s="59"/>
      <c r="C1230" s="60"/>
      <c r="D1230" s="63"/>
      <c r="E1230" s="63"/>
      <c r="F1230" s="63" t="s">
        <v>474</v>
      </c>
      <c r="G1230" s="63" t="s">
        <v>136</v>
      </c>
      <c r="H1230" s="62"/>
      <c r="I1230" s="65">
        <v>28447715.799999997</v>
      </c>
      <c r="J1230" s="65">
        <v>12345890.64317295</v>
      </c>
      <c r="K1230" s="62"/>
      <c r="L1230" s="65">
        <v>23943902.799999997</v>
      </c>
      <c r="M1230" s="65">
        <v>13481729.304464612</v>
      </c>
      <c r="N1230" s="65">
        <v>10462173.495535385</v>
      </c>
      <c r="P1230" t="str">
        <f t="shared" si="70"/>
        <v>SCHMDT</v>
      </c>
      <c r="Q1230" t="str">
        <f t="shared" si="71"/>
        <v>SO</v>
      </c>
      <c r="R1230" t="str">
        <f>IF(ISERROR(MATCH(P1230&amp;"."&amp;Q1230,R$5:R1229,0)),P1230&amp;"."&amp;Q1230,P1230&amp;"."&amp;Q1230&amp;COUNTIFS(P$5:P1229,P1230,Q$5:Q1229,Q1230))</f>
        <v>SCHMDT.SO</v>
      </c>
      <c r="S1230" s="55">
        <f t="shared" si="72"/>
        <v>10462173.495535385</v>
      </c>
    </row>
    <row r="1231" spans="1:19" hidden="1">
      <c r="A1231" s="5">
        <v>1296</v>
      </c>
      <c r="B1231" s="59"/>
      <c r="C1231" s="60"/>
      <c r="D1231" s="61"/>
      <c r="E1231" s="63"/>
      <c r="F1231" s="63" t="s">
        <v>453</v>
      </c>
      <c r="G1231" s="63" t="s">
        <v>453</v>
      </c>
      <c r="H1231" s="62"/>
      <c r="I1231" s="91">
        <v>684399818</v>
      </c>
      <c r="J1231" s="91">
        <v>307643235.793957</v>
      </c>
      <c r="K1231" s="62"/>
      <c r="L1231" s="91">
        <v>828627928.48000002</v>
      </c>
      <c r="M1231" s="91">
        <v>456152994.26423615</v>
      </c>
      <c r="N1231" s="91">
        <v>372474934.21576387</v>
      </c>
      <c r="P1231" t="str">
        <f t="shared" si="70"/>
        <v>SCHMDT</v>
      </c>
      <c r="Q1231" t="str">
        <f t="shared" si="71"/>
        <v>TAXDEPR</v>
      </c>
      <c r="R1231" t="str">
        <f>IF(ISERROR(MATCH(P1231&amp;"."&amp;Q1231,R$5:R1230,0)),P1231&amp;"."&amp;Q1231,P1231&amp;"."&amp;Q1231&amp;COUNTIFS(P$5:P1230,P1231,Q$5:Q1230,Q1231))</f>
        <v>SCHMDT.TAXDEPR</v>
      </c>
      <c r="S1231" s="55">
        <f t="shared" si="72"/>
        <v>372474934.21576387</v>
      </c>
    </row>
    <row r="1232" spans="1:19" hidden="1">
      <c r="A1232" s="5">
        <v>1297</v>
      </c>
      <c r="B1232" s="59"/>
      <c r="C1232" s="60"/>
      <c r="D1232" s="61"/>
      <c r="E1232" s="63"/>
      <c r="F1232" s="63" t="s">
        <v>139</v>
      </c>
      <c r="G1232" s="63" t="s">
        <v>321</v>
      </c>
      <c r="H1232" s="62"/>
      <c r="I1232" s="65">
        <v>-1021517.3500000001</v>
      </c>
      <c r="J1232" s="65">
        <v>-492689.63199150696</v>
      </c>
      <c r="K1232" s="62"/>
      <c r="L1232" s="65">
        <v>0.64999999990686774</v>
      </c>
      <c r="M1232" s="65">
        <v>0.33482794079199674</v>
      </c>
      <c r="N1232" s="65">
        <v>0.31517205911487101</v>
      </c>
      <c r="P1232" t="str">
        <f t="shared" si="70"/>
        <v>SCHMDT</v>
      </c>
      <c r="Q1232" t="str">
        <f t="shared" si="71"/>
        <v>SNPD</v>
      </c>
      <c r="R1232" t="str">
        <f>IF(ISERROR(MATCH(P1232&amp;"."&amp;Q1232,R$5:R1231,0)),P1232&amp;"."&amp;Q1232,P1232&amp;"."&amp;Q1232&amp;COUNTIFS(P$5:P1231,P1232,Q$5:Q1231,Q1232))</f>
        <v>SCHMDT.SNPD</v>
      </c>
      <c r="S1232" s="55">
        <f t="shared" si="72"/>
        <v>0.31517205911487101</v>
      </c>
    </row>
    <row r="1233" spans="1:19" hidden="1">
      <c r="A1233" s="5">
        <v>1298</v>
      </c>
      <c r="B1233" s="59"/>
      <c r="C1233" s="60"/>
      <c r="D1233" s="61"/>
      <c r="E1233" s="63"/>
      <c r="F1233" s="63"/>
      <c r="G1233" s="63"/>
      <c r="H1233" s="62" t="s">
        <v>165</v>
      </c>
      <c r="I1233" s="65">
        <v>1112377019.4200001</v>
      </c>
      <c r="J1233" s="65">
        <v>477882303.85033166</v>
      </c>
      <c r="K1233" s="62"/>
      <c r="L1233" s="65">
        <v>1793008593.3400002</v>
      </c>
      <c r="M1233" s="65">
        <v>982273652.77280152</v>
      </c>
      <c r="N1233" s="65">
        <v>810734940.5671984</v>
      </c>
      <c r="P1233" t="str">
        <f t="shared" si="70"/>
        <v>SCHMDT</v>
      </c>
      <c r="Q1233" t="str">
        <f t="shared" si="71"/>
        <v>NA</v>
      </c>
      <c r="R1233" t="str">
        <f>IF(ISERROR(MATCH(P1233&amp;"."&amp;Q1233,R$5:R1232,0)),P1233&amp;"."&amp;Q1233,P1233&amp;"."&amp;Q1233&amp;COUNTIFS(P$5:P1232,P1233,Q$5:Q1232,Q1233))</f>
        <v>SCHMDT.NA1</v>
      </c>
      <c r="S1233" s="55">
        <f t="shared" si="72"/>
        <v>810734940.5671984</v>
      </c>
    </row>
    <row r="1234" spans="1:19" hidden="1">
      <c r="A1234" s="5">
        <v>1299</v>
      </c>
      <c r="B1234" s="59"/>
      <c r="C1234" s="60"/>
      <c r="D1234" s="61"/>
      <c r="E1234" s="63"/>
      <c r="F1234" s="63"/>
      <c r="G1234" s="63"/>
      <c r="H1234" s="62"/>
      <c r="I1234" s="65"/>
      <c r="J1234" s="65"/>
      <c r="K1234" s="62"/>
      <c r="L1234" s="65"/>
      <c r="M1234" s="65"/>
      <c r="N1234" s="65"/>
      <c r="P1234" t="str">
        <f t="shared" si="70"/>
        <v>SCHMDT</v>
      </c>
      <c r="Q1234" t="str">
        <f t="shared" si="71"/>
        <v>NA</v>
      </c>
      <c r="R1234" t="str">
        <f>IF(ISERROR(MATCH(P1234&amp;"."&amp;Q1234,R$5:R1233,0)),P1234&amp;"."&amp;Q1234,P1234&amp;"."&amp;Q1234&amp;COUNTIFS(P$5:P1233,P1234,Q$5:Q1233,Q1234))</f>
        <v>SCHMDT.NA2</v>
      </c>
      <c r="S1234" s="55">
        <f t="shared" si="72"/>
        <v>0</v>
      </c>
    </row>
    <row r="1235" spans="1:19" hidden="1">
      <c r="A1235" s="5">
        <v>1300</v>
      </c>
      <c r="B1235" s="59"/>
      <c r="C1235" s="60" t="s">
        <v>475</v>
      </c>
      <c r="D1235" s="61"/>
      <c r="E1235" s="63"/>
      <c r="F1235" s="63"/>
      <c r="G1235" s="63"/>
      <c r="H1235" s="62" t="s">
        <v>165</v>
      </c>
      <c r="I1235" s="65">
        <v>1116584657.0900002</v>
      </c>
      <c r="J1235" s="65">
        <v>479708174.01079166</v>
      </c>
      <c r="K1235" s="62"/>
      <c r="L1235" s="65">
        <v>1797078834.0100002</v>
      </c>
      <c r="M1235" s="65">
        <v>984578119.42415094</v>
      </c>
      <c r="N1235" s="65">
        <v>812500714.58584893</v>
      </c>
      <c r="P1235" t="str">
        <f t="shared" si="70"/>
        <v>TOTAL SCHEDULE - M DEDUCTIONS</v>
      </c>
      <c r="Q1235" t="str">
        <f t="shared" si="71"/>
        <v>NA</v>
      </c>
      <c r="R1235" t="str">
        <f>IF(ISERROR(MATCH(P1235&amp;"."&amp;Q1235,R$5:R1234,0)),P1235&amp;"."&amp;Q1235,P1235&amp;"."&amp;Q1235&amp;COUNTIFS(P$5:P1234,P1235,Q$5:Q1234,Q1235))</f>
        <v>TOTAL SCHEDULE - M DEDUCTIONS.NA</v>
      </c>
      <c r="S1235" s="55">
        <f t="shared" si="72"/>
        <v>812500714.58584893</v>
      </c>
    </row>
    <row r="1236" spans="1:19" hidden="1">
      <c r="A1236" s="5">
        <v>1301</v>
      </c>
      <c r="B1236" s="59"/>
      <c r="C1236" s="60"/>
      <c r="D1236" s="61"/>
      <c r="E1236" s="63"/>
      <c r="F1236" s="63"/>
      <c r="G1236" s="63"/>
      <c r="H1236" s="62"/>
      <c r="I1236" s="65"/>
      <c r="J1236" s="65"/>
      <c r="K1236" s="62"/>
      <c r="L1236" s="65"/>
      <c r="M1236" s="65"/>
      <c r="N1236" s="65"/>
      <c r="P1236" t="str">
        <f t="shared" si="70"/>
        <v>TOTAL SCHEDULE - M DEDUCTIONS</v>
      </c>
      <c r="Q1236" t="str">
        <f t="shared" si="71"/>
        <v>NA</v>
      </c>
      <c r="R1236" t="str">
        <f>IF(ISERROR(MATCH(P1236&amp;"."&amp;Q1236,R$5:R1235,0)),P1236&amp;"."&amp;Q1236,P1236&amp;"."&amp;Q1236&amp;COUNTIFS(P$5:P1235,P1236,Q$5:Q1235,Q1236))</f>
        <v>TOTAL SCHEDULE - M DEDUCTIONS.NA1</v>
      </c>
      <c r="S1236" s="55">
        <f t="shared" si="72"/>
        <v>0</v>
      </c>
    </row>
    <row r="1237" spans="1:19" hidden="1">
      <c r="A1237" s="5">
        <v>1302</v>
      </c>
      <c r="B1237" s="59"/>
      <c r="C1237" s="60" t="s">
        <v>476</v>
      </c>
      <c r="D1237" s="61"/>
      <c r="E1237" s="63"/>
      <c r="F1237" s="63"/>
      <c r="G1237" s="63"/>
      <c r="H1237" s="62" t="s">
        <v>165</v>
      </c>
      <c r="I1237" s="65">
        <v>43326416.690052032</v>
      </c>
      <c r="J1237" s="65">
        <v>9841784.6749325991</v>
      </c>
      <c r="K1237" s="62"/>
      <c r="L1237" s="65">
        <v>-653162863.29109693</v>
      </c>
      <c r="M1237" s="65">
        <v>-363520989.45794058</v>
      </c>
      <c r="N1237" s="65">
        <v>-289641873.83315611</v>
      </c>
      <c r="P1237" t="str">
        <f t="shared" si="70"/>
        <v>TOTAL SCHEDULE - M ADJUSTMENTS</v>
      </c>
      <c r="Q1237" t="str">
        <f t="shared" si="71"/>
        <v>NA</v>
      </c>
      <c r="R1237" t="str">
        <f>IF(ISERROR(MATCH(P1237&amp;"."&amp;Q1237,R$5:R1236,0)),P1237&amp;"."&amp;Q1237,P1237&amp;"."&amp;Q1237&amp;COUNTIFS(P$5:P1236,P1237,Q$5:Q1236,Q1237))</f>
        <v>TOTAL SCHEDULE - M ADJUSTMENTS.NA</v>
      </c>
      <c r="S1237" s="55">
        <f t="shared" si="72"/>
        <v>-289641873.83315611</v>
      </c>
    </row>
    <row r="1238" spans="1:19" hidden="1">
      <c r="A1238" s="5">
        <v>1303</v>
      </c>
      <c r="B1238" s="59"/>
      <c r="C1238" s="60"/>
      <c r="D1238" s="61"/>
      <c r="E1238" s="63"/>
      <c r="F1238" s="63"/>
      <c r="G1238" s="63"/>
      <c r="H1238" s="62"/>
      <c r="I1238" s="91"/>
      <c r="J1238" s="91"/>
      <c r="K1238" s="62"/>
      <c r="L1238" s="91"/>
      <c r="M1238" s="91"/>
      <c r="N1238" s="91"/>
      <c r="P1238" t="str">
        <f t="shared" si="70"/>
        <v>TOTAL SCHEDULE - M ADJUSTMENTS</v>
      </c>
      <c r="Q1238" t="str">
        <f t="shared" si="71"/>
        <v>NA</v>
      </c>
      <c r="R1238" t="str">
        <f>IF(ISERROR(MATCH(P1238&amp;"."&amp;Q1238,R$5:R1237,0)),P1238&amp;"."&amp;Q1238,P1238&amp;"."&amp;Q1238&amp;COUNTIFS(P$5:P1237,P1238,Q$5:Q1237,Q1238))</f>
        <v>TOTAL SCHEDULE - M ADJUSTMENTS.NA1</v>
      </c>
      <c r="S1238" s="55">
        <f t="shared" si="72"/>
        <v>0</v>
      </c>
    </row>
    <row r="1239" spans="1:19" hidden="1">
      <c r="A1239" s="5">
        <v>1304</v>
      </c>
      <c r="B1239" s="59"/>
      <c r="C1239" s="60"/>
      <c r="D1239" s="61"/>
      <c r="E1239" s="63"/>
      <c r="F1239" s="63"/>
      <c r="G1239" s="63"/>
      <c r="H1239" s="62"/>
      <c r="I1239" s="65"/>
      <c r="J1239" s="65"/>
      <c r="K1239" s="62"/>
      <c r="L1239" s="65"/>
      <c r="M1239" s="65"/>
      <c r="N1239" s="65"/>
      <c r="P1239" t="str">
        <f t="shared" si="70"/>
        <v>TOTAL SCHEDULE - M ADJUSTMENTS</v>
      </c>
      <c r="Q1239" t="str">
        <f t="shared" si="71"/>
        <v>NA</v>
      </c>
      <c r="R1239" t="str">
        <f>IF(ISERROR(MATCH(P1239&amp;"."&amp;Q1239,R$5:R1238,0)),P1239&amp;"."&amp;Q1239,P1239&amp;"."&amp;Q1239&amp;COUNTIFS(P$5:P1238,P1239,Q$5:Q1238,Q1239))</f>
        <v>TOTAL SCHEDULE - M ADJUSTMENTS.NA2</v>
      </c>
      <c r="S1239" s="55">
        <f t="shared" si="72"/>
        <v>0</v>
      </c>
    </row>
    <row r="1240" spans="1:19" hidden="1">
      <c r="A1240" s="5">
        <v>1305</v>
      </c>
      <c r="B1240" s="59"/>
      <c r="C1240" s="60"/>
      <c r="D1240" s="61"/>
      <c r="E1240" s="63"/>
      <c r="F1240" s="63"/>
      <c r="G1240" s="63"/>
      <c r="H1240" s="62"/>
      <c r="I1240" s="65"/>
      <c r="J1240" s="65"/>
      <c r="K1240" s="62"/>
      <c r="L1240" s="65"/>
      <c r="M1240" s="65"/>
      <c r="N1240" s="65"/>
      <c r="P1240" t="str">
        <f t="shared" si="70"/>
        <v>TOTAL SCHEDULE - M ADJUSTMENTS</v>
      </c>
      <c r="Q1240" t="str">
        <f t="shared" si="71"/>
        <v>NA</v>
      </c>
      <c r="R1240" t="str">
        <f>IF(ISERROR(MATCH(P1240&amp;"."&amp;Q1240,R$5:R1239,0)),P1240&amp;"."&amp;Q1240,P1240&amp;"."&amp;Q1240&amp;COUNTIFS(P$5:P1239,P1240,Q$5:Q1239,Q1240))</f>
        <v>TOTAL SCHEDULE - M ADJUSTMENTS.NA3</v>
      </c>
      <c r="S1240" s="55">
        <f t="shared" si="72"/>
        <v>0</v>
      </c>
    </row>
    <row r="1241" spans="1:19" hidden="1">
      <c r="A1241" s="5">
        <v>1306</v>
      </c>
      <c r="B1241" s="59"/>
      <c r="C1241" s="60">
        <v>40911</v>
      </c>
      <c r="D1241" s="61" t="s">
        <v>477</v>
      </c>
      <c r="E1241" s="63"/>
      <c r="F1241" s="63"/>
      <c r="G1241" s="63"/>
      <c r="H1241" s="62"/>
      <c r="I1241" s="65"/>
      <c r="J1241" s="65"/>
      <c r="K1241" s="62"/>
      <c r="L1241" s="65"/>
      <c r="M1241" s="65"/>
      <c r="N1241" s="65"/>
      <c r="P1241">
        <f t="shared" si="70"/>
        <v>40911</v>
      </c>
      <c r="Q1241" t="str">
        <f t="shared" si="71"/>
        <v>NA</v>
      </c>
      <c r="R1241" t="str">
        <f>IF(ISERROR(MATCH(P1241&amp;"."&amp;Q1241,R$5:R1240,0)),P1241&amp;"."&amp;Q1241,P1241&amp;"."&amp;Q1241&amp;COUNTIFS(P$5:P1240,P1241,Q$5:Q1240,Q1241))</f>
        <v>40911.NA</v>
      </c>
      <c r="S1241" s="55">
        <f t="shared" si="72"/>
        <v>0</v>
      </c>
    </row>
    <row r="1242" spans="1:19" hidden="1">
      <c r="A1242" s="5">
        <v>1307</v>
      </c>
      <c r="B1242" s="59"/>
      <c r="C1242" s="60"/>
      <c r="D1242" s="61"/>
      <c r="E1242" s="63"/>
      <c r="F1242" s="63" t="s">
        <v>450</v>
      </c>
      <c r="G1242" s="63" t="s">
        <v>141</v>
      </c>
      <c r="H1242" s="62"/>
      <c r="I1242" s="65">
        <v>47186903.722171202</v>
      </c>
      <c r="J1242" s="65">
        <v>18890290.77561073</v>
      </c>
      <c r="K1242" s="62"/>
      <c r="L1242" s="65">
        <v>7741165.0160594247</v>
      </c>
      <c r="M1242" s="65">
        <v>4467563.7563968813</v>
      </c>
      <c r="N1242" s="65">
        <v>3273601.2596625434</v>
      </c>
      <c r="P1242">
        <f t="shared" si="70"/>
        <v>40911</v>
      </c>
      <c r="Q1242" t="str">
        <f t="shared" si="71"/>
        <v xml:space="preserve"> </v>
      </c>
      <c r="R1242" t="str">
        <f>IF(ISERROR(MATCH(P1242&amp;"."&amp;Q1242,R$5:R1241,0)),P1242&amp;"."&amp;Q1242,P1242&amp;"."&amp;Q1242&amp;COUNTIFS(P$5:P1241,P1242,Q$5:Q1241,Q1242))</f>
        <v xml:space="preserve">40911. </v>
      </c>
      <c r="S1242" s="55">
        <f t="shared" si="72"/>
        <v>3273601.2596625434</v>
      </c>
    </row>
    <row r="1243" spans="1:19" hidden="1">
      <c r="A1243" s="5">
        <v>1308</v>
      </c>
      <c r="B1243" s="59"/>
      <c r="C1243" s="60"/>
      <c r="D1243" s="61"/>
      <c r="E1243" s="63"/>
      <c r="F1243" s="63" t="s">
        <v>450</v>
      </c>
      <c r="G1243" s="63" t="s">
        <v>450</v>
      </c>
      <c r="H1243" s="62"/>
      <c r="I1243" s="65">
        <v>0</v>
      </c>
      <c r="J1243" s="65">
        <v>0</v>
      </c>
      <c r="K1243" s="62"/>
      <c r="L1243" s="65">
        <v>0</v>
      </c>
      <c r="M1243" s="65">
        <v>0</v>
      </c>
      <c r="N1243" s="65">
        <v>0</v>
      </c>
      <c r="P1243">
        <f t="shared" si="70"/>
        <v>40911</v>
      </c>
      <c r="Q1243" t="str">
        <f t="shared" si="71"/>
        <v>IBT</v>
      </c>
      <c r="R1243" t="str">
        <f>IF(ISERROR(MATCH(P1243&amp;"."&amp;Q1243,R$5:R1242,0)),P1243&amp;"."&amp;Q1243,P1243&amp;"."&amp;Q1243&amp;COUNTIFS(P$5:P1242,P1243,Q$5:Q1242,Q1243))</f>
        <v>40911.IBT</v>
      </c>
      <c r="S1243" s="55">
        <f t="shared" si="72"/>
        <v>0</v>
      </c>
    </row>
    <row r="1244" spans="1:19" hidden="1">
      <c r="A1244" s="5">
        <v>1309</v>
      </c>
      <c r="B1244" s="59"/>
      <c r="C1244" s="60"/>
      <c r="D1244" s="63" t="s">
        <v>478</v>
      </c>
      <c r="E1244" s="63"/>
      <c r="F1244" s="63" t="s">
        <v>13</v>
      </c>
      <c r="G1244" s="63" t="s">
        <v>15</v>
      </c>
      <c r="H1244" s="62"/>
      <c r="I1244" s="91">
        <v>0</v>
      </c>
      <c r="J1244" s="91">
        <v>0</v>
      </c>
      <c r="K1244" s="62"/>
      <c r="L1244" s="91">
        <v>0</v>
      </c>
      <c r="M1244" s="91">
        <v>0</v>
      </c>
      <c r="N1244" s="91">
        <v>0</v>
      </c>
      <c r="P1244">
        <f t="shared" si="70"/>
        <v>40911</v>
      </c>
      <c r="Q1244" t="str">
        <f t="shared" si="71"/>
        <v>SG</v>
      </c>
      <c r="R1244" t="str">
        <f>IF(ISERROR(MATCH(P1244&amp;"."&amp;Q1244,R$5:R1243,0)),P1244&amp;"."&amp;Q1244,P1244&amp;"."&amp;Q1244&amp;COUNTIFS(P$5:P1243,P1244,Q$5:Q1243,Q1244))</f>
        <v>40911.SG</v>
      </c>
      <c r="S1244" s="55">
        <f t="shared" si="72"/>
        <v>0</v>
      </c>
    </row>
    <row r="1245" spans="1:19" hidden="1">
      <c r="A1245" s="5">
        <v>1310</v>
      </c>
      <c r="B1245" s="59"/>
      <c r="C1245" s="60"/>
      <c r="D1245" s="61"/>
      <c r="E1245" s="63"/>
      <c r="F1245" s="63" t="s">
        <v>450</v>
      </c>
      <c r="G1245" s="63" t="s">
        <v>450</v>
      </c>
      <c r="H1245" s="62"/>
      <c r="I1245" s="65">
        <v>0</v>
      </c>
      <c r="J1245" s="65">
        <v>0</v>
      </c>
      <c r="K1245" s="62"/>
      <c r="L1245" s="65">
        <v>0</v>
      </c>
      <c r="M1245" s="65">
        <v>0</v>
      </c>
      <c r="N1245" s="65">
        <v>0</v>
      </c>
      <c r="P1245">
        <f t="shared" si="70"/>
        <v>40911</v>
      </c>
      <c r="Q1245" t="str">
        <f t="shared" si="71"/>
        <v>IBT</v>
      </c>
      <c r="R1245" t="str">
        <f>IF(ISERROR(MATCH(P1245&amp;"."&amp;Q1245,R$5:R1244,0)),P1245&amp;"."&amp;Q1245,P1245&amp;"."&amp;Q1245&amp;COUNTIFS(P$5:P1244,P1245,Q$5:Q1244,Q1245))</f>
        <v>40911.IBT1</v>
      </c>
      <c r="S1245" s="55">
        <f t="shared" si="72"/>
        <v>0</v>
      </c>
    </row>
    <row r="1246" spans="1:19" hidden="1">
      <c r="A1246" s="5">
        <v>1311</v>
      </c>
      <c r="B1246" s="59"/>
      <c r="C1246" s="60" t="s">
        <v>479</v>
      </c>
      <c r="D1246" s="63"/>
      <c r="E1246" s="63"/>
      <c r="F1246" s="63"/>
      <c r="G1246" s="63"/>
      <c r="H1246" s="62" t="s">
        <v>141</v>
      </c>
      <c r="I1246" s="65">
        <v>47186903.722171202</v>
      </c>
      <c r="J1246" s="65">
        <v>18890290.77561073</v>
      </c>
      <c r="K1246" s="62"/>
      <c r="L1246" s="65">
        <v>7741165.0160594247</v>
      </c>
      <c r="M1246" s="65">
        <v>4467563.7563968813</v>
      </c>
      <c r="N1246" s="65">
        <v>3273601.2596625434</v>
      </c>
      <c r="P1246" t="str">
        <f t="shared" si="70"/>
        <v>Total State Tax Expense</v>
      </c>
      <c r="Q1246" t="str">
        <f t="shared" si="71"/>
        <v>NA</v>
      </c>
      <c r="R1246" t="str">
        <f>IF(ISERROR(MATCH(P1246&amp;"."&amp;Q1246,R$5:R1245,0)),P1246&amp;"."&amp;Q1246,P1246&amp;"."&amp;Q1246&amp;COUNTIFS(P$5:P1245,P1246,Q$5:Q1245,Q1246))</f>
        <v>Total State Tax Expense.NA</v>
      </c>
      <c r="S1246" s="55">
        <f t="shared" si="72"/>
        <v>3273601.2596625434</v>
      </c>
    </row>
    <row r="1247" spans="1:19" hidden="1">
      <c r="A1247" s="5">
        <v>1312</v>
      </c>
      <c r="B1247" s="59"/>
      <c r="C1247" s="60"/>
      <c r="D1247" s="61"/>
      <c r="E1247" s="63"/>
      <c r="F1247" s="63"/>
      <c r="G1247" s="63"/>
      <c r="H1247" s="62"/>
      <c r="I1247" s="91"/>
      <c r="J1247" s="91"/>
      <c r="K1247" s="62"/>
      <c r="L1247" s="91"/>
      <c r="M1247" s="91"/>
      <c r="N1247" s="91"/>
      <c r="P1247" t="str">
        <f t="shared" si="70"/>
        <v>Total State Tax Expense</v>
      </c>
      <c r="Q1247" t="str">
        <f t="shared" si="71"/>
        <v>NA</v>
      </c>
      <c r="R1247" t="str">
        <f>IF(ISERROR(MATCH(P1247&amp;"."&amp;Q1247,R$5:R1246,0)),P1247&amp;"."&amp;Q1247,P1247&amp;"."&amp;Q1247&amp;COUNTIFS(P$5:P1246,P1247,Q$5:Q1246,Q1247))</f>
        <v>Total State Tax Expense.NA1</v>
      </c>
      <c r="S1247" s="55">
        <f t="shared" si="72"/>
        <v>0</v>
      </c>
    </row>
    <row r="1248" spans="1:19" hidden="1">
      <c r="A1248" s="5">
        <v>1313</v>
      </c>
      <c r="B1248" s="59"/>
      <c r="C1248" s="60"/>
      <c r="D1248" s="63"/>
      <c r="E1248" s="63"/>
      <c r="F1248" s="63"/>
      <c r="G1248" s="63"/>
      <c r="H1248" s="62"/>
      <c r="I1248" s="65"/>
      <c r="J1248" s="65"/>
      <c r="K1248" s="62"/>
      <c r="L1248" s="65"/>
      <c r="M1248" s="65"/>
      <c r="N1248" s="65"/>
      <c r="P1248" t="str">
        <f t="shared" si="70"/>
        <v>Total State Tax Expense</v>
      </c>
      <c r="Q1248" t="str">
        <f t="shared" si="71"/>
        <v>NA</v>
      </c>
      <c r="R1248" t="str">
        <f>IF(ISERROR(MATCH(P1248&amp;"."&amp;Q1248,R$5:R1247,0)),P1248&amp;"."&amp;Q1248,P1248&amp;"."&amp;Q1248&amp;COUNTIFS(P$5:P1247,P1248,Q$5:Q1247,Q1248))</f>
        <v>Total State Tax Expense.NA2</v>
      </c>
      <c r="S1248" s="55">
        <f t="shared" si="72"/>
        <v>0</v>
      </c>
    </row>
    <row r="1249" spans="1:19" ht="15.75" hidden="1" thickBot="1">
      <c r="A1249" s="5">
        <v>1314</v>
      </c>
      <c r="B1249" s="59"/>
      <c r="C1249" s="60" t="s">
        <v>242</v>
      </c>
      <c r="D1249" s="63"/>
      <c r="E1249" s="63"/>
      <c r="F1249" s="63"/>
      <c r="G1249" s="63"/>
      <c r="H1249" s="62"/>
      <c r="I1249" s="98"/>
      <c r="J1249" s="98"/>
      <c r="K1249" s="62"/>
      <c r="L1249" s="98"/>
      <c r="M1249" s="98"/>
      <c r="N1249" s="98"/>
      <c r="P1249" t="str">
        <f t="shared" si="70"/>
        <v>Calculation of Taxable Income:</v>
      </c>
      <c r="Q1249" t="str">
        <f t="shared" si="71"/>
        <v>NA</v>
      </c>
      <c r="R1249" t="str">
        <f>IF(ISERROR(MATCH(P1249&amp;"."&amp;Q1249,R$5:R1248,0)),P1249&amp;"."&amp;Q1249,P1249&amp;"."&amp;Q1249&amp;COUNTIFS(P$5:P1248,P1249,Q$5:Q1248,Q1249))</f>
        <v>Calculation of Taxable Income:.NA</v>
      </c>
      <c r="S1249" s="55">
        <f t="shared" si="72"/>
        <v>0</v>
      </c>
    </row>
    <row r="1250" spans="1:19" hidden="1">
      <c r="A1250" s="5">
        <v>1315</v>
      </c>
      <c r="B1250" s="59"/>
      <c r="C1250" s="60"/>
      <c r="D1250" s="63" t="s">
        <v>480</v>
      </c>
      <c r="E1250" s="63"/>
      <c r="F1250" s="63"/>
      <c r="G1250" s="63"/>
      <c r="H1250" s="62"/>
      <c r="I1250" s="65">
        <v>5065709137.9099998</v>
      </c>
      <c r="J1250" s="65">
        <v>2137078898.8776016</v>
      </c>
      <c r="K1250" s="62"/>
      <c r="L1250" s="65">
        <v>5133192392.7946615</v>
      </c>
      <c r="M1250" s="65">
        <v>2945758792.0033016</v>
      </c>
      <c r="N1250" s="65">
        <v>2187433600.7913594</v>
      </c>
      <c r="P1250" t="str">
        <f t="shared" si="70"/>
        <v>Calculation of Taxable Income:</v>
      </c>
      <c r="Q1250" t="str">
        <f t="shared" si="71"/>
        <v>NA</v>
      </c>
      <c r="R1250" t="str">
        <f>IF(ISERROR(MATCH(P1250&amp;"."&amp;Q1250,R$5:R1249,0)),P1250&amp;"."&amp;Q1250,P1250&amp;"."&amp;Q1250&amp;COUNTIFS(P$5:P1249,P1250,Q$5:Q1249,Q1250))</f>
        <v>Calculation of Taxable Income:.NA1</v>
      </c>
      <c r="S1250" s="55">
        <f t="shared" si="72"/>
        <v>2187433600.7913594</v>
      </c>
    </row>
    <row r="1251" spans="1:19" hidden="1">
      <c r="A1251" s="5">
        <v>1316</v>
      </c>
      <c r="B1251" s="59"/>
      <c r="C1251" s="60"/>
      <c r="D1251" s="63" t="s">
        <v>481</v>
      </c>
      <c r="E1251" s="63"/>
      <c r="F1251" s="63"/>
      <c r="G1251" s="63"/>
      <c r="H1251" s="62"/>
      <c r="I1251" s="99"/>
      <c r="J1251" s="99"/>
      <c r="K1251" s="62"/>
      <c r="L1251" s="99"/>
      <c r="M1251" s="99"/>
      <c r="N1251" s="99"/>
      <c r="P1251" t="str">
        <f t="shared" si="70"/>
        <v>Calculation of Taxable Income:</v>
      </c>
      <c r="Q1251" t="str">
        <f t="shared" si="71"/>
        <v>NA</v>
      </c>
      <c r="R1251" t="str">
        <f>IF(ISERROR(MATCH(P1251&amp;"."&amp;Q1251,R$5:R1250,0)),P1251&amp;"."&amp;Q1251,P1251&amp;"."&amp;Q1251&amp;COUNTIFS(P$5:P1250,P1251,Q$5:Q1250,Q1251))</f>
        <v>Calculation of Taxable Income:.NA2</v>
      </c>
      <c r="S1251" s="55">
        <f t="shared" si="72"/>
        <v>0</v>
      </c>
    </row>
    <row r="1252" spans="1:19" hidden="1">
      <c r="A1252" s="5">
        <v>1317</v>
      </c>
      <c r="B1252" s="59"/>
      <c r="C1252" s="60"/>
      <c r="D1252" s="63" t="s">
        <v>482</v>
      </c>
      <c r="E1252" s="63"/>
      <c r="F1252" s="63"/>
      <c r="G1252" s="63"/>
      <c r="H1252" s="62"/>
      <c r="I1252" s="100">
        <v>2797211034.4968972</v>
      </c>
      <c r="J1252" s="100">
        <v>1205152965.4531283</v>
      </c>
      <c r="K1252" s="62"/>
      <c r="L1252" s="100">
        <v>2673496821.4991913</v>
      </c>
      <c r="M1252" s="65">
        <v>1525714764.3134708</v>
      </c>
      <c r="N1252" s="65">
        <v>1147782057.1857204</v>
      </c>
      <c r="P1252" t="str">
        <f t="shared" si="70"/>
        <v>Calculation of Taxable Income:</v>
      </c>
      <c r="Q1252" t="str">
        <f t="shared" si="71"/>
        <v>NA</v>
      </c>
      <c r="R1252" t="str">
        <f>IF(ISERROR(MATCH(P1252&amp;"."&amp;Q1252,R$5:R1251,0)),P1252&amp;"."&amp;Q1252,P1252&amp;"."&amp;Q1252&amp;COUNTIFS(P$5:P1251,P1252,Q$5:Q1251,Q1252))</f>
        <v>Calculation of Taxable Income:.NA3</v>
      </c>
      <c r="S1252" s="55">
        <f t="shared" si="72"/>
        <v>1147782057.1857204</v>
      </c>
    </row>
    <row r="1253" spans="1:19" hidden="1">
      <c r="A1253" s="5">
        <v>1318</v>
      </c>
      <c r="B1253" s="59"/>
      <c r="C1253" s="60"/>
      <c r="D1253" s="63" t="s">
        <v>483</v>
      </c>
      <c r="E1253" s="63"/>
      <c r="F1253" s="63"/>
      <c r="G1253" s="63"/>
      <c r="H1253" s="62"/>
      <c r="I1253" s="65">
        <v>731135346.42999983</v>
      </c>
      <c r="J1253" s="65">
        <v>305145817.39653736</v>
      </c>
      <c r="K1253" s="62"/>
      <c r="L1253" s="65">
        <v>997078596.23790061</v>
      </c>
      <c r="M1253" s="65">
        <v>562817250.4577049</v>
      </c>
      <c r="N1253" s="65">
        <v>434261345.78019589</v>
      </c>
      <c r="P1253" t="str">
        <f t="shared" si="70"/>
        <v>Calculation of Taxable Income:</v>
      </c>
      <c r="Q1253" t="str">
        <f t="shared" si="71"/>
        <v>NA</v>
      </c>
      <c r="R1253" t="str">
        <f>IF(ISERROR(MATCH(P1253&amp;"."&amp;Q1253,R$5:R1252,0)),P1253&amp;"."&amp;Q1253,P1253&amp;"."&amp;Q1253&amp;COUNTIFS(P$5:P1252,P1253,Q$5:Q1252,Q1253))</f>
        <v>Calculation of Taxable Income:.NA4</v>
      </c>
      <c r="S1253" s="55">
        <f t="shared" si="72"/>
        <v>434261345.78019589</v>
      </c>
    </row>
    <row r="1254" spans="1:19" hidden="1">
      <c r="A1254" s="5">
        <v>1319</v>
      </c>
      <c r="B1254" s="59"/>
      <c r="C1254" s="60"/>
      <c r="D1254" s="63" t="s">
        <v>484</v>
      </c>
      <c r="E1254" s="63"/>
      <c r="F1254" s="63"/>
      <c r="G1254" s="63"/>
      <c r="H1254" s="62"/>
      <c r="I1254" s="65">
        <v>55249227.449999996</v>
      </c>
      <c r="J1254" s="65">
        <v>20733796.794757277</v>
      </c>
      <c r="K1254" s="62"/>
      <c r="L1254" s="65">
        <v>61395785.712483726</v>
      </c>
      <c r="M1254" s="65">
        <v>54054684.900963306</v>
      </c>
      <c r="N1254" s="65">
        <v>7341100.8115204237</v>
      </c>
      <c r="P1254" t="str">
        <f t="shared" si="70"/>
        <v>Calculation of Taxable Income:</v>
      </c>
      <c r="Q1254" t="str">
        <f t="shared" si="71"/>
        <v>NA</v>
      </c>
      <c r="R1254" t="str">
        <f>IF(ISERROR(MATCH(P1254&amp;"."&amp;Q1254,R$5:R1253,0)),P1254&amp;"."&amp;Q1254,P1254&amp;"."&amp;Q1254&amp;COUNTIFS(P$5:P1253,P1254,Q$5:Q1253,Q1254))</f>
        <v>Calculation of Taxable Income:.NA5</v>
      </c>
      <c r="S1254" s="55">
        <f t="shared" si="72"/>
        <v>7341100.8115204237</v>
      </c>
    </row>
    <row r="1255" spans="1:19" hidden="1">
      <c r="A1255" s="5">
        <v>1320</v>
      </c>
      <c r="B1255" s="59"/>
      <c r="C1255" s="60"/>
      <c r="D1255" s="63" t="s">
        <v>485</v>
      </c>
      <c r="E1255" s="63"/>
      <c r="F1255" s="63"/>
      <c r="G1255" s="63"/>
      <c r="H1255" s="62"/>
      <c r="I1255" s="65">
        <v>199137026.09</v>
      </c>
      <c r="J1255" s="65">
        <v>71208743.11756961</v>
      </c>
      <c r="K1255" s="62"/>
      <c r="L1255" s="65">
        <v>231934311.09</v>
      </c>
      <c r="M1255" s="65">
        <v>145917328.11296284</v>
      </c>
      <c r="N1255" s="65">
        <v>86016982.977037162</v>
      </c>
      <c r="P1255" t="str">
        <f t="shared" si="70"/>
        <v>Calculation of Taxable Income:</v>
      </c>
      <c r="Q1255" t="str">
        <f t="shared" si="71"/>
        <v>NA</v>
      </c>
      <c r="R1255" t="str">
        <f>IF(ISERROR(MATCH(P1255&amp;"."&amp;Q1255,R$5:R1254,0)),P1255&amp;"."&amp;Q1255,P1255&amp;"."&amp;Q1255&amp;COUNTIFS(P$5:P1254,P1255,Q$5:Q1254,Q1255))</f>
        <v>Calculation of Taxable Income:.NA6</v>
      </c>
      <c r="S1255" s="55">
        <f t="shared" si="72"/>
        <v>86016982.977037162</v>
      </c>
    </row>
    <row r="1256" spans="1:19" hidden="1">
      <c r="A1256" s="5">
        <v>1321</v>
      </c>
      <c r="B1256" s="59"/>
      <c r="C1256" s="60"/>
      <c r="D1256" s="63" t="s">
        <v>486</v>
      </c>
      <c r="E1256" s="94"/>
      <c r="F1256" s="60"/>
      <c r="G1256" s="61"/>
      <c r="H1256" s="62"/>
      <c r="I1256" s="65">
        <v>-72317120.459999993</v>
      </c>
      <c r="J1256" s="65">
        <v>-32424606.83092149</v>
      </c>
      <c r="K1256" s="62"/>
      <c r="L1256" s="65">
        <v>-45834876.281368308</v>
      </c>
      <c r="M1256" s="65">
        <v>-25507404.997852895</v>
      </c>
      <c r="N1256" s="64">
        <v>-20327471.283515412</v>
      </c>
      <c r="P1256" t="str">
        <f t="shared" si="70"/>
        <v>Calculation of Taxable Income:</v>
      </c>
      <c r="Q1256" t="str">
        <f t="shared" si="71"/>
        <v>NA</v>
      </c>
      <c r="R1256" t="str">
        <f>IF(ISERROR(MATCH(P1256&amp;"."&amp;Q1256,R$5:R1255,0)),P1256&amp;"."&amp;Q1256,P1256&amp;"."&amp;Q1256&amp;COUNTIFS(P$5:P1255,P1256,Q$5:Q1255,Q1256))</f>
        <v>Calculation of Taxable Income:.NA7</v>
      </c>
      <c r="S1256" s="55">
        <f t="shared" si="72"/>
        <v>-20327471.283515412</v>
      </c>
    </row>
    <row r="1257" spans="1:19" hidden="1">
      <c r="A1257" s="5">
        <v>1322</v>
      </c>
      <c r="B1257" s="59"/>
      <c r="C1257" s="60"/>
      <c r="D1257" s="61" t="s">
        <v>487</v>
      </c>
      <c r="E1257" s="94"/>
      <c r="F1257" s="60"/>
      <c r="G1257" s="61"/>
      <c r="H1257" s="62"/>
      <c r="I1257" s="65">
        <v>-3395390.25</v>
      </c>
      <c r="J1257" s="65">
        <v>-1584839.9796014507</v>
      </c>
      <c r="K1257" s="62"/>
      <c r="L1257" s="65">
        <v>410159.01999999967</v>
      </c>
      <c r="M1257" s="65">
        <v>198139.07137212891</v>
      </c>
      <c r="N1257" s="64">
        <v>212019.9486278707</v>
      </c>
      <c r="P1257" t="str">
        <f t="shared" si="70"/>
        <v>Calculation of Taxable Income:</v>
      </c>
      <c r="Q1257" t="str">
        <f t="shared" si="71"/>
        <v>NA</v>
      </c>
      <c r="R1257" t="str">
        <f>IF(ISERROR(MATCH(P1257&amp;"."&amp;Q1257,R$5:R1256,0)),P1257&amp;"."&amp;Q1257,P1257&amp;"."&amp;Q1257&amp;COUNTIFS(P$5:P1256,P1257,Q$5:Q1256,Q1257))</f>
        <v>Calculation of Taxable Income:.NA8</v>
      </c>
      <c r="S1257" s="55">
        <f t="shared" si="72"/>
        <v>212019.9486278707</v>
      </c>
    </row>
    <row r="1258" spans="1:19" hidden="1">
      <c r="A1258" s="5">
        <v>1323</v>
      </c>
      <c r="B1258" s="59"/>
      <c r="C1258" s="60"/>
      <c r="D1258" s="96" t="s">
        <v>488</v>
      </c>
      <c r="E1258" s="94"/>
      <c r="F1258" s="60"/>
      <c r="G1258" s="61"/>
      <c r="H1258" s="62"/>
      <c r="I1258" s="65">
        <v>3707020123.756897</v>
      </c>
      <c r="J1258" s="65">
        <v>1568231875.9514699</v>
      </c>
      <c r="K1258" s="62"/>
      <c r="L1258" s="65">
        <v>3918480797.2782078</v>
      </c>
      <c r="M1258" s="65">
        <v>2263194761.8586211</v>
      </c>
      <c r="N1258" s="64">
        <v>1655286035.4195864</v>
      </c>
      <c r="P1258" t="str">
        <f t="shared" si="70"/>
        <v>Calculation of Taxable Income:</v>
      </c>
      <c r="Q1258" t="str">
        <f t="shared" si="71"/>
        <v>NA</v>
      </c>
      <c r="R1258" t="str">
        <f>IF(ISERROR(MATCH(P1258&amp;"."&amp;Q1258,R$5:R1257,0)),P1258&amp;"."&amp;Q1258,P1258&amp;"."&amp;Q1258&amp;COUNTIFS(P$5:P1257,P1258,Q$5:Q1257,Q1258))</f>
        <v>Calculation of Taxable Income:.NA9</v>
      </c>
      <c r="S1258" s="55">
        <f t="shared" si="72"/>
        <v>1655286035.4195864</v>
      </c>
    </row>
    <row r="1259" spans="1:19" hidden="1">
      <c r="A1259" s="5">
        <v>1324</v>
      </c>
      <c r="B1259" s="59"/>
      <c r="C1259" s="60"/>
      <c r="D1259" s="61" t="s">
        <v>489</v>
      </c>
      <c r="E1259" s="94"/>
      <c r="F1259" s="60"/>
      <c r="G1259" s="61"/>
      <c r="H1259" s="62"/>
      <c r="I1259" s="65"/>
      <c r="J1259" s="65"/>
      <c r="K1259" s="62"/>
      <c r="L1259" s="65"/>
      <c r="M1259" s="65"/>
      <c r="N1259" s="64"/>
      <c r="P1259" t="str">
        <f t="shared" si="70"/>
        <v>Calculation of Taxable Income:</v>
      </c>
      <c r="Q1259" t="str">
        <f t="shared" si="71"/>
        <v>NA</v>
      </c>
      <c r="R1259" t="str">
        <f>IF(ISERROR(MATCH(P1259&amp;"."&amp;Q1259,R$5:R1258,0)),P1259&amp;"."&amp;Q1259,P1259&amp;"."&amp;Q1259&amp;COUNTIFS(P$5:P1258,P1259,Q$5:Q1258,Q1259))</f>
        <v>Calculation of Taxable Income:.NA10</v>
      </c>
      <c r="S1259" s="55">
        <f t="shared" si="72"/>
        <v>0</v>
      </c>
    </row>
    <row r="1260" spans="1:19" ht="15.75" hidden="1" thickBot="1">
      <c r="A1260" s="5">
        <v>1325</v>
      </c>
      <c r="B1260" s="59"/>
      <c r="C1260" s="45"/>
      <c r="D1260" s="63" t="s">
        <v>490</v>
      </c>
      <c r="E1260" s="63"/>
      <c r="F1260" s="63"/>
      <c r="G1260" s="63"/>
      <c r="H1260" s="62"/>
      <c r="I1260" s="92">
        <v>362656318.01999998</v>
      </c>
      <c r="J1260" s="92">
        <v>162603107.69774431</v>
      </c>
      <c r="K1260" s="62"/>
      <c r="L1260" s="92">
        <v>391038489.58087772</v>
      </c>
      <c r="M1260" s="92">
        <v>220638552.66037852</v>
      </c>
      <c r="N1260" s="92">
        <v>170399936.92049924</v>
      </c>
      <c r="P1260" t="str">
        <f t="shared" si="70"/>
        <v>Calculation of Taxable Income:</v>
      </c>
      <c r="Q1260" t="str">
        <f t="shared" si="71"/>
        <v>NA</v>
      </c>
      <c r="R1260" t="str">
        <f>IF(ISERROR(MATCH(P1260&amp;"."&amp;Q1260,R$5:R1259,0)),P1260&amp;"."&amp;Q1260,P1260&amp;"."&amp;Q1260&amp;COUNTIFS(P$5:P1259,P1260,Q$5:Q1259,Q1260))</f>
        <v>Calculation of Taxable Income:.NA11</v>
      </c>
      <c r="S1260" s="55">
        <f t="shared" si="72"/>
        <v>170399936.92049924</v>
      </c>
    </row>
    <row r="1261" spans="1:19" hidden="1">
      <c r="A1261" s="5">
        <v>1326</v>
      </c>
      <c r="B1261" s="59"/>
      <c r="C1261" s="60"/>
      <c r="D1261" s="63" t="s">
        <v>491</v>
      </c>
      <c r="E1261" s="63"/>
      <c r="F1261" s="63"/>
      <c r="G1261" s="63"/>
      <c r="H1261" s="62"/>
      <c r="I1261" s="65">
        <v>0</v>
      </c>
      <c r="J1261" s="65">
        <v>0</v>
      </c>
      <c r="K1261" s="62"/>
      <c r="L1261" s="65">
        <v>0</v>
      </c>
      <c r="M1261" s="65">
        <v>0</v>
      </c>
      <c r="N1261" s="65">
        <v>0</v>
      </c>
      <c r="P1261" t="str">
        <f t="shared" si="70"/>
        <v>Calculation of Taxable Income:</v>
      </c>
      <c r="Q1261" t="str">
        <f t="shared" si="71"/>
        <v>NA</v>
      </c>
      <c r="R1261" t="str">
        <f>IF(ISERROR(MATCH(P1261&amp;"."&amp;Q1261,R$5:R1260,0)),P1261&amp;"."&amp;Q1261,P1261&amp;"."&amp;Q1261&amp;COUNTIFS(P$5:P1260,P1261,Q$5:Q1260,Q1261))</f>
        <v>Calculation of Taxable Income:.NA12</v>
      </c>
      <c r="S1261" s="55">
        <f t="shared" si="72"/>
        <v>0</v>
      </c>
    </row>
    <row r="1262" spans="1:19" ht="15.75" hidden="1" thickBot="1">
      <c r="A1262" s="5">
        <v>1327</v>
      </c>
      <c r="B1262" s="59"/>
      <c r="C1262" s="45"/>
      <c r="D1262" s="63" t="s">
        <v>492</v>
      </c>
      <c r="E1262" s="63"/>
      <c r="F1262" s="63"/>
      <c r="G1262" s="63"/>
      <c r="H1262" s="41"/>
      <c r="I1262" s="68">
        <v>43326416.690052032</v>
      </c>
      <c r="J1262" s="68">
        <v>9841784.6749325991</v>
      </c>
      <c r="K1262" s="41"/>
      <c r="L1262" s="68">
        <v>-653162863.29109693</v>
      </c>
      <c r="M1262" s="68">
        <v>-363520989.45794058</v>
      </c>
      <c r="N1262" s="68">
        <v>-289641873.83315611</v>
      </c>
      <c r="P1262" t="str">
        <f t="shared" si="70"/>
        <v>Calculation of Taxable Income:</v>
      </c>
      <c r="Q1262" t="str">
        <f t="shared" si="71"/>
        <v>NA</v>
      </c>
      <c r="R1262" t="str">
        <f>IF(ISERROR(MATCH(P1262&amp;"."&amp;Q1262,R$5:R1261,0)),P1262&amp;"."&amp;Q1262,P1262&amp;"."&amp;Q1262&amp;COUNTIFS(P$5:P1261,P1262,Q$5:Q1261,Q1262))</f>
        <v>Calculation of Taxable Income:.NA13</v>
      </c>
      <c r="S1262" s="55">
        <f t="shared" si="72"/>
        <v>-289641873.83315611</v>
      </c>
    </row>
    <row r="1263" spans="1:19" hidden="1">
      <c r="A1263" s="5">
        <v>1328</v>
      </c>
      <c r="B1263" s="59"/>
      <c r="C1263" s="60"/>
      <c r="D1263" s="61"/>
      <c r="E1263" s="63"/>
      <c r="F1263" s="63"/>
      <c r="G1263" s="63"/>
      <c r="H1263" s="62"/>
      <c r="I1263" s="65"/>
      <c r="J1263" s="65"/>
      <c r="K1263" s="62"/>
      <c r="L1263" s="65"/>
      <c r="M1263" s="65"/>
      <c r="N1263" s="65"/>
      <c r="P1263" t="str">
        <f t="shared" si="70"/>
        <v>Calculation of Taxable Income:</v>
      </c>
      <c r="Q1263" t="str">
        <f t="shared" si="71"/>
        <v>NA</v>
      </c>
      <c r="R1263" t="str">
        <f>IF(ISERROR(MATCH(P1263&amp;"."&amp;Q1263,R$5:R1262,0)),P1263&amp;"."&amp;Q1263,P1263&amp;"."&amp;Q1263&amp;COUNTIFS(P$5:P1262,P1263,Q$5:Q1262,Q1263))</f>
        <v>Calculation of Taxable Income:.NA14</v>
      </c>
      <c r="S1263" s="55">
        <f t="shared" si="72"/>
        <v>0</v>
      </c>
    </row>
    <row r="1264" spans="1:19" hidden="1">
      <c r="A1264" s="5">
        <v>1329</v>
      </c>
      <c r="B1264" s="59"/>
      <c r="C1264" s="60"/>
      <c r="D1264" s="63" t="s">
        <v>493</v>
      </c>
      <c r="E1264" s="63"/>
      <c r="F1264" s="60"/>
      <c r="G1264" s="61"/>
      <c r="H1264" s="62"/>
      <c r="I1264" s="65">
        <v>1039359112.8231549</v>
      </c>
      <c r="J1264" s="65">
        <v>416085699.90332001</v>
      </c>
      <c r="K1264" s="62"/>
      <c r="L1264" s="65">
        <v>170510242.64447904</v>
      </c>
      <c r="M1264" s="65">
        <v>98404488.026361406</v>
      </c>
      <c r="N1264" s="64">
        <v>72105754.61811769</v>
      </c>
      <c r="P1264" t="str">
        <f t="shared" si="70"/>
        <v>Calculation of Taxable Income:</v>
      </c>
      <c r="Q1264" t="str">
        <f t="shared" si="71"/>
        <v>NA</v>
      </c>
      <c r="R1264" t="str">
        <f>IF(ISERROR(MATCH(P1264&amp;"."&amp;Q1264,R$5:R1263,0)),P1264&amp;"."&amp;Q1264,P1264&amp;"."&amp;Q1264&amp;COUNTIFS(P$5:P1263,P1264,Q$5:Q1263,Q1264))</f>
        <v>Calculation of Taxable Income:.NA15</v>
      </c>
      <c r="S1264" s="55">
        <f t="shared" si="72"/>
        <v>72105754.61811769</v>
      </c>
    </row>
    <row r="1265" spans="1:19" hidden="1">
      <c r="A1265" s="5">
        <v>1330</v>
      </c>
      <c r="B1265" s="59"/>
      <c r="C1265" s="60"/>
      <c r="D1265" s="63"/>
      <c r="E1265" s="63"/>
      <c r="F1265" s="60"/>
      <c r="G1265" s="61"/>
      <c r="H1265" s="62"/>
      <c r="I1265" s="65"/>
      <c r="J1265" s="65"/>
      <c r="K1265" s="62"/>
      <c r="L1265" s="65"/>
      <c r="M1265" s="65"/>
      <c r="N1265" s="64"/>
      <c r="P1265" t="str">
        <f t="shared" si="70"/>
        <v>Calculation of Taxable Income:</v>
      </c>
      <c r="Q1265" t="str">
        <f t="shared" si="71"/>
        <v>NA</v>
      </c>
      <c r="R1265" t="str">
        <f>IF(ISERROR(MATCH(P1265&amp;"."&amp;Q1265,R$5:R1264,0)),P1265&amp;"."&amp;Q1265,P1265&amp;"."&amp;Q1265&amp;COUNTIFS(P$5:P1264,P1265,Q$5:Q1264,Q1265))</f>
        <v>Calculation of Taxable Income:.NA16</v>
      </c>
      <c r="S1265" s="55">
        <f t="shared" si="72"/>
        <v>0</v>
      </c>
    </row>
    <row r="1266" spans="1:19" hidden="1">
      <c r="A1266" s="5">
        <v>1331</v>
      </c>
      <c r="B1266" s="59"/>
      <c r="C1266" s="60"/>
      <c r="D1266" s="63" t="s">
        <v>477</v>
      </c>
      <c r="E1266" s="63"/>
      <c r="F1266" s="60"/>
      <c r="G1266" s="61"/>
      <c r="H1266" s="62"/>
      <c r="I1266" s="65">
        <v>47186903.722171202</v>
      </c>
      <c r="J1266" s="65">
        <v>18890290.77561073</v>
      </c>
      <c r="K1266" s="62"/>
      <c r="L1266" s="65">
        <v>7741165.0160594247</v>
      </c>
      <c r="M1266" s="65">
        <v>4467563.7563968813</v>
      </c>
      <c r="N1266" s="64">
        <v>3273601.2596625434</v>
      </c>
      <c r="P1266" t="str">
        <f t="shared" si="70"/>
        <v>Calculation of Taxable Income:</v>
      </c>
      <c r="Q1266" t="str">
        <f t="shared" si="71"/>
        <v>NA</v>
      </c>
      <c r="R1266" t="str">
        <f>IF(ISERROR(MATCH(P1266&amp;"."&amp;Q1266,R$5:R1265,0)),P1266&amp;"."&amp;Q1266,P1266&amp;"."&amp;Q1266&amp;COUNTIFS(P$5:P1265,P1266,Q$5:Q1265,Q1266))</f>
        <v>Calculation of Taxable Income:.NA17</v>
      </c>
      <c r="S1266" s="55">
        <f t="shared" si="72"/>
        <v>3273601.2596625434</v>
      </c>
    </row>
    <row r="1267" spans="1:19" hidden="1">
      <c r="A1267" s="5">
        <v>1332</v>
      </c>
      <c r="B1267" s="59"/>
      <c r="C1267" s="60"/>
      <c r="D1267" s="63"/>
      <c r="E1267" s="63"/>
      <c r="F1267" s="60"/>
      <c r="G1267" s="61"/>
      <c r="H1267" s="62"/>
      <c r="I1267" s="65"/>
      <c r="J1267" s="65"/>
      <c r="K1267" s="62"/>
      <c r="L1267" s="65"/>
      <c r="M1267" s="65"/>
      <c r="N1267" s="64"/>
      <c r="P1267" t="str">
        <f t="shared" si="70"/>
        <v>Calculation of Taxable Income:</v>
      </c>
      <c r="Q1267" t="str">
        <f t="shared" si="71"/>
        <v>NA</v>
      </c>
      <c r="R1267" t="str">
        <f>IF(ISERROR(MATCH(P1267&amp;"."&amp;Q1267,R$5:R1266,0)),P1267&amp;"."&amp;Q1267,P1267&amp;"."&amp;Q1267&amp;COUNTIFS(P$5:P1266,P1267,Q$5:Q1266,Q1267))</f>
        <v>Calculation of Taxable Income:.NA18</v>
      </c>
      <c r="S1267" s="55">
        <f t="shared" si="72"/>
        <v>0</v>
      </c>
    </row>
    <row r="1268" spans="1:19" hidden="1">
      <c r="A1268" s="5">
        <v>1333</v>
      </c>
      <c r="B1268" s="59"/>
      <c r="C1268" s="60" t="s">
        <v>494</v>
      </c>
      <c r="D1268" s="63"/>
      <c r="E1268" s="63"/>
      <c r="F1268" s="60"/>
      <c r="G1268" s="61"/>
      <c r="H1268" s="62"/>
      <c r="I1268" s="65">
        <v>992172209.10098374</v>
      </c>
      <c r="J1268" s="65">
        <v>397195409.12770927</v>
      </c>
      <c r="K1268" s="62"/>
      <c r="L1268" s="65">
        <v>162769077.62841961</v>
      </c>
      <c r="M1268" s="65">
        <v>93936924.269964531</v>
      </c>
      <c r="N1268" s="64">
        <v>68832153.358455151</v>
      </c>
      <c r="P1268" t="str">
        <f t="shared" si="70"/>
        <v>Total Taxable Income</v>
      </c>
      <c r="Q1268" t="str">
        <f t="shared" si="71"/>
        <v>NA</v>
      </c>
      <c r="R1268" t="str">
        <f>IF(ISERROR(MATCH(P1268&amp;"."&amp;Q1268,R$5:R1267,0)),P1268&amp;"."&amp;Q1268,P1268&amp;"."&amp;Q1268&amp;COUNTIFS(P$5:P1267,P1268,Q$5:Q1267,Q1268))</f>
        <v>Total Taxable Income.NA</v>
      </c>
      <c r="S1268" s="55">
        <f t="shared" si="72"/>
        <v>68832153.358455151</v>
      </c>
    </row>
    <row r="1269" spans="1:19" hidden="1">
      <c r="A1269" s="5">
        <v>1334</v>
      </c>
      <c r="B1269" s="59"/>
      <c r="C1269" s="60"/>
      <c r="D1269" s="63"/>
      <c r="E1269" s="63"/>
      <c r="F1269" s="63"/>
      <c r="G1269" s="63"/>
      <c r="H1269" s="62"/>
      <c r="I1269" s="66"/>
      <c r="J1269" s="66"/>
      <c r="K1269" s="62"/>
      <c r="L1269" s="66"/>
      <c r="M1269" s="66"/>
      <c r="N1269" s="66"/>
      <c r="P1269" t="str">
        <f t="shared" si="70"/>
        <v>Total Taxable Income</v>
      </c>
      <c r="Q1269" t="str">
        <f t="shared" si="71"/>
        <v>NA</v>
      </c>
      <c r="R1269" t="str">
        <f>IF(ISERROR(MATCH(P1269&amp;"."&amp;Q1269,R$5:R1268,0)),P1269&amp;"."&amp;Q1269,P1269&amp;"."&amp;Q1269&amp;COUNTIFS(P$5:P1268,P1269,Q$5:Q1268,Q1269))</f>
        <v>Total Taxable Income.NA1</v>
      </c>
      <c r="S1269" s="55">
        <f t="shared" si="72"/>
        <v>0</v>
      </c>
    </row>
    <row r="1270" spans="1:19" hidden="1">
      <c r="A1270" s="5">
        <v>1335</v>
      </c>
      <c r="B1270" s="59"/>
      <c r="C1270" s="60" t="s">
        <v>495</v>
      </c>
      <c r="D1270" s="63"/>
      <c r="E1270" s="63"/>
      <c r="F1270" s="63"/>
      <c r="G1270" s="63"/>
      <c r="H1270" s="62"/>
      <c r="I1270" s="65">
        <v>0.21</v>
      </c>
      <c r="J1270" s="65">
        <v>0.21</v>
      </c>
      <c r="K1270" s="62"/>
      <c r="L1270" s="65">
        <v>0.21</v>
      </c>
      <c r="M1270" s="65">
        <v>0.21</v>
      </c>
      <c r="N1270" s="65">
        <v>0.21</v>
      </c>
      <c r="P1270" t="str">
        <f t="shared" si="70"/>
        <v>Tax Rate</v>
      </c>
      <c r="Q1270" t="str">
        <f t="shared" si="71"/>
        <v>NA</v>
      </c>
      <c r="R1270" t="str">
        <f>IF(ISERROR(MATCH(P1270&amp;"."&amp;Q1270,R$5:R1269,0)),P1270&amp;"."&amp;Q1270,P1270&amp;"."&amp;Q1270&amp;COUNTIFS(P$5:P1269,P1270,Q$5:Q1269,Q1270))</f>
        <v>Tax Rate.NA</v>
      </c>
      <c r="S1270" s="55">
        <f t="shared" si="72"/>
        <v>0.21</v>
      </c>
    </row>
    <row r="1271" spans="1:19" hidden="1">
      <c r="A1271" s="5">
        <v>1336</v>
      </c>
      <c r="B1271" s="59"/>
      <c r="C1271" s="60"/>
      <c r="D1271" s="61"/>
      <c r="E1271" s="63"/>
      <c r="F1271" s="63"/>
      <c r="G1271" s="63"/>
      <c r="H1271" s="62"/>
      <c r="I1271" s="65"/>
      <c r="J1271" s="65"/>
      <c r="K1271" s="62"/>
      <c r="L1271" s="65"/>
      <c r="M1271" s="65"/>
      <c r="N1271" s="65"/>
      <c r="P1271" t="str">
        <f t="shared" si="70"/>
        <v>Tax Rate</v>
      </c>
      <c r="Q1271" t="str">
        <f t="shared" si="71"/>
        <v>NA</v>
      </c>
      <c r="R1271" t="str">
        <f>IF(ISERROR(MATCH(P1271&amp;"."&amp;Q1271,R$5:R1270,0)),P1271&amp;"."&amp;Q1271,P1271&amp;"."&amp;Q1271&amp;COUNTIFS(P$5:P1270,P1271,Q$5:Q1270,Q1271))</f>
        <v>Tax Rate.NA1</v>
      </c>
      <c r="S1271" s="55">
        <f t="shared" si="72"/>
        <v>0</v>
      </c>
    </row>
    <row r="1272" spans="1:19" hidden="1">
      <c r="A1272" s="5">
        <v>1337</v>
      </c>
      <c r="B1272" s="59"/>
      <c r="C1272" s="60" t="s">
        <v>496</v>
      </c>
      <c r="D1272" s="63"/>
      <c r="E1272" s="63"/>
      <c r="F1272" s="60"/>
      <c r="G1272" s="61"/>
      <c r="H1272" s="62"/>
      <c r="I1272" s="65">
        <v>208356163.91120657</v>
      </c>
      <c r="J1272" s="65">
        <v>83411035.916818947</v>
      </c>
      <c r="K1272" s="62"/>
      <c r="L1272" s="65">
        <v>34181506.30196812</v>
      </c>
      <c r="M1272" s="65">
        <v>19726754.096692551</v>
      </c>
      <c r="N1272" s="64">
        <v>14454752.205275582</v>
      </c>
      <c r="P1272" t="str">
        <f t="shared" si="70"/>
        <v>Federal Income Tax - Calculated</v>
      </c>
      <c r="Q1272" t="str">
        <f t="shared" si="71"/>
        <v>NA</v>
      </c>
      <c r="R1272" t="str">
        <f>IF(ISERROR(MATCH(P1272&amp;"."&amp;Q1272,R$5:R1271,0)),P1272&amp;"."&amp;Q1272,P1272&amp;"."&amp;Q1272&amp;COUNTIFS(P$5:P1271,P1272,Q$5:Q1271,Q1272))</f>
        <v>Federal Income Tax - Calculated.NA</v>
      </c>
      <c r="S1272" s="55">
        <f t="shared" si="72"/>
        <v>14454752.205275582</v>
      </c>
    </row>
    <row r="1273" spans="1:19" hidden="1">
      <c r="A1273" s="5">
        <v>1338</v>
      </c>
      <c r="B1273" s="59"/>
      <c r="C1273" s="60"/>
      <c r="D1273" s="63"/>
      <c r="E1273" s="63"/>
      <c r="F1273" s="60"/>
      <c r="G1273" s="61"/>
      <c r="H1273" s="62"/>
      <c r="I1273" s="65"/>
      <c r="J1273" s="65"/>
      <c r="K1273" s="62"/>
      <c r="L1273" s="65"/>
      <c r="M1273" s="65"/>
      <c r="N1273" s="64"/>
      <c r="P1273" t="str">
        <f t="shared" si="70"/>
        <v>Federal Income Tax - Calculated</v>
      </c>
      <c r="Q1273" t="str">
        <f t="shared" si="71"/>
        <v>NA</v>
      </c>
      <c r="R1273" t="str">
        <f>IF(ISERROR(MATCH(P1273&amp;"."&amp;Q1273,R$5:R1272,0)),P1273&amp;"."&amp;Q1273,P1273&amp;"."&amp;Q1273&amp;COUNTIFS(P$5:P1272,P1273,Q$5:Q1272,Q1273))</f>
        <v>Federal Income Tax - Calculated.NA1</v>
      </c>
      <c r="S1273" s="55">
        <f t="shared" si="72"/>
        <v>0</v>
      </c>
    </row>
    <row r="1274" spans="1:19" hidden="1">
      <c r="A1274" s="5">
        <v>1339</v>
      </c>
      <c r="B1274" s="59"/>
      <c r="C1274" s="60" t="s">
        <v>241</v>
      </c>
      <c r="D1274" s="63"/>
      <c r="E1274" s="63"/>
      <c r="F1274" s="60"/>
      <c r="G1274" s="61"/>
      <c r="H1274" s="62"/>
      <c r="I1274" s="65"/>
      <c r="J1274" s="65"/>
      <c r="K1274" s="62"/>
      <c r="L1274" s="65"/>
      <c r="M1274" s="65"/>
      <c r="N1274" s="64"/>
      <c r="P1274" t="str">
        <f t="shared" si="70"/>
        <v>Adjustments to Calculated Tax:</v>
      </c>
      <c r="Q1274" t="str">
        <f t="shared" si="71"/>
        <v>NA</v>
      </c>
      <c r="R1274" t="str">
        <f>IF(ISERROR(MATCH(P1274&amp;"."&amp;Q1274,R$5:R1273,0)),P1274&amp;"."&amp;Q1274,P1274&amp;"."&amp;Q1274&amp;COUNTIFS(P$5:P1273,P1274,Q$5:Q1273,Q1274))</f>
        <v>Adjustments to Calculated Tax:.NA</v>
      </c>
      <c r="S1274" s="55">
        <f t="shared" si="72"/>
        <v>0</v>
      </c>
    </row>
    <row r="1275" spans="1:19" hidden="1">
      <c r="A1275" s="5">
        <v>1340</v>
      </c>
      <c r="B1275" s="59"/>
      <c r="C1275" s="60">
        <v>40910</v>
      </c>
      <c r="D1275" s="63"/>
      <c r="E1275" s="63"/>
      <c r="F1275" s="60" t="s">
        <v>13</v>
      </c>
      <c r="G1275" s="61" t="s">
        <v>16</v>
      </c>
      <c r="H1275" s="62"/>
      <c r="I1275" s="65">
        <v>-65560</v>
      </c>
      <c r="J1275" s="65">
        <v>-28424.330947712984</v>
      </c>
      <c r="K1275" s="62"/>
      <c r="L1275" s="65">
        <v>-18000</v>
      </c>
      <c r="M1275" s="65">
        <v>-10195.882290133715</v>
      </c>
      <c r="N1275" s="64">
        <v>-7804.1177098662856</v>
      </c>
      <c r="P1275">
        <f t="shared" si="70"/>
        <v>40910</v>
      </c>
      <c r="Q1275" t="str">
        <f t="shared" si="71"/>
        <v>SE</v>
      </c>
      <c r="R1275" t="str">
        <f>IF(ISERROR(MATCH(P1275&amp;"."&amp;Q1275,R$5:R1274,0)),P1275&amp;"."&amp;Q1275,P1275&amp;"."&amp;Q1275&amp;COUNTIFS(P$5:P1274,P1275,Q$5:Q1274,Q1275))</f>
        <v>40910.SE</v>
      </c>
      <c r="S1275" s="55">
        <f t="shared" si="72"/>
        <v>-7804.1177098662856</v>
      </c>
    </row>
    <row r="1276" spans="1:19" hidden="1">
      <c r="A1276" s="5">
        <v>1341</v>
      </c>
      <c r="B1276" s="59"/>
      <c r="C1276" s="60">
        <v>40910</v>
      </c>
      <c r="D1276" s="63" t="s">
        <v>478</v>
      </c>
      <c r="E1276" s="63"/>
      <c r="F1276" s="63" t="s">
        <v>13</v>
      </c>
      <c r="G1276" s="63" t="s">
        <v>15</v>
      </c>
      <c r="H1276" s="62"/>
      <c r="I1276" s="66">
        <v>-27792500</v>
      </c>
      <c r="J1276" s="66">
        <v>-12228004.668411493</v>
      </c>
      <c r="K1276" s="62"/>
      <c r="L1276" s="66">
        <v>-193466579</v>
      </c>
      <c r="M1276" s="66">
        <v>-108346124.51790588</v>
      </c>
      <c r="N1276" s="66">
        <v>-85120454.482094124</v>
      </c>
      <c r="P1276">
        <f t="shared" si="70"/>
        <v>40910</v>
      </c>
      <c r="Q1276" t="str">
        <f t="shared" si="71"/>
        <v>SG</v>
      </c>
      <c r="R1276" t="str">
        <f>IF(ISERROR(MATCH(P1276&amp;"."&amp;Q1276,R$5:R1275,0)),P1276&amp;"."&amp;Q1276,P1276&amp;"."&amp;Q1276&amp;COUNTIFS(P$5:P1275,P1276,Q$5:Q1275,Q1276))</f>
        <v>40910.SG</v>
      </c>
      <c r="S1276" s="55">
        <f t="shared" si="72"/>
        <v>-85120454.482094124</v>
      </c>
    </row>
    <row r="1277" spans="1:19" hidden="1">
      <c r="A1277" s="5">
        <v>1342</v>
      </c>
      <c r="B1277" s="59"/>
      <c r="C1277" s="60">
        <v>40910</v>
      </c>
      <c r="D1277" s="63"/>
      <c r="E1277" s="63"/>
      <c r="F1277" s="63" t="s">
        <v>13</v>
      </c>
      <c r="G1277" s="63" t="s">
        <v>136</v>
      </c>
      <c r="H1277" s="62"/>
      <c r="I1277" s="65">
        <v>-18459</v>
      </c>
      <c r="J1277" s="65">
        <v>-8010.9347613184991</v>
      </c>
      <c r="K1277" s="62"/>
      <c r="L1277" s="65">
        <v>-2659</v>
      </c>
      <c r="M1277" s="65">
        <v>-1497.1627023382089</v>
      </c>
      <c r="N1277" s="65">
        <v>-1161.8372976617911</v>
      </c>
      <c r="P1277">
        <f t="shared" si="70"/>
        <v>40910</v>
      </c>
      <c r="Q1277" t="str">
        <f t="shared" si="71"/>
        <v>SO</v>
      </c>
      <c r="R1277" t="str">
        <f>IF(ISERROR(MATCH(P1277&amp;"."&amp;Q1277,R$5:R1276,0)),P1277&amp;"."&amp;Q1277,P1277&amp;"."&amp;Q1277&amp;COUNTIFS(P$5:P1276,P1277,Q$5:Q1276,Q1277))</f>
        <v>40910.SO</v>
      </c>
      <c r="S1277" s="55">
        <f t="shared" si="72"/>
        <v>-1161.8372976617911</v>
      </c>
    </row>
    <row r="1278" spans="1:19" hidden="1">
      <c r="A1278" s="5">
        <v>1343</v>
      </c>
      <c r="B1278" s="59"/>
      <c r="C1278" s="60">
        <v>40910</v>
      </c>
      <c r="D1278" s="61" t="s">
        <v>497</v>
      </c>
      <c r="E1278" s="63"/>
      <c r="F1278" s="63" t="s">
        <v>361</v>
      </c>
      <c r="G1278" s="63" t="s">
        <v>12</v>
      </c>
      <c r="H1278" s="62"/>
      <c r="I1278" s="65">
        <v>0</v>
      </c>
      <c r="J1278" s="65">
        <v>0</v>
      </c>
      <c r="K1278" s="62"/>
      <c r="L1278" s="65">
        <v>0</v>
      </c>
      <c r="M1278" s="65">
        <v>0</v>
      </c>
      <c r="N1278" s="65">
        <v>0</v>
      </c>
      <c r="P1278">
        <f t="shared" si="70"/>
        <v>40910</v>
      </c>
      <c r="Q1278" t="str">
        <f t="shared" si="71"/>
        <v>S</v>
      </c>
      <c r="R1278" t="str">
        <f>IF(ISERROR(MATCH(P1278&amp;"."&amp;Q1278,R$5:R1277,0)),P1278&amp;"."&amp;Q1278,P1278&amp;"."&amp;Q1278&amp;COUNTIFS(P$5:P1277,P1278,Q$5:Q1277,Q1278))</f>
        <v>40910.S</v>
      </c>
      <c r="S1278" s="55">
        <f t="shared" si="72"/>
        <v>0</v>
      </c>
    </row>
    <row r="1279" spans="1:19" hidden="1">
      <c r="A1279" s="5">
        <v>1344</v>
      </c>
      <c r="B1279" s="59"/>
      <c r="C1279" s="60" t="s">
        <v>498</v>
      </c>
      <c r="D1279" s="63"/>
      <c r="E1279" s="63"/>
      <c r="F1279" s="60"/>
      <c r="G1279" s="61"/>
      <c r="H1279" s="62"/>
      <c r="I1279" s="65">
        <v>180479644.91120657</v>
      </c>
      <c r="J1279" s="65">
        <v>71146595.982698426</v>
      </c>
      <c r="K1279" s="62"/>
      <c r="L1279" s="65">
        <v>-159305731.69803187</v>
      </c>
      <c r="M1279" s="65">
        <v>-88631063.466205791</v>
      </c>
      <c r="N1279" s="64">
        <v>-70674668.231826067</v>
      </c>
      <c r="P1279" t="str">
        <f t="shared" si="70"/>
        <v>Federal Income Tax Expense</v>
      </c>
      <c r="Q1279" t="str">
        <f t="shared" si="71"/>
        <v>NA</v>
      </c>
      <c r="R1279" t="str">
        <f>IF(ISERROR(MATCH(P1279&amp;"."&amp;Q1279,R$5:R1278,0)),P1279&amp;"."&amp;Q1279,P1279&amp;"."&amp;Q1279&amp;COUNTIFS(P$5:P1278,P1279,Q$5:Q1278,Q1279))</f>
        <v>Federal Income Tax Expense.NA</v>
      </c>
      <c r="S1279" s="55">
        <f t="shared" si="72"/>
        <v>-70674668.231826067</v>
      </c>
    </row>
    <row r="1280" spans="1:19" hidden="1">
      <c r="A1280" s="5">
        <v>1345</v>
      </c>
      <c r="B1280" s="59"/>
      <c r="C1280" s="60"/>
      <c r="D1280" s="63"/>
      <c r="E1280" s="63"/>
      <c r="F1280" s="60"/>
      <c r="G1280" s="61"/>
      <c r="H1280" s="62"/>
      <c r="I1280" s="65"/>
      <c r="J1280" s="65"/>
      <c r="K1280" s="62"/>
      <c r="L1280" s="65"/>
      <c r="M1280" s="65"/>
      <c r="N1280" s="64"/>
      <c r="P1280" t="str">
        <f t="shared" si="70"/>
        <v>Federal Income Tax Expense</v>
      </c>
      <c r="Q1280" t="str">
        <f t="shared" si="71"/>
        <v>NA</v>
      </c>
      <c r="R1280" t="str">
        <f>IF(ISERROR(MATCH(P1280&amp;"."&amp;Q1280,R$5:R1279,0)),P1280&amp;"."&amp;Q1280,P1280&amp;"."&amp;Q1280&amp;COUNTIFS(P$5:P1279,P1280,Q$5:Q1279,Q1280))</f>
        <v>Federal Income Tax Expense.NA1</v>
      </c>
      <c r="S1280" s="55">
        <f t="shared" si="72"/>
        <v>0</v>
      </c>
    </row>
    <row r="1281" spans="1:19" hidden="1">
      <c r="A1281" s="5">
        <v>1346</v>
      </c>
      <c r="B1281" s="59"/>
      <c r="C1281" s="60" t="s">
        <v>499</v>
      </c>
      <c r="D1281" s="63"/>
      <c r="E1281" s="63"/>
      <c r="F1281" s="60"/>
      <c r="G1281" s="61"/>
      <c r="H1281" s="62"/>
      <c r="I1281" s="65">
        <v>3968061858.2102623</v>
      </c>
      <c r="J1281" s="65">
        <v>1680784854.3701797</v>
      </c>
      <c r="K1281" s="62"/>
      <c r="L1281" s="65">
        <v>3918055497.0439959</v>
      </c>
      <c r="M1281" s="65">
        <v>2258919536.2140408</v>
      </c>
      <c r="N1281" s="64">
        <v>1659135960.8299556</v>
      </c>
      <c r="P1281" t="str">
        <f t="shared" si="70"/>
        <v>Total Operating Expenses</v>
      </c>
      <c r="Q1281" t="str">
        <f t="shared" si="71"/>
        <v>NA</v>
      </c>
      <c r="R1281" t="str">
        <f>IF(ISERROR(MATCH(P1281&amp;"."&amp;Q1281,R$5:R1280,0)),P1281&amp;"."&amp;Q1281,P1281&amp;"."&amp;Q1281&amp;COUNTIFS(P$5:P1280,P1281,Q$5:Q1280,Q1281))</f>
        <v>Total Operating Expenses.NA</v>
      </c>
      <c r="S1281" s="55">
        <f t="shared" si="72"/>
        <v>1659135960.8299556</v>
      </c>
    </row>
    <row r="1282" spans="1:19" hidden="1">
      <c r="A1282" s="5">
        <v>1347</v>
      </c>
      <c r="B1282" s="59"/>
      <c r="C1282" s="60">
        <v>310</v>
      </c>
      <c r="D1282" s="63" t="s">
        <v>500</v>
      </c>
      <c r="E1282" s="63"/>
      <c r="F1282" s="60"/>
      <c r="G1282" s="61"/>
      <c r="H1282" s="62"/>
      <c r="I1282" s="65"/>
      <c r="J1282" s="65"/>
      <c r="K1282" s="62"/>
      <c r="L1282" s="65"/>
      <c r="M1282" s="65"/>
      <c r="N1282" s="64"/>
      <c r="P1282">
        <f t="shared" si="70"/>
        <v>310</v>
      </c>
      <c r="Q1282" t="str">
        <f t="shared" si="71"/>
        <v>NA</v>
      </c>
      <c r="R1282" t="str">
        <f>IF(ISERROR(MATCH(P1282&amp;"."&amp;Q1282,R$5:R1281,0)),P1282&amp;"."&amp;Q1282,P1282&amp;"."&amp;Q1282&amp;COUNTIFS(P$5:P1281,P1282,Q$5:Q1281,Q1282))</f>
        <v>310.NA</v>
      </c>
      <c r="S1282" s="55">
        <f t="shared" si="72"/>
        <v>0</v>
      </c>
    </row>
    <row r="1283" spans="1:19" hidden="1">
      <c r="A1283" s="5">
        <v>1348</v>
      </c>
      <c r="B1283" s="59"/>
      <c r="C1283" s="60"/>
      <c r="D1283" s="63"/>
      <c r="E1283" s="63"/>
      <c r="F1283" s="63" t="s">
        <v>13</v>
      </c>
      <c r="G1283" s="63" t="s">
        <v>15</v>
      </c>
      <c r="H1283" s="62"/>
      <c r="I1283" s="66">
        <v>2327848.7415384599</v>
      </c>
      <c r="J1283" s="66">
        <v>1024195.2065804843</v>
      </c>
      <c r="K1283" s="62"/>
      <c r="L1283" s="66">
        <v>2327848.7415384599</v>
      </c>
      <c r="M1283" s="66">
        <v>1303653.5349579756</v>
      </c>
      <c r="N1283" s="66">
        <v>1024195.2065804843</v>
      </c>
      <c r="P1283">
        <f t="shared" si="70"/>
        <v>310</v>
      </c>
      <c r="Q1283" t="str">
        <f t="shared" si="71"/>
        <v>SG</v>
      </c>
      <c r="R1283" t="str">
        <f>IF(ISERROR(MATCH(P1283&amp;"."&amp;Q1283,R$5:R1282,0)),P1283&amp;"."&amp;Q1283,P1283&amp;"."&amp;Q1283&amp;COUNTIFS(P$5:P1282,P1283,Q$5:Q1282,Q1283))</f>
        <v>310.SG</v>
      </c>
      <c r="S1283" s="55">
        <f t="shared" si="72"/>
        <v>1024195.2065804843</v>
      </c>
    </row>
    <row r="1284" spans="1:19" hidden="1">
      <c r="A1284" s="5">
        <v>1349</v>
      </c>
      <c r="B1284" s="59"/>
      <c r="C1284" s="60"/>
      <c r="D1284" s="63"/>
      <c r="E1284" s="63"/>
      <c r="F1284" s="63" t="s">
        <v>13</v>
      </c>
      <c r="G1284" s="63" t="s">
        <v>15</v>
      </c>
      <c r="H1284" s="62"/>
      <c r="I1284" s="65">
        <v>33837468.439999998</v>
      </c>
      <c r="J1284" s="65">
        <v>14887639.54489688</v>
      </c>
      <c r="K1284" s="62"/>
      <c r="L1284" s="65">
        <v>33837468.439999998</v>
      </c>
      <c r="M1284" s="65">
        <v>18949828.895103119</v>
      </c>
      <c r="N1284" s="65">
        <v>14887639.54489688</v>
      </c>
      <c r="P1284">
        <f t="shared" si="70"/>
        <v>310</v>
      </c>
      <c r="Q1284" t="str">
        <f t="shared" si="71"/>
        <v>SG</v>
      </c>
      <c r="R1284" t="str">
        <f>IF(ISERROR(MATCH(P1284&amp;"."&amp;Q1284,R$5:R1283,0)),P1284&amp;"."&amp;Q1284,P1284&amp;"."&amp;Q1284&amp;COUNTIFS(P$5:P1283,P1284,Q$5:Q1283,Q1284))</f>
        <v>310.SG1</v>
      </c>
      <c r="S1284" s="55">
        <f t="shared" si="72"/>
        <v>14887639.54489688</v>
      </c>
    </row>
    <row r="1285" spans="1:19" hidden="1">
      <c r="A1285" s="5">
        <v>1350</v>
      </c>
      <c r="B1285" s="59"/>
      <c r="C1285" s="60"/>
      <c r="D1285" s="61"/>
      <c r="E1285" s="63"/>
      <c r="F1285" s="63" t="s">
        <v>13</v>
      </c>
      <c r="G1285" s="63" t="s">
        <v>15</v>
      </c>
      <c r="H1285" s="62"/>
      <c r="I1285" s="65">
        <v>54188888.909999996</v>
      </c>
      <c r="J1285" s="65">
        <v>23841755.386075802</v>
      </c>
      <c r="K1285" s="62"/>
      <c r="L1285" s="65">
        <v>54188888.909999996</v>
      </c>
      <c r="M1285" s="65">
        <v>30347133.523924194</v>
      </c>
      <c r="N1285" s="65">
        <v>23841755.386075802</v>
      </c>
      <c r="P1285">
        <f t="shared" si="70"/>
        <v>310</v>
      </c>
      <c r="Q1285" t="str">
        <f t="shared" si="71"/>
        <v>SG</v>
      </c>
      <c r="R1285" t="str">
        <f>IF(ISERROR(MATCH(P1285&amp;"."&amp;Q1285,R$5:R1284,0)),P1285&amp;"."&amp;Q1285,P1285&amp;"."&amp;Q1285&amp;COUNTIFS(P$5:P1284,P1285,Q$5:Q1284,Q1285))</f>
        <v>310.SG2</v>
      </c>
      <c r="S1285" s="55">
        <f t="shared" si="72"/>
        <v>23841755.386075802</v>
      </c>
    </row>
    <row r="1286" spans="1:19" hidden="1">
      <c r="A1286" s="5">
        <v>1351</v>
      </c>
      <c r="B1286" s="59"/>
      <c r="C1286" s="60"/>
      <c r="D1286" s="63"/>
      <c r="E1286" s="63"/>
      <c r="F1286" s="60" t="s">
        <v>13</v>
      </c>
      <c r="G1286" s="61" t="s">
        <v>12</v>
      </c>
      <c r="H1286" s="62"/>
      <c r="I1286" s="65">
        <v>0</v>
      </c>
      <c r="J1286" s="65">
        <v>0</v>
      </c>
      <c r="K1286" s="62"/>
      <c r="L1286" s="65">
        <v>0</v>
      </c>
      <c r="M1286" s="65">
        <v>0</v>
      </c>
      <c r="N1286" s="64">
        <v>0</v>
      </c>
      <c r="P1286">
        <f t="shared" si="70"/>
        <v>310</v>
      </c>
      <c r="Q1286" t="str">
        <f t="shared" si="71"/>
        <v>S</v>
      </c>
      <c r="R1286" t="str">
        <f>IF(ISERROR(MATCH(P1286&amp;"."&amp;Q1286,R$5:R1285,0)),P1286&amp;"."&amp;Q1286,P1286&amp;"."&amp;Q1286&amp;COUNTIFS(P$5:P1285,P1286,Q$5:Q1285,Q1286))</f>
        <v>310.S</v>
      </c>
      <c r="S1286" s="55">
        <f t="shared" si="72"/>
        <v>0</v>
      </c>
    </row>
    <row r="1287" spans="1:19" hidden="1">
      <c r="A1287" s="5">
        <v>1352</v>
      </c>
      <c r="B1287" s="59"/>
      <c r="C1287" s="60"/>
      <c r="D1287" s="63"/>
      <c r="E1287" s="63"/>
      <c r="F1287" s="60" t="s">
        <v>13</v>
      </c>
      <c r="G1287" s="61" t="s">
        <v>15</v>
      </c>
      <c r="H1287" s="62"/>
      <c r="I1287" s="65">
        <v>2635316.69</v>
      </c>
      <c r="J1287" s="65">
        <v>1159473.4114621831</v>
      </c>
      <c r="K1287" s="62"/>
      <c r="L1287" s="65">
        <v>2635316.69</v>
      </c>
      <c r="M1287" s="65">
        <v>1475843.2785378168</v>
      </c>
      <c r="N1287" s="64">
        <v>1159473.4114621831</v>
      </c>
      <c r="P1287">
        <f t="shared" ref="P1287:P1350" si="73">IF(OR(C1287="",C1287=" ",C1287="  ",C1287="   "),P1286,C1287)</f>
        <v>310</v>
      </c>
      <c r="Q1287" t="str">
        <f t="shared" ref="Q1287:Q1350" si="74">IF(G1287="","NA",G1287)</f>
        <v>SG</v>
      </c>
      <c r="R1287" t="str">
        <f>IF(ISERROR(MATCH(P1287&amp;"."&amp;Q1287,R$5:R1286,0)),P1287&amp;"."&amp;Q1287,P1287&amp;"."&amp;Q1287&amp;COUNTIFS(P$5:P1286,P1287,Q$5:Q1286,Q1287))</f>
        <v>310.SG3</v>
      </c>
      <c r="S1287" s="55">
        <f t="shared" si="72"/>
        <v>1159473.4114621831</v>
      </c>
    </row>
    <row r="1288" spans="1:19" hidden="1">
      <c r="A1288" s="5">
        <v>1353</v>
      </c>
      <c r="B1288" s="59"/>
      <c r="C1288" s="60"/>
      <c r="D1288" s="63"/>
      <c r="E1288" s="63"/>
      <c r="F1288" s="60"/>
      <c r="G1288" s="61"/>
      <c r="H1288" s="62" t="s">
        <v>501</v>
      </c>
      <c r="I1288" s="65">
        <v>92989522.781538457</v>
      </c>
      <c r="J1288" s="65">
        <v>40913063.549015351</v>
      </c>
      <c r="K1288" s="62"/>
      <c r="L1288" s="65">
        <v>92989522.781538457</v>
      </c>
      <c r="M1288" s="65">
        <v>52076459.232523106</v>
      </c>
      <c r="N1288" s="64">
        <v>40913063.549015351</v>
      </c>
      <c r="P1288">
        <f t="shared" si="73"/>
        <v>310</v>
      </c>
      <c r="Q1288" t="str">
        <f t="shared" si="74"/>
        <v>NA</v>
      </c>
      <c r="R1288" t="str">
        <f>IF(ISERROR(MATCH(P1288&amp;"."&amp;Q1288,R$5:R1287,0)),P1288&amp;"."&amp;Q1288,P1288&amp;"."&amp;Q1288&amp;COUNTIFS(P$5:P1287,P1288,Q$5:Q1287,Q1288))</f>
        <v>310.NA1</v>
      </c>
      <c r="S1288" s="55">
        <f t="shared" ref="S1288:S1351" si="75">N1288</f>
        <v>40913063.549015351</v>
      </c>
    </row>
    <row r="1289" spans="1:19" hidden="1">
      <c r="A1289" s="5">
        <v>1354</v>
      </c>
      <c r="B1289" s="59"/>
      <c r="C1289" s="60"/>
      <c r="D1289" s="63"/>
      <c r="E1289" s="63"/>
      <c r="F1289" s="60"/>
      <c r="G1289" s="61"/>
      <c r="H1289" s="62"/>
      <c r="I1289" s="65"/>
      <c r="J1289" s="65"/>
      <c r="K1289" s="62"/>
      <c r="L1289" s="65"/>
      <c r="M1289" s="65"/>
      <c r="N1289" s="64"/>
      <c r="P1289">
        <f t="shared" si="73"/>
        <v>310</v>
      </c>
      <c r="Q1289" t="str">
        <f t="shared" si="74"/>
        <v>NA</v>
      </c>
      <c r="R1289" t="str">
        <f>IF(ISERROR(MATCH(P1289&amp;"."&amp;Q1289,R$5:R1288,0)),P1289&amp;"."&amp;Q1289,P1289&amp;"."&amp;Q1289&amp;COUNTIFS(P$5:P1288,P1289,Q$5:Q1288,Q1289))</f>
        <v>310.NA2</v>
      </c>
      <c r="S1289" s="55">
        <f t="shared" si="75"/>
        <v>0</v>
      </c>
    </row>
    <row r="1290" spans="1:19" hidden="1">
      <c r="A1290" s="5">
        <v>1355</v>
      </c>
      <c r="B1290" s="59"/>
      <c r="C1290" s="60">
        <v>311</v>
      </c>
      <c r="D1290" s="63" t="s">
        <v>502</v>
      </c>
      <c r="E1290" s="63"/>
      <c r="F1290" s="63"/>
      <c r="G1290" s="63"/>
      <c r="H1290" s="62"/>
      <c r="I1290" s="66"/>
      <c r="J1290" s="66"/>
      <c r="K1290" s="62"/>
      <c r="L1290" s="66"/>
      <c r="M1290" s="66"/>
      <c r="N1290" s="66"/>
      <c r="P1290">
        <f t="shared" si="73"/>
        <v>311</v>
      </c>
      <c r="Q1290" t="str">
        <f t="shared" si="74"/>
        <v>NA</v>
      </c>
      <c r="R1290" t="str">
        <f>IF(ISERROR(MATCH(P1290&amp;"."&amp;Q1290,R$5:R1289,0)),P1290&amp;"."&amp;Q1290,P1290&amp;"."&amp;Q1290&amp;COUNTIFS(P$5:P1289,P1290,Q$5:Q1289,Q1290))</f>
        <v>311.NA</v>
      </c>
      <c r="S1290" s="55">
        <f t="shared" si="75"/>
        <v>0</v>
      </c>
    </row>
    <row r="1291" spans="1:19" hidden="1">
      <c r="A1291" s="5">
        <v>1356</v>
      </c>
      <c r="B1291" s="59"/>
      <c r="C1291" s="60"/>
      <c r="D1291" s="63"/>
      <c r="E1291" s="63"/>
      <c r="F1291" s="63" t="s">
        <v>13</v>
      </c>
      <c r="G1291" s="63" t="s">
        <v>15</v>
      </c>
      <c r="H1291" s="62"/>
      <c r="I1291" s="65">
        <v>227107005.90230799</v>
      </c>
      <c r="J1291" s="65">
        <v>99921400.680125162</v>
      </c>
      <c r="K1291" s="62"/>
      <c r="L1291" s="65">
        <v>227107005.90230799</v>
      </c>
      <c r="M1291" s="65">
        <v>127185605.22218283</v>
      </c>
      <c r="N1291" s="65">
        <v>99921400.680125162</v>
      </c>
      <c r="P1291">
        <f t="shared" si="73"/>
        <v>311</v>
      </c>
      <c r="Q1291" t="str">
        <f t="shared" si="74"/>
        <v>SG</v>
      </c>
      <c r="R1291" t="str">
        <f>IF(ISERROR(MATCH(P1291&amp;"."&amp;Q1291,R$5:R1290,0)),P1291&amp;"."&amp;Q1291,P1291&amp;"."&amp;Q1291&amp;COUNTIFS(P$5:P1290,P1291,Q$5:Q1290,Q1291))</f>
        <v>311.SG</v>
      </c>
      <c r="S1291" s="55">
        <f t="shared" si="75"/>
        <v>99921400.680125162</v>
      </c>
    </row>
    <row r="1292" spans="1:19" hidden="1">
      <c r="A1292" s="5">
        <v>1357</v>
      </c>
      <c r="B1292" s="59"/>
      <c r="C1292" s="60"/>
      <c r="D1292" s="61"/>
      <c r="E1292" s="63"/>
      <c r="F1292" s="63" t="s">
        <v>13</v>
      </c>
      <c r="G1292" s="63" t="s">
        <v>15</v>
      </c>
      <c r="H1292" s="62"/>
      <c r="I1292" s="65">
        <v>314002984.61230803</v>
      </c>
      <c r="J1292" s="65">
        <v>138153457.29007629</v>
      </c>
      <c r="K1292" s="62"/>
      <c r="L1292" s="65">
        <v>314002984.61230803</v>
      </c>
      <c r="M1292" s="65">
        <v>175849527.32223174</v>
      </c>
      <c r="N1292" s="65">
        <v>138153457.29007629</v>
      </c>
      <c r="P1292">
        <f t="shared" si="73"/>
        <v>311</v>
      </c>
      <c r="Q1292" t="str">
        <f t="shared" si="74"/>
        <v>SG</v>
      </c>
      <c r="R1292" t="str">
        <f>IF(ISERROR(MATCH(P1292&amp;"."&amp;Q1292,R$5:R1291,0)),P1292&amp;"."&amp;Q1292,P1292&amp;"."&amp;Q1292&amp;COUNTIFS(P$5:P1291,P1292,Q$5:Q1291,Q1292))</f>
        <v>311.SG1</v>
      </c>
      <c r="S1292" s="55">
        <f t="shared" si="75"/>
        <v>138153457.29007629</v>
      </c>
    </row>
    <row r="1293" spans="1:19" hidden="1">
      <c r="A1293" s="5">
        <v>1358</v>
      </c>
      <c r="B1293" s="59"/>
      <c r="C1293" s="60"/>
      <c r="D1293" s="63"/>
      <c r="E1293" s="63"/>
      <c r="F1293" s="60" t="s">
        <v>13</v>
      </c>
      <c r="G1293" s="61" t="s">
        <v>15</v>
      </c>
      <c r="H1293" s="62"/>
      <c r="I1293" s="65">
        <v>431529571.21846199</v>
      </c>
      <c r="J1293" s="65">
        <v>189862215.03704104</v>
      </c>
      <c r="K1293" s="62"/>
      <c r="L1293" s="65">
        <v>431529571.21846199</v>
      </c>
      <c r="M1293" s="65">
        <v>241667356.18142095</v>
      </c>
      <c r="N1293" s="64">
        <v>189862215.03704104</v>
      </c>
      <c r="P1293">
        <f t="shared" si="73"/>
        <v>311</v>
      </c>
      <c r="Q1293" t="str">
        <f t="shared" si="74"/>
        <v>SG</v>
      </c>
      <c r="R1293" t="str">
        <f>IF(ISERROR(MATCH(P1293&amp;"."&amp;Q1293,R$5:R1292,0)),P1293&amp;"."&amp;Q1293,P1293&amp;"."&amp;Q1293&amp;COUNTIFS(P$5:P1292,P1293,Q$5:Q1292,Q1293))</f>
        <v>311.SG2</v>
      </c>
      <c r="S1293" s="55">
        <f t="shared" si="75"/>
        <v>189862215.03704104</v>
      </c>
    </row>
    <row r="1294" spans="1:19" hidden="1">
      <c r="A1294" s="5">
        <v>1359</v>
      </c>
      <c r="B1294" s="59"/>
      <c r="C1294" s="60"/>
      <c r="D1294" s="63"/>
      <c r="E1294" s="63"/>
      <c r="F1294" s="60" t="s">
        <v>13</v>
      </c>
      <c r="G1294" s="61" t="s">
        <v>15</v>
      </c>
      <c r="H1294" s="62"/>
      <c r="I1294" s="65">
        <v>65503821.531538501</v>
      </c>
      <c r="J1294" s="65">
        <v>28820042.654904962</v>
      </c>
      <c r="K1294" s="62"/>
      <c r="L1294" s="65">
        <v>65503821.531538501</v>
      </c>
      <c r="M1294" s="65">
        <v>36683778.87663354</v>
      </c>
      <c r="N1294" s="64">
        <v>28820042.654904962</v>
      </c>
      <c r="P1294">
        <f t="shared" si="73"/>
        <v>311</v>
      </c>
      <c r="Q1294" t="str">
        <f t="shared" si="74"/>
        <v>SG</v>
      </c>
      <c r="R1294" t="str">
        <f>IF(ISERROR(MATCH(P1294&amp;"."&amp;Q1294,R$5:R1293,0)),P1294&amp;"."&amp;Q1294,P1294&amp;"."&amp;Q1294&amp;COUNTIFS(P$5:P1293,P1294,Q$5:Q1293,Q1294))</f>
        <v>311.SG3</v>
      </c>
      <c r="S1294" s="55">
        <f t="shared" si="75"/>
        <v>28820042.654904962</v>
      </c>
    </row>
    <row r="1295" spans="1:19" hidden="1">
      <c r="A1295" s="5">
        <v>1360</v>
      </c>
      <c r="B1295" s="59"/>
      <c r="C1295" s="60"/>
      <c r="D1295" s="63"/>
      <c r="E1295" s="63"/>
      <c r="F1295" s="60"/>
      <c r="G1295" s="61"/>
      <c r="H1295" s="62" t="s">
        <v>501</v>
      </c>
      <c r="I1295" s="65">
        <v>1038143383.2646165</v>
      </c>
      <c r="J1295" s="65">
        <v>456757115.6621474</v>
      </c>
      <c r="K1295" s="62"/>
      <c r="L1295" s="65">
        <v>1038143383.2646165</v>
      </c>
      <c r="M1295" s="65">
        <v>581386267.60246909</v>
      </c>
      <c r="N1295" s="64">
        <v>456757115.6621474</v>
      </c>
      <c r="P1295">
        <f t="shared" si="73"/>
        <v>311</v>
      </c>
      <c r="Q1295" t="str">
        <f t="shared" si="74"/>
        <v>NA</v>
      </c>
      <c r="R1295" t="str">
        <f>IF(ISERROR(MATCH(P1295&amp;"."&amp;Q1295,R$5:R1294,0)),P1295&amp;"."&amp;Q1295,P1295&amp;"."&amp;Q1295&amp;COUNTIFS(P$5:P1294,P1295,Q$5:Q1294,Q1295))</f>
        <v>311.NA1</v>
      </c>
      <c r="S1295" s="55">
        <f t="shared" si="75"/>
        <v>456757115.6621474</v>
      </c>
    </row>
    <row r="1296" spans="1:19" hidden="1">
      <c r="A1296" s="5">
        <v>1361</v>
      </c>
      <c r="B1296" s="59"/>
      <c r="C1296" s="60"/>
      <c r="D1296" s="63"/>
      <c r="E1296" s="63"/>
      <c r="F1296" s="60"/>
      <c r="G1296" s="61"/>
      <c r="H1296" s="62"/>
      <c r="I1296" s="65"/>
      <c r="J1296" s="65"/>
      <c r="K1296" s="62"/>
      <c r="L1296" s="65"/>
      <c r="M1296" s="65"/>
      <c r="N1296" s="64"/>
      <c r="P1296">
        <f t="shared" si="73"/>
        <v>311</v>
      </c>
      <c r="Q1296" t="str">
        <f t="shared" si="74"/>
        <v>NA</v>
      </c>
      <c r="R1296" t="str">
        <f>IF(ISERROR(MATCH(P1296&amp;"."&amp;Q1296,R$5:R1295,0)),P1296&amp;"."&amp;Q1296,P1296&amp;"."&amp;Q1296&amp;COUNTIFS(P$5:P1295,P1296,Q$5:Q1295,Q1296))</f>
        <v>311.NA2</v>
      </c>
      <c r="S1296" s="55">
        <f t="shared" si="75"/>
        <v>0</v>
      </c>
    </row>
    <row r="1297" spans="1:19" hidden="1">
      <c r="A1297" s="5">
        <v>1362</v>
      </c>
      <c r="B1297" s="59"/>
      <c r="C1297" s="60">
        <v>312</v>
      </c>
      <c r="D1297" s="63" t="s">
        <v>503</v>
      </c>
      <c r="E1297" s="63"/>
      <c r="F1297" s="63"/>
      <c r="G1297" s="63"/>
      <c r="H1297" s="62"/>
      <c r="I1297" s="66"/>
      <c r="J1297" s="66"/>
      <c r="K1297" s="62"/>
      <c r="L1297" s="66"/>
      <c r="M1297" s="66"/>
      <c r="N1297" s="66"/>
      <c r="P1297">
        <f t="shared" si="73"/>
        <v>312</v>
      </c>
      <c r="Q1297" t="str">
        <f t="shared" si="74"/>
        <v>NA</v>
      </c>
      <c r="R1297" t="str">
        <f>IF(ISERROR(MATCH(P1297&amp;"."&amp;Q1297,R$5:R1296,0)),P1297&amp;"."&amp;Q1297,P1297&amp;"."&amp;Q1297&amp;COUNTIFS(P$5:P1296,P1297,Q$5:Q1296,Q1297))</f>
        <v>312.NA</v>
      </c>
      <c r="S1297" s="55">
        <f t="shared" si="75"/>
        <v>0</v>
      </c>
    </row>
    <row r="1298" spans="1:19" hidden="1">
      <c r="A1298" s="5">
        <v>1363</v>
      </c>
      <c r="B1298" s="59"/>
      <c r="C1298" s="60"/>
      <c r="D1298" s="63"/>
      <c r="E1298" s="63"/>
      <c r="F1298" s="63" t="s">
        <v>13</v>
      </c>
      <c r="G1298" s="63" t="s">
        <v>15</v>
      </c>
      <c r="H1298" s="62"/>
      <c r="I1298" s="69">
        <v>591792443.69000006</v>
      </c>
      <c r="J1298" s="69">
        <v>260373869.35943031</v>
      </c>
      <c r="K1298" s="62"/>
      <c r="L1298" s="69">
        <v>580936315.89723098</v>
      </c>
      <c r="M1298" s="65">
        <v>325338871.16066122</v>
      </c>
      <c r="N1298" s="65">
        <v>255597444.73656973</v>
      </c>
      <c r="P1298">
        <f t="shared" si="73"/>
        <v>312</v>
      </c>
      <c r="Q1298" t="str">
        <f t="shared" si="74"/>
        <v>SG</v>
      </c>
      <c r="R1298" t="str">
        <f>IF(ISERROR(MATCH(P1298&amp;"."&amp;Q1298,R$5:R1297,0)),P1298&amp;"."&amp;Q1298,P1298&amp;"."&amp;Q1298&amp;COUNTIFS(P$5:P1297,P1298,Q$5:Q1297,Q1298))</f>
        <v>312.SG</v>
      </c>
      <c r="S1298" s="55">
        <f t="shared" si="75"/>
        <v>255597444.73656973</v>
      </c>
    </row>
    <row r="1299" spans="1:19" hidden="1">
      <c r="A1299" s="5">
        <v>1364</v>
      </c>
      <c r="B1299" s="59"/>
      <c r="C1299" s="60"/>
      <c r="D1299" s="63"/>
      <c r="E1299" s="70"/>
      <c r="F1299" s="63" t="s">
        <v>13</v>
      </c>
      <c r="G1299" s="63" t="s">
        <v>15</v>
      </c>
      <c r="H1299" s="62"/>
      <c r="I1299" s="69">
        <v>470343514.13538498</v>
      </c>
      <c r="J1299" s="69">
        <v>206939378.84697509</v>
      </c>
      <c r="K1299" s="62"/>
      <c r="L1299" s="69">
        <v>456622561.89492196</v>
      </c>
      <c r="M1299" s="69">
        <v>255720058.75367442</v>
      </c>
      <c r="N1299" s="69">
        <v>200902503.14124754</v>
      </c>
      <c r="P1299">
        <f t="shared" si="73"/>
        <v>312</v>
      </c>
      <c r="Q1299" t="str">
        <f t="shared" si="74"/>
        <v>SG</v>
      </c>
      <c r="R1299" t="str">
        <f>IF(ISERROR(MATCH(P1299&amp;"."&amp;Q1299,R$5:R1298,0)),P1299&amp;"."&amp;Q1299,P1299&amp;"."&amp;Q1299&amp;COUNTIFS(P$5:P1298,P1299,Q$5:Q1298,Q1299))</f>
        <v>312.SG1</v>
      </c>
      <c r="S1299" s="55">
        <f t="shared" si="75"/>
        <v>200902503.14124754</v>
      </c>
    </row>
    <row r="1300" spans="1:19" hidden="1">
      <c r="A1300" s="5">
        <v>1365</v>
      </c>
      <c r="B1300" s="59"/>
      <c r="C1300" s="71"/>
      <c r="D1300" s="72"/>
      <c r="E1300" s="73"/>
      <c r="F1300" s="63" t="s">
        <v>13</v>
      </c>
      <c r="G1300" s="72" t="s">
        <v>15</v>
      </c>
      <c r="H1300" s="74"/>
      <c r="I1300" s="75">
        <v>3209916265.6715398</v>
      </c>
      <c r="J1300" s="75">
        <v>1412282849.0363076</v>
      </c>
      <c r="K1300" s="62"/>
      <c r="L1300" s="75">
        <v>2782304246.2676492</v>
      </c>
      <c r="M1300" s="75">
        <v>1558159987.481936</v>
      </c>
      <c r="N1300" s="75">
        <v>1224144258.7857132</v>
      </c>
      <c r="P1300">
        <f t="shared" si="73"/>
        <v>312</v>
      </c>
      <c r="Q1300" t="str">
        <f t="shared" si="74"/>
        <v>SG</v>
      </c>
      <c r="R1300" t="str">
        <f>IF(ISERROR(MATCH(P1300&amp;"."&amp;Q1300,R$5:R1299,0)),P1300&amp;"."&amp;Q1300,P1300&amp;"."&amp;Q1300&amp;COUNTIFS(P$5:P1299,P1300,Q$5:Q1299,Q1300))</f>
        <v>312.SG2</v>
      </c>
      <c r="S1300" s="55">
        <f t="shared" si="75"/>
        <v>1224144258.7857132</v>
      </c>
    </row>
    <row r="1301" spans="1:19" hidden="1">
      <c r="A1301" s="5">
        <v>1366</v>
      </c>
      <c r="B1301" s="59"/>
      <c r="C1301" s="60"/>
      <c r="D1301" s="61"/>
      <c r="E1301" s="63"/>
      <c r="F1301" s="63" t="s">
        <v>13</v>
      </c>
      <c r="G1301" s="63" t="s">
        <v>15</v>
      </c>
      <c r="H1301" s="62"/>
      <c r="I1301" s="65">
        <v>341946985.67307699</v>
      </c>
      <c r="J1301" s="65">
        <v>150448118.63486996</v>
      </c>
      <c r="K1301" s="62"/>
      <c r="L1301" s="65">
        <v>340600147.11769199</v>
      </c>
      <c r="M1301" s="65">
        <v>190744603.75107226</v>
      </c>
      <c r="N1301" s="65">
        <v>149855543.36661974</v>
      </c>
      <c r="P1301">
        <f t="shared" si="73"/>
        <v>312</v>
      </c>
      <c r="Q1301" t="str">
        <f t="shared" si="74"/>
        <v>SG</v>
      </c>
      <c r="R1301" t="str">
        <f>IF(ISERROR(MATCH(P1301&amp;"."&amp;Q1301,R$5:R1300,0)),P1301&amp;"."&amp;Q1301,P1301&amp;"."&amp;Q1301&amp;COUNTIFS(P$5:P1300,P1301,Q$5:Q1300,Q1301))</f>
        <v>312.SG3</v>
      </c>
      <c r="S1301" s="55">
        <f t="shared" si="75"/>
        <v>149855543.36661974</v>
      </c>
    </row>
    <row r="1302" spans="1:19" hidden="1">
      <c r="A1302" s="5">
        <v>1367</v>
      </c>
      <c r="B1302" s="59"/>
      <c r="C1302" s="60"/>
      <c r="D1302" s="63"/>
      <c r="E1302" s="63"/>
      <c r="F1302" s="60"/>
      <c r="G1302" s="61"/>
      <c r="H1302" s="62" t="s">
        <v>501</v>
      </c>
      <c r="I1302" s="65">
        <v>4613999209.170002</v>
      </c>
      <c r="J1302" s="65">
        <v>2030044215.877583</v>
      </c>
      <c r="K1302" s="62"/>
      <c r="L1302" s="65">
        <v>4160463271.177494</v>
      </c>
      <c r="M1302" s="65">
        <v>2329963521.1473441</v>
      </c>
      <c r="N1302" s="64">
        <v>1830499750.0301502</v>
      </c>
      <c r="P1302">
        <f t="shared" si="73"/>
        <v>312</v>
      </c>
      <c r="Q1302" t="str">
        <f t="shared" si="74"/>
        <v>NA</v>
      </c>
      <c r="R1302" t="str">
        <f>IF(ISERROR(MATCH(P1302&amp;"."&amp;Q1302,R$5:R1301,0)),P1302&amp;"."&amp;Q1302,P1302&amp;"."&amp;Q1302&amp;COUNTIFS(P$5:P1301,P1302,Q$5:Q1301,Q1302))</f>
        <v>312.NA1</v>
      </c>
      <c r="S1302" s="55">
        <f t="shared" si="75"/>
        <v>1830499750.0301502</v>
      </c>
    </row>
    <row r="1303" spans="1:19" hidden="1">
      <c r="A1303" s="5">
        <v>1368</v>
      </c>
      <c r="B1303" s="59"/>
      <c r="C1303" s="60"/>
      <c r="D1303" s="63"/>
      <c r="E1303" s="63"/>
      <c r="F1303" s="60"/>
      <c r="G1303" s="61"/>
      <c r="H1303" s="62"/>
      <c r="I1303" s="65"/>
      <c r="J1303" s="65"/>
      <c r="K1303" s="62"/>
      <c r="L1303" s="65"/>
      <c r="M1303" s="65"/>
      <c r="N1303" s="64"/>
      <c r="P1303">
        <f t="shared" si="73"/>
        <v>312</v>
      </c>
      <c r="Q1303" t="str">
        <f t="shared" si="74"/>
        <v>NA</v>
      </c>
      <c r="R1303" t="str">
        <f>IF(ISERROR(MATCH(P1303&amp;"."&amp;Q1303,R$5:R1302,0)),P1303&amp;"."&amp;Q1303,P1303&amp;"."&amp;Q1303&amp;COUNTIFS(P$5:P1302,P1303,Q$5:Q1302,Q1303))</f>
        <v>312.NA2</v>
      </c>
      <c r="S1303" s="55">
        <f t="shared" si="75"/>
        <v>0</v>
      </c>
    </row>
    <row r="1304" spans="1:19" hidden="1">
      <c r="A1304" s="5">
        <v>1369</v>
      </c>
      <c r="B1304" s="59"/>
      <c r="C1304" s="60">
        <v>314</v>
      </c>
      <c r="D1304" s="63" t="s">
        <v>504</v>
      </c>
      <c r="E1304" s="63"/>
      <c r="F1304" s="60"/>
      <c r="G1304" s="61"/>
      <c r="H1304" s="62"/>
      <c r="I1304" s="65"/>
      <c r="J1304" s="65"/>
      <c r="K1304" s="62"/>
      <c r="L1304" s="65"/>
      <c r="M1304" s="65"/>
      <c r="N1304" s="64"/>
      <c r="P1304">
        <f t="shared" si="73"/>
        <v>314</v>
      </c>
      <c r="Q1304" t="str">
        <f t="shared" si="74"/>
        <v>NA</v>
      </c>
      <c r="R1304" t="str">
        <f>IF(ISERROR(MATCH(P1304&amp;"."&amp;Q1304,R$5:R1303,0)),P1304&amp;"."&amp;Q1304,P1304&amp;"."&amp;Q1304&amp;COUNTIFS(P$5:P1303,P1304,Q$5:Q1303,Q1304))</f>
        <v>314.NA</v>
      </c>
      <c r="S1304" s="55">
        <f t="shared" si="75"/>
        <v>0</v>
      </c>
    </row>
    <row r="1305" spans="1:19" hidden="1">
      <c r="A1305" s="5">
        <v>1370</v>
      </c>
      <c r="B1305" s="59"/>
      <c r="C1305" s="60"/>
      <c r="D1305" s="63"/>
      <c r="E1305" s="63"/>
      <c r="F1305" s="60" t="s">
        <v>13</v>
      </c>
      <c r="G1305" s="61" t="s">
        <v>15</v>
      </c>
      <c r="H1305" s="62"/>
      <c r="I1305" s="65">
        <v>109651371.542308</v>
      </c>
      <c r="J1305" s="65">
        <v>48243860.146336801</v>
      </c>
      <c r="K1305" s="62"/>
      <c r="L1305" s="65">
        <v>109651371.542308</v>
      </c>
      <c r="M1305" s="65">
        <v>61407511.395971201</v>
      </c>
      <c r="N1305" s="64">
        <v>48243860.146336801</v>
      </c>
      <c r="P1305">
        <f t="shared" si="73"/>
        <v>314</v>
      </c>
      <c r="Q1305" t="str">
        <f t="shared" si="74"/>
        <v>SG</v>
      </c>
      <c r="R1305" t="str">
        <f>IF(ISERROR(MATCH(P1305&amp;"."&amp;Q1305,R$5:R1304,0)),P1305&amp;"."&amp;Q1305,P1305&amp;"."&amp;Q1305&amp;COUNTIFS(P$5:P1304,P1305,Q$5:Q1304,Q1305))</f>
        <v>314.SG</v>
      </c>
      <c r="S1305" s="55">
        <f t="shared" si="75"/>
        <v>48243860.146336801</v>
      </c>
    </row>
    <row r="1306" spans="1:19" hidden="1">
      <c r="A1306" s="5">
        <v>1371</v>
      </c>
      <c r="B1306" s="59"/>
      <c r="C1306" s="60"/>
      <c r="D1306" s="63"/>
      <c r="E1306" s="63"/>
      <c r="F1306" s="63" t="s">
        <v>13</v>
      </c>
      <c r="G1306" s="63" t="s">
        <v>15</v>
      </c>
      <c r="H1306" s="62"/>
      <c r="I1306" s="66">
        <v>109802624.39</v>
      </c>
      <c r="J1306" s="66">
        <v>48310407.615175091</v>
      </c>
      <c r="K1306" s="62"/>
      <c r="L1306" s="66">
        <v>109802624.39</v>
      </c>
      <c r="M1306" s="66">
        <v>61492216.77482491</v>
      </c>
      <c r="N1306" s="66">
        <v>48310407.615175091</v>
      </c>
      <c r="P1306">
        <f t="shared" si="73"/>
        <v>314</v>
      </c>
      <c r="Q1306" t="str">
        <f t="shared" si="74"/>
        <v>SG</v>
      </c>
      <c r="R1306" t="str">
        <f>IF(ISERROR(MATCH(P1306&amp;"."&amp;Q1306,R$5:R1305,0)),P1306&amp;"."&amp;Q1306,P1306&amp;"."&amp;Q1306&amp;COUNTIFS(P$5:P1305,P1306,Q$5:Q1305,Q1306))</f>
        <v>314.SG1</v>
      </c>
      <c r="S1306" s="55">
        <f t="shared" si="75"/>
        <v>48310407.615175091</v>
      </c>
    </row>
    <row r="1307" spans="1:19" hidden="1">
      <c r="A1307" s="5">
        <v>1372</v>
      </c>
      <c r="B1307" s="59"/>
      <c r="C1307" s="60"/>
      <c r="D1307" s="63"/>
      <c r="E1307" s="63"/>
      <c r="F1307" s="63" t="s">
        <v>13</v>
      </c>
      <c r="G1307" s="63" t="s">
        <v>15</v>
      </c>
      <c r="H1307" s="62"/>
      <c r="I1307" s="65">
        <v>712634144.64538503</v>
      </c>
      <c r="J1307" s="65">
        <v>313541194.48028064</v>
      </c>
      <c r="K1307" s="62"/>
      <c r="L1307" s="65">
        <v>712634144.64538503</v>
      </c>
      <c r="M1307" s="65">
        <v>399092950.16510439</v>
      </c>
      <c r="N1307" s="65">
        <v>313541194.48028064</v>
      </c>
      <c r="P1307">
        <f t="shared" si="73"/>
        <v>314</v>
      </c>
      <c r="Q1307" t="str">
        <f t="shared" si="74"/>
        <v>SG</v>
      </c>
      <c r="R1307" t="str">
        <f>IF(ISERROR(MATCH(P1307&amp;"."&amp;Q1307,R$5:R1306,0)),P1307&amp;"."&amp;Q1307,P1307&amp;"."&amp;Q1307&amp;COUNTIFS(P$5:P1306,P1307,Q$5:Q1306,Q1307))</f>
        <v>314.SG2</v>
      </c>
      <c r="S1307" s="55">
        <f t="shared" si="75"/>
        <v>313541194.48028064</v>
      </c>
    </row>
    <row r="1308" spans="1:19" hidden="1">
      <c r="A1308" s="5">
        <v>1373</v>
      </c>
      <c r="B1308" s="59"/>
      <c r="C1308" s="60"/>
      <c r="D1308" s="61"/>
      <c r="E1308" s="63"/>
      <c r="F1308" s="63" t="s">
        <v>13</v>
      </c>
      <c r="G1308" s="63" t="s">
        <v>15</v>
      </c>
      <c r="H1308" s="62"/>
      <c r="I1308" s="65">
        <v>69082460.609230801</v>
      </c>
      <c r="J1308" s="65">
        <v>30394554.316273361</v>
      </c>
      <c r="K1308" s="62"/>
      <c r="L1308" s="65">
        <v>69082460.609230801</v>
      </c>
      <c r="M1308" s="65">
        <v>38687906.29295744</v>
      </c>
      <c r="N1308" s="65">
        <v>30394554.316273361</v>
      </c>
      <c r="P1308">
        <f t="shared" si="73"/>
        <v>314</v>
      </c>
      <c r="Q1308" t="str">
        <f t="shared" si="74"/>
        <v>SG</v>
      </c>
      <c r="R1308" t="str">
        <f>IF(ISERROR(MATCH(P1308&amp;"."&amp;Q1308,R$5:R1307,0)),P1308&amp;"."&amp;Q1308,P1308&amp;"."&amp;Q1308&amp;COUNTIFS(P$5:P1307,P1308,Q$5:Q1307,Q1308))</f>
        <v>314.SG3</v>
      </c>
      <c r="S1308" s="55">
        <f t="shared" si="75"/>
        <v>30394554.316273361</v>
      </c>
    </row>
    <row r="1309" spans="1:19" hidden="1">
      <c r="A1309" s="5">
        <v>1374</v>
      </c>
      <c r="B1309" s="59"/>
      <c r="C1309" s="60"/>
      <c r="D1309" s="63"/>
      <c r="E1309" s="63"/>
      <c r="F1309" s="60"/>
      <c r="G1309" s="61"/>
      <c r="H1309" s="62" t="s">
        <v>501</v>
      </c>
      <c r="I1309" s="65">
        <v>1001170601.1869237</v>
      </c>
      <c r="J1309" s="65">
        <v>440490016.55806589</v>
      </c>
      <c r="K1309" s="62"/>
      <c r="L1309" s="65">
        <v>1001170601.1869237</v>
      </c>
      <c r="M1309" s="65">
        <v>560680584.62885797</v>
      </c>
      <c r="N1309" s="64">
        <v>440490016.55806589</v>
      </c>
      <c r="P1309">
        <f t="shared" si="73"/>
        <v>314</v>
      </c>
      <c r="Q1309" t="str">
        <f t="shared" si="74"/>
        <v>NA</v>
      </c>
      <c r="R1309" t="str">
        <f>IF(ISERROR(MATCH(P1309&amp;"."&amp;Q1309,R$5:R1308,0)),P1309&amp;"."&amp;Q1309,P1309&amp;"."&amp;Q1309&amp;COUNTIFS(P$5:P1308,P1309,Q$5:Q1308,Q1309))</f>
        <v>314.NA1</v>
      </c>
      <c r="S1309" s="55">
        <f t="shared" si="75"/>
        <v>440490016.55806589</v>
      </c>
    </row>
    <row r="1310" spans="1:19" hidden="1">
      <c r="A1310" s="5">
        <v>1375</v>
      </c>
      <c r="B1310" s="59"/>
      <c r="C1310" s="60"/>
      <c r="D1310" s="63"/>
      <c r="E1310" s="63"/>
      <c r="F1310" s="63"/>
      <c r="G1310" s="63"/>
      <c r="H1310" s="62"/>
      <c r="I1310" s="66"/>
      <c r="J1310" s="66"/>
      <c r="K1310" s="62"/>
      <c r="L1310" s="66"/>
      <c r="M1310" s="66"/>
      <c r="N1310" s="66"/>
      <c r="P1310">
        <f t="shared" si="73"/>
        <v>314</v>
      </c>
      <c r="Q1310" t="str">
        <f t="shared" si="74"/>
        <v>NA</v>
      </c>
      <c r="R1310" t="str">
        <f>IF(ISERROR(MATCH(P1310&amp;"."&amp;Q1310,R$5:R1309,0)),P1310&amp;"."&amp;Q1310,P1310&amp;"."&amp;Q1310&amp;COUNTIFS(P$5:P1309,P1310,Q$5:Q1309,Q1310))</f>
        <v>314.NA2</v>
      </c>
      <c r="S1310" s="55">
        <f t="shared" si="75"/>
        <v>0</v>
      </c>
    </row>
    <row r="1311" spans="1:19" hidden="1">
      <c r="A1311" s="5">
        <v>1376</v>
      </c>
      <c r="B1311" s="59"/>
      <c r="C1311" s="60">
        <v>315</v>
      </c>
      <c r="D1311" s="63" t="s">
        <v>505</v>
      </c>
      <c r="E1311" s="63"/>
      <c r="F1311" s="63"/>
      <c r="G1311" s="63"/>
      <c r="H1311" s="62"/>
      <c r="I1311" s="65"/>
      <c r="J1311" s="65"/>
      <c r="K1311" s="62"/>
      <c r="L1311" s="65"/>
      <c r="M1311" s="65"/>
      <c r="N1311" s="65"/>
      <c r="P1311">
        <f t="shared" si="73"/>
        <v>315</v>
      </c>
      <c r="Q1311" t="str">
        <f t="shared" si="74"/>
        <v>NA</v>
      </c>
      <c r="R1311" t="str">
        <f>IF(ISERROR(MATCH(P1311&amp;"."&amp;Q1311,R$5:R1310,0)),P1311&amp;"."&amp;Q1311,P1311&amp;"."&amp;Q1311&amp;COUNTIFS(P$5:P1310,P1311,Q$5:Q1310,Q1311))</f>
        <v>315.NA</v>
      </c>
      <c r="S1311" s="55">
        <f t="shared" si="75"/>
        <v>0</v>
      </c>
    </row>
    <row r="1312" spans="1:19" hidden="1">
      <c r="A1312" s="5">
        <v>1377</v>
      </c>
      <c r="B1312" s="59"/>
      <c r="C1312" s="60"/>
      <c r="D1312" s="61"/>
      <c r="E1312" s="63"/>
      <c r="F1312" s="63" t="s">
        <v>13</v>
      </c>
      <c r="G1312" s="63" t="s">
        <v>15</v>
      </c>
      <c r="H1312" s="62"/>
      <c r="I1312" s="65">
        <v>86087278.099999994</v>
      </c>
      <c r="J1312" s="65">
        <v>37876248.574170671</v>
      </c>
      <c r="K1312" s="62"/>
      <c r="L1312" s="65">
        <v>86087278.099999994</v>
      </c>
      <c r="M1312" s="65">
        <v>48211029.525829323</v>
      </c>
      <c r="N1312" s="65">
        <v>37876248.574170671</v>
      </c>
      <c r="P1312">
        <f t="shared" si="73"/>
        <v>315</v>
      </c>
      <c r="Q1312" t="str">
        <f t="shared" si="74"/>
        <v>SG</v>
      </c>
      <c r="R1312" t="str">
        <f>IF(ISERROR(MATCH(P1312&amp;"."&amp;Q1312,R$5:R1311,0)),P1312&amp;"."&amp;Q1312,P1312&amp;"."&amp;Q1312&amp;COUNTIFS(P$5:P1311,P1312,Q$5:Q1311,Q1312))</f>
        <v>315.SG</v>
      </c>
      <c r="S1312" s="55">
        <f t="shared" si="75"/>
        <v>37876248.574170671</v>
      </c>
    </row>
    <row r="1313" spans="1:19" hidden="1">
      <c r="A1313" s="5">
        <v>1378</v>
      </c>
      <c r="B1313" s="59"/>
      <c r="C1313" s="60"/>
      <c r="D1313" s="63"/>
      <c r="E1313" s="63"/>
      <c r="F1313" s="60" t="s">
        <v>13</v>
      </c>
      <c r="G1313" s="61" t="s">
        <v>15</v>
      </c>
      <c r="H1313" s="62"/>
      <c r="I1313" s="65">
        <v>133435262.545385</v>
      </c>
      <c r="J1313" s="65">
        <v>58708177.146197036</v>
      </c>
      <c r="K1313" s="62"/>
      <c r="L1313" s="65">
        <v>133435262.545385</v>
      </c>
      <c r="M1313" s="65">
        <v>74727085.399187967</v>
      </c>
      <c r="N1313" s="64">
        <v>58708177.146197036</v>
      </c>
      <c r="P1313">
        <f t="shared" si="73"/>
        <v>315</v>
      </c>
      <c r="Q1313" t="str">
        <f t="shared" si="74"/>
        <v>SG</v>
      </c>
      <c r="R1313" t="str">
        <f>IF(ISERROR(MATCH(P1313&amp;"."&amp;Q1313,R$5:R1312,0)),P1313&amp;"."&amp;Q1313,P1313&amp;"."&amp;Q1313&amp;COUNTIFS(P$5:P1312,P1313,Q$5:Q1312,Q1313))</f>
        <v>315.SG1</v>
      </c>
      <c r="S1313" s="55">
        <f t="shared" si="75"/>
        <v>58708177.146197036</v>
      </c>
    </row>
    <row r="1314" spans="1:19" hidden="1">
      <c r="A1314" s="5">
        <v>1379</v>
      </c>
      <c r="B1314" s="59"/>
      <c r="C1314" s="60"/>
      <c r="D1314" s="63"/>
      <c r="E1314" s="63"/>
      <c r="F1314" s="63" t="s">
        <v>13</v>
      </c>
      <c r="G1314" s="63" t="s">
        <v>15</v>
      </c>
      <c r="H1314" s="62"/>
      <c r="I1314" s="66">
        <v>200294219.77230799</v>
      </c>
      <c r="J1314" s="66">
        <v>88124445.603368521</v>
      </c>
      <c r="K1314" s="62"/>
      <c r="L1314" s="66">
        <v>200294219.77230799</v>
      </c>
      <c r="M1314" s="66">
        <v>112169774.16893947</v>
      </c>
      <c r="N1314" s="66">
        <v>88124445.603368521</v>
      </c>
      <c r="P1314">
        <f t="shared" si="73"/>
        <v>315</v>
      </c>
      <c r="Q1314" t="str">
        <f t="shared" si="74"/>
        <v>SG</v>
      </c>
      <c r="R1314" t="str">
        <f>IF(ISERROR(MATCH(P1314&amp;"."&amp;Q1314,R$5:R1313,0)),P1314&amp;"."&amp;Q1314,P1314&amp;"."&amp;Q1314&amp;COUNTIFS(P$5:P1313,P1314,Q$5:Q1313,Q1314))</f>
        <v>315.SG2</v>
      </c>
      <c r="S1314" s="55">
        <f t="shared" si="75"/>
        <v>88124445.603368521</v>
      </c>
    </row>
    <row r="1315" spans="1:19" hidden="1">
      <c r="A1315" s="5">
        <v>1380</v>
      </c>
      <c r="B1315" s="59"/>
      <c r="C1315" s="60"/>
      <c r="D1315" s="63"/>
      <c r="E1315" s="63"/>
      <c r="F1315" s="63" t="s">
        <v>13</v>
      </c>
      <c r="G1315" s="63" t="s">
        <v>15</v>
      </c>
      <c r="H1315" s="62"/>
      <c r="I1315" s="65">
        <v>68703252.5015385</v>
      </c>
      <c r="J1315" s="65">
        <v>30227712.236174017</v>
      </c>
      <c r="K1315" s="62"/>
      <c r="L1315" s="65">
        <v>68703252.5015385</v>
      </c>
      <c r="M1315" s="65">
        <v>38475540.265364483</v>
      </c>
      <c r="N1315" s="65">
        <v>30227712.236174017</v>
      </c>
      <c r="P1315">
        <f t="shared" si="73"/>
        <v>315</v>
      </c>
      <c r="Q1315" t="str">
        <f t="shared" si="74"/>
        <v>SG</v>
      </c>
      <c r="R1315" t="str">
        <f>IF(ISERROR(MATCH(P1315&amp;"."&amp;Q1315,R$5:R1314,0)),P1315&amp;"."&amp;Q1315,P1315&amp;"."&amp;Q1315&amp;COUNTIFS(P$5:P1314,P1315,Q$5:Q1314,Q1315))</f>
        <v>315.SG3</v>
      </c>
      <c r="S1315" s="55">
        <f t="shared" si="75"/>
        <v>30227712.236174017</v>
      </c>
    </row>
    <row r="1316" spans="1:19" hidden="1">
      <c r="A1316" s="5">
        <v>1381</v>
      </c>
      <c r="B1316" s="59"/>
      <c r="C1316" s="60"/>
      <c r="D1316" s="63"/>
      <c r="E1316" s="63"/>
      <c r="F1316" s="63"/>
      <c r="G1316" s="63"/>
      <c r="H1316" s="62" t="s">
        <v>501</v>
      </c>
      <c r="I1316" s="65">
        <v>488520012.91923153</v>
      </c>
      <c r="J1316" s="65">
        <v>214936583.55991024</v>
      </c>
      <c r="K1316" s="62"/>
      <c r="L1316" s="65">
        <v>488520012.91923153</v>
      </c>
      <c r="M1316" s="65">
        <v>273583429.35932124</v>
      </c>
      <c r="N1316" s="65">
        <v>214936583.55991024</v>
      </c>
      <c r="P1316">
        <f t="shared" si="73"/>
        <v>315</v>
      </c>
      <c r="Q1316" t="str">
        <f t="shared" si="74"/>
        <v>NA</v>
      </c>
      <c r="R1316" t="str">
        <f>IF(ISERROR(MATCH(P1316&amp;"."&amp;Q1316,R$5:R1315,0)),P1316&amp;"."&amp;Q1316,P1316&amp;"."&amp;Q1316&amp;COUNTIFS(P$5:P1315,P1316,Q$5:Q1315,Q1316))</f>
        <v>315.NA1</v>
      </c>
      <c r="S1316" s="55">
        <f t="shared" si="75"/>
        <v>214936583.55991024</v>
      </c>
    </row>
    <row r="1317" spans="1:19" ht="15.75" hidden="1" thickBot="1">
      <c r="A1317" s="5">
        <v>1382</v>
      </c>
      <c r="B1317" s="59"/>
      <c r="C1317" s="45"/>
      <c r="D1317" s="63"/>
      <c r="E1317" s="63"/>
      <c r="F1317" s="63"/>
      <c r="G1317" s="63"/>
      <c r="H1317" s="41"/>
      <c r="I1317" s="68"/>
      <c r="J1317" s="68"/>
      <c r="K1317" s="41"/>
      <c r="L1317" s="68"/>
      <c r="M1317" s="68"/>
      <c r="N1317" s="68"/>
      <c r="P1317">
        <f t="shared" si="73"/>
        <v>315</v>
      </c>
      <c r="Q1317" t="str">
        <f t="shared" si="74"/>
        <v>NA</v>
      </c>
      <c r="R1317" t="str">
        <f>IF(ISERROR(MATCH(P1317&amp;"."&amp;Q1317,R$5:R1316,0)),P1317&amp;"."&amp;Q1317,P1317&amp;"."&amp;Q1317&amp;COUNTIFS(P$5:P1316,P1317,Q$5:Q1316,Q1317))</f>
        <v>315.NA2</v>
      </c>
      <c r="S1317" s="55">
        <f t="shared" si="75"/>
        <v>0</v>
      </c>
    </row>
    <row r="1318" spans="1:19" hidden="1">
      <c r="A1318" s="5">
        <v>1383</v>
      </c>
      <c r="B1318" s="59"/>
      <c r="C1318" s="60"/>
      <c r="D1318" s="63"/>
      <c r="E1318" s="63"/>
      <c r="F1318" s="63"/>
      <c r="G1318" s="63"/>
      <c r="H1318" s="62"/>
      <c r="I1318" s="65"/>
      <c r="J1318" s="65"/>
      <c r="K1318" s="62"/>
      <c r="L1318" s="65"/>
      <c r="M1318" s="65"/>
      <c r="N1318" s="65"/>
      <c r="P1318">
        <f t="shared" si="73"/>
        <v>315</v>
      </c>
      <c r="Q1318" t="str">
        <f t="shared" si="74"/>
        <v>NA</v>
      </c>
      <c r="R1318" t="str">
        <f>IF(ISERROR(MATCH(P1318&amp;"."&amp;Q1318,R$5:R1317,0)),P1318&amp;"."&amp;Q1318,P1318&amp;"."&amp;Q1318&amp;COUNTIFS(P$5:P1317,P1318,Q$5:Q1317,Q1318))</f>
        <v>315.NA3</v>
      </c>
      <c r="S1318" s="55">
        <f t="shared" si="75"/>
        <v>0</v>
      </c>
    </row>
    <row r="1319" spans="1:19" hidden="1">
      <c r="A1319" s="5">
        <v>1384</v>
      </c>
      <c r="B1319" s="59"/>
      <c r="C1319" s="60"/>
      <c r="D1319" s="63"/>
      <c r="E1319" s="63"/>
      <c r="F1319" s="63"/>
      <c r="G1319" s="63"/>
      <c r="H1319" s="62"/>
      <c r="I1319" s="65"/>
      <c r="J1319" s="65"/>
      <c r="K1319" s="62"/>
      <c r="L1319" s="65"/>
      <c r="M1319" s="65"/>
      <c r="N1319" s="65"/>
      <c r="P1319">
        <f t="shared" si="73"/>
        <v>315</v>
      </c>
      <c r="Q1319" t="str">
        <f t="shared" si="74"/>
        <v>NA</v>
      </c>
      <c r="R1319" t="str">
        <f>IF(ISERROR(MATCH(P1319&amp;"."&amp;Q1319,R$5:R1318,0)),P1319&amp;"."&amp;Q1319,P1319&amp;"."&amp;Q1319&amp;COUNTIFS(P$5:P1318,P1319,Q$5:Q1318,Q1319))</f>
        <v>315.NA4</v>
      </c>
      <c r="S1319" s="55">
        <f t="shared" si="75"/>
        <v>0</v>
      </c>
    </row>
    <row r="1320" spans="1:19" hidden="1">
      <c r="A1320" s="5">
        <v>1385</v>
      </c>
      <c r="B1320" s="59"/>
      <c r="C1320" s="60">
        <v>316</v>
      </c>
      <c r="D1320" s="63" t="s">
        <v>506</v>
      </c>
      <c r="E1320" s="63"/>
      <c r="F1320" s="63"/>
      <c r="G1320" s="63"/>
      <c r="H1320" s="62"/>
      <c r="I1320" s="65"/>
      <c r="J1320" s="65"/>
      <c r="K1320" s="62"/>
      <c r="L1320" s="65"/>
      <c r="M1320" s="65"/>
      <c r="N1320" s="65"/>
      <c r="P1320">
        <f t="shared" si="73"/>
        <v>316</v>
      </c>
      <c r="Q1320" t="str">
        <f t="shared" si="74"/>
        <v>NA</v>
      </c>
      <c r="R1320" t="str">
        <f>IF(ISERROR(MATCH(P1320&amp;"."&amp;Q1320,R$5:R1319,0)),P1320&amp;"."&amp;Q1320,P1320&amp;"."&amp;Q1320&amp;COUNTIFS(P$5:P1319,P1320,Q$5:Q1319,Q1320))</f>
        <v>316.NA</v>
      </c>
      <c r="S1320" s="55">
        <f t="shared" si="75"/>
        <v>0</v>
      </c>
    </row>
    <row r="1321" spans="1:19" hidden="1">
      <c r="A1321" s="5">
        <v>1386</v>
      </c>
      <c r="B1321" s="59"/>
      <c r="C1321" s="60"/>
      <c r="D1321" s="63"/>
      <c r="E1321" s="60"/>
      <c r="F1321" s="63" t="s">
        <v>13</v>
      </c>
      <c r="G1321" s="63" t="s">
        <v>15</v>
      </c>
      <c r="H1321" s="62"/>
      <c r="I1321" s="65">
        <v>2592890.8946153801</v>
      </c>
      <c r="J1321" s="65">
        <v>1140807.1229302338</v>
      </c>
      <c r="K1321" s="62"/>
      <c r="L1321" s="65">
        <v>2592890.8946153801</v>
      </c>
      <c r="M1321" s="65">
        <v>1452083.7716851463</v>
      </c>
      <c r="N1321" s="64">
        <v>1140807.1229302338</v>
      </c>
      <c r="P1321">
        <f t="shared" si="73"/>
        <v>316</v>
      </c>
      <c r="Q1321" t="str">
        <f t="shared" si="74"/>
        <v>SG</v>
      </c>
      <c r="R1321" t="str">
        <f>IF(ISERROR(MATCH(P1321&amp;"."&amp;Q1321,R$5:R1320,0)),P1321&amp;"."&amp;Q1321,P1321&amp;"."&amp;Q1321&amp;COUNTIFS(P$5:P1320,P1321,Q$5:Q1320,Q1321))</f>
        <v>316.SG</v>
      </c>
      <c r="S1321" s="55">
        <f t="shared" si="75"/>
        <v>1140807.1229302338</v>
      </c>
    </row>
    <row r="1322" spans="1:19" hidden="1">
      <c r="A1322" s="5">
        <v>1387</v>
      </c>
      <c r="B1322" s="59"/>
      <c r="C1322" s="60"/>
      <c r="D1322" s="63"/>
      <c r="E1322" s="61"/>
      <c r="F1322" s="63" t="s">
        <v>13</v>
      </c>
      <c r="G1322" s="63" t="s">
        <v>15</v>
      </c>
      <c r="H1322" s="62"/>
      <c r="I1322" s="65">
        <v>4947418.4953846196</v>
      </c>
      <c r="J1322" s="65">
        <v>2176740.3601024915</v>
      </c>
      <c r="K1322" s="62"/>
      <c r="L1322" s="65">
        <v>4947418.4953846196</v>
      </c>
      <c r="M1322" s="65">
        <v>2770678.1352821281</v>
      </c>
      <c r="N1322" s="64">
        <v>2176740.3601024915</v>
      </c>
      <c r="P1322">
        <f t="shared" si="73"/>
        <v>316</v>
      </c>
      <c r="Q1322" t="str">
        <f t="shared" si="74"/>
        <v>SG</v>
      </c>
      <c r="R1322" t="str">
        <f>IF(ISERROR(MATCH(P1322&amp;"."&amp;Q1322,R$5:R1321,0)),P1322&amp;"."&amp;Q1322,P1322&amp;"."&amp;Q1322&amp;COUNTIFS(P$5:P1321,P1322,Q$5:Q1321,Q1322))</f>
        <v>316.SG1</v>
      </c>
      <c r="S1322" s="55">
        <f t="shared" si="75"/>
        <v>2176740.3601024915</v>
      </c>
    </row>
    <row r="1323" spans="1:19" hidden="1">
      <c r="A1323" s="5">
        <v>1388</v>
      </c>
      <c r="B1323" s="59"/>
      <c r="C1323" s="60"/>
      <c r="D1323" s="63"/>
      <c r="E1323" s="61"/>
      <c r="F1323" s="63" t="s">
        <v>13</v>
      </c>
      <c r="G1323" s="63" t="s">
        <v>15</v>
      </c>
      <c r="H1323" s="62"/>
      <c r="I1323" s="65">
        <v>21579754.2515385</v>
      </c>
      <c r="J1323" s="65">
        <v>9494551.9737693816</v>
      </c>
      <c r="K1323" s="62"/>
      <c r="L1323" s="65">
        <v>21579754.2515385</v>
      </c>
      <c r="M1323" s="65">
        <v>12085202.277769119</v>
      </c>
      <c r="N1323" s="64">
        <v>9494551.9737693816</v>
      </c>
      <c r="P1323">
        <f t="shared" si="73"/>
        <v>316</v>
      </c>
      <c r="Q1323" t="str">
        <f t="shared" si="74"/>
        <v>SG</v>
      </c>
      <c r="R1323" t="str">
        <f>IF(ISERROR(MATCH(P1323&amp;"."&amp;Q1323,R$5:R1322,0)),P1323&amp;"."&amp;Q1323,P1323&amp;"."&amp;Q1323&amp;COUNTIFS(P$5:P1322,P1323,Q$5:Q1322,Q1323))</f>
        <v>316.SG2</v>
      </c>
      <c r="S1323" s="55">
        <f t="shared" si="75"/>
        <v>9494551.9737693816</v>
      </c>
    </row>
    <row r="1324" spans="1:19" hidden="1">
      <c r="A1324" s="5">
        <v>1389</v>
      </c>
      <c r="B1324" s="59"/>
      <c r="C1324" s="60"/>
      <c r="D1324" s="63"/>
      <c r="E1324" s="70"/>
      <c r="F1324" s="63" t="s">
        <v>13</v>
      </c>
      <c r="G1324" s="63" t="s">
        <v>15</v>
      </c>
      <c r="H1324" s="62"/>
      <c r="I1324" s="65">
        <v>4139400.59</v>
      </c>
      <c r="J1324" s="65">
        <v>1821232.697272476</v>
      </c>
      <c r="K1324" s="62"/>
      <c r="L1324" s="65">
        <v>4139400.59</v>
      </c>
      <c r="M1324" s="65">
        <v>2318167.892727524</v>
      </c>
      <c r="N1324" s="64">
        <v>1821232.697272476</v>
      </c>
      <c r="P1324">
        <f t="shared" si="73"/>
        <v>316</v>
      </c>
      <c r="Q1324" t="str">
        <f t="shared" si="74"/>
        <v>SG</v>
      </c>
      <c r="R1324" t="str">
        <f>IF(ISERROR(MATCH(P1324&amp;"."&amp;Q1324,R$5:R1323,0)),P1324&amp;"."&amp;Q1324,P1324&amp;"."&amp;Q1324&amp;COUNTIFS(P$5:P1323,P1324,Q$5:Q1323,Q1324))</f>
        <v>316.SG3</v>
      </c>
      <c r="S1324" s="55">
        <f t="shared" si="75"/>
        <v>1821232.697272476</v>
      </c>
    </row>
    <row r="1325" spans="1:19" hidden="1">
      <c r="A1325" s="5">
        <v>1390</v>
      </c>
      <c r="B1325" s="59"/>
      <c r="C1325" s="60"/>
      <c r="D1325" s="63"/>
      <c r="E1325" s="60"/>
      <c r="F1325" s="63"/>
      <c r="G1325" s="63"/>
      <c r="H1325" s="62" t="s">
        <v>501</v>
      </c>
      <c r="I1325" s="65">
        <v>33259464.231538501</v>
      </c>
      <c r="J1325" s="65">
        <v>14633332.154074583</v>
      </c>
      <c r="K1325" s="62"/>
      <c r="L1325" s="65">
        <v>33259464.231538501</v>
      </c>
      <c r="M1325" s="65">
        <v>18626132.077463917</v>
      </c>
      <c r="N1325" s="64">
        <v>14633332.154074583</v>
      </c>
      <c r="P1325">
        <f t="shared" si="73"/>
        <v>316</v>
      </c>
      <c r="Q1325" t="str">
        <f t="shared" si="74"/>
        <v>NA</v>
      </c>
      <c r="R1325" t="str">
        <f>IF(ISERROR(MATCH(P1325&amp;"."&amp;Q1325,R$5:R1324,0)),P1325&amp;"."&amp;Q1325,P1325&amp;"."&amp;Q1325&amp;COUNTIFS(P$5:P1324,P1325,Q$5:Q1324,Q1325))</f>
        <v>316.NA1</v>
      </c>
      <c r="S1325" s="55">
        <f t="shared" si="75"/>
        <v>14633332.154074583</v>
      </c>
    </row>
    <row r="1326" spans="1:19" ht="15.75" hidden="1" thickBot="1">
      <c r="A1326" s="5">
        <v>1391</v>
      </c>
      <c r="B1326" s="59"/>
      <c r="C1326" s="60"/>
      <c r="D1326" s="63"/>
      <c r="E1326" s="63"/>
      <c r="F1326" s="63"/>
      <c r="G1326" s="63"/>
      <c r="H1326" s="62"/>
      <c r="I1326" s="81"/>
      <c r="J1326" s="81"/>
      <c r="K1326" s="62"/>
      <c r="L1326" s="81"/>
      <c r="M1326" s="81"/>
      <c r="N1326" s="81"/>
      <c r="P1326">
        <f t="shared" si="73"/>
        <v>316</v>
      </c>
      <c r="Q1326" t="str">
        <f t="shared" si="74"/>
        <v>NA</v>
      </c>
      <c r="R1326" t="str">
        <f>IF(ISERROR(MATCH(P1326&amp;"."&amp;Q1326,R$5:R1325,0)),P1326&amp;"."&amp;Q1326,P1326&amp;"."&amp;Q1326&amp;COUNTIFS(P$5:P1325,P1326,Q$5:Q1325,Q1326))</f>
        <v>316.NA2</v>
      </c>
      <c r="S1326" s="55">
        <f t="shared" si="75"/>
        <v>0</v>
      </c>
    </row>
    <row r="1327" spans="1:19" hidden="1">
      <c r="A1327" s="5">
        <v>1392</v>
      </c>
      <c r="B1327" s="59"/>
      <c r="C1327" s="60">
        <v>317</v>
      </c>
      <c r="D1327" s="61" t="s">
        <v>507</v>
      </c>
      <c r="E1327" s="63"/>
      <c r="F1327" s="63"/>
      <c r="G1327" s="63"/>
      <c r="H1327" s="62"/>
      <c r="I1327" s="65"/>
      <c r="J1327" s="65"/>
      <c r="K1327" s="62"/>
      <c r="L1327" s="65"/>
      <c r="M1327" s="65"/>
      <c r="N1327" s="65"/>
      <c r="P1327">
        <f t="shared" si="73"/>
        <v>317</v>
      </c>
      <c r="Q1327" t="str">
        <f t="shared" si="74"/>
        <v>NA</v>
      </c>
      <c r="R1327" t="str">
        <f>IF(ISERROR(MATCH(P1327&amp;"."&amp;Q1327,R$5:R1326,0)),P1327&amp;"."&amp;Q1327,P1327&amp;"."&amp;Q1327&amp;COUNTIFS(P$5:P1326,P1327,Q$5:Q1326,Q1327))</f>
        <v>317.NA</v>
      </c>
      <c r="S1327" s="55">
        <f t="shared" si="75"/>
        <v>0</v>
      </c>
    </row>
    <row r="1328" spans="1:19" hidden="1">
      <c r="A1328" s="5">
        <v>1393</v>
      </c>
      <c r="B1328" s="59"/>
      <c r="C1328" s="60"/>
      <c r="D1328" s="63"/>
      <c r="E1328" s="63"/>
      <c r="F1328" s="60" t="s">
        <v>13</v>
      </c>
      <c r="G1328" s="61" t="s">
        <v>12</v>
      </c>
      <c r="H1328" s="62"/>
      <c r="I1328" s="65">
        <v>0</v>
      </c>
      <c r="J1328" s="65">
        <v>0</v>
      </c>
      <c r="K1328" s="62"/>
      <c r="L1328" s="65">
        <v>0</v>
      </c>
      <c r="M1328" s="65">
        <v>0</v>
      </c>
      <c r="N1328" s="64">
        <v>0</v>
      </c>
      <c r="P1328">
        <f t="shared" si="73"/>
        <v>317</v>
      </c>
      <c r="Q1328" t="str">
        <f t="shared" si="74"/>
        <v>S</v>
      </c>
      <c r="R1328" t="str">
        <f>IF(ISERROR(MATCH(P1328&amp;"."&amp;Q1328,R$5:R1327,0)),P1328&amp;"."&amp;Q1328,P1328&amp;"."&amp;Q1328&amp;COUNTIFS(P$5:P1327,P1328,Q$5:Q1327,Q1328))</f>
        <v>317.S</v>
      </c>
      <c r="S1328" s="55">
        <f t="shared" si="75"/>
        <v>0</v>
      </c>
    </row>
    <row r="1329" spans="1:19" hidden="1">
      <c r="A1329" s="5">
        <v>1394</v>
      </c>
      <c r="B1329" s="59"/>
      <c r="C1329" s="60"/>
      <c r="D1329" s="63"/>
      <c r="E1329" s="63"/>
      <c r="F1329" s="60"/>
      <c r="G1329" s="61"/>
      <c r="H1329" s="62" t="s">
        <v>501</v>
      </c>
      <c r="I1329" s="65">
        <v>0</v>
      </c>
      <c r="J1329" s="65">
        <v>0</v>
      </c>
      <c r="K1329" s="62"/>
      <c r="L1329" s="65">
        <v>0</v>
      </c>
      <c r="M1329" s="65">
        <v>0</v>
      </c>
      <c r="N1329" s="64">
        <v>0</v>
      </c>
      <c r="P1329">
        <f t="shared" si="73"/>
        <v>317</v>
      </c>
      <c r="Q1329" t="str">
        <f t="shared" si="74"/>
        <v>NA</v>
      </c>
      <c r="R1329" t="str">
        <f>IF(ISERROR(MATCH(P1329&amp;"."&amp;Q1329,R$5:R1328,0)),P1329&amp;"."&amp;Q1329,P1329&amp;"."&amp;Q1329&amp;COUNTIFS(P$5:P1328,P1329,Q$5:Q1328,Q1329))</f>
        <v>317.NA1</v>
      </c>
      <c r="S1329" s="55">
        <f t="shared" si="75"/>
        <v>0</v>
      </c>
    </row>
    <row r="1330" spans="1:19" hidden="1">
      <c r="A1330" s="5">
        <v>1395</v>
      </c>
      <c r="B1330" s="59"/>
      <c r="C1330" s="60"/>
      <c r="D1330" s="63"/>
      <c r="E1330" s="63"/>
      <c r="F1330" s="63"/>
      <c r="G1330" s="63"/>
      <c r="H1330" s="62"/>
      <c r="I1330" s="66"/>
      <c r="J1330" s="66"/>
      <c r="K1330" s="62"/>
      <c r="L1330" s="66"/>
      <c r="M1330" s="66"/>
      <c r="N1330" s="66"/>
      <c r="P1330">
        <f t="shared" si="73"/>
        <v>317</v>
      </c>
      <c r="Q1330" t="str">
        <f t="shared" si="74"/>
        <v>NA</v>
      </c>
      <c r="R1330" t="str">
        <f>IF(ISERROR(MATCH(P1330&amp;"."&amp;Q1330,R$5:R1329,0)),P1330&amp;"."&amp;Q1330,P1330&amp;"."&amp;Q1330&amp;COUNTIFS(P$5:P1329,P1330,Q$5:Q1329,Q1330))</f>
        <v>317.NA2</v>
      </c>
      <c r="S1330" s="55">
        <f t="shared" si="75"/>
        <v>0</v>
      </c>
    </row>
    <row r="1331" spans="1:19" hidden="1">
      <c r="A1331" s="5">
        <v>1396</v>
      </c>
      <c r="B1331" s="59"/>
      <c r="C1331" s="60" t="s">
        <v>264</v>
      </c>
      <c r="D1331" s="63" t="s">
        <v>508</v>
      </c>
      <c r="E1331" s="63"/>
      <c r="F1331" s="63"/>
      <c r="G1331" s="63"/>
      <c r="H1331" s="62"/>
      <c r="I1331" s="65"/>
      <c r="J1331" s="65"/>
      <c r="K1331" s="62"/>
      <c r="L1331" s="65"/>
      <c r="M1331" s="65"/>
      <c r="N1331" s="65"/>
      <c r="P1331" t="str">
        <f t="shared" si="73"/>
        <v>SP</v>
      </c>
      <c r="Q1331" t="str">
        <f t="shared" si="74"/>
        <v>NA</v>
      </c>
      <c r="R1331" t="str">
        <f>IF(ISERROR(MATCH(P1331&amp;"."&amp;Q1331,R$5:R1330,0)),P1331&amp;"."&amp;Q1331,P1331&amp;"."&amp;Q1331&amp;COUNTIFS(P$5:P1330,P1331,Q$5:Q1330,Q1331))</f>
        <v>SP.NA</v>
      </c>
      <c r="S1331" s="55">
        <f t="shared" si="75"/>
        <v>0</v>
      </c>
    </row>
    <row r="1332" spans="1:19" hidden="1">
      <c r="A1332" s="5">
        <v>1397</v>
      </c>
      <c r="B1332" s="59"/>
      <c r="C1332" s="60"/>
      <c r="D1332" s="61"/>
      <c r="E1332" s="63"/>
      <c r="F1332" s="63" t="s">
        <v>13</v>
      </c>
      <c r="G1332" s="63" t="s">
        <v>15</v>
      </c>
      <c r="H1332" s="62"/>
      <c r="I1332" s="65">
        <v>46348778.811538503</v>
      </c>
      <c r="J1332" s="65">
        <v>20392303.091937196</v>
      </c>
      <c r="K1332" s="62"/>
      <c r="L1332" s="65">
        <v>46348778.811538503</v>
      </c>
      <c r="M1332" s="65">
        <v>25956475.719601307</v>
      </c>
      <c r="N1332" s="65">
        <v>20392303.091937196</v>
      </c>
      <c r="P1332" t="str">
        <f t="shared" si="73"/>
        <v>SP</v>
      </c>
      <c r="Q1332" t="str">
        <f t="shared" si="74"/>
        <v>SG</v>
      </c>
      <c r="R1332" t="str">
        <f>IF(ISERROR(MATCH(P1332&amp;"."&amp;Q1332,R$5:R1331,0)),P1332&amp;"."&amp;Q1332,P1332&amp;"."&amp;Q1332&amp;COUNTIFS(P$5:P1331,P1332,Q$5:Q1331,Q1332))</f>
        <v>SP.SG</v>
      </c>
      <c r="S1332" s="55">
        <f t="shared" si="75"/>
        <v>20392303.091937196</v>
      </c>
    </row>
    <row r="1333" spans="1:19" hidden="1">
      <c r="A1333" s="5">
        <v>1398</v>
      </c>
      <c r="B1333" s="59"/>
      <c r="C1333" s="60"/>
      <c r="D1333" s="63"/>
      <c r="E1333" s="63"/>
      <c r="F1333" s="60"/>
      <c r="G1333" s="61"/>
      <c r="H1333" s="62" t="s">
        <v>501</v>
      </c>
      <c r="I1333" s="65">
        <v>46348778.811538503</v>
      </c>
      <c r="J1333" s="65">
        <v>20392303.091937196</v>
      </c>
      <c r="K1333" s="62"/>
      <c r="L1333" s="65">
        <v>46348778.811538503</v>
      </c>
      <c r="M1333" s="65">
        <v>25956475.719601307</v>
      </c>
      <c r="N1333" s="64">
        <v>20392303.091937196</v>
      </c>
      <c r="P1333" t="str">
        <f t="shared" si="73"/>
        <v>SP</v>
      </c>
      <c r="Q1333" t="str">
        <f t="shared" si="74"/>
        <v>NA</v>
      </c>
      <c r="R1333" t="str">
        <f>IF(ISERROR(MATCH(P1333&amp;"."&amp;Q1333,R$5:R1332,0)),P1333&amp;"."&amp;Q1333,P1333&amp;"."&amp;Q1333&amp;COUNTIFS(P$5:P1332,P1333,Q$5:Q1332,Q1333))</f>
        <v>SP.NA1</v>
      </c>
      <c r="S1333" s="55">
        <f t="shared" si="75"/>
        <v>20392303.091937196</v>
      </c>
    </row>
    <row r="1334" spans="1:19" hidden="1">
      <c r="A1334" s="5">
        <v>1399</v>
      </c>
      <c r="B1334" s="59"/>
      <c r="C1334" s="60"/>
      <c r="D1334" s="63"/>
      <c r="E1334" s="63"/>
      <c r="F1334" s="60"/>
      <c r="G1334" s="61"/>
      <c r="H1334" s="62"/>
      <c r="I1334" s="65"/>
      <c r="J1334" s="65"/>
      <c r="K1334" s="62"/>
      <c r="L1334" s="65"/>
      <c r="M1334" s="65"/>
      <c r="N1334" s="64"/>
      <c r="P1334" t="str">
        <f t="shared" si="73"/>
        <v>SP</v>
      </c>
      <c r="Q1334" t="str">
        <f t="shared" si="74"/>
        <v>NA</v>
      </c>
      <c r="R1334" t="str">
        <f>IF(ISERROR(MATCH(P1334&amp;"."&amp;Q1334,R$5:R1333,0)),P1334&amp;"."&amp;Q1334,P1334&amp;"."&amp;Q1334&amp;COUNTIFS(P$5:P1333,P1334,Q$5:Q1333,Q1334))</f>
        <v>SP.NA2</v>
      </c>
      <c r="S1334" s="55">
        <f t="shared" si="75"/>
        <v>0</v>
      </c>
    </row>
    <row r="1335" spans="1:19" hidden="1">
      <c r="A1335" s="5">
        <v>1400</v>
      </c>
      <c r="B1335" s="59"/>
      <c r="C1335" s="60"/>
      <c r="D1335" s="63"/>
      <c r="E1335" s="63"/>
      <c r="F1335" s="63"/>
      <c r="G1335" s="63"/>
      <c r="H1335" s="62"/>
      <c r="I1335" s="66"/>
      <c r="J1335" s="66"/>
      <c r="K1335" s="62"/>
      <c r="L1335" s="66"/>
      <c r="M1335" s="66"/>
      <c r="N1335" s="66"/>
      <c r="P1335" t="str">
        <f t="shared" si="73"/>
        <v>SP</v>
      </c>
      <c r="Q1335" t="str">
        <f t="shared" si="74"/>
        <v>NA</v>
      </c>
      <c r="R1335" t="str">
        <f>IF(ISERROR(MATCH(P1335&amp;"."&amp;Q1335,R$5:R1334,0)),P1335&amp;"."&amp;Q1335,P1335&amp;"."&amp;Q1335&amp;COUNTIFS(P$5:P1334,P1335,Q$5:Q1334,Q1335))</f>
        <v>SP.NA3</v>
      </c>
      <c r="S1335" s="55">
        <f t="shared" si="75"/>
        <v>0</v>
      </c>
    </row>
    <row r="1336" spans="1:19" hidden="1">
      <c r="A1336" s="5">
        <v>1401</v>
      </c>
      <c r="B1336" s="59"/>
      <c r="C1336" s="60" t="s">
        <v>509</v>
      </c>
      <c r="D1336" s="63"/>
      <c r="E1336" s="63"/>
      <c r="F1336" s="63"/>
      <c r="G1336" s="63"/>
      <c r="H1336" s="62" t="s">
        <v>501</v>
      </c>
      <c r="I1336" s="65">
        <v>7314430972.3653889</v>
      </c>
      <c r="J1336" s="65">
        <v>3218166630.452733</v>
      </c>
      <c r="K1336" s="62"/>
      <c r="L1336" s="65">
        <v>6860895034.3728819</v>
      </c>
      <c r="M1336" s="65">
        <v>3842272869.767581</v>
      </c>
      <c r="N1336" s="65">
        <v>3018622164.6052999</v>
      </c>
      <c r="P1336" t="str">
        <f t="shared" si="73"/>
        <v>Total Steam Production Plant</v>
      </c>
      <c r="Q1336" t="str">
        <f t="shared" si="74"/>
        <v>NA</v>
      </c>
      <c r="R1336" t="str">
        <f>IF(ISERROR(MATCH(P1336&amp;"."&amp;Q1336,R$5:R1335,0)),P1336&amp;"."&amp;Q1336,P1336&amp;"."&amp;Q1336&amp;COUNTIFS(P$5:P1335,P1336,Q$5:Q1335,Q1336))</f>
        <v>Total Steam Production Plant.NA</v>
      </c>
      <c r="S1336" s="55">
        <f t="shared" si="75"/>
        <v>3018622164.6052999</v>
      </c>
    </row>
    <row r="1337" spans="1:19" hidden="1">
      <c r="A1337" s="5">
        <v>1402</v>
      </c>
      <c r="B1337" s="59"/>
      <c r="C1337" s="60"/>
      <c r="D1337" s="61"/>
      <c r="E1337" s="63"/>
      <c r="F1337" s="63"/>
      <c r="G1337" s="63"/>
      <c r="H1337" s="62"/>
      <c r="I1337" s="65"/>
      <c r="J1337" s="65"/>
      <c r="K1337" s="62"/>
      <c r="L1337" s="65"/>
      <c r="M1337" s="65"/>
      <c r="N1337" s="65"/>
      <c r="P1337" t="str">
        <f t="shared" si="73"/>
        <v>Total Steam Production Plant</v>
      </c>
      <c r="Q1337" t="str">
        <f t="shared" si="74"/>
        <v>NA</v>
      </c>
      <c r="R1337" t="str">
        <f>IF(ISERROR(MATCH(P1337&amp;"."&amp;Q1337,R$5:R1336,0)),P1337&amp;"."&amp;Q1337,P1337&amp;"."&amp;Q1337&amp;COUNTIFS(P$5:P1336,P1337,Q$5:Q1336,Q1337))</f>
        <v>Total Steam Production Plant.NA1</v>
      </c>
      <c r="S1337" s="55">
        <f t="shared" si="75"/>
        <v>0</v>
      </c>
    </row>
    <row r="1338" spans="1:19" hidden="1">
      <c r="A1338" s="5">
        <v>1403</v>
      </c>
      <c r="B1338" s="59"/>
      <c r="C1338" s="60"/>
      <c r="D1338" s="63"/>
      <c r="E1338" s="63"/>
      <c r="F1338" s="60"/>
      <c r="G1338" s="61"/>
      <c r="H1338" s="62"/>
      <c r="I1338" s="65"/>
      <c r="J1338" s="65"/>
      <c r="K1338" s="62"/>
      <c r="L1338" s="65"/>
      <c r="M1338" s="65"/>
      <c r="N1338" s="64"/>
      <c r="P1338" t="str">
        <f t="shared" si="73"/>
        <v>Total Steam Production Plant</v>
      </c>
      <c r="Q1338" t="str">
        <f t="shared" si="74"/>
        <v>NA</v>
      </c>
      <c r="R1338" t="str">
        <f>IF(ISERROR(MATCH(P1338&amp;"."&amp;Q1338,R$5:R1337,0)),P1338&amp;"."&amp;Q1338,P1338&amp;"."&amp;Q1338&amp;COUNTIFS(P$5:P1337,P1338,Q$5:Q1337,Q1338))</f>
        <v>Total Steam Production Plant.NA2</v>
      </c>
      <c r="S1338" s="55">
        <f t="shared" si="75"/>
        <v>0</v>
      </c>
    </row>
    <row r="1339" spans="1:19" hidden="1">
      <c r="A1339" s="5">
        <v>1404</v>
      </c>
      <c r="B1339" s="59"/>
      <c r="C1339" s="60" t="s">
        <v>510</v>
      </c>
      <c r="D1339" s="63"/>
      <c r="E1339" s="63"/>
      <c r="F1339" s="60"/>
      <c r="G1339" s="61"/>
      <c r="H1339" s="62"/>
      <c r="I1339" s="65"/>
      <c r="J1339" s="65"/>
      <c r="K1339" s="62"/>
      <c r="L1339" s="65"/>
      <c r="M1339" s="65"/>
      <c r="N1339" s="64"/>
      <c r="P1339" t="str">
        <f t="shared" si="73"/>
        <v>Summary of Steam Production Plant by Factor</v>
      </c>
      <c r="Q1339" t="str">
        <f t="shared" si="74"/>
        <v>NA</v>
      </c>
      <c r="R1339" t="str">
        <f>IF(ISERROR(MATCH(P1339&amp;"."&amp;Q1339,R$5:R1338,0)),P1339&amp;"."&amp;Q1339,P1339&amp;"."&amp;Q1339&amp;COUNTIFS(P$5:P1338,P1339,Q$5:Q1338,Q1339))</f>
        <v>Summary of Steam Production Plant by Factor.NA</v>
      </c>
      <c r="S1339" s="55">
        <f t="shared" si="75"/>
        <v>0</v>
      </c>
    </row>
    <row r="1340" spans="1:19" hidden="1">
      <c r="A1340" s="5">
        <v>1405</v>
      </c>
      <c r="B1340" s="59"/>
      <c r="C1340" s="60"/>
      <c r="D1340" s="63"/>
      <c r="E1340" s="63" t="s">
        <v>12</v>
      </c>
      <c r="F1340" s="63"/>
      <c r="G1340" s="63"/>
      <c r="H1340" s="62"/>
      <c r="I1340" s="66">
        <v>0</v>
      </c>
      <c r="J1340" s="66">
        <v>0</v>
      </c>
      <c r="K1340" s="62"/>
      <c r="L1340" s="66">
        <v>0</v>
      </c>
      <c r="M1340" s="66">
        <v>0</v>
      </c>
      <c r="N1340" s="66">
        <v>0</v>
      </c>
      <c r="P1340" t="str">
        <f t="shared" si="73"/>
        <v>Summary of Steam Production Plant by Factor</v>
      </c>
      <c r="Q1340" t="str">
        <f t="shared" si="74"/>
        <v>NA</v>
      </c>
      <c r="R1340" t="str">
        <f>IF(ISERROR(MATCH(P1340&amp;"."&amp;Q1340,R$5:R1339,0)),P1340&amp;"."&amp;Q1340,P1340&amp;"."&amp;Q1340&amp;COUNTIFS(P$5:P1339,P1340,Q$5:Q1339,Q1340))</f>
        <v>Summary of Steam Production Plant by Factor.NA1</v>
      </c>
      <c r="S1340" s="55">
        <f t="shared" si="75"/>
        <v>0</v>
      </c>
    </row>
    <row r="1341" spans="1:19" hidden="1">
      <c r="A1341" s="5">
        <v>1406</v>
      </c>
      <c r="B1341" s="59"/>
      <c r="C1341" s="60"/>
      <c r="D1341" s="63"/>
      <c r="E1341" s="63" t="s">
        <v>17</v>
      </c>
      <c r="F1341" s="63"/>
      <c r="G1341" s="63"/>
      <c r="H1341" s="62"/>
      <c r="I1341" s="65">
        <v>0</v>
      </c>
      <c r="J1341" s="65">
        <v>0</v>
      </c>
      <c r="K1341" s="62"/>
      <c r="L1341" s="65">
        <v>0</v>
      </c>
      <c r="M1341" s="65">
        <v>0</v>
      </c>
      <c r="N1341" s="65">
        <v>0</v>
      </c>
      <c r="P1341" t="str">
        <f t="shared" si="73"/>
        <v>Summary of Steam Production Plant by Factor</v>
      </c>
      <c r="Q1341" t="str">
        <f t="shared" si="74"/>
        <v>NA</v>
      </c>
      <c r="R1341" t="str">
        <f>IF(ISERROR(MATCH(P1341&amp;"."&amp;Q1341,R$5:R1340,0)),P1341&amp;"."&amp;Q1341,P1341&amp;"."&amp;Q1341&amp;COUNTIFS(P$5:P1340,P1341,Q$5:Q1340,Q1341))</f>
        <v>Summary of Steam Production Plant by Factor.NA2</v>
      </c>
      <c r="S1341" s="55">
        <f t="shared" si="75"/>
        <v>0</v>
      </c>
    </row>
    <row r="1342" spans="1:19" hidden="1">
      <c r="A1342" s="5">
        <v>1407</v>
      </c>
      <c r="B1342" s="59"/>
      <c r="C1342" s="60"/>
      <c r="D1342" s="61"/>
      <c r="E1342" s="63" t="s">
        <v>14</v>
      </c>
      <c r="F1342" s="63"/>
      <c r="G1342" s="63"/>
      <c r="H1342" s="62"/>
      <c r="I1342" s="65">
        <v>0</v>
      </c>
      <c r="J1342" s="65">
        <v>0</v>
      </c>
      <c r="K1342" s="62"/>
      <c r="L1342" s="65">
        <v>0</v>
      </c>
      <c r="M1342" s="65">
        <v>0</v>
      </c>
      <c r="N1342" s="65">
        <v>0</v>
      </c>
      <c r="P1342" t="str">
        <f t="shared" si="73"/>
        <v>Summary of Steam Production Plant by Factor</v>
      </c>
      <c r="Q1342" t="str">
        <f t="shared" si="74"/>
        <v>NA</v>
      </c>
      <c r="R1342" t="str">
        <f>IF(ISERROR(MATCH(P1342&amp;"."&amp;Q1342,R$5:R1341,0)),P1342&amp;"."&amp;Q1342,P1342&amp;"."&amp;Q1342&amp;COUNTIFS(P$5:P1341,P1342,Q$5:Q1341,Q1342))</f>
        <v>Summary of Steam Production Plant by Factor.NA3</v>
      </c>
      <c r="S1342" s="55">
        <f t="shared" si="75"/>
        <v>0</v>
      </c>
    </row>
    <row r="1343" spans="1:19" hidden="1">
      <c r="A1343" s="5">
        <v>1408</v>
      </c>
      <c r="B1343" s="59"/>
      <c r="C1343" s="60"/>
      <c r="D1343" s="63"/>
      <c r="E1343" s="63" t="s">
        <v>15</v>
      </c>
      <c r="F1343" s="60"/>
      <c r="G1343" s="61"/>
      <c r="H1343" s="62"/>
      <c r="I1343" s="65">
        <v>7314430972.3653889</v>
      </c>
      <c r="J1343" s="65">
        <v>3218166630.452733</v>
      </c>
      <c r="K1343" s="62"/>
      <c r="L1343" s="65">
        <v>6860895034.3728819</v>
      </c>
      <c r="M1343" s="65">
        <v>3842272869.7675819</v>
      </c>
      <c r="N1343" s="64">
        <v>3018622164.6052999</v>
      </c>
      <c r="P1343" t="str">
        <f t="shared" si="73"/>
        <v>Summary of Steam Production Plant by Factor</v>
      </c>
      <c r="Q1343" t="str">
        <f t="shared" si="74"/>
        <v>NA</v>
      </c>
      <c r="R1343" t="str">
        <f>IF(ISERROR(MATCH(P1343&amp;"."&amp;Q1343,R$5:R1342,0)),P1343&amp;"."&amp;Q1343,P1343&amp;"."&amp;Q1343&amp;COUNTIFS(P$5:P1342,P1343,Q$5:Q1342,Q1343))</f>
        <v>Summary of Steam Production Plant by Factor.NA4</v>
      </c>
      <c r="S1343" s="55">
        <f t="shared" si="75"/>
        <v>3018622164.6052999</v>
      </c>
    </row>
    <row r="1344" spans="1:19" hidden="1">
      <c r="A1344" s="5">
        <v>1409</v>
      </c>
      <c r="B1344" s="59"/>
      <c r="C1344" s="60"/>
      <c r="D1344" s="63"/>
      <c r="E1344" s="63" t="s">
        <v>301</v>
      </c>
      <c r="F1344" s="60"/>
      <c r="G1344" s="61"/>
      <c r="H1344" s="62"/>
      <c r="I1344" s="65">
        <v>0</v>
      </c>
      <c r="J1344" s="65">
        <v>0</v>
      </c>
      <c r="K1344" s="62"/>
      <c r="L1344" s="65">
        <v>0</v>
      </c>
      <c r="M1344" s="65">
        <v>0</v>
      </c>
      <c r="N1344" s="64">
        <v>0</v>
      </c>
      <c r="P1344" t="str">
        <f t="shared" si="73"/>
        <v>Summary of Steam Production Plant by Factor</v>
      </c>
      <c r="Q1344" t="str">
        <f t="shared" si="74"/>
        <v>NA</v>
      </c>
      <c r="R1344" t="str">
        <f>IF(ISERROR(MATCH(P1344&amp;"."&amp;Q1344,R$5:R1343,0)),P1344&amp;"."&amp;Q1344,P1344&amp;"."&amp;Q1344&amp;COUNTIFS(P$5:P1343,P1344,Q$5:Q1343,Q1344))</f>
        <v>Summary of Steam Production Plant by Factor.NA5</v>
      </c>
      <c r="S1344" s="55">
        <f t="shared" si="75"/>
        <v>0</v>
      </c>
    </row>
    <row r="1345" spans="1:19" hidden="1">
      <c r="A1345" s="5">
        <v>1410</v>
      </c>
      <c r="B1345" s="59"/>
      <c r="C1345" s="60" t="s">
        <v>511</v>
      </c>
      <c r="D1345" s="63"/>
      <c r="E1345" s="63"/>
      <c r="F1345" s="63"/>
      <c r="G1345" s="63"/>
      <c r="H1345" s="62" t="s">
        <v>141</v>
      </c>
      <c r="I1345" s="66">
        <v>7314430972.3653889</v>
      </c>
      <c r="J1345" s="66">
        <v>3218166630.452733</v>
      </c>
      <c r="K1345" s="62"/>
      <c r="L1345" s="66">
        <v>6860895034.3728819</v>
      </c>
      <c r="M1345" s="66">
        <v>3842272869.7675819</v>
      </c>
      <c r="N1345" s="66">
        <v>3018622164.6052999</v>
      </c>
      <c r="P1345" t="str">
        <f t="shared" si="73"/>
        <v>Total Steam Production Plant by Factor</v>
      </c>
      <c r="Q1345" t="str">
        <f t="shared" si="74"/>
        <v>NA</v>
      </c>
      <c r="R1345" t="str">
        <f>IF(ISERROR(MATCH(P1345&amp;"."&amp;Q1345,R$5:R1344,0)),P1345&amp;"."&amp;Q1345,P1345&amp;"."&amp;Q1345&amp;COUNTIFS(P$5:P1344,P1345,Q$5:Q1344,Q1345))</f>
        <v>Total Steam Production Plant by Factor.NA</v>
      </c>
      <c r="S1345" s="55">
        <f t="shared" si="75"/>
        <v>3018622164.6052999</v>
      </c>
    </row>
    <row r="1346" spans="1:19" hidden="1">
      <c r="A1346" s="5">
        <v>1411</v>
      </c>
      <c r="B1346" s="59"/>
      <c r="C1346" s="60">
        <v>320</v>
      </c>
      <c r="D1346" s="63" t="s">
        <v>500</v>
      </c>
      <c r="E1346" s="63"/>
      <c r="F1346" s="63"/>
      <c r="G1346" s="63"/>
      <c r="H1346" s="62"/>
      <c r="I1346" s="65"/>
      <c r="J1346" s="65"/>
      <c r="K1346" s="62"/>
      <c r="L1346" s="65"/>
      <c r="M1346" s="65"/>
      <c r="N1346" s="65"/>
      <c r="P1346">
        <f t="shared" si="73"/>
        <v>320</v>
      </c>
      <c r="Q1346" t="str">
        <f t="shared" si="74"/>
        <v>NA</v>
      </c>
      <c r="R1346" t="str">
        <f>IF(ISERROR(MATCH(P1346&amp;"."&amp;Q1346,R$5:R1345,0)),P1346&amp;"."&amp;Q1346,P1346&amp;"."&amp;Q1346&amp;COUNTIFS(P$5:P1345,P1346,Q$5:Q1345,Q1346))</f>
        <v>320.NA</v>
      </c>
      <c r="S1346" s="55">
        <f t="shared" si="75"/>
        <v>0</v>
      </c>
    </row>
    <row r="1347" spans="1:19" hidden="1">
      <c r="A1347" s="5">
        <v>1412</v>
      </c>
      <c r="B1347" s="59"/>
      <c r="C1347" s="60"/>
      <c r="D1347" s="61"/>
      <c r="E1347" s="63"/>
      <c r="F1347" s="63" t="s">
        <v>13</v>
      </c>
      <c r="G1347" s="63" t="s">
        <v>15</v>
      </c>
      <c r="H1347" s="62"/>
      <c r="I1347" s="65">
        <v>0</v>
      </c>
      <c r="J1347" s="65">
        <v>0</v>
      </c>
      <c r="K1347" s="62"/>
      <c r="L1347" s="65">
        <v>0</v>
      </c>
      <c r="M1347" s="65">
        <v>0</v>
      </c>
      <c r="N1347" s="65">
        <v>0</v>
      </c>
      <c r="P1347">
        <f t="shared" si="73"/>
        <v>320</v>
      </c>
      <c r="Q1347" t="str">
        <f t="shared" si="74"/>
        <v>SG</v>
      </c>
      <c r="R1347" t="str">
        <f>IF(ISERROR(MATCH(P1347&amp;"."&amp;Q1347,R$5:R1346,0)),P1347&amp;"."&amp;Q1347,P1347&amp;"."&amp;Q1347&amp;COUNTIFS(P$5:P1346,P1347,Q$5:Q1346,Q1347))</f>
        <v>320.SG</v>
      </c>
      <c r="S1347" s="55">
        <f t="shared" si="75"/>
        <v>0</v>
      </c>
    </row>
    <row r="1348" spans="1:19" hidden="1">
      <c r="A1348" s="5">
        <v>1413</v>
      </c>
      <c r="B1348" s="59"/>
      <c r="C1348" s="60"/>
      <c r="D1348" s="63"/>
      <c r="E1348" s="63"/>
      <c r="F1348" s="60" t="s">
        <v>13</v>
      </c>
      <c r="G1348" s="61" t="s">
        <v>15</v>
      </c>
      <c r="H1348" s="62"/>
      <c r="I1348" s="65">
        <v>0</v>
      </c>
      <c r="J1348" s="65">
        <v>0</v>
      </c>
      <c r="K1348" s="62"/>
      <c r="L1348" s="65">
        <v>0</v>
      </c>
      <c r="M1348" s="65">
        <v>0</v>
      </c>
      <c r="N1348" s="64">
        <v>0</v>
      </c>
      <c r="P1348">
        <f t="shared" si="73"/>
        <v>320</v>
      </c>
      <c r="Q1348" t="str">
        <f t="shared" si="74"/>
        <v>SG</v>
      </c>
      <c r="R1348" t="str">
        <f>IF(ISERROR(MATCH(P1348&amp;"."&amp;Q1348,R$5:R1347,0)),P1348&amp;"."&amp;Q1348,P1348&amp;"."&amp;Q1348&amp;COUNTIFS(P$5:P1347,P1348,Q$5:Q1347,Q1348))</f>
        <v>320.SG1</v>
      </c>
      <c r="S1348" s="55">
        <f t="shared" si="75"/>
        <v>0</v>
      </c>
    </row>
    <row r="1349" spans="1:19" hidden="1">
      <c r="A1349" s="5">
        <v>1414</v>
      </c>
      <c r="B1349" s="59"/>
      <c r="C1349" s="60"/>
      <c r="D1349" s="63"/>
      <c r="E1349" s="63"/>
      <c r="F1349" s="60"/>
      <c r="G1349" s="61"/>
      <c r="H1349" s="62" t="s">
        <v>501</v>
      </c>
      <c r="I1349" s="65">
        <v>0</v>
      </c>
      <c r="J1349" s="65">
        <v>0</v>
      </c>
      <c r="K1349" s="62"/>
      <c r="L1349" s="65">
        <v>0</v>
      </c>
      <c r="M1349" s="65">
        <v>0</v>
      </c>
      <c r="N1349" s="64">
        <v>0</v>
      </c>
      <c r="P1349">
        <f t="shared" si="73"/>
        <v>320</v>
      </c>
      <c r="Q1349" t="str">
        <f t="shared" si="74"/>
        <v>NA</v>
      </c>
      <c r="R1349" t="str">
        <f>IF(ISERROR(MATCH(P1349&amp;"."&amp;Q1349,R$5:R1348,0)),P1349&amp;"."&amp;Q1349,P1349&amp;"."&amp;Q1349&amp;COUNTIFS(P$5:P1348,P1349,Q$5:Q1348,Q1349))</f>
        <v>320.NA1</v>
      </c>
      <c r="S1349" s="55">
        <f t="shared" si="75"/>
        <v>0</v>
      </c>
    </row>
    <row r="1350" spans="1:19" hidden="1">
      <c r="A1350" s="5">
        <v>1415</v>
      </c>
      <c r="B1350" s="59"/>
      <c r="C1350" s="60"/>
      <c r="D1350" s="63"/>
      <c r="E1350" s="63"/>
      <c r="F1350" s="63"/>
      <c r="G1350" s="63"/>
      <c r="H1350" s="62"/>
      <c r="I1350" s="66"/>
      <c r="J1350" s="66"/>
      <c r="K1350" s="62"/>
      <c r="L1350" s="66"/>
      <c r="M1350" s="66"/>
      <c r="N1350" s="66"/>
      <c r="P1350">
        <f t="shared" si="73"/>
        <v>320</v>
      </c>
      <c r="Q1350" t="str">
        <f t="shared" si="74"/>
        <v>NA</v>
      </c>
      <c r="R1350" t="str">
        <f>IF(ISERROR(MATCH(P1350&amp;"."&amp;Q1350,R$5:R1349,0)),P1350&amp;"."&amp;Q1350,P1350&amp;"."&amp;Q1350&amp;COUNTIFS(P$5:P1349,P1350,Q$5:Q1349,Q1350))</f>
        <v>320.NA2</v>
      </c>
      <c r="S1350" s="55">
        <f t="shared" si="75"/>
        <v>0</v>
      </c>
    </row>
    <row r="1351" spans="1:19" hidden="1">
      <c r="A1351" s="5">
        <v>1416</v>
      </c>
      <c r="B1351" s="59"/>
      <c r="C1351" s="60">
        <v>321</v>
      </c>
      <c r="D1351" s="63" t="s">
        <v>502</v>
      </c>
      <c r="E1351" s="63"/>
      <c r="F1351" s="63"/>
      <c r="G1351" s="63"/>
      <c r="H1351" s="62"/>
      <c r="I1351" s="65"/>
      <c r="J1351" s="65"/>
      <c r="K1351" s="62"/>
      <c r="L1351" s="65"/>
      <c r="M1351" s="65"/>
      <c r="N1351" s="65"/>
      <c r="P1351">
        <f t="shared" ref="P1351:P1414" si="76">IF(OR(C1351="",C1351=" ",C1351="  ",C1351="   "),P1350,C1351)</f>
        <v>321</v>
      </c>
      <c r="Q1351" t="str">
        <f t="shared" ref="Q1351:Q1414" si="77">IF(G1351="","NA",G1351)</f>
        <v>NA</v>
      </c>
      <c r="R1351" t="str">
        <f>IF(ISERROR(MATCH(P1351&amp;"."&amp;Q1351,R$5:R1350,0)),P1351&amp;"."&amp;Q1351,P1351&amp;"."&amp;Q1351&amp;COUNTIFS(P$5:P1350,P1351,Q$5:Q1350,Q1351))</f>
        <v>321.NA</v>
      </c>
      <c r="S1351" s="55">
        <f t="shared" si="75"/>
        <v>0</v>
      </c>
    </row>
    <row r="1352" spans="1:19" hidden="1">
      <c r="A1352" s="5">
        <v>1417</v>
      </c>
      <c r="B1352" s="59"/>
      <c r="C1352" s="60"/>
      <c r="D1352" s="61"/>
      <c r="E1352" s="63"/>
      <c r="F1352" s="63" t="s">
        <v>13</v>
      </c>
      <c r="G1352" s="63" t="s">
        <v>15</v>
      </c>
      <c r="H1352" s="62"/>
      <c r="I1352" s="65">
        <v>0</v>
      </c>
      <c r="J1352" s="65">
        <v>0</v>
      </c>
      <c r="K1352" s="62"/>
      <c r="L1352" s="65">
        <v>0</v>
      </c>
      <c r="M1352" s="65">
        <v>0</v>
      </c>
      <c r="N1352" s="65">
        <v>0</v>
      </c>
      <c r="P1352">
        <f t="shared" si="76"/>
        <v>321</v>
      </c>
      <c r="Q1352" t="str">
        <f t="shared" si="77"/>
        <v>SG</v>
      </c>
      <c r="R1352" t="str">
        <f>IF(ISERROR(MATCH(P1352&amp;"."&amp;Q1352,R$5:R1351,0)),P1352&amp;"."&amp;Q1352,P1352&amp;"."&amp;Q1352&amp;COUNTIFS(P$5:P1351,P1352,Q$5:Q1351,Q1352))</f>
        <v>321.SG</v>
      </c>
      <c r="S1352" s="55">
        <f t="shared" ref="S1352:S1415" si="78">N1352</f>
        <v>0</v>
      </c>
    </row>
    <row r="1353" spans="1:19" hidden="1">
      <c r="A1353" s="5">
        <v>1418</v>
      </c>
      <c r="B1353" s="59"/>
      <c r="C1353" s="60"/>
      <c r="D1353" s="63"/>
      <c r="E1353" s="63"/>
      <c r="F1353" s="60" t="s">
        <v>13</v>
      </c>
      <c r="G1353" s="61" t="s">
        <v>15</v>
      </c>
      <c r="H1353" s="62" t="s">
        <v>501</v>
      </c>
      <c r="I1353" s="65">
        <v>0</v>
      </c>
      <c r="J1353" s="65">
        <v>0</v>
      </c>
      <c r="K1353" s="62"/>
      <c r="L1353" s="65">
        <v>0</v>
      </c>
      <c r="M1353" s="65">
        <v>0</v>
      </c>
      <c r="N1353" s="64">
        <v>0</v>
      </c>
      <c r="P1353">
        <f t="shared" si="76"/>
        <v>321</v>
      </c>
      <c r="Q1353" t="str">
        <f t="shared" si="77"/>
        <v>SG</v>
      </c>
      <c r="R1353" t="str">
        <f>IF(ISERROR(MATCH(P1353&amp;"."&amp;Q1353,R$5:R1352,0)),P1353&amp;"."&amp;Q1353,P1353&amp;"."&amp;Q1353&amp;COUNTIFS(P$5:P1352,P1353,Q$5:Q1352,Q1353))</f>
        <v>321.SG1</v>
      </c>
      <c r="S1353" s="55">
        <f t="shared" si="78"/>
        <v>0</v>
      </c>
    </row>
    <row r="1354" spans="1:19" hidden="1">
      <c r="A1354" s="5">
        <v>1419</v>
      </c>
      <c r="B1354" s="59"/>
      <c r="C1354" s="60"/>
      <c r="D1354" s="63"/>
      <c r="E1354" s="63"/>
      <c r="F1354" s="60"/>
      <c r="G1354" s="61"/>
      <c r="H1354" s="62"/>
      <c r="I1354" s="65">
        <v>0</v>
      </c>
      <c r="J1354" s="65">
        <v>0</v>
      </c>
      <c r="K1354" s="62"/>
      <c r="L1354" s="65">
        <v>0</v>
      </c>
      <c r="M1354" s="65">
        <v>0</v>
      </c>
      <c r="N1354" s="64">
        <v>0</v>
      </c>
      <c r="P1354">
        <f t="shared" si="76"/>
        <v>321</v>
      </c>
      <c r="Q1354" t="str">
        <f t="shared" si="77"/>
        <v>NA</v>
      </c>
      <c r="R1354" t="str">
        <f>IF(ISERROR(MATCH(P1354&amp;"."&amp;Q1354,R$5:R1353,0)),P1354&amp;"."&amp;Q1354,P1354&amp;"."&amp;Q1354&amp;COUNTIFS(P$5:P1353,P1354,Q$5:Q1353,Q1354))</f>
        <v>321.NA1</v>
      </c>
      <c r="S1354" s="55">
        <f t="shared" si="78"/>
        <v>0</v>
      </c>
    </row>
    <row r="1355" spans="1:19" hidden="1">
      <c r="A1355" s="5">
        <v>1420</v>
      </c>
      <c r="B1355" s="59"/>
      <c r="C1355" s="60"/>
      <c r="D1355" s="63"/>
      <c r="E1355" s="63"/>
      <c r="F1355" s="63"/>
      <c r="G1355" s="63"/>
      <c r="H1355" s="62"/>
      <c r="I1355" s="66"/>
      <c r="J1355" s="66"/>
      <c r="K1355" s="62"/>
      <c r="L1355" s="66"/>
      <c r="M1355" s="66"/>
      <c r="N1355" s="66"/>
      <c r="P1355">
        <f t="shared" si="76"/>
        <v>321</v>
      </c>
      <c r="Q1355" t="str">
        <f t="shared" si="77"/>
        <v>NA</v>
      </c>
      <c r="R1355" t="str">
        <f>IF(ISERROR(MATCH(P1355&amp;"."&amp;Q1355,R$5:R1354,0)),P1355&amp;"."&amp;Q1355,P1355&amp;"."&amp;Q1355&amp;COUNTIFS(P$5:P1354,P1355,Q$5:Q1354,Q1355))</f>
        <v>321.NA2</v>
      </c>
      <c r="S1355" s="55">
        <f t="shared" si="78"/>
        <v>0</v>
      </c>
    </row>
    <row r="1356" spans="1:19" hidden="1">
      <c r="A1356" s="5">
        <v>1421</v>
      </c>
      <c r="B1356" s="59"/>
      <c r="C1356" s="60">
        <v>322</v>
      </c>
      <c r="D1356" s="63" t="s">
        <v>512</v>
      </c>
      <c r="E1356" s="63"/>
      <c r="F1356" s="63"/>
      <c r="G1356" s="63"/>
      <c r="H1356" s="62"/>
      <c r="I1356" s="65"/>
      <c r="J1356" s="65"/>
      <c r="K1356" s="62"/>
      <c r="L1356" s="65"/>
      <c r="M1356" s="65"/>
      <c r="N1356" s="65"/>
      <c r="P1356">
        <f t="shared" si="76"/>
        <v>322</v>
      </c>
      <c r="Q1356" t="str">
        <f t="shared" si="77"/>
        <v>NA</v>
      </c>
      <c r="R1356" t="str">
        <f>IF(ISERROR(MATCH(P1356&amp;"."&amp;Q1356,R$5:R1355,0)),P1356&amp;"."&amp;Q1356,P1356&amp;"."&amp;Q1356&amp;COUNTIFS(P$5:P1355,P1356,Q$5:Q1355,Q1356))</f>
        <v>322.NA</v>
      </c>
      <c r="S1356" s="55">
        <f t="shared" si="78"/>
        <v>0</v>
      </c>
    </row>
    <row r="1357" spans="1:19" hidden="1">
      <c r="A1357" s="5">
        <v>1422</v>
      </c>
      <c r="B1357" s="59"/>
      <c r="C1357" s="60"/>
      <c r="D1357" s="63"/>
      <c r="E1357" s="63"/>
      <c r="F1357" s="63" t="s">
        <v>13</v>
      </c>
      <c r="G1357" s="63" t="s">
        <v>15</v>
      </c>
      <c r="H1357" s="62"/>
      <c r="I1357" s="65">
        <v>0</v>
      </c>
      <c r="J1357" s="65">
        <v>0</v>
      </c>
      <c r="K1357" s="62"/>
      <c r="L1357" s="65">
        <v>0</v>
      </c>
      <c r="M1357" s="65">
        <v>0</v>
      </c>
      <c r="N1357" s="65">
        <v>0</v>
      </c>
      <c r="P1357">
        <f t="shared" si="76"/>
        <v>322</v>
      </c>
      <c r="Q1357" t="str">
        <f t="shared" si="77"/>
        <v>SG</v>
      </c>
      <c r="R1357" t="str">
        <f>IF(ISERROR(MATCH(P1357&amp;"."&amp;Q1357,R$5:R1356,0)),P1357&amp;"."&amp;Q1357,P1357&amp;"."&amp;Q1357&amp;COUNTIFS(P$5:P1356,P1357,Q$5:Q1356,Q1357))</f>
        <v>322.SG</v>
      </c>
      <c r="S1357" s="55">
        <f t="shared" si="78"/>
        <v>0</v>
      </c>
    </row>
    <row r="1358" spans="1:19" hidden="1">
      <c r="A1358" s="5">
        <v>1423</v>
      </c>
      <c r="B1358" s="59"/>
      <c r="C1358" s="60"/>
      <c r="D1358" s="61"/>
      <c r="E1358" s="63"/>
      <c r="F1358" s="63" t="s">
        <v>13</v>
      </c>
      <c r="G1358" s="63" t="s">
        <v>15</v>
      </c>
      <c r="H1358" s="62"/>
      <c r="I1358" s="65">
        <v>0</v>
      </c>
      <c r="J1358" s="65">
        <v>0</v>
      </c>
      <c r="K1358" s="62"/>
      <c r="L1358" s="65">
        <v>0</v>
      </c>
      <c r="M1358" s="65">
        <v>0</v>
      </c>
      <c r="N1358" s="65">
        <v>0</v>
      </c>
      <c r="P1358">
        <f t="shared" si="76"/>
        <v>322</v>
      </c>
      <c r="Q1358" t="str">
        <f t="shared" si="77"/>
        <v>SG</v>
      </c>
      <c r="R1358" t="str">
        <f>IF(ISERROR(MATCH(P1358&amp;"."&amp;Q1358,R$5:R1357,0)),P1358&amp;"."&amp;Q1358,P1358&amp;"."&amp;Q1358&amp;COUNTIFS(P$5:P1357,P1358,Q$5:Q1357,Q1358))</f>
        <v>322.SG1</v>
      </c>
      <c r="S1358" s="55">
        <f t="shared" si="78"/>
        <v>0</v>
      </c>
    </row>
    <row r="1359" spans="1:19" hidden="1">
      <c r="A1359" s="5">
        <v>1424</v>
      </c>
      <c r="B1359" s="59"/>
      <c r="C1359" s="60"/>
      <c r="D1359" s="63"/>
      <c r="E1359" s="63"/>
      <c r="F1359" s="60"/>
      <c r="G1359" s="61"/>
      <c r="H1359" s="62" t="s">
        <v>501</v>
      </c>
      <c r="I1359" s="65">
        <v>0</v>
      </c>
      <c r="J1359" s="65">
        <v>0</v>
      </c>
      <c r="K1359" s="62"/>
      <c r="L1359" s="65">
        <v>0</v>
      </c>
      <c r="M1359" s="65">
        <v>0</v>
      </c>
      <c r="N1359" s="64">
        <v>0</v>
      </c>
      <c r="P1359">
        <f t="shared" si="76"/>
        <v>322</v>
      </c>
      <c r="Q1359" t="str">
        <f t="shared" si="77"/>
        <v>NA</v>
      </c>
      <c r="R1359" t="str">
        <f>IF(ISERROR(MATCH(P1359&amp;"."&amp;Q1359,R$5:R1358,0)),P1359&amp;"."&amp;Q1359,P1359&amp;"."&amp;Q1359&amp;COUNTIFS(P$5:P1358,P1359,Q$5:Q1358,Q1359))</f>
        <v>322.NA1</v>
      </c>
      <c r="S1359" s="55">
        <f t="shared" si="78"/>
        <v>0</v>
      </c>
    </row>
    <row r="1360" spans="1:19" hidden="1">
      <c r="A1360" s="5">
        <v>1425</v>
      </c>
      <c r="B1360" s="59"/>
      <c r="C1360" s="60"/>
      <c r="D1360" s="63"/>
      <c r="E1360" s="63"/>
      <c r="F1360" s="63"/>
      <c r="G1360" s="63"/>
      <c r="H1360" s="62"/>
      <c r="I1360" s="66"/>
      <c r="J1360" s="66"/>
      <c r="K1360" s="62"/>
      <c r="L1360" s="66"/>
      <c r="M1360" s="66"/>
      <c r="N1360" s="66"/>
      <c r="P1360">
        <f t="shared" si="76"/>
        <v>322</v>
      </c>
      <c r="Q1360" t="str">
        <f t="shared" si="77"/>
        <v>NA</v>
      </c>
      <c r="R1360" t="str">
        <f>IF(ISERROR(MATCH(P1360&amp;"."&amp;Q1360,R$5:R1359,0)),P1360&amp;"."&amp;Q1360,P1360&amp;"."&amp;Q1360&amp;COUNTIFS(P$5:P1359,P1360,Q$5:Q1359,Q1360))</f>
        <v>322.NA2</v>
      </c>
      <c r="S1360" s="55">
        <f t="shared" si="78"/>
        <v>0</v>
      </c>
    </row>
    <row r="1361" spans="1:19" hidden="1">
      <c r="A1361" s="5">
        <v>1426</v>
      </c>
      <c r="B1361" s="59"/>
      <c r="C1361" s="60">
        <v>323</v>
      </c>
      <c r="D1361" s="63" t="s">
        <v>504</v>
      </c>
      <c r="E1361" s="63"/>
      <c r="F1361" s="63"/>
      <c r="G1361" s="63"/>
      <c r="H1361" s="62"/>
      <c r="I1361" s="65"/>
      <c r="J1361" s="65"/>
      <c r="K1361" s="62"/>
      <c r="L1361" s="65"/>
      <c r="M1361" s="65"/>
      <c r="N1361" s="65"/>
      <c r="P1361">
        <f t="shared" si="76"/>
        <v>323</v>
      </c>
      <c r="Q1361" t="str">
        <f t="shared" si="77"/>
        <v>NA</v>
      </c>
      <c r="R1361" t="str">
        <f>IF(ISERROR(MATCH(P1361&amp;"."&amp;Q1361,R$5:R1360,0)),P1361&amp;"."&amp;Q1361,P1361&amp;"."&amp;Q1361&amp;COUNTIFS(P$5:P1360,P1361,Q$5:Q1360,Q1361))</f>
        <v>323.NA</v>
      </c>
      <c r="S1361" s="55">
        <f t="shared" si="78"/>
        <v>0</v>
      </c>
    </row>
    <row r="1362" spans="1:19" hidden="1">
      <c r="A1362" s="5">
        <v>1427</v>
      </c>
      <c r="B1362" s="59"/>
      <c r="C1362" s="60"/>
      <c r="D1362" s="63"/>
      <c r="E1362" s="63"/>
      <c r="F1362" s="63" t="s">
        <v>13</v>
      </c>
      <c r="G1362" s="63" t="s">
        <v>15</v>
      </c>
      <c r="H1362" s="62"/>
      <c r="I1362" s="65">
        <v>0</v>
      </c>
      <c r="J1362" s="65">
        <v>0</v>
      </c>
      <c r="K1362" s="62"/>
      <c r="L1362" s="65">
        <v>0</v>
      </c>
      <c r="M1362" s="65">
        <v>0</v>
      </c>
      <c r="N1362" s="65">
        <v>0</v>
      </c>
      <c r="P1362">
        <f t="shared" si="76"/>
        <v>323</v>
      </c>
      <c r="Q1362" t="str">
        <f t="shared" si="77"/>
        <v>SG</v>
      </c>
      <c r="R1362" t="str">
        <f>IF(ISERROR(MATCH(P1362&amp;"."&amp;Q1362,R$5:R1361,0)),P1362&amp;"."&amp;Q1362,P1362&amp;"."&amp;Q1362&amp;COUNTIFS(P$5:P1361,P1362,Q$5:Q1361,Q1362))</f>
        <v>323.SG</v>
      </c>
      <c r="S1362" s="55">
        <f t="shared" si="78"/>
        <v>0</v>
      </c>
    </row>
    <row r="1363" spans="1:19" ht="15.75" hidden="1" thickBot="1">
      <c r="A1363" s="5">
        <v>1428</v>
      </c>
      <c r="B1363" s="59"/>
      <c r="C1363" s="45"/>
      <c r="D1363" s="63"/>
      <c r="E1363" s="63"/>
      <c r="F1363" s="63" t="s">
        <v>13</v>
      </c>
      <c r="G1363" s="63" t="s">
        <v>15</v>
      </c>
      <c r="H1363" s="41"/>
      <c r="I1363" s="68">
        <v>0</v>
      </c>
      <c r="J1363" s="68">
        <v>0</v>
      </c>
      <c r="K1363" s="41"/>
      <c r="L1363" s="68">
        <v>0</v>
      </c>
      <c r="M1363" s="68">
        <v>0</v>
      </c>
      <c r="N1363" s="68">
        <v>0</v>
      </c>
      <c r="P1363">
        <f t="shared" si="76"/>
        <v>323</v>
      </c>
      <c r="Q1363" t="str">
        <f t="shared" si="77"/>
        <v>SG</v>
      </c>
      <c r="R1363" t="str">
        <f>IF(ISERROR(MATCH(P1363&amp;"."&amp;Q1363,R$5:R1362,0)),P1363&amp;"."&amp;Q1363,P1363&amp;"."&amp;Q1363&amp;COUNTIFS(P$5:P1362,P1363,Q$5:Q1362,Q1363))</f>
        <v>323.SG1</v>
      </c>
      <c r="S1363" s="55">
        <f t="shared" si="78"/>
        <v>0</v>
      </c>
    </row>
    <row r="1364" spans="1:19" hidden="1">
      <c r="A1364" s="5">
        <v>1429</v>
      </c>
      <c r="B1364" s="59"/>
      <c r="C1364" s="60"/>
      <c r="D1364" s="63"/>
      <c r="E1364" s="63"/>
      <c r="F1364" s="63"/>
      <c r="G1364" s="63"/>
      <c r="H1364" s="62" t="s">
        <v>501</v>
      </c>
      <c r="I1364" s="69">
        <v>0</v>
      </c>
      <c r="J1364" s="69">
        <v>0</v>
      </c>
      <c r="K1364" s="62"/>
      <c r="L1364" s="69">
        <v>0</v>
      </c>
      <c r="M1364" s="65">
        <v>0</v>
      </c>
      <c r="N1364" s="65">
        <v>0</v>
      </c>
      <c r="P1364">
        <f t="shared" si="76"/>
        <v>323</v>
      </c>
      <c r="Q1364" t="str">
        <f t="shared" si="77"/>
        <v>NA</v>
      </c>
      <c r="R1364" t="str">
        <f>IF(ISERROR(MATCH(P1364&amp;"."&amp;Q1364,R$5:R1363,0)),P1364&amp;"."&amp;Q1364,P1364&amp;"."&amp;Q1364&amp;COUNTIFS(P$5:P1363,P1364,Q$5:Q1363,Q1364))</f>
        <v>323.NA1</v>
      </c>
      <c r="S1364" s="55">
        <f t="shared" si="78"/>
        <v>0</v>
      </c>
    </row>
    <row r="1365" spans="1:19" hidden="1">
      <c r="A1365" s="5">
        <v>1430</v>
      </c>
      <c r="B1365" s="59"/>
      <c r="C1365" s="60"/>
      <c r="D1365" s="63"/>
      <c r="E1365" s="70"/>
      <c r="F1365" s="63"/>
      <c r="G1365" s="63"/>
      <c r="H1365" s="62"/>
      <c r="I1365" s="69"/>
      <c r="J1365" s="69"/>
      <c r="K1365" s="62"/>
      <c r="L1365" s="69"/>
      <c r="M1365" s="69"/>
      <c r="N1365" s="69"/>
      <c r="P1365">
        <f t="shared" si="76"/>
        <v>323</v>
      </c>
      <c r="Q1365" t="str">
        <f t="shared" si="77"/>
        <v>NA</v>
      </c>
      <c r="R1365" t="str">
        <f>IF(ISERROR(MATCH(P1365&amp;"."&amp;Q1365,R$5:R1364,0)),P1365&amp;"."&amp;Q1365,P1365&amp;"."&amp;Q1365&amp;COUNTIFS(P$5:P1364,P1365,Q$5:Q1364,Q1365))</f>
        <v>323.NA2</v>
      </c>
      <c r="S1365" s="55">
        <f t="shared" si="78"/>
        <v>0</v>
      </c>
    </row>
    <row r="1366" spans="1:19" hidden="1">
      <c r="A1366" s="5">
        <v>1431</v>
      </c>
      <c r="B1366" s="59"/>
      <c r="C1366" s="71">
        <v>324</v>
      </c>
      <c r="D1366" s="72" t="s">
        <v>500</v>
      </c>
      <c r="E1366" s="73"/>
      <c r="F1366" s="63"/>
      <c r="G1366" s="72"/>
      <c r="H1366" s="74"/>
      <c r="I1366" s="75"/>
      <c r="J1366" s="75"/>
      <c r="K1366" s="62"/>
      <c r="L1366" s="75"/>
      <c r="M1366" s="75"/>
      <c r="N1366" s="75"/>
      <c r="P1366">
        <f t="shared" si="76"/>
        <v>324</v>
      </c>
      <c r="Q1366" t="str">
        <f t="shared" si="77"/>
        <v>NA</v>
      </c>
      <c r="R1366" t="str">
        <f>IF(ISERROR(MATCH(P1366&amp;"."&amp;Q1366,R$5:R1365,0)),P1366&amp;"."&amp;Q1366,P1366&amp;"."&amp;Q1366&amp;COUNTIFS(P$5:P1365,P1366,Q$5:Q1365,Q1366))</f>
        <v>324.NA</v>
      </c>
      <c r="S1366" s="55">
        <f t="shared" si="78"/>
        <v>0</v>
      </c>
    </row>
    <row r="1367" spans="1:19" hidden="1">
      <c r="A1367" s="5">
        <v>1432</v>
      </c>
      <c r="B1367" s="59"/>
      <c r="C1367" s="60"/>
      <c r="D1367" s="63"/>
      <c r="E1367" s="63"/>
      <c r="F1367" s="63" t="s">
        <v>13</v>
      </c>
      <c r="G1367" s="63" t="s">
        <v>15</v>
      </c>
      <c r="H1367" s="62"/>
      <c r="I1367" s="65">
        <v>0</v>
      </c>
      <c r="J1367" s="65">
        <v>0</v>
      </c>
      <c r="K1367" s="62"/>
      <c r="L1367" s="65">
        <v>0</v>
      </c>
      <c r="M1367" s="65">
        <v>0</v>
      </c>
      <c r="N1367" s="65">
        <v>0</v>
      </c>
      <c r="P1367">
        <f t="shared" si="76"/>
        <v>324</v>
      </c>
      <c r="Q1367" t="str">
        <f t="shared" si="77"/>
        <v>SG</v>
      </c>
      <c r="R1367" t="str">
        <f>IF(ISERROR(MATCH(P1367&amp;"."&amp;Q1367,R$5:R1366,0)),P1367&amp;"."&amp;Q1367,P1367&amp;"."&amp;Q1367&amp;COUNTIFS(P$5:P1366,P1367,Q$5:Q1366,Q1367))</f>
        <v>324.SG</v>
      </c>
      <c r="S1367" s="55">
        <f t="shared" si="78"/>
        <v>0</v>
      </c>
    </row>
    <row r="1368" spans="1:19" hidden="1">
      <c r="A1368" s="5">
        <v>1433</v>
      </c>
      <c r="B1368" s="59"/>
      <c r="C1368" s="60"/>
      <c r="D1368" s="63"/>
      <c r="E1368" s="61"/>
      <c r="F1368" s="63" t="s">
        <v>13</v>
      </c>
      <c r="G1368" s="63" t="s">
        <v>15</v>
      </c>
      <c r="H1368" s="62"/>
      <c r="I1368" s="65">
        <v>0</v>
      </c>
      <c r="J1368" s="65">
        <v>0</v>
      </c>
      <c r="K1368" s="62"/>
      <c r="L1368" s="65">
        <v>0</v>
      </c>
      <c r="M1368" s="65">
        <v>0</v>
      </c>
      <c r="N1368" s="64">
        <v>0</v>
      </c>
      <c r="P1368">
        <f t="shared" si="76"/>
        <v>324</v>
      </c>
      <c r="Q1368" t="str">
        <f t="shared" si="77"/>
        <v>SG</v>
      </c>
      <c r="R1368" t="str">
        <f>IF(ISERROR(MATCH(P1368&amp;"."&amp;Q1368,R$5:R1367,0)),P1368&amp;"."&amp;Q1368,P1368&amp;"."&amp;Q1368&amp;COUNTIFS(P$5:P1367,P1368,Q$5:Q1367,Q1368))</f>
        <v>324.SG1</v>
      </c>
      <c r="S1368" s="55">
        <f t="shared" si="78"/>
        <v>0</v>
      </c>
    </row>
    <row r="1369" spans="1:19" hidden="1">
      <c r="A1369" s="5">
        <v>1434</v>
      </c>
      <c r="B1369" s="59"/>
      <c r="C1369" s="60"/>
      <c r="D1369" s="63"/>
      <c r="E1369" s="61"/>
      <c r="F1369" s="63"/>
      <c r="G1369" s="63"/>
      <c r="H1369" s="62" t="s">
        <v>501</v>
      </c>
      <c r="I1369" s="65">
        <v>0</v>
      </c>
      <c r="J1369" s="65">
        <v>0</v>
      </c>
      <c r="K1369" s="62"/>
      <c r="L1369" s="65">
        <v>0</v>
      </c>
      <c r="M1369" s="65">
        <v>0</v>
      </c>
      <c r="N1369" s="64">
        <v>0</v>
      </c>
      <c r="P1369">
        <f t="shared" si="76"/>
        <v>324</v>
      </c>
      <c r="Q1369" t="str">
        <f t="shared" si="77"/>
        <v>NA</v>
      </c>
      <c r="R1369" t="str">
        <f>IF(ISERROR(MATCH(P1369&amp;"."&amp;Q1369,R$5:R1368,0)),P1369&amp;"."&amp;Q1369,P1369&amp;"."&amp;Q1369&amp;COUNTIFS(P$5:P1368,P1369,Q$5:Q1368,Q1369))</f>
        <v>324.NA1</v>
      </c>
      <c r="S1369" s="55">
        <f t="shared" si="78"/>
        <v>0</v>
      </c>
    </row>
    <row r="1370" spans="1:19" hidden="1">
      <c r="A1370" s="5">
        <v>1435</v>
      </c>
      <c r="B1370" s="59"/>
      <c r="C1370" s="60"/>
      <c r="D1370" s="63"/>
      <c r="E1370" s="61"/>
      <c r="F1370" s="63"/>
      <c r="G1370" s="63"/>
      <c r="H1370" s="62"/>
      <c r="I1370" s="65"/>
      <c r="J1370" s="65"/>
      <c r="K1370" s="62"/>
      <c r="L1370" s="65"/>
      <c r="M1370" s="65"/>
      <c r="N1370" s="64"/>
      <c r="P1370">
        <f t="shared" si="76"/>
        <v>324</v>
      </c>
      <c r="Q1370" t="str">
        <f t="shared" si="77"/>
        <v>NA</v>
      </c>
      <c r="R1370" t="str">
        <f>IF(ISERROR(MATCH(P1370&amp;"."&amp;Q1370,R$5:R1369,0)),P1370&amp;"."&amp;Q1370,P1370&amp;"."&amp;Q1370&amp;COUNTIFS(P$5:P1369,P1370,Q$5:Q1369,Q1370))</f>
        <v>324.NA2</v>
      </c>
      <c r="S1370" s="55">
        <f t="shared" si="78"/>
        <v>0</v>
      </c>
    </row>
    <row r="1371" spans="1:19" hidden="1">
      <c r="A1371" s="5">
        <v>1436</v>
      </c>
      <c r="B1371" s="59"/>
      <c r="C1371" s="60">
        <v>325</v>
      </c>
      <c r="D1371" s="63" t="s">
        <v>513</v>
      </c>
      <c r="E1371" s="63"/>
      <c r="F1371" s="63"/>
      <c r="G1371" s="63"/>
      <c r="H1371" s="62"/>
      <c r="I1371" s="65"/>
      <c r="J1371" s="65"/>
      <c r="K1371" s="62"/>
      <c r="L1371" s="65"/>
      <c r="M1371" s="65"/>
      <c r="N1371" s="65"/>
      <c r="P1371">
        <f t="shared" si="76"/>
        <v>325</v>
      </c>
      <c r="Q1371" t="str">
        <f t="shared" si="77"/>
        <v>NA</v>
      </c>
      <c r="R1371" t="str">
        <f>IF(ISERROR(MATCH(P1371&amp;"."&amp;Q1371,R$5:R1370,0)),P1371&amp;"."&amp;Q1371,P1371&amp;"."&amp;Q1371&amp;COUNTIFS(P$5:P1370,P1371,Q$5:Q1370,Q1371))</f>
        <v>325.NA</v>
      </c>
      <c r="S1371" s="55">
        <f t="shared" si="78"/>
        <v>0</v>
      </c>
    </row>
    <row r="1372" spans="1:19" ht="15.75" hidden="1" thickBot="1">
      <c r="A1372" s="5">
        <v>1437</v>
      </c>
      <c r="B1372" s="59"/>
      <c r="C1372" s="60"/>
      <c r="D1372" s="63"/>
      <c r="E1372" s="63"/>
      <c r="F1372" s="63" t="s">
        <v>13</v>
      </c>
      <c r="G1372" s="63" t="s">
        <v>15</v>
      </c>
      <c r="H1372" s="62"/>
      <c r="I1372" s="81">
        <v>0</v>
      </c>
      <c r="J1372" s="81">
        <v>0</v>
      </c>
      <c r="K1372" s="62"/>
      <c r="L1372" s="81">
        <v>0</v>
      </c>
      <c r="M1372" s="81">
        <v>0</v>
      </c>
      <c r="N1372" s="81">
        <v>0</v>
      </c>
      <c r="P1372">
        <f t="shared" si="76"/>
        <v>325</v>
      </c>
      <c r="Q1372" t="str">
        <f t="shared" si="77"/>
        <v>SG</v>
      </c>
      <c r="R1372" t="str">
        <f>IF(ISERROR(MATCH(P1372&amp;"."&amp;Q1372,R$5:R1371,0)),P1372&amp;"."&amp;Q1372,P1372&amp;"."&amp;Q1372&amp;COUNTIFS(P$5:P1371,P1372,Q$5:Q1371,Q1372))</f>
        <v>325.SG</v>
      </c>
      <c r="S1372" s="55">
        <f t="shared" si="78"/>
        <v>0</v>
      </c>
    </row>
    <row r="1373" spans="1:19" hidden="1">
      <c r="A1373" s="5">
        <v>1438</v>
      </c>
      <c r="B1373" s="59"/>
      <c r="C1373" s="60"/>
      <c r="D1373" s="63"/>
      <c r="E1373" s="63"/>
      <c r="F1373" s="63" t="s">
        <v>13</v>
      </c>
      <c r="G1373" s="63" t="s">
        <v>15</v>
      </c>
      <c r="H1373" s="62"/>
      <c r="I1373" s="65">
        <v>0</v>
      </c>
      <c r="J1373" s="65">
        <v>0</v>
      </c>
      <c r="K1373" s="62"/>
      <c r="L1373" s="65">
        <v>0</v>
      </c>
      <c r="M1373" s="65">
        <v>0</v>
      </c>
      <c r="N1373" s="65">
        <v>0</v>
      </c>
      <c r="P1373">
        <f t="shared" si="76"/>
        <v>325</v>
      </c>
      <c r="Q1373" t="str">
        <f t="shared" si="77"/>
        <v>SG</v>
      </c>
      <c r="R1373" t="str">
        <f>IF(ISERROR(MATCH(P1373&amp;"."&amp;Q1373,R$5:R1372,0)),P1373&amp;"."&amp;Q1373,P1373&amp;"."&amp;Q1373&amp;COUNTIFS(P$5:P1372,P1373,Q$5:Q1372,Q1373))</f>
        <v>325.SG1</v>
      </c>
      <c r="S1373" s="55">
        <f t="shared" si="78"/>
        <v>0</v>
      </c>
    </row>
    <row r="1374" spans="1:19" hidden="1">
      <c r="A1374" s="5">
        <v>1439</v>
      </c>
      <c r="B1374" s="59"/>
      <c r="C1374" s="60"/>
      <c r="D1374" s="61"/>
      <c r="E1374" s="63"/>
      <c r="F1374" s="63"/>
      <c r="G1374" s="63"/>
      <c r="H1374" s="62" t="s">
        <v>501</v>
      </c>
      <c r="I1374" s="65">
        <v>0</v>
      </c>
      <c r="J1374" s="65">
        <v>0</v>
      </c>
      <c r="K1374" s="62"/>
      <c r="L1374" s="65">
        <v>0</v>
      </c>
      <c r="M1374" s="65">
        <v>0</v>
      </c>
      <c r="N1374" s="65">
        <v>0</v>
      </c>
      <c r="P1374">
        <f t="shared" si="76"/>
        <v>325</v>
      </c>
      <c r="Q1374" t="str">
        <f t="shared" si="77"/>
        <v>NA</v>
      </c>
      <c r="R1374" t="str">
        <f>IF(ISERROR(MATCH(P1374&amp;"."&amp;Q1374,R$5:R1373,0)),P1374&amp;"."&amp;Q1374,P1374&amp;"."&amp;Q1374&amp;COUNTIFS(P$5:P1373,P1374,Q$5:Q1373,Q1374))</f>
        <v>325.NA1</v>
      </c>
      <c r="S1374" s="55">
        <f t="shared" si="78"/>
        <v>0</v>
      </c>
    </row>
    <row r="1375" spans="1:19" hidden="1">
      <c r="A1375" s="5">
        <v>1440</v>
      </c>
      <c r="B1375" s="59"/>
      <c r="C1375" s="60"/>
      <c r="D1375" s="63"/>
      <c r="E1375" s="70"/>
      <c r="F1375" s="60"/>
      <c r="G1375" s="61"/>
      <c r="H1375" s="62"/>
      <c r="I1375" s="65"/>
      <c r="J1375" s="65"/>
      <c r="K1375" s="62"/>
      <c r="L1375" s="65"/>
      <c r="M1375" s="65"/>
      <c r="N1375" s="64"/>
      <c r="P1375">
        <f t="shared" si="76"/>
        <v>325</v>
      </c>
      <c r="Q1375" t="str">
        <f t="shared" si="77"/>
        <v>NA</v>
      </c>
      <c r="R1375" t="str">
        <f>IF(ISERROR(MATCH(P1375&amp;"."&amp;Q1375,R$5:R1374,0)),P1375&amp;"."&amp;Q1375,P1375&amp;"."&amp;Q1375&amp;COUNTIFS(P$5:P1374,P1375,Q$5:Q1374,Q1375))</f>
        <v>325.NA2</v>
      </c>
      <c r="S1375" s="55">
        <f t="shared" si="78"/>
        <v>0</v>
      </c>
    </row>
    <row r="1376" spans="1:19" hidden="1">
      <c r="A1376" s="5">
        <v>1441</v>
      </c>
      <c r="B1376" s="59"/>
      <c r="C1376" s="60"/>
      <c r="D1376" s="63"/>
      <c r="E1376" s="70"/>
      <c r="F1376" s="60"/>
      <c r="G1376" s="61"/>
      <c r="H1376" s="62"/>
      <c r="I1376" s="65"/>
      <c r="J1376" s="65"/>
      <c r="K1376" s="62"/>
      <c r="L1376" s="65"/>
      <c r="M1376" s="65"/>
      <c r="N1376" s="64"/>
      <c r="P1376">
        <f t="shared" si="76"/>
        <v>325</v>
      </c>
      <c r="Q1376" t="str">
        <f t="shared" si="77"/>
        <v>NA</v>
      </c>
      <c r="R1376" t="str">
        <f>IF(ISERROR(MATCH(P1376&amp;"."&amp;Q1376,R$5:R1375,0)),P1376&amp;"."&amp;Q1376,P1376&amp;"."&amp;Q1376&amp;COUNTIFS(P$5:P1375,P1376,Q$5:Q1375,Q1376))</f>
        <v>325.NA3</v>
      </c>
      <c r="S1376" s="55">
        <f t="shared" si="78"/>
        <v>0</v>
      </c>
    </row>
    <row r="1377" spans="1:19" hidden="1">
      <c r="A1377" s="5">
        <v>1442</v>
      </c>
      <c r="B1377" s="59"/>
      <c r="C1377" s="60" t="s">
        <v>255</v>
      </c>
      <c r="D1377" s="63" t="s">
        <v>514</v>
      </c>
      <c r="E1377" s="70"/>
      <c r="F1377" s="60"/>
      <c r="G1377" s="61"/>
      <c r="H1377" s="62"/>
      <c r="I1377" s="65"/>
      <c r="J1377" s="65"/>
      <c r="K1377" s="62"/>
      <c r="L1377" s="65"/>
      <c r="M1377" s="65"/>
      <c r="N1377" s="64"/>
      <c r="P1377" t="str">
        <f t="shared" si="76"/>
        <v>NP</v>
      </c>
      <c r="Q1377" t="str">
        <f t="shared" si="77"/>
        <v>NA</v>
      </c>
      <c r="R1377" t="str">
        <f>IF(ISERROR(MATCH(P1377&amp;"."&amp;Q1377,R$5:R1376,0)),P1377&amp;"."&amp;Q1377,P1377&amp;"."&amp;Q1377&amp;COUNTIFS(P$5:P1376,P1377,Q$5:Q1376,Q1377))</f>
        <v>NP.NA</v>
      </c>
      <c r="S1377" s="55">
        <f t="shared" si="78"/>
        <v>0</v>
      </c>
    </row>
    <row r="1378" spans="1:19" hidden="1">
      <c r="A1378" s="5">
        <v>1443</v>
      </c>
      <c r="B1378" s="59"/>
      <c r="C1378" s="60"/>
      <c r="D1378" s="63"/>
      <c r="E1378" s="70"/>
      <c r="F1378" s="60" t="s">
        <v>13</v>
      </c>
      <c r="G1378" s="61" t="s">
        <v>15</v>
      </c>
      <c r="H1378" s="62"/>
      <c r="I1378" s="65">
        <v>0</v>
      </c>
      <c r="J1378" s="65">
        <v>0</v>
      </c>
      <c r="K1378" s="62"/>
      <c r="L1378" s="65">
        <v>0</v>
      </c>
      <c r="M1378" s="65">
        <v>0</v>
      </c>
      <c r="N1378" s="64">
        <v>0</v>
      </c>
      <c r="P1378" t="str">
        <f t="shared" si="76"/>
        <v>NP</v>
      </c>
      <c r="Q1378" t="str">
        <f t="shared" si="77"/>
        <v>SG</v>
      </c>
      <c r="R1378" t="str">
        <f>IF(ISERROR(MATCH(P1378&amp;"."&amp;Q1378,R$5:R1377,0)),P1378&amp;"."&amp;Q1378,P1378&amp;"."&amp;Q1378&amp;COUNTIFS(P$5:P1377,P1378,Q$5:Q1377,Q1378))</f>
        <v>NP.SG</v>
      </c>
      <c r="S1378" s="55">
        <f t="shared" si="78"/>
        <v>0</v>
      </c>
    </row>
    <row r="1379" spans="1:19" hidden="1">
      <c r="A1379" s="5">
        <v>1444</v>
      </c>
      <c r="B1379" s="59"/>
      <c r="C1379" s="60"/>
      <c r="D1379" s="63"/>
      <c r="E1379" s="63"/>
      <c r="F1379" s="63"/>
      <c r="G1379" s="63"/>
      <c r="H1379" s="62" t="s">
        <v>501</v>
      </c>
      <c r="I1379" s="66">
        <v>0</v>
      </c>
      <c r="J1379" s="66">
        <v>0</v>
      </c>
      <c r="K1379" s="62"/>
      <c r="L1379" s="66">
        <v>0</v>
      </c>
      <c r="M1379" s="66">
        <v>0</v>
      </c>
      <c r="N1379" s="66">
        <v>0</v>
      </c>
      <c r="P1379" t="str">
        <f t="shared" si="76"/>
        <v>NP</v>
      </c>
      <c r="Q1379" t="str">
        <f t="shared" si="77"/>
        <v>NA</v>
      </c>
      <c r="R1379" t="str">
        <f>IF(ISERROR(MATCH(P1379&amp;"."&amp;Q1379,R$5:R1378,0)),P1379&amp;"."&amp;Q1379,P1379&amp;"."&amp;Q1379&amp;COUNTIFS(P$5:P1378,P1379,Q$5:Q1378,Q1379))</f>
        <v>NP.NA1</v>
      </c>
      <c r="S1379" s="55">
        <f t="shared" si="78"/>
        <v>0</v>
      </c>
    </row>
    <row r="1380" spans="1:19" hidden="1">
      <c r="A1380" s="5">
        <v>1445</v>
      </c>
      <c r="B1380" s="59"/>
      <c r="C1380" s="60"/>
      <c r="D1380" s="63"/>
      <c r="E1380" s="63"/>
      <c r="F1380" s="63"/>
      <c r="G1380" s="63"/>
      <c r="H1380" s="62"/>
      <c r="I1380" s="65"/>
      <c r="J1380" s="65"/>
      <c r="K1380" s="62"/>
      <c r="L1380" s="65"/>
      <c r="M1380" s="65"/>
      <c r="N1380" s="65"/>
      <c r="P1380" t="str">
        <f t="shared" si="76"/>
        <v>NP</v>
      </c>
      <c r="Q1380" t="str">
        <f t="shared" si="77"/>
        <v>NA</v>
      </c>
      <c r="R1380" t="str">
        <f>IF(ISERROR(MATCH(P1380&amp;"."&amp;Q1380,R$5:R1379,0)),P1380&amp;"."&amp;Q1380,P1380&amp;"."&amp;Q1380&amp;COUNTIFS(P$5:P1379,P1380,Q$5:Q1379,Q1380))</f>
        <v>NP.NA2</v>
      </c>
      <c r="S1380" s="55">
        <f t="shared" si="78"/>
        <v>0</v>
      </c>
    </row>
    <row r="1381" spans="1:19" hidden="1">
      <c r="A1381" s="5">
        <v>1446</v>
      </c>
      <c r="B1381" s="59"/>
      <c r="C1381" s="60"/>
      <c r="D1381" s="61"/>
      <c r="E1381" s="63"/>
      <c r="F1381" s="63"/>
      <c r="G1381" s="63"/>
      <c r="H1381" s="62"/>
      <c r="I1381" s="65"/>
      <c r="J1381" s="65"/>
      <c r="K1381" s="62"/>
      <c r="L1381" s="65"/>
      <c r="M1381" s="65"/>
      <c r="N1381" s="65"/>
      <c r="P1381" t="str">
        <f t="shared" si="76"/>
        <v>NP</v>
      </c>
      <c r="Q1381" t="str">
        <f t="shared" si="77"/>
        <v>NA</v>
      </c>
      <c r="R1381" t="str">
        <f>IF(ISERROR(MATCH(P1381&amp;"."&amp;Q1381,R$5:R1380,0)),P1381&amp;"."&amp;Q1381,P1381&amp;"."&amp;Q1381&amp;COUNTIFS(P$5:P1380,P1381,Q$5:Q1380,Q1381))</f>
        <v>NP.NA3</v>
      </c>
      <c r="S1381" s="55">
        <f t="shared" si="78"/>
        <v>0</v>
      </c>
    </row>
    <row r="1382" spans="1:19" hidden="1">
      <c r="A1382" s="5">
        <v>1447</v>
      </c>
      <c r="B1382" s="59"/>
      <c r="C1382" s="60" t="s">
        <v>515</v>
      </c>
      <c r="D1382" s="63"/>
      <c r="E1382" s="70"/>
      <c r="F1382" s="60"/>
      <c r="G1382" s="61"/>
      <c r="H1382" s="62" t="s">
        <v>501</v>
      </c>
      <c r="I1382" s="65">
        <v>0</v>
      </c>
      <c r="J1382" s="65">
        <v>0</v>
      </c>
      <c r="K1382" s="62"/>
      <c r="L1382" s="65">
        <v>0</v>
      </c>
      <c r="M1382" s="65">
        <v>0</v>
      </c>
      <c r="N1382" s="64">
        <v>0</v>
      </c>
      <c r="P1382" t="str">
        <f t="shared" si="76"/>
        <v>Total Nuclear Production Plant</v>
      </c>
      <c r="Q1382" t="str">
        <f t="shared" si="77"/>
        <v>NA</v>
      </c>
      <c r="R1382" t="str">
        <f>IF(ISERROR(MATCH(P1382&amp;"."&amp;Q1382,R$5:R1381,0)),P1382&amp;"."&amp;Q1382,P1382&amp;"."&amp;Q1382&amp;COUNTIFS(P$5:P1381,P1382,Q$5:Q1381,Q1382))</f>
        <v>Total Nuclear Production Plant.NA</v>
      </c>
      <c r="S1382" s="55">
        <f t="shared" si="78"/>
        <v>0</v>
      </c>
    </row>
    <row r="1383" spans="1:19" hidden="1">
      <c r="A1383" s="5">
        <v>1448</v>
      </c>
      <c r="B1383" s="59"/>
      <c r="C1383" s="60"/>
      <c r="D1383" s="63"/>
      <c r="E1383" s="70"/>
      <c r="F1383" s="60"/>
      <c r="G1383" s="61"/>
      <c r="H1383" s="62"/>
      <c r="I1383" s="65"/>
      <c r="J1383" s="65"/>
      <c r="K1383" s="62"/>
      <c r="L1383" s="65"/>
      <c r="M1383" s="65"/>
      <c r="N1383" s="64"/>
      <c r="P1383" t="str">
        <f t="shared" si="76"/>
        <v>Total Nuclear Production Plant</v>
      </c>
      <c r="Q1383" t="str">
        <f t="shared" si="77"/>
        <v>NA</v>
      </c>
      <c r="R1383" t="str">
        <f>IF(ISERROR(MATCH(P1383&amp;"."&amp;Q1383,R$5:R1382,0)),P1383&amp;"."&amp;Q1383,P1383&amp;"."&amp;Q1383&amp;COUNTIFS(P$5:P1382,P1383,Q$5:Q1382,Q1383))</f>
        <v>Total Nuclear Production Plant.NA1</v>
      </c>
      <c r="S1383" s="55">
        <f t="shared" si="78"/>
        <v>0</v>
      </c>
    </row>
    <row r="1384" spans="1:19" hidden="1">
      <c r="A1384" s="5">
        <v>1449</v>
      </c>
      <c r="B1384" s="59"/>
      <c r="C1384" s="60"/>
      <c r="D1384" s="63"/>
      <c r="E1384" s="70"/>
      <c r="F1384" s="60"/>
      <c r="G1384" s="61"/>
      <c r="H1384" s="62"/>
      <c r="I1384" s="65"/>
      <c r="J1384" s="65"/>
      <c r="K1384" s="62"/>
      <c r="L1384" s="65"/>
      <c r="M1384" s="65"/>
      <c r="N1384" s="64"/>
      <c r="P1384" t="str">
        <f t="shared" si="76"/>
        <v>Total Nuclear Production Plant</v>
      </c>
      <c r="Q1384" t="str">
        <f t="shared" si="77"/>
        <v>NA</v>
      </c>
      <c r="R1384" t="str">
        <f>IF(ISERROR(MATCH(P1384&amp;"."&amp;Q1384,R$5:R1383,0)),P1384&amp;"."&amp;Q1384,P1384&amp;"."&amp;Q1384&amp;COUNTIFS(P$5:P1383,P1384,Q$5:Q1383,Q1384))</f>
        <v>Total Nuclear Production Plant.NA2</v>
      </c>
      <c r="S1384" s="55">
        <f t="shared" si="78"/>
        <v>0</v>
      </c>
    </row>
    <row r="1385" spans="1:19" hidden="1">
      <c r="A1385" s="5">
        <v>1450</v>
      </c>
      <c r="B1385" s="59"/>
      <c r="C1385" s="60"/>
      <c r="D1385" s="63"/>
      <c r="E1385" s="70"/>
      <c r="F1385" s="60"/>
      <c r="G1385" s="61"/>
      <c r="H1385" s="62"/>
      <c r="I1385" s="65"/>
      <c r="J1385" s="65"/>
      <c r="K1385" s="62"/>
      <c r="L1385" s="65"/>
      <c r="M1385" s="65"/>
      <c r="N1385" s="64"/>
      <c r="P1385" t="str">
        <f t="shared" si="76"/>
        <v>Total Nuclear Production Plant</v>
      </c>
      <c r="Q1385" t="str">
        <f t="shared" si="77"/>
        <v>NA</v>
      </c>
      <c r="R1385" t="str">
        <f>IF(ISERROR(MATCH(P1385&amp;"."&amp;Q1385,R$5:R1384,0)),P1385&amp;"."&amp;Q1385,P1385&amp;"."&amp;Q1385&amp;COUNTIFS(P$5:P1384,P1385,Q$5:Q1384,Q1385))</f>
        <v>Total Nuclear Production Plant.NA3</v>
      </c>
      <c r="S1385" s="55">
        <f t="shared" si="78"/>
        <v>0</v>
      </c>
    </row>
    <row r="1386" spans="1:19" hidden="1">
      <c r="A1386" s="5">
        <v>1451</v>
      </c>
      <c r="B1386" s="59"/>
      <c r="C1386" s="60" t="s">
        <v>516</v>
      </c>
      <c r="D1386" s="63"/>
      <c r="E1386" s="63"/>
      <c r="F1386" s="63"/>
      <c r="G1386" s="63"/>
      <c r="H1386" s="62"/>
      <c r="I1386" s="66"/>
      <c r="J1386" s="66"/>
      <c r="K1386" s="62"/>
      <c r="L1386" s="66"/>
      <c r="M1386" s="66"/>
      <c r="N1386" s="66"/>
      <c r="P1386" t="str">
        <f t="shared" si="76"/>
        <v>Summary of Nuclear Production Plant by Factor</v>
      </c>
      <c r="Q1386" t="str">
        <f t="shared" si="77"/>
        <v>NA</v>
      </c>
      <c r="R1386" t="str">
        <f>IF(ISERROR(MATCH(P1386&amp;"."&amp;Q1386,R$5:R1385,0)),P1386&amp;"."&amp;Q1386,P1386&amp;"."&amp;Q1386&amp;COUNTIFS(P$5:P1385,P1386,Q$5:Q1385,Q1386))</f>
        <v>Summary of Nuclear Production Plant by Factor.NA</v>
      </c>
      <c r="S1386" s="55">
        <f t="shared" si="78"/>
        <v>0</v>
      </c>
    </row>
    <row r="1387" spans="1:19" hidden="1">
      <c r="A1387" s="5">
        <v>1452</v>
      </c>
      <c r="B1387" s="59"/>
      <c r="C1387" s="60"/>
      <c r="D1387" s="63"/>
      <c r="E1387" s="63" t="s">
        <v>17</v>
      </c>
      <c r="F1387" s="63"/>
      <c r="G1387" s="63"/>
      <c r="H1387" s="62"/>
      <c r="I1387" s="65">
        <v>0</v>
      </c>
      <c r="J1387" s="65">
        <v>0</v>
      </c>
      <c r="K1387" s="62"/>
      <c r="L1387" s="65">
        <v>0</v>
      </c>
      <c r="M1387" s="65">
        <v>0</v>
      </c>
      <c r="N1387" s="65">
        <v>0</v>
      </c>
      <c r="P1387" t="str">
        <f t="shared" si="76"/>
        <v>Summary of Nuclear Production Plant by Factor</v>
      </c>
      <c r="Q1387" t="str">
        <f t="shared" si="77"/>
        <v>NA</v>
      </c>
      <c r="R1387" t="str">
        <f>IF(ISERROR(MATCH(P1387&amp;"."&amp;Q1387,R$5:R1386,0)),P1387&amp;"."&amp;Q1387,P1387&amp;"."&amp;Q1387&amp;COUNTIFS(P$5:P1386,P1387,Q$5:Q1386,Q1387))</f>
        <v>Summary of Nuclear Production Plant by Factor.NA1</v>
      </c>
      <c r="S1387" s="55">
        <f t="shared" si="78"/>
        <v>0</v>
      </c>
    </row>
    <row r="1388" spans="1:19" hidden="1">
      <c r="A1388" s="5">
        <v>1453</v>
      </c>
      <c r="B1388" s="59"/>
      <c r="C1388" s="60"/>
      <c r="D1388" s="61"/>
      <c r="E1388" s="63" t="s">
        <v>14</v>
      </c>
      <c r="F1388" s="63"/>
      <c r="G1388" s="63"/>
      <c r="H1388" s="62"/>
      <c r="I1388" s="65">
        <v>0</v>
      </c>
      <c r="J1388" s="65">
        <v>0</v>
      </c>
      <c r="K1388" s="62"/>
      <c r="L1388" s="65">
        <v>0</v>
      </c>
      <c r="M1388" s="65">
        <v>0</v>
      </c>
      <c r="N1388" s="65">
        <v>0</v>
      </c>
      <c r="P1388" t="str">
        <f t="shared" si="76"/>
        <v>Summary of Nuclear Production Plant by Factor</v>
      </c>
      <c r="Q1388" t="str">
        <f t="shared" si="77"/>
        <v>NA</v>
      </c>
      <c r="R1388" t="str">
        <f>IF(ISERROR(MATCH(P1388&amp;"."&amp;Q1388,R$5:R1387,0)),P1388&amp;"."&amp;Q1388,P1388&amp;"."&amp;Q1388&amp;COUNTIFS(P$5:P1387,P1388,Q$5:Q1387,Q1388))</f>
        <v>Summary of Nuclear Production Plant by Factor.NA2</v>
      </c>
      <c r="S1388" s="55">
        <f t="shared" si="78"/>
        <v>0</v>
      </c>
    </row>
    <row r="1389" spans="1:19" hidden="1">
      <c r="A1389" s="5">
        <v>1454</v>
      </c>
      <c r="B1389" s="59"/>
      <c r="C1389" s="60"/>
      <c r="D1389" s="63"/>
      <c r="E1389" s="70" t="s">
        <v>15</v>
      </c>
      <c r="F1389" s="60"/>
      <c r="G1389" s="61"/>
      <c r="H1389" s="62"/>
      <c r="I1389" s="65">
        <v>0</v>
      </c>
      <c r="J1389" s="65">
        <v>0</v>
      </c>
      <c r="K1389" s="62"/>
      <c r="L1389" s="65">
        <v>0</v>
      </c>
      <c r="M1389" s="65">
        <v>0</v>
      </c>
      <c r="N1389" s="64">
        <v>0</v>
      </c>
      <c r="P1389" t="str">
        <f t="shared" si="76"/>
        <v>Summary of Nuclear Production Plant by Factor</v>
      </c>
      <c r="Q1389" t="str">
        <f t="shared" si="77"/>
        <v>NA</v>
      </c>
      <c r="R1389" t="str">
        <f>IF(ISERROR(MATCH(P1389&amp;"."&amp;Q1389,R$5:R1388,0)),P1389&amp;"."&amp;Q1389,P1389&amp;"."&amp;Q1389&amp;COUNTIFS(P$5:P1388,P1389,Q$5:Q1388,Q1389))</f>
        <v>Summary of Nuclear Production Plant by Factor.NA3</v>
      </c>
      <c r="S1389" s="55">
        <f t="shared" si="78"/>
        <v>0</v>
      </c>
    </row>
    <row r="1390" spans="1:19" hidden="1">
      <c r="A1390" s="5">
        <v>1455</v>
      </c>
      <c r="B1390" s="59"/>
      <c r="C1390" s="60"/>
      <c r="D1390" s="63"/>
      <c r="E1390" s="70"/>
      <c r="F1390" s="60"/>
      <c r="G1390" s="61"/>
      <c r="H1390" s="62"/>
      <c r="I1390" s="65"/>
      <c r="J1390" s="65"/>
      <c r="K1390" s="62"/>
      <c r="L1390" s="65"/>
      <c r="M1390" s="65"/>
      <c r="N1390" s="64"/>
      <c r="P1390" t="str">
        <f t="shared" si="76"/>
        <v>Summary of Nuclear Production Plant by Factor</v>
      </c>
      <c r="Q1390" t="str">
        <f t="shared" si="77"/>
        <v>NA</v>
      </c>
      <c r="R1390" t="str">
        <f>IF(ISERROR(MATCH(P1390&amp;"."&amp;Q1390,R$5:R1389,0)),P1390&amp;"."&amp;Q1390,P1390&amp;"."&amp;Q1390&amp;COUNTIFS(P$5:P1389,P1390,Q$5:Q1389,Q1390))</f>
        <v>Summary of Nuclear Production Plant by Factor.NA4</v>
      </c>
      <c r="S1390" s="55">
        <f t="shared" si="78"/>
        <v>0</v>
      </c>
    </row>
    <row r="1391" spans="1:19" hidden="1">
      <c r="A1391" s="5">
        <v>1456</v>
      </c>
      <c r="B1391" s="59"/>
      <c r="C1391" s="60" t="s">
        <v>517</v>
      </c>
      <c r="D1391" s="63"/>
      <c r="E1391" s="70"/>
      <c r="F1391" s="60"/>
      <c r="G1391" s="61"/>
      <c r="H1391" s="62"/>
      <c r="I1391" s="65">
        <v>0</v>
      </c>
      <c r="J1391" s="65">
        <v>0</v>
      </c>
      <c r="K1391" s="62"/>
      <c r="L1391" s="65">
        <v>0</v>
      </c>
      <c r="M1391" s="65">
        <v>0</v>
      </c>
      <c r="N1391" s="64">
        <v>0</v>
      </c>
      <c r="P1391" t="str">
        <f t="shared" si="76"/>
        <v>Total Nuclear Plant by Factor</v>
      </c>
      <c r="Q1391" t="str">
        <f t="shared" si="77"/>
        <v>NA</v>
      </c>
      <c r="R1391" t="str">
        <f>IF(ISERROR(MATCH(P1391&amp;"."&amp;Q1391,R$5:R1390,0)),P1391&amp;"."&amp;Q1391,P1391&amp;"."&amp;Q1391&amp;COUNTIFS(P$5:P1390,P1391,Q$5:Q1390,Q1391))</f>
        <v>Total Nuclear Plant by Factor.NA</v>
      </c>
      <c r="S1391" s="55">
        <f t="shared" si="78"/>
        <v>0</v>
      </c>
    </row>
    <row r="1392" spans="1:19" hidden="1">
      <c r="A1392" s="5">
        <v>1457</v>
      </c>
      <c r="B1392" s="59"/>
      <c r="C1392" s="60"/>
      <c r="D1392" s="63"/>
      <c r="E1392" s="70"/>
      <c r="F1392" s="60"/>
      <c r="G1392" s="61"/>
      <c r="H1392" s="62"/>
      <c r="I1392" s="65"/>
      <c r="J1392" s="65"/>
      <c r="K1392" s="62"/>
      <c r="L1392" s="65"/>
      <c r="M1392" s="65"/>
      <c r="N1392" s="64"/>
      <c r="P1392" t="str">
        <f t="shared" si="76"/>
        <v>Total Nuclear Plant by Factor</v>
      </c>
      <c r="Q1392" t="str">
        <f t="shared" si="77"/>
        <v>NA</v>
      </c>
      <c r="R1392" t="str">
        <f>IF(ISERROR(MATCH(P1392&amp;"."&amp;Q1392,R$5:R1391,0)),P1392&amp;"."&amp;Q1392,P1392&amp;"."&amp;Q1392&amp;COUNTIFS(P$5:P1391,P1392,Q$5:Q1391,Q1392))</f>
        <v>Total Nuclear Plant by Factor.NA1</v>
      </c>
      <c r="S1392" s="55">
        <f t="shared" si="78"/>
        <v>0</v>
      </c>
    </row>
    <row r="1393" spans="1:19" hidden="1">
      <c r="A1393" s="5">
        <v>1458</v>
      </c>
      <c r="B1393" s="59"/>
      <c r="C1393" s="60">
        <v>330</v>
      </c>
      <c r="D1393" s="63" t="s">
        <v>500</v>
      </c>
      <c r="E1393" s="63"/>
      <c r="F1393" s="63"/>
      <c r="G1393" s="63"/>
      <c r="H1393" s="62"/>
      <c r="I1393" s="66"/>
      <c r="J1393" s="66"/>
      <c r="K1393" s="62"/>
      <c r="L1393" s="66"/>
      <c r="M1393" s="66"/>
      <c r="N1393" s="66"/>
      <c r="P1393">
        <f t="shared" si="76"/>
        <v>330</v>
      </c>
      <c r="Q1393" t="str">
        <f t="shared" si="77"/>
        <v>NA</v>
      </c>
      <c r="R1393" t="str">
        <f>IF(ISERROR(MATCH(P1393&amp;"."&amp;Q1393,R$5:R1392,0)),P1393&amp;"."&amp;Q1393,P1393&amp;"."&amp;Q1393&amp;COUNTIFS(P$5:P1392,P1393,Q$5:Q1392,Q1393))</f>
        <v>330.NA</v>
      </c>
      <c r="S1393" s="55">
        <f t="shared" si="78"/>
        <v>0</v>
      </c>
    </row>
    <row r="1394" spans="1:19" hidden="1">
      <c r="A1394" s="5">
        <v>1459</v>
      </c>
      <c r="B1394" s="59"/>
      <c r="C1394" s="60"/>
      <c r="D1394" s="63"/>
      <c r="E1394" s="63"/>
      <c r="F1394" s="63" t="s">
        <v>13</v>
      </c>
      <c r="G1394" s="63" t="s">
        <v>15</v>
      </c>
      <c r="H1394" s="62"/>
      <c r="I1394" s="65">
        <v>10332371.76</v>
      </c>
      <c r="J1394" s="65">
        <v>4545985.072125324</v>
      </c>
      <c r="K1394" s="62"/>
      <c r="L1394" s="65">
        <v>10332371.76</v>
      </c>
      <c r="M1394" s="65">
        <v>5786386.6878746757</v>
      </c>
      <c r="N1394" s="65">
        <v>4545985.072125324</v>
      </c>
      <c r="P1394">
        <f t="shared" si="76"/>
        <v>330</v>
      </c>
      <c r="Q1394" t="str">
        <f t="shared" si="77"/>
        <v>SG</v>
      </c>
      <c r="R1394" t="str">
        <f>IF(ISERROR(MATCH(P1394&amp;"."&amp;Q1394,R$5:R1393,0)),P1394&amp;"."&amp;Q1394,P1394&amp;"."&amp;Q1394&amp;COUNTIFS(P$5:P1393,P1394,Q$5:Q1393,Q1394))</f>
        <v>330.SG</v>
      </c>
      <c r="S1394" s="55">
        <f t="shared" si="78"/>
        <v>4545985.072125324</v>
      </c>
    </row>
    <row r="1395" spans="1:19" hidden="1">
      <c r="A1395" s="5">
        <v>1460</v>
      </c>
      <c r="B1395" s="59"/>
      <c r="C1395" s="60"/>
      <c r="D1395" s="61"/>
      <c r="E1395" s="63"/>
      <c r="F1395" s="63" t="s">
        <v>13</v>
      </c>
      <c r="G1395" s="63" t="s">
        <v>15</v>
      </c>
      <c r="H1395" s="62"/>
      <c r="I1395" s="65">
        <v>5268321.91</v>
      </c>
      <c r="J1395" s="65">
        <v>2317929.8339542882</v>
      </c>
      <c r="K1395" s="62"/>
      <c r="L1395" s="65">
        <v>5268321.91</v>
      </c>
      <c r="M1395" s="65">
        <v>2950392.076045712</v>
      </c>
      <c r="N1395" s="65">
        <v>2317929.8339542882</v>
      </c>
      <c r="P1395">
        <f t="shared" si="76"/>
        <v>330</v>
      </c>
      <c r="Q1395" t="str">
        <f t="shared" si="77"/>
        <v>SG</v>
      </c>
      <c r="R1395" t="str">
        <f>IF(ISERROR(MATCH(P1395&amp;"."&amp;Q1395,R$5:R1394,0)),P1395&amp;"."&amp;Q1395,P1395&amp;"."&amp;Q1395&amp;COUNTIFS(P$5:P1394,P1395,Q$5:Q1394,Q1395))</f>
        <v>330.SG1</v>
      </c>
      <c r="S1395" s="55">
        <f t="shared" si="78"/>
        <v>2317929.8339542882</v>
      </c>
    </row>
    <row r="1396" spans="1:19" hidden="1">
      <c r="A1396" s="5">
        <v>1461</v>
      </c>
      <c r="B1396" s="59"/>
      <c r="C1396" s="60"/>
      <c r="D1396" s="63"/>
      <c r="E1396" s="70"/>
      <c r="F1396" s="60" t="s">
        <v>13</v>
      </c>
      <c r="G1396" s="61" t="s">
        <v>15</v>
      </c>
      <c r="H1396" s="62"/>
      <c r="I1396" s="65">
        <v>19440549.48</v>
      </c>
      <c r="J1396" s="65">
        <v>8553355.3943662737</v>
      </c>
      <c r="K1396" s="62"/>
      <c r="L1396" s="65">
        <v>19440549.48</v>
      </c>
      <c r="M1396" s="65">
        <v>10887194.085633727</v>
      </c>
      <c r="N1396" s="64">
        <v>8553355.3943662737</v>
      </c>
      <c r="P1396">
        <f t="shared" si="76"/>
        <v>330</v>
      </c>
      <c r="Q1396" t="str">
        <f t="shared" si="77"/>
        <v>SG</v>
      </c>
      <c r="R1396" t="str">
        <f>IF(ISERROR(MATCH(P1396&amp;"."&amp;Q1396,R$5:R1395,0)),P1396&amp;"."&amp;Q1396,P1396&amp;"."&amp;Q1396&amp;COUNTIFS(P$5:P1395,P1396,Q$5:Q1395,Q1396))</f>
        <v>330.SG2</v>
      </c>
      <c r="S1396" s="55">
        <f t="shared" si="78"/>
        <v>8553355.3943662737</v>
      </c>
    </row>
    <row r="1397" spans="1:19" hidden="1">
      <c r="A1397" s="5">
        <v>1462</v>
      </c>
      <c r="B1397" s="59"/>
      <c r="C1397" s="60"/>
      <c r="D1397" s="63"/>
      <c r="E1397" s="70"/>
      <c r="F1397" s="60" t="s">
        <v>13</v>
      </c>
      <c r="G1397" s="61" t="s">
        <v>15</v>
      </c>
      <c r="H1397" s="62"/>
      <c r="I1397" s="65">
        <v>1278860.95</v>
      </c>
      <c r="J1397" s="65">
        <v>562666.82259059662</v>
      </c>
      <c r="K1397" s="62"/>
      <c r="L1397" s="65">
        <v>1278860.95</v>
      </c>
      <c r="M1397" s="65">
        <v>716194.12740940333</v>
      </c>
      <c r="N1397" s="64">
        <v>562666.82259059662</v>
      </c>
      <c r="P1397">
        <f t="shared" si="76"/>
        <v>330</v>
      </c>
      <c r="Q1397" t="str">
        <f t="shared" si="77"/>
        <v>SG</v>
      </c>
      <c r="R1397" t="str">
        <f>IF(ISERROR(MATCH(P1397&amp;"."&amp;Q1397,R$5:R1396,0)),P1397&amp;"."&amp;Q1397,P1397&amp;"."&amp;Q1397&amp;COUNTIFS(P$5:P1396,P1397,Q$5:Q1396,Q1397))</f>
        <v>330.SG3</v>
      </c>
      <c r="S1397" s="55">
        <f t="shared" si="78"/>
        <v>562666.82259059662</v>
      </c>
    </row>
    <row r="1398" spans="1:19" hidden="1">
      <c r="A1398" s="5">
        <v>1463</v>
      </c>
      <c r="B1398" s="59"/>
      <c r="C1398" s="60"/>
      <c r="D1398" s="63"/>
      <c r="E1398" s="70"/>
      <c r="F1398" s="60"/>
      <c r="G1398" s="61"/>
      <c r="H1398" s="62" t="s">
        <v>501</v>
      </c>
      <c r="I1398" s="65">
        <v>36320104.100000001</v>
      </c>
      <c r="J1398" s="65">
        <v>15979937.123036483</v>
      </c>
      <c r="K1398" s="62"/>
      <c r="L1398" s="65">
        <v>36320104.100000001</v>
      </c>
      <c r="M1398" s="65">
        <v>20340166.976963516</v>
      </c>
      <c r="N1398" s="64">
        <v>15979937.123036483</v>
      </c>
      <c r="P1398">
        <f t="shared" si="76"/>
        <v>330</v>
      </c>
      <c r="Q1398" t="str">
        <f t="shared" si="77"/>
        <v>NA</v>
      </c>
      <c r="R1398" t="str">
        <f>IF(ISERROR(MATCH(P1398&amp;"."&amp;Q1398,R$5:R1397,0)),P1398&amp;"."&amp;Q1398,P1398&amp;"."&amp;Q1398&amp;COUNTIFS(P$5:P1397,P1398,Q$5:Q1397,Q1398))</f>
        <v>330.NA1</v>
      </c>
      <c r="S1398" s="55">
        <f t="shared" si="78"/>
        <v>15979937.123036483</v>
      </c>
    </row>
    <row r="1399" spans="1:19" hidden="1">
      <c r="A1399" s="5">
        <v>1464</v>
      </c>
      <c r="B1399" s="59"/>
      <c r="C1399" s="60"/>
      <c r="D1399" s="63"/>
      <c r="E1399" s="70"/>
      <c r="F1399" s="60"/>
      <c r="G1399" s="61"/>
      <c r="H1399" s="62"/>
      <c r="I1399" s="65"/>
      <c r="J1399" s="65"/>
      <c r="K1399" s="62"/>
      <c r="L1399" s="65"/>
      <c r="M1399" s="65"/>
      <c r="N1399" s="64"/>
      <c r="P1399">
        <f t="shared" si="76"/>
        <v>330</v>
      </c>
      <c r="Q1399" t="str">
        <f t="shared" si="77"/>
        <v>NA</v>
      </c>
      <c r="R1399" t="str">
        <f>IF(ISERROR(MATCH(P1399&amp;"."&amp;Q1399,R$5:R1398,0)),P1399&amp;"."&amp;Q1399,P1399&amp;"."&amp;Q1399&amp;COUNTIFS(P$5:P1398,P1399,Q$5:Q1398,Q1399))</f>
        <v>330.NA2</v>
      </c>
      <c r="S1399" s="55">
        <f t="shared" si="78"/>
        <v>0</v>
      </c>
    </row>
    <row r="1400" spans="1:19" hidden="1">
      <c r="A1400" s="5">
        <v>1465</v>
      </c>
      <c r="B1400" s="59"/>
      <c r="C1400" s="60">
        <v>331</v>
      </c>
      <c r="D1400" s="63" t="s">
        <v>502</v>
      </c>
      <c r="E1400" s="63"/>
      <c r="F1400" s="63"/>
      <c r="G1400" s="63"/>
      <c r="H1400" s="62"/>
      <c r="I1400" s="66"/>
      <c r="J1400" s="66"/>
      <c r="K1400" s="62"/>
      <c r="L1400" s="66"/>
      <c r="M1400" s="66"/>
      <c r="N1400" s="66"/>
      <c r="P1400">
        <f t="shared" si="76"/>
        <v>331</v>
      </c>
      <c r="Q1400" t="str">
        <f t="shared" si="77"/>
        <v>NA</v>
      </c>
      <c r="R1400" t="str">
        <f>IF(ISERROR(MATCH(P1400&amp;"."&amp;Q1400,R$5:R1399,0)),P1400&amp;"."&amp;Q1400,P1400&amp;"."&amp;Q1400&amp;COUNTIFS(P$5:P1399,P1400,Q$5:Q1399,Q1400))</f>
        <v>331.NA</v>
      </c>
      <c r="S1400" s="55">
        <f t="shared" si="78"/>
        <v>0</v>
      </c>
    </row>
    <row r="1401" spans="1:19" hidden="1">
      <c r="A1401" s="5">
        <v>1466</v>
      </c>
      <c r="B1401" s="59"/>
      <c r="C1401" s="60"/>
      <c r="D1401" s="63"/>
      <c r="E1401" s="63"/>
      <c r="F1401" s="63" t="s">
        <v>13</v>
      </c>
      <c r="G1401" s="63" t="s">
        <v>15</v>
      </c>
      <c r="H1401" s="62"/>
      <c r="I1401" s="65">
        <v>19737986.9346154</v>
      </c>
      <c r="J1401" s="65">
        <v>8684220.4329053592</v>
      </c>
      <c r="K1401" s="62"/>
      <c r="L1401" s="65">
        <v>19737986.9346154</v>
      </c>
      <c r="M1401" s="65">
        <v>11053766.50171004</v>
      </c>
      <c r="N1401" s="65">
        <v>8684220.4329053592</v>
      </c>
      <c r="P1401">
        <f t="shared" si="76"/>
        <v>331</v>
      </c>
      <c r="Q1401" t="str">
        <f t="shared" si="77"/>
        <v>SG</v>
      </c>
      <c r="R1401" t="str">
        <f>IF(ISERROR(MATCH(P1401&amp;"."&amp;Q1401,R$5:R1400,0)),P1401&amp;"."&amp;Q1401,P1401&amp;"."&amp;Q1401&amp;COUNTIFS(P$5:P1400,P1401,Q$5:Q1400,Q1401))</f>
        <v>331.SG</v>
      </c>
      <c r="S1401" s="55">
        <f t="shared" si="78"/>
        <v>8684220.4329053592</v>
      </c>
    </row>
    <row r="1402" spans="1:19" hidden="1">
      <c r="A1402" s="5">
        <v>1467</v>
      </c>
      <c r="B1402" s="59"/>
      <c r="C1402" s="60"/>
      <c r="D1402" s="61"/>
      <c r="E1402" s="63"/>
      <c r="F1402" s="63" t="s">
        <v>13</v>
      </c>
      <c r="G1402" s="63" t="s">
        <v>15</v>
      </c>
      <c r="H1402" s="62"/>
      <c r="I1402" s="65">
        <v>4911092.5123076905</v>
      </c>
      <c r="J1402" s="65">
        <v>2160757.8363766903</v>
      </c>
      <c r="K1402" s="62"/>
      <c r="L1402" s="65">
        <v>4911092.5123076905</v>
      </c>
      <c r="M1402" s="65">
        <v>2750334.6759310002</v>
      </c>
      <c r="N1402" s="65">
        <v>2160757.8363766903</v>
      </c>
      <c r="P1402">
        <f t="shared" si="76"/>
        <v>331</v>
      </c>
      <c r="Q1402" t="str">
        <f t="shared" si="77"/>
        <v>SG</v>
      </c>
      <c r="R1402" t="str">
        <f>IF(ISERROR(MATCH(P1402&amp;"."&amp;Q1402,R$5:R1401,0)),P1402&amp;"."&amp;Q1402,P1402&amp;"."&amp;Q1402&amp;COUNTIFS(P$5:P1401,P1402,Q$5:Q1401,Q1402))</f>
        <v>331.SG1</v>
      </c>
      <c r="S1402" s="55">
        <f t="shared" si="78"/>
        <v>2160757.8363766903</v>
      </c>
    </row>
    <row r="1403" spans="1:19" hidden="1">
      <c r="A1403" s="5">
        <v>1468</v>
      </c>
      <c r="B1403" s="59"/>
      <c r="C1403" s="60"/>
      <c r="D1403" s="63"/>
      <c r="E1403" s="70"/>
      <c r="F1403" s="60" t="s">
        <v>13</v>
      </c>
      <c r="G1403" s="61" t="s">
        <v>15</v>
      </c>
      <c r="H1403" s="62"/>
      <c r="I1403" s="65">
        <v>240986535.080769</v>
      </c>
      <c r="J1403" s="65">
        <v>106028046.27118661</v>
      </c>
      <c r="K1403" s="62"/>
      <c r="L1403" s="65">
        <v>240986535.080769</v>
      </c>
      <c r="M1403" s="65">
        <v>134958488.80958241</v>
      </c>
      <c r="N1403" s="64">
        <v>106028046.27118661</v>
      </c>
      <c r="P1403">
        <f t="shared" si="76"/>
        <v>331</v>
      </c>
      <c r="Q1403" t="str">
        <f t="shared" si="77"/>
        <v>SG</v>
      </c>
      <c r="R1403" t="str">
        <f>IF(ISERROR(MATCH(P1403&amp;"."&amp;Q1403,R$5:R1402,0)),P1403&amp;"."&amp;Q1403,P1403&amp;"."&amp;Q1403&amp;COUNTIFS(P$5:P1402,P1403,Q$5:Q1402,Q1403))</f>
        <v>331.SG2</v>
      </c>
      <c r="S1403" s="55">
        <f t="shared" si="78"/>
        <v>106028046.27118661</v>
      </c>
    </row>
    <row r="1404" spans="1:19" hidden="1">
      <c r="A1404" s="5">
        <v>1469</v>
      </c>
      <c r="B1404" s="59"/>
      <c r="C1404" s="60"/>
      <c r="D1404" s="63"/>
      <c r="E1404" s="70"/>
      <c r="F1404" s="60" t="s">
        <v>13</v>
      </c>
      <c r="G1404" s="61" t="s">
        <v>15</v>
      </c>
      <c r="H1404" s="62"/>
      <c r="I1404" s="65">
        <v>12019436.4176923</v>
      </c>
      <c r="J1404" s="65">
        <v>5288251.3133837031</v>
      </c>
      <c r="K1404" s="62"/>
      <c r="L1404" s="65">
        <v>12019436.4176923</v>
      </c>
      <c r="M1404" s="65">
        <v>6731185.1043085968</v>
      </c>
      <c r="N1404" s="64">
        <v>5288251.3133837031</v>
      </c>
      <c r="P1404">
        <f t="shared" si="76"/>
        <v>331</v>
      </c>
      <c r="Q1404" t="str">
        <f t="shared" si="77"/>
        <v>SG</v>
      </c>
      <c r="R1404" t="str">
        <f>IF(ISERROR(MATCH(P1404&amp;"."&amp;Q1404,R$5:R1403,0)),P1404&amp;"."&amp;Q1404,P1404&amp;"."&amp;Q1404&amp;COUNTIFS(P$5:P1403,P1404,Q$5:Q1403,Q1404))</f>
        <v>331.SG3</v>
      </c>
      <c r="S1404" s="55">
        <f t="shared" si="78"/>
        <v>5288251.3133837031</v>
      </c>
    </row>
    <row r="1405" spans="1:19" hidden="1">
      <c r="A1405" s="5">
        <v>1470</v>
      </c>
      <c r="B1405" s="59"/>
      <c r="C1405" s="60"/>
      <c r="D1405" s="63"/>
      <c r="E1405" s="70"/>
      <c r="F1405" s="60"/>
      <c r="G1405" s="61"/>
      <c r="H1405" s="62" t="s">
        <v>501</v>
      </c>
      <c r="I1405" s="65">
        <v>277655050.94538438</v>
      </c>
      <c r="J1405" s="65">
        <v>122161275.85385236</v>
      </c>
      <c r="K1405" s="62"/>
      <c r="L1405" s="65">
        <v>277655050.94538438</v>
      </c>
      <c r="M1405" s="65">
        <v>155493775.09153205</v>
      </c>
      <c r="N1405" s="64">
        <v>122161275.85385236</v>
      </c>
      <c r="P1405">
        <f t="shared" si="76"/>
        <v>331</v>
      </c>
      <c r="Q1405" t="str">
        <f t="shared" si="77"/>
        <v>NA</v>
      </c>
      <c r="R1405" t="str">
        <f>IF(ISERROR(MATCH(P1405&amp;"."&amp;Q1405,R$5:R1404,0)),P1405&amp;"."&amp;Q1405,P1405&amp;"."&amp;Q1405&amp;COUNTIFS(P$5:P1404,P1405,Q$5:Q1404,Q1405))</f>
        <v>331.NA1</v>
      </c>
      <c r="S1405" s="55">
        <f t="shared" si="78"/>
        <v>122161275.85385236</v>
      </c>
    </row>
    <row r="1406" spans="1:19" hidden="1">
      <c r="A1406" s="5">
        <v>1471</v>
      </c>
      <c r="B1406" s="59"/>
      <c r="C1406" s="60"/>
      <c r="D1406" s="63"/>
      <c r="E1406" s="70"/>
      <c r="F1406" s="60"/>
      <c r="G1406" s="61"/>
      <c r="H1406" s="62"/>
      <c r="I1406" s="65"/>
      <c r="J1406" s="65"/>
      <c r="K1406" s="62"/>
      <c r="L1406" s="65"/>
      <c r="M1406" s="65"/>
      <c r="N1406" s="64"/>
      <c r="P1406">
        <f t="shared" si="76"/>
        <v>331</v>
      </c>
      <c r="Q1406" t="str">
        <f t="shared" si="77"/>
        <v>NA</v>
      </c>
      <c r="R1406" t="str">
        <f>IF(ISERROR(MATCH(P1406&amp;"."&amp;Q1406,R$5:R1405,0)),P1406&amp;"."&amp;Q1406,P1406&amp;"."&amp;Q1406&amp;COUNTIFS(P$5:P1405,P1406,Q$5:Q1405,Q1406))</f>
        <v>331.NA2</v>
      </c>
      <c r="S1406" s="55">
        <f t="shared" si="78"/>
        <v>0</v>
      </c>
    </row>
    <row r="1407" spans="1:19" hidden="1">
      <c r="A1407" s="5">
        <v>1472</v>
      </c>
      <c r="B1407" s="59"/>
      <c r="C1407" s="60">
        <v>332</v>
      </c>
      <c r="D1407" s="63" t="s">
        <v>518</v>
      </c>
      <c r="E1407" s="63"/>
      <c r="F1407" s="63"/>
      <c r="G1407" s="63"/>
      <c r="H1407" s="62"/>
      <c r="I1407" s="66"/>
      <c r="J1407" s="66"/>
      <c r="K1407" s="62"/>
      <c r="L1407" s="66"/>
      <c r="M1407" s="66"/>
      <c r="N1407" s="66"/>
      <c r="P1407">
        <f t="shared" si="76"/>
        <v>332</v>
      </c>
      <c r="Q1407" t="str">
        <f t="shared" si="77"/>
        <v>NA</v>
      </c>
      <c r="R1407" t="str">
        <f>IF(ISERROR(MATCH(P1407&amp;"."&amp;Q1407,R$5:R1406,0)),P1407&amp;"."&amp;Q1407,P1407&amp;"."&amp;Q1407&amp;COUNTIFS(P$5:P1406,P1407,Q$5:Q1406,Q1407))</f>
        <v>332.NA</v>
      </c>
      <c r="S1407" s="55">
        <f t="shared" si="78"/>
        <v>0</v>
      </c>
    </row>
    <row r="1408" spans="1:19" hidden="1">
      <c r="A1408" s="5">
        <v>1473</v>
      </c>
      <c r="B1408" s="59"/>
      <c r="C1408" s="60"/>
      <c r="D1408" s="63"/>
      <c r="E1408" s="63"/>
      <c r="F1408" s="63" t="s">
        <v>13</v>
      </c>
      <c r="G1408" s="63" t="s">
        <v>15</v>
      </c>
      <c r="H1408" s="62"/>
      <c r="I1408" s="69">
        <v>145556937.38076901</v>
      </c>
      <c r="J1408" s="69">
        <v>64041410.805495113</v>
      </c>
      <c r="K1408" s="62"/>
      <c r="L1408" s="69">
        <v>115528273.33092287</v>
      </c>
      <c r="M1408" s="65">
        <v>64698723.429904833</v>
      </c>
      <c r="N1408" s="65">
        <v>50829549.901018038</v>
      </c>
      <c r="P1408">
        <f t="shared" si="76"/>
        <v>332</v>
      </c>
      <c r="Q1408" t="str">
        <f t="shared" si="77"/>
        <v>SG</v>
      </c>
      <c r="R1408" t="str">
        <f>IF(ISERROR(MATCH(P1408&amp;"."&amp;Q1408,R$5:R1407,0)),P1408&amp;"."&amp;Q1408,P1408&amp;"."&amp;Q1408&amp;COUNTIFS(P$5:P1407,P1408,Q$5:Q1407,Q1408))</f>
        <v>332.SG</v>
      </c>
      <c r="S1408" s="55">
        <f t="shared" si="78"/>
        <v>50829549.901018038</v>
      </c>
    </row>
    <row r="1409" spans="1:19" hidden="1">
      <c r="A1409" s="5">
        <v>1474</v>
      </c>
      <c r="B1409" s="59"/>
      <c r="C1409" s="60"/>
      <c r="D1409" s="63"/>
      <c r="E1409" s="70"/>
      <c r="F1409" s="63" t="s">
        <v>13</v>
      </c>
      <c r="G1409" s="63" t="s">
        <v>15</v>
      </c>
      <c r="H1409" s="62"/>
      <c r="I1409" s="69">
        <v>18818445.403076898</v>
      </c>
      <c r="J1409" s="69">
        <v>8279645.1647412479</v>
      </c>
      <c r="K1409" s="62"/>
      <c r="L1409" s="69">
        <v>18335164.05123074</v>
      </c>
      <c r="M1409" s="69">
        <v>10268150.590241622</v>
      </c>
      <c r="N1409" s="69">
        <v>8067013.4609891186</v>
      </c>
      <c r="P1409">
        <f t="shared" si="76"/>
        <v>332</v>
      </c>
      <c r="Q1409" t="str">
        <f t="shared" si="77"/>
        <v>SG</v>
      </c>
      <c r="R1409" t="str">
        <f>IF(ISERROR(MATCH(P1409&amp;"."&amp;Q1409,R$5:R1408,0)),P1409&amp;"."&amp;Q1409,P1409&amp;"."&amp;Q1409&amp;COUNTIFS(P$5:P1408,P1409,Q$5:Q1408,Q1409))</f>
        <v>332.SG1</v>
      </c>
      <c r="S1409" s="55">
        <f t="shared" si="78"/>
        <v>8067013.4609891186</v>
      </c>
    </row>
    <row r="1410" spans="1:19" hidden="1">
      <c r="A1410" s="5">
        <v>1475</v>
      </c>
      <c r="B1410" s="59"/>
      <c r="C1410" s="71"/>
      <c r="D1410" s="72"/>
      <c r="E1410" s="73"/>
      <c r="F1410" s="63" t="s">
        <v>13</v>
      </c>
      <c r="G1410" s="72" t="s">
        <v>15</v>
      </c>
      <c r="H1410" s="74"/>
      <c r="I1410" s="75">
        <v>270522731.89538503</v>
      </c>
      <c r="J1410" s="75">
        <v>119023233.91304125</v>
      </c>
      <c r="K1410" s="62"/>
      <c r="L1410" s="75">
        <v>335867801.0857932</v>
      </c>
      <c r="M1410" s="75">
        <v>188094371.57617074</v>
      </c>
      <c r="N1410" s="75">
        <v>147773429.50962245</v>
      </c>
      <c r="P1410">
        <f t="shared" si="76"/>
        <v>332</v>
      </c>
      <c r="Q1410" t="str">
        <f t="shared" si="77"/>
        <v>SG</v>
      </c>
      <c r="R1410" t="str">
        <f>IF(ISERROR(MATCH(P1410&amp;"."&amp;Q1410,R$5:R1409,0)),P1410&amp;"."&amp;Q1410,P1410&amp;"."&amp;Q1410&amp;COUNTIFS(P$5:P1409,P1410,Q$5:Q1409,Q1410))</f>
        <v>332.SG2</v>
      </c>
      <c r="S1410" s="55">
        <f t="shared" si="78"/>
        <v>147773429.50962245</v>
      </c>
    </row>
    <row r="1411" spans="1:19" hidden="1">
      <c r="A1411" s="5">
        <v>1476</v>
      </c>
      <c r="B1411" s="59"/>
      <c r="C1411" s="60"/>
      <c r="D1411" s="61"/>
      <c r="E1411" s="63"/>
      <c r="F1411" s="63" t="s">
        <v>13</v>
      </c>
      <c r="G1411" s="63" t="s">
        <v>15</v>
      </c>
      <c r="H1411" s="62"/>
      <c r="I1411" s="65">
        <v>77163652.657692298</v>
      </c>
      <c r="J1411" s="65">
        <v>33950076.63686046</v>
      </c>
      <c r="K1411" s="62"/>
      <c r="L1411" s="65">
        <v>85249213.643184647</v>
      </c>
      <c r="M1411" s="65">
        <v>47741692.462748535</v>
      </c>
      <c r="N1411" s="65">
        <v>37507521.180436112</v>
      </c>
      <c r="P1411">
        <f t="shared" si="76"/>
        <v>332</v>
      </c>
      <c r="Q1411" t="str">
        <f t="shared" si="77"/>
        <v>SG</v>
      </c>
      <c r="R1411" t="str">
        <f>IF(ISERROR(MATCH(P1411&amp;"."&amp;Q1411,R$5:R1410,0)),P1411&amp;"."&amp;Q1411,P1411&amp;"."&amp;Q1411&amp;COUNTIFS(P$5:P1410,P1411,Q$5:Q1410,Q1411))</f>
        <v>332.SG3</v>
      </c>
      <c r="S1411" s="55">
        <f t="shared" si="78"/>
        <v>37507521.180436112</v>
      </c>
    </row>
    <row r="1412" spans="1:19" hidden="1">
      <c r="A1412" s="5">
        <v>1477</v>
      </c>
      <c r="B1412" s="59"/>
      <c r="C1412" s="60"/>
      <c r="D1412" s="63"/>
      <c r="E1412" s="70"/>
      <c r="F1412" s="60"/>
      <c r="G1412" s="61"/>
      <c r="H1412" s="62" t="s">
        <v>501</v>
      </c>
      <c r="I1412" s="65">
        <v>512061767.33692324</v>
      </c>
      <c r="J1412" s="65">
        <v>225294366.52013806</v>
      </c>
      <c r="K1412" s="62"/>
      <c r="L1412" s="65">
        <v>554980452.11113143</v>
      </c>
      <c r="M1412" s="65">
        <v>310802938.05906576</v>
      </c>
      <c r="N1412" s="64">
        <v>244177514.0520657</v>
      </c>
      <c r="P1412">
        <f t="shared" si="76"/>
        <v>332</v>
      </c>
      <c r="Q1412" t="str">
        <f t="shared" si="77"/>
        <v>NA</v>
      </c>
      <c r="R1412" t="str">
        <f>IF(ISERROR(MATCH(P1412&amp;"."&amp;Q1412,R$5:R1411,0)),P1412&amp;"."&amp;Q1412,P1412&amp;"."&amp;Q1412&amp;COUNTIFS(P$5:P1411,P1412,Q$5:Q1411,Q1412))</f>
        <v>332.NA1</v>
      </c>
      <c r="S1412" s="55">
        <f t="shared" si="78"/>
        <v>244177514.0520657</v>
      </c>
    </row>
    <row r="1413" spans="1:19" hidden="1">
      <c r="A1413" s="5">
        <v>1478</v>
      </c>
      <c r="B1413" s="59"/>
      <c r="C1413" s="60"/>
      <c r="D1413" s="63"/>
      <c r="E1413" s="70"/>
      <c r="F1413" s="60"/>
      <c r="G1413" s="61"/>
      <c r="H1413" s="62"/>
      <c r="I1413" s="65"/>
      <c r="J1413" s="65"/>
      <c r="K1413" s="62"/>
      <c r="L1413" s="65"/>
      <c r="M1413" s="65"/>
      <c r="N1413" s="64"/>
      <c r="P1413">
        <f t="shared" si="76"/>
        <v>332</v>
      </c>
      <c r="Q1413" t="str">
        <f t="shared" si="77"/>
        <v>NA</v>
      </c>
      <c r="R1413" t="str">
        <f>IF(ISERROR(MATCH(P1413&amp;"."&amp;Q1413,R$5:R1412,0)),P1413&amp;"."&amp;Q1413,P1413&amp;"."&amp;Q1413&amp;COUNTIFS(P$5:P1412,P1413,Q$5:Q1412,Q1413))</f>
        <v>332.NA2</v>
      </c>
      <c r="S1413" s="55">
        <f t="shared" si="78"/>
        <v>0</v>
      </c>
    </row>
    <row r="1414" spans="1:19" hidden="1">
      <c r="A1414" s="5">
        <v>1479</v>
      </c>
      <c r="B1414" s="59"/>
      <c r="C1414" s="60">
        <v>333</v>
      </c>
      <c r="D1414" s="63" t="s">
        <v>519</v>
      </c>
      <c r="E1414" s="70"/>
      <c r="F1414" s="60"/>
      <c r="G1414" s="61"/>
      <c r="H1414" s="62"/>
      <c r="I1414" s="65"/>
      <c r="J1414" s="65"/>
      <c r="K1414" s="62"/>
      <c r="L1414" s="65"/>
      <c r="M1414" s="65"/>
      <c r="N1414" s="64"/>
      <c r="P1414">
        <f t="shared" si="76"/>
        <v>333</v>
      </c>
      <c r="Q1414" t="str">
        <f t="shared" si="77"/>
        <v>NA</v>
      </c>
      <c r="R1414" t="str">
        <f>IF(ISERROR(MATCH(P1414&amp;"."&amp;Q1414,R$5:R1413,0)),P1414&amp;"."&amp;Q1414,P1414&amp;"."&amp;Q1414&amp;COUNTIFS(P$5:P1413,P1414,Q$5:Q1413,Q1414))</f>
        <v>333.NA</v>
      </c>
      <c r="S1414" s="55">
        <f t="shared" si="78"/>
        <v>0</v>
      </c>
    </row>
    <row r="1415" spans="1:19" hidden="1">
      <c r="A1415" s="5">
        <v>1480</v>
      </c>
      <c r="B1415" s="59"/>
      <c r="C1415" s="60"/>
      <c r="D1415" s="63"/>
      <c r="E1415" s="70"/>
      <c r="F1415" s="60" t="s">
        <v>13</v>
      </c>
      <c r="G1415" s="61" t="s">
        <v>15</v>
      </c>
      <c r="H1415" s="62"/>
      <c r="I1415" s="65">
        <v>28887364.316923101</v>
      </c>
      <c r="J1415" s="65">
        <v>12709717.575800639</v>
      </c>
      <c r="K1415" s="62"/>
      <c r="L1415" s="65">
        <v>28887364.316923101</v>
      </c>
      <c r="M1415" s="65">
        <v>16177646.741122462</v>
      </c>
      <c r="N1415" s="64">
        <v>12709717.575800639</v>
      </c>
      <c r="P1415">
        <f t="shared" ref="P1415:P1478" si="79">IF(OR(C1415="",C1415=" ",C1415="  ",C1415="   "),P1414,C1415)</f>
        <v>333</v>
      </c>
      <c r="Q1415" t="str">
        <f t="shared" ref="Q1415:Q1478" si="80">IF(G1415="","NA",G1415)</f>
        <v>SG</v>
      </c>
      <c r="R1415" t="str">
        <f>IF(ISERROR(MATCH(P1415&amp;"."&amp;Q1415,R$5:R1414,0)),P1415&amp;"."&amp;Q1415,P1415&amp;"."&amp;Q1415&amp;COUNTIFS(P$5:P1414,P1415,Q$5:Q1414,Q1415))</f>
        <v>333.SG</v>
      </c>
      <c r="S1415" s="55">
        <f t="shared" si="78"/>
        <v>12709717.575800639</v>
      </c>
    </row>
    <row r="1416" spans="1:19" hidden="1">
      <c r="A1416" s="5">
        <v>1481</v>
      </c>
      <c r="B1416" s="59"/>
      <c r="C1416" s="60"/>
      <c r="D1416" s="63"/>
      <c r="E1416" s="63"/>
      <c r="F1416" s="63" t="s">
        <v>13</v>
      </c>
      <c r="G1416" s="63" t="s">
        <v>15</v>
      </c>
      <c r="H1416" s="62"/>
      <c r="I1416" s="66">
        <v>7520181.9807692301</v>
      </c>
      <c r="J1416" s="66">
        <v>3308691.926532343</v>
      </c>
      <c r="K1416" s="62"/>
      <c r="L1416" s="66">
        <v>7520181.9807692301</v>
      </c>
      <c r="M1416" s="66">
        <v>4211490.054236887</v>
      </c>
      <c r="N1416" s="66">
        <v>3308691.926532343</v>
      </c>
      <c r="P1416">
        <f t="shared" si="79"/>
        <v>333</v>
      </c>
      <c r="Q1416" t="str">
        <f t="shared" si="80"/>
        <v>SG</v>
      </c>
      <c r="R1416" t="str">
        <f>IF(ISERROR(MATCH(P1416&amp;"."&amp;Q1416,R$5:R1415,0)),P1416&amp;"."&amp;Q1416,P1416&amp;"."&amp;Q1416&amp;COUNTIFS(P$5:P1415,P1416,Q$5:Q1415,Q1416))</f>
        <v>333.SG1</v>
      </c>
      <c r="S1416" s="55">
        <f t="shared" ref="S1416:S1479" si="81">N1416</f>
        <v>3308691.926532343</v>
      </c>
    </row>
    <row r="1417" spans="1:19" hidden="1">
      <c r="A1417" s="5">
        <v>1482</v>
      </c>
      <c r="B1417" s="59"/>
      <c r="C1417" s="60"/>
      <c r="D1417" s="63"/>
      <c r="E1417" s="63"/>
      <c r="F1417" s="63" t="s">
        <v>13</v>
      </c>
      <c r="G1417" s="63" t="s">
        <v>15</v>
      </c>
      <c r="H1417" s="62"/>
      <c r="I1417" s="65">
        <v>63524217.512307703</v>
      </c>
      <c r="J1417" s="65">
        <v>27949066.413517524</v>
      </c>
      <c r="K1417" s="62"/>
      <c r="L1417" s="65">
        <v>63524217.512307703</v>
      </c>
      <c r="M1417" s="65">
        <v>35575151.098790184</v>
      </c>
      <c r="N1417" s="65">
        <v>27949066.413517524</v>
      </c>
      <c r="P1417">
        <f t="shared" si="79"/>
        <v>333</v>
      </c>
      <c r="Q1417" t="str">
        <f t="shared" si="80"/>
        <v>SG</v>
      </c>
      <c r="R1417" t="str">
        <f>IF(ISERROR(MATCH(P1417&amp;"."&amp;Q1417,R$5:R1416,0)),P1417&amp;"."&amp;Q1417,P1417&amp;"."&amp;Q1417&amp;COUNTIFS(P$5:P1416,P1417,Q$5:Q1416,Q1417))</f>
        <v>333.SG2</v>
      </c>
      <c r="S1417" s="55">
        <f t="shared" si="81"/>
        <v>27949066.413517524</v>
      </c>
    </row>
    <row r="1418" spans="1:19" hidden="1">
      <c r="A1418" s="5">
        <v>1483</v>
      </c>
      <c r="B1418" s="59"/>
      <c r="C1418" s="60"/>
      <c r="D1418" s="61"/>
      <c r="E1418" s="63"/>
      <c r="F1418" s="63" t="s">
        <v>13</v>
      </c>
      <c r="G1418" s="63" t="s">
        <v>15</v>
      </c>
      <c r="H1418" s="62"/>
      <c r="I1418" s="65">
        <v>39530110.743076898</v>
      </c>
      <c r="J1418" s="65">
        <v>17392259.735870026</v>
      </c>
      <c r="K1418" s="62"/>
      <c r="L1418" s="65">
        <v>39530110.743076898</v>
      </c>
      <c r="M1418" s="65">
        <v>22137851.007206872</v>
      </c>
      <c r="N1418" s="65">
        <v>17392259.735870026</v>
      </c>
      <c r="P1418">
        <f t="shared" si="79"/>
        <v>333</v>
      </c>
      <c r="Q1418" t="str">
        <f t="shared" si="80"/>
        <v>SG</v>
      </c>
      <c r="R1418" t="str">
        <f>IF(ISERROR(MATCH(P1418&amp;"."&amp;Q1418,R$5:R1417,0)),P1418&amp;"."&amp;Q1418,P1418&amp;"."&amp;Q1418&amp;COUNTIFS(P$5:P1417,P1418,Q$5:Q1417,Q1418))</f>
        <v>333.SG3</v>
      </c>
      <c r="S1418" s="55">
        <f t="shared" si="81"/>
        <v>17392259.735870026</v>
      </c>
    </row>
    <row r="1419" spans="1:19" hidden="1">
      <c r="A1419" s="5">
        <v>1484</v>
      </c>
      <c r="B1419" s="59"/>
      <c r="C1419" s="60"/>
      <c r="D1419" s="63"/>
      <c r="E1419" s="70"/>
      <c r="F1419" s="60"/>
      <c r="G1419" s="61"/>
      <c r="H1419" s="62" t="s">
        <v>501</v>
      </c>
      <c r="I1419" s="65">
        <v>139461874.55307692</v>
      </c>
      <c r="J1419" s="65">
        <v>61359735.651720531</v>
      </c>
      <c r="K1419" s="62"/>
      <c r="L1419" s="65">
        <v>139461874.55307692</v>
      </c>
      <c r="M1419" s="65">
        <v>78102138.901356399</v>
      </c>
      <c r="N1419" s="64">
        <v>61359735.651720531</v>
      </c>
      <c r="P1419">
        <f t="shared" si="79"/>
        <v>333</v>
      </c>
      <c r="Q1419" t="str">
        <f t="shared" si="80"/>
        <v>NA</v>
      </c>
      <c r="R1419" t="str">
        <f>IF(ISERROR(MATCH(P1419&amp;"."&amp;Q1419,R$5:R1418,0)),P1419&amp;"."&amp;Q1419,P1419&amp;"."&amp;Q1419&amp;COUNTIFS(P$5:P1418,P1419,Q$5:Q1418,Q1419))</f>
        <v>333.NA1</v>
      </c>
      <c r="S1419" s="55">
        <f t="shared" si="81"/>
        <v>61359735.651720531</v>
      </c>
    </row>
    <row r="1420" spans="1:19" hidden="1">
      <c r="A1420" s="5">
        <v>1485</v>
      </c>
      <c r="B1420" s="59"/>
      <c r="C1420" s="60"/>
      <c r="D1420" s="63"/>
      <c r="E1420" s="70"/>
      <c r="F1420" s="60"/>
      <c r="G1420" s="61"/>
      <c r="H1420" s="62"/>
      <c r="I1420" s="65"/>
      <c r="J1420" s="65"/>
      <c r="K1420" s="62"/>
      <c r="L1420" s="65"/>
      <c r="M1420" s="65"/>
      <c r="N1420" s="64"/>
      <c r="P1420">
        <f t="shared" si="79"/>
        <v>333</v>
      </c>
      <c r="Q1420" t="str">
        <f t="shared" si="80"/>
        <v>NA</v>
      </c>
      <c r="R1420" t="str">
        <f>IF(ISERROR(MATCH(P1420&amp;"."&amp;Q1420,R$5:R1419,0)),P1420&amp;"."&amp;Q1420,P1420&amp;"."&amp;Q1420&amp;COUNTIFS(P$5:P1419,P1420,Q$5:Q1419,Q1420))</f>
        <v>333.NA2</v>
      </c>
      <c r="S1420" s="55">
        <f t="shared" si="81"/>
        <v>0</v>
      </c>
    </row>
    <row r="1421" spans="1:19" hidden="1">
      <c r="A1421" s="5">
        <v>1486</v>
      </c>
      <c r="B1421" s="59"/>
      <c r="C1421" s="60">
        <v>334</v>
      </c>
      <c r="D1421" s="63" t="s">
        <v>505</v>
      </c>
      <c r="E1421" s="70"/>
      <c r="F1421" s="60"/>
      <c r="G1421" s="61"/>
      <c r="H1421" s="62"/>
      <c r="I1421" s="65"/>
      <c r="J1421" s="65"/>
      <c r="K1421" s="62"/>
      <c r="L1421" s="65"/>
      <c r="M1421" s="65"/>
      <c r="N1421" s="64"/>
      <c r="P1421">
        <f t="shared" si="79"/>
        <v>334</v>
      </c>
      <c r="Q1421" t="str">
        <f t="shared" si="80"/>
        <v>NA</v>
      </c>
      <c r="R1421" t="str">
        <f>IF(ISERROR(MATCH(P1421&amp;"."&amp;Q1421,R$5:R1420,0)),P1421&amp;"."&amp;Q1421,P1421&amp;"."&amp;Q1421&amp;COUNTIFS(P$5:P1420,P1421,Q$5:Q1420,Q1421))</f>
        <v>334.NA</v>
      </c>
      <c r="S1421" s="55">
        <f t="shared" si="81"/>
        <v>0</v>
      </c>
    </row>
    <row r="1422" spans="1:19" hidden="1">
      <c r="A1422" s="5">
        <v>1487</v>
      </c>
      <c r="B1422" s="59"/>
      <c r="C1422" s="60"/>
      <c r="D1422" s="63"/>
      <c r="E1422" s="70"/>
      <c r="F1422" s="60" t="s">
        <v>13</v>
      </c>
      <c r="G1422" s="61" t="s">
        <v>15</v>
      </c>
      <c r="H1422" s="62"/>
      <c r="I1422" s="65">
        <v>3683986.2207692298</v>
      </c>
      <c r="J1422" s="65">
        <v>1620861.7686760731</v>
      </c>
      <c r="K1422" s="62"/>
      <c r="L1422" s="65">
        <v>3683986.2207692298</v>
      </c>
      <c r="M1422" s="65">
        <v>2063124.4520931568</v>
      </c>
      <c r="N1422" s="64">
        <v>1620861.7686760731</v>
      </c>
      <c r="P1422">
        <f t="shared" si="79"/>
        <v>334</v>
      </c>
      <c r="Q1422" t="str">
        <f t="shared" si="80"/>
        <v>SG</v>
      </c>
      <c r="R1422" t="str">
        <f>IF(ISERROR(MATCH(P1422&amp;"."&amp;Q1422,R$5:R1421,0)),P1422&amp;"."&amp;Q1422,P1422&amp;"."&amp;Q1422&amp;COUNTIFS(P$5:P1421,P1422,Q$5:Q1421,Q1422))</f>
        <v>334.SG</v>
      </c>
      <c r="S1422" s="55">
        <f t="shared" si="81"/>
        <v>1620861.7686760731</v>
      </c>
    </row>
    <row r="1423" spans="1:19" hidden="1">
      <c r="A1423" s="5">
        <v>1488</v>
      </c>
      <c r="B1423" s="59"/>
      <c r="C1423" s="60"/>
      <c r="D1423" s="63"/>
      <c r="E1423" s="63"/>
      <c r="F1423" s="63" t="s">
        <v>13</v>
      </c>
      <c r="G1423" s="63" t="s">
        <v>15</v>
      </c>
      <c r="H1423" s="62"/>
      <c r="I1423" s="66">
        <v>3374661.1684615398</v>
      </c>
      <c r="J1423" s="66">
        <v>1484766.48456435</v>
      </c>
      <c r="K1423" s="62"/>
      <c r="L1423" s="66">
        <v>3374661.1684615398</v>
      </c>
      <c r="M1423" s="66">
        <v>1889894.6838971898</v>
      </c>
      <c r="N1423" s="66">
        <v>1484766.48456435</v>
      </c>
      <c r="P1423">
        <f t="shared" si="79"/>
        <v>334</v>
      </c>
      <c r="Q1423" t="str">
        <f t="shared" si="80"/>
        <v>SG</v>
      </c>
      <c r="R1423" t="str">
        <f>IF(ISERROR(MATCH(P1423&amp;"."&amp;Q1423,R$5:R1422,0)),P1423&amp;"."&amp;Q1423,P1423&amp;"."&amp;Q1423&amp;COUNTIFS(P$5:P1422,P1423,Q$5:Q1422,Q1423))</f>
        <v>334.SG1</v>
      </c>
      <c r="S1423" s="55">
        <f t="shared" si="81"/>
        <v>1484766.48456435</v>
      </c>
    </row>
    <row r="1424" spans="1:19" hidden="1">
      <c r="A1424" s="5">
        <v>1489</v>
      </c>
      <c r="B1424" s="59"/>
      <c r="C1424" s="60"/>
      <c r="D1424" s="63"/>
      <c r="E1424" s="63"/>
      <c r="F1424" s="63" t="s">
        <v>13</v>
      </c>
      <c r="G1424" s="63" t="s">
        <v>15</v>
      </c>
      <c r="H1424" s="62"/>
      <c r="I1424" s="65">
        <v>67056293.635384597</v>
      </c>
      <c r="J1424" s="65">
        <v>29503091.539798677</v>
      </c>
      <c r="K1424" s="62"/>
      <c r="L1424" s="65">
        <v>67056293.635384597</v>
      </c>
      <c r="M1424" s="65">
        <v>37553202.09558592</v>
      </c>
      <c r="N1424" s="65">
        <v>29503091.539798677</v>
      </c>
      <c r="P1424">
        <f t="shared" si="79"/>
        <v>334</v>
      </c>
      <c r="Q1424" t="str">
        <f t="shared" si="80"/>
        <v>SG</v>
      </c>
      <c r="R1424" t="str">
        <f>IF(ISERROR(MATCH(P1424&amp;"."&amp;Q1424,R$5:R1423,0)),P1424&amp;"."&amp;Q1424,P1424&amp;"."&amp;Q1424&amp;COUNTIFS(P$5:P1423,P1424,Q$5:Q1423,Q1424))</f>
        <v>334.SG2</v>
      </c>
      <c r="S1424" s="55">
        <f t="shared" si="81"/>
        <v>29503091.539798677</v>
      </c>
    </row>
    <row r="1425" spans="1:19" hidden="1">
      <c r="A1425" s="5">
        <v>1490</v>
      </c>
      <c r="B1425" s="59"/>
      <c r="C1425" s="60"/>
      <c r="D1425" s="61"/>
      <c r="E1425" s="63"/>
      <c r="F1425" s="63" t="s">
        <v>13</v>
      </c>
      <c r="G1425" s="63" t="s">
        <v>15</v>
      </c>
      <c r="H1425" s="62"/>
      <c r="I1425" s="65">
        <v>10763263.6569231</v>
      </c>
      <c r="J1425" s="65">
        <v>4735566.7264261739</v>
      </c>
      <c r="K1425" s="62"/>
      <c r="L1425" s="65">
        <v>10763263.6569231</v>
      </c>
      <c r="M1425" s="65">
        <v>6027696.9304969264</v>
      </c>
      <c r="N1425" s="65">
        <v>4735566.7264261739</v>
      </c>
      <c r="P1425">
        <f t="shared" si="79"/>
        <v>334</v>
      </c>
      <c r="Q1425" t="str">
        <f t="shared" si="80"/>
        <v>SG</v>
      </c>
      <c r="R1425" t="str">
        <f>IF(ISERROR(MATCH(P1425&amp;"."&amp;Q1425,R$5:R1424,0)),P1425&amp;"."&amp;Q1425,P1425&amp;"."&amp;Q1425&amp;COUNTIFS(P$5:P1424,P1425,Q$5:Q1424,Q1425))</f>
        <v>334.SG3</v>
      </c>
      <c r="S1425" s="55">
        <f t="shared" si="81"/>
        <v>4735566.7264261739</v>
      </c>
    </row>
    <row r="1426" spans="1:19" hidden="1">
      <c r="A1426" s="5">
        <v>1491</v>
      </c>
      <c r="B1426" s="59"/>
      <c r="C1426" s="60"/>
      <c r="D1426" s="63"/>
      <c r="E1426" s="63"/>
      <c r="F1426" s="60"/>
      <c r="G1426" s="61"/>
      <c r="H1426" s="62" t="s">
        <v>501</v>
      </c>
      <c r="I1426" s="65">
        <v>84878204.681538463</v>
      </c>
      <c r="J1426" s="65">
        <v>37344286.519465275</v>
      </c>
      <c r="K1426" s="62"/>
      <c r="L1426" s="65">
        <v>84878204.681538463</v>
      </c>
      <c r="M1426" s="65">
        <v>47533918.162073188</v>
      </c>
      <c r="N1426" s="64">
        <v>37344286.519465275</v>
      </c>
      <c r="P1426">
        <f t="shared" si="79"/>
        <v>334</v>
      </c>
      <c r="Q1426" t="str">
        <f t="shared" si="80"/>
        <v>NA</v>
      </c>
      <c r="R1426" t="str">
        <f>IF(ISERROR(MATCH(P1426&amp;"."&amp;Q1426,R$5:R1425,0)),P1426&amp;"."&amp;Q1426,P1426&amp;"."&amp;Q1426&amp;COUNTIFS(P$5:P1425,P1426,Q$5:Q1425,Q1426))</f>
        <v>334.NA1</v>
      </c>
      <c r="S1426" s="55">
        <f t="shared" si="81"/>
        <v>37344286.519465275</v>
      </c>
    </row>
    <row r="1427" spans="1:19" hidden="1">
      <c r="A1427" s="5">
        <v>1492</v>
      </c>
      <c r="B1427" s="59"/>
      <c r="C1427" s="60"/>
      <c r="D1427" s="63"/>
      <c r="E1427" s="63"/>
      <c r="F1427" s="63"/>
      <c r="G1427" s="63"/>
      <c r="H1427" s="62"/>
      <c r="I1427" s="66"/>
      <c r="J1427" s="66"/>
      <c r="K1427" s="62"/>
      <c r="L1427" s="66"/>
      <c r="M1427" s="66"/>
      <c r="N1427" s="66"/>
      <c r="P1427">
        <f t="shared" si="79"/>
        <v>334</v>
      </c>
      <c r="Q1427" t="str">
        <f t="shared" si="80"/>
        <v>NA</v>
      </c>
      <c r="R1427" t="str">
        <f>IF(ISERROR(MATCH(P1427&amp;"."&amp;Q1427,R$5:R1426,0)),P1427&amp;"."&amp;Q1427,P1427&amp;"."&amp;Q1427&amp;COUNTIFS(P$5:P1426,P1427,Q$5:Q1426,Q1427))</f>
        <v>334.NA2</v>
      </c>
      <c r="S1427" s="55">
        <f t="shared" si="81"/>
        <v>0</v>
      </c>
    </row>
    <row r="1428" spans="1:19" hidden="1">
      <c r="A1428" s="5">
        <v>1493</v>
      </c>
      <c r="B1428" s="59"/>
      <c r="C1428" s="60"/>
      <c r="D1428" s="63"/>
      <c r="E1428" s="63"/>
      <c r="F1428" s="63"/>
      <c r="G1428" s="63"/>
      <c r="H1428" s="62"/>
      <c r="I1428" s="65"/>
      <c r="J1428" s="65"/>
      <c r="K1428" s="62"/>
      <c r="L1428" s="65"/>
      <c r="M1428" s="65"/>
      <c r="N1428" s="65"/>
      <c r="P1428">
        <f t="shared" si="79"/>
        <v>334</v>
      </c>
      <c r="Q1428" t="str">
        <f t="shared" si="80"/>
        <v>NA</v>
      </c>
      <c r="R1428" t="str">
        <f>IF(ISERROR(MATCH(P1428&amp;"."&amp;Q1428,R$5:R1427,0)),P1428&amp;"."&amp;Q1428,P1428&amp;"."&amp;Q1428&amp;COUNTIFS(P$5:P1427,P1428,Q$5:Q1427,Q1428))</f>
        <v>334.NA3</v>
      </c>
      <c r="S1428" s="55">
        <f t="shared" si="81"/>
        <v>0</v>
      </c>
    </row>
    <row r="1429" spans="1:19" hidden="1">
      <c r="A1429" s="5">
        <v>1494</v>
      </c>
      <c r="B1429" s="59"/>
      <c r="C1429" s="60"/>
      <c r="D1429" s="61"/>
      <c r="E1429" s="63"/>
      <c r="F1429" s="63"/>
      <c r="G1429" s="63"/>
      <c r="H1429" s="62"/>
      <c r="I1429" s="65"/>
      <c r="J1429" s="65"/>
      <c r="K1429" s="62"/>
      <c r="L1429" s="65"/>
      <c r="M1429" s="65"/>
      <c r="N1429" s="65"/>
      <c r="P1429">
        <f t="shared" si="79"/>
        <v>334</v>
      </c>
      <c r="Q1429" t="str">
        <f t="shared" si="80"/>
        <v>NA</v>
      </c>
      <c r="R1429" t="str">
        <f>IF(ISERROR(MATCH(P1429&amp;"."&amp;Q1429,R$5:R1428,0)),P1429&amp;"."&amp;Q1429,P1429&amp;"."&amp;Q1429&amp;COUNTIFS(P$5:P1428,P1429,Q$5:Q1428,Q1429))</f>
        <v>334.NA4</v>
      </c>
      <c r="S1429" s="55">
        <f t="shared" si="81"/>
        <v>0</v>
      </c>
    </row>
    <row r="1430" spans="1:19" hidden="1">
      <c r="A1430" s="5">
        <v>1495</v>
      </c>
      <c r="B1430" s="59"/>
      <c r="C1430" s="60">
        <v>335</v>
      </c>
      <c r="D1430" s="63" t="s">
        <v>513</v>
      </c>
      <c r="E1430" s="70"/>
      <c r="F1430" s="60"/>
      <c r="G1430" s="61"/>
      <c r="H1430" s="62"/>
      <c r="I1430" s="65"/>
      <c r="J1430" s="65"/>
      <c r="K1430" s="62"/>
      <c r="L1430" s="65"/>
      <c r="M1430" s="65"/>
      <c r="N1430" s="64"/>
      <c r="P1430">
        <f t="shared" si="79"/>
        <v>335</v>
      </c>
      <c r="Q1430" t="str">
        <f t="shared" si="80"/>
        <v>NA</v>
      </c>
      <c r="R1430" t="str">
        <f>IF(ISERROR(MATCH(P1430&amp;"."&amp;Q1430,R$5:R1429,0)),P1430&amp;"."&amp;Q1430,P1430&amp;"."&amp;Q1430&amp;COUNTIFS(P$5:P1429,P1430,Q$5:Q1429,Q1430))</f>
        <v>335.NA</v>
      </c>
      <c r="S1430" s="55">
        <f t="shared" si="81"/>
        <v>0</v>
      </c>
    </row>
    <row r="1431" spans="1:19" hidden="1">
      <c r="A1431" s="5">
        <v>1496</v>
      </c>
      <c r="B1431" s="59"/>
      <c r="C1431" s="60"/>
      <c r="D1431" s="63"/>
      <c r="E1431" s="70"/>
      <c r="F1431" s="60" t="s">
        <v>13</v>
      </c>
      <c r="G1431" s="61" t="s">
        <v>15</v>
      </c>
      <c r="H1431" s="62"/>
      <c r="I1431" s="65">
        <v>1130832.42538462</v>
      </c>
      <c r="J1431" s="65">
        <v>497537.97523771611</v>
      </c>
      <c r="K1431" s="62"/>
      <c r="L1431" s="65">
        <v>1130832.42538462</v>
      </c>
      <c r="M1431" s="65">
        <v>633294.45014690387</v>
      </c>
      <c r="N1431" s="64">
        <v>497537.97523771611</v>
      </c>
      <c r="P1431">
        <f t="shared" si="79"/>
        <v>335</v>
      </c>
      <c r="Q1431" t="str">
        <f t="shared" si="80"/>
        <v>SG</v>
      </c>
      <c r="R1431" t="str">
        <f>IF(ISERROR(MATCH(P1431&amp;"."&amp;Q1431,R$5:R1430,0)),P1431&amp;"."&amp;Q1431,P1431&amp;"."&amp;Q1431&amp;COUNTIFS(P$5:P1430,P1431,Q$5:Q1430,Q1431))</f>
        <v>335.SG</v>
      </c>
      <c r="S1431" s="55">
        <f t="shared" si="81"/>
        <v>497537.97523771611</v>
      </c>
    </row>
    <row r="1432" spans="1:19" hidden="1">
      <c r="A1432" s="5">
        <v>1497</v>
      </c>
      <c r="B1432" s="59"/>
      <c r="C1432" s="60"/>
      <c r="D1432" s="63"/>
      <c r="E1432" s="70"/>
      <c r="F1432" s="60" t="s">
        <v>13</v>
      </c>
      <c r="G1432" s="61" t="s">
        <v>15</v>
      </c>
      <c r="H1432" s="62"/>
      <c r="I1432" s="65">
        <v>155551.758461538</v>
      </c>
      <c r="J1432" s="65">
        <v>68438.882023830301</v>
      </c>
      <c r="K1432" s="62"/>
      <c r="L1432" s="65">
        <v>155551.758461538</v>
      </c>
      <c r="M1432" s="65">
        <v>87112.876437707702</v>
      </c>
      <c r="N1432" s="64">
        <v>68438.882023830301</v>
      </c>
      <c r="P1432">
        <f t="shared" si="79"/>
        <v>335</v>
      </c>
      <c r="Q1432" t="str">
        <f t="shared" si="80"/>
        <v>SG</v>
      </c>
      <c r="R1432" t="str">
        <f>IF(ISERROR(MATCH(P1432&amp;"."&amp;Q1432,R$5:R1431,0)),P1432&amp;"."&amp;Q1432,P1432&amp;"."&amp;Q1432&amp;COUNTIFS(P$5:P1431,P1432,Q$5:Q1431,Q1432))</f>
        <v>335.SG1</v>
      </c>
      <c r="S1432" s="55">
        <f t="shared" si="81"/>
        <v>68438.882023830301</v>
      </c>
    </row>
    <row r="1433" spans="1:19" hidden="1">
      <c r="A1433" s="5">
        <v>1498</v>
      </c>
      <c r="B1433" s="59"/>
      <c r="C1433" s="60"/>
      <c r="D1433" s="63"/>
      <c r="E1433" s="70"/>
      <c r="F1433" s="60" t="s">
        <v>13</v>
      </c>
      <c r="G1433" s="61" t="s">
        <v>15</v>
      </c>
      <c r="H1433" s="62"/>
      <c r="I1433" s="65">
        <v>1166321.56</v>
      </c>
      <c r="J1433" s="65">
        <v>513152.3065772772</v>
      </c>
      <c r="K1433" s="62"/>
      <c r="L1433" s="65">
        <v>1166321.56</v>
      </c>
      <c r="M1433" s="65">
        <v>653169.25342272292</v>
      </c>
      <c r="N1433" s="64">
        <v>513152.3065772772</v>
      </c>
      <c r="P1433">
        <f t="shared" si="79"/>
        <v>335</v>
      </c>
      <c r="Q1433" t="str">
        <f t="shared" si="80"/>
        <v>SG</v>
      </c>
      <c r="R1433" t="str">
        <f>IF(ISERROR(MATCH(P1433&amp;"."&amp;Q1433,R$5:R1432,0)),P1433&amp;"."&amp;Q1433,P1433&amp;"."&amp;Q1433&amp;COUNTIFS(P$5:P1432,P1433,Q$5:Q1432,Q1433))</f>
        <v>335.SG2</v>
      </c>
      <c r="S1433" s="55">
        <f t="shared" si="81"/>
        <v>513152.3065772772</v>
      </c>
    </row>
    <row r="1434" spans="1:19" hidden="1">
      <c r="A1434" s="5">
        <v>1499</v>
      </c>
      <c r="B1434" s="59"/>
      <c r="C1434" s="60"/>
      <c r="D1434" s="63"/>
      <c r="E1434" s="63"/>
      <c r="F1434" s="63" t="s">
        <v>13</v>
      </c>
      <c r="G1434" s="63" t="s">
        <v>15</v>
      </c>
      <c r="H1434" s="62"/>
      <c r="I1434" s="66">
        <v>18279.009999999998</v>
      </c>
      <c r="J1434" s="66">
        <v>8042.3070833476786</v>
      </c>
      <c r="K1434" s="62"/>
      <c r="L1434" s="66">
        <v>18279.009999999998</v>
      </c>
      <c r="M1434" s="66">
        <v>10236.702916652321</v>
      </c>
      <c r="N1434" s="66">
        <v>8042.3070833476786</v>
      </c>
      <c r="P1434">
        <f t="shared" si="79"/>
        <v>335</v>
      </c>
      <c r="Q1434" t="str">
        <f t="shared" si="80"/>
        <v>SG</v>
      </c>
      <c r="R1434" t="str">
        <f>IF(ISERROR(MATCH(P1434&amp;"."&amp;Q1434,R$5:R1433,0)),P1434&amp;"."&amp;Q1434,P1434&amp;"."&amp;Q1434&amp;COUNTIFS(P$5:P1433,P1434,Q$5:Q1433,Q1434))</f>
        <v>335.SG3</v>
      </c>
      <c r="S1434" s="55">
        <f t="shared" si="81"/>
        <v>8042.3070833476786</v>
      </c>
    </row>
    <row r="1435" spans="1:19" hidden="1">
      <c r="A1435" s="5">
        <v>1500</v>
      </c>
      <c r="B1435" s="59"/>
      <c r="C1435" s="60"/>
      <c r="D1435" s="63"/>
      <c r="E1435" s="63"/>
      <c r="F1435" s="63"/>
      <c r="G1435" s="63"/>
      <c r="H1435" s="62" t="s">
        <v>501</v>
      </c>
      <c r="I1435" s="65">
        <v>2470984.7538461578</v>
      </c>
      <c r="J1435" s="65">
        <v>1087171.4709221711</v>
      </c>
      <c r="K1435" s="62"/>
      <c r="L1435" s="65">
        <v>2470984.7538461578</v>
      </c>
      <c r="M1435" s="65">
        <v>1383813.2829239869</v>
      </c>
      <c r="N1435" s="65">
        <v>1087171.4709221711</v>
      </c>
      <c r="P1435">
        <f t="shared" si="79"/>
        <v>335</v>
      </c>
      <c r="Q1435" t="str">
        <f t="shared" si="80"/>
        <v>NA</v>
      </c>
      <c r="R1435" t="str">
        <f>IF(ISERROR(MATCH(P1435&amp;"."&amp;Q1435,R$5:R1434,0)),P1435&amp;"."&amp;Q1435,P1435&amp;"."&amp;Q1435&amp;COUNTIFS(P$5:P1434,P1435,Q$5:Q1434,Q1435))</f>
        <v>335.NA1</v>
      </c>
      <c r="S1435" s="55">
        <f t="shared" si="81"/>
        <v>1087171.4709221711</v>
      </c>
    </row>
    <row r="1436" spans="1:19" ht="15.75" hidden="1" thickBot="1">
      <c r="A1436" s="5">
        <v>1501</v>
      </c>
      <c r="B1436" s="59"/>
      <c r="C1436" s="45"/>
      <c r="D1436" s="63"/>
      <c r="E1436" s="63"/>
      <c r="F1436" s="63"/>
      <c r="G1436" s="63"/>
      <c r="H1436" s="41"/>
      <c r="I1436" s="68"/>
      <c r="J1436" s="68"/>
      <c r="K1436" s="41"/>
      <c r="L1436" s="68"/>
      <c r="M1436" s="68"/>
      <c r="N1436" s="68"/>
      <c r="P1436">
        <f t="shared" si="79"/>
        <v>335</v>
      </c>
      <c r="Q1436" t="str">
        <f t="shared" si="80"/>
        <v>NA</v>
      </c>
      <c r="R1436" t="str">
        <f>IF(ISERROR(MATCH(P1436&amp;"."&amp;Q1436,R$5:R1435,0)),P1436&amp;"."&amp;Q1436,P1436&amp;"."&amp;Q1436&amp;COUNTIFS(P$5:P1435,P1436,Q$5:Q1435,Q1436))</f>
        <v>335.NA2</v>
      </c>
      <c r="S1436" s="55">
        <f t="shared" si="81"/>
        <v>0</v>
      </c>
    </row>
    <row r="1437" spans="1:19" hidden="1">
      <c r="A1437" s="5">
        <v>1502</v>
      </c>
      <c r="B1437" s="59"/>
      <c r="C1437" s="60">
        <v>336</v>
      </c>
      <c r="D1437" s="63" t="s">
        <v>520</v>
      </c>
      <c r="E1437" s="63"/>
      <c r="F1437" s="63"/>
      <c r="G1437" s="63"/>
      <c r="H1437" s="62"/>
      <c r="I1437" s="65"/>
      <c r="J1437" s="65"/>
      <c r="K1437" s="62"/>
      <c r="L1437" s="65"/>
      <c r="M1437" s="65"/>
      <c r="N1437" s="65"/>
      <c r="P1437">
        <f t="shared" si="79"/>
        <v>336</v>
      </c>
      <c r="Q1437" t="str">
        <f t="shared" si="80"/>
        <v>NA</v>
      </c>
      <c r="R1437" t="str">
        <f>IF(ISERROR(MATCH(P1437&amp;"."&amp;Q1437,R$5:R1436,0)),P1437&amp;"."&amp;Q1437,P1437&amp;"."&amp;Q1437&amp;COUNTIFS(P$5:P1436,P1437,Q$5:Q1436,Q1437))</f>
        <v>336.NA</v>
      </c>
      <c r="S1437" s="55">
        <f t="shared" si="81"/>
        <v>0</v>
      </c>
    </row>
    <row r="1438" spans="1:19" hidden="1">
      <c r="A1438" s="5">
        <v>1503</v>
      </c>
      <c r="B1438" s="59"/>
      <c r="C1438" s="60"/>
      <c r="D1438" s="63"/>
      <c r="E1438" s="63"/>
      <c r="F1438" s="63" t="s">
        <v>13</v>
      </c>
      <c r="G1438" s="63" t="s">
        <v>15</v>
      </c>
      <c r="H1438" s="62"/>
      <c r="I1438" s="65">
        <v>4333283.5053846203</v>
      </c>
      <c r="J1438" s="65">
        <v>1906536.3293476175</v>
      </c>
      <c r="K1438" s="62"/>
      <c r="L1438" s="65">
        <v>4333283.5053846203</v>
      </c>
      <c r="M1438" s="65">
        <v>2426747.1760370028</v>
      </c>
      <c r="N1438" s="65">
        <v>1906536.3293476175</v>
      </c>
      <c r="P1438">
        <f t="shared" si="79"/>
        <v>336</v>
      </c>
      <c r="Q1438" t="str">
        <f t="shared" si="80"/>
        <v>SG</v>
      </c>
      <c r="R1438" t="str">
        <f>IF(ISERROR(MATCH(P1438&amp;"."&amp;Q1438,R$5:R1437,0)),P1438&amp;"."&amp;Q1438,P1438&amp;"."&amp;Q1438&amp;COUNTIFS(P$5:P1437,P1438,Q$5:Q1437,Q1438))</f>
        <v>336.SG</v>
      </c>
      <c r="S1438" s="55">
        <f t="shared" si="81"/>
        <v>1906536.3293476175</v>
      </c>
    </row>
    <row r="1439" spans="1:19" hidden="1">
      <c r="A1439" s="5">
        <v>1504</v>
      </c>
      <c r="B1439" s="59"/>
      <c r="C1439" s="60"/>
      <c r="D1439" s="63"/>
      <c r="E1439" s="61"/>
      <c r="F1439" s="63" t="s">
        <v>13</v>
      </c>
      <c r="G1439" s="63" t="s">
        <v>15</v>
      </c>
      <c r="H1439" s="62"/>
      <c r="I1439" s="65">
        <v>770862.250769231</v>
      </c>
      <c r="J1439" s="65">
        <v>339160.10438457673</v>
      </c>
      <c r="K1439" s="62"/>
      <c r="L1439" s="65">
        <v>770862.250769231</v>
      </c>
      <c r="M1439" s="65">
        <v>431702.14638465428</v>
      </c>
      <c r="N1439" s="64">
        <v>339160.10438457673</v>
      </c>
      <c r="P1439">
        <f t="shared" si="79"/>
        <v>336</v>
      </c>
      <c r="Q1439" t="str">
        <f t="shared" si="80"/>
        <v>SG</v>
      </c>
      <c r="R1439" t="str">
        <f>IF(ISERROR(MATCH(P1439&amp;"."&amp;Q1439,R$5:R1438,0)),P1439&amp;"."&amp;Q1439,P1439&amp;"."&amp;Q1439&amp;COUNTIFS(P$5:P1438,P1439,Q$5:Q1438,Q1439))</f>
        <v>336.SG1</v>
      </c>
      <c r="S1439" s="55">
        <f t="shared" si="81"/>
        <v>339160.10438457673</v>
      </c>
    </row>
    <row r="1440" spans="1:19" hidden="1">
      <c r="A1440" s="5">
        <v>1505</v>
      </c>
      <c r="B1440" s="59"/>
      <c r="C1440" s="60"/>
      <c r="D1440" s="63"/>
      <c r="E1440" s="70"/>
      <c r="F1440" s="63" t="s">
        <v>13</v>
      </c>
      <c r="G1440" s="63" t="s">
        <v>15</v>
      </c>
      <c r="H1440" s="62"/>
      <c r="I1440" s="65">
        <v>18344615.027692299</v>
      </c>
      <c r="J1440" s="65">
        <v>8071171.6541812746</v>
      </c>
      <c r="K1440" s="62"/>
      <c r="L1440" s="65">
        <v>18344615.027692299</v>
      </c>
      <c r="M1440" s="65">
        <v>10273443.373511024</v>
      </c>
      <c r="N1440" s="64">
        <v>8071171.6541812746</v>
      </c>
      <c r="P1440">
        <f t="shared" si="79"/>
        <v>336</v>
      </c>
      <c r="Q1440" t="str">
        <f t="shared" si="80"/>
        <v>SG</v>
      </c>
      <c r="R1440" t="str">
        <f>IF(ISERROR(MATCH(P1440&amp;"."&amp;Q1440,R$5:R1439,0)),P1440&amp;"."&amp;Q1440,P1440&amp;"."&amp;Q1440&amp;COUNTIFS(P$5:P1439,P1440,Q$5:Q1439,Q1440))</f>
        <v>336.SG2</v>
      </c>
      <c r="S1440" s="55">
        <f t="shared" si="81"/>
        <v>8071171.6541812746</v>
      </c>
    </row>
    <row r="1441" spans="1:19" hidden="1">
      <c r="A1441" s="5">
        <v>1506</v>
      </c>
      <c r="B1441" s="59"/>
      <c r="C1441" s="60"/>
      <c r="D1441" s="63"/>
      <c r="E1441" s="61"/>
      <c r="F1441" s="63" t="s">
        <v>13</v>
      </c>
      <c r="G1441" s="63" t="s">
        <v>15</v>
      </c>
      <c r="H1441" s="62"/>
      <c r="I1441" s="65">
        <v>1431462.7876923101</v>
      </c>
      <c r="J1441" s="65">
        <v>629807.81327908242</v>
      </c>
      <c r="K1441" s="62"/>
      <c r="L1441" s="65">
        <v>1431462.7876923101</v>
      </c>
      <c r="M1441" s="65">
        <v>801654.97441322764</v>
      </c>
      <c r="N1441" s="64">
        <v>629807.81327908242</v>
      </c>
      <c r="P1441">
        <f t="shared" si="79"/>
        <v>336</v>
      </c>
      <c r="Q1441" t="str">
        <f t="shared" si="80"/>
        <v>SG</v>
      </c>
      <c r="R1441" t="str">
        <f>IF(ISERROR(MATCH(P1441&amp;"."&amp;Q1441,R$5:R1440,0)),P1441&amp;"."&amp;Q1441,P1441&amp;"."&amp;Q1441&amp;COUNTIFS(P$5:P1440,P1441,Q$5:Q1440,Q1441))</f>
        <v>336.SG3</v>
      </c>
      <c r="S1441" s="55">
        <f t="shared" si="81"/>
        <v>629807.81327908242</v>
      </c>
    </row>
    <row r="1442" spans="1:19" hidden="1">
      <c r="A1442" s="5">
        <v>1507</v>
      </c>
      <c r="B1442" s="59"/>
      <c r="C1442" s="60"/>
      <c r="D1442" s="63"/>
      <c r="E1442" s="61"/>
      <c r="F1442" s="63"/>
      <c r="G1442" s="63"/>
      <c r="H1442" s="62" t="s">
        <v>501</v>
      </c>
      <c r="I1442" s="65">
        <v>24880223.57153846</v>
      </c>
      <c r="J1442" s="65">
        <v>10946675.901192551</v>
      </c>
      <c r="K1442" s="62"/>
      <c r="L1442" s="65">
        <v>24880223.57153846</v>
      </c>
      <c r="M1442" s="65">
        <v>13933547.670345908</v>
      </c>
      <c r="N1442" s="64">
        <v>10946675.901192551</v>
      </c>
      <c r="P1442">
        <f t="shared" si="79"/>
        <v>336</v>
      </c>
      <c r="Q1442" t="str">
        <f t="shared" si="80"/>
        <v>NA</v>
      </c>
      <c r="R1442" t="str">
        <f>IF(ISERROR(MATCH(P1442&amp;"."&amp;Q1442,R$5:R1441,0)),P1442&amp;"."&amp;Q1442,P1442&amp;"."&amp;Q1442&amp;COUNTIFS(P$5:P1441,P1442,Q$5:Q1441,Q1442))</f>
        <v>336.NA1</v>
      </c>
      <c r="S1442" s="55">
        <f t="shared" si="81"/>
        <v>10946675.901192551</v>
      </c>
    </row>
    <row r="1443" spans="1:19" ht="15.75" hidden="1" thickBot="1">
      <c r="A1443" s="5">
        <v>1508</v>
      </c>
      <c r="B1443" s="59"/>
      <c r="C1443" s="60"/>
      <c r="D1443" s="63"/>
      <c r="E1443" s="63"/>
      <c r="F1443" s="63"/>
      <c r="G1443" s="63"/>
      <c r="H1443" s="62"/>
      <c r="I1443" s="81"/>
      <c r="J1443" s="81"/>
      <c r="K1443" s="62"/>
      <c r="L1443" s="81"/>
      <c r="M1443" s="81"/>
      <c r="N1443" s="81"/>
      <c r="P1443">
        <f t="shared" si="79"/>
        <v>336</v>
      </c>
      <c r="Q1443" t="str">
        <f t="shared" si="80"/>
        <v>NA</v>
      </c>
      <c r="R1443" t="str">
        <f>IF(ISERROR(MATCH(P1443&amp;"."&amp;Q1443,R$5:R1442,0)),P1443&amp;"."&amp;Q1443,P1443&amp;"."&amp;Q1443&amp;COUNTIFS(P$5:P1442,P1443,Q$5:Q1442,Q1443))</f>
        <v>336.NA2</v>
      </c>
      <c r="S1443" s="55">
        <f t="shared" si="81"/>
        <v>0</v>
      </c>
    </row>
    <row r="1444" spans="1:19" hidden="1">
      <c r="A1444" s="5">
        <v>1509</v>
      </c>
      <c r="B1444" s="59"/>
      <c r="C1444" s="60">
        <v>337</v>
      </c>
      <c r="D1444" s="63" t="s">
        <v>521</v>
      </c>
      <c r="E1444" s="63"/>
      <c r="F1444" s="63"/>
      <c r="G1444" s="63"/>
      <c r="H1444" s="62"/>
      <c r="I1444" s="65"/>
      <c r="J1444" s="65"/>
      <c r="K1444" s="62"/>
      <c r="L1444" s="65"/>
      <c r="M1444" s="65"/>
      <c r="N1444" s="65"/>
      <c r="P1444">
        <f t="shared" si="79"/>
        <v>337</v>
      </c>
      <c r="Q1444" t="str">
        <f t="shared" si="80"/>
        <v>NA</v>
      </c>
      <c r="R1444" t="str">
        <f>IF(ISERROR(MATCH(P1444&amp;"."&amp;Q1444,R$5:R1443,0)),P1444&amp;"."&amp;Q1444,P1444&amp;"."&amp;Q1444&amp;COUNTIFS(P$5:P1443,P1444,Q$5:Q1443,Q1444))</f>
        <v>337.NA</v>
      </c>
      <c r="S1444" s="55">
        <f t="shared" si="81"/>
        <v>0</v>
      </c>
    </row>
    <row r="1445" spans="1:19" hidden="1">
      <c r="A1445" s="5">
        <v>1510</v>
      </c>
      <c r="B1445" s="59"/>
      <c r="C1445" s="60"/>
      <c r="D1445" s="61"/>
      <c r="E1445" s="63"/>
      <c r="F1445" s="63" t="s">
        <v>13</v>
      </c>
      <c r="G1445" s="63" t="s">
        <v>12</v>
      </c>
      <c r="H1445" s="62"/>
      <c r="I1445" s="65">
        <v>0</v>
      </c>
      <c r="J1445" s="65">
        <v>0</v>
      </c>
      <c r="K1445" s="62"/>
      <c r="L1445" s="65">
        <v>0</v>
      </c>
      <c r="M1445" s="65">
        <v>0</v>
      </c>
      <c r="N1445" s="65">
        <v>0</v>
      </c>
      <c r="P1445">
        <f t="shared" si="79"/>
        <v>337</v>
      </c>
      <c r="Q1445" t="str">
        <f t="shared" si="80"/>
        <v>S</v>
      </c>
      <c r="R1445" t="str">
        <f>IF(ISERROR(MATCH(P1445&amp;"."&amp;Q1445,R$5:R1444,0)),P1445&amp;"."&amp;Q1445,P1445&amp;"."&amp;Q1445&amp;COUNTIFS(P$5:P1444,P1445,Q$5:Q1444,Q1445))</f>
        <v>337.S</v>
      </c>
      <c r="S1445" s="55">
        <f t="shared" si="81"/>
        <v>0</v>
      </c>
    </row>
    <row r="1446" spans="1:19" hidden="1">
      <c r="A1446" s="5">
        <v>1511</v>
      </c>
      <c r="B1446" s="59"/>
      <c r="C1446" s="60"/>
      <c r="D1446" s="63"/>
      <c r="E1446" s="63"/>
      <c r="F1446" s="60"/>
      <c r="G1446" s="61"/>
      <c r="H1446" s="62" t="s">
        <v>501</v>
      </c>
      <c r="I1446" s="65">
        <v>0</v>
      </c>
      <c r="J1446" s="65">
        <v>0</v>
      </c>
      <c r="K1446" s="62"/>
      <c r="L1446" s="65">
        <v>0</v>
      </c>
      <c r="M1446" s="65">
        <v>0</v>
      </c>
      <c r="N1446" s="64">
        <v>0</v>
      </c>
      <c r="P1446">
        <f t="shared" si="79"/>
        <v>337</v>
      </c>
      <c r="Q1446" t="str">
        <f t="shared" si="80"/>
        <v>NA</v>
      </c>
      <c r="R1446" t="str">
        <f>IF(ISERROR(MATCH(P1446&amp;"."&amp;Q1446,R$5:R1445,0)),P1446&amp;"."&amp;Q1446,P1446&amp;"."&amp;Q1446&amp;COUNTIFS(P$5:P1445,P1446,Q$5:Q1445,Q1446))</f>
        <v>337.NA1</v>
      </c>
      <c r="S1446" s="55">
        <f t="shared" si="81"/>
        <v>0</v>
      </c>
    </row>
    <row r="1447" spans="1:19" hidden="1">
      <c r="A1447" s="5">
        <v>1512</v>
      </c>
      <c r="B1447" s="59"/>
      <c r="C1447" s="60"/>
      <c r="D1447" s="63"/>
      <c r="E1447" s="63"/>
      <c r="F1447" s="60"/>
      <c r="G1447" s="61"/>
      <c r="H1447" s="62"/>
      <c r="I1447" s="65"/>
      <c r="J1447" s="65"/>
      <c r="K1447" s="62"/>
      <c r="L1447" s="65"/>
      <c r="M1447" s="65"/>
      <c r="N1447" s="64"/>
      <c r="P1447">
        <f t="shared" si="79"/>
        <v>337</v>
      </c>
      <c r="Q1447" t="str">
        <f t="shared" si="80"/>
        <v>NA</v>
      </c>
      <c r="R1447" t="str">
        <f>IF(ISERROR(MATCH(P1447&amp;"."&amp;Q1447,R$5:R1446,0)),P1447&amp;"."&amp;Q1447,P1447&amp;"."&amp;Q1447&amp;COUNTIFS(P$5:P1446,P1447,Q$5:Q1446,Q1447))</f>
        <v>337.NA2</v>
      </c>
      <c r="S1447" s="55">
        <f t="shared" si="81"/>
        <v>0</v>
      </c>
    </row>
    <row r="1448" spans="1:19" hidden="1">
      <c r="A1448" s="5">
        <v>1513</v>
      </c>
      <c r="B1448" s="59"/>
      <c r="C1448" s="60" t="s">
        <v>249</v>
      </c>
      <c r="D1448" s="63" t="s">
        <v>522</v>
      </c>
      <c r="E1448" s="63"/>
      <c r="F1448" s="60"/>
      <c r="G1448" s="61"/>
      <c r="H1448" s="62"/>
      <c r="I1448" s="65"/>
      <c r="J1448" s="65"/>
      <c r="K1448" s="62"/>
      <c r="L1448" s="65"/>
      <c r="M1448" s="65"/>
      <c r="N1448" s="64"/>
      <c r="P1448" t="str">
        <f t="shared" si="79"/>
        <v>HP</v>
      </c>
      <c r="Q1448" t="str">
        <f t="shared" si="80"/>
        <v>NA</v>
      </c>
      <c r="R1448" t="str">
        <f>IF(ISERROR(MATCH(P1448&amp;"."&amp;Q1448,R$5:R1447,0)),P1448&amp;"."&amp;Q1448,P1448&amp;"."&amp;Q1448&amp;COUNTIFS(P$5:P1447,P1448,Q$5:Q1447,Q1448))</f>
        <v>HP.NA</v>
      </c>
      <c r="S1448" s="55">
        <f t="shared" si="81"/>
        <v>0</v>
      </c>
    </row>
    <row r="1449" spans="1:19" hidden="1">
      <c r="A1449" s="5">
        <v>1514</v>
      </c>
      <c r="B1449" s="59"/>
      <c r="C1449" s="60"/>
      <c r="D1449" s="63"/>
      <c r="E1449" s="63"/>
      <c r="F1449" s="60" t="s">
        <v>13</v>
      </c>
      <c r="G1449" s="61" t="s">
        <v>12</v>
      </c>
      <c r="H1449" s="62"/>
      <c r="I1449" s="65">
        <v>0</v>
      </c>
      <c r="J1449" s="65">
        <v>0</v>
      </c>
      <c r="K1449" s="62"/>
      <c r="L1449" s="65">
        <v>0</v>
      </c>
      <c r="M1449" s="65">
        <v>0</v>
      </c>
      <c r="N1449" s="64">
        <v>0</v>
      </c>
      <c r="P1449" t="str">
        <f t="shared" si="79"/>
        <v>HP</v>
      </c>
      <c r="Q1449" t="str">
        <f t="shared" si="80"/>
        <v>S</v>
      </c>
      <c r="R1449" t="str">
        <f>IF(ISERROR(MATCH(P1449&amp;"."&amp;Q1449,R$5:R1448,0)),P1449&amp;"."&amp;Q1449,P1449&amp;"."&amp;Q1449&amp;COUNTIFS(P$5:P1448,P1449,Q$5:Q1448,Q1449))</f>
        <v>HP.S</v>
      </c>
      <c r="S1449" s="55">
        <f t="shared" si="81"/>
        <v>0</v>
      </c>
    </row>
    <row r="1450" spans="1:19" hidden="1">
      <c r="A1450" s="5">
        <v>1515</v>
      </c>
      <c r="B1450" s="59"/>
      <c r="C1450" s="60"/>
      <c r="D1450" s="63"/>
      <c r="E1450" s="63"/>
      <c r="F1450" s="63" t="s">
        <v>13</v>
      </c>
      <c r="G1450" s="63" t="s">
        <v>15</v>
      </c>
      <c r="H1450" s="62"/>
      <c r="I1450" s="66">
        <v>0</v>
      </c>
      <c r="J1450" s="66">
        <v>0</v>
      </c>
      <c r="K1450" s="62"/>
      <c r="L1450" s="66">
        <v>0</v>
      </c>
      <c r="M1450" s="66">
        <v>0</v>
      </c>
      <c r="N1450" s="66">
        <v>0</v>
      </c>
      <c r="P1450" t="str">
        <f t="shared" si="79"/>
        <v>HP</v>
      </c>
      <c r="Q1450" t="str">
        <f t="shared" si="80"/>
        <v>SG</v>
      </c>
      <c r="R1450" t="str">
        <f>IF(ISERROR(MATCH(P1450&amp;"."&amp;Q1450,R$5:R1449,0)),P1450&amp;"."&amp;Q1450,P1450&amp;"."&amp;Q1450&amp;COUNTIFS(P$5:P1449,P1450,Q$5:Q1449,Q1450))</f>
        <v>HP.SG</v>
      </c>
      <c r="S1450" s="55">
        <f t="shared" si="81"/>
        <v>0</v>
      </c>
    </row>
    <row r="1451" spans="1:19" hidden="1">
      <c r="A1451" s="5">
        <v>1516</v>
      </c>
      <c r="B1451" s="59"/>
      <c r="C1451" s="60"/>
      <c r="D1451" s="63"/>
      <c r="E1451" s="63"/>
      <c r="F1451" s="63" t="s">
        <v>13</v>
      </c>
      <c r="G1451" s="63" t="s">
        <v>15</v>
      </c>
      <c r="H1451" s="62"/>
      <c r="I1451" s="65">
        <v>0</v>
      </c>
      <c r="J1451" s="65">
        <v>0</v>
      </c>
      <c r="K1451" s="62"/>
      <c r="L1451" s="65">
        <v>0</v>
      </c>
      <c r="M1451" s="65">
        <v>0</v>
      </c>
      <c r="N1451" s="65">
        <v>0</v>
      </c>
      <c r="P1451" t="str">
        <f t="shared" si="79"/>
        <v>HP</v>
      </c>
      <c r="Q1451" t="str">
        <f t="shared" si="80"/>
        <v>SG</v>
      </c>
      <c r="R1451" t="str">
        <f>IF(ISERROR(MATCH(P1451&amp;"."&amp;Q1451,R$5:R1450,0)),P1451&amp;"."&amp;Q1451,P1451&amp;"."&amp;Q1451&amp;COUNTIFS(P$5:P1450,P1451,Q$5:Q1450,Q1451))</f>
        <v>HP.SG1</v>
      </c>
      <c r="S1451" s="55">
        <f t="shared" si="81"/>
        <v>0</v>
      </c>
    </row>
    <row r="1452" spans="1:19" hidden="1">
      <c r="A1452" s="5">
        <v>1517</v>
      </c>
      <c r="B1452" s="59"/>
      <c r="C1452" s="60"/>
      <c r="D1452" s="61"/>
      <c r="E1452" s="63"/>
      <c r="F1452" s="63" t="s">
        <v>13</v>
      </c>
      <c r="G1452" s="63" t="s">
        <v>15</v>
      </c>
      <c r="H1452" s="62"/>
      <c r="I1452" s="65">
        <v>0</v>
      </c>
      <c r="J1452" s="65">
        <v>0</v>
      </c>
      <c r="K1452" s="62"/>
      <c r="L1452" s="65">
        <v>0</v>
      </c>
      <c r="M1452" s="65">
        <v>0</v>
      </c>
      <c r="N1452" s="65">
        <v>0</v>
      </c>
      <c r="P1452" t="str">
        <f t="shared" si="79"/>
        <v>HP</v>
      </c>
      <c r="Q1452" t="str">
        <f t="shared" si="80"/>
        <v>SG</v>
      </c>
      <c r="R1452" t="str">
        <f>IF(ISERROR(MATCH(P1452&amp;"."&amp;Q1452,R$5:R1451,0)),P1452&amp;"."&amp;Q1452,P1452&amp;"."&amp;Q1452&amp;COUNTIFS(P$5:P1451,P1452,Q$5:Q1451,Q1452))</f>
        <v>HP.SG2</v>
      </c>
      <c r="S1452" s="55">
        <f t="shared" si="81"/>
        <v>0</v>
      </c>
    </row>
    <row r="1453" spans="1:19" hidden="1">
      <c r="A1453" s="5">
        <v>1518</v>
      </c>
      <c r="B1453" s="59"/>
      <c r="C1453" s="60"/>
      <c r="D1453" s="63"/>
      <c r="E1453" s="63"/>
      <c r="F1453" s="60"/>
      <c r="G1453" s="61"/>
      <c r="H1453" s="62" t="s">
        <v>501</v>
      </c>
      <c r="I1453" s="65">
        <v>0</v>
      </c>
      <c r="J1453" s="65">
        <v>0</v>
      </c>
      <c r="K1453" s="62"/>
      <c r="L1453" s="65">
        <v>0</v>
      </c>
      <c r="M1453" s="65">
        <v>0</v>
      </c>
      <c r="N1453" s="64">
        <v>0</v>
      </c>
      <c r="P1453" t="str">
        <f t="shared" si="79"/>
        <v>HP</v>
      </c>
      <c r="Q1453" t="str">
        <f t="shared" si="80"/>
        <v>NA</v>
      </c>
      <c r="R1453" t="str">
        <f>IF(ISERROR(MATCH(P1453&amp;"."&amp;Q1453,R$5:R1452,0)),P1453&amp;"."&amp;Q1453,P1453&amp;"."&amp;Q1453&amp;COUNTIFS(P$5:P1452,P1453,Q$5:Q1452,Q1453))</f>
        <v>HP.NA1</v>
      </c>
      <c r="S1453" s="55">
        <f t="shared" si="81"/>
        <v>0</v>
      </c>
    </row>
    <row r="1454" spans="1:19" hidden="1">
      <c r="A1454" s="5">
        <v>1519</v>
      </c>
      <c r="B1454" s="59"/>
      <c r="C1454" s="60"/>
      <c r="D1454" s="63"/>
      <c r="E1454" s="63"/>
      <c r="F1454" s="60"/>
      <c r="G1454" s="61"/>
      <c r="H1454" s="62"/>
      <c r="I1454" s="65"/>
      <c r="J1454" s="65"/>
      <c r="K1454" s="62"/>
      <c r="L1454" s="65"/>
      <c r="M1454" s="65"/>
      <c r="N1454" s="64"/>
      <c r="P1454" t="str">
        <f t="shared" si="79"/>
        <v>HP</v>
      </c>
      <c r="Q1454" t="str">
        <f t="shared" si="80"/>
        <v>NA</v>
      </c>
      <c r="R1454" t="str">
        <f>IF(ISERROR(MATCH(P1454&amp;"."&amp;Q1454,R$5:R1453,0)),P1454&amp;"."&amp;Q1454,P1454&amp;"."&amp;Q1454&amp;COUNTIFS(P$5:P1453,P1454,Q$5:Q1453,Q1454))</f>
        <v>HP.NA2</v>
      </c>
      <c r="S1454" s="55">
        <f t="shared" si="81"/>
        <v>0</v>
      </c>
    </row>
    <row r="1455" spans="1:19" hidden="1">
      <c r="A1455" s="5">
        <v>1520</v>
      </c>
      <c r="B1455" s="59"/>
      <c r="C1455" s="60" t="s">
        <v>523</v>
      </c>
      <c r="D1455" s="63"/>
      <c r="E1455" s="63"/>
      <c r="F1455" s="60"/>
      <c r="G1455" s="61"/>
      <c r="H1455" s="62" t="s">
        <v>501</v>
      </c>
      <c r="I1455" s="65">
        <v>1077728209.9423077</v>
      </c>
      <c r="J1455" s="65">
        <v>474173449.04032755</v>
      </c>
      <c r="K1455" s="62"/>
      <c r="L1455" s="65">
        <v>1120646894.7165158</v>
      </c>
      <c r="M1455" s="65">
        <v>627590298.14426076</v>
      </c>
      <c r="N1455" s="64">
        <v>493056596.57225519</v>
      </c>
      <c r="P1455" t="str">
        <f t="shared" si="79"/>
        <v>Total Hydraulic Production Plant</v>
      </c>
      <c r="Q1455" t="str">
        <f t="shared" si="80"/>
        <v>NA</v>
      </c>
      <c r="R1455" t="str">
        <f>IF(ISERROR(MATCH(P1455&amp;"."&amp;Q1455,R$5:R1454,0)),P1455&amp;"."&amp;Q1455,P1455&amp;"."&amp;Q1455&amp;COUNTIFS(P$5:P1454,P1455,Q$5:Q1454,Q1455))</f>
        <v>Total Hydraulic Production Plant.NA</v>
      </c>
      <c r="S1455" s="55">
        <f t="shared" si="81"/>
        <v>493056596.57225519</v>
      </c>
    </row>
    <row r="1456" spans="1:19" hidden="1">
      <c r="A1456" s="5">
        <v>1521</v>
      </c>
      <c r="B1456" s="59"/>
      <c r="C1456" s="60"/>
      <c r="D1456" s="63"/>
      <c r="E1456" s="63"/>
      <c r="F1456" s="60"/>
      <c r="G1456" s="61"/>
      <c r="H1456" s="62"/>
      <c r="I1456" s="65"/>
      <c r="J1456" s="65"/>
      <c r="K1456" s="62"/>
      <c r="L1456" s="65"/>
      <c r="M1456" s="65"/>
      <c r="N1456" s="64"/>
      <c r="P1456" t="str">
        <f t="shared" si="79"/>
        <v>Total Hydraulic Production Plant</v>
      </c>
      <c r="Q1456" t="str">
        <f t="shared" si="80"/>
        <v>NA</v>
      </c>
      <c r="R1456" t="str">
        <f>IF(ISERROR(MATCH(P1456&amp;"."&amp;Q1456,R$5:R1455,0)),P1456&amp;"."&amp;Q1456,P1456&amp;"."&amp;Q1456&amp;COUNTIFS(P$5:P1455,P1456,Q$5:Q1455,Q1456))</f>
        <v>Total Hydraulic Production Plant.NA1</v>
      </c>
      <c r="S1456" s="55">
        <f t="shared" si="81"/>
        <v>0</v>
      </c>
    </row>
    <row r="1457" spans="1:19" hidden="1">
      <c r="A1457" s="5">
        <v>1522</v>
      </c>
      <c r="B1457" s="59"/>
      <c r="C1457" s="60" t="s">
        <v>524</v>
      </c>
      <c r="D1457" s="63"/>
      <c r="E1457" s="63"/>
      <c r="F1457" s="63"/>
      <c r="G1457" s="63"/>
      <c r="H1457" s="62"/>
      <c r="I1457" s="66"/>
      <c r="J1457" s="66"/>
      <c r="K1457" s="62"/>
      <c r="L1457" s="66"/>
      <c r="M1457" s="66"/>
      <c r="N1457" s="66"/>
      <c r="P1457" t="str">
        <f t="shared" si="79"/>
        <v>Summary of Hydraulic Plant by Factor</v>
      </c>
      <c r="Q1457" t="str">
        <f t="shared" si="80"/>
        <v>NA</v>
      </c>
      <c r="R1457" t="str">
        <f>IF(ISERROR(MATCH(P1457&amp;"."&amp;Q1457,R$5:R1456,0)),P1457&amp;"."&amp;Q1457,P1457&amp;"."&amp;Q1457&amp;COUNTIFS(P$5:P1456,P1457,Q$5:Q1456,Q1457))</f>
        <v>Summary of Hydraulic Plant by Factor.NA</v>
      </c>
      <c r="S1457" s="55">
        <f t="shared" si="81"/>
        <v>0</v>
      </c>
    </row>
    <row r="1458" spans="1:19" hidden="1">
      <c r="A1458" s="5">
        <v>1523</v>
      </c>
      <c r="B1458" s="59"/>
      <c r="C1458" s="60"/>
      <c r="D1458" s="63"/>
      <c r="E1458" s="63" t="s">
        <v>12</v>
      </c>
      <c r="F1458" s="63"/>
      <c r="G1458" s="63"/>
      <c r="H1458" s="62"/>
      <c r="I1458" s="65">
        <v>0</v>
      </c>
      <c r="J1458" s="65">
        <v>0</v>
      </c>
      <c r="K1458" s="62"/>
      <c r="L1458" s="65">
        <v>0</v>
      </c>
      <c r="M1458" s="65">
        <v>0</v>
      </c>
      <c r="N1458" s="65">
        <v>0</v>
      </c>
      <c r="P1458" t="str">
        <f t="shared" si="79"/>
        <v>Summary of Hydraulic Plant by Factor</v>
      </c>
      <c r="Q1458" t="str">
        <f t="shared" si="80"/>
        <v>NA</v>
      </c>
      <c r="R1458" t="str">
        <f>IF(ISERROR(MATCH(P1458&amp;"."&amp;Q1458,R$5:R1457,0)),P1458&amp;"."&amp;Q1458,P1458&amp;"."&amp;Q1458&amp;COUNTIFS(P$5:P1457,P1458,Q$5:Q1457,Q1458))</f>
        <v>Summary of Hydraulic Plant by Factor.NA1</v>
      </c>
      <c r="S1458" s="55">
        <f t="shared" si="81"/>
        <v>0</v>
      </c>
    </row>
    <row r="1459" spans="1:19" hidden="1">
      <c r="A1459" s="5">
        <v>1524</v>
      </c>
      <c r="B1459" s="59"/>
      <c r="C1459" s="60"/>
      <c r="D1459" s="61"/>
      <c r="E1459" s="63" t="s">
        <v>15</v>
      </c>
      <c r="F1459" s="63"/>
      <c r="G1459" s="63"/>
      <c r="H1459" s="62"/>
      <c r="I1459" s="65">
        <v>1077728209.9423077</v>
      </c>
      <c r="J1459" s="65">
        <v>474173449.04032755</v>
      </c>
      <c r="K1459" s="62"/>
      <c r="L1459" s="65">
        <v>1120646894.7165158</v>
      </c>
      <c r="M1459" s="65">
        <v>627590298.14426064</v>
      </c>
      <c r="N1459" s="65">
        <v>493056596.57225519</v>
      </c>
      <c r="P1459" t="str">
        <f t="shared" si="79"/>
        <v>Summary of Hydraulic Plant by Factor</v>
      </c>
      <c r="Q1459" t="str">
        <f t="shared" si="80"/>
        <v>NA</v>
      </c>
      <c r="R1459" t="str">
        <f>IF(ISERROR(MATCH(P1459&amp;"."&amp;Q1459,R$5:R1458,0)),P1459&amp;"."&amp;Q1459,P1459&amp;"."&amp;Q1459&amp;COUNTIFS(P$5:P1458,P1459,Q$5:Q1458,Q1459))</f>
        <v>Summary of Hydraulic Plant by Factor.NA2</v>
      </c>
      <c r="S1459" s="55">
        <f t="shared" si="81"/>
        <v>493056596.57225519</v>
      </c>
    </row>
    <row r="1460" spans="1:19" hidden="1">
      <c r="A1460" s="5">
        <v>1525</v>
      </c>
      <c r="B1460" s="59"/>
      <c r="C1460" s="60"/>
      <c r="D1460" s="63"/>
      <c r="E1460" s="63" t="s">
        <v>17</v>
      </c>
      <c r="F1460" s="60"/>
      <c r="G1460" s="61"/>
      <c r="H1460" s="62"/>
      <c r="I1460" s="65">
        <v>0</v>
      </c>
      <c r="J1460" s="65">
        <v>0</v>
      </c>
      <c r="K1460" s="62"/>
      <c r="L1460" s="65">
        <v>0</v>
      </c>
      <c r="M1460" s="65">
        <v>0</v>
      </c>
      <c r="N1460" s="64">
        <v>0</v>
      </c>
      <c r="P1460" t="str">
        <f t="shared" si="79"/>
        <v>Summary of Hydraulic Plant by Factor</v>
      </c>
      <c r="Q1460" t="str">
        <f t="shared" si="80"/>
        <v>NA</v>
      </c>
      <c r="R1460" t="str">
        <f>IF(ISERROR(MATCH(P1460&amp;"."&amp;Q1460,R$5:R1459,0)),P1460&amp;"."&amp;Q1460,P1460&amp;"."&amp;Q1460&amp;COUNTIFS(P$5:P1459,P1460,Q$5:Q1459,Q1460))</f>
        <v>Summary of Hydraulic Plant by Factor.NA3</v>
      </c>
      <c r="S1460" s="55">
        <f t="shared" si="81"/>
        <v>0</v>
      </c>
    </row>
    <row r="1461" spans="1:19" hidden="1">
      <c r="A1461" s="5">
        <v>1526</v>
      </c>
      <c r="B1461" s="59"/>
      <c r="C1461" s="60"/>
      <c r="D1461" s="63"/>
      <c r="E1461" s="63" t="s">
        <v>14</v>
      </c>
      <c r="F1461" s="60"/>
      <c r="G1461" s="61"/>
      <c r="H1461" s="62"/>
      <c r="I1461" s="65">
        <v>0</v>
      </c>
      <c r="J1461" s="65">
        <v>0</v>
      </c>
      <c r="K1461" s="62"/>
      <c r="L1461" s="65">
        <v>0</v>
      </c>
      <c r="M1461" s="65">
        <v>0</v>
      </c>
      <c r="N1461" s="64">
        <v>0</v>
      </c>
      <c r="P1461" t="str">
        <f t="shared" si="79"/>
        <v>Summary of Hydraulic Plant by Factor</v>
      </c>
      <c r="Q1461" t="str">
        <f t="shared" si="80"/>
        <v>NA</v>
      </c>
      <c r="R1461" t="str">
        <f>IF(ISERROR(MATCH(P1461&amp;"."&amp;Q1461,R$5:R1460,0)),P1461&amp;"."&amp;Q1461,P1461&amp;"."&amp;Q1461&amp;COUNTIFS(P$5:P1460,P1461,Q$5:Q1460,Q1461))</f>
        <v>Summary of Hydraulic Plant by Factor.NA4</v>
      </c>
      <c r="S1461" s="55">
        <f t="shared" si="81"/>
        <v>0</v>
      </c>
    </row>
    <row r="1462" spans="1:19" hidden="1">
      <c r="A1462" s="5">
        <v>1527</v>
      </c>
      <c r="B1462" s="59"/>
      <c r="C1462" s="60" t="s">
        <v>525</v>
      </c>
      <c r="D1462" s="63"/>
      <c r="E1462" s="63"/>
      <c r="F1462" s="60"/>
      <c r="G1462" s="61"/>
      <c r="H1462" s="62" t="s">
        <v>141</v>
      </c>
      <c r="I1462" s="65">
        <v>1077728209.9423077</v>
      </c>
      <c r="J1462" s="65">
        <v>474173449.04032755</v>
      </c>
      <c r="K1462" s="62"/>
      <c r="L1462" s="65">
        <v>1120646894.7165158</v>
      </c>
      <c r="M1462" s="65">
        <v>627590298.14426064</v>
      </c>
      <c r="N1462" s="64">
        <v>493056596.57225519</v>
      </c>
      <c r="P1462" t="str">
        <f t="shared" si="79"/>
        <v>Total Hydraulic Plant by Factor</v>
      </c>
      <c r="Q1462" t="str">
        <f t="shared" si="80"/>
        <v>NA</v>
      </c>
      <c r="R1462" t="str">
        <f>IF(ISERROR(MATCH(P1462&amp;"."&amp;Q1462,R$5:R1461,0)),P1462&amp;"."&amp;Q1462,P1462&amp;"."&amp;Q1462&amp;COUNTIFS(P$5:P1461,P1462,Q$5:Q1461,Q1462))</f>
        <v>Total Hydraulic Plant by Factor.NA</v>
      </c>
      <c r="S1462" s="55">
        <f t="shared" si="81"/>
        <v>493056596.57225519</v>
      </c>
    </row>
    <row r="1463" spans="1:19" hidden="1">
      <c r="A1463" s="5">
        <v>1528</v>
      </c>
      <c r="B1463" s="59"/>
      <c r="C1463" s="60"/>
      <c r="D1463" s="63"/>
      <c r="E1463" s="63"/>
      <c r="F1463" s="63"/>
      <c r="G1463" s="63"/>
      <c r="H1463" s="62"/>
      <c r="I1463" s="66"/>
      <c r="J1463" s="66"/>
      <c r="K1463" s="62"/>
      <c r="L1463" s="66"/>
      <c r="M1463" s="66"/>
      <c r="N1463" s="66"/>
      <c r="P1463" t="str">
        <f t="shared" si="79"/>
        <v>Total Hydraulic Plant by Factor</v>
      </c>
      <c r="Q1463" t="str">
        <f t="shared" si="80"/>
        <v>NA</v>
      </c>
      <c r="R1463" t="str">
        <f>IF(ISERROR(MATCH(P1463&amp;"."&amp;Q1463,R$5:R1462,0)),P1463&amp;"."&amp;Q1463,P1463&amp;"."&amp;Q1463&amp;COUNTIFS(P$5:P1462,P1463,Q$5:Q1462,Q1463))</f>
        <v>Total Hydraulic Plant by Factor.NA1</v>
      </c>
      <c r="S1463" s="55">
        <f t="shared" si="81"/>
        <v>0</v>
      </c>
    </row>
    <row r="1464" spans="1:19" hidden="1">
      <c r="A1464" s="5">
        <v>1529</v>
      </c>
      <c r="B1464" s="59"/>
      <c r="C1464" s="60">
        <v>340</v>
      </c>
      <c r="D1464" s="63" t="s">
        <v>500</v>
      </c>
      <c r="E1464" s="63"/>
      <c r="F1464" s="63"/>
      <c r="G1464" s="63"/>
      <c r="H1464" s="62"/>
      <c r="I1464" s="65"/>
      <c r="J1464" s="65"/>
      <c r="K1464" s="62"/>
      <c r="L1464" s="65"/>
      <c r="M1464" s="65"/>
      <c r="N1464" s="65"/>
      <c r="P1464">
        <f t="shared" si="79"/>
        <v>340</v>
      </c>
      <c r="Q1464" t="str">
        <f t="shared" si="80"/>
        <v>NA</v>
      </c>
      <c r="R1464" t="str">
        <f>IF(ISERROR(MATCH(P1464&amp;"."&amp;Q1464,R$5:R1463,0)),P1464&amp;"."&amp;Q1464,P1464&amp;"."&amp;Q1464&amp;COUNTIFS(P$5:P1463,P1464,Q$5:Q1463,Q1464))</f>
        <v>340.NA</v>
      </c>
      <c r="S1464" s="55">
        <f t="shared" si="81"/>
        <v>0</v>
      </c>
    </row>
    <row r="1465" spans="1:19" hidden="1">
      <c r="A1465" s="5">
        <v>1530</v>
      </c>
      <c r="B1465" s="59"/>
      <c r="C1465" s="60"/>
      <c r="D1465" s="61"/>
      <c r="E1465" s="63"/>
      <c r="F1465" s="63" t="s">
        <v>13</v>
      </c>
      <c r="G1465" s="63" t="s">
        <v>12</v>
      </c>
      <c r="H1465" s="62"/>
      <c r="I1465" s="65">
        <v>74985.87</v>
      </c>
      <c r="J1465" s="65">
        <v>0</v>
      </c>
      <c r="K1465" s="62"/>
      <c r="L1465" s="65">
        <v>74985.87</v>
      </c>
      <c r="M1465" s="65">
        <v>74985.87</v>
      </c>
      <c r="N1465" s="65">
        <v>0</v>
      </c>
      <c r="P1465">
        <f t="shared" si="79"/>
        <v>340</v>
      </c>
      <c r="Q1465" t="str">
        <f t="shared" si="80"/>
        <v>S</v>
      </c>
      <c r="R1465" t="str">
        <f>IF(ISERROR(MATCH(P1465&amp;"."&amp;Q1465,R$5:R1464,0)),P1465&amp;"."&amp;Q1465,P1465&amp;"."&amp;Q1465&amp;COUNTIFS(P$5:P1464,P1465,Q$5:Q1464,Q1465))</f>
        <v>340.S</v>
      </c>
      <c r="S1465" s="55">
        <f t="shared" si="81"/>
        <v>0</v>
      </c>
    </row>
    <row r="1466" spans="1:19" hidden="1">
      <c r="A1466" s="5">
        <v>1531</v>
      </c>
      <c r="B1466" s="59"/>
      <c r="C1466" s="60"/>
      <c r="D1466" s="63"/>
      <c r="E1466" s="63"/>
      <c r="F1466" s="60" t="s">
        <v>13</v>
      </c>
      <c r="G1466" s="61" t="s">
        <v>15</v>
      </c>
      <c r="H1466" s="62"/>
      <c r="I1466" s="65">
        <v>39022504.100000001</v>
      </c>
      <c r="J1466" s="65">
        <v>17168925.512562983</v>
      </c>
      <c r="K1466" s="62"/>
      <c r="L1466" s="65">
        <v>39022504.100000001</v>
      </c>
      <c r="M1466" s="65">
        <v>21853578.587437019</v>
      </c>
      <c r="N1466" s="64">
        <v>17168925.512562983</v>
      </c>
      <c r="P1466">
        <f t="shared" si="79"/>
        <v>340</v>
      </c>
      <c r="Q1466" t="str">
        <f t="shared" si="80"/>
        <v>SG</v>
      </c>
      <c r="R1466" t="str">
        <f>IF(ISERROR(MATCH(P1466&amp;"."&amp;Q1466,R$5:R1465,0)),P1466&amp;"."&amp;Q1466,P1466&amp;"."&amp;Q1466&amp;COUNTIFS(P$5:P1465,P1466,Q$5:Q1465,Q1466))</f>
        <v>340.SG</v>
      </c>
      <c r="S1466" s="55">
        <f t="shared" si="81"/>
        <v>17168925.512562983</v>
      </c>
    </row>
    <row r="1467" spans="1:19" hidden="1">
      <c r="A1467" s="5">
        <v>1532</v>
      </c>
      <c r="B1467" s="59"/>
      <c r="C1467" s="60"/>
      <c r="D1467" s="63"/>
      <c r="E1467" s="63"/>
      <c r="F1467" s="60" t="s">
        <v>13</v>
      </c>
      <c r="G1467" s="61" t="s">
        <v>15</v>
      </c>
      <c r="H1467" s="62"/>
      <c r="I1467" s="65">
        <v>7799858.1976923104</v>
      </c>
      <c r="J1467" s="65">
        <v>3431742.4648494823</v>
      </c>
      <c r="K1467" s="62"/>
      <c r="L1467" s="65">
        <v>7799858.1976923104</v>
      </c>
      <c r="M1467" s="65">
        <v>4368115.7328428281</v>
      </c>
      <c r="N1467" s="64">
        <v>3431742.4648494823</v>
      </c>
      <c r="P1467">
        <f t="shared" si="79"/>
        <v>340</v>
      </c>
      <c r="Q1467" t="str">
        <f t="shared" si="80"/>
        <v>SG</v>
      </c>
      <c r="R1467" t="str">
        <f>IF(ISERROR(MATCH(P1467&amp;"."&amp;Q1467,R$5:R1466,0)),P1467&amp;"."&amp;Q1467,P1467&amp;"."&amp;Q1467&amp;COUNTIFS(P$5:P1466,P1467,Q$5:Q1466,Q1467))</f>
        <v>340.SG1</v>
      </c>
      <c r="S1467" s="55">
        <f t="shared" si="81"/>
        <v>3431742.4648494823</v>
      </c>
    </row>
    <row r="1468" spans="1:19" hidden="1">
      <c r="A1468" s="5">
        <v>1533</v>
      </c>
      <c r="B1468" s="59"/>
      <c r="C1468" s="60"/>
      <c r="D1468" s="63"/>
      <c r="E1468" s="63"/>
      <c r="F1468" s="60" t="s">
        <v>13</v>
      </c>
      <c r="G1468" s="61" t="s">
        <v>15</v>
      </c>
      <c r="H1468" s="62"/>
      <c r="I1468" s="65">
        <v>235129.44</v>
      </c>
      <c r="J1468" s="65">
        <v>103451.07097241991</v>
      </c>
      <c r="K1468" s="62"/>
      <c r="L1468" s="65">
        <v>235129.44</v>
      </c>
      <c r="M1468" s="65">
        <v>131678.36902758008</v>
      </c>
      <c r="N1468" s="64">
        <v>103451.07097241991</v>
      </c>
      <c r="P1468">
        <f t="shared" si="79"/>
        <v>340</v>
      </c>
      <c r="Q1468" t="str">
        <f t="shared" si="80"/>
        <v>SG</v>
      </c>
      <c r="R1468" t="str">
        <f>IF(ISERROR(MATCH(P1468&amp;"."&amp;Q1468,R$5:R1467,0)),P1468&amp;"."&amp;Q1468,P1468&amp;"."&amp;Q1468&amp;COUNTIFS(P$5:P1467,P1468,Q$5:Q1467,Q1468))</f>
        <v>340.SG2</v>
      </c>
      <c r="S1468" s="55">
        <f t="shared" si="81"/>
        <v>103451.07097241991</v>
      </c>
    </row>
    <row r="1469" spans="1:19" hidden="1">
      <c r="A1469" s="5">
        <v>1534</v>
      </c>
      <c r="B1469" s="59"/>
      <c r="C1469" s="60"/>
      <c r="D1469" s="63"/>
      <c r="E1469" s="63"/>
      <c r="F1469" s="60"/>
      <c r="G1469" s="61"/>
      <c r="H1469" s="62" t="s">
        <v>501</v>
      </c>
      <c r="I1469" s="65">
        <v>47132477.607692309</v>
      </c>
      <c r="J1469" s="65">
        <v>20704119.048384886</v>
      </c>
      <c r="K1469" s="62"/>
      <c r="L1469" s="65">
        <v>47132477.607692309</v>
      </c>
      <c r="M1469" s="65">
        <v>26428358.55930743</v>
      </c>
      <c r="N1469" s="64">
        <v>20704119.048384886</v>
      </c>
      <c r="P1469">
        <f t="shared" si="79"/>
        <v>340</v>
      </c>
      <c r="Q1469" t="str">
        <f t="shared" si="80"/>
        <v>NA</v>
      </c>
      <c r="R1469" t="str">
        <f>IF(ISERROR(MATCH(P1469&amp;"."&amp;Q1469,R$5:R1468,0)),P1469&amp;"."&amp;Q1469,P1469&amp;"."&amp;Q1469&amp;COUNTIFS(P$5:P1468,P1469,Q$5:Q1468,Q1469))</f>
        <v>340.NA1</v>
      </c>
      <c r="S1469" s="55">
        <f t="shared" si="81"/>
        <v>20704119.048384886</v>
      </c>
    </row>
    <row r="1470" spans="1:19" hidden="1">
      <c r="A1470" s="5">
        <v>1535</v>
      </c>
      <c r="B1470" s="59"/>
      <c r="C1470" s="60"/>
      <c r="D1470" s="63"/>
      <c r="E1470" s="63"/>
      <c r="F1470" s="60"/>
      <c r="G1470" s="61"/>
      <c r="H1470" s="62"/>
      <c r="I1470" s="65"/>
      <c r="J1470" s="65"/>
      <c r="K1470" s="62"/>
      <c r="L1470" s="65"/>
      <c r="M1470" s="65"/>
      <c r="N1470" s="64"/>
      <c r="P1470">
        <f t="shared" si="79"/>
        <v>340</v>
      </c>
      <c r="Q1470" t="str">
        <f t="shared" si="80"/>
        <v>NA</v>
      </c>
      <c r="R1470" t="str">
        <f>IF(ISERROR(MATCH(P1470&amp;"."&amp;Q1470,R$5:R1469,0)),P1470&amp;"."&amp;Q1470,P1470&amp;"."&amp;Q1470&amp;COUNTIFS(P$5:P1469,P1470,Q$5:Q1469,Q1470))</f>
        <v>340.NA2</v>
      </c>
      <c r="S1470" s="55">
        <f t="shared" si="81"/>
        <v>0</v>
      </c>
    </row>
    <row r="1471" spans="1:19" hidden="1">
      <c r="A1471" s="5">
        <v>1536</v>
      </c>
      <c r="B1471" s="59"/>
      <c r="C1471" s="60">
        <v>341</v>
      </c>
      <c r="D1471" s="63" t="s">
        <v>502</v>
      </c>
      <c r="E1471" s="63"/>
      <c r="F1471" s="63"/>
      <c r="G1471" s="63"/>
      <c r="H1471" s="62"/>
      <c r="I1471" s="66"/>
      <c r="J1471" s="66"/>
      <c r="K1471" s="62"/>
      <c r="L1471" s="66"/>
      <c r="M1471" s="66"/>
      <c r="N1471" s="66"/>
      <c r="P1471">
        <f t="shared" si="79"/>
        <v>341</v>
      </c>
      <c r="Q1471" t="str">
        <f t="shared" si="80"/>
        <v>NA</v>
      </c>
      <c r="R1471" t="str">
        <f>IF(ISERROR(MATCH(P1471&amp;"."&amp;Q1471,R$5:R1470,0)),P1471&amp;"."&amp;Q1471,P1471&amp;"."&amp;Q1471&amp;COUNTIFS(P$5:P1470,P1471,Q$5:Q1470,Q1471))</f>
        <v>341.NA</v>
      </c>
      <c r="S1471" s="55">
        <f t="shared" si="81"/>
        <v>0</v>
      </c>
    </row>
    <row r="1472" spans="1:19" hidden="1">
      <c r="A1472" s="5">
        <v>1537</v>
      </c>
      <c r="B1472" s="59"/>
      <c r="C1472" s="60"/>
      <c r="D1472" s="63"/>
      <c r="E1472" s="63"/>
      <c r="F1472" s="63" t="s">
        <v>13</v>
      </c>
      <c r="G1472" s="63" t="s">
        <v>15</v>
      </c>
      <c r="H1472" s="62"/>
      <c r="I1472" s="65">
        <v>170249153.18307701</v>
      </c>
      <c r="J1472" s="65">
        <v>74905367.99193196</v>
      </c>
      <c r="K1472" s="62"/>
      <c r="L1472" s="65">
        <v>170249153.18307701</v>
      </c>
      <c r="M1472" s="65">
        <v>95343785.191145048</v>
      </c>
      <c r="N1472" s="65">
        <v>74905367.99193196</v>
      </c>
      <c r="P1472">
        <f t="shared" si="79"/>
        <v>341</v>
      </c>
      <c r="Q1472" t="str">
        <f t="shared" si="80"/>
        <v>SG</v>
      </c>
      <c r="R1472" t="str">
        <f>IF(ISERROR(MATCH(P1472&amp;"."&amp;Q1472,R$5:R1471,0)),P1472&amp;"."&amp;Q1472,P1472&amp;"."&amp;Q1472&amp;COUNTIFS(P$5:P1471,P1472,Q$5:Q1471,Q1472))</f>
        <v>341.SG</v>
      </c>
      <c r="S1472" s="55">
        <f t="shared" si="81"/>
        <v>74905367.99193196</v>
      </c>
    </row>
    <row r="1473" spans="1:19" hidden="1">
      <c r="A1473" s="5">
        <v>1538</v>
      </c>
      <c r="B1473" s="59"/>
      <c r="C1473" s="60"/>
      <c r="D1473" s="61"/>
      <c r="E1473" s="63"/>
      <c r="F1473" s="63" t="s">
        <v>13</v>
      </c>
      <c r="G1473" s="63" t="s">
        <v>15</v>
      </c>
      <c r="H1473" s="62"/>
      <c r="I1473" s="65">
        <v>0</v>
      </c>
      <c r="J1473" s="65">
        <v>0</v>
      </c>
      <c r="K1473" s="62"/>
      <c r="L1473" s="65">
        <v>0</v>
      </c>
      <c r="M1473" s="65">
        <v>0</v>
      </c>
      <c r="N1473" s="65">
        <v>0</v>
      </c>
      <c r="P1473">
        <f t="shared" si="79"/>
        <v>341</v>
      </c>
      <c r="Q1473" t="str">
        <f t="shared" si="80"/>
        <v>SG</v>
      </c>
      <c r="R1473" t="str">
        <f>IF(ISERROR(MATCH(P1473&amp;"."&amp;Q1473,R$5:R1472,0)),P1473&amp;"."&amp;Q1473,P1473&amp;"."&amp;Q1473&amp;COUNTIFS(P$5:P1472,P1473,Q$5:Q1472,Q1473))</f>
        <v>341.SG1</v>
      </c>
      <c r="S1473" s="55">
        <f t="shared" si="81"/>
        <v>0</v>
      </c>
    </row>
    <row r="1474" spans="1:19" hidden="1">
      <c r="A1474" s="5">
        <v>1539</v>
      </c>
      <c r="B1474" s="59"/>
      <c r="C1474" s="60"/>
      <c r="D1474" s="63"/>
      <c r="E1474" s="63"/>
      <c r="F1474" s="60" t="s">
        <v>13</v>
      </c>
      <c r="G1474" s="61" t="s">
        <v>15</v>
      </c>
      <c r="H1474" s="62"/>
      <c r="I1474" s="65">
        <v>54141555.324615397</v>
      </c>
      <c r="J1474" s="65">
        <v>23820929.792730276</v>
      </c>
      <c r="K1474" s="62"/>
      <c r="L1474" s="65">
        <v>54141555.324615397</v>
      </c>
      <c r="M1474" s="65">
        <v>30320625.531885121</v>
      </c>
      <c r="N1474" s="64">
        <v>23820929.792730276</v>
      </c>
      <c r="P1474">
        <f t="shared" si="79"/>
        <v>341</v>
      </c>
      <c r="Q1474" t="str">
        <f t="shared" si="80"/>
        <v>SG</v>
      </c>
      <c r="R1474" t="str">
        <f>IF(ISERROR(MATCH(P1474&amp;"."&amp;Q1474,R$5:R1473,0)),P1474&amp;"."&amp;Q1474,P1474&amp;"."&amp;Q1474&amp;COUNTIFS(P$5:P1473,P1474,Q$5:Q1473,Q1474))</f>
        <v>341.SG2</v>
      </c>
      <c r="S1474" s="55">
        <f t="shared" si="81"/>
        <v>23820929.792730276</v>
      </c>
    </row>
    <row r="1475" spans="1:19" hidden="1">
      <c r="A1475" s="5">
        <v>1540</v>
      </c>
      <c r="B1475" s="59"/>
      <c r="C1475" s="60"/>
      <c r="D1475" s="63"/>
      <c r="E1475" s="63"/>
      <c r="F1475" s="60" t="s">
        <v>13</v>
      </c>
      <c r="G1475" s="61" t="s">
        <v>15</v>
      </c>
      <c r="H1475" s="62"/>
      <c r="I1475" s="65">
        <v>4273000.07</v>
      </c>
      <c r="J1475" s="65">
        <v>1880013.1259902003</v>
      </c>
      <c r="K1475" s="62"/>
      <c r="L1475" s="65">
        <v>4273000.07</v>
      </c>
      <c r="M1475" s="65">
        <v>2392986.9440098</v>
      </c>
      <c r="N1475" s="64">
        <v>1880013.1259902003</v>
      </c>
      <c r="P1475">
        <f t="shared" si="79"/>
        <v>341</v>
      </c>
      <c r="Q1475" t="str">
        <f t="shared" si="80"/>
        <v>SG</v>
      </c>
      <c r="R1475" t="str">
        <f>IF(ISERROR(MATCH(P1475&amp;"."&amp;Q1475,R$5:R1474,0)),P1475&amp;"."&amp;Q1475,P1475&amp;"."&amp;Q1475&amp;COUNTIFS(P$5:P1474,P1475,Q$5:Q1474,Q1475))</f>
        <v>341.SG3</v>
      </c>
      <c r="S1475" s="55">
        <f t="shared" si="81"/>
        <v>1880013.1259902003</v>
      </c>
    </row>
    <row r="1476" spans="1:19" hidden="1">
      <c r="A1476" s="5">
        <v>1541</v>
      </c>
      <c r="B1476" s="59"/>
      <c r="C1476" s="60"/>
      <c r="D1476" s="63"/>
      <c r="E1476" s="63"/>
      <c r="F1476" s="60"/>
      <c r="G1476" s="61"/>
      <c r="H1476" s="62" t="s">
        <v>501</v>
      </c>
      <c r="I1476" s="65">
        <v>228663708.57769239</v>
      </c>
      <c r="J1476" s="65">
        <v>100606310.91065243</v>
      </c>
      <c r="K1476" s="62"/>
      <c r="L1476" s="65">
        <v>228663708.57769239</v>
      </c>
      <c r="M1476" s="65">
        <v>128057397.66703996</v>
      </c>
      <c r="N1476" s="64">
        <v>100606310.91065243</v>
      </c>
      <c r="P1476">
        <f t="shared" si="79"/>
        <v>341</v>
      </c>
      <c r="Q1476" t="str">
        <f t="shared" si="80"/>
        <v>NA</v>
      </c>
      <c r="R1476" t="str">
        <f>IF(ISERROR(MATCH(P1476&amp;"."&amp;Q1476,R$5:R1475,0)),P1476&amp;"."&amp;Q1476,P1476&amp;"."&amp;Q1476&amp;COUNTIFS(P$5:P1475,P1476,Q$5:Q1475,Q1476))</f>
        <v>341.NA1</v>
      </c>
      <c r="S1476" s="55">
        <f t="shared" si="81"/>
        <v>100606310.91065243</v>
      </c>
    </row>
    <row r="1477" spans="1:19" hidden="1">
      <c r="A1477" s="5">
        <v>1542</v>
      </c>
      <c r="B1477" s="59"/>
      <c r="C1477" s="60"/>
      <c r="D1477" s="63"/>
      <c r="E1477" s="63"/>
      <c r="F1477" s="60"/>
      <c r="G1477" s="61"/>
      <c r="H1477" s="62"/>
      <c r="I1477" s="65"/>
      <c r="J1477" s="65"/>
      <c r="K1477" s="62"/>
      <c r="L1477" s="65"/>
      <c r="M1477" s="65"/>
      <c r="N1477" s="64"/>
      <c r="P1477">
        <f t="shared" si="79"/>
        <v>341</v>
      </c>
      <c r="Q1477" t="str">
        <f t="shared" si="80"/>
        <v>NA</v>
      </c>
      <c r="R1477" t="str">
        <f>IF(ISERROR(MATCH(P1477&amp;"."&amp;Q1477,R$5:R1476,0)),P1477&amp;"."&amp;Q1477,P1477&amp;"."&amp;Q1477&amp;COUNTIFS(P$5:P1476,P1477,Q$5:Q1476,Q1477))</f>
        <v>341.NA2</v>
      </c>
      <c r="S1477" s="55">
        <f t="shared" si="81"/>
        <v>0</v>
      </c>
    </row>
    <row r="1478" spans="1:19" hidden="1">
      <c r="A1478" s="5">
        <v>1543</v>
      </c>
      <c r="B1478" s="59"/>
      <c r="C1478" s="60">
        <v>342</v>
      </c>
      <c r="D1478" s="63" t="s">
        <v>526</v>
      </c>
      <c r="E1478" s="63"/>
      <c r="F1478" s="63"/>
      <c r="G1478" s="63"/>
      <c r="H1478" s="62"/>
      <c r="I1478" s="66"/>
      <c r="J1478" s="66"/>
      <c r="K1478" s="62"/>
      <c r="L1478" s="66"/>
      <c r="M1478" s="66"/>
      <c r="N1478" s="66"/>
      <c r="P1478">
        <f t="shared" si="79"/>
        <v>342</v>
      </c>
      <c r="Q1478" t="str">
        <f t="shared" si="80"/>
        <v>NA</v>
      </c>
      <c r="R1478" t="str">
        <f>IF(ISERROR(MATCH(P1478&amp;"."&amp;Q1478,R$5:R1477,0)),P1478&amp;"."&amp;Q1478,P1478&amp;"."&amp;Q1478&amp;COUNTIFS(P$5:P1477,P1478,Q$5:Q1477,Q1478))</f>
        <v>342.NA</v>
      </c>
      <c r="S1478" s="55">
        <f t="shared" si="81"/>
        <v>0</v>
      </c>
    </row>
    <row r="1479" spans="1:19" hidden="1">
      <c r="A1479" s="5">
        <v>1544</v>
      </c>
      <c r="B1479" s="59"/>
      <c r="C1479" s="60"/>
      <c r="D1479" s="63"/>
      <c r="E1479" s="63"/>
      <c r="F1479" s="63" t="s">
        <v>13</v>
      </c>
      <c r="G1479" s="63" t="s">
        <v>15</v>
      </c>
      <c r="H1479" s="62"/>
      <c r="I1479" s="65">
        <v>13428888.98</v>
      </c>
      <c r="J1479" s="65">
        <v>5908375.1781602828</v>
      </c>
      <c r="K1479" s="62"/>
      <c r="L1479" s="65">
        <v>13428888.98</v>
      </c>
      <c r="M1479" s="65">
        <v>7520513.8018397177</v>
      </c>
      <c r="N1479" s="65">
        <v>5908375.1781602828</v>
      </c>
      <c r="P1479">
        <f t="shared" ref="P1479:P1542" si="82">IF(OR(C1479="",C1479=" ",C1479="  ",C1479="   "),P1478,C1479)</f>
        <v>342</v>
      </c>
      <c r="Q1479" t="str">
        <f t="shared" ref="Q1479:Q1542" si="83">IF(G1479="","NA",G1479)</f>
        <v>SG</v>
      </c>
      <c r="R1479" t="str">
        <f>IF(ISERROR(MATCH(P1479&amp;"."&amp;Q1479,R$5:R1478,0)),P1479&amp;"."&amp;Q1479,P1479&amp;"."&amp;Q1479&amp;COUNTIFS(P$5:P1478,P1479,Q$5:Q1478,Q1479))</f>
        <v>342.SG</v>
      </c>
      <c r="S1479" s="55">
        <f t="shared" si="81"/>
        <v>5908375.1781602828</v>
      </c>
    </row>
    <row r="1480" spans="1:19" hidden="1">
      <c r="A1480" s="5">
        <v>1545</v>
      </c>
      <c r="B1480" s="59"/>
      <c r="C1480" s="60"/>
      <c r="D1480" s="61"/>
      <c r="E1480" s="63"/>
      <c r="F1480" s="63" t="s">
        <v>13</v>
      </c>
      <c r="G1480" s="63" t="s">
        <v>15</v>
      </c>
      <c r="H1480" s="62"/>
      <c r="I1480" s="65">
        <v>0</v>
      </c>
      <c r="J1480" s="65">
        <v>0</v>
      </c>
      <c r="K1480" s="62"/>
      <c r="L1480" s="65">
        <v>0</v>
      </c>
      <c r="M1480" s="65">
        <v>0</v>
      </c>
      <c r="N1480" s="65">
        <v>0</v>
      </c>
      <c r="P1480">
        <f t="shared" si="82"/>
        <v>342</v>
      </c>
      <c r="Q1480" t="str">
        <f t="shared" si="83"/>
        <v>SG</v>
      </c>
      <c r="R1480" t="str">
        <f>IF(ISERROR(MATCH(P1480&amp;"."&amp;Q1480,R$5:R1479,0)),P1480&amp;"."&amp;Q1480,P1480&amp;"."&amp;Q1480&amp;COUNTIFS(P$5:P1479,P1480,Q$5:Q1479,Q1480))</f>
        <v>342.SG1</v>
      </c>
      <c r="S1480" s="55">
        <f t="shared" ref="S1480:S1543" si="84">N1480</f>
        <v>0</v>
      </c>
    </row>
    <row r="1481" spans="1:19" hidden="1">
      <c r="A1481" s="5">
        <v>1546</v>
      </c>
      <c r="B1481" s="59"/>
      <c r="C1481" s="60"/>
      <c r="D1481" s="63"/>
      <c r="E1481" s="63"/>
      <c r="F1481" s="60" t="s">
        <v>13</v>
      </c>
      <c r="G1481" s="61" t="s">
        <v>15</v>
      </c>
      <c r="H1481" s="62"/>
      <c r="I1481" s="65">
        <v>2759334.26</v>
      </c>
      <c r="J1481" s="65">
        <v>1214038.0395066212</v>
      </c>
      <c r="K1481" s="62"/>
      <c r="L1481" s="65">
        <v>2759334.26</v>
      </c>
      <c r="M1481" s="65">
        <v>1545296.2204933786</v>
      </c>
      <c r="N1481" s="64">
        <v>1214038.0395066212</v>
      </c>
      <c r="P1481">
        <f t="shared" si="82"/>
        <v>342</v>
      </c>
      <c r="Q1481" t="str">
        <f t="shared" si="83"/>
        <v>SG</v>
      </c>
      <c r="R1481" t="str">
        <f>IF(ISERROR(MATCH(P1481&amp;"."&amp;Q1481,R$5:R1480,0)),P1481&amp;"."&amp;Q1481,P1481&amp;"."&amp;Q1481&amp;COUNTIFS(P$5:P1480,P1481,Q$5:Q1480,Q1481))</f>
        <v>342.SG2</v>
      </c>
      <c r="S1481" s="55">
        <f t="shared" si="84"/>
        <v>1214038.0395066212</v>
      </c>
    </row>
    <row r="1482" spans="1:19" hidden="1">
      <c r="A1482" s="5">
        <v>1547</v>
      </c>
      <c r="B1482" s="59"/>
      <c r="C1482" s="60"/>
      <c r="D1482" s="63"/>
      <c r="E1482" s="63"/>
      <c r="F1482" s="60"/>
      <c r="G1482" s="61"/>
      <c r="H1482" s="62" t="s">
        <v>501</v>
      </c>
      <c r="I1482" s="65">
        <v>16188223.24</v>
      </c>
      <c r="J1482" s="65">
        <v>7122413.2176669035</v>
      </c>
      <c r="K1482" s="62"/>
      <c r="L1482" s="65">
        <v>16188223.24</v>
      </c>
      <c r="M1482" s="65">
        <v>9065810.0223330967</v>
      </c>
      <c r="N1482" s="64">
        <v>7122413.2176669035</v>
      </c>
      <c r="P1482">
        <f t="shared" si="82"/>
        <v>342</v>
      </c>
      <c r="Q1482" t="str">
        <f t="shared" si="83"/>
        <v>NA</v>
      </c>
      <c r="R1482" t="str">
        <f>IF(ISERROR(MATCH(P1482&amp;"."&amp;Q1482,R$5:R1481,0)),P1482&amp;"."&amp;Q1482,P1482&amp;"."&amp;Q1482&amp;COUNTIFS(P$5:P1481,P1482,Q$5:Q1481,Q1482))</f>
        <v>342.NA1</v>
      </c>
      <c r="S1482" s="55">
        <f t="shared" si="84"/>
        <v>7122413.2176669035</v>
      </c>
    </row>
    <row r="1483" spans="1:19" hidden="1">
      <c r="A1483" s="5">
        <v>1548</v>
      </c>
      <c r="B1483" s="59"/>
      <c r="C1483" s="60"/>
      <c r="D1483" s="63"/>
      <c r="E1483" s="63"/>
      <c r="F1483" s="60"/>
      <c r="G1483" s="61"/>
      <c r="H1483" s="62"/>
      <c r="I1483" s="65"/>
      <c r="J1483" s="65"/>
      <c r="K1483" s="62"/>
      <c r="L1483" s="65"/>
      <c r="M1483" s="65"/>
      <c r="N1483" s="64"/>
      <c r="P1483">
        <f t="shared" si="82"/>
        <v>342</v>
      </c>
      <c r="Q1483" t="str">
        <f t="shared" si="83"/>
        <v>NA</v>
      </c>
      <c r="R1483" t="str">
        <f>IF(ISERROR(MATCH(P1483&amp;"."&amp;Q1483,R$5:R1482,0)),P1483&amp;"."&amp;Q1483,P1483&amp;"."&amp;Q1483&amp;COUNTIFS(P$5:P1482,P1483,Q$5:Q1482,Q1483))</f>
        <v>342.NA2</v>
      </c>
      <c r="S1483" s="55">
        <f t="shared" si="84"/>
        <v>0</v>
      </c>
    </row>
    <row r="1484" spans="1:19" hidden="1">
      <c r="A1484" s="5">
        <v>1549</v>
      </c>
      <c r="B1484" s="59"/>
      <c r="C1484" s="60">
        <v>343</v>
      </c>
      <c r="D1484" s="63" t="s">
        <v>527</v>
      </c>
      <c r="E1484" s="63"/>
      <c r="F1484" s="60"/>
      <c r="G1484" s="61"/>
      <c r="H1484" s="62"/>
      <c r="I1484" s="65"/>
      <c r="J1484" s="65"/>
      <c r="K1484" s="62"/>
      <c r="L1484" s="65"/>
      <c r="M1484" s="65"/>
      <c r="N1484" s="64"/>
      <c r="P1484">
        <f t="shared" si="82"/>
        <v>343</v>
      </c>
      <c r="Q1484" t="str">
        <f t="shared" si="83"/>
        <v>NA</v>
      </c>
      <c r="R1484" t="str">
        <f>IF(ISERROR(MATCH(P1484&amp;"."&amp;Q1484,R$5:R1483,0)),P1484&amp;"."&amp;Q1484,P1484&amp;"."&amp;Q1484&amp;COUNTIFS(P$5:P1483,P1484,Q$5:Q1483,Q1484))</f>
        <v>343.NA</v>
      </c>
      <c r="S1484" s="55">
        <f t="shared" si="84"/>
        <v>0</v>
      </c>
    </row>
    <row r="1485" spans="1:19" hidden="1">
      <c r="A1485" s="5">
        <v>1550</v>
      </c>
      <c r="B1485" s="59"/>
      <c r="C1485" s="60"/>
      <c r="D1485" s="63"/>
      <c r="E1485" s="63"/>
      <c r="F1485" s="63" t="s">
        <v>13</v>
      </c>
      <c r="G1485" s="63" t="s">
        <v>12</v>
      </c>
      <c r="H1485" s="62"/>
      <c r="I1485" s="66">
        <v>0</v>
      </c>
      <c r="J1485" s="66">
        <v>0</v>
      </c>
      <c r="K1485" s="62"/>
      <c r="L1485" s="66">
        <v>58651.612307692325</v>
      </c>
      <c r="M1485" s="66">
        <v>58651.612307692325</v>
      </c>
      <c r="N1485" s="66">
        <v>0</v>
      </c>
      <c r="P1485">
        <f t="shared" si="82"/>
        <v>343</v>
      </c>
      <c r="Q1485" t="str">
        <f t="shared" si="83"/>
        <v>S</v>
      </c>
      <c r="R1485" t="str">
        <f>IF(ISERROR(MATCH(P1485&amp;"."&amp;Q1485,R$5:R1484,0)),P1485&amp;"."&amp;Q1485,P1485&amp;"."&amp;Q1485&amp;COUNTIFS(P$5:P1484,P1485,Q$5:Q1484,Q1485))</f>
        <v>343.S</v>
      </c>
      <c r="S1485" s="55">
        <f t="shared" si="84"/>
        <v>0</v>
      </c>
    </row>
    <row r="1486" spans="1:19" hidden="1">
      <c r="A1486" s="5">
        <v>1551</v>
      </c>
      <c r="B1486" s="59"/>
      <c r="C1486" s="60"/>
      <c r="D1486" s="63"/>
      <c r="E1486" s="63"/>
      <c r="F1486" s="63" t="s">
        <v>13</v>
      </c>
      <c r="G1486" s="63" t="s">
        <v>15</v>
      </c>
      <c r="H1486" s="62"/>
      <c r="I1486" s="69">
        <v>0</v>
      </c>
      <c r="J1486" s="69">
        <v>0</v>
      </c>
      <c r="K1486" s="62"/>
      <c r="L1486" s="69">
        <v>0</v>
      </c>
      <c r="M1486" s="65">
        <v>0</v>
      </c>
      <c r="N1486" s="65">
        <v>0</v>
      </c>
      <c r="P1486">
        <f t="shared" si="82"/>
        <v>343</v>
      </c>
      <c r="Q1486" t="str">
        <f t="shared" si="83"/>
        <v>SG</v>
      </c>
      <c r="R1486" t="str">
        <f>IF(ISERROR(MATCH(P1486&amp;"."&amp;Q1486,R$5:R1485,0)),P1486&amp;"."&amp;Q1486,P1486&amp;"."&amp;Q1486&amp;COUNTIFS(P$5:P1485,P1486,Q$5:Q1485,Q1486))</f>
        <v>343.SG</v>
      </c>
      <c r="S1486" s="55">
        <f t="shared" si="84"/>
        <v>0</v>
      </c>
    </row>
    <row r="1487" spans="1:19" hidden="1">
      <c r="A1487" s="5">
        <v>1552</v>
      </c>
      <c r="B1487" s="59"/>
      <c r="C1487" s="60"/>
      <c r="D1487" s="63"/>
      <c r="E1487" s="70"/>
      <c r="F1487" s="63" t="s">
        <v>13</v>
      </c>
      <c r="G1487" s="63" t="s">
        <v>15</v>
      </c>
      <c r="H1487" s="62"/>
      <c r="I1487" s="69">
        <v>1772655167.99154</v>
      </c>
      <c r="J1487" s="69">
        <v>779923924.42868805</v>
      </c>
      <c r="K1487" s="62"/>
      <c r="L1487" s="69">
        <v>3284621552.0999513</v>
      </c>
      <c r="M1487" s="69">
        <v>1839470246.0625956</v>
      </c>
      <c r="N1487" s="69">
        <v>1445151306.0373557</v>
      </c>
      <c r="P1487">
        <f t="shared" si="82"/>
        <v>343</v>
      </c>
      <c r="Q1487" t="str">
        <f t="shared" si="83"/>
        <v>SG</v>
      </c>
      <c r="R1487" t="str">
        <f>IF(ISERROR(MATCH(P1487&amp;"."&amp;Q1487,R$5:R1486,0)),P1487&amp;"."&amp;Q1487,P1487&amp;"."&amp;Q1487&amp;COUNTIFS(P$5:P1486,P1487,Q$5:Q1486,Q1487))</f>
        <v>343.SG1</v>
      </c>
      <c r="S1487" s="55">
        <f t="shared" si="84"/>
        <v>1445151306.0373557</v>
      </c>
    </row>
    <row r="1488" spans="1:19" hidden="1">
      <c r="A1488" s="5">
        <v>1553</v>
      </c>
      <c r="B1488" s="59"/>
      <c r="C1488" s="71"/>
      <c r="D1488" s="72"/>
      <c r="E1488" s="73"/>
      <c r="F1488" s="63" t="s">
        <v>13</v>
      </c>
      <c r="G1488" s="72" t="s">
        <v>15</v>
      </c>
      <c r="H1488" s="74"/>
      <c r="I1488" s="75">
        <v>1074602286.0576899</v>
      </c>
      <c r="J1488" s="75">
        <v>472798120.73757654</v>
      </c>
      <c r="K1488" s="62"/>
      <c r="L1488" s="75">
        <v>1116821569.1171086</v>
      </c>
      <c r="M1488" s="75">
        <v>625448020.10400605</v>
      </c>
      <c r="N1488" s="75">
        <v>491373549.01310259</v>
      </c>
      <c r="P1488">
        <f t="shared" si="82"/>
        <v>343</v>
      </c>
      <c r="Q1488" t="str">
        <f t="shared" si="83"/>
        <v>SG</v>
      </c>
      <c r="R1488" t="str">
        <f>IF(ISERROR(MATCH(P1488&amp;"."&amp;Q1488,R$5:R1487,0)),P1488&amp;"."&amp;Q1488,P1488&amp;"."&amp;Q1488&amp;COUNTIFS(P$5:P1487,P1488,Q$5:Q1487,Q1488))</f>
        <v>343.SG2</v>
      </c>
      <c r="S1488" s="55">
        <f t="shared" si="84"/>
        <v>491373549.01310259</v>
      </c>
    </row>
    <row r="1489" spans="1:19" hidden="1">
      <c r="A1489" s="5">
        <v>1554</v>
      </c>
      <c r="B1489" s="59"/>
      <c r="C1489" s="60"/>
      <c r="D1489" s="61"/>
      <c r="E1489" s="63"/>
      <c r="F1489" s="63" t="s">
        <v>13</v>
      </c>
      <c r="G1489" s="63" t="s">
        <v>15</v>
      </c>
      <c r="H1489" s="62"/>
      <c r="I1489" s="65">
        <v>57937388.250769198</v>
      </c>
      <c r="J1489" s="65">
        <v>25491001.313518934</v>
      </c>
      <c r="K1489" s="62"/>
      <c r="L1489" s="65">
        <v>58265093.155753955</v>
      </c>
      <c r="M1489" s="65">
        <v>32629909.882784992</v>
      </c>
      <c r="N1489" s="65">
        <v>25635183.272968963</v>
      </c>
      <c r="P1489">
        <f t="shared" si="82"/>
        <v>343</v>
      </c>
      <c r="Q1489" t="str">
        <f t="shared" si="83"/>
        <v>SG</v>
      </c>
      <c r="R1489" t="str">
        <f>IF(ISERROR(MATCH(P1489&amp;"."&amp;Q1489,R$5:R1488,0)),P1489&amp;"."&amp;Q1489,P1489&amp;"."&amp;Q1489&amp;COUNTIFS(P$5:P1488,P1489,Q$5:Q1488,Q1489))</f>
        <v>343.SG3</v>
      </c>
      <c r="S1489" s="55">
        <f t="shared" si="84"/>
        <v>25635183.272968963</v>
      </c>
    </row>
    <row r="1490" spans="1:19" hidden="1">
      <c r="A1490" s="5">
        <v>1555</v>
      </c>
      <c r="B1490" s="59"/>
      <c r="C1490" s="60"/>
      <c r="D1490" s="63"/>
      <c r="E1490" s="63"/>
      <c r="F1490" s="60"/>
      <c r="G1490" s="61"/>
      <c r="H1490" s="62" t="s">
        <v>501</v>
      </c>
      <c r="I1490" s="65">
        <v>2905194842.2999988</v>
      </c>
      <c r="J1490" s="65">
        <v>1278213046.4797835</v>
      </c>
      <c r="K1490" s="62"/>
      <c r="L1490" s="65">
        <v>4459766865.9851217</v>
      </c>
      <c r="M1490" s="65">
        <v>2497606827.6616945</v>
      </c>
      <c r="N1490" s="64">
        <v>1962160038.3234272</v>
      </c>
      <c r="P1490">
        <f t="shared" si="82"/>
        <v>343</v>
      </c>
      <c r="Q1490" t="str">
        <f t="shared" si="83"/>
        <v>NA</v>
      </c>
      <c r="R1490" t="str">
        <f>IF(ISERROR(MATCH(P1490&amp;"."&amp;Q1490,R$5:R1489,0)),P1490&amp;"."&amp;Q1490,P1490&amp;"."&amp;Q1490&amp;COUNTIFS(P$5:P1489,P1490,Q$5:Q1489,Q1490))</f>
        <v>343.NA1</v>
      </c>
      <c r="S1490" s="55">
        <f t="shared" si="84"/>
        <v>1962160038.3234272</v>
      </c>
    </row>
    <row r="1491" spans="1:19" hidden="1">
      <c r="A1491" s="5">
        <v>1556</v>
      </c>
      <c r="B1491" s="59"/>
      <c r="C1491" s="60"/>
      <c r="D1491" s="63"/>
      <c r="E1491" s="63"/>
      <c r="F1491" s="60"/>
      <c r="G1491" s="61"/>
      <c r="H1491" s="62"/>
      <c r="I1491" s="65"/>
      <c r="J1491" s="65"/>
      <c r="K1491" s="62"/>
      <c r="L1491" s="65"/>
      <c r="M1491" s="65"/>
      <c r="N1491" s="64"/>
      <c r="P1491">
        <f t="shared" si="82"/>
        <v>343</v>
      </c>
      <c r="Q1491" t="str">
        <f t="shared" si="83"/>
        <v>NA</v>
      </c>
      <c r="R1491" t="str">
        <f>IF(ISERROR(MATCH(P1491&amp;"."&amp;Q1491,R$5:R1490,0)),P1491&amp;"."&amp;Q1491,P1491&amp;"."&amp;Q1491&amp;COUNTIFS(P$5:P1490,P1491,Q$5:Q1490,Q1491))</f>
        <v>343.NA2</v>
      </c>
      <c r="S1491" s="55">
        <f t="shared" si="84"/>
        <v>0</v>
      </c>
    </row>
    <row r="1492" spans="1:19" hidden="1">
      <c r="A1492" s="5">
        <v>1557</v>
      </c>
      <c r="B1492" s="59"/>
      <c r="C1492" s="60">
        <v>344</v>
      </c>
      <c r="D1492" s="63" t="s">
        <v>528</v>
      </c>
      <c r="E1492" s="63"/>
      <c r="F1492" s="60"/>
      <c r="G1492" s="61"/>
      <c r="H1492" s="62"/>
      <c r="I1492" s="65"/>
      <c r="J1492" s="65"/>
      <c r="K1492" s="62"/>
      <c r="L1492" s="65"/>
      <c r="M1492" s="65"/>
      <c r="N1492" s="64"/>
      <c r="P1492">
        <f t="shared" si="82"/>
        <v>344</v>
      </c>
      <c r="Q1492" t="str">
        <f t="shared" si="83"/>
        <v>NA</v>
      </c>
      <c r="R1492" t="str">
        <f>IF(ISERROR(MATCH(P1492&amp;"."&amp;Q1492,R$5:R1491,0)),P1492&amp;"."&amp;Q1492,P1492&amp;"."&amp;Q1492&amp;COUNTIFS(P$5:P1491,P1492,Q$5:Q1491,Q1492))</f>
        <v>344.NA</v>
      </c>
      <c r="S1492" s="55">
        <f t="shared" si="84"/>
        <v>0</v>
      </c>
    </row>
    <row r="1493" spans="1:19" hidden="1">
      <c r="A1493" s="5">
        <v>1558</v>
      </c>
      <c r="B1493" s="59"/>
      <c r="C1493" s="60"/>
      <c r="D1493" s="63"/>
      <c r="E1493" s="63"/>
      <c r="F1493" s="63" t="s">
        <v>13</v>
      </c>
      <c r="G1493" s="63" t="s">
        <v>12</v>
      </c>
      <c r="H1493" s="62"/>
      <c r="I1493" s="66">
        <v>0</v>
      </c>
      <c r="J1493" s="66">
        <v>0</v>
      </c>
      <c r="K1493" s="62"/>
      <c r="L1493" s="66">
        <v>0</v>
      </c>
      <c r="M1493" s="66">
        <v>0</v>
      </c>
      <c r="N1493" s="66">
        <v>0</v>
      </c>
      <c r="P1493">
        <f t="shared" si="82"/>
        <v>344</v>
      </c>
      <c r="Q1493" t="str">
        <f t="shared" si="83"/>
        <v>S</v>
      </c>
      <c r="R1493" t="str">
        <f>IF(ISERROR(MATCH(P1493&amp;"."&amp;Q1493,R$5:R1492,0)),P1493&amp;"."&amp;Q1493,P1493&amp;"."&amp;Q1493&amp;COUNTIFS(P$5:P1492,P1493,Q$5:Q1492,Q1493))</f>
        <v>344.S</v>
      </c>
      <c r="S1493" s="55">
        <f t="shared" si="84"/>
        <v>0</v>
      </c>
    </row>
    <row r="1494" spans="1:19" hidden="1">
      <c r="A1494" s="5">
        <v>1559</v>
      </c>
      <c r="B1494" s="59"/>
      <c r="C1494" s="60"/>
      <c r="D1494" s="63"/>
      <c r="E1494" s="63"/>
      <c r="F1494" s="63" t="s">
        <v>13</v>
      </c>
      <c r="G1494" s="63" t="s">
        <v>15</v>
      </c>
      <c r="H1494" s="62"/>
      <c r="I1494" s="65">
        <v>62293764.022307701</v>
      </c>
      <c r="J1494" s="65">
        <v>27407697.662236307</v>
      </c>
      <c r="K1494" s="62"/>
      <c r="L1494" s="65">
        <v>62293764.022307701</v>
      </c>
      <c r="M1494" s="65">
        <v>34886066.360071391</v>
      </c>
      <c r="N1494" s="65">
        <v>27407697.662236307</v>
      </c>
      <c r="P1494">
        <f t="shared" si="82"/>
        <v>344</v>
      </c>
      <c r="Q1494" t="str">
        <f t="shared" si="83"/>
        <v>SG</v>
      </c>
      <c r="R1494" t="str">
        <f>IF(ISERROR(MATCH(P1494&amp;"."&amp;Q1494,R$5:R1493,0)),P1494&amp;"."&amp;Q1494,P1494&amp;"."&amp;Q1494&amp;COUNTIFS(P$5:P1493,P1494,Q$5:Q1493,Q1494))</f>
        <v>344.SG</v>
      </c>
      <c r="S1494" s="55">
        <f t="shared" si="84"/>
        <v>27407697.662236307</v>
      </c>
    </row>
    <row r="1495" spans="1:19" hidden="1">
      <c r="A1495" s="5">
        <v>1560</v>
      </c>
      <c r="B1495" s="59"/>
      <c r="C1495" s="60"/>
      <c r="D1495" s="61"/>
      <c r="E1495" s="63"/>
      <c r="F1495" s="63" t="s">
        <v>13</v>
      </c>
      <c r="G1495" s="63" t="s">
        <v>15</v>
      </c>
      <c r="H1495" s="62"/>
      <c r="I1495" s="65">
        <v>400771758.59153801</v>
      </c>
      <c r="J1495" s="65">
        <v>176329547.00098267</v>
      </c>
      <c r="K1495" s="62"/>
      <c r="L1495" s="65">
        <v>400771758.59153801</v>
      </c>
      <c r="M1495" s="65">
        <v>224442211.59055534</v>
      </c>
      <c r="N1495" s="65">
        <v>176329547.00098267</v>
      </c>
      <c r="P1495">
        <f t="shared" si="82"/>
        <v>344</v>
      </c>
      <c r="Q1495" t="str">
        <f t="shared" si="83"/>
        <v>SG</v>
      </c>
      <c r="R1495" t="str">
        <f>IF(ISERROR(MATCH(P1495&amp;"."&amp;Q1495,R$5:R1494,0)),P1495&amp;"."&amp;Q1495,P1495&amp;"."&amp;Q1495&amp;COUNTIFS(P$5:P1494,P1495,Q$5:Q1494,Q1495))</f>
        <v>344.SG1</v>
      </c>
      <c r="S1495" s="55">
        <f t="shared" si="84"/>
        <v>176329547.00098267</v>
      </c>
    </row>
    <row r="1496" spans="1:19" hidden="1">
      <c r="A1496" s="5">
        <v>1561</v>
      </c>
      <c r="B1496" s="59"/>
      <c r="C1496" s="60"/>
      <c r="D1496" s="63"/>
      <c r="E1496" s="63"/>
      <c r="F1496" s="60" t="s">
        <v>13</v>
      </c>
      <c r="G1496" s="61" t="s">
        <v>15</v>
      </c>
      <c r="H1496" s="62"/>
      <c r="I1496" s="65">
        <v>17782762.710000001</v>
      </c>
      <c r="J1496" s="65">
        <v>7823970.6911984831</v>
      </c>
      <c r="K1496" s="62"/>
      <c r="L1496" s="65">
        <v>17782762.710000001</v>
      </c>
      <c r="M1496" s="65">
        <v>9958792.0188015178</v>
      </c>
      <c r="N1496" s="64">
        <v>7823970.6911984831</v>
      </c>
      <c r="P1496">
        <f t="shared" si="82"/>
        <v>344</v>
      </c>
      <c r="Q1496" t="str">
        <f t="shared" si="83"/>
        <v>SG</v>
      </c>
      <c r="R1496" t="str">
        <f>IF(ISERROR(MATCH(P1496&amp;"."&amp;Q1496,R$5:R1495,0)),P1496&amp;"."&amp;Q1496,P1496&amp;"."&amp;Q1496&amp;COUNTIFS(P$5:P1495,P1496,Q$5:Q1495,Q1496))</f>
        <v>344.SG2</v>
      </c>
      <c r="S1496" s="55">
        <f t="shared" si="84"/>
        <v>7823970.6911984831</v>
      </c>
    </row>
    <row r="1497" spans="1:19" hidden="1">
      <c r="A1497" s="5">
        <v>1562</v>
      </c>
      <c r="B1497" s="59"/>
      <c r="C1497" s="60"/>
      <c r="D1497" s="63"/>
      <c r="E1497" s="63"/>
      <c r="F1497" s="63"/>
      <c r="G1497" s="63"/>
      <c r="H1497" s="62" t="s">
        <v>501</v>
      </c>
      <c r="I1497" s="66">
        <v>480848285.32384568</v>
      </c>
      <c r="J1497" s="66">
        <v>211561215.35441744</v>
      </c>
      <c r="K1497" s="62"/>
      <c r="L1497" s="66">
        <v>480848285.32384568</v>
      </c>
      <c r="M1497" s="66">
        <v>269287069.96942824</v>
      </c>
      <c r="N1497" s="66">
        <v>211561215.35441744</v>
      </c>
      <c r="P1497">
        <f t="shared" si="82"/>
        <v>344</v>
      </c>
      <c r="Q1497" t="str">
        <f t="shared" si="83"/>
        <v>NA</v>
      </c>
      <c r="R1497" t="str">
        <f>IF(ISERROR(MATCH(P1497&amp;"."&amp;Q1497,R$5:R1496,0)),P1497&amp;"."&amp;Q1497,P1497&amp;"."&amp;Q1497&amp;COUNTIFS(P$5:P1496,P1497,Q$5:Q1496,Q1497))</f>
        <v>344.NA1</v>
      </c>
      <c r="S1497" s="55">
        <f t="shared" si="84"/>
        <v>211561215.35441744</v>
      </c>
    </row>
    <row r="1498" spans="1:19" hidden="1">
      <c r="A1498" s="5">
        <v>1563</v>
      </c>
      <c r="B1498" s="59"/>
      <c r="C1498" s="60"/>
      <c r="D1498" s="63"/>
      <c r="E1498" s="63"/>
      <c r="F1498" s="63"/>
      <c r="G1498" s="63"/>
      <c r="H1498" s="62"/>
      <c r="I1498" s="65"/>
      <c r="J1498" s="65"/>
      <c r="K1498" s="62"/>
      <c r="L1498" s="65"/>
      <c r="M1498" s="65"/>
      <c r="N1498" s="65"/>
      <c r="P1498">
        <f t="shared" si="82"/>
        <v>344</v>
      </c>
      <c r="Q1498" t="str">
        <f t="shared" si="83"/>
        <v>NA</v>
      </c>
      <c r="R1498" t="str">
        <f>IF(ISERROR(MATCH(P1498&amp;"."&amp;Q1498,R$5:R1497,0)),P1498&amp;"."&amp;Q1498,P1498&amp;"."&amp;Q1498&amp;COUNTIFS(P$5:P1497,P1498,Q$5:Q1497,Q1498))</f>
        <v>344.NA2</v>
      </c>
      <c r="S1498" s="55">
        <f t="shared" si="84"/>
        <v>0</v>
      </c>
    </row>
    <row r="1499" spans="1:19" hidden="1">
      <c r="A1499" s="5">
        <v>1564</v>
      </c>
      <c r="B1499" s="59"/>
      <c r="C1499" s="60">
        <v>345</v>
      </c>
      <c r="D1499" s="61" t="s">
        <v>529</v>
      </c>
      <c r="E1499" s="63"/>
      <c r="F1499" s="63"/>
      <c r="G1499" s="63"/>
      <c r="H1499" s="62"/>
      <c r="I1499" s="65"/>
      <c r="J1499" s="65"/>
      <c r="K1499" s="62"/>
      <c r="L1499" s="65"/>
      <c r="M1499" s="65"/>
      <c r="N1499" s="65"/>
      <c r="P1499">
        <f t="shared" si="82"/>
        <v>345</v>
      </c>
      <c r="Q1499" t="str">
        <f t="shared" si="83"/>
        <v>NA</v>
      </c>
      <c r="R1499" t="str">
        <f>IF(ISERROR(MATCH(P1499&amp;"."&amp;Q1499,R$5:R1498,0)),P1499&amp;"."&amp;Q1499,P1499&amp;"."&amp;Q1499&amp;COUNTIFS(P$5:P1498,P1499,Q$5:Q1498,Q1499))</f>
        <v>345.NA</v>
      </c>
      <c r="S1499" s="55">
        <f t="shared" si="84"/>
        <v>0</v>
      </c>
    </row>
    <row r="1500" spans="1:19" hidden="1">
      <c r="A1500" s="5">
        <v>1565</v>
      </c>
      <c r="B1500" s="59"/>
      <c r="C1500" s="60"/>
      <c r="D1500" s="63"/>
      <c r="E1500" s="63"/>
      <c r="F1500" s="60" t="s">
        <v>13</v>
      </c>
      <c r="G1500" s="61" t="s">
        <v>15</v>
      </c>
      <c r="H1500" s="62"/>
      <c r="I1500" s="65">
        <v>211261474.72999999</v>
      </c>
      <c r="J1500" s="65">
        <v>92949763.398540497</v>
      </c>
      <c r="K1500" s="62"/>
      <c r="L1500" s="65">
        <v>211261474.72999999</v>
      </c>
      <c r="M1500" s="65">
        <v>118311711.33145949</v>
      </c>
      <c r="N1500" s="64">
        <v>92949763.398540497</v>
      </c>
      <c r="P1500">
        <f t="shared" si="82"/>
        <v>345</v>
      </c>
      <c r="Q1500" t="str">
        <f t="shared" si="83"/>
        <v>SG</v>
      </c>
      <c r="R1500" t="str">
        <f>IF(ISERROR(MATCH(P1500&amp;"."&amp;Q1500,R$5:R1499,0)),P1500&amp;"."&amp;Q1500,P1500&amp;"."&amp;Q1500&amp;COUNTIFS(P$5:P1499,P1500,Q$5:Q1499,Q1500))</f>
        <v>345.SG</v>
      </c>
      <c r="S1500" s="55">
        <f t="shared" si="84"/>
        <v>92949763.398540497</v>
      </c>
    </row>
    <row r="1501" spans="1:19" hidden="1">
      <c r="A1501" s="5">
        <v>1566</v>
      </c>
      <c r="B1501" s="59"/>
      <c r="C1501" s="60"/>
      <c r="D1501" s="63"/>
      <c r="E1501" s="63"/>
      <c r="F1501" s="60" t="s">
        <v>13</v>
      </c>
      <c r="G1501" s="61" t="s">
        <v>15</v>
      </c>
      <c r="H1501" s="62"/>
      <c r="I1501" s="65">
        <v>113385633.830769</v>
      </c>
      <c r="J1501" s="65">
        <v>49886842.126956537</v>
      </c>
      <c r="K1501" s="62"/>
      <c r="L1501" s="65">
        <v>113385633.830769</v>
      </c>
      <c r="M1501" s="65">
        <v>63498791.703812465</v>
      </c>
      <c r="N1501" s="64">
        <v>49886842.126956537</v>
      </c>
      <c r="P1501">
        <f t="shared" si="82"/>
        <v>345</v>
      </c>
      <c r="Q1501" t="str">
        <f t="shared" si="83"/>
        <v>SG</v>
      </c>
      <c r="R1501" t="str">
        <f>IF(ISERROR(MATCH(P1501&amp;"."&amp;Q1501,R$5:R1500,0)),P1501&amp;"."&amp;Q1501,P1501&amp;"."&amp;Q1501&amp;COUNTIFS(P$5:P1500,P1501,Q$5:Q1500,Q1501))</f>
        <v>345.SG1</v>
      </c>
      <c r="S1501" s="55">
        <f t="shared" si="84"/>
        <v>49886842.126956537</v>
      </c>
    </row>
    <row r="1502" spans="1:19" hidden="1">
      <c r="A1502" s="5">
        <v>1567</v>
      </c>
      <c r="B1502" s="59"/>
      <c r="C1502" s="60"/>
      <c r="D1502" s="63"/>
      <c r="E1502" s="63"/>
      <c r="F1502" s="63" t="s">
        <v>13</v>
      </c>
      <c r="G1502" s="63" t="s">
        <v>15</v>
      </c>
      <c r="H1502" s="62"/>
      <c r="I1502" s="66">
        <v>0</v>
      </c>
      <c r="J1502" s="66">
        <v>0</v>
      </c>
      <c r="K1502" s="62"/>
      <c r="L1502" s="66">
        <v>0</v>
      </c>
      <c r="M1502" s="66">
        <v>0</v>
      </c>
      <c r="N1502" s="66">
        <v>0</v>
      </c>
      <c r="P1502">
        <f t="shared" si="82"/>
        <v>345</v>
      </c>
      <c r="Q1502" t="str">
        <f t="shared" si="83"/>
        <v>SG</v>
      </c>
      <c r="R1502" t="str">
        <f>IF(ISERROR(MATCH(P1502&amp;"."&amp;Q1502,R$5:R1501,0)),P1502&amp;"."&amp;Q1502,P1502&amp;"."&amp;Q1502&amp;COUNTIFS(P$5:P1501,P1502,Q$5:Q1501,Q1502))</f>
        <v>345.SG2</v>
      </c>
      <c r="S1502" s="55">
        <f t="shared" si="84"/>
        <v>0</v>
      </c>
    </row>
    <row r="1503" spans="1:19" hidden="1">
      <c r="A1503" s="5">
        <v>1568</v>
      </c>
      <c r="B1503" s="59"/>
      <c r="C1503" s="60"/>
      <c r="D1503" s="63"/>
      <c r="E1503" s="63"/>
      <c r="F1503" s="63" t="s">
        <v>13</v>
      </c>
      <c r="G1503" s="63" t="s">
        <v>15</v>
      </c>
      <c r="H1503" s="62"/>
      <c r="I1503" s="65">
        <v>2901492.71</v>
      </c>
      <c r="J1503" s="65">
        <v>1276584.2008902372</v>
      </c>
      <c r="K1503" s="62"/>
      <c r="L1503" s="65">
        <v>2901492.71</v>
      </c>
      <c r="M1503" s="65">
        <v>1624908.5091097627</v>
      </c>
      <c r="N1503" s="65">
        <v>1276584.2008902372</v>
      </c>
      <c r="P1503">
        <f t="shared" si="82"/>
        <v>345</v>
      </c>
      <c r="Q1503" t="str">
        <f t="shared" si="83"/>
        <v>SG</v>
      </c>
      <c r="R1503" t="str">
        <f>IF(ISERROR(MATCH(P1503&amp;"."&amp;Q1503,R$5:R1502,0)),P1503&amp;"."&amp;Q1503,P1503&amp;"."&amp;Q1503&amp;COUNTIFS(P$5:P1502,P1503,Q$5:Q1502,Q1503))</f>
        <v>345.SG3</v>
      </c>
      <c r="S1503" s="55">
        <f t="shared" si="84"/>
        <v>1276584.2008902372</v>
      </c>
    </row>
    <row r="1504" spans="1:19" ht="15.75" hidden="1" thickBot="1">
      <c r="A1504" s="5">
        <v>1569</v>
      </c>
      <c r="B1504" s="59"/>
      <c r="C1504" s="45"/>
      <c r="D1504" s="63"/>
      <c r="E1504" s="63"/>
      <c r="F1504" s="63"/>
      <c r="G1504" s="63"/>
      <c r="H1504" s="41" t="s">
        <v>501</v>
      </c>
      <c r="I1504" s="68">
        <v>327548601.27076894</v>
      </c>
      <c r="J1504" s="68">
        <v>144113189.72638726</v>
      </c>
      <c r="K1504" s="41"/>
      <c r="L1504" s="68">
        <v>327548601.27076894</v>
      </c>
      <c r="M1504" s="68">
        <v>183435411.54438171</v>
      </c>
      <c r="N1504" s="68">
        <v>144113189.72638726</v>
      </c>
      <c r="P1504">
        <f t="shared" si="82"/>
        <v>345</v>
      </c>
      <c r="Q1504" t="str">
        <f t="shared" si="83"/>
        <v>NA</v>
      </c>
      <c r="R1504" t="str">
        <f>IF(ISERROR(MATCH(P1504&amp;"."&amp;Q1504,R$5:R1503,0)),P1504&amp;"."&amp;Q1504,P1504&amp;"."&amp;Q1504&amp;COUNTIFS(P$5:P1503,P1504,Q$5:Q1503,Q1504))</f>
        <v>345.NA1</v>
      </c>
      <c r="S1504" s="55">
        <f t="shared" si="84"/>
        <v>144113189.72638726</v>
      </c>
    </row>
    <row r="1505" spans="1:19" hidden="1">
      <c r="A1505" s="5">
        <v>1570</v>
      </c>
      <c r="B1505" s="59"/>
      <c r="C1505" s="60"/>
      <c r="D1505" s="63"/>
      <c r="E1505" s="63"/>
      <c r="F1505" s="63"/>
      <c r="G1505" s="63"/>
      <c r="H1505" s="62"/>
      <c r="I1505" s="65"/>
      <c r="J1505" s="65"/>
      <c r="K1505" s="62"/>
      <c r="L1505" s="65"/>
      <c r="M1505" s="65"/>
      <c r="N1505" s="65"/>
      <c r="P1505">
        <f t="shared" si="82"/>
        <v>345</v>
      </c>
      <c r="Q1505" t="str">
        <f t="shared" si="83"/>
        <v>NA</v>
      </c>
      <c r="R1505" t="str">
        <f>IF(ISERROR(MATCH(P1505&amp;"."&amp;Q1505,R$5:R1504,0)),P1505&amp;"."&amp;Q1505,P1505&amp;"."&amp;Q1505&amp;COUNTIFS(P$5:P1504,P1505,Q$5:Q1504,Q1505))</f>
        <v>345.NA2</v>
      </c>
      <c r="S1505" s="55">
        <f t="shared" si="84"/>
        <v>0</v>
      </c>
    </row>
    <row r="1506" spans="1:19" hidden="1">
      <c r="A1506" s="5">
        <v>1571</v>
      </c>
      <c r="B1506" s="59"/>
      <c r="C1506" s="60"/>
      <c r="D1506" s="63"/>
      <c r="E1506" s="63"/>
      <c r="F1506" s="63"/>
      <c r="G1506" s="63"/>
      <c r="H1506" s="62"/>
      <c r="I1506" s="65"/>
      <c r="J1506" s="65"/>
      <c r="K1506" s="62"/>
      <c r="L1506" s="65"/>
      <c r="M1506" s="65"/>
      <c r="N1506" s="65"/>
      <c r="P1506">
        <f t="shared" si="82"/>
        <v>345</v>
      </c>
      <c r="Q1506" t="str">
        <f t="shared" si="83"/>
        <v>NA</v>
      </c>
      <c r="R1506" t="str">
        <f>IF(ISERROR(MATCH(P1506&amp;"."&amp;Q1506,R$5:R1505,0)),P1506&amp;"."&amp;Q1506,P1506&amp;"."&amp;Q1506&amp;COUNTIFS(P$5:P1505,P1506,Q$5:Q1505,Q1506))</f>
        <v>345.NA3</v>
      </c>
      <c r="S1506" s="55">
        <f t="shared" si="84"/>
        <v>0</v>
      </c>
    </row>
    <row r="1507" spans="1:19" hidden="1">
      <c r="A1507" s="5">
        <v>1572</v>
      </c>
      <c r="B1507" s="59"/>
      <c r="C1507" s="60"/>
      <c r="D1507" s="63"/>
      <c r="E1507" s="60"/>
      <c r="F1507" s="63"/>
      <c r="G1507" s="63"/>
      <c r="H1507" s="62"/>
      <c r="I1507" s="65"/>
      <c r="J1507" s="65"/>
      <c r="K1507" s="62"/>
      <c r="L1507" s="65"/>
      <c r="M1507" s="65"/>
      <c r="N1507" s="64"/>
      <c r="P1507">
        <f t="shared" si="82"/>
        <v>345</v>
      </c>
      <c r="Q1507" t="str">
        <f t="shared" si="83"/>
        <v>NA</v>
      </c>
      <c r="R1507" t="str">
        <f>IF(ISERROR(MATCH(P1507&amp;"."&amp;Q1507,R$5:R1506,0)),P1507&amp;"."&amp;Q1507,P1507&amp;"."&amp;Q1507&amp;COUNTIFS(P$5:P1506,P1507,Q$5:Q1506,Q1507))</f>
        <v>345.NA4</v>
      </c>
      <c r="S1507" s="55">
        <f t="shared" si="84"/>
        <v>0</v>
      </c>
    </row>
    <row r="1508" spans="1:19" hidden="1">
      <c r="A1508" s="5">
        <v>1573</v>
      </c>
      <c r="B1508" s="59"/>
      <c r="C1508" s="60">
        <v>346</v>
      </c>
      <c r="D1508" s="63" t="s">
        <v>513</v>
      </c>
      <c r="E1508" s="61"/>
      <c r="F1508" s="63"/>
      <c r="G1508" s="63"/>
      <c r="H1508" s="62"/>
      <c r="I1508" s="65"/>
      <c r="J1508" s="65"/>
      <c r="K1508" s="62"/>
      <c r="L1508" s="65"/>
      <c r="M1508" s="65"/>
      <c r="N1508" s="64"/>
      <c r="P1508">
        <f t="shared" si="82"/>
        <v>346</v>
      </c>
      <c r="Q1508" t="str">
        <f t="shared" si="83"/>
        <v>NA</v>
      </c>
      <c r="R1508" t="str">
        <f>IF(ISERROR(MATCH(P1508&amp;"."&amp;Q1508,R$5:R1507,0)),P1508&amp;"."&amp;Q1508,P1508&amp;"."&amp;Q1508&amp;COUNTIFS(P$5:P1507,P1508,Q$5:Q1507,Q1508))</f>
        <v>346.NA</v>
      </c>
      <c r="S1508" s="55">
        <f t="shared" si="84"/>
        <v>0</v>
      </c>
    </row>
    <row r="1509" spans="1:19" hidden="1">
      <c r="A1509" s="5">
        <v>1574</v>
      </c>
      <c r="B1509" s="59"/>
      <c r="C1509" s="60"/>
      <c r="D1509" s="63"/>
      <c r="E1509" s="70"/>
      <c r="F1509" s="63" t="s">
        <v>13</v>
      </c>
      <c r="G1509" s="63" t="s">
        <v>15</v>
      </c>
      <c r="H1509" s="62"/>
      <c r="I1509" s="65">
        <v>12586672.539999999</v>
      </c>
      <c r="J1509" s="65">
        <v>5537821.0157016013</v>
      </c>
      <c r="K1509" s="62"/>
      <c r="L1509" s="65">
        <v>12586672.539999999</v>
      </c>
      <c r="M1509" s="65">
        <v>7048851.5242983978</v>
      </c>
      <c r="N1509" s="64">
        <v>5537821.0157016013</v>
      </c>
      <c r="P1509">
        <f t="shared" si="82"/>
        <v>346</v>
      </c>
      <c r="Q1509" t="str">
        <f t="shared" si="83"/>
        <v>SG</v>
      </c>
      <c r="R1509" t="str">
        <f>IF(ISERROR(MATCH(P1509&amp;"."&amp;Q1509,R$5:R1508,0)),P1509&amp;"."&amp;Q1509,P1509&amp;"."&amp;Q1509&amp;COUNTIFS(P$5:P1508,P1509,Q$5:Q1508,Q1509))</f>
        <v>346.SG</v>
      </c>
      <c r="S1509" s="55">
        <f t="shared" si="84"/>
        <v>5537821.0157016013</v>
      </c>
    </row>
    <row r="1510" spans="1:19" hidden="1">
      <c r="A1510" s="5">
        <v>1575</v>
      </c>
      <c r="B1510" s="59"/>
      <c r="C1510" s="60"/>
      <c r="D1510" s="63"/>
      <c r="E1510" s="60"/>
      <c r="F1510" s="63" t="s">
        <v>13</v>
      </c>
      <c r="G1510" s="63" t="s">
        <v>15</v>
      </c>
      <c r="H1510" s="62"/>
      <c r="I1510" s="65">
        <v>3337648.55</v>
      </c>
      <c r="J1510" s="65">
        <v>1468481.8584480293</v>
      </c>
      <c r="K1510" s="62"/>
      <c r="L1510" s="65">
        <v>3337648.55</v>
      </c>
      <c r="M1510" s="65">
        <v>1869166.6915519706</v>
      </c>
      <c r="N1510" s="64">
        <v>1468481.8584480293</v>
      </c>
      <c r="P1510">
        <f t="shared" si="82"/>
        <v>346</v>
      </c>
      <c r="Q1510" t="str">
        <f t="shared" si="83"/>
        <v>SG</v>
      </c>
      <c r="R1510" t="str">
        <f>IF(ISERROR(MATCH(P1510&amp;"."&amp;Q1510,R$5:R1509,0)),P1510&amp;"."&amp;Q1510,P1510&amp;"."&amp;Q1510&amp;COUNTIFS(P$5:P1509,P1510,Q$5:Q1509,Q1510))</f>
        <v>346.SG1</v>
      </c>
      <c r="S1510" s="55">
        <f t="shared" si="84"/>
        <v>1468481.8584480293</v>
      </c>
    </row>
    <row r="1511" spans="1:19" ht="15.75" hidden="1" thickBot="1">
      <c r="A1511" s="5">
        <v>1576</v>
      </c>
      <c r="B1511" s="59"/>
      <c r="C1511" s="60"/>
      <c r="D1511" s="63"/>
      <c r="E1511" s="63"/>
      <c r="F1511" s="63" t="s">
        <v>13</v>
      </c>
      <c r="G1511" s="63" t="s">
        <v>15</v>
      </c>
      <c r="H1511" s="62"/>
      <c r="I1511" s="81">
        <v>0</v>
      </c>
      <c r="J1511" s="81">
        <v>0</v>
      </c>
      <c r="K1511" s="62"/>
      <c r="L1511" s="81">
        <v>0</v>
      </c>
      <c r="M1511" s="81">
        <v>0</v>
      </c>
      <c r="N1511" s="81">
        <v>0</v>
      </c>
      <c r="P1511">
        <f t="shared" si="82"/>
        <v>346</v>
      </c>
      <c r="Q1511" t="str">
        <f t="shared" si="83"/>
        <v>SG</v>
      </c>
      <c r="R1511" t="str">
        <f>IF(ISERROR(MATCH(P1511&amp;"."&amp;Q1511,R$5:R1510,0)),P1511&amp;"."&amp;Q1511,P1511&amp;"."&amp;Q1511&amp;COUNTIFS(P$5:P1510,P1511,Q$5:Q1510,Q1511))</f>
        <v>346.SG2</v>
      </c>
      <c r="S1511" s="55">
        <f t="shared" si="84"/>
        <v>0</v>
      </c>
    </row>
    <row r="1512" spans="1:19" hidden="1">
      <c r="A1512" s="5">
        <v>1577</v>
      </c>
      <c r="B1512" s="59"/>
      <c r="C1512" s="60"/>
      <c r="D1512" s="63"/>
      <c r="E1512" s="63"/>
      <c r="F1512" s="63"/>
      <c r="G1512" s="63"/>
      <c r="H1512" s="62" t="s">
        <v>501</v>
      </c>
      <c r="I1512" s="65">
        <v>15924321.09</v>
      </c>
      <c r="J1512" s="65">
        <v>7006302.8741496308</v>
      </c>
      <c r="K1512" s="62"/>
      <c r="L1512" s="65">
        <v>15924321.09</v>
      </c>
      <c r="M1512" s="65">
        <v>8918018.2158503681</v>
      </c>
      <c r="N1512" s="65">
        <v>7006302.8741496308</v>
      </c>
      <c r="P1512">
        <f t="shared" si="82"/>
        <v>346</v>
      </c>
      <c r="Q1512" t="str">
        <f t="shared" si="83"/>
        <v>NA</v>
      </c>
      <c r="R1512" t="str">
        <f>IF(ISERROR(MATCH(P1512&amp;"."&amp;Q1512,R$5:R1511,0)),P1512&amp;"."&amp;Q1512,P1512&amp;"."&amp;Q1512&amp;COUNTIFS(P$5:P1511,P1512,Q$5:Q1511,Q1512))</f>
        <v>346.NA1</v>
      </c>
      <c r="S1512" s="55">
        <f t="shared" si="84"/>
        <v>7006302.8741496308</v>
      </c>
    </row>
    <row r="1513" spans="1:19" hidden="1">
      <c r="A1513" s="5">
        <v>1578</v>
      </c>
      <c r="B1513" s="59"/>
      <c r="C1513" s="60"/>
      <c r="D1513" s="63"/>
      <c r="E1513" s="63"/>
      <c r="F1513" s="63"/>
      <c r="G1513" s="63"/>
      <c r="H1513" s="62"/>
      <c r="I1513" s="65"/>
      <c r="J1513" s="65"/>
      <c r="K1513" s="62"/>
      <c r="L1513" s="65"/>
      <c r="M1513" s="65"/>
      <c r="N1513" s="65"/>
      <c r="P1513">
        <f t="shared" si="82"/>
        <v>346</v>
      </c>
      <c r="Q1513" t="str">
        <f t="shared" si="83"/>
        <v>NA</v>
      </c>
      <c r="R1513" t="str">
        <f>IF(ISERROR(MATCH(P1513&amp;"."&amp;Q1513,R$5:R1512,0)),P1513&amp;"."&amp;Q1513,P1513&amp;"."&amp;Q1513&amp;COUNTIFS(P$5:P1512,P1513,Q$5:Q1512,Q1513))</f>
        <v>346.NA2</v>
      </c>
      <c r="S1513" s="55">
        <f t="shared" si="84"/>
        <v>0</v>
      </c>
    </row>
    <row r="1514" spans="1:19" hidden="1">
      <c r="A1514" s="5">
        <v>1579</v>
      </c>
      <c r="B1514" s="59"/>
      <c r="C1514" s="60">
        <v>347</v>
      </c>
      <c r="D1514" s="61" t="s">
        <v>530</v>
      </c>
      <c r="E1514" s="63"/>
      <c r="F1514" s="63"/>
      <c r="G1514" s="63"/>
      <c r="H1514" s="62"/>
      <c r="I1514" s="65"/>
      <c r="J1514" s="65"/>
      <c r="K1514" s="62"/>
      <c r="L1514" s="65"/>
      <c r="M1514" s="65"/>
      <c r="N1514" s="65"/>
      <c r="P1514">
        <f t="shared" si="82"/>
        <v>347</v>
      </c>
      <c r="Q1514" t="str">
        <f t="shared" si="83"/>
        <v>NA</v>
      </c>
      <c r="R1514" t="str">
        <f>IF(ISERROR(MATCH(P1514&amp;"."&amp;Q1514,R$5:R1513,0)),P1514&amp;"."&amp;Q1514,P1514&amp;"."&amp;Q1514&amp;COUNTIFS(P$5:P1513,P1514,Q$5:Q1513,Q1514))</f>
        <v>347.NA</v>
      </c>
      <c r="S1514" s="55">
        <f t="shared" si="84"/>
        <v>0</v>
      </c>
    </row>
    <row r="1515" spans="1:19" hidden="1">
      <c r="A1515" s="5">
        <v>1580</v>
      </c>
      <c r="B1515" s="59"/>
      <c r="C1515" s="60"/>
      <c r="D1515" s="63"/>
      <c r="E1515" s="63"/>
      <c r="F1515" s="60" t="s">
        <v>13</v>
      </c>
      <c r="G1515" s="61" t="s">
        <v>12</v>
      </c>
      <c r="H1515" s="62"/>
      <c r="I1515" s="65">
        <v>0</v>
      </c>
      <c r="J1515" s="65">
        <v>0</v>
      </c>
      <c r="K1515" s="62"/>
      <c r="L1515" s="65">
        <v>0</v>
      </c>
      <c r="M1515" s="65">
        <v>0</v>
      </c>
      <c r="N1515" s="64">
        <v>0</v>
      </c>
      <c r="O1515" s="101">
        <f>J1515/(J1515+J1579)</f>
        <v>0</v>
      </c>
      <c r="P1515">
        <f t="shared" si="82"/>
        <v>347</v>
      </c>
      <c r="Q1515" t="str">
        <f t="shared" si="83"/>
        <v>S</v>
      </c>
      <c r="R1515" t="str">
        <f>IF(ISERROR(MATCH(P1515&amp;"."&amp;Q1515,R$5:R1514,0)),P1515&amp;"."&amp;Q1515,P1515&amp;"."&amp;Q1515&amp;COUNTIFS(P$5:P1514,P1515,Q$5:Q1514,Q1515))</f>
        <v>347.S</v>
      </c>
      <c r="S1515" s="55">
        <f t="shared" si="84"/>
        <v>0</v>
      </c>
    </row>
    <row r="1516" spans="1:19" ht="15.75" hidden="1" thickBot="1">
      <c r="A1516" s="5">
        <v>1581</v>
      </c>
      <c r="B1516" s="59"/>
      <c r="C1516" s="45"/>
      <c r="D1516" s="63"/>
      <c r="E1516" s="63"/>
      <c r="F1516" s="63"/>
      <c r="G1516" s="63"/>
      <c r="H1516" s="41" t="s">
        <v>501</v>
      </c>
      <c r="I1516" s="92">
        <v>0</v>
      </c>
      <c r="J1516" s="92">
        <v>0</v>
      </c>
      <c r="K1516" s="41"/>
      <c r="L1516" s="92">
        <v>0</v>
      </c>
      <c r="M1516" s="92">
        <v>0</v>
      </c>
      <c r="N1516" s="92">
        <v>0</v>
      </c>
      <c r="P1516">
        <f t="shared" si="82"/>
        <v>347</v>
      </c>
      <c r="Q1516" t="str">
        <f t="shared" si="83"/>
        <v>NA</v>
      </c>
      <c r="R1516" t="str">
        <f>IF(ISERROR(MATCH(P1516&amp;"."&amp;Q1516,R$5:R1515,0)),P1516&amp;"."&amp;Q1516,P1516&amp;"."&amp;Q1516&amp;COUNTIFS(P$5:P1515,P1516,Q$5:Q1515,Q1516))</f>
        <v>347.NA1</v>
      </c>
      <c r="S1516" s="55">
        <f t="shared" si="84"/>
        <v>0</v>
      </c>
    </row>
    <row r="1517" spans="1:19" hidden="1">
      <c r="A1517" s="5">
        <v>1582</v>
      </c>
      <c r="B1517" s="59"/>
      <c r="C1517" s="60"/>
      <c r="D1517" s="63"/>
      <c r="E1517" s="63"/>
      <c r="F1517" s="63"/>
      <c r="G1517" s="63"/>
      <c r="H1517" s="62"/>
      <c r="I1517" s="65"/>
      <c r="J1517" s="65"/>
      <c r="K1517" s="62"/>
      <c r="L1517" s="65"/>
      <c r="M1517" s="65"/>
      <c r="N1517" s="65"/>
      <c r="P1517">
        <f t="shared" si="82"/>
        <v>347</v>
      </c>
      <c r="Q1517" t="str">
        <f t="shared" si="83"/>
        <v>NA</v>
      </c>
      <c r="R1517" t="str">
        <f>IF(ISERROR(MATCH(P1517&amp;"."&amp;Q1517,R$5:R1516,0)),P1517&amp;"."&amp;Q1517,P1517&amp;"."&amp;Q1517&amp;COUNTIFS(P$5:P1516,P1517,Q$5:Q1516,Q1517))</f>
        <v>347.NA2</v>
      </c>
      <c r="S1517" s="55">
        <f t="shared" si="84"/>
        <v>0</v>
      </c>
    </row>
    <row r="1518" spans="1:19" ht="15.75" hidden="1" thickBot="1">
      <c r="A1518" s="5">
        <v>1583</v>
      </c>
      <c r="B1518" s="59"/>
      <c r="C1518" s="45" t="s">
        <v>256</v>
      </c>
      <c r="D1518" s="63" t="s">
        <v>531</v>
      </c>
      <c r="E1518" s="63"/>
      <c r="F1518" s="63"/>
      <c r="G1518" s="63"/>
      <c r="H1518" s="41"/>
      <c r="I1518" s="68"/>
      <c r="J1518" s="68"/>
      <c r="K1518" s="41"/>
      <c r="L1518" s="68"/>
      <c r="M1518" s="68"/>
      <c r="N1518" s="68"/>
      <c r="P1518" t="str">
        <f t="shared" si="82"/>
        <v>OP</v>
      </c>
      <c r="Q1518" t="str">
        <f t="shared" si="83"/>
        <v>NA</v>
      </c>
      <c r="R1518" t="str">
        <f>IF(ISERROR(MATCH(P1518&amp;"."&amp;Q1518,R$5:R1517,0)),P1518&amp;"."&amp;Q1518,P1518&amp;"."&amp;Q1518&amp;COUNTIFS(P$5:P1517,P1518,Q$5:Q1517,Q1518))</f>
        <v>OP.NA</v>
      </c>
      <c r="S1518" s="55">
        <f t="shared" si="84"/>
        <v>0</v>
      </c>
    </row>
    <row r="1519" spans="1:19" hidden="1">
      <c r="A1519" s="5">
        <v>1584</v>
      </c>
      <c r="B1519" s="59"/>
      <c r="C1519" s="60"/>
      <c r="D1519" s="61"/>
      <c r="E1519" s="63"/>
      <c r="F1519" s="63" t="s">
        <v>13</v>
      </c>
      <c r="G1519" s="63" t="s">
        <v>12</v>
      </c>
      <c r="H1519" s="62"/>
      <c r="I1519" s="65">
        <v>0</v>
      </c>
      <c r="J1519" s="65">
        <v>0</v>
      </c>
      <c r="K1519" s="62"/>
      <c r="L1519" s="65">
        <v>0</v>
      </c>
      <c r="M1519" s="65">
        <v>0</v>
      </c>
      <c r="N1519" s="65">
        <v>0</v>
      </c>
      <c r="P1519" t="str">
        <f t="shared" si="82"/>
        <v>OP</v>
      </c>
      <c r="Q1519" t="str">
        <f t="shared" si="83"/>
        <v>S</v>
      </c>
      <c r="R1519" t="str">
        <f>IF(ISERROR(MATCH(P1519&amp;"."&amp;Q1519,R$5:R1518,0)),P1519&amp;"."&amp;Q1519,P1519&amp;"."&amp;Q1519&amp;COUNTIFS(P$5:P1518,P1519,Q$5:Q1518,Q1519))</f>
        <v>OP.S</v>
      </c>
      <c r="S1519" s="55">
        <f t="shared" si="84"/>
        <v>0</v>
      </c>
    </row>
    <row r="1520" spans="1:19" hidden="1">
      <c r="A1520" s="5">
        <v>1585</v>
      </c>
      <c r="B1520" s="59"/>
      <c r="C1520" s="60"/>
      <c r="D1520" s="63"/>
      <c r="E1520" s="63"/>
      <c r="F1520" s="60" t="s">
        <v>13</v>
      </c>
      <c r="G1520" s="61" t="s">
        <v>15</v>
      </c>
      <c r="H1520" s="62"/>
      <c r="I1520" s="65">
        <v>-476249.92307692312</v>
      </c>
      <c r="J1520" s="65">
        <v>-209538.05101071263</v>
      </c>
      <c r="K1520" s="62"/>
      <c r="L1520" s="65">
        <v>-476249.92307692312</v>
      </c>
      <c r="M1520" s="65">
        <v>-266711.87206621049</v>
      </c>
      <c r="N1520" s="64">
        <v>-209538.05101071263</v>
      </c>
      <c r="P1520" t="str">
        <f t="shared" si="82"/>
        <v>OP</v>
      </c>
      <c r="Q1520" t="str">
        <f t="shared" si="83"/>
        <v>SG</v>
      </c>
      <c r="R1520" t="str">
        <f>IF(ISERROR(MATCH(P1520&amp;"."&amp;Q1520,R$5:R1519,0)),P1520&amp;"."&amp;Q1520,P1520&amp;"."&amp;Q1520&amp;COUNTIFS(P$5:P1519,P1520,Q$5:Q1519,Q1520))</f>
        <v>OP.SG</v>
      </c>
      <c r="S1520" s="55">
        <f t="shared" si="84"/>
        <v>-209538.05101071263</v>
      </c>
    </row>
    <row r="1521" spans="1:19" hidden="1">
      <c r="A1521" s="5">
        <v>1586</v>
      </c>
      <c r="B1521" s="59"/>
      <c r="C1521" s="60"/>
      <c r="D1521" s="63"/>
      <c r="E1521" s="63"/>
      <c r="F1521" s="60"/>
      <c r="G1521" s="61"/>
      <c r="H1521" s="62"/>
      <c r="I1521" s="65">
        <v>-476249.92307692312</v>
      </c>
      <c r="J1521" s="65">
        <v>-209538.05101071263</v>
      </c>
      <c r="K1521" s="62"/>
      <c r="L1521" s="65">
        <v>-476249.92307692312</v>
      </c>
      <c r="M1521" s="65">
        <v>-266711.87206621049</v>
      </c>
      <c r="N1521" s="64">
        <v>-209538.05101071263</v>
      </c>
      <c r="P1521" t="str">
        <f t="shared" si="82"/>
        <v>OP</v>
      </c>
      <c r="Q1521" t="str">
        <f t="shared" si="83"/>
        <v>NA</v>
      </c>
      <c r="R1521" t="str">
        <f>IF(ISERROR(MATCH(P1521&amp;"."&amp;Q1521,R$5:R1520,0)),P1521&amp;"."&amp;Q1521,P1521&amp;"."&amp;Q1521&amp;COUNTIFS(P$5:P1520,P1521,Q$5:Q1520,Q1521))</f>
        <v>OP.NA1</v>
      </c>
      <c r="S1521" s="55">
        <f t="shared" si="84"/>
        <v>-209538.05101071263</v>
      </c>
    </row>
    <row r="1522" spans="1:19" hidden="1">
      <c r="A1522" s="5">
        <v>1587</v>
      </c>
      <c r="B1522" s="59"/>
      <c r="C1522" s="60"/>
      <c r="D1522" s="63"/>
      <c r="E1522" s="63"/>
      <c r="F1522" s="60"/>
      <c r="G1522" s="61"/>
      <c r="H1522" s="62"/>
      <c r="I1522" s="65"/>
      <c r="J1522" s="65"/>
      <c r="K1522" s="62"/>
      <c r="L1522" s="65"/>
      <c r="M1522" s="65"/>
      <c r="N1522" s="64"/>
      <c r="P1522" t="str">
        <f t="shared" si="82"/>
        <v>OP</v>
      </c>
      <c r="Q1522" t="str">
        <f t="shared" si="83"/>
        <v>NA</v>
      </c>
      <c r="R1522" t="str">
        <f>IF(ISERROR(MATCH(P1522&amp;"."&amp;Q1522,R$5:R1521,0)),P1522&amp;"."&amp;Q1522,P1522&amp;"."&amp;Q1522&amp;COUNTIFS(P$5:P1521,P1522,Q$5:Q1521,Q1522))</f>
        <v>OP.NA2</v>
      </c>
      <c r="S1522" s="55">
        <f t="shared" si="84"/>
        <v>0</v>
      </c>
    </row>
    <row r="1523" spans="1:19" hidden="1">
      <c r="A1523" s="5">
        <v>1588</v>
      </c>
      <c r="B1523" s="59"/>
      <c r="C1523" s="60" t="s">
        <v>532</v>
      </c>
      <c r="D1523" s="63"/>
      <c r="E1523" s="63"/>
      <c r="F1523" s="63"/>
      <c r="G1523" s="63"/>
      <c r="H1523" s="62" t="s">
        <v>501</v>
      </c>
      <c r="I1523" s="66">
        <v>4021024209.4869218</v>
      </c>
      <c r="J1523" s="66">
        <v>1769117059.5604315</v>
      </c>
      <c r="K1523" s="62"/>
      <c r="L1523" s="66">
        <v>5575596233.1720438</v>
      </c>
      <c r="M1523" s="66">
        <v>3122532181.7679691</v>
      </c>
      <c r="N1523" s="66">
        <v>2453064051.4040747</v>
      </c>
      <c r="P1523" t="str">
        <f t="shared" si="82"/>
        <v>Total Other Production Plant</v>
      </c>
      <c r="Q1523" t="str">
        <f t="shared" si="83"/>
        <v>NA</v>
      </c>
      <c r="R1523" t="str">
        <f>IF(ISERROR(MATCH(P1523&amp;"."&amp;Q1523,R$5:R1522,0)),P1523&amp;"."&amp;Q1523,P1523&amp;"."&amp;Q1523&amp;COUNTIFS(P$5:P1522,P1523,Q$5:Q1522,Q1523))</f>
        <v>Total Other Production Plant.NA</v>
      </c>
      <c r="S1523" s="55">
        <f t="shared" si="84"/>
        <v>2453064051.4040747</v>
      </c>
    </row>
    <row r="1524" spans="1:19" hidden="1">
      <c r="A1524" s="5">
        <v>1589</v>
      </c>
      <c r="B1524" s="59"/>
      <c r="C1524" s="60"/>
      <c r="D1524" s="63"/>
      <c r="E1524" s="63"/>
      <c r="F1524" s="63"/>
      <c r="G1524" s="63"/>
      <c r="H1524" s="62"/>
      <c r="I1524" s="65"/>
      <c r="J1524" s="65"/>
      <c r="K1524" s="62"/>
      <c r="L1524" s="65"/>
      <c r="M1524" s="65"/>
      <c r="N1524" s="65"/>
      <c r="P1524" t="str">
        <f t="shared" si="82"/>
        <v>Total Other Production Plant</v>
      </c>
      <c r="Q1524" t="str">
        <f t="shared" si="83"/>
        <v>NA</v>
      </c>
      <c r="R1524" t="str">
        <f>IF(ISERROR(MATCH(P1524&amp;"."&amp;Q1524,R$5:R1523,0)),P1524&amp;"."&amp;Q1524,P1524&amp;"."&amp;Q1524&amp;COUNTIFS(P$5:P1523,P1524,Q$5:Q1523,Q1524))</f>
        <v>Total Other Production Plant.NA1</v>
      </c>
      <c r="S1524" s="55">
        <f t="shared" si="84"/>
        <v>0</v>
      </c>
    </row>
    <row r="1525" spans="1:19" hidden="1">
      <c r="A1525" s="5">
        <v>1590</v>
      </c>
      <c r="B1525" s="59"/>
      <c r="C1525" s="60" t="s">
        <v>533</v>
      </c>
      <c r="D1525" s="61"/>
      <c r="E1525" s="63"/>
      <c r="F1525" s="63"/>
      <c r="G1525" s="63"/>
      <c r="H1525" s="62"/>
      <c r="I1525" s="65"/>
      <c r="J1525" s="65"/>
      <c r="K1525" s="62"/>
      <c r="L1525" s="65"/>
      <c r="M1525" s="65"/>
      <c r="N1525" s="65"/>
      <c r="P1525" t="str">
        <f t="shared" si="82"/>
        <v>Summary of Other Production Plant by Factor</v>
      </c>
      <c r="Q1525" t="str">
        <f t="shared" si="83"/>
        <v>NA</v>
      </c>
      <c r="R1525" t="str">
        <f>IF(ISERROR(MATCH(P1525&amp;"."&amp;Q1525,R$5:R1524,0)),P1525&amp;"."&amp;Q1525,P1525&amp;"."&amp;Q1525&amp;COUNTIFS(P$5:P1524,P1525,Q$5:Q1524,Q1525))</f>
        <v>Summary of Other Production Plant by Factor.NA</v>
      </c>
      <c r="S1525" s="55">
        <f t="shared" si="84"/>
        <v>0</v>
      </c>
    </row>
    <row r="1526" spans="1:19" hidden="1">
      <c r="A1526" s="5">
        <v>1591</v>
      </c>
      <c r="B1526" s="59"/>
      <c r="C1526" s="60"/>
      <c r="D1526" s="63"/>
      <c r="E1526" s="63" t="s">
        <v>12</v>
      </c>
      <c r="F1526" s="60"/>
      <c r="G1526" s="61"/>
      <c r="H1526" s="62"/>
      <c r="I1526" s="65">
        <v>74985.87</v>
      </c>
      <c r="J1526" s="65">
        <v>0</v>
      </c>
      <c r="K1526" s="62"/>
      <c r="L1526" s="65">
        <v>133637.48230769232</v>
      </c>
      <c r="M1526" s="65">
        <v>133637.48230769232</v>
      </c>
      <c r="N1526" s="64">
        <v>0</v>
      </c>
      <c r="P1526" t="str">
        <f t="shared" si="82"/>
        <v>Summary of Other Production Plant by Factor</v>
      </c>
      <c r="Q1526" t="str">
        <f t="shared" si="83"/>
        <v>NA</v>
      </c>
      <c r="R1526" t="str">
        <f>IF(ISERROR(MATCH(P1526&amp;"."&amp;Q1526,R$5:R1525,0)),P1526&amp;"."&amp;Q1526,P1526&amp;"."&amp;Q1526&amp;COUNTIFS(P$5:P1525,P1526,Q$5:Q1525,Q1526))</f>
        <v>Summary of Other Production Plant by Factor.NA1</v>
      </c>
      <c r="S1526" s="55">
        <f t="shared" si="84"/>
        <v>0</v>
      </c>
    </row>
    <row r="1527" spans="1:19" hidden="1">
      <c r="A1527" s="5">
        <v>1592</v>
      </c>
      <c r="B1527" s="59"/>
      <c r="C1527" s="60"/>
      <c r="D1527" s="63"/>
      <c r="E1527" s="63" t="s">
        <v>14</v>
      </c>
      <c r="F1527" s="60"/>
      <c r="G1527" s="61"/>
      <c r="H1527" s="62"/>
      <c r="I1527" s="65">
        <v>0</v>
      </c>
      <c r="J1527" s="65">
        <v>0</v>
      </c>
      <c r="K1527" s="62"/>
      <c r="L1527" s="65">
        <v>0</v>
      </c>
      <c r="M1527" s="65">
        <v>0</v>
      </c>
      <c r="N1527" s="64">
        <v>0</v>
      </c>
      <c r="P1527" t="str">
        <f t="shared" si="82"/>
        <v>Summary of Other Production Plant by Factor</v>
      </c>
      <c r="Q1527" t="str">
        <f t="shared" si="83"/>
        <v>NA</v>
      </c>
      <c r="R1527" t="str">
        <f>IF(ISERROR(MATCH(P1527&amp;"."&amp;Q1527,R$5:R1526,0)),P1527&amp;"."&amp;Q1527,P1527&amp;"."&amp;Q1527&amp;COUNTIFS(P$5:P1526,P1527,Q$5:Q1526,Q1527))</f>
        <v>Summary of Other Production Plant by Factor.NA2</v>
      </c>
      <c r="S1527" s="55">
        <f t="shared" si="84"/>
        <v>0</v>
      </c>
    </row>
    <row r="1528" spans="1:19" hidden="1">
      <c r="A1528" s="5">
        <v>1593</v>
      </c>
      <c r="B1528" s="59"/>
      <c r="C1528" s="60"/>
      <c r="D1528" s="63"/>
      <c r="E1528" s="63" t="s">
        <v>15</v>
      </c>
      <c r="F1528" s="60"/>
      <c r="G1528" s="61"/>
      <c r="H1528" s="62"/>
      <c r="I1528" s="65">
        <v>4020949223.6169214</v>
      </c>
      <c r="J1528" s="65">
        <v>1769117059.5604315</v>
      </c>
      <c r="K1528" s="62"/>
      <c r="L1528" s="65">
        <v>5575462595.6897364</v>
      </c>
      <c r="M1528" s="65">
        <v>3122398544.2856617</v>
      </c>
      <c r="N1528" s="64">
        <v>2453064051.4040747</v>
      </c>
      <c r="P1528" t="str">
        <f t="shared" si="82"/>
        <v>Summary of Other Production Plant by Factor</v>
      </c>
      <c r="Q1528" t="str">
        <f t="shared" si="83"/>
        <v>NA</v>
      </c>
      <c r="R1528" t="str">
        <f>IF(ISERROR(MATCH(P1528&amp;"."&amp;Q1528,R$5:R1527,0)),P1528&amp;"."&amp;Q1528,P1528&amp;"."&amp;Q1528&amp;COUNTIFS(P$5:P1527,P1528,Q$5:Q1527,Q1528))</f>
        <v>Summary of Other Production Plant by Factor.NA3</v>
      </c>
      <c r="S1528" s="55">
        <f t="shared" si="84"/>
        <v>2453064051.4040747</v>
      </c>
    </row>
    <row r="1529" spans="1:19" hidden="1">
      <c r="A1529" s="5">
        <v>1594</v>
      </c>
      <c r="B1529" s="59"/>
      <c r="C1529" s="60"/>
      <c r="D1529" s="63"/>
      <c r="E1529" s="63" t="s">
        <v>298</v>
      </c>
      <c r="F1529" s="60"/>
      <c r="G1529" s="61"/>
      <c r="H1529" s="62"/>
      <c r="I1529" s="65">
        <v>0</v>
      </c>
      <c r="J1529" s="65">
        <v>0</v>
      </c>
      <c r="K1529" s="62"/>
      <c r="L1529" s="65">
        <v>0</v>
      </c>
      <c r="M1529" s="65">
        <v>0</v>
      </c>
      <c r="N1529" s="64">
        <v>0</v>
      </c>
      <c r="P1529" t="str">
        <f t="shared" si="82"/>
        <v>Summary of Other Production Plant by Factor</v>
      </c>
      <c r="Q1529" t="str">
        <f t="shared" si="83"/>
        <v>NA</v>
      </c>
      <c r="R1529" t="str">
        <f>IF(ISERROR(MATCH(P1529&amp;"."&amp;Q1529,R$5:R1528,0)),P1529&amp;"."&amp;Q1529,P1529&amp;"."&amp;Q1529&amp;COUNTIFS(P$5:P1528,P1529,Q$5:Q1528,Q1529))</f>
        <v>Summary of Other Production Plant by Factor.NA4</v>
      </c>
      <c r="S1529" s="55">
        <f t="shared" si="84"/>
        <v>0</v>
      </c>
    </row>
    <row r="1530" spans="1:19" hidden="1">
      <c r="A1530" s="5">
        <v>1595</v>
      </c>
      <c r="B1530" s="59"/>
      <c r="C1530" s="60" t="s">
        <v>534</v>
      </c>
      <c r="D1530" s="63"/>
      <c r="E1530" s="63"/>
      <c r="F1530" s="63"/>
      <c r="G1530" s="63"/>
      <c r="H1530" s="62" t="s">
        <v>141</v>
      </c>
      <c r="I1530" s="66">
        <v>4021024209.4869213</v>
      </c>
      <c r="J1530" s="66">
        <v>1769117059.5604315</v>
      </c>
      <c r="K1530" s="62"/>
      <c r="L1530" s="66">
        <v>5575596233.1720438</v>
      </c>
      <c r="M1530" s="66">
        <v>3122532181.7679696</v>
      </c>
      <c r="N1530" s="66">
        <v>2453064051.4040747</v>
      </c>
      <c r="P1530" t="str">
        <f t="shared" si="82"/>
        <v>Total of Other Production Plant by Factor</v>
      </c>
      <c r="Q1530" t="str">
        <f t="shared" si="83"/>
        <v>NA</v>
      </c>
      <c r="R1530" t="str">
        <f>IF(ISERROR(MATCH(P1530&amp;"."&amp;Q1530,R$5:R1529,0)),P1530&amp;"."&amp;Q1530,P1530&amp;"."&amp;Q1530&amp;COUNTIFS(P$5:P1529,P1530,Q$5:Q1529,Q1530))</f>
        <v>Total of Other Production Plant by Factor.NA</v>
      </c>
      <c r="S1530" s="55">
        <f t="shared" si="84"/>
        <v>2453064051.4040747</v>
      </c>
    </row>
    <row r="1531" spans="1:19" hidden="1">
      <c r="A1531" s="5">
        <v>1596</v>
      </c>
      <c r="B1531" s="59"/>
      <c r="C1531" s="60"/>
      <c r="D1531" s="63"/>
      <c r="E1531" s="63"/>
      <c r="F1531" s="63"/>
      <c r="G1531" s="63"/>
      <c r="H1531" s="62"/>
      <c r="I1531" s="65"/>
      <c r="J1531" s="65"/>
      <c r="K1531" s="62"/>
      <c r="L1531" s="65"/>
      <c r="M1531" s="65"/>
      <c r="N1531" s="65"/>
      <c r="P1531" t="str">
        <f t="shared" si="82"/>
        <v>Total of Other Production Plant by Factor</v>
      </c>
      <c r="Q1531" t="str">
        <f t="shared" si="83"/>
        <v>NA</v>
      </c>
      <c r="R1531" t="str">
        <f>IF(ISERROR(MATCH(P1531&amp;"."&amp;Q1531,R$5:R1530,0)),P1531&amp;"."&amp;Q1531,P1531&amp;"."&amp;Q1531&amp;COUNTIFS(P$5:P1530,P1531,Q$5:Q1530,Q1531))</f>
        <v>Total of Other Production Plant by Factor.NA1</v>
      </c>
      <c r="S1531" s="55">
        <f t="shared" si="84"/>
        <v>0</v>
      </c>
    </row>
    <row r="1532" spans="1:19" hidden="1">
      <c r="A1532" s="5">
        <v>1597</v>
      </c>
      <c r="B1532" s="59"/>
      <c r="C1532" s="60" t="s">
        <v>535</v>
      </c>
      <c r="D1532" s="61"/>
      <c r="E1532" s="63"/>
      <c r="F1532" s="63"/>
      <c r="G1532" s="63"/>
      <c r="H1532" s="62"/>
      <c r="I1532" s="65"/>
      <c r="J1532" s="65"/>
      <c r="K1532" s="62"/>
      <c r="L1532" s="65"/>
      <c r="M1532" s="65"/>
      <c r="N1532" s="65"/>
      <c r="P1532" t="str">
        <f t="shared" si="82"/>
        <v>Experimental Plant</v>
      </c>
      <c r="Q1532" t="str">
        <f t="shared" si="83"/>
        <v>NA</v>
      </c>
      <c r="R1532" t="str">
        <f>IF(ISERROR(MATCH(P1532&amp;"."&amp;Q1532,R$5:R1531,0)),P1532&amp;"."&amp;Q1532,P1532&amp;"."&amp;Q1532&amp;COUNTIFS(P$5:P1531,P1532,Q$5:Q1531,Q1532))</f>
        <v>Experimental Plant.NA</v>
      </c>
      <c r="S1532" s="55">
        <f t="shared" si="84"/>
        <v>0</v>
      </c>
    </row>
    <row r="1533" spans="1:19" hidden="1">
      <c r="A1533" s="5">
        <v>1598</v>
      </c>
      <c r="B1533" s="59"/>
      <c r="C1533" s="60">
        <v>103</v>
      </c>
      <c r="D1533" s="63" t="s">
        <v>535</v>
      </c>
      <c r="E1533" s="63"/>
      <c r="F1533" s="60"/>
      <c r="G1533" s="61"/>
      <c r="H1533" s="62"/>
      <c r="I1533" s="65"/>
      <c r="J1533" s="65"/>
      <c r="K1533" s="62"/>
      <c r="L1533" s="65"/>
      <c r="M1533" s="65"/>
      <c r="N1533" s="64"/>
      <c r="P1533">
        <f t="shared" si="82"/>
        <v>103</v>
      </c>
      <c r="Q1533" t="str">
        <f t="shared" si="83"/>
        <v>NA</v>
      </c>
      <c r="R1533" t="str">
        <f>IF(ISERROR(MATCH(P1533&amp;"."&amp;Q1533,R$5:R1532,0)),P1533&amp;"."&amp;Q1533,P1533&amp;"."&amp;Q1533&amp;COUNTIFS(P$5:P1532,P1533,Q$5:Q1532,Q1533))</f>
        <v>103.NA</v>
      </c>
      <c r="S1533" s="55">
        <f t="shared" si="84"/>
        <v>0</v>
      </c>
    </row>
    <row r="1534" spans="1:19" hidden="1">
      <c r="A1534" s="5">
        <v>1599</v>
      </c>
      <c r="B1534" s="59"/>
      <c r="C1534" s="60"/>
      <c r="D1534" s="63"/>
      <c r="E1534" s="63"/>
      <c r="F1534" s="60" t="s">
        <v>13</v>
      </c>
      <c r="G1534" s="61" t="s">
        <v>15</v>
      </c>
      <c r="H1534" s="62"/>
      <c r="I1534" s="65">
        <v>0</v>
      </c>
      <c r="J1534" s="65">
        <v>0</v>
      </c>
      <c r="K1534" s="62"/>
      <c r="L1534" s="65">
        <v>0</v>
      </c>
      <c r="M1534" s="65">
        <v>0</v>
      </c>
      <c r="N1534" s="64">
        <v>0</v>
      </c>
      <c r="P1534">
        <f t="shared" si="82"/>
        <v>103</v>
      </c>
      <c r="Q1534" t="str">
        <f t="shared" si="83"/>
        <v>SG</v>
      </c>
      <c r="R1534" t="str">
        <f>IF(ISERROR(MATCH(P1534&amp;"."&amp;Q1534,R$5:R1533,0)),P1534&amp;"."&amp;Q1534,P1534&amp;"."&amp;Q1534&amp;COUNTIFS(P$5:P1533,P1534,Q$5:Q1533,Q1534))</f>
        <v>103.SG</v>
      </c>
      <c r="S1534" s="55">
        <f t="shared" si="84"/>
        <v>0</v>
      </c>
    </row>
    <row r="1535" spans="1:19" hidden="1">
      <c r="A1535" s="5">
        <v>1600</v>
      </c>
      <c r="B1535" s="59"/>
      <c r="C1535" s="60" t="s">
        <v>536</v>
      </c>
      <c r="D1535" s="63"/>
      <c r="E1535" s="63"/>
      <c r="F1535" s="60"/>
      <c r="G1535" s="61"/>
      <c r="H1535" s="62" t="s">
        <v>501</v>
      </c>
      <c r="I1535" s="65">
        <v>0</v>
      </c>
      <c r="J1535" s="65">
        <v>0</v>
      </c>
      <c r="K1535" s="62"/>
      <c r="L1535" s="65">
        <v>0</v>
      </c>
      <c r="M1535" s="65">
        <v>0</v>
      </c>
      <c r="N1535" s="64">
        <v>0</v>
      </c>
      <c r="P1535" t="str">
        <f t="shared" si="82"/>
        <v>Total Experimental Production Plant</v>
      </c>
      <c r="Q1535" t="str">
        <f t="shared" si="83"/>
        <v>NA</v>
      </c>
      <c r="R1535" t="str">
        <f>IF(ISERROR(MATCH(P1535&amp;"."&amp;Q1535,R$5:R1534,0)),P1535&amp;"."&amp;Q1535,P1535&amp;"."&amp;Q1535&amp;COUNTIFS(P$5:P1534,P1535,Q$5:Q1534,Q1535))</f>
        <v>Total Experimental Production Plant.NA</v>
      </c>
      <c r="S1535" s="55">
        <f t="shared" si="84"/>
        <v>0</v>
      </c>
    </row>
    <row r="1536" spans="1:19" hidden="1">
      <c r="A1536" s="5">
        <v>1601</v>
      </c>
      <c r="B1536" s="59"/>
      <c r="C1536" s="60"/>
      <c r="D1536" s="63"/>
      <c r="E1536" s="63"/>
      <c r="F1536" s="63"/>
      <c r="G1536" s="63"/>
      <c r="H1536" s="62"/>
      <c r="I1536" s="66"/>
      <c r="J1536" s="66"/>
      <c r="K1536" s="62"/>
      <c r="L1536" s="66"/>
      <c r="M1536" s="66"/>
      <c r="N1536" s="66"/>
      <c r="P1536" t="str">
        <f t="shared" si="82"/>
        <v>Total Experimental Production Plant</v>
      </c>
      <c r="Q1536" t="str">
        <f t="shared" si="83"/>
        <v>NA</v>
      </c>
      <c r="R1536" t="str">
        <f>IF(ISERROR(MATCH(P1536&amp;"."&amp;Q1536,R$5:R1535,0)),P1536&amp;"."&amp;Q1536,P1536&amp;"."&amp;Q1536&amp;COUNTIFS(P$5:P1535,P1536,Q$5:Q1535,Q1536))</f>
        <v>Total Experimental Production Plant.NA1</v>
      </c>
      <c r="S1536" s="55">
        <f t="shared" si="84"/>
        <v>0</v>
      </c>
    </row>
    <row r="1537" spans="1:19" hidden="1">
      <c r="A1537" s="5">
        <v>1602</v>
      </c>
      <c r="B1537" s="59"/>
      <c r="C1537" s="60" t="s">
        <v>537</v>
      </c>
      <c r="D1537" s="63"/>
      <c r="E1537" s="63"/>
      <c r="F1537" s="63"/>
      <c r="G1537" s="63"/>
      <c r="H1537" s="62" t="s">
        <v>501</v>
      </c>
      <c r="I1537" s="65">
        <v>12413183391.794619</v>
      </c>
      <c r="J1537" s="65">
        <v>5461457139.0534916</v>
      </c>
      <c r="K1537" s="62"/>
      <c r="L1537" s="65">
        <v>13557138162.26144</v>
      </c>
      <c r="M1537" s="65">
        <v>7592395349.6798115</v>
      </c>
      <c r="N1537" s="65">
        <v>5964742812.5816298</v>
      </c>
      <c r="P1537" t="str">
        <f t="shared" si="82"/>
        <v>Total Production Plant</v>
      </c>
      <c r="Q1537" t="str">
        <f t="shared" si="83"/>
        <v>NA</v>
      </c>
      <c r="R1537" t="str">
        <f>IF(ISERROR(MATCH(P1537&amp;"."&amp;Q1537,R$5:R1536,0)),P1537&amp;"."&amp;Q1537,P1537&amp;"."&amp;Q1537&amp;COUNTIFS(P$5:P1536,P1537,Q$5:Q1536,Q1537))</f>
        <v>Total Production Plant.NA</v>
      </c>
      <c r="S1537" s="55">
        <f t="shared" si="84"/>
        <v>5964742812.5816298</v>
      </c>
    </row>
    <row r="1538" spans="1:19" hidden="1">
      <c r="A1538" s="5">
        <v>1603</v>
      </c>
      <c r="B1538" s="59"/>
      <c r="C1538" s="60">
        <v>350</v>
      </c>
      <c r="D1538" s="61" t="s">
        <v>500</v>
      </c>
      <c r="E1538" s="63"/>
      <c r="F1538" s="63"/>
      <c r="G1538" s="63"/>
      <c r="H1538" s="62"/>
      <c r="I1538" s="65"/>
      <c r="J1538" s="65"/>
      <c r="K1538" s="62"/>
      <c r="L1538" s="65"/>
      <c r="M1538" s="65"/>
      <c r="N1538" s="65"/>
      <c r="P1538">
        <f t="shared" si="82"/>
        <v>350</v>
      </c>
      <c r="Q1538" t="str">
        <f t="shared" si="83"/>
        <v>NA</v>
      </c>
      <c r="R1538" t="str">
        <f>IF(ISERROR(MATCH(P1538&amp;"."&amp;Q1538,R$5:R1537,0)),P1538&amp;"."&amp;Q1538,P1538&amp;"."&amp;Q1538&amp;COUNTIFS(P$5:P1537,P1538,Q$5:Q1537,Q1538))</f>
        <v>350.NA</v>
      </c>
      <c r="S1538" s="55">
        <f t="shared" si="84"/>
        <v>0</v>
      </c>
    </row>
    <row r="1539" spans="1:19" hidden="1">
      <c r="A1539" s="5">
        <v>1604</v>
      </c>
      <c r="B1539" s="59"/>
      <c r="C1539" s="60"/>
      <c r="D1539" s="63"/>
      <c r="E1539" s="63"/>
      <c r="F1539" s="60" t="s">
        <v>18</v>
      </c>
      <c r="G1539" s="61" t="s">
        <v>15</v>
      </c>
      <c r="H1539" s="62"/>
      <c r="I1539" s="65">
        <v>21061510.09</v>
      </c>
      <c r="J1539" s="65">
        <v>9266537.5084758755</v>
      </c>
      <c r="K1539" s="62"/>
      <c r="L1539" s="65">
        <v>21061510.09</v>
      </c>
      <c r="M1539" s="65">
        <v>11794972.581524124</v>
      </c>
      <c r="N1539" s="64">
        <v>9266537.5084758755</v>
      </c>
      <c r="P1539">
        <f t="shared" si="82"/>
        <v>350</v>
      </c>
      <c r="Q1539" t="str">
        <f t="shared" si="83"/>
        <v>SG</v>
      </c>
      <c r="R1539" t="str">
        <f>IF(ISERROR(MATCH(P1539&amp;"."&amp;Q1539,R$5:R1538,0)),P1539&amp;"."&amp;Q1539,P1539&amp;"."&amp;Q1539&amp;COUNTIFS(P$5:P1538,P1539,Q$5:Q1538,Q1539))</f>
        <v>350.SG</v>
      </c>
      <c r="S1539" s="55">
        <f t="shared" si="84"/>
        <v>9266537.5084758755</v>
      </c>
    </row>
    <row r="1540" spans="1:19" hidden="1">
      <c r="A1540" s="5">
        <v>1605</v>
      </c>
      <c r="B1540" s="59"/>
      <c r="C1540" s="60"/>
      <c r="D1540" s="63"/>
      <c r="E1540" s="63"/>
      <c r="F1540" s="60" t="s">
        <v>18</v>
      </c>
      <c r="G1540" s="61" t="s">
        <v>15</v>
      </c>
      <c r="H1540" s="62"/>
      <c r="I1540" s="65">
        <v>48191085.508461498</v>
      </c>
      <c r="J1540" s="65">
        <v>21202871.946506601</v>
      </c>
      <c r="K1540" s="62"/>
      <c r="L1540" s="65">
        <v>48191085.508461498</v>
      </c>
      <c r="M1540" s="65">
        <v>26988213.561954897</v>
      </c>
      <c r="N1540" s="64">
        <v>21202871.946506601</v>
      </c>
      <c r="P1540">
        <f t="shared" si="82"/>
        <v>350</v>
      </c>
      <c r="Q1540" t="str">
        <f t="shared" si="83"/>
        <v>SG</v>
      </c>
      <c r="R1540" t="str">
        <f>IF(ISERROR(MATCH(P1540&amp;"."&amp;Q1540,R$5:R1539,0)),P1540&amp;"."&amp;Q1540,P1540&amp;"."&amp;Q1540&amp;COUNTIFS(P$5:P1539,P1540,Q$5:Q1539,Q1540))</f>
        <v>350.SG1</v>
      </c>
      <c r="S1540" s="55">
        <f t="shared" si="84"/>
        <v>21202871.946506601</v>
      </c>
    </row>
    <row r="1541" spans="1:19" hidden="1">
      <c r="A1541" s="5">
        <v>1606</v>
      </c>
      <c r="B1541" s="59"/>
      <c r="C1541" s="60"/>
      <c r="D1541" s="63"/>
      <c r="E1541" s="63"/>
      <c r="F1541" s="60" t="s">
        <v>18</v>
      </c>
      <c r="G1541" s="61" t="s">
        <v>15</v>
      </c>
      <c r="H1541" s="62"/>
      <c r="I1541" s="65">
        <v>205418587.009231</v>
      </c>
      <c r="J1541" s="65">
        <v>90379038.982724443</v>
      </c>
      <c r="K1541" s="62"/>
      <c r="L1541" s="65">
        <v>205418587.009231</v>
      </c>
      <c r="M1541" s="65">
        <v>115039548.02650656</v>
      </c>
      <c r="N1541" s="64">
        <v>90379038.982724443</v>
      </c>
      <c r="P1541">
        <f t="shared" si="82"/>
        <v>350</v>
      </c>
      <c r="Q1541" t="str">
        <f t="shared" si="83"/>
        <v>SG</v>
      </c>
      <c r="R1541" t="str">
        <f>IF(ISERROR(MATCH(P1541&amp;"."&amp;Q1541,R$5:R1540,0)),P1541&amp;"."&amp;Q1541,P1541&amp;"."&amp;Q1541&amp;COUNTIFS(P$5:P1540,P1541,Q$5:Q1540,Q1541))</f>
        <v>350.SG2</v>
      </c>
      <c r="S1541" s="55">
        <f t="shared" si="84"/>
        <v>90379038.982724443</v>
      </c>
    </row>
    <row r="1542" spans="1:19" hidden="1">
      <c r="A1542" s="5">
        <v>1607</v>
      </c>
      <c r="B1542" s="59"/>
      <c r="C1542" s="60"/>
      <c r="D1542" s="63"/>
      <c r="E1542" s="63"/>
      <c r="F1542" s="63"/>
      <c r="G1542" s="63"/>
      <c r="H1542" s="62" t="s">
        <v>501</v>
      </c>
      <c r="I1542" s="66">
        <v>274671182.60769248</v>
      </c>
      <c r="J1542" s="66">
        <v>120848448.43770692</v>
      </c>
      <c r="K1542" s="62"/>
      <c r="L1542" s="66">
        <v>274671182.60769248</v>
      </c>
      <c r="M1542" s="66">
        <v>153822734.16998559</v>
      </c>
      <c r="N1542" s="66">
        <v>120848448.43770692</v>
      </c>
      <c r="P1542">
        <f t="shared" si="82"/>
        <v>350</v>
      </c>
      <c r="Q1542" t="str">
        <f t="shared" si="83"/>
        <v>NA</v>
      </c>
      <c r="R1542" t="str">
        <f>IF(ISERROR(MATCH(P1542&amp;"."&amp;Q1542,R$5:R1541,0)),P1542&amp;"."&amp;Q1542,P1542&amp;"."&amp;Q1542&amp;COUNTIFS(P$5:P1541,P1542,Q$5:Q1541,Q1542))</f>
        <v>350.NA1</v>
      </c>
      <c r="S1542" s="55">
        <f t="shared" si="84"/>
        <v>120848448.43770692</v>
      </c>
    </row>
    <row r="1543" spans="1:19" hidden="1">
      <c r="A1543" s="5">
        <v>1608</v>
      </c>
      <c r="B1543" s="59"/>
      <c r="C1543" s="60"/>
      <c r="D1543" s="63"/>
      <c r="E1543" s="63"/>
      <c r="F1543" s="63"/>
      <c r="G1543" s="63"/>
      <c r="H1543" s="62"/>
      <c r="I1543" s="65"/>
      <c r="J1543" s="65"/>
      <c r="K1543" s="62"/>
      <c r="L1543" s="65"/>
      <c r="M1543" s="65"/>
      <c r="N1543" s="65"/>
      <c r="P1543">
        <f t="shared" ref="P1543:P1606" si="85">IF(OR(C1543="",C1543=" ",C1543="  ",C1543="   "),P1542,C1543)</f>
        <v>350</v>
      </c>
      <c r="Q1543" t="str">
        <f t="shared" ref="Q1543:Q1606" si="86">IF(G1543="","NA",G1543)</f>
        <v>NA</v>
      </c>
      <c r="R1543" t="str">
        <f>IF(ISERROR(MATCH(P1543&amp;"."&amp;Q1543,R$5:R1542,0)),P1543&amp;"."&amp;Q1543,P1543&amp;"."&amp;Q1543&amp;COUNTIFS(P$5:P1542,P1543,Q$5:Q1542,Q1543))</f>
        <v>350.NA2</v>
      </c>
      <c r="S1543" s="55">
        <f t="shared" si="84"/>
        <v>0</v>
      </c>
    </row>
    <row r="1544" spans="1:19" hidden="1">
      <c r="A1544" s="5">
        <v>1609</v>
      </c>
      <c r="B1544" s="59"/>
      <c r="C1544" s="60">
        <v>352</v>
      </c>
      <c r="D1544" s="61" t="s">
        <v>502</v>
      </c>
      <c r="E1544" s="63"/>
      <c r="F1544" s="63"/>
      <c r="G1544" s="63"/>
      <c r="H1544" s="62"/>
      <c r="I1544" s="65"/>
      <c r="J1544" s="65"/>
      <c r="K1544" s="62"/>
      <c r="L1544" s="65"/>
      <c r="M1544" s="65"/>
      <c r="N1544" s="65"/>
      <c r="P1544">
        <f t="shared" si="85"/>
        <v>352</v>
      </c>
      <c r="Q1544" t="str">
        <f t="shared" si="86"/>
        <v>NA</v>
      </c>
      <c r="R1544" t="str">
        <f>IF(ISERROR(MATCH(P1544&amp;"."&amp;Q1544,R$5:R1543,0)),P1544&amp;"."&amp;Q1544,P1544&amp;"."&amp;Q1544&amp;COUNTIFS(P$5:P1543,P1544,Q$5:Q1543,Q1544))</f>
        <v>352.NA</v>
      </c>
      <c r="S1544" s="55">
        <f t="shared" ref="S1544:S1607" si="87">N1544</f>
        <v>0</v>
      </c>
    </row>
    <row r="1545" spans="1:19" hidden="1">
      <c r="A1545" s="5">
        <v>1610</v>
      </c>
      <c r="B1545" s="59"/>
      <c r="C1545" s="60"/>
      <c r="D1545" s="63"/>
      <c r="E1545" s="63"/>
      <c r="F1545" s="60" t="s">
        <v>18</v>
      </c>
      <c r="G1545" s="61" t="s">
        <v>12</v>
      </c>
      <c r="H1545" s="62"/>
      <c r="I1545" s="65">
        <v>0</v>
      </c>
      <c r="J1545" s="65">
        <v>0</v>
      </c>
      <c r="K1545" s="62"/>
      <c r="L1545" s="65">
        <v>0</v>
      </c>
      <c r="M1545" s="65">
        <v>0</v>
      </c>
      <c r="N1545" s="64">
        <v>0</v>
      </c>
      <c r="P1545">
        <f t="shared" si="85"/>
        <v>352</v>
      </c>
      <c r="Q1545" t="str">
        <f t="shared" si="86"/>
        <v>S</v>
      </c>
      <c r="R1545" t="str">
        <f>IF(ISERROR(MATCH(P1545&amp;"."&amp;Q1545,R$5:R1544,0)),P1545&amp;"."&amp;Q1545,P1545&amp;"."&amp;Q1545&amp;COUNTIFS(P$5:P1544,P1545,Q$5:Q1544,Q1545))</f>
        <v>352.S</v>
      </c>
      <c r="S1545" s="55">
        <f t="shared" si="87"/>
        <v>0</v>
      </c>
    </row>
    <row r="1546" spans="1:19" hidden="1">
      <c r="A1546" s="5">
        <v>1611</v>
      </c>
      <c r="B1546" s="59"/>
      <c r="C1546" s="60"/>
      <c r="D1546" s="63"/>
      <c r="E1546" s="63"/>
      <c r="F1546" s="60" t="s">
        <v>18</v>
      </c>
      <c r="G1546" s="61" t="s">
        <v>15</v>
      </c>
      <c r="H1546" s="62"/>
      <c r="I1546" s="65">
        <v>7022588.8246153798</v>
      </c>
      <c r="J1546" s="65">
        <v>3089763.386947243</v>
      </c>
      <c r="K1546" s="62"/>
      <c r="L1546" s="65">
        <v>7022588.8246153798</v>
      </c>
      <c r="M1546" s="65">
        <v>3932825.4376681368</v>
      </c>
      <c r="N1546" s="64">
        <v>3089763.386947243</v>
      </c>
      <c r="P1546">
        <f t="shared" si="85"/>
        <v>352</v>
      </c>
      <c r="Q1546" t="str">
        <f t="shared" si="86"/>
        <v>SG</v>
      </c>
      <c r="R1546" t="str">
        <f>IF(ISERROR(MATCH(P1546&amp;"."&amp;Q1546,R$5:R1545,0)),P1546&amp;"."&amp;Q1546,P1546&amp;"."&amp;Q1546&amp;COUNTIFS(P$5:P1545,P1546,Q$5:Q1545,Q1546))</f>
        <v>352.SG</v>
      </c>
      <c r="S1546" s="55">
        <f t="shared" si="87"/>
        <v>3089763.386947243</v>
      </c>
    </row>
    <row r="1547" spans="1:19" hidden="1">
      <c r="A1547" s="5">
        <v>1612</v>
      </c>
      <c r="B1547" s="59"/>
      <c r="C1547" s="60"/>
      <c r="D1547" s="63"/>
      <c r="E1547" s="63"/>
      <c r="F1547" s="60" t="s">
        <v>18</v>
      </c>
      <c r="G1547" s="61" t="s">
        <v>15</v>
      </c>
      <c r="H1547" s="62"/>
      <c r="I1547" s="65">
        <v>17702491.616923101</v>
      </c>
      <c r="J1547" s="65">
        <v>7788653.4185212199</v>
      </c>
      <c r="K1547" s="62"/>
      <c r="L1547" s="65">
        <v>17702491.616923101</v>
      </c>
      <c r="M1547" s="65">
        <v>9913838.1984018814</v>
      </c>
      <c r="N1547" s="64">
        <v>7788653.4185212199</v>
      </c>
      <c r="P1547">
        <f t="shared" si="85"/>
        <v>352</v>
      </c>
      <c r="Q1547" t="str">
        <f t="shared" si="86"/>
        <v>SG</v>
      </c>
      <c r="R1547" t="str">
        <f>IF(ISERROR(MATCH(P1547&amp;"."&amp;Q1547,R$5:R1546,0)),P1547&amp;"."&amp;Q1547,P1547&amp;"."&amp;Q1547&amp;COUNTIFS(P$5:P1546,P1547,Q$5:Q1546,Q1547))</f>
        <v>352.SG1</v>
      </c>
      <c r="S1547" s="55">
        <f t="shared" si="87"/>
        <v>7788653.4185212199</v>
      </c>
    </row>
    <row r="1548" spans="1:19" hidden="1">
      <c r="A1548" s="5">
        <v>1613</v>
      </c>
      <c r="B1548" s="59"/>
      <c r="C1548" s="60"/>
      <c r="D1548" s="63"/>
      <c r="E1548" s="63"/>
      <c r="F1548" s="63" t="s">
        <v>18</v>
      </c>
      <c r="G1548" s="63" t="s">
        <v>15</v>
      </c>
      <c r="H1548" s="62"/>
      <c r="I1548" s="66">
        <v>253267780.56538501</v>
      </c>
      <c r="J1548" s="66">
        <v>111431487.02390018</v>
      </c>
      <c r="K1548" s="62"/>
      <c r="L1548" s="66">
        <v>253267780.56538501</v>
      </c>
      <c r="M1548" s="66">
        <v>141836293.54148483</v>
      </c>
      <c r="N1548" s="66">
        <v>111431487.02390018</v>
      </c>
      <c r="P1548">
        <f t="shared" si="85"/>
        <v>352</v>
      </c>
      <c r="Q1548" t="str">
        <f t="shared" si="86"/>
        <v>SG</v>
      </c>
      <c r="R1548" t="str">
        <f>IF(ISERROR(MATCH(P1548&amp;"."&amp;Q1548,R$5:R1547,0)),P1548&amp;"."&amp;Q1548,P1548&amp;"."&amp;Q1548&amp;COUNTIFS(P$5:P1547,P1548,Q$5:Q1547,Q1548))</f>
        <v>352.SG2</v>
      </c>
      <c r="S1548" s="55">
        <f t="shared" si="87"/>
        <v>111431487.02390018</v>
      </c>
    </row>
    <row r="1549" spans="1:19" hidden="1">
      <c r="A1549" s="5">
        <v>1614</v>
      </c>
      <c r="B1549" s="59"/>
      <c r="C1549" s="60"/>
      <c r="D1549" s="63"/>
      <c r="E1549" s="63"/>
      <c r="F1549" s="63"/>
      <c r="G1549" s="63"/>
      <c r="H1549" s="62" t="s">
        <v>501</v>
      </c>
      <c r="I1549" s="69">
        <v>277992861.0069235</v>
      </c>
      <c r="J1549" s="69">
        <v>122309903.82936865</v>
      </c>
      <c r="K1549" s="62"/>
      <c r="L1549" s="69">
        <v>277992861.0069235</v>
      </c>
      <c r="M1549" s="65">
        <v>155682957.17755485</v>
      </c>
      <c r="N1549" s="65">
        <v>122309903.82936865</v>
      </c>
      <c r="P1549">
        <f t="shared" si="85"/>
        <v>352</v>
      </c>
      <c r="Q1549" t="str">
        <f t="shared" si="86"/>
        <v>NA</v>
      </c>
      <c r="R1549" t="str">
        <f>IF(ISERROR(MATCH(P1549&amp;"."&amp;Q1549,R$5:R1548,0)),P1549&amp;"."&amp;Q1549,P1549&amp;"."&amp;Q1549&amp;COUNTIFS(P$5:P1548,P1549,Q$5:Q1548,Q1549))</f>
        <v>352.NA1</v>
      </c>
      <c r="S1549" s="55">
        <f t="shared" si="87"/>
        <v>122309903.82936865</v>
      </c>
    </row>
    <row r="1550" spans="1:19" hidden="1">
      <c r="A1550" s="5">
        <v>1615</v>
      </c>
      <c r="B1550" s="59"/>
      <c r="C1550" s="60"/>
      <c r="D1550" s="61"/>
      <c r="E1550" s="63"/>
      <c r="F1550" s="63"/>
      <c r="G1550" s="63"/>
      <c r="H1550" s="62"/>
      <c r="I1550" s="65"/>
      <c r="J1550" s="65"/>
      <c r="K1550" s="62"/>
      <c r="L1550" s="65"/>
      <c r="M1550" s="65"/>
      <c r="N1550" s="65"/>
      <c r="P1550">
        <f t="shared" si="85"/>
        <v>352</v>
      </c>
      <c r="Q1550" t="str">
        <f t="shared" si="86"/>
        <v>NA</v>
      </c>
      <c r="R1550" t="str">
        <f>IF(ISERROR(MATCH(P1550&amp;"."&amp;Q1550,R$5:R1549,0)),P1550&amp;"."&amp;Q1550,P1550&amp;"."&amp;Q1550&amp;COUNTIFS(P$5:P1549,P1550,Q$5:Q1549,Q1550))</f>
        <v>352.NA2</v>
      </c>
      <c r="S1550" s="55">
        <f t="shared" si="87"/>
        <v>0</v>
      </c>
    </row>
    <row r="1551" spans="1:19" hidden="1">
      <c r="A1551" s="5">
        <v>1616</v>
      </c>
      <c r="B1551" s="59"/>
      <c r="C1551" s="60">
        <v>353</v>
      </c>
      <c r="D1551" s="63" t="s">
        <v>380</v>
      </c>
      <c r="E1551" s="63"/>
      <c r="F1551" s="60"/>
      <c r="G1551" s="61"/>
      <c r="H1551" s="62"/>
      <c r="I1551" s="65"/>
      <c r="J1551" s="65"/>
      <c r="K1551" s="62"/>
      <c r="L1551" s="65"/>
      <c r="M1551" s="65"/>
      <c r="N1551" s="64"/>
      <c r="P1551">
        <f t="shared" si="85"/>
        <v>353</v>
      </c>
      <c r="Q1551" t="str">
        <f t="shared" si="86"/>
        <v>NA</v>
      </c>
      <c r="R1551" t="str">
        <f>IF(ISERROR(MATCH(P1551&amp;"."&amp;Q1551,R$5:R1550,0)),P1551&amp;"."&amp;Q1551,P1551&amp;"."&amp;Q1551&amp;COUNTIFS(P$5:P1550,P1551,Q$5:Q1550,Q1551))</f>
        <v>353.NA</v>
      </c>
      <c r="S1551" s="55">
        <f t="shared" si="87"/>
        <v>0</v>
      </c>
    </row>
    <row r="1552" spans="1:19" hidden="1">
      <c r="A1552" s="5">
        <v>1617</v>
      </c>
      <c r="B1552" s="59"/>
      <c r="C1552" s="60"/>
      <c r="D1552" s="63"/>
      <c r="E1552" s="63"/>
      <c r="F1552" s="60" t="s">
        <v>18</v>
      </c>
      <c r="G1552" s="61" t="s">
        <v>15</v>
      </c>
      <c r="H1552" s="62"/>
      <c r="I1552" s="65">
        <v>106185097.55538499</v>
      </c>
      <c r="J1552" s="65">
        <v>46718786.313680939</v>
      </c>
      <c r="K1552" s="62"/>
      <c r="L1552" s="65">
        <v>106185097.55538499</v>
      </c>
      <c r="M1552" s="65">
        <v>59466311.241704054</v>
      </c>
      <c r="N1552" s="64">
        <v>46718786.313680939</v>
      </c>
      <c r="P1552">
        <f t="shared" si="85"/>
        <v>353</v>
      </c>
      <c r="Q1552" t="str">
        <f t="shared" si="86"/>
        <v>SG</v>
      </c>
      <c r="R1552" t="str">
        <f>IF(ISERROR(MATCH(P1552&amp;"."&amp;Q1552,R$5:R1551,0)),P1552&amp;"."&amp;Q1552,P1552&amp;"."&amp;Q1552&amp;COUNTIFS(P$5:P1551,P1552,Q$5:Q1551,Q1552))</f>
        <v>353.SG</v>
      </c>
      <c r="S1552" s="55">
        <f t="shared" si="87"/>
        <v>46718786.313680939</v>
      </c>
    </row>
    <row r="1553" spans="1:19" hidden="1">
      <c r="A1553" s="5">
        <v>1618</v>
      </c>
      <c r="B1553" s="59"/>
      <c r="C1553" s="60"/>
      <c r="D1553" s="63"/>
      <c r="E1553" s="63"/>
      <c r="F1553" s="60" t="s">
        <v>18</v>
      </c>
      <c r="G1553" s="61" t="s">
        <v>15</v>
      </c>
      <c r="H1553" s="62"/>
      <c r="I1553" s="65">
        <v>154078560.63076901</v>
      </c>
      <c r="J1553" s="65">
        <v>67790711.835753053</v>
      </c>
      <c r="K1553" s="62"/>
      <c r="L1553" s="65">
        <v>154078560.63076901</v>
      </c>
      <c r="M1553" s="65">
        <v>86287848.795015961</v>
      </c>
      <c r="N1553" s="64">
        <v>67790711.835753053</v>
      </c>
      <c r="P1553">
        <f t="shared" si="85"/>
        <v>353</v>
      </c>
      <c r="Q1553" t="str">
        <f t="shared" si="86"/>
        <v>SG</v>
      </c>
      <c r="R1553" t="str">
        <f>IF(ISERROR(MATCH(P1553&amp;"."&amp;Q1553,R$5:R1552,0)),P1553&amp;"."&amp;Q1553,P1553&amp;"."&amp;Q1553&amp;COUNTIFS(P$5:P1552,P1553,Q$5:Q1552,Q1553))</f>
        <v>353.SG1</v>
      </c>
      <c r="S1553" s="55">
        <f t="shared" si="87"/>
        <v>67790711.835753053</v>
      </c>
    </row>
    <row r="1554" spans="1:19" hidden="1">
      <c r="A1554" s="5">
        <v>1619</v>
      </c>
      <c r="B1554" s="59"/>
      <c r="C1554" s="60"/>
      <c r="D1554" s="63"/>
      <c r="E1554" s="63"/>
      <c r="F1554" s="63" t="s">
        <v>18</v>
      </c>
      <c r="G1554" s="63" t="s">
        <v>15</v>
      </c>
      <c r="H1554" s="62"/>
      <c r="I1554" s="66">
        <v>1939486317.8453801</v>
      </c>
      <c r="J1554" s="66">
        <v>853325456.46967804</v>
      </c>
      <c r="K1554" s="62"/>
      <c r="L1554" s="66">
        <v>1939486317.8453801</v>
      </c>
      <c r="M1554" s="66">
        <v>1086160861.3757019</v>
      </c>
      <c r="N1554" s="66">
        <v>853325456.46967804</v>
      </c>
      <c r="P1554">
        <f t="shared" si="85"/>
        <v>353</v>
      </c>
      <c r="Q1554" t="str">
        <f t="shared" si="86"/>
        <v>SG</v>
      </c>
      <c r="R1554" t="str">
        <f>IF(ISERROR(MATCH(P1554&amp;"."&amp;Q1554,R$5:R1553,0)),P1554&amp;"."&amp;Q1554,P1554&amp;"."&amp;Q1554&amp;COUNTIFS(P$5:P1553,P1554,Q$5:Q1553,Q1554))</f>
        <v>353.SG2</v>
      </c>
      <c r="S1554" s="55">
        <f t="shared" si="87"/>
        <v>853325456.46967804</v>
      </c>
    </row>
    <row r="1555" spans="1:19" hidden="1">
      <c r="A1555" s="5">
        <v>1620</v>
      </c>
      <c r="B1555" s="59"/>
      <c r="C1555" s="60"/>
      <c r="D1555" s="63"/>
      <c r="E1555" s="63"/>
      <c r="F1555" s="63"/>
      <c r="G1555" s="63"/>
      <c r="H1555" s="62" t="s">
        <v>501</v>
      </c>
      <c r="I1555" s="65">
        <v>2199749976.0315342</v>
      </c>
      <c r="J1555" s="65">
        <v>967834954.61911201</v>
      </c>
      <c r="K1555" s="62"/>
      <c r="L1555" s="65">
        <v>2199749976.0315342</v>
      </c>
      <c r="M1555" s="65">
        <v>1231915021.4124219</v>
      </c>
      <c r="N1555" s="65">
        <v>967834954.61911201</v>
      </c>
      <c r="P1555">
        <f t="shared" si="85"/>
        <v>353</v>
      </c>
      <c r="Q1555" t="str">
        <f t="shared" si="86"/>
        <v>NA</v>
      </c>
      <c r="R1555" t="str">
        <f>IF(ISERROR(MATCH(P1555&amp;"."&amp;Q1555,R$5:R1554,0)),P1555&amp;"."&amp;Q1555,P1555&amp;"."&amp;Q1555&amp;COUNTIFS(P$5:P1554,P1555,Q$5:Q1554,Q1555))</f>
        <v>353.NA1</v>
      </c>
      <c r="S1555" s="55">
        <f t="shared" si="87"/>
        <v>967834954.61911201</v>
      </c>
    </row>
    <row r="1556" spans="1:19" hidden="1">
      <c r="A1556" s="5">
        <v>1621</v>
      </c>
      <c r="B1556" s="59"/>
      <c r="C1556" s="60"/>
      <c r="D1556" s="61"/>
      <c r="E1556" s="63"/>
      <c r="F1556" s="63"/>
      <c r="G1556" s="63"/>
      <c r="H1556" s="62"/>
      <c r="I1556" s="65"/>
      <c r="J1556" s="65"/>
      <c r="K1556" s="62"/>
      <c r="L1556" s="65"/>
      <c r="M1556" s="65"/>
      <c r="N1556" s="65"/>
      <c r="P1556">
        <f t="shared" si="85"/>
        <v>353</v>
      </c>
      <c r="Q1556" t="str">
        <f t="shared" si="86"/>
        <v>NA</v>
      </c>
      <c r="R1556" t="str">
        <f>IF(ISERROR(MATCH(P1556&amp;"."&amp;Q1556,R$5:R1555,0)),P1556&amp;"."&amp;Q1556,P1556&amp;"."&amp;Q1556&amp;COUNTIFS(P$5:P1555,P1556,Q$5:Q1555,Q1556))</f>
        <v>353.NA2</v>
      </c>
      <c r="S1556" s="55">
        <f t="shared" si="87"/>
        <v>0</v>
      </c>
    </row>
    <row r="1557" spans="1:19" hidden="1">
      <c r="A1557" s="5">
        <v>1622</v>
      </c>
      <c r="B1557" s="59"/>
      <c r="C1557" s="60">
        <v>354</v>
      </c>
      <c r="D1557" s="63" t="s">
        <v>538</v>
      </c>
      <c r="E1557" s="63"/>
      <c r="F1557" s="60"/>
      <c r="G1557" s="61"/>
      <c r="H1557" s="62"/>
      <c r="I1557" s="65"/>
      <c r="J1557" s="65"/>
      <c r="K1557" s="62"/>
      <c r="L1557" s="65"/>
      <c r="M1557" s="65"/>
      <c r="N1557" s="64"/>
      <c r="P1557">
        <f t="shared" si="85"/>
        <v>354</v>
      </c>
      <c r="Q1557" t="str">
        <f t="shared" si="86"/>
        <v>NA</v>
      </c>
      <c r="R1557" t="str">
        <f>IF(ISERROR(MATCH(P1557&amp;"."&amp;Q1557,R$5:R1556,0)),P1557&amp;"."&amp;Q1557,P1557&amp;"."&amp;Q1557&amp;COUNTIFS(P$5:P1556,P1557,Q$5:Q1556,Q1557))</f>
        <v>354.NA</v>
      </c>
      <c r="S1557" s="55">
        <f t="shared" si="87"/>
        <v>0</v>
      </c>
    </row>
    <row r="1558" spans="1:19" hidden="1">
      <c r="A1558" s="5">
        <v>1623</v>
      </c>
      <c r="B1558" s="59"/>
      <c r="C1558" s="60"/>
      <c r="D1558" s="63"/>
      <c r="E1558" s="63"/>
      <c r="F1558" s="60" t="s">
        <v>18</v>
      </c>
      <c r="G1558" s="61" t="s">
        <v>15</v>
      </c>
      <c r="H1558" s="62"/>
      <c r="I1558" s="65">
        <v>128108873.18000001</v>
      </c>
      <c r="J1558" s="65">
        <v>56364699.08464428</v>
      </c>
      <c r="K1558" s="62"/>
      <c r="L1558" s="65">
        <v>128108873.18000001</v>
      </c>
      <c r="M1558" s="65">
        <v>71744174.095355719</v>
      </c>
      <c r="N1558" s="64">
        <v>56364699.08464428</v>
      </c>
      <c r="P1558">
        <f t="shared" si="85"/>
        <v>354</v>
      </c>
      <c r="Q1558" t="str">
        <f t="shared" si="86"/>
        <v>SG</v>
      </c>
      <c r="R1558" t="str">
        <f>IF(ISERROR(MATCH(P1558&amp;"."&amp;Q1558,R$5:R1557,0)),P1558&amp;"."&amp;Q1558,P1558&amp;"."&amp;Q1558&amp;COUNTIFS(P$5:P1557,P1558,Q$5:Q1557,Q1558))</f>
        <v>354.SG</v>
      </c>
      <c r="S1558" s="55">
        <f t="shared" si="87"/>
        <v>56364699.08464428</v>
      </c>
    </row>
    <row r="1559" spans="1:19" hidden="1">
      <c r="A1559" s="5">
        <v>1624</v>
      </c>
      <c r="B1559" s="59"/>
      <c r="C1559" s="60"/>
      <c r="D1559" s="63"/>
      <c r="E1559" s="63"/>
      <c r="F1559" s="60" t="s">
        <v>18</v>
      </c>
      <c r="G1559" s="61" t="s">
        <v>15</v>
      </c>
      <c r="H1559" s="62"/>
      <c r="I1559" s="65">
        <v>131291888.48692299</v>
      </c>
      <c r="J1559" s="65">
        <v>57765146.184857629</v>
      </c>
      <c r="K1559" s="62"/>
      <c r="L1559" s="65">
        <v>131291888.48692299</v>
      </c>
      <c r="M1559" s="65">
        <v>73526742.302065372</v>
      </c>
      <c r="N1559" s="64">
        <v>57765146.184857629</v>
      </c>
      <c r="P1559">
        <f t="shared" si="85"/>
        <v>354</v>
      </c>
      <c r="Q1559" t="str">
        <f t="shared" si="86"/>
        <v>SG</v>
      </c>
      <c r="R1559" t="str">
        <f>IF(ISERROR(MATCH(P1559&amp;"."&amp;Q1559,R$5:R1558,0)),P1559&amp;"."&amp;Q1559,P1559&amp;"."&amp;Q1559&amp;COUNTIFS(P$5:P1558,P1559,Q$5:Q1558,Q1559))</f>
        <v>354.SG1</v>
      </c>
      <c r="S1559" s="55">
        <f t="shared" si="87"/>
        <v>57765146.184857629</v>
      </c>
    </row>
    <row r="1560" spans="1:19" hidden="1">
      <c r="A1560" s="5">
        <v>1625</v>
      </c>
      <c r="B1560" s="59"/>
      <c r="C1560" s="60"/>
      <c r="D1560" s="63"/>
      <c r="E1560" s="63"/>
      <c r="F1560" s="63" t="s">
        <v>18</v>
      </c>
      <c r="G1560" s="63" t="s">
        <v>15</v>
      </c>
      <c r="H1560" s="62"/>
      <c r="I1560" s="66">
        <v>1043574207.48077</v>
      </c>
      <c r="J1560" s="66">
        <v>459146542.44521654</v>
      </c>
      <c r="K1560" s="62"/>
      <c r="L1560" s="66">
        <v>1043574207.48077</v>
      </c>
      <c r="M1560" s="66">
        <v>584427665.03555346</v>
      </c>
      <c r="N1560" s="66">
        <v>459146542.44521654</v>
      </c>
      <c r="P1560">
        <f t="shared" si="85"/>
        <v>354</v>
      </c>
      <c r="Q1560" t="str">
        <f t="shared" si="86"/>
        <v>SG</v>
      </c>
      <c r="R1560" t="str">
        <f>IF(ISERROR(MATCH(P1560&amp;"."&amp;Q1560,R$5:R1559,0)),P1560&amp;"."&amp;Q1560,P1560&amp;"."&amp;Q1560&amp;COUNTIFS(P$5:P1559,P1560,Q$5:Q1559,Q1560))</f>
        <v>354.SG2</v>
      </c>
      <c r="S1560" s="55">
        <f t="shared" si="87"/>
        <v>459146542.44521654</v>
      </c>
    </row>
    <row r="1561" spans="1:19" hidden="1">
      <c r="A1561" s="5">
        <v>1626</v>
      </c>
      <c r="B1561" s="59"/>
      <c r="C1561" s="60"/>
      <c r="D1561" s="63"/>
      <c r="E1561" s="63"/>
      <c r="F1561" s="63"/>
      <c r="G1561" s="63"/>
      <c r="H1561" s="62" t="s">
        <v>501</v>
      </c>
      <c r="I1561" s="65">
        <v>1302974969.1476929</v>
      </c>
      <c r="J1561" s="65">
        <v>573276387.71471846</v>
      </c>
      <c r="K1561" s="62"/>
      <c r="L1561" s="65">
        <v>1302974969.1476929</v>
      </c>
      <c r="M1561" s="65">
        <v>729698581.43297458</v>
      </c>
      <c r="N1561" s="65">
        <v>573276387.71471846</v>
      </c>
      <c r="P1561">
        <f t="shared" si="85"/>
        <v>354</v>
      </c>
      <c r="Q1561" t="str">
        <f t="shared" si="86"/>
        <v>NA</v>
      </c>
      <c r="R1561" t="str">
        <f>IF(ISERROR(MATCH(P1561&amp;"."&amp;Q1561,R$5:R1560,0)),P1561&amp;"."&amp;Q1561,P1561&amp;"."&amp;Q1561&amp;COUNTIFS(P$5:P1560,P1561,Q$5:Q1560,Q1561))</f>
        <v>354.NA1</v>
      </c>
      <c r="S1561" s="55">
        <f t="shared" si="87"/>
        <v>573276387.71471846</v>
      </c>
    </row>
    <row r="1562" spans="1:19" hidden="1">
      <c r="A1562" s="5">
        <v>1627</v>
      </c>
      <c r="B1562" s="59"/>
      <c r="C1562" s="60"/>
      <c r="D1562" s="61"/>
      <c r="E1562" s="63"/>
      <c r="F1562" s="63"/>
      <c r="G1562" s="63"/>
      <c r="H1562" s="62"/>
      <c r="I1562" s="65"/>
      <c r="J1562" s="65"/>
      <c r="K1562" s="62"/>
      <c r="L1562" s="65"/>
      <c r="M1562" s="65"/>
      <c r="N1562" s="65"/>
      <c r="P1562">
        <f t="shared" si="85"/>
        <v>354</v>
      </c>
      <c r="Q1562" t="str">
        <f t="shared" si="86"/>
        <v>NA</v>
      </c>
      <c r="R1562" t="str">
        <f>IF(ISERROR(MATCH(P1562&amp;"."&amp;Q1562,R$5:R1561,0)),P1562&amp;"."&amp;Q1562,P1562&amp;"."&amp;Q1562&amp;COUNTIFS(P$5:P1561,P1562,Q$5:Q1561,Q1562))</f>
        <v>354.NA2</v>
      </c>
      <c r="S1562" s="55">
        <f t="shared" si="87"/>
        <v>0</v>
      </c>
    </row>
    <row r="1563" spans="1:19" hidden="1">
      <c r="A1563" s="5">
        <v>1628</v>
      </c>
      <c r="B1563" s="59"/>
      <c r="C1563" s="60">
        <v>355</v>
      </c>
      <c r="D1563" s="63" t="s">
        <v>539</v>
      </c>
      <c r="E1563" s="63"/>
      <c r="F1563" s="60"/>
      <c r="G1563" s="61"/>
      <c r="H1563" s="62"/>
      <c r="I1563" s="65"/>
      <c r="J1563" s="65"/>
      <c r="K1563" s="62"/>
      <c r="L1563" s="65"/>
      <c r="M1563" s="65"/>
      <c r="N1563" s="64"/>
      <c r="P1563">
        <f t="shared" si="85"/>
        <v>355</v>
      </c>
      <c r="Q1563" t="str">
        <f t="shared" si="86"/>
        <v>NA</v>
      </c>
      <c r="R1563" t="str">
        <f>IF(ISERROR(MATCH(P1563&amp;"."&amp;Q1563,R$5:R1562,0)),P1563&amp;"."&amp;Q1563,P1563&amp;"."&amp;Q1563&amp;COUNTIFS(P$5:P1562,P1563,Q$5:Q1562,Q1563))</f>
        <v>355.NA</v>
      </c>
      <c r="S1563" s="55">
        <f t="shared" si="87"/>
        <v>0</v>
      </c>
    </row>
    <row r="1564" spans="1:19" hidden="1">
      <c r="A1564" s="5">
        <v>1629</v>
      </c>
      <c r="B1564" s="59"/>
      <c r="C1564" s="60"/>
      <c r="D1564" s="63"/>
      <c r="E1564" s="63"/>
      <c r="F1564" s="60" t="s">
        <v>18</v>
      </c>
      <c r="G1564" s="61" t="s">
        <v>15</v>
      </c>
      <c r="H1564" s="62"/>
      <c r="I1564" s="65">
        <v>61168792.212307699</v>
      </c>
      <c r="J1564" s="65">
        <v>26912738.211142976</v>
      </c>
      <c r="K1564" s="62"/>
      <c r="L1564" s="65">
        <v>56793432.755614884</v>
      </c>
      <c r="M1564" s="65">
        <v>31805743.239710484</v>
      </c>
      <c r="N1564" s="64">
        <v>24987689.5159044</v>
      </c>
      <c r="P1564">
        <f t="shared" si="85"/>
        <v>355</v>
      </c>
      <c r="Q1564" t="str">
        <f t="shared" si="86"/>
        <v>SG</v>
      </c>
      <c r="R1564" t="str">
        <f>IF(ISERROR(MATCH(P1564&amp;"."&amp;Q1564,R$5:R1563,0)),P1564&amp;"."&amp;Q1564,P1564&amp;"."&amp;Q1564&amp;COUNTIFS(P$5:P1563,P1564,Q$5:Q1563,Q1564))</f>
        <v>355.SG</v>
      </c>
      <c r="S1564" s="55">
        <f t="shared" si="87"/>
        <v>24987689.5159044</v>
      </c>
    </row>
    <row r="1565" spans="1:19" hidden="1">
      <c r="A1565" s="5">
        <v>1630</v>
      </c>
      <c r="B1565" s="59"/>
      <c r="C1565" s="60"/>
      <c r="D1565" s="63"/>
      <c r="E1565" s="63"/>
      <c r="F1565" s="60" t="s">
        <v>18</v>
      </c>
      <c r="G1565" s="61" t="s">
        <v>15</v>
      </c>
      <c r="H1565" s="62"/>
      <c r="I1565" s="65">
        <v>114965512.381538</v>
      </c>
      <c r="J1565" s="65">
        <v>50581949.162823282</v>
      </c>
      <c r="K1565" s="62"/>
      <c r="L1565" s="65">
        <v>108059492.07769296</v>
      </c>
      <c r="M1565" s="65">
        <v>60516019.069068171</v>
      </c>
      <c r="N1565" s="64">
        <v>47543473.008624785</v>
      </c>
      <c r="P1565">
        <f t="shared" si="85"/>
        <v>355</v>
      </c>
      <c r="Q1565" t="str">
        <f t="shared" si="86"/>
        <v>SG</v>
      </c>
      <c r="R1565" t="str">
        <f>IF(ISERROR(MATCH(P1565&amp;"."&amp;Q1565,R$5:R1564,0)),P1565&amp;"."&amp;Q1565,P1565&amp;"."&amp;Q1565&amp;COUNTIFS(P$5:P1564,P1565,Q$5:Q1564,Q1565))</f>
        <v>355.SG1</v>
      </c>
      <c r="S1565" s="55">
        <f t="shared" si="87"/>
        <v>47543473.008624785</v>
      </c>
    </row>
    <row r="1566" spans="1:19" hidden="1">
      <c r="A1566" s="5">
        <v>1631</v>
      </c>
      <c r="B1566" s="59"/>
      <c r="C1566" s="60"/>
      <c r="D1566" s="63"/>
      <c r="E1566" s="63"/>
      <c r="F1566" s="63" t="s">
        <v>18</v>
      </c>
      <c r="G1566" s="63" t="s">
        <v>15</v>
      </c>
      <c r="H1566" s="62"/>
      <c r="I1566" s="66">
        <v>807470295.12923098</v>
      </c>
      <c r="J1566" s="66">
        <v>355266728.01812875</v>
      </c>
      <c r="K1566" s="62"/>
      <c r="L1566" s="66">
        <v>2037060033.2891555</v>
      </c>
      <c r="M1566" s="66">
        <v>1140804583.1895146</v>
      </c>
      <c r="N1566" s="66">
        <v>896255450.09964073</v>
      </c>
      <c r="P1566">
        <f t="shared" si="85"/>
        <v>355</v>
      </c>
      <c r="Q1566" t="str">
        <f t="shared" si="86"/>
        <v>SG</v>
      </c>
      <c r="R1566" t="str">
        <f>IF(ISERROR(MATCH(P1566&amp;"."&amp;Q1566,R$5:R1565,0)),P1566&amp;"."&amp;Q1566,P1566&amp;"."&amp;Q1566&amp;COUNTIFS(P$5:P1565,P1566,Q$5:Q1565,Q1566))</f>
        <v>355.SG2</v>
      </c>
      <c r="S1566" s="55">
        <f t="shared" si="87"/>
        <v>896255450.09964073</v>
      </c>
    </row>
    <row r="1567" spans="1:19" hidden="1">
      <c r="A1567" s="5">
        <v>1632</v>
      </c>
      <c r="B1567" s="59"/>
      <c r="C1567" s="60"/>
      <c r="D1567" s="63"/>
      <c r="E1567" s="63"/>
      <c r="F1567" s="63"/>
      <c r="G1567" s="63"/>
      <c r="H1567" s="62" t="s">
        <v>501</v>
      </c>
      <c r="I1567" s="65">
        <v>983604599.7230767</v>
      </c>
      <c r="J1567" s="65">
        <v>432761415.39209503</v>
      </c>
      <c r="K1567" s="62"/>
      <c r="L1567" s="65">
        <v>2201912958.1224632</v>
      </c>
      <c r="M1567" s="65">
        <v>1233126345.4982934</v>
      </c>
      <c r="N1567" s="65">
        <v>968786612.62416995</v>
      </c>
      <c r="P1567">
        <f t="shared" si="85"/>
        <v>355</v>
      </c>
      <c r="Q1567" t="str">
        <f t="shared" si="86"/>
        <v>NA</v>
      </c>
      <c r="R1567" t="str">
        <f>IF(ISERROR(MATCH(P1567&amp;"."&amp;Q1567,R$5:R1566,0)),P1567&amp;"."&amp;Q1567,P1567&amp;"."&amp;Q1567&amp;COUNTIFS(P$5:P1566,P1567,Q$5:Q1566,Q1567))</f>
        <v>355.NA1</v>
      </c>
      <c r="S1567" s="55">
        <f t="shared" si="87"/>
        <v>968786612.62416995</v>
      </c>
    </row>
    <row r="1568" spans="1:19" hidden="1">
      <c r="A1568" s="5">
        <v>1633</v>
      </c>
      <c r="B1568" s="59"/>
      <c r="C1568" s="60"/>
      <c r="D1568" s="61"/>
      <c r="E1568" s="63"/>
      <c r="F1568" s="63"/>
      <c r="G1568" s="63"/>
      <c r="H1568" s="62"/>
      <c r="I1568" s="65"/>
      <c r="J1568" s="65"/>
      <c r="K1568" s="62"/>
      <c r="L1568" s="65"/>
      <c r="M1568" s="65"/>
      <c r="N1568" s="65"/>
      <c r="P1568">
        <f t="shared" si="85"/>
        <v>355</v>
      </c>
      <c r="Q1568" t="str">
        <f t="shared" si="86"/>
        <v>NA</v>
      </c>
      <c r="R1568" t="str">
        <f>IF(ISERROR(MATCH(P1568&amp;"."&amp;Q1568,R$5:R1567,0)),P1568&amp;"."&amp;Q1568,P1568&amp;"."&amp;Q1568&amp;COUNTIFS(P$5:P1567,P1568,Q$5:Q1567,Q1568))</f>
        <v>355.NA2</v>
      </c>
      <c r="S1568" s="55">
        <f t="shared" si="87"/>
        <v>0</v>
      </c>
    </row>
    <row r="1569" spans="1:19" hidden="1">
      <c r="A1569" s="5">
        <v>1634</v>
      </c>
      <c r="B1569" s="59"/>
      <c r="C1569" s="60">
        <v>356</v>
      </c>
      <c r="D1569" s="63" t="s">
        <v>540</v>
      </c>
      <c r="E1569" s="63"/>
      <c r="F1569" s="60"/>
      <c r="G1569" s="61"/>
      <c r="H1569" s="62"/>
      <c r="I1569" s="65"/>
      <c r="J1569" s="65"/>
      <c r="K1569" s="62"/>
      <c r="L1569" s="65"/>
      <c r="M1569" s="65"/>
      <c r="N1569" s="64"/>
      <c r="P1569">
        <f t="shared" si="85"/>
        <v>356</v>
      </c>
      <c r="Q1569" t="str">
        <f t="shared" si="86"/>
        <v>NA</v>
      </c>
      <c r="R1569" t="str">
        <f>IF(ISERROR(MATCH(P1569&amp;"."&amp;Q1569,R$5:R1568,0)),P1569&amp;"."&amp;Q1569,P1569&amp;"."&amp;Q1569&amp;COUNTIFS(P$5:P1568,P1569,Q$5:Q1568,Q1569))</f>
        <v>356.NA</v>
      </c>
      <c r="S1569" s="55">
        <f t="shared" si="87"/>
        <v>0</v>
      </c>
    </row>
    <row r="1570" spans="1:19" hidden="1">
      <c r="A1570" s="5">
        <v>1635</v>
      </c>
      <c r="B1570" s="59"/>
      <c r="C1570" s="60"/>
      <c r="D1570" s="63"/>
      <c r="E1570" s="63"/>
      <c r="F1570" s="60" t="s">
        <v>18</v>
      </c>
      <c r="G1570" s="61" t="s">
        <v>15</v>
      </c>
      <c r="H1570" s="62"/>
      <c r="I1570" s="65">
        <v>158484868.955385</v>
      </c>
      <c r="J1570" s="65">
        <v>69729377.258578092</v>
      </c>
      <c r="K1570" s="62"/>
      <c r="L1570" s="65">
        <v>158484868.955385</v>
      </c>
      <c r="M1570" s="65">
        <v>88755491.696806908</v>
      </c>
      <c r="N1570" s="64">
        <v>69729377.258578092</v>
      </c>
      <c r="P1570">
        <f t="shared" si="85"/>
        <v>356</v>
      </c>
      <c r="Q1570" t="str">
        <f t="shared" si="86"/>
        <v>SG</v>
      </c>
      <c r="R1570" t="str">
        <f>IF(ISERROR(MATCH(P1570&amp;"."&amp;Q1570,R$5:R1569,0)),P1570&amp;"."&amp;Q1570,P1570&amp;"."&amp;Q1570&amp;COUNTIFS(P$5:P1569,P1570,Q$5:Q1569,Q1570))</f>
        <v>356.SG</v>
      </c>
      <c r="S1570" s="55">
        <f t="shared" si="87"/>
        <v>69729377.258578092</v>
      </c>
    </row>
    <row r="1571" spans="1:19" hidden="1">
      <c r="A1571" s="5">
        <v>1636</v>
      </c>
      <c r="B1571" s="59"/>
      <c r="C1571" s="60"/>
      <c r="D1571" s="63"/>
      <c r="E1571" s="63"/>
      <c r="F1571" s="60" t="s">
        <v>18</v>
      </c>
      <c r="G1571" s="61" t="s">
        <v>15</v>
      </c>
      <c r="H1571" s="62"/>
      <c r="I1571" s="65">
        <v>157763803.729231</v>
      </c>
      <c r="J1571" s="65">
        <v>69412126.599168524</v>
      </c>
      <c r="K1571" s="62"/>
      <c r="L1571" s="65">
        <v>157763803.729231</v>
      </c>
      <c r="M1571" s="65">
        <v>88351677.130062476</v>
      </c>
      <c r="N1571" s="64">
        <v>69412126.599168524</v>
      </c>
      <c r="P1571">
        <f t="shared" si="85"/>
        <v>356</v>
      </c>
      <c r="Q1571" t="str">
        <f t="shared" si="86"/>
        <v>SG</v>
      </c>
      <c r="R1571" t="str">
        <f>IF(ISERROR(MATCH(P1571&amp;"."&amp;Q1571,R$5:R1570,0)),P1571&amp;"."&amp;Q1571,P1571&amp;"."&amp;Q1571&amp;COUNTIFS(P$5:P1570,P1571,Q$5:Q1570,Q1571))</f>
        <v>356.SG1</v>
      </c>
      <c r="S1571" s="55">
        <f t="shared" si="87"/>
        <v>69412126.599168524</v>
      </c>
    </row>
    <row r="1572" spans="1:19" hidden="1">
      <c r="A1572" s="5">
        <v>1637</v>
      </c>
      <c r="B1572" s="59"/>
      <c r="C1572" s="60"/>
      <c r="D1572" s="63"/>
      <c r="E1572" s="63"/>
      <c r="F1572" s="63" t="s">
        <v>18</v>
      </c>
      <c r="G1572" s="63" t="s">
        <v>15</v>
      </c>
      <c r="H1572" s="62"/>
      <c r="I1572" s="66">
        <v>949947304.54384601</v>
      </c>
      <c r="J1572" s="66">
        <v>417953047.57423997</v>
      </c>
      <c r="K1572" s="62"/>
      <c r="L1572" s="66">
        <v>949947304.54384601</v>
      </c>
      <c r="M1572" s="66">
        <v>531994256.96960604</v>
      </c>
      <c r="N1572" s="66">
        <v>417953047.57423997</v>
      </c>
      <c r="P1572">
        <f t="shared" si="85"/>
        <v>356</v>
      </c>
      <c r="Q1572" t="str">
        <f t="shared" si="86"/>
        <v>SG</v>
      </c>
      <c r="R1572" t="str">
        <f>IF(ISERROR(MATCH(P1572&amp;"."&amp;Q1572,R$5:R1571,0)),P1572&amp;"."&amp;Q1572,P1572&amp;"."&amp;Q1572&amp;COUNTIFS(P$5:P1571,P1572,Q$5:Q1571,Q1572))</f>
        <v>356.SG2</v>
      </c>
      <c r="S1572" s="55">
        <f t="shared" si="87"/>
        <v>417953047.57423997</v>
      </c>
    </row>
    <row r="1573" spans="1:19" hidden="1">
      <c r="A1573" s="5">
        <v>1638</v>
      </c>
      <c r="B1573" s="59"/>
      <c r="C1573" s="60"/>
      <c r="D1573" s="63"/>
      <c r="E1573" s="63"/>
      <c r="F1573" s="63"/>
      <c r="G1573" s="63"/>
      <c r="H1573" s="62" t="s">
        <v>501</v>
      </c>
      <c r="I1573" s="65">
        <v>1266195977.228462</v>
      </c>
      <c r="J1573" s="65">
        <v>557094551.43198657</v>
      </c>
      <c r="K1573" s="62"/>
      <c r="L1573" s="65">
        <v>1266195977.228462</v>
      </c>
      <c r="M1573" s="65">
        <v>709101425.79647541</v>
      </c>
      <c r="N1573" s="65">
        <v>557094551.43198657</v>
      </c>
      <c r="P1573">
        <f t="shared" si="85"/>
        <v>356</v>
      </c>
      <c r="Q1573" t="str">
        <f t="shared" si="86"/>
        <v>NA</v>
      </c>
      <c r="R1573" t="str">
        <f>IF(ISERROR(MATCH(P1573&amp;"."&amp;Q1573,R$5:R1572,0)),P1573&amp;"."&amp;Q1573,P1573&amp;"."&amp;Q1573&amp;COUNTIFS(P$5:P1572,P1573,Q$5:Q1572,Q1573))</f>
        <v>356.NA1</v>
      </c>
      <c r="S1573" s="55">
        <f t="shared" si="87"/>
        <v>557094551.43198657</v>
      </c>
    </row>
    <row r="1574" spans="1:19" hidden="1">
      <c r="A1574" s="5">
        <v>1639</v>
      </c>
      <c r="B1574" s="59"/>
      <c r="C1574" s="60"/>
      <c r="D1574" s="61"/>
      <c r="E1574" s="63"/>
      <c r="F1574" s="63"/>
      <c r="G1574" s="63"/>
      <c r="H1574" s="62"/>
      <c r="I1574" s="65"/>
      <c r="J1574" s="65"/>
      <c r="K1574" s="62"/>
      <c r="L1574" s="65"/>
      <c r="M1574" s="65"/>
      <c r="N1574" s="65"/>
      <c r="P1574">
        <f t="shared" si="85"/>
        <v>356</v>
      </c>
      <c r="Q1574" t="str">
        <f t="shared" si="86"/>
        <v>NA</v>
      </c>
      <c r="R1574" t="str">
        <f>IF(ISERROR(MATCH(P1574&amp;"."&amp;Q1574,R$5:R1573,0)),P1574&amp;"."&amp;Q1574,P1574&amp;"."&amp;Q1574&amp;COUNTIFS(P$5:P1573,P1574,Q$5:Q1573,Q1574))</f>
        <v>356.NA2</v>
      </c>
      <c r="S1574" s="55">
        <f t="shared" si="87"/>
        <v>0</v>
      </c>
    </row>
    <row r="1575" spans="1:19" hidden="1">
      <c r="A1575" s="5">
        <v>1640</v>
      </c>
      <c r="B1575" s="59"/>
      <c r="C1575" s="60">
        <v>357</v>
      </c>
      <c r="D1575" s="63" t="s">
        <v>541</v>
      </c>
      <c r="E1575" s="63"/>
      <c r="F1575" s="60"/>
      <c r="G1575" s="61"/>
      <c r="H1575" s="62"/>
      <c r="I1575" s="65"/>
      <c r="J1575" s="65"/>
      <c r="K1575" s="62"/>
      <c r="L1575" s="65"/>
      <c r="M1575" s="65"/>
      <c r="N1575" s="64"/>
      <c r="P1575">
        <f t="shared" si="85"/>
        <v>357</v>
      </c>
      <c r="Q1575" t="str">
        <f t="shared" si="86"/>
        <v>NA</v>
      </c>
      <c r="R1575" t="str">
        <f>IF(ISERROR(MATCH(P1575&amp;"."&amp;Q1575,R$5:R1574,0)),P1575&amp;"."&amp;Q1575,P1575&amp;"."&amp;Q1575&amp;COUNTIFS(P$5:P1574,P1575,Q$5:Q1574,Q1575))</f>
        <v>357.NA</v>
      </c>
      <c r="S1575" s="55">
        <f t="shared" si="87"/>
        <v>0</v>
      </c>
    </row>
    <row r="1576" spans="1:19" hidden="1">
      <c r="A1576" s="5">
        <v>1641</v>
      </c>
      <c r="B1576" s="59"/>
      <c r="C1576" s="60"/>
      <c r="D1576" s="63"/>
      <c r="E1576" s="63"/>
      <c r="F1576" s="63" t="s">
        <v>18</v>
      </c>
      <c r="G1576" s="63" t="s">
        <v>15</v>
      </c>
      <c r="H1576" s="62"/>
      <c r="I1576" s="66">
        <v>6370.99</v>
      </c>
      <c r="J1576" s="66">
        <v>2803.0762062571894</v>
      </c>
      <c r="K1576" s="62"/>
      <c r="L1576" s="66">
        <v>6370.99</v>
      </c>
      <c r="M1576" s="66">
        <v>3567.9137937428104</v>
      </c>
      <c r="N1576" s="66">
        <v>2803.0762062571894</v>
      </c>
      <c r="P1576">
        <f t="shared" si="85"/>
        <v>357</v>
      </c>
      <c r="Q1576" t="str">
        <f t="shared" si="86"/>
        <v>SG</v>
      </c>
      <c r="R1576" t="str">
        <f>IF(ISERROR(MATCH(P1576&amp;"."&amp;Q1576,R$5:R1575,0)),P1576&amp;"."&amp;Q1576,P1576&amp;"."&amp;Q1576&amp;COUNTIFS(P$5:P1575,P1576,Q$5:Q1575,Q1576))</f>
        <v>357.SG</v>
      </c>
      <c r="S1576" s="55">
        <f t="shared" si="87"/>
        <v>2803.0762062571894</v>
      </c>
    </row>
    <row r="1577" spans="1:19" hidden="1">
      <c r="A1577" s="5">
        <v>1642</v>
      </c>
      <c r="B1577" s="59"/>
      <c r="C1577" s="60"/>
      <c r="D1577" s="63"/>
      <c r="E1577" s="63"/>
      <c r="F1577" s="63" t="s">
        <v>18</v>
      </c>
      <c r="G1577" s="63" t="s">
        <v>15</v>
      </c>
      <c r="H1577" s="62"/>
      <c r="I1577" s="65">
        <v>91650.59</v>
      </c>
      <c r="J1577" s="65">
        <v>40323.966623465603</v>
      </c>
      <c r="K1577" s="62"/>
      <c r="L1577" s="65">
        <v>91650.59</v>
      </c>
      <c r="M1577" s="65">
        <v>51326.623376534393</v>
      </c>
      <c r="N1577" s="65">
        <v>40323.966623465603</v>
      </c>
      <c r="P1577">
        <f t="shared" si="85"/>
        <v>357</v>
      </c>
      <c r="Q1577" t="str">
        <f t="shared" si="86"/>
        <v>SG</v>
      </c>
      <c r="R1577" t="str">
        <f>IF(ISERROR(MATCH(P1577&amp;"."&amp;Q1577,R$5:R1576,0)),P1577&amp;"."&amp;Q1577,P1577&amp;"."&amp;Q1577&amp;COUNTIFS(P$5:P1576,P1577,Q$5:Q1576,Q1577))</f>
        <v>357.SG1</v>
      </c>
      <c r="S1577" s="55">
        <f t="shared" si="87"/>
        <v>40323.966623465603</v>
      </c>
    </row>
    <row r="1578" spans="1:19" hidden="1">
      <c r="A1578" s="5">
        <v>1643</v>
      </c>
      <c r="B1578" s="59"/>
      <c r="C1578" s="60"/>
      <c r="D1578" s="61"/>
      <c r="E1578" s="63"/>
      <c r="F1578" s="63" t="s">
        <v>18</v>
      </c>
      <c r="G1578" s="63" t="s">
        <v>15</v>
      </c>
      <c r="H1578" s="62"/>
      <c r="I1578" s="65">
        <v>3603013.87384615</v>
      </c>
      <c r="J1578" s="65">
        <v>1585235.9618509347</v>
      </c>
      <c r="K1578" s="62"/>
      <c r="L1578" s="65">
        <v>3603013.87384615</v>
      </c>
      <c r="M1578" s="65">
        <v>2017777.9119952153</v>
      </c>
      <c r="N1578" s="65">
        <v>1585235.9618509347</v>
      </c>
      <c r="P1578">
        <f t="shared" si="85"/>
        <v>357</v>
      </c>
      <c r="Q1578" t="str">
        <f t="shared" si="86"/>
        <v>SG</v>
      </c>
      <c r="R1578" t="str">
        <f>IF(ISERROR(MATCH(P1578&amp;"."&amp;Q1578,R$5:R1577,0)),P1578&amp;"."&amp;Q1578,P1578&amp;"."&amp;Q1578&amp;COUNTIFS(P$5:P1577,P1578,Q$5:Q1577,Q1578))</f>
        <v>357.SG2</v>
      </c>
      <c r="S1578" s="55">
        <f t="shared" si="87"/>
        <v>1585235.9618509347</v>
      </c>
    </row>
    <row r="1579" spans="1:19" hidden="1">
      <c r="A1579" s="5">
        <v>1644</v>
      </c>
      <c r="B1579" s="59"/>
      <c r="C1579" s="60"/>
      <c r="D1579" s="63"/>
      <c r="E1579" s="63"/>
      <c r="F1579" s="60"/>
      <c r="G1579" s="61"/>
      <c r="H1579" s="62" t="s">
        <v>501</v>
      </c>
      <c r="I1579" s="65">
        <v>3701035.4538461501</v>
      </c>
      <c r="J1579" s="65">
        <v>1628363.0046806575</v>
      </c>
      <c r="K1579" s="62"/>
      <c r="L1579" s="65">
        <v>3701035.4538461501</v>
      </c>
      <c r="M1579" s="65">
        <v>2072672.4491654926</v>
      </c>
      <c r="N1579" s="64">
        <v>1628363.0046806575</v>
      </c>
      <c r="P1579">
        <f t="shared" si="85"/>
        <v>357</v>
      </c>
      <c r="Q1579" t="str">
        <f t="shared" si="86"/>
        <v>NA</v>
      </c>
      <c r="R1579" t="str">
        <f>IF(ISERROR(MATCH(P1579&amp;"."&amp;Q1579,R$5:R1578,0)),P1579&amp;"."&amp;Q1579,P1579&amp;"."&amp;Q1579&amp;COUNTIFS(P$5:P1578,P1579,Q$5:Q1578,Q1579))</f>
        <v>357.NA1</v>
      </c>
      <c r="S1579" s="55">
        <f t="shared" si="87"/>
        <v>1628363.0046806575</v>
      </c>
    </row>
    <row r="1580" spans="1:19" hidden="1">
      <c r="A1580" s="5">
        <v>1645</v>
      </c>
      <c r="B1580" s="59"/>
      <c r="C1580" s="60"/>
      <c r="D1580" s="63"/>
      <c r="E1580" s="63"/>
      <c r="F1580" s="63"/>
      <c r="G1580" s="63"/>
      <c r="H1580" s="62"/>
      <c r="I1580" s="66"/>
      <c r="J1580" s="66"/>
      <c r="K1580" s="62"/>
      <c r="L1580" s="66"/>
      <c r="M1580" s="66"/>
      <c r="N1580" s="66"/>
      <c r="P1580">
        <f t="shared" si="85"/>
        <v>357</v>
      </c>
      <c r="Q1580" t="str">
        <f t="shared" si="86"/>
        <v>NA</v>
      </c>
      <c r="R1580" t="str">
        <f>IF(ISERROR(MATCH(P1580&amp;"."&amp;Q1580,R$5:R1579,0)),P1580&amp;"."&amp;Q1580,P1580&amp;"."&amp;Q1580&amp;COUNTIFS(P$5:P1579,P1580,Q$5:Q1579,Q1580))</f>
        <v>357.NA2</v>
      </c>
      <c r="S1580" s="55">
        <f t="shared" si="87"/>
        <v>0</v>
      </c>
    </row>
    <row r="1581" spans="1:19" hidden="1">
      <c r="A1581" s="5">
        <v>1646</v>
      </c>
      <c r="B1581" s="59"/>
      <c r="C1581" s="60">
        <v>358</v>
      </c>
      <c r="D1581" s="63" t="s">
        <v>542</v>
      </c>
      <c r="E1581" s="63"/>
      <c r="F1581" s="63"/>
      <c r="G1581" s="63"/>
      <c r="H1581" s="62"/>
      <c r="I1581" s="69"/>
      <c r="J1581" s="69"/>
      <c r="K1581" s="62"/>
      <c r="L1581" s="69"/>
      <c r="M1581" s="65"/>
      <c r="N1581" s="65"/>
      <c r="P1581">
        <f t="shared" si="85"/>
        <v>358</v>
      </c>
      <c r="Q1581" t="str">
        <f t="shared" si="86"/>
        <v>NA</v>
      </c>
      <c r="R1581" t="str">
        <f>IF(ISERROR(MATCH(P1581&amp;"."&amp;Q1581,R$5:R1580,0)),P1581&amp;"."&amp;Q1581,P1581&amp;"."&amp;Q1581&amp;COUNTIFS(P$5:P1580,P1581,Q$5:Q1580,Q1581))</f>
        <v>358.NA</v>
      </c>
      <c r="S1581" s="55">
        <f t="shared" si="87"/>
        <v>0</v>
      </c>
    </row>
    <row r="1582" spans="1:19" ht="15.75" hidden="1" thickBot="1">
      <c r="A1582" s="5">
        <v>1647</v>
      </c>
      <c r="B1582" s="59"/>
      <c r="C1582" s="45"/>
      <c r="D1582" s="63"/>
      <c r="E1582" s="63"/>
      <c r="F1582" s="63" t="s">
        <v>18</v>
      </c>
      <c r="G1582" s="63" t="s">
        <v>15</v>
      </c>
      <c r="H1582" s="41"/>
      <c r="I1582" s="68">
        <v>0</v>
      </c>
      <c r="J1582" s="68">
        <v>0</v>
      </c>
      <c r="K1582" s="62"/>
      <c r="L1582" s="68">
        <v>0</v>
      </c>
      <c r="M1582" s="68">
        <v>0</v>
      </c>
      <c r="N1582" s="68">
        <v>0</v>
      </c>
      <c r="P1582">
        <f t="shared" si="85"/>
        <v>358</v>
      </c>
      <c r="Q1582" t="str">
        <f t="shared" si="86"/>
        <v>SG</v>
      </c>
      <c r="R1582" t="str">
        <f>IF(ISERROR(MATCH(P1582&amp;"."&amp;Q1582,R$5:R1581,0)),P1582&amp;"."&amp;Q1582,P1582&amp;"."&amp;Q1582&amp;COUNTIFS(P$5:P1581,P1582,Q$5:Q1581,Q1582))</f>
        <v>358.SG</v>
      </c>
      <c r="S1582" s="55">
        <f t="shared" si="87"/>
        <v>0</v>
      </c>
    </row>
    <row r="1583" spans="1:19" hidden="1">
      <c r="A1583" s="5">
        <v>1648</v>
      </c>
      <c r="B1583" s="59"/>
      <c r="C1583" s="60"/>
      <c r="D1583" s="63"/>
      <c r="E1583" s="63"/>
      <c r="F1583" s="63" t="s">
        <v>18</v>
      </c>
      <c r="G1583" s="63" t="s">
        <v>15</v>
      </c>
      <c r="H1583" s="62"/>
      <c r="I1583" s="65">
        <v>1087552.1399999999</v>
      </c>
      <c r="J1583" s="65">
        <v>478495.73248397623</v>
      </c>
      <c r="K1583" s="62"/>
      <c r="L1583" s="65">
        <v>1087552.1399999999</v>
      </c>
      <c r="M1583" s="65">
        <v>609056.40751602361</v>
      </c>
      <c r="N1583" s="65">
        <v>478495.73248397623</v>
      </c>
      <c r="P1583">
        <f t="shared" si="85"/>
        <v>358</v>
      </c>
      <c r="Q1583" t="str">
        <f t="shared" si="86"/>
        <v>SG</v>
      </c>
      <c r="R1583" t="str">
        <f>IF(ISERROR(MATCH(P1583&amp;"."&amp;Q1583,R$5:R1582,0)),P1583&amp;"."&amp;Q1583,P1583&amp;"."&amp;Q1583&amp;COUNTIFS(P$5:P1582,P1583,Q$5:Q1582,Q1583))</f>
        <v>358.SG1</v>
      </c>
      <c r="S1583" s="55">
        <f t="shared" si="87"/>
        <v>478495.73248397623</v>
      </c>
    </row>
    <row r="1584" spans="1:19" hidden="1">
      <c r="A1584" s="5">
        <v>1649</v>
      </c>
      <c r="B1584" s="59"/>
      <c r="C1584" s="60"/>
      <c r="D1584" s="63"/>
      <c r="E1584" s="61"/>
      <c r="F1584" s="63" t="s">
        <v>18</v>
      </c>
      <c r="G1584" s="63" t="s">
        <v>15</v>
      </c>
      <c r="H1584" s="62"/>
      <c r="I1584" s="65">
        <v>7161307.4430769198</v>
      </c>
      <c r="J1584" s="65">
        <v>3150796.1085139713</v>
      </c>
      <c r="K1584" s="62"/>
      <c r="L1584" s="65">
        <v>7161307.4430769198</v>
      </c>
      <c r="M1584" s="65">
        <v>4010511.3345629484</v>
      </c>
      <c r="N1584" s="64">
        <v>3150796.1085139713</v>
      </c>
      <c r="P1584">
        <f t="shared" si="85"/>
        <v>358</v>
      </c>
      <c r="Q1584" t="str">
        <f t="shared" si="86"/>
        <v>SG</v>
      </c>
      <c r="R1584" t="str">
        <f>IF(ISERROR(MATCH(P1584&amp;"."&amp;Q1584,R$5:R1583,0)),P1584&amp;"."&amp;Q1584,P1584&amp;"."&amp;Q1584&amp;COUNTIFS(P$5:P1583,P1584,Q$5:Q1583,Q1584))</f>
        <v>358.SG2</v>
      </c>
      <c r="S1584" s="55">
        <f t="shared" si="87"/>
        <v>3150796.1085139713</v>
      </c>
    </row>
    <row r="1585" spans="1:19" hidden="1">
      <c r="A1585" s="5">
        <v>1650</v>
      </c>
      <c r="B1585" s="59"/>
      <c r="C1585" s="60"/>
      <c r="D1585" s="63"/>
      <c r="E1585" s="61"/>
      <c r="F1585" s="63"/>
      <c r="G1585" s="63"/>
      <c r="H1585" s="62" t="s">
        <v>501</v>
      </c>
      <c r="I1585" s="65">
        <v>8248859.5830769194</v>
      </c>
      <c r="J1585" s="65">
        <v>3629291.8409979474</v>
      </c>
      <c r="K1585" s="62"/>
      <c r="L1585" s="65">
        <v>8248859.5830769194</v>
      </c>
      <c r="M1585" s="65">
        <v>4619567.742078972</v>
      </c>
      <c r="N1585" s="64">
        <v>3629291.8409979474</v>
      </c>
      <c r="P1585">
        <f t="shared" si="85"/>
        <v>358</v>
      </c>
      <c r="Q1585" t="str">
        <f t="shared" si="86"/>
        <v>NA</v>
      </c>
      <c r="R1585" t="str">
        <f>IF(ISERROR(MATCH(P1585&amp;"."&amp;Q1585,R$5:R1584,0)),P1585&amp;"."&amp;Q1585,P1585&amp;"."&amp;Q1585&amp;COUNTIFS(P$5:P1584,P1585,Q$5:Q1584,Q1585))</f>
        <v>358.NA1</v>
      </c>
      <c r="S1585" s="55">
        <f t="shared" si="87"/>
        <v>3629291.8409979474</v>
      </c>
    </row>
    <row r="1586" spans="1:19" hidden="1">
      <c r="A1586" s="5">
        <v>1651</v>
      </c>
      <c r="B1586" s="59"/>
      <c r="C1586" s="60"/>
      <c r="D1586" s="63"/>
      <c r="E1586" s="70"/>
      <c r="F1586" s="63"/>
      <c r="G1586" s="63"/>
      <c r="H1586" s="62"/>
      <c r="I1586" s="65"/>
      <c r="J1586" s="65"/>
      <c r="K1586" s="62"/>
      <c r="L1586" s="65"/>
      <c r="M1586" s="65"/>
      <c r="N1586" s="64"/>
      <c r="P1586">
        <f t="shared" si="85"/>
        <v>358</v>
      </c>
      <c r="Q1586" t="str">
        <f t="shared" si="86"/>
        <v>NA</v>
      </c>
      <c r="R1586" t="str">
        <f>IF(ISERROR(MATCH(P1586&amp;"."&amp;Q1586,R$5:R1585,0)),P1586&amp;"."&amp;Q1586,P1586&amp;"."&amp;Q1586&amp;COUNTIFS(P$5:P1585,P1586,Q$5:Q1585,Q1586))</f>
        <v>358.NA2</v>
      </c>
      <c r="S1586" s="55">
        <f t="shared" si="87"/>
        <v>0</v>
      </c>
    </row>
    <row r="1587" spans="1:19" ht="15.75" hidden="1" thickBot="1">
      <c r="A1587" s="5">
        <v>1652</v>
      </c>
      <c r="B1587" s="59"/>
      <c r="C1587" s="60">
        <v>359</v>
      </c>
      <c r="D1587" s="63" t="s">
        <v>543</v>
      </c>
      <c r="E1587" s="63"/>
      <c r="F1587" s="63"/>
      <c r="G1587" s="63"/>
      <c r="H1587" s="62"/>
      <c r="I1587" s="81"/>
      <c r="J1587" s="81"/>
      <c r="K1587" s="62"/>
      <c r="L1587" s="81"/>
      <c r="M1587" s="81"/>
      <c r="N1587" s="81"/>
      <c r="P1587">
        <f t="shared" si="85"/>
        <v>359</v>
      </c>
      <c r="Q1587" t="str">
        <f t="shared" si="86"/>
        <v>NA</v>
      </c>
      <c r="R1587" t="str">
        <f>IF(ISERROR(MATCH(P1587&amp;"."&amp;Q1587,R$5:R1586,0)),P1587&amp;"."&amp;Q1587,P1587&amp;"."&amp;Q1587&amp;COUNTIFS(P$5:P1586,P1587,Q$5:Q1586,Q1587))</f>
        <v>359.NA</v>
      </c>
      <c r="S1587" s="55">
        <f t="shared" si="87"/>
        <v>0</v>
      </c>
    </row>
    <row r="1588" spans="1:19" hidden="1">
      <c r="A1588" s="5">
        <v>1653</v>
      </c>
      <c r="B1588" s="59"/>
      <c r="C1588" s="60"/>
      <c r="D1588" s="61"/>
      <c r="E1588" s="63"/>
      <c r="F1588" s="63" t="s">
        <v>18</v>
      </c>
      <c r="G1588" s="63" t="s">
        <v>15</v>
      </c>
      <c r="H1588" s="62"/>
      <c r="I1588" s="65">
        <v>1863031.54</v>
      </c>
      <c r="J1588" s="65">
        <v>819687.26701512479</v>
      </c>
      <c r="K1588" s="62"/>
      <c r="L1588" s="65">
        <v>1863031.54</v>
      </c>
      <c r="M1588" s="65">
        <v>1043344.2729848752</v>
      </c>
      <c r="N1588" s="65">
        <v>819687.26701512479</v>
      </c>
      <c r="P1588">
        <f t="shared" si="85"/>
        <v>359</v>
      </c>
      <c r="Q1588" t="str">
        <f t="shared" si="86"/>
        <v>SG</v>
      </c>
      <c r="R1588" t="str">
        <f>IF(ISERROR(MATCH(P1588&amp;"."&amp;Q1588,R$5:R1587,0)),P1588&amp;"."&amp;Q1588,P1588&amp;"."&amp;Q1588&amp;COUNTIFS(P$5:P1587,P1588,Q$5:Q1587,Q1588))</f>
        <v>359.SG</v>
      </c>
      <c r="S1588" s="55">
        <f t="shared" si="87"/>
        <v>819687.26701512479</v>
      </c>
    </row>
    <row r="1589" spans="1:19" hidden="1">
      <c r="A1589" s="5">
        <v>1654</v>
      </c>
      <c r="B1589" s="59"/>
      <c r="C1589" s="60"/>
      <c r="D1589" s="63"/>
      <c r="E1589" s="63"/>
      <c r="F1589" s="60" t="s">
        <v>18</v>
      </c>
      <c r="G1589" s="61" t="s">
        <v>15</v>
      </c>
      <c r="H1589" s="62"/>
      <c r="I1589" s="65">
        <v>440513.21</v>
      </c>
      <c r="J1589" s="65">
        <v>193814.79134215825</v>
      </c>
      <c r="K1589" s="62"/>
      <c r="L1589" s="65">
        <v>440513.21</v>
      </c>
      <c r="M1589" s="65">
        <v>246698.41865784177</v>
      </c>
      <c r="N1589" s="64">
        <v>193814.79134215825</v>
      </c>
      <c r="P1589">
        <f t="shared" si="85"/>
        <v>359</v>
      </c>
      <c r="Q1589" t="str">
        <f t="shared" si="86"/>
        <v>SG</v>
      </c>
      <c r="R1589" t="str">
        <f>IF(ISERROR(MATCH(P1589&amp;"."&amp;Q1589,R$5:R1588,0)),P1589&amp;"."&amp;Q1589,P1589&amp;"."&amp;Q1589&amp;COUNTIFS(P$5:P1588,P1589,Q$5:Q1588,Q1589))</f>
        <v>359.SG1</v>
      </c>
      <c r="S1589" s="55">
        <f t="shared" si="87"/>
        <v>193814.79134215825</v>
      </c>
    </row>
    <row r="1590" spans="1:19" hidden="1">
      <c r="A1590" s="5">
        <v>1655</v>
      </c>
      <c r="B1590" s="59"/>
      <c r="C1590" s="60"/>
      <c r="D1590" s="63"/>
      <c r="E1590" s="63"/>
      <c r="F1590" s="63" t="s">
        <v>18</v>
      </c>
      <c r="G1590" s="63" t="s">
        <v>15</v>
      </c>
      <c r="H1590" s="62"/>
      <c r="I1590" s="66">
        <v>9633655.6099999994</v>
      </c>
      <c r="J1590" s="66">
        <v>4238567.4470791966</v>
      </c>
      <c r="K1590" s="62"/>
      <c r="L1590" s="66">
        <v>9633655.6099999994</v>
      </c>
      <c r="M1590" s="66">
        <v>5395088.1629208028</v>
      </c>
      <c r="N1590" s="66">
        <v>4238567.4470791966</v>
      </c>
      <c r="P1590">
        <f t="shared" si="85"/>
        <v>359</v>
      </c>
      <c r="Q1590" t="str">
        <f t="shared" si="86"/>
        <v>SG</v>
      </c>
      <c r="R1590" t="str">
        <f>IF(ISERROR(MATCH(P1590&amp;"."&amp;Q1590,R$5:R1589,0)),P1590&amp;"."&amp;Q1590,P1590&amp;"."&amp;Q1590&amp;COUNTIFS(P$5:P1589,P1590,Q$5:Q1589,Q1590))</f>
        <v>359.SG2</v>
      </c>
      <c r="S1590" s="55">
        <f t="shared" si="87"/>
        <v>4238567.4470791966</v>
      </c>
    </row>
    <row r="1591" spans="1:19" hidden="1">
      <c r="A1591" s="5">
        <v>1656</v>
      </c>
      <c r="B1591" s="59"/>
      <c r="C1591" s="60"/>
      <c r="D1591" s="63"/>
      <c r="E1591" s="63"/>
      <c r="F1591" s="63"/>
      <c r="G1591" s="63"/>
      <c r="H1591" s="62" t="s">
        <v>501</v>
      </c>
      <c r="I1591" s="65">
        <v>11937200.359999999</v>
      </c>
      <c r="J1591" s="65">
        <v>5252069.50543648</v>
      </c>
      <c r="K1591" s="62"/>
      <c r="L1591" s="65">
        <v>11937200.359999999</v>
      </c>
      <c r="M1591" s="65">
        <v>6685130.8545635194</v>
      </c>
      <c r="N1591" s="65">
        <v>5252069.50543648</v>
      </c>
      <c r="P1591">
        <f t="shared" si="85"/>
        <v>359</v>
      </c>
      <c r="Q1591" t="str">
        <f t="shared" si="86"/>
        <v>NA</v>
      </c>
      <c r="R1591" t="str">
        <f>IF(ISERROR(MATCH(P1591&amp;"."&amp;Q1591,R$5:R1590,0)),P1591&amp;"."&amp;Q1591,P1591&amp;"."&amp;Q1591&amp;COUNTIFS(P$5:P1590,P1591,Q$5:Q1590,Q1591))</f>
        <v>359.NA1</v>
      </c>
      <c r="S1591" s="55">
        <f t="shared" si="87"/>
        <v>5252069.50543648</v>
      </c>
    </row>
    <row r="1592" spans="1:19" hidden="1">
      <c r="A1592" s="5">
        <v>1657</v>
      </c>
      <c r="B1592" s="59"/>
      <c r="C1592" s="60"/>
      <c r="D1592" s="61"/>
      <c r="E1592" s="63"/>
      <c r="F1592" s="63"/>
      <c r="G1592" s="63"/>
      <c r="H1592" s="62"/>
      <c r="I1592" s="65"/>
      <c r="J1592" s="65"/>
      <c r="K1592" s="62"/>
      <c r="L1592" s="65"/>
      <c r="M1592" s="65"/>
      <c r="N1592" s="65"/>
      <c r="P1592">
        <f t="shared" si="85"/>
        <v>359</v>
      </c>
      <c r="Q1592" t="str">
        <f t="shared" si="86"/>
        <v>NA</v>
      </c>
      <c r="R1592" t="str">
        <f>IF(ISERROR(MATCH(P1592&amp;"."&amp;Q1592,R$5:R1591,0)),P1592&amp;"."&amp;Q1592,P1592&amp;"."&amp;Q1592&amp;COUNTIFS(P$5:P1591,P1592,Q$5:Q1591,Q1592))</f>
        <v>359.NA2</v>
      </c>
      <c r="S1592" s="55">
        <f t="shared" si="87"/>
        <v>0</v>
      </c>
    </row>
    <row r="1593" spans="1:19" hidden="1">
      <c r="A1593" s="5">
        <v>1658</v>
      </c>
      <c r="B1593" s="59"/>
      <c r="C1593" s="60" t="s">
        <v>265</v>
      </c>
      <c r="D1593" s="63" t="s">
        <v>544</v>
      </c>
      <c r="E1593" s="63"/>
      <c r="F1593" s="60"/>
      <c r="G1593" s="61"/>
      <c r="H1593" s="62"/>
      <c r="I1593" s="65"/>
      <c r="J1593" s="65"/>
      <c r="K1593" s="62"/>
      <c r="L1593" s="65"/>
      <c r="M1593" s="65"/>
      <c r="N1593" s="64"/>
      <c r="P1593" t="str">
        <f t="shared" si="85"/>
        <v>TP</v>
      </c>
      <c r="Q1593" t="str">
        <f t="shared" si="86"/>
        <v>NA</v>
      </c>
      <c r="R1593" t="str">
        <f>IF(ISERROR(MATCH(P1593&amp;"."&amp;Q1593,R$5:R1592,0)),P1593&amp;"."&amp;Q1593,P1593&amp;"."&amp;Q1593&amp;COUNTIFS(P$5:P1592,P1593,Q$5:Q1592,Q1593))</f>
        <v>TP.NA</v>
      </c>
      <c r="S1593" s="55">
        <f t="shared" si="87"/>
        <v>0</v>
      </c>
    </row>
    <row r="1594" spans="1:19" hidden="1">
      <c r="A1594" s="5">
        <v>1659</v>
      </c>
      <c r="B1594" s="59"/>
      <c r="C1594" s="60"/>
      <c r="D1594" s="63"/>
      <c r="E1594" s="63"/>
      <c r="F1594" s="63" t="s">
        <v>18</v>
      </c>
      <c r="G1594" s="63" t="s">
        <v>15</v>
      </c>
      <c r="H1594" s="62"/>
      <c r="I1594" s="66">
        <v>107229090.03153799</v>
      </c>
      <c r="J1594" s="66">
        <v>47178116.883877411</v>
      </c>
      <c r="K1594" s="62"/>
      <c r="L1594" s="66">
        <v>107229090.03153799</v>
      </c>
      <c r="M1594" s="66">
        <v>60050973.147660583</v>
      </c>
      <c r="N1594" s="66">
        <v>47178116.883877411</v>
      </c>
      <c r="P1594" t="str">
        <f t="shared" si="85"/>
        <v>TP</v>
      </c>
      <c r="Q1594" t="str">
        <f t="shared" si="86"/>
        <v>SG</v>
      </c>
      <c r="R1594" t="str">
        <f>IF(ISERROR(MATCH(P1594&amp;"."&amp;Q1594,R$5:R1593,0)),P1594&amp;"."&amp;Q1594,P1594&amp;"."&amp;Q1594&amp;COUNTIFS(P$5:P1593,P1594,Q$5:Q1593,Q1594))</f>
        <v>TP.SG</v>
      </c>
      <c r="S1594" s="55">
        <f t="shared" si="87"/>
        <v>47178116.883877411</v>
      </c>
    </row>
    <row r="1595" spans="1:19" hidden="1">
      <c r="A1595" s="5">
        <v>1660</v>
      </c>
      <c r="B1595" s="59"/>
      <c r="C1595" s="60"/>
      <c r="D1595" s="63"/>
      <c r="E1595" s="63"/>
      <c r="F1595" s="63"/>
      <c r="G1595" s="63"/>
      <c r="H1595" s="62" t="s">
        <v>501</v>
      </c>
      <c r="I1595" s="65">
        <v>107229090.03153799</v>
      </c>
      <c r="J1595" s="65">
        <v>47178116.883877411</v>
      </c>
      <c r="K1595" s="62"/>
      <c r="L1595" s="65">
        <v>107229090.03153799</v>
      </c>
      <c r="M1595" s="65">
        <v>60050973.147660583</v>
      </c>
      <c r="N1595" s="65">
        <v>47178116.883877411</v>
      </c>
      <c r="P1595" t="str">
        <f t="shared" si="85"/>
        <v>TP</v>
      </c>
      <c r="Q1595" t="str">
        <f t="shared" si="86"/>
        <v>NA</v>
      </c>
      <c r="R1595" t="str">
        <f>IF(ISERROR(MATCH(P1595&amp;"."&amp;Q1595,R$5:R1594,0)),P1595&amp;"."&amp;Q1595,P1595&amp;"."&amp;Q1595&amp;COUNTIFS(P$5:P1594,P1595,Q$5:Q1594,Q1595))</f>
        <v>TP.NA1</v>
      </c>
      <c r="S1595" s="55">
        <f t="shared" si="87"/>
        <v>47178116.883877411</v>
      </c>
    </row>
    <row r="1596" spans="1:19" hidden="1">
      <c r="A1596" s="5">
        <v>1661</v>
      </c>
      <c r="B1596" s="59"/>
      <c r="C1596" s="60"/>
      <c r="D1596" s="61"/>
      <c r="E1596" s="63"/>
      <c r="F1596" s="63"/>
      <c r="G1596" s="63"/>
      <c r="H1596" s="62"/>
      <c r="I1596" s="65"/>
      <c r="J1596" s="65"/>
      <c r="K1596" s="62"/>
      <c r="L1596" s="65"/>
      <c r="M1596" s="65"/>
      <c r="N1596" s="65"/>
      <c r="P1596" t="str">
        <f t="shared" si="85"/>
        <v>TP</v>
      </c>
      <c r="Q1596" t="str">
        <f t="shared" si="86"/>
        <v>NA</v>
      </c>
      <c r="R1596" t="str">
        <f>IF(ISERROR(MATCH(P1596&amp;"."&amp;Q1596,R$5:R1595,0)),P1596&amp;"."&amp;Q1596,P1596&amp;"."&amp;Q1596&amp;COUNTIFS(P$5:P1595,P1596,Q$5:Q1595,Q1596))</f>
        <v>TP.NA2</v>
      </c>
      <c r="S1596" s="55">
        <f t="shared" si="87"/>
        <v>0</v>
      </c>
    </row>
    <row r="1597" spans="1:19" hidden="1">
      <c r="A1597" s="5">
        <v>1662</v>
      </c>
      <c r="B1597" s="59"/>
      <c r="C1597" s="60" t="s">
        <v>266</v>
      </c>
      <c r="D1597" s="63" t="s">
        <v>545</v>
      </c>
      <c r="E1597" s="63"/>
      <c r="F1597" s="60"/>
      <c r="G1597" s="61"/>
      <c r="H1597" s="62"/>
      <c r="I1597" s="65"/>
      <c r="J1597" s="65"/>
      <c r="K1597" s="62"/>
      <c r="L1597" s="65"/>
      <c r="M1597" s="65"/>
      <c r="N1597" s="64"/>
      <c r="P1597" t="str">
        <f t="shared" si="85"/>
        <v>TS0</v>
      </c>
      <c r="Q1597" t="str">
        <f t="shared" si="86"/>
        <v>NA</v>
      </c>
      <c r="R1597" t="str">
        <f>IF(ISERROR(MATCH(P1597&amp;"."&amp;Q1597,R$5:R1596,0)),P1597&amp;"."&amp;Q1597,P1597&amp;"."&amp;Q1597&amp;COUNTIFS(P$5:P1596,P1597,Q$5:Q1596,Q1597))</f>
        <v>TS0.NA</v>
      </c>
      <c r="S1597" s="55">
        <f t="shared" si="87"/>
        <v>0</v>
      </c>
    </row>
    <row r="1598" spans="1:19" hidden="1">
      <c r="A1598" s="5">
        <v>1663</v>
      </c>
      <c r="B1598" s="59"/>
      <c r="C1598" s="60"/>
      <c r="D1598" s="63"/>
      <c r="E1598" s="63"/>
      <c r="F1598" s="63" t="s">
        <v>18</v>
      </c>
      <c r="G1598" s="63" t="s">
        <v>15</v>
      </c>
      <c r="H1598" s="62"/>
      <c r="I1598" s="66">
        <v>0</v>
      </c>
      <c r="J1598" s="66">
        <v>0</v>
      </c>
      <c r="K1598" s="62"/>
      <c r="L1598" s="66">
        <v>0</v>
      </c>
      <c r="M1598" s="66">
        <v>0</v>
      </c>
      <c r="N1598" s="66">
        <v>0</v>
      </c>
      <c r="P1598" t="str">
        <f t="shared" si="85"/>
        <v>TS0</v>
      </c>
      <c r="Q1598" t="str">
        <f t="shared" si="86"/>
        <v>SG</v>
      </c>
      <c r="R1598" t="str">
        <f>IF(ISERROR(MATCH(P1598&amp;"."&amp;Q1598,R$5:R1597,0)),P1598&amp;"."&amp;Q1598,P1598&amp;"."&amp;Q1598&amp;COUNTIFS(P$5:P1597,P1598,Q$5:Q1597,Q1598))</f>
        <v>TS0.SG</v>
      </c>
      <c r="S1598" s="55">
        <f t="shared" si="87"/>
        <v>0</v>
      </c>
    </row>
    <row r="1599" spans="1:19" hidden="1">
      <c r="A1599" s="5">
        <v>1664</v>
      </c>
      <c r="B1599" s="59"/>
      <c r="C1599" s="60"/>
      <c r="D1599" s="63"/>
      <c r="E1599" s="63"/>
      <c r="F1599" s="63"/>
      <c r="G1599" s="63"/>
      <c r="H1599" s="62" t="s">
        <v>501</v>
      </c>
      <c r="I1599" s="65">
        <v>0</v>
      </c>
      <c r="J1599" s="65">
        <v>0</v>
      </c>
      <c r="K1599" s="62"/>
      <c r="L1599" s="65">
        <v>0</v>
      </c>
      <c r="M1599" s="65">
        <v>0</v>
      </c>
      <c r="N1599" s="65">
        <v>0</v>
      </c>
      <c r="P1599" t="str">
        <f t="shared" si="85"/>
        <v>TS0</v>
      </c>
      <c r="Q1599" t="str">
        <f t="shared" si="86"/>
        <v>NA</v>
      </c>
      <c r="R1599" t="str">
        <f>IF(ISERROR(MATCH(P1599&amp;"."&amp;Q1599,R$5:R1598,0)),P1599&amp;"."&amp;Q1599,P1599&amp;"."&amp;Q1599&amp;COUNTIFS(P$5:P1598,P1599,Q$5:Q1598,Q1599))</f>
        <v>TS0.NA1</v>
      </c>
      <c r="S1599" s="55">
        <f t="shared" si="87"/>
        <v>0</v>
      </c>
    </row>
    <row r="1600" spans="1:19" hidden="1">
      <c r="A1600" s="5">
        <v>1665</v>
      </c>
      <c r="B1600" s="59"/>
      <c r="C1600" s="60"/>
      <c r="D1600" s="61"/>
      <c r="E1600" s="63"/>
      <c r="F1600" s="63"/>
      <c r="G1600" s="63"/>
      <c r="H1600" s="62"/>
      <c r="I1600" s="65"/>
      <c r="J1600" s="65"/>
      <c r="K1600" s="62"/>
      <c r="L1600" s="65"/>
      <c r="M1600" s="65"/>
      <c r="N1600" s="65"/>
      <c r="P1600" t="str">
        <f t="shared" si="85"/>
        <v>TS0</v>
      </c>
      <c r="Q1600" t="str">
        <f t="shared" si="86"/>
        <v>NA</v>
      </c>
      <c r="R1600" t="str">
        <f>IF(ISERROR(MATCH(P1600&amp;"."&amp;Q1600,R$5:R1599,0)),P1600&amp;"."&amp;Q1600,P1600&amp;"."&amp;Q1600&amp;COUNTIFS(P$5:P1599,P1600,Q$5:Q1599,Q1600))</f>
        <v>TS0.NA2</v>
      </c>
      <c r="S1600" s="55">
        <f t="shared" si="87"/>
        <v>0</v>
      </c>
    </row>
    <row r="1601" spans="1:19" hidden="1">
      <c r="A1601" s="5">
        <v>1666</v>
      </c>
      <c r="B1601" s="59"/>
      <c r="C1601" s="60" t="s">
        <v>546</v>
      </c>
      <c r="D1601" s="63"/>
      <c r="E1601" s="63"/>
      <c r="F1601" s="60"/>
      <c r="G1601" s="61"/>
      <c r="H1601" s="62" t="s">
        <v>501</v>
      </c>
      <c r="I1601" s="65">
        <v>6436305751.1738434</v>
      </c>
      <c r="J1601" s="65">
        <v>2831813502.6599798</v>
      </c>
      <c r="K1601" s="62"/>
      <c r="L1601" s="65">
        <v>7654614109.5732298</v>
      </c>
      <c r="M1601" s="65">
        <v>4286775409.6811738</v>
      </c>
      <c r="N1601" s="64">
        <v>3367838699.8920546</v>
      </c>
      <c r="P1601" t="str">
        <f t="shared" si="85"/>
        <v>Total Transmission Plant</v>
      </c>
      <c r="Q1601" t="str">
        <f t="shared" si="86"/>
        <v>NA</v>
      </c>
      <c r="R1601" t="str">
        <f>IF(ISERROR(MATCH(P1601&amp;"."&amp;Q1601,R$5:R1600,0)),P1601&amp;"."&amp;Q1601,P1601&amp;"."&amp;Q1601&amp;COUNTIFS(P$5:P1600,P1601,Q$5:Q1600,Q1601))</f>
        <v>Total Transmission Plant.NA</v>
      </c>
      <c r="S1601" s="55">
        <f t="shared" si="87"/>
        <v>3367838699.8920546</v>
      </c>
    </row>
    <row r="1602" spans="1:19" hidden="1">
      <c r="A1602" s="5">
        <v>1667</v>
      </c>
      <c r="B1602" s="59"/>
      <c r="C1602" s="60" t="s">
        <v>547</v>
      </c>
      <c r="D1602" s="63"/>
      <c r="E1602" s="63"/>
      <c r="F1602" s="63"/>
      <c r="G1602" s="63"/>
      <c r="H1602" s="62"/>
      <c r="I1602" s="66"/>
      <c r="J1602" s="66"/>
      <c r="K1602" s="62"/>
      <c r="L1602" s="66"/>
      <c r="M1602" s="66"/>
      <c r="N1602" s="66"/>
      <c r="P1602" t="str">
        <f t="shared" si="85"/>
        <v>Summary of Transmission Plant by Factor</v>
      </c>
      <c r="Q1602" t="str">
        <f t="shared" si="86"/>
        <v>NA</v>
      </c>
      <c r="R1602" t="str">
        <f>IF(ISERROR(MATCH(P1602&amp;"."&amp;Q1602,R$5:R1601,0)),P1602&amp;"."&amp;Q1602,P1602&amp;"."&amp;Q1602&amp;COUNTIFS(P$5:P1601,P1602,Q$5:Q1601,Q1602))</f>
        <v>Summary of Transmission Plant by Factor.NA</v>
      </c>
      <c r="S1602" s="55">
        <f t="shared" si="87"/>
        <v>0</v>
      </c>
    </row>
    <row r="1603" spans="1:19" hidden="1">
      <c r="A1603" s="5">
        <v>1668</v>
      </c>
      <c r="B1603" s="59"/>
      <c r="C1603" s="60"/>
      <c r="D1603" s="63"/>
      <c r="E1603" s="63" t="s">
        <v>17</v>
      </c>
      <c r="F1603" s="63"/>
      <c r="G1603" s="63"/>
      <c r="H1603" s="62"/>
      <c r="I1603" s="65">
        <v>0</v>
      </c>
      <c r="J1603" s="65">
        <v>0</v>
      </c>
      <c r="K1603" s="62"/>
      <c r="L1603" s="65">
        <v>0</v>
      </c>
      <c r="M1603" s="65">
        <v>0</v>
      </c>
      <c r="N1603" s="65">
        <v>0</v>
      </c>
      <c r="P1603" t="str">
        <f t="shared" si="85"/>
        <v>Summary of Transmission Plant by Factor</v>
      </c>
      <c r="Q1603" t="str">
        <f t="shared" si="86"/>
        <v>NA</v>
      </c>
      <c r="R1603" t="str">
        <f>IF(ISERROR(MATCH(P1603&amp;"."&amp;Q1603,R$5:R1602,0)),P1603&amp;"."&amp;Q1603,P1603&amp;"."&amp;Q1603&amp;COUNTIFS(P$5:P1602,P1603,Q$5:Q1602,Q1603))</f>
        <v>Summary of Transmission Plant by Factor.NA1</v>
      </c>
      <c r="S1603" s="55">
        <f t="shared" si="87"/>
        <v>0</v>
      </c>
    </row>
    <row r="1604" spans="1:19" hidden="1">
      <c r="A1604" s="5">
        <v>1669</v>
      </c>
      <c r="B1604" s="59"/>
      <c r="C1604" s="60"/>
      <c r="D1604" s="61"/>
      <c r="E1604" s="63" t="s">
        <v>14</v>
      </c>
      <c r="F1604" s="63"/>
      <c r="G1604" s="63"/>
      <c r="H1604" s="62"/>
      <c r="I1604" s="65">
        <v>0</v>
      </c>
      <c r="J1604" s="65">
        <v>0</v>
      </c>
      <c r="K1604" s="62"/>
      <c r="L1604" s="65">
        <v>0</v>
      </c>
      <c r="M1604" s="65">
        <v>0</v>
      </c>
      <c r="N1604" s="65">
        <v>0</v>
      </c>
      <c r="P1604" t="str">
        <f t="shared" si="85"/>
        <v>Summary of Transmission Plant by Factor</v>
      </c>
      <c r="Q1604" t="str">
        <f t="shared" si="86"/>
        <v>NA</v>
      </c>
      <c r="R1604" t="str">
        <f>IF(ISERROR(MATCH(P1604&amp;"."&amp;Q1604,R$5:R1603,0)),P1604&amp;"."&amp;Q1604,P1604&amp;"."&amp;Q1604&amp;COUNTIFS(P$5:P1603,P1604,Q$5:Q1603,Q1604))</f>
        <v>Summary of Transmission Plant by Factor.NA2</v>
      </c>
      <c r="S1604" s="55">
        <f t="shared" si="87"/>
        <v>0</v>
      </c>
    </row>
    <row r="1605" spans="1:19" hidden="1">
      <c r="A1605" s="5">
        <v>1670</v>
      </c>
      <c r="B1605" s="59"/>
      <c r="C1605" s="60"/>
      <c r="D1605" s="63"/>
      <c r="E1605" s="63" t="s">
        <v>15</v>
      </c>
      <c r="F1605" s="60"/>
      <c r="G1605" s="61"/>
      <c r="H1605" s="62"/>
      <c r="I1605" s="65">
        <v>6436305751.1738434</v>
      </c>
      <c r="J1605" s="65">
        <v>2831813502.6599798</v>
      </c>
      <c r="K1605" s="62"/>
      <c r="L1605" s="65">
        <v>7654614109.5732298</v>
      </c>
      <c r="M1605" s="65">
        <v>4286775409.6811752</v>
      </c>
      <c r="N1605" s="64">
        <v>3367838699.8920546</v>
      </c>
      <c r="P1605" t="str">
        <f t="shared" si="85"/>
        <v>Summary of Transmission Plant by Factor</v>
      </c>
      <c r="Q1605" t="str">
        <f t="shared" si="86"/>
        <v>NA</v>
      </c>
      <c r="R1605" t="str">
        <f>IF(ISERROR(MATCH(P1605&amp;"."&amp;Q1605,R$5:R1604,0)),P1605&amp;"."&amp;Q1605,P1605&amp;"."&amp;Q1605&amp;COUNTIFS(P$5:P1604,P1605,Q$5:Q1604,Q1605))</f>
        <v>Summary of Transmission Plant by Factor.NA3</v>
      </c>
      <c r="S1605" s="55">
        <f t="shared" si="87"/>
        <v>3367838699.8920546</v>
      </c>
    </row>
    <row r="1606" spans="1:19" hidden="1">
      <c r="A1606" s="5">
        <v>1671</v>
      </c>
      <c r="B1606" s="59"/>
      <c r="C1606" s="60" t="s">
        <v>548</v>
      </c>
      <c r="D1606" s="63"/>
      <c r="E1606" s="63"/>
      <c r="F1606" s="63"/>
      <c r="G1606" s="63"/>
      <c r="H1606" s="62" t="s">
        <v>141</v>
      </c>
      <c r="I1606" s="66">
        <v>6436305751.1738434</v>
      </c>
      <c r="J1606" s="66">
        <v>2831813502.6599798</v>
      </c>
      <c r="K1606" s="62"/>
      <c r="L1606" s="66">
        <v>7654614109.5732298</v>
      </c>
      <c r="M1606" s="66">
        <v>4286775409.6811752</v>
      </c>
      <c r="N1606" s="66">
        <v>3367838699.8920546</v>
      </c>
      <c r="P1606" t="str">
        <f t="shared" si="85"/>
        <v>Total Transmission Plant by Factor</v>
      </c>
      <c r="Q1606" t="str">
        <f t="shared" si="86"/>
        <v>NA</v>
      </c>
      <c r="R1606" t="str">
        <f>IF(ISERROR(MATCH(P1606&amp;"."&amp;Q1606,R$5:R1605,0)),P1606&amp;"."&amp;Q1606,P1606&amp;"."&amp;Q1606&amp;COUNTIFS(P$5:P1605,P1606,Q$5:Q1605,Q1606))</f>
        <v>Total Transmission Plant by Factor.NA</v>
      </c>
      <c r="S1606" s="55">
        <f t="shared" si="87"/>
        <v>3367838699.8920546</v>
      </c>
    </row>
    <row r="1607" spans="1:19" hidden="1">
      <c r="A1607" s="5">
        <v>1672</v>
      </c>
      <c r="B1607" s="59"/>
      <c r="C1607" s="60">
        <v>360</v>
      </c>
      <c r="D1607" s="63" t="s">
        <v>500</v>
      </c>
      <c r="E1607" s="63"/>
      <c r="F1607" s="63"/>
      <c r="G1607" s="63"/>
      <c r="H1607" s="62"/>
      <c r="I1607" s="69"/>
      <c r="J1607" s="69"/>
      <c r="K1607" s="62"/>
      <c r="L1607" s="69"/>
      <c r="M1607" s="65"/>
      <c r="N1607" s="65"/>
      <c r="P1607">
        <f t="shared" ref="P1607:P1670" si="88">IF(OR(C1607="",C1607=" ",C1607="  ",C1607="   "),P1606,C1607)</f>
        <v>360</v>
      </c>
      <c r="Q1607" t="str">
        <f t="shared" ref="Q1607:Q1670" si="89">IF(G1607="","NA",G1607)</f>
        <v>NA</v>
      </c>
      <c r="R1607" t="str">
        <f>IF(ISERROR(MATCH(P1607&amp;"."&amp;Q1607,R$5:R1606,0)),P1607&amp;"."&amp;Q1607,P1607&amp;"."&amp;Q1607&amp;COUNTIFS(P$5:P1606,P1607,Q$5:Q1606,Q1607))</f>
        <v>360.NA</v>
      </c>
      <c r="S1607" s="55">
        <f t="shared" si="87"/>
        <v>0</v>
      </c>
    </row>
    <row r="1608" spans="1:19" hidden="1">
      <c r="A1608" s="5">
        <v>1673</v>
      </c>
      <c r="B1608" s="59"/>
      <c r="C1608" s="60"/>
      <c r="D1608" s="61"/>
      <c r="E1608" s="63"/>
      <c r="F1608" s="63" t="s">
        <v>139</v>
      </c>
      <c r="G1608" s="63" t="s">
        <v>12</v>
      </c>
      <c r="H1608" s="62"/>
      <c r="I1608" s="65">
        <v>63752760.060000002</v>
      </c>
      <c r="J1608" s="65">
        <v>37130263.759999998</v>
      </c>
      <c r="K1608" s="62"/>
      <c r="L1608" s="65">
        <v>70342967.57930097</v>
      </c>
      <c r="M1608" s="65">
        <v>30016863.805058546</v>
      </c>
      <c r="N1608" s="65">
        <v>40326103.774242423</v>
      </c>
      <c r="P1608">
        <f t="shared" si="88"/>
        <v>360</v>
      </c>
      <c r="Q1608" t="str">
        <f t="shared" si="89"/>
        <v>S</v>
      </c>
      <c r="R1608" t="str">
        <f>IF(ISERROR(MATCH(P1608&amp;"."&amp;Q1608,R$5:R1607,0)),P1608&amp;"."&amp;Q1608,P1608&amp;"."&amp;Q1608&amp;COUNTIFS(P$5:P1607,P1608,Q$5:Q1607,Q1608))</f>
        <v>360.S1</v>
      </c>
      <c r="S1608" s="55">
        <f t="shared" ref="S1608:S1671" si="90">N1608</f>
        <v>40326103.774242423</v>
      </c>
    </row>
    <row r="1609" spans="1:19" hidden="1">
      <c r="A1609" s="5">
        <v>1674</v>
      </c>
      <c r="B1609" s="59"/>
      <c r="C1609" s="60"/>
      <c r="D1609" s="63"/>
      <c r="E1609" s="63"/>
      <c r="F1609" s="60"/>
      <c r="G1609" s="61"/>
      <c r="H1609" s="62" t="s">
        <v>501</v>
      </c>
      <c r="I1609" s="65">
        <v>63752760.060000002</v>
      </c>
      <c r="J1609" s="65">
        <v>37130263.759999998</v>
      </c>
      <c r="K1609" s="62"/>
      <c r="L1609" s="65">
        <v>70342967.57930097</v>
      </c>
      <c r="M1609" s="65">
        <v>30016863.805058546</v>
      </c>
      <c r="N1609" s="64">
        <v>40326103.774242423</v>
      </c>
      <c r="P1609">
        <f t="shared" si="88"/>
        <v>360</v>
      </c>
      <c r="Q1609" t="str">
        <f t="shared" si="89"/>
        <v>NA</v>
      </c>
      <c r="R1609" t="str">
        <f>IF(ISERROR(MATCH(P1609&amp;"."&amp;Q1609,R$5:R1608,0)),P1609&amp;"."&amp;Q1609,P1609&amp;"."&amp;Q1609&amp;COUNTIFS(P$5:P1608,P1609,Q$5:Q1608,Q1609))</f>
        <v>360.NA1</v>
      </c>
      <c r="S1609" s="55">
        <f t="shared" si="90"/>
        <v>40326103.774242423</v>
      </c>
    </row>
    <row r="1610" spans="1:19" hidden="1">
      <c r="A1610" s="5">
        <v>1675</v>
      </c>
      <c r="B1610" s="59"/>
      <c r="C1610" s="60"/>
      <c r="D1610" s="63"/>
      <c r="E1610" s="63"/>
      <c r="F1610" s="63"/>
      <c r="G1610" s="63"/>
      <c r="H1610" s="62"/>
      <c r="I1610" s="66"/>
      <c r="J1610" s="66"/>
      <c r="K1610" s="62"/>
      <c r="L1610" s="66"/>
      <c r="M1610" s="66"/>
      <c r="N1610" s="66"/>
      <c r="P1610">
        <f t="shared" si="88"/>
        <v>360</v>
      </c>
      <c r="Q1610" t="str">
        <f t="shared" si="89"/>
        <v>NA</v>
      </c>
      <c r="R1610" t="str">
        <f>IF(ISERROR(MATCH(P1610&amp;"."&amp;Q1610,R$5:R1609,0)),P1610&amp;"."&amp;Q1610,P1610&amp;"."&amp;Q1610&amp;COUNTIFS(P$5:P1609,P1610,Q$5:Q1609,Q1610))</f>
        <v>360.NA2</v>
      </c>
      <c r="S1610" s="55">
        <f t="shared" si="90"/>
        <v>0</v>
      </c>
    </row>
    <row r="1611" spans="1:19" hidden="1">
      <c r="A1611" s="5">
        <v>1676</v>
      </c>
      <c r="B1611" s="59"/>
      <c r="C1611" s="60">
        <v>361</v>
      </c>
      <c r="D1611" s="63" t="s">
        <v>502</v>
      </c>
      <c r="E1611" s="63"/>
      <c r="F1611" s="63"/>
      <c r="G1611" s="63"/>
      <c r="H1611" s="62"/>
      <c r="I1611" s="65"/>
      <c r="J1611" s="65"/>
      <c r="K1611" s="62"/>
      <c r="L1611" s="65"/>
      <c r="M1611" s="65"/>
      <c r="N1611" s="65"/>
      <c r="P1611">
        <f t="shared" si="88"/>
        <v>361</v>
      </c>
      <c r="Q1611" t="str">
        <f t="shared" si="89"/>
        <v>NA</v>
      </c>
      <c r="R1611" t="str">
        <f>IF(ISERROR(MATCH(P1611&amp;"."&amp;Q1611,R$5:R1610,0)),P1611&amp;"."&amp;Q1611,P1611&amp;"."&amp;Q1611&amp;COUNTIFS(P$5:P1610,P1611,Q$5:Q1610,Q1611))</f>
        <v>361.NA</v>
      </c>
      <c r="S1611" s="55">
        <f t="shared" si="90"/>
        <v>0</v>
      </c>
    </row>
    <row r="1612" spans="1:19" hidden="1">
      <c r="A1612" s="5">
        <v>1677</v>
      </c>
      <c r="B1612" s="59"/>
      <c r="C1612" s="60"/>
      <c r="D1612" s="61"/>
      <c r="E1612" s="63"/>
      <c r="F1612" s="63" t="s">
        <v>139</v>
      </c>
      <c r="G1612" s="63" t="s">
        <v>12</v>
      </c>
      <c r="H1612" s="62"/>
      <c r="I1612" s="65">
        <v>121761254.47384614</v>
      </c>
      <c r="J1612" s="65">
        <v>57871588.832307696</v>
      </c>
      <c r="K1612" s="62"/>
      <c r="L1612" s="65">
        <v>134347877.13987446</v>
      </c>
      <c r="M1612" s="65">
        <v>70372560.580866799</v>
      </c>
      <c r="N1612" s="65">
        <v>63975316.55900766</v>
      </c>
      <c r="P1612">
        <f t="shared" si="88"/>
        <v>361</v>
      </c>
      <c r="Q1612" t="str">
        <f t="shared" si="89"/>
        <v>S</v>
      </c>
      <c r="R1612" t="str">
        <f>IF(ISERROR(MATCH(P1612&amp;"."&amp;Q1612,R$5:R1611,0)),P1612&amp;"."&amp;Q1612,P1612&amp;"."&amp;Q1612&amp;COUNTIFS(P$5:P1611,P1612,Q$5:Q1611,Q1612))</f>
        <v>361.S1</v>
      </c>
      <c r="S1612" s="55">
        <f t="shared" si="90"/>
        <v>63975316.55900766</v>
      </c>
    </row>
    <row r="1613" spans="1:19" hidden="1">
      <c r="A1613" s="5">
        <v>1678</v>
      </c>
      <c r="B1613" s="59"/>
      <c r="C1613" s="60"/>
      <c r="D1613" s="63"/>
      <c r="E1613" s="63"/>
      <c r="F1613" s="60"/>
      <c r="G1613" s="61"/>
      <c r="H1613" s="62" t="s">
        <v>501</v>
      </c>
      <c r="I1613" s="65">
        <v>121761254.47384614</v>
      </c>
      <c r="J1613" s="65">
        <v>57871588.832307696</v>
      </c>
      <c r="K1613" s="62"/>
      <c r="L1613" s="65">
        <v>134347877.13987446</v>
      </c>
      <c r="M1613" s="65">
        <v>70372560.580866799</v>
      </c>
      <c r="N1613" s="64">
        <v>63975316.55900766</v>
      </c>
      <c r="P1613">
        <f t="shared" si="88"/>
        <v>361</v>
      </c>
      <c r="Q1613" t="str">
        <f t="shared" si="89"/>
        <v>NA</v>
      </c>
      <c r="R1613" t="str">
        <f>IF(ISERROR(MATCH(P1613&amp;"."&amp;Q1613,R$5:R1612,0)),P1613&amp;"."&amp;Q1613,P1613&amp;"."&amp;Q1613&amp;COUNTIFS(P$5:P1612,P1613,Q$5:Q1612,Q1613))</f>
        <v>361.NA1</v>
      </c>
      <c r="S1613" s="55">
        <f t="shared" si="90"/>
        <v>63975316.55900766</v>
      </c>
    </row>
    <row r="1614" spans="1:19" hidden="1">
      <c r="A1614" s="5">
        <v>1679</v>
      </c>
      <c r="B1614" s="59"/>
      <c r="C1614" s="60"/>
      <c r="D1614" s="63"/>
      <c r="E1614" s="63"/>
      <c r="F1614" s="63"/>
      <c r="G1614" s="63"/>
      <c r="H1614" s="62"/>
      <c r="I1614" s="66"/>
      <c r="J1614" s="66"/>
      <c r="K1614" s="62"/>
      <c r="L1614" s="66"/>
      <c r="M1614" s="66"/>
      <c r="N1614" s="66"/>
      <c r="P1614">
        <f t="shared" si="88"/>
        <v>361</v>
      </c>
      <c r="Q1614" t="str">
        <f t="shared" si="89"/>
        <v>NA</v>
      </c>
      <c r="R1614" t="str">
        <f>IF(ISERROR(MATCH(P1614&amp;"."&amp;Q1614,R$5:R1613,0)),P1614&amp;"."&amp;Q1614,P1614&amp;"."&amp;Q1614&amp;COUNTIFS(P$5:P1613,P1614,Q$5:Q1613,Q1614))</f>
        <v>361.NA2</v>
      </c>
      <c r="S1614" s="55">
        <f t="shared" si="90"/>
        <v>0</v>
      </c>
    </row>
    <row r="1615" spans="1:19" hidden="1">
      <c r="A1615" s="5">
        <v>1680</v>
      </c>
      <c r="B1615" s="59"/>
      <c r="C1615" s="60">
        <v>362</v>
      </c>
      <c r="D1615" s="63" t="s">
        <v>380</v>
      </c>
      <c r="E1615" s="63"/>
      <c r="F1615" s="63"/>
      <c r="G1615" s="63"/>
      <c r="H1615" s="62"/>
      <c r="I1615" s="65"/>
      <c r="J1615" s="65"/>
      <c r="K1615" s="62"/>
      <c r="L1615" s="65"/>
      <c r="M1615" s="65"/>
      <c r="N1615" s="65"/>
      <c r="P1615">
        <f t="shared" si="88"/>
        <v>362</v>
      </c>
      <c r="Q1615" t="str">
        <f t="shared" si="89"/>
        <v>NA</v>
      </c>
      <c r="R1615" t="str">
        <f>IF(ISERROR(MATCH(P1615&amp;"."&amp;Q1615,R$5:R1614,0)),P1615&amp;"."&amp;Q1615,P1615&amp;"."&amp;Q1615&amp;COUNTIFS(P$5:P1614,P1615,Q$5:Q1614,Q1615))</f>
        <v>362.NA</v>
      </c>
      <c r="S1615" s="55">
        <f t="shared" si="90"/>
        <v>0</v>
      </c>
    </row>
    <row r="1616" spans="1:19" hidden="1">
      <c r="A1616" s="5">
        <v>1681</v>
      </c>
      <c r="B1616" s="59"/>
      <c r="C1616" s="60"/>
      <c r="D1616" s="63"/>
      <c r="E1616" s="63"/>
      <c r="F1616" s="63" t="s">
        <v>139</v>
      </c>
      <c r="G1616" s="63" t="s">
        <v>12</v>
      </c>
      <c r="H1616" s="62"/>
      <c r="I1616" s="69">
        <v>1023523180.1769233</v>
      </c>
      <c r="J1616" s="69">
        <v>484117913.52230799</v>
      </c>
      <c r="K1616" s="62"/>
      <c r="L1616" s="69">
        <v>1129326131.3249617</v>
      </c>
      <c r="M1616" s="65">
        <v>593900379.02617407</v>
      </c>
      <c r="N1616" s="65">
        <v>535425752.29878765</v>
      </c>
      <c r="P1616">
        <f t="shared" si="88"/>
        <v>362</v>
      </c>
      <c r="Q1616" t="str">
        <f t="shared" si="89"/>
        <v>S</v>
      </c>
      <c r="R1616" t="str">
        <f>IF(ISERROR(MATCH(P1616&amp;"."&amp;Q1616,R$5:R1615,0)),P1616&amp;"."&amp;Q1616,P1616&amp;"."&amp;Q1616&amp;COUNTIFS(P$5:P1615,P1616,Q$5:Q1615,Q1616))</f>
        <v>362.S1</v>
      </c>
      <c r="S1616" s="55">
        <f t="shared" si="90"/>
        <v>535425752.29878765</v>
      </c>
    </row>
    <row r="1617" spans="1:19" hidden="1">
      <c r="A1617" s="5">
        <v>1682</v>
      </c>
      <c r="B1617" s="59"/>
      <c r="C1617" s="60"/>
      <c r="D1617" s="63"/>
      <c r="E1617" s="70"/>
      <c r="F1617" s="63"/>
      <c r="G1617" s="63"/>
      <c r="H1617" s="62" t="s">
        <v>501</v>
      </c>
      <c r="I1617" s="69">
        <v>1023523180.1769233</v>
      </c>
      <c r="J1617" s="69">
        <v>484117913.52230799</v>
      </c>
      <c r="K1617" s="62"/>
      <c r="L1617" s="69">
        <v>1129326131.3249617</v>
      </c>
      <c r="M1617" s="69">
        <v>593900379.02617407</v>
      </c>
      <c r="N1617" s="69">
        <v>535425752.29878765</v>
      </c>
      <c r="P1617">
        <f t="shared" si="88"/>
        <v>362</v>
      </c>
      <c r="Q1617" t="str">
        <f t="shared" si="89"/>
        <v>NA</v>
      </c>
      <c r="R1617" t="str">
        <f>IF(ISERROR(MATCH(P1617&amp;"."&amp;Q1617,R$5:R1616,0)),P1617&amp;"."&amp;Q1617,P1617&amp;"."&amp;Q1617&amp;COUNTIFS(P$5:P1616,P1617,Q$5:Q1616,Q1617))</f>
        <v>362.NA1</v>
      </c>
      <c r="S1617" s="55">
        <f t="shared" si="90"/>
        <v>535425752.29878765</v>
      </c>
    </row>
    <row r="1618" spans="1:19" hidden="1">
      <c r="A1618" s="5">
        <v>1683</v>
      </c>
      <c r="B1618" s="59"/>
      <c r="C1618" s="71"/>
      <c r="D1618" s="72"/>
      <c r="E1618" s="73"/>
      <c r="F1618" s="63"/>
      <c r="G1618" s="72"/>
      <c r="H1618" s="74"/>
      <c r="I1618" s="102"/>
      <c r="J1618" s="102"/>
      <c r="K1618" s="74"/>
      <c r="L1618" s="102"/>
      <c r="M1618" s="102"/>
      <c r="N1618" s="102"/>
      <c r="P1618">
        <f t="shared" si="88"/>
        <v>362</v>
      </c>
      <c r="Q1618" t="str">
        <f t="shared" si="89"/>
        <v>NA</v>
      </c>
      <c r="R1618" t="str">
        <f>IF(ISERROR(MATCH(P1618&amp;"."&amp;Q1618,R$5:R1617,0)),P1618&amp;"."&amp;Q1618,P1618&amp;"."&amp;Q1618&amp;COUNTIFS(P$5:P1617,P1618,Q$5:Q1617,Q1618))</f>
        <v>362.NA2</v>
      </c>
      <c r="S1618" s="55">
        <f t="shared" si="90"/>
        <v>0</v>
      </c>
    </row>
    <row r="1619" spans="1:19" hidden="1">
      <c r="A1619" s="5">
        <v>1684</v>
      </c>
      <c r="B1619" s="59"/>
      <c r="C1619" s="60">
        <v>363</v>
      </c>
      <c r="D1619" s="61" t="s">
        <v>381</v>
      </c>
      <c r="E1619" s="63"/>
      <c r="F1619" s="63"/>
      <c r="G1619" s="63"/>
      <c r="H1619" s="62"/>
      <c r="I1619" s="65"/>
      <c r="J1619" s="65"/>
      <c r="K1619" s="62"/>
      <c r="L1619" s="65"/>
      <c r="M1619" s="65"/>
      <c r="N1619" s="65"/>
      <c r="P1619">
        <f t="shared" si="88"/>
        <v>363</v>
      </c>
      <c r="Q1619" t="str">
        <f t="shared" si="89"/>
        <v>NA</v>
      </c>
      <c r="R1619" t="str">
        <f>IF(ISERROR(MATCH(P1619&amp;"."&amp;Q1619,R$5:R1618,0)),P1619&amp;"."&amp;Q1619,P1619&amp;"."&amp;Q1619&amp;COUNTIFS(P$5:P1618,P1619,Q$5:Q1618,Q1619))</f>
        <v>363.NA</v>
      </c>
      <c r="S1619" s="55">
        <f t="shared" si="90"/>
        <v>0</v>
      </c>
    </row>
    <row r="1620" spans="1:19" hidden="1">
      <c r="A1620" s="5">
        <v>1685</v>
      </c>
      <c r="B1620" s="59"/>
      <c r="C1620" s="60"/>
      <c r="D1620" s="63"/>
      <c r="E1620" s="63"/>
      <c r="F1620" s="60" t="s">
        <v>139</v>
      </c>
      <c r="G1620" s="61" t="s">
        <v>12</v>
      </c>
      <c r="H1620" s="62"/>
      <c r="I1620" s="65">
        <v>0</v>
      </c>
      <c r="J1620" s="65">
        <v>0</v>
      </c>
      <c r="K1620" s="62"/>
      <c r="L1620" s="65">
        <v>0</v>
      </c>
      <c r="M1620" s="65">
        <v>0</v>
      </c>
      <c r="N1620" s="64">
        <v>0</v>
      </c>
      <c r="P1620">
        <f t="shared" si="88"/>
        <v>363</v>
      </c>
      <c r="Q1620" t="str">
        <f t="shared" si="89"/>
        <v>S</v>
      </c>
      <c r="R1620" t="str">
        <f>IF(ISERROR(MATCH(P1620&amp;"."&amp;Q1620,R$5:R1619,0)),P1620&amp;"."&amp;Q1620,P1620&amp;"."&amp;Q1620&amp;COUNTIFS(P$5:P1619,P1620,Q$5:Q1619,Q1620))</f>
        <v>363.S1</v>
      </c>
      <c r="S1620" s="55">
        <f t="shared" si="90"/>
        <v>0</v>
      </c>
    </row>
    <row r="1621" spans="1:19" hidden="1">
      <c r="A1621" s="5">
        <v>1686</v>
      </c>
      <c r="B1621" s="59"/>
      <c r="C1621" s="60"/>
      <c r="D1621" s="63"/>
      <c r="E1621" s="63"/>
      <c r="F1621" s="63"/>
      <c r="G1621" s="63"/>
      <c r="H1621" s="62" t="s">
        <v>501</v>
      </c>
      <c r="I1621" s="66">
        <v>0</v>
      </c>
      <c r="J1621" s="66">
        <v>0</v>
      </c>
      <c r="K1621" s="62"/>
      <c r="L1621" s="66">
        <v>0</v>
      </c>
      <c r="M1621" s="66">
        <v>0</v>
      </c>
      <c r="N1621" s="66">
        <v>0</v>
      </c>
      <c r="P1621">
        <f t="shared" si="88"/>
        <v>363</v>
      </c>
      <c r="Q1621" t="str">
        <f t="shared" si="89"/>
        <v>NA</v>
      </c>
      <c r="R1621" t="str">
        <f>IF(ISERROR(MATCH(P1621&amp;"."&amp;Q1621,R$5:R1620,0)),P1621&amp;"."&amp;Q1621,P1621&amp;"."&amp;Q1621&amp;COUNTIFS(P$5:P1620,P1621,Q$5:Q1620,Q1621))</f>
        <v>363.NA1</v>
      </c>
      <c r="S1621" s="55">
        <f t="shared" si="90"/>
        <v>0</v>
      </c>
    </row>
    <row r="1622" spans="1:19" hidden="1">
      <c r="A1622" s="5">
        <v>1687</v>
      </c>
      <c r="B1622" s="59"/>
      <c r="C1622" s="60"/>
      <c r="D1622" s="63"/>
      <c r="E1622" s="63"/>
      <c r="F1622" s="63"/>
      <c r="G1622" s="63"/>
      <c r="H1622" s="62"/>
      <c r="I1622" s="65"/>
      <c r="J1622" s="65"/>
      <c r="K1622" s="62"/>
      <c r="L1622" s="65"/>
      <c r="M1622" s="65"/>
      <c r="N1622" s="65"/>
      <c r="P1622">
        <f t="shared" si="88"/>
        <v>363</v>
      </c>
      <c r="Q1622" t="str">
        <f t="shared" si="89"/>
        <v>NA</v>
      </c>
      <c r="R1622" t="str">
        <f>IF(ISERROR(MATCH(P1622&amp;"."&amp;Q1622,R$5:R1621,0)),P1622&amp;"."&amp;Q1622,P1622&amp;"."&amp;Q1622&amp;COUNTIFS(P$5:P1621,P1622,Q$5:Q1621,Q1622))</f>
        <v>363.NA2</v>
      </c>
      <c r="S1622" s="55">
        <f t="shared" si="90"/>
        <v>0</v>
      </c>
    </row>
    <row r="1623" spans="1:19" hidden="1">
      <c r="A1623" s="5">
        <v>1688</v>
      </c>
      <c r="B1623" s="59"/>
      <c r="C1623" s="60">
        <v>364</v>
      </c>
      <c r="D1623" s="61" t="s">
        <v>549</v>
      </c>
      <c r="E1623" s="63"/>
      <c r="F1623" s="63"/>
      <c r="G1623" s="63"/>
      <c r="H1623" s="62"/>
      <c r="I1623" s="65"/>
      <c r="J1623" s="65"/>
      <c r="K1623" s="62"/>
      <c r="L1623" s="65"/>
      <c r="M1623" s="65"/>
      <c r="N1623" s="65"/>
      <c r="P1623">
        <f t="shared" si="88"/>
        <v>364</v>
      </c>
      <c r="Q1623" t="str">
        <f t="shared" si="89"/>
        <v>NA</v>
      </c>
      <c r="R1623" t="str">
        <f>IF(ISERROR(MATCH(P1623&amp;"."&amp;Q1623,R$5:R1622,0)),P1623&amp;"."&amp;Q1623,P1623&amp;"."&amp;Q1623&amp;COUNTIFS(P$5:P1622,P1623,Q$5:Q1622,Q1623))</f>
        <v>364.NA</v>
      </c>
      <c r="S1623" s="55">
        <f t="shared" si="90"/>
        <v>0</v>
      </c>
    </row>
    <row r="1624" spans="1:19" hidden="1">
      <c r="A1624" s="5">
        <v>1689</v>
      </c>
      <c r="B1624" s="59"/>
      <c r="C1624" s="60"/>
      <c r="D1624" s="63"/>
      <c r="E1624" s="63"/>
      <c r="F1624" s="60" t="s">
        <v>139</v>
      </c>
      <c r="G1624" s="61" t="s">
        <v>12</v>
      </c>
      <c r="H1624" s="62"/>
      <c r="I1624" s="65">
        <v>1234275935.296922</v>
      </c>
      <c r="J1624" s="65">
        <v>398812505.96153802</v>
      </c>
      <c r="K1624" s="62"/>
      <c r="L1624" s="65">
        <v>1361864678.780823</v>
      </c>
      <c r="M1624" s="65">
        <v>901179582.22201443</v>
      </c>
      <c r="N1624" s="64">
        <v>460685096.55880857</v>
      </c>
      <c r="P1624">
        <f t="shared" si="88"/>
        <v>364</v>
      </c>
      <c r="Q1624" t="str">
        <f t="shared" si="89"/>
        <v>S</v>
      </c>
      <c r="R1624" t="str">
        <f>IF(ISERROR(MATCH(P1624&amp;"."&amp;Q1624,R$5:R1623,0)),P1624&amp;"."&amp;Q1624,P1624&amp;"."&amp;Q1624&amp;COUNTIFS(P$5:P1623,P1624,Q$5:Q1623,Q1624))</f>
        <v>364.S1</v>
      </c>
      <c r="S1624" s="55">
        <f t="shared" si="90"/>
        <v>460685096.55880857</v>
      </c>
    </row>
    <row r="1625" spans="1:19" hidden="1">
      <c r="A1625" s="5">
        <v>1690</v>
      </c>
      <c r="B1625" s="59"/>
      <c r="C1625" s="60"/>
      <c r="D1625" s="63"/>
      <c r="E1625" s="63"/>
      <c r="F1625" s="63"/>
      <c r="G1625" s="63"/>
      <c r="H1625" s="62" t="s">
        <v>501</v>
      </c>
      <c r="I1625" s="66">
        <v>1234275935.296922</v>
      </c>
      <c r="J1625" s="66">
        <v>398812505.96153802</v>
      </c>
      <c r="K1625" s="62"/>
      <c r="L1625" s="66">
        <v>1361864678.780823</v>
      </c>
      <c r="M1625" s="66">
        <v>901179582.22201443</v>
      </c>
      <c r="N1625" s="66">
        <v>460685096.55880857</v>
      </c>
      <c r="P1625">
        <f t="shared" si="88"/>
        <v>364</v>
      </c>
      <c r="Q1625" t="str">
        <f t="shared" si="89"/>
        <v>NA</v>
      </c>
      <c r="R1625" t="str">
        <f>IF(ISERROR(MATCH(P1625&amp;"."&amp;Q1625,R$5:R1624,0)),P1625&amp;"."&amp;Q1625,P1625&amp;"."&amp;Q1625&amp;COUNTIFS(P$5:P1624,P1625,Q$5:Q1624,Q1625))</f>
        <v>364.NA1</v>
      </c>
      <c r="S1625" s="55">
        <f t="shared" si="90"/>
        <v>460685096.55880857</v>
      </c>
    </row>
    <row r="1626" spans="1:19" hidden="1">
      <c r="A1626" s="5">
        <v>1691</v>
      </c>
      <c r="B1626" s="59"/>
      <c r="C1626" s="60"/>
      <c r="D1626" s="63"/>
      <c r="E1626" s="63"/>
      <c r="F1626" s="63"/>
      <c r="G1626" s="63"/>
      <c r="H1626" s="62"/>
      <c r="I1626" s="65"/>
      <c r="J1626" s="65"/>
      <c r="K1626" s="62"/>
      <c r="L1626" s="65"/>
      <c r="M1626" s="65"/>
      <c r="N1626" s="65"/>
      <c r="P1626">
        <f t="shared" si="88"/>
        <v>364</v>
      </c>
      <c r="Q1626" t="str">
        <f t="shared" si="89"/>
        <v>NA</v>
      </c>
      <c r="R1626" t="str">
        <f>IF(ISERROR(MATCH(P1626&amp;"."&amp;Q1626,R$5:R1625,0)),P1626&amp;"."&amp;Q1626,P1626&amp;"."&amp;Q1626&amp;COUNTIFS(P$5:P1625,P1626,Q$5:Q1625,Q1626))</f>
        <v>364.NA2</v>
      </c>
      <c r="S1626" s="55">
        <f t="shared" si="90"/>
        <v>0</v>
      </c>
    </row>
    <row r="1627" spans="1:19" hidden="1">
      <c r="A1627" s="5">
        <v>1692</v>
      </c>
      <c r="B1627" s="59"/>
      <c r="C1627" s="60">
        <v>365</v>
      </c>
      <c r="D1627" s="61" t="s">
        <v>550</v>
      </c>
      <c r="E1627" s="63"/>
      <c r="F1627" s="63"/>
      <c r="G1627" s="63"/>
      <c r="H1627" s="62"/>
      <c r="I1627" s="65"/>
      <c r="J1627" s="65"/>
      <c r="K1627" s="62"/>
      <c r="L1627" s="65"/>
      <c r="M1627" s="65"/>
      <c r="N1627" s="65"/>
      <c r="P1627">
        <f t="shared" si="88"/>
        <v>365</v>
      </c>
      <c r="Q1627" t="str">
        <f t="shared" si="89"/>
        <v>NA</v>
      </c>
      <c r="R1627" t="str">
        <f>IF(ISERROR(MATCH(P1627&amp;"."&amp;Q1627,R$5:R1626,0)),P1627&amp;"."&amp;Q1627,P1627&amp;"."&amp;Q1627&amp;COUNTIFS(P$5:P1626,P1627,Q$5:Q1626,Q1627))</f>
        <v>365.NA</v>
      </c>
      <c r="S1627" s="55">
        <f t="shared" si="90"/>
        <v>0</v>
      </c>
    </row>
    <row r="1628" spans="1:19" hidden="1">
      <c r="A1628" s="5">
        <v>1693</v>
      </c>
      <c r="B1628" s="59"/>
      <c r="C1628" s="60"/>
      <c r="D1628" s="63"/>
      <c r="E1628" s="63"/>
      <c r="F1628" s="60" t="s">
        <v>139</v>
      </c>
      <c r="G1628" s="61" t="s">
        <v>12</v>
      </c>
      <c r="H1628" s="62"/>
      <c r="I1628" s="65">
        <v>784577846.58615315</v>
      </c>
      <c r="J1628" s="65">
        <v>245188849.10692301</v>
      </c>
      <c r="K1628" s="62"/>
      <c r="L1628" s="65">
        <v>865680701.10073197</v>
      </c>
      <c r="M1628" s="65">
        <v>581162021.03357458</v>
      </c>
      <c r="N1628" s="64">
        <v>284518680.06715745</v>
      </c>
      <c r="P1628">
        <f t="shared" si="88"/>
        <v>365</v>
      </c>
      <c r="Q1628" t="str">
        <f t="shared" si="89"/>
        <v>S</v>
      </c>
      <c r="R1628" t="str">
        <f>IF(ISERROR(MATCH(P1628&amp;"."&amp;Q1628,R$5:R1627,0)),P1628&amp;"."&amp;Q1628,P1628&amp;"."&amp;Q1628&amp;COUNTIFS(P$5:P1627,P1628,Q$5:Q1627,Q1628))</f>
        <v>365.S1</v>
      </c>
      <c r="S1628" s="55">
        <f t="shared" si="90"/>
        <v>284518680.06715745</v>
      </c>
    </row>
    <row r="1629" spans="1:19" hidden="1">
      <c r="A1629" s="5">
        <v>1694</v>
      </c>
      <c r="B1629" s="59"/>
      <c r="C1629" s="60"/>
      <c r="D1629" s="63"/>
      <c r="E1629" s="63"/>
      <c r="F1629" s="63"/>
      <c r="G1629" s="63"/>
      <c r="H1629" s="62" t="s">
        <v>501</v>
      </c>
      <c r="I1629" s="66">
        <v>784577846.58615315</v>
      </c>
      <c r="J1629" s="66">
        <v>245188849.10692301</v>
      </c>
      <c r="K1629" s="62"/>
      <c r="L1629" s="66">
        <v>865680701.10073197</v>
      </c>
      <c r="M1629" s="66">
        <v>581162021.03357458</v>
      </c>
      <c r="N1629" s="66">
        <v>284518680.06715745</v>
      </c>
      <c r="P1629">
        <f t="shared" si="88"/>
        <v>365</v>
      </c>
      <c r="Q1629" t="str">
        <f t="shared" si="89"/>
        <v>NA</v>
      </c>
      <c r="R1629" t="str">
        <f>IF(ISERROR(MATCH(P1629&amp;"."&amp;Q1629,R$5:R1628,0)),P1629&amp;"."&amp;Q1629,P1629&amp;"."&amp;Q1629&amp;COUNTIFS(P$5:P1628,P1629,Q$5:Q1628,Q1629))</f>
        <v>365.NA1</v>
      </c>
      <c r="S1629" s="55">
        <f t="shared" si="90"/>
        <v>284518680.06715745</v>
      </c>
    </row>
    <row r="1630" spans="1:19" hidden="1">
      <c r="A1630" s="5">
        <v>1695</v>
      </c>
      <c r="B1630" s="59"/>
      <c r="C1630" s="60"/>
      <c r="D1630" s="63"/>
      <c r="E1630" s="63"/>
      <c r="F1630" s="63"/>
      <c r="G1630" s="63"/>
      <c r="H1630" s="62"/>
      <c r="I1630" s="65"/>
      <c r="J1630" s="65"/>
      <c r="K1630" s="62"/>
      <c r="L1630" s="65"/>
      <c r="M1630" s="65"/>
      <c r="N1630" s="65"/>
      <c r="P1630">
        <f t="shared" si="88"/>
        <v>365</v>
      </c>
      <c r="Q1630" t="str">
        <f t="shared" si="89"/>
        <v>NA</v>
      </c>
      <c r="R1630" t="str">
        <f>IF(ISERROR(MATCH(P1630&amp;"."&amp;Q1630,R$5:R1629,0)),P1630&amp;"."&amp;Q1630,P1630&amp;"."&amp;Q1630&amp;COUNTIFS(P$5:P1629,P1630,Q$5:Q1629,Q1630))</f>
        <v>365.NA2</v>
      </c>
      <c r="S1630" s="55">
        <f t="shared" si="90"/>
        <v>0</v>
      </c>
    </row>
    <row r="1631" spans="1:19" hidden="1">
      <c r="A1631" s="5">
        <v>1696</v>
      </c>
      <c r="B1631" s="59"/>
      <c r="C1631" s="60">
        <v>366</v>
      </c>
      <c r="D1631" s="61" t="s">
        <v>541</v>
      </c>
      <c r="E1631" s="63"/>
      <c r="F1631" s="63"/>
      <c r="G1631" s="63"/>
      <c r="H1631" s="62"/>
      <c r="I1631" s="65"/>
      <c r="J1631" s="65"/>
      <c r="K1631" s="62"/>
      <c r="L1631" s="65"/>
      <c r="M1631" s="65"/>
      <c r="N1631" s="65"/>
      <c r="P1631">
        <f t="shared" si="88"/>
        <v>366</v>
      </c>
      <c r="Q1631" t="str">
        <f t="shared" si="89"/>
        <v>NA</v>
      </c>
      <c r="R1631" t="str">
        <f>IF(ISERROR(MATCH(P1631&amp;"."&amp;Q1631,R$5:R1630,0)),P1631&amp;"."&amp;Q1631,P1631&amp;"."&amp;Q1631&amp;COUNTIFS(P$5:P1630,P1631,Q$5:Q1630,Q1631))</f>
        <v>366.NA</v>
      </c>
      <c r="S1631" s="55">
        <f t="shared" si="90"/>
        <v>0</v>
      </c>
    </row>
    <row r="1632" spans="1:19" hidden="1">
      <c r="A1632" s="5">
        <v>1697</v>
      </c>
      <c r="B1632" s="59"/>
      <c r="C1632" s="60"/>
      <c r="D1632" s="63"/>
      <c r="E1632" s="63"/>
      <c r="F1632" s="60" t="s">
        <v>139</v>
      </c>
      <c r="G1632" s="61" t="s">
        <v>12</v>
      </c>
      <c r="H1632" s="62"/>
      <c r="I1632" s="65">
        <v>389702264.56999999</v>
      </c>
      <c r="J1632" s="65">
        <v>213744414</v>
      </c>
      <c r="K1632" s="62"/>
      <c r="L1632" s="65">
        <v>429986305.47804523</v>
      </c>
      <c r="M1632" s="65">
        <v>196706641.71659836</v>
      </c>
      <c r="N1632" s="64">
        <v>233279663.76144686</v>
      </c>
      <c r="P1632">
        <f t="shared" si="88"/>
        <v>366</v>
      </c>
      <c r="Q1632" t="str">
        <f t="shared" si="89"/>
        <v>S</v>
      </c>
      <c r="R1632" t="str">
        <f>IF(ISERROR(MATCH(P1632&amp;"."&amp;Q1632,R$5:R1631,0)),P1632&amp;"."&amp;Q1632,P1632&amp;"."&amp;Q1632&amp;COUNTIFS(P$5:P1631,P1632,Q$5:Q1631,Q1632))</f>
        <v>366.S1</v>
      </c>
      <c r="S1632" s="55">
        <f t="shared" si="90"/>
        <v>233279663.76144686</v>
      </c>
    </row>
    <row r="1633" spans="1:19" hidden="1">
      <c r="A1633" s="5">
        <v>1698</v>
      </c>
      <c r="B1633" s="59"/>
      <c r="C1633" s="60"/>
      <c r="D1633" s="63"/>
      <c r="E1633" s="63"/>
      <c r="F1633" s="63"/>
      <c r="G1633" s="63"/>
      <c r="H1633" s="62" t="s">
        <v>501</v>
      </c>
      <c r="I1633" s="66">
        <v>389702264.56999999</v>
      </c>
      <c r="J1633" s="66">
        <v>213744414</v>
      </c>
      <c r="K1633" s="62"/>
      <c r="L1633" s="66">
        <v>429986305.47804523</v>
      </c>
      <c r="M1633" s="66">
        <v>196706641.71659836</v>
      </c>
      <c r="N1633" s="66">
        <v>233279663.76144686</v>
      </c>
      <c r="P1633">
        <f t="shared" si="88"/>
        <v>366</v>
      </c>
      <c r="Q1633" t="str">
        <f t="shared" si="89"/>
        <v>NA</v>
      </c>
      <c r="R1633" t="str">
        <f>IF(ISERROR(MATCH(P1633&amp;"."&amp;Q1633,R$5:R1632,0)),P1633&amp;"."&amp;Q1633,P1633&amp;"."&amp;Q1633&amp;COUNTIFS(P$5:P1632,P1633,Q$5:Q1632,Q1633))</f>
        <v>366.NA1</v>
      </c>
      <c r="S1633" s="55">
        <f t="shared" si="90"/>
        <v>233279663.76144686</v>
      </c>
    </row>
    <row r="1634" spans="1:19" hidden="1">
      <c r="A1634" s="5">
        <v>1699</v>
      </c>
      <c r="B1634" s="59"/>
      <c r="C1634" s="60"/>
      <c r="D1634" s="63"/>
      <c r="E1634" s="63"/>
      <c r="F1634" s="63"/>
      <c r="G1634" s="63"/>
      <c r="H1634" s="62"/>
      <c r="I1634" s="65"/>
      <c r="J1634" s="65"/>
      <c r="K1634" s="62"/>
      <c r="L1634" s="65"/>
      <c r="M1634" s="65"/>
      <c r="N1634" s="65"/>
      <c r="P1634">
        <f t="shared" si="88"/>
        <v>366</v>
      </c>
      <c r="Q1634" t="str">
        <f t="shared" si="89"/>
        <v>NA</v>
      </c>
      <c r="R1634" t="str">
        <f>IF(ISERROR(MATCH(P1634&amp;"."&amp;Q1634,R$5:R1633,0)),P1634&amp;"."&amp;Q1634,P1634&amp;"."&amp;Q1634&amp;COUNTIFS(P$5:P1633,P1634,Q$5:Q1633,Q1634))</f>
        <v>366.NA2</v>
      </c>
      <c r="S1634" s="55">
        <f t="shared" si="90"/>
        <v>0</v>
      </c>
    </row>
    <row r="1635" spans="1:19" hidden="1">
      <c r="A1635" s="5">
        <v>1700</v>
      </c>
      <c r="B1635" s="59"/>
      <c r="C1635" s="60"/>
      <c r="D1635" s="61"/>
      <c r="E1635" s="63"/>
      <c r="F1635" s="63"/>
      <c r="G1635" s="63"/>
      <c r="H1635" s="62"/>
      <c r="I1635" s="65"/>
      <c r="J1635" s="65"/>
      <c r="K1635" s="62"/>
      <c r="L1635" s="65"/>
      <c r="M1635" s="65"/>
      <c r="N1635" s="65"/>
      <c r="P1635">
        <f t="shared" si="88"/>
        <v>366</v>
      </c>
      <c r="Q1635" t="str">
        <f t="shared" si="89"/>
        <v>NA</v>
      </c>
      <c r="R1635" t="str">
        <f>IF(ISERROR(MATCH(P1635&amp;"."&amp;Q1635,R$5:R1634,0)),P1635&amp;"."&amp;Q1635,P1635&amp;"."&amp;Q1635&amp;COUNTIFS(P$5:P1634,P1635,Q$5:Q1634,Q1635))</f>
        <v>366.NA3</v>
      </c>
      <c r="S1635" s="55">
        <f t="shared" si="90"/>
        <v>0</v>
      </c>
    </row>
    <row r="1636" spans="1:19" hidden="1">
      <c r="A1636" s="5">
        <v>1701</v>
      </c>
      <c r="B1636" s="59"/>
      <c r="C1636" s="60"/>
      <c r="D1636" s="63"/>
      <c r="E1636" s="63"/>
      <c r="F1636" s="60"/>
      <c r="G1636" s="61"/>
      <c r="H1636" s="62"/>
      <c r="I1636" s="65"/>
      <c r="J1636" s="65"/>
      <c r="K1636" s="62"/>
      <c r="L1636" s="65"/>
      <c r="M1636" s="65"/>
      <c r="N1636" s="64"/>
      <c r="P1636">
        <f t="shared" si="88"/>
        <v>366</v>
      </c>
      <c r="Q1636" t="str">
        <f t="shared" si="89"/>
        <v>NA</v>
      </c>
      <c r="R1636" t="str">
        <f>IF(ISERROR(MATCH(P1636&amp;"."&amp;Q1636,R$5:R1635,0)),P1636&amp;"."&amp;Q1636,P1636&amp;"."&amp;Q1636&amp;COUNTIFS(P$5:P1635,P1636,Q$5:Q1635,Q1636))</f>
        <v>366.NA4</v>
      </c>
      <c r="S1636" s="55">
        <f t="shared" si="90"/>
        <v>0</v>
      </c>
    </row>
    <row r="1637" spans="1:19" hidden="1">
      <c r="A1637" s="5">
        <v>1702</v>
      </c>
      <c r="B1637" s="59"/>
      <c r="C1637" s="60"/>
      <c r="D1637" s="63"/>
      <c r="E1637" s="63"/>
      <c r="F1637" s="63"/>
      <c r="G1637" s="63"/>
      <c r="H1637" s="62"/>
      <c r="I1637" s="66"/>
      <c r="J1637" s="66"/>
      <c r="K1637" s="62"/>
      <c r="L1637" s="66"/>
      <c r="M1637" s="66"/>
      <c r="N1637" s="66"/>
      <c r="P1637">
        <f t="shared" si="88"/>
        <v>366</v>
      </c>
      <c r="Q1637" t="str">
        <f t="shared" si="89"/>
        <v>NA</v>
      </c>
      <c r="R1637" t="str">
        <f>IF(ISERROR(MATCH(P1637&amp;"."&amp;Q1637,R$5:R1636,0)),P1637&amp;"."&amp;Q1637,P1637&amp;"."&amp;Q1637&amp;COUNTIFS(P$5:P1636,P1637,Q$5:Q1636,Q1637))</f>
        <v>366.NA5</v>
      </c>
      <c r="S1637" s="55">
        <f t="shared" si="90"/>
        <v>0</v>
      </c>
    </row>
    <row r="1638" spans="1:19" hidden="1">
      <c r="A1638" s="5">
        <v>1703</v>
      </c>
      <c r="B1638" s="59"/>
      <c r="C1638" s="60">
        <v>367</v>
      </c>
      <c r="D1638" s="63" t="s">
        <v>542</v>
      </c>
      <c r="E1638" s="63"/>
      <c r="F1638" s="63"/>
      <c r="G1638" s="63"/>
      <c r="H1638" s="62"/>
      <c r="I1638" s="65"/>
      <c r="J1638" s="65"/>
      <c r="K1638" s="62"/>
      <c r="L1638" s="65"/>
      <c r="M1638" s="65"/>
      <c r="N1638" s="65"/>
      <c r="P1638">
        <f t="shared" si="88"/>
        <v>367</v>
      </c>
      <c r="Q1638" t="str">
        <f t="shared" si="89"/>
        <v>NA</v>
      </c>
      <c r="R1638" t="str">
        <f>IF(ISERROR(MATCH(P1638&amp;"."&amp;Q1638,R$5:R1637,0)),P1638&amp;"."&amp;Q1638,P1638&amp;"."&amp;Q1638&amp;COUNTIFS(P$5:P1637,P1638,Q$5:Q1637,Q1638))</f>
        <v>367.NA</v>
      </c>
      <c r="S1638" s="55">
        <f t="shared" si="90"/>
        <v>0</v>
      </c>
    </row>
    <row r="1639" spans="1:19" hidden="1">
      <c r="A1639" s="5">
        <v>1704</v>
      </c>
      <c r="B1639" s="59"/>
      <c r="C1639" s="60"/>
      <c r="D1639" s="61"/>
      <c r="E1639" s="63"/>
      <c r="F1639" s="63" t="s">
        <v>139</v>
      </c>
      <c r="G1639" s="63" t="s">
        <v>12</v>
      </c>
      <c r="H1639" s="62"/>
      <c r="I1639" s="65">
        <v>911118990.29076946</v>
      </c>
      <c r="J1639" s="65">
        <v>575913167.99384606</v>
      </c>
      <c r="K1639" s="62"/>
      <c r="L1639" s="65">
        <v>1005302570.9724704</v>
      </c>
      <c r="M1639" s="65">
        <v>383716234.88100779</v>
      </c>
      <c r="N1639" s="65">
        <v>621586336.09146261</v>
      </c>
      <c r="P1639">
        <f t="shared" si="88"/>
        <v>367</v>
      </c>
      <c r="Q1639" t="str">
        <f t="shared" si="89"/>
        <v>S</v>
      </c>
      <c r="R1639" t="str">
        <f>IF(ISERROR(MATCH(P1639&amp;"."&amp;Q1639,R$5:R1638,0)),P1639&amp;"."&amp;Q1639,P1639&amp;"."&amp;Q1639&amp;COUNTIFS(P$5:P1638,P1639,Q$5:Q1638,Q1639))</f>
        <v>367.S1</v>
      </c>
      <c r="S1639" s="55">
        <f t="shared" si="90"/>
        <v>621586336.09146261</v>
      </c>
    </row>
    <row r="1640" spans="1:19" hidden="1">
      <c r="A1640" s="5">
        <v>1705</v>
      </c>
      <c r="B1640" s="59"/>
      <c r="C1640" s="60"/>
      <c r="D1640" s="63"/>
      <c r="E1640" s="63"/>
      <c r="F1640" s="60"/>
      <c r="G1640" s="61"/>
      <c r="H1640" s="62" t="s">
        <v>501</v>
      </c>
      <c r="I1640" s="65">
        <v>911118990.29076946</v>
      </c>
      <c r="J1640" s="65">
        <v>575913167.99384606</v>
      </c>
      <c r="K1640" s="62"/>
      <c r="L1640" s="65">
        <v>1005302570.9724704</v>
      </c>
      <c r="M1640" s="65">
        <v>383716234.88100779</v>
      </c>
      <c r="N1640" s="64">
        <v>621586336.09146261</v>
      </c>
      <c r="P1640">
        <f t="shared" si="88"/>
        <v>367</v>
      </c>
      <c r="Q1640" t="str">
        <f t="shared" si="89"/>
        <v>NA</v>
      </c>
      <c r="R1640" t="str">
        <f>IF(ISERROR(MATCH(P1640&amp;"."&amp;Q1640,R$5:R1639,0)),P1640&amp;"."&amp;Q1640,P1640&amp;"."&amp;Q1640&amp;COUNTIFS(P$5:P1639,P1640,Q$5:Q1639,Q1640))</f>
        <v>367.NA1</v>
      </c>
      <c r="S1640" s="55">
        <f t="shared" si="90"/>
        <v>621586336.09146261</v>
      </c>
    </row>
    <row r="1641" spans="1:19" hidden="1">
      <c r="A1641" s="5">
        <v>1706</v>
      </c>
      <c r="B1641" s="59"/>
      <c r="C1641" s="60"/>
      <c r="D1641" s="63"/>
      <c r="E1641" s="63"/>
      <c r="F1641" s="63"/>
      <c r="G1641" s="63"/>
      <c r="H1641" s="62"/>
      <c r="I1641" s="66"/>
      <c r="J1641" s="66"/>
      <c r="K1641" s="62"/>
      <c r="L1641" s="66"/>
      <c r="M1641" s="66"/>
      <c r="N1641" s="66"/>
      <c r="P1641">
        <f t="shared" si="88"/>
        <v>367</v>
      </c>
      <c r="Q1641" t="str">
        <f t="shared" si="89"/>
        <v>NA</v>
      </c>
      <c r="R1641" t="str">
        <f>IF(ISERROR(MATCH(P1641&amp;"."&amp;Q1641,R$5:R1640,0)),P1641&amp;"."&amp;Q1641,P1641&amp;"."&amp;Q1641&amp;COUNTIFS(P$5:P1640,P1641,Q$5:Q1640,Q1641))</f>
        <v>367.NA2</v>
      </c>
      <c r="S1641" s="55">
        <f t="shared" si="90"/>
        <v>0</v>
      </c>
    </row>
    <row r="1642" spans="1:19" hidden="1">
      <c r="A1642" s="5">
        <v>1707</v>
      </c>
      <c r="B1642" s="59"/>
      <c r="C1642" s="60">
        <v>368</v>
      </c>
      <c r="D1642" s="63" t="s">
        <v>551</v>
      </c>
      <c r="E1642" s="63"/>
      <c r="F1642" s="63"/>
      <c r="G1642" s="63"/>
      <c r="H1642" s="62"/>
      <c r="I1642" s="65"/>
      <c r="J1642" s="65"/>
      <c r="K1642" s="62"/>
      <c r="L1642" s="65"/>
      <c r="M1642" s="65"/>
      <c r="N1642" s="65"/>
      <c r="P1642">
        <f t="shared" si="88"/>
        <v>368</v>
      </c>
      <c r="Q1642" t="str">
        <f t="shared" si="89"/>
        <v>NA</v>
      </c>
      <c r="R1642" t="str">
        <f>IF(ISERROR(MATCH(P1642&amp;"."&amp;Q1642,R$5:R1641,0)),P1642&amp;"."&amp;Q1642,P1642&amp;"."&amp;Q1642&amp;COUNTIFS(P$5:P1641,P1642,Q$5:Q1641,Q1642))</f>
        <v>368.NA</v>
      </c>
      <c r="S1642" s="55">
        <f t="shared" si="90"/>
        <v>0</v>
      </c>
    </row>
    <row r="1643" spans="1:19" hidden="1">
      <c r="A1643" s="5">
        <v>1708</v>
      </c>
      <c r="B1643" s="59"/>
      <c r="C1643" s="60"/>
      <c r="D1643" s="61"/>
      <c r="E1643" s="63"/>
      <c r="F1643" s="63" t="s">
        <v>139</v>
      </c>
      <c r="G1643" s="63" t="s">
        <v>12</v>
      </c>
      <c r="H1643" s="62"/>
      <c r="I1643" s="65">
        <v>1401493597.9323072</v>
      </c>
      <c r="J1643" s="65">
        <v>558762103.09461498</v>
      </c>
      <c r="K1643" s="62"/>
      <c r="L1643" s="65">
        <v>1546367853.3943958</v>
      </c>
      <c r="M1643" s="65">
        <v>917350763.44491601</v>
      </c>
      <c r="N1643" s="65">
        <v>629017089.94947982</v>
      </c>
      <c r="P1643">
        <f t="shared" si="88"/>
        <v>368</v>
      </c>
      <c r="Q1643" t="str">
        <f t="shared" si="89"/>
        <v>S</v>
      </c>
      <c r="R1643" t="str">
        <f>IF(ISERROR(MATCH(P1643&amp;"."&amp;Q1643,R$5:R1642,0)),P1643&amp;"."&amp;Q1643,P1643&amp;"."&amp;Q1643&amp;COUNTIFS(P$5:P1642,P1643,Q$5:Q1642,Q1643))</f>
        <v>368.S1</v>
      </c>
      <c r="S1643" s="55">
        <f t="shared" si="90"/>
        <v>629017089.94947982</v>
      </c>
    </row>
    <row r="1644" spans="1:19" hidden="1">
      <c r="A1644" s="5">
        <v>1709</v>
      </c>
      <c r="B1644" s="59"/>
      <c r="C1644" s="60"/>
      <c r="D1644" s="63"/>
      <c r="E1644" s="63"/>
      <c r="F1644" s="60"/>
      <c r="G1644" s="61"/>
      <c r="H1644" s="62" t="s">
        <v>501</v>
      </c>
      <c r="I1644" s="65">
        <v>1401493597.9323072</v>
      </c>
      <c r="J1644" s="65">
        <v>558762103.09461498</v>
      </c>
      <c r="K1644" s="62"/>
      <c r="L1644" s="65">
        <v>1546367853.3943958</v>
      </c>
      <c r="M1644" s="65">
        <v>917350763.44491601</v>
      </c>
      <c r="N1644" s="64">
        <v>629017089.94947982</v>
      </c>
      <c r="P1644">
        <f t="shared" si="88"/>
        <v>368</v>
      </c>
      <c r="Q1644" t="str">
        <f t="shared" si="89"/>
        <v>NA</v>
      </c>
      <c r="R1644" t="str">
        <f>IF(ISERROR(MATCH(P1644&amp;"."&amp;Q1644,R$5:R1643,0)),P1644&amp;"."&amp;Q1644,P1644&amp;"."&amp;Q1644&amp;COUNTIFS(P$5:P1643,P1644,Q$5:Q1643,Q1644))</f>
        <v>368.NA1</v>
      </c>
      <c r="S1644" s="55">
        <f t="shared" si="90"/>
        <v>629017089.94947982</v>
      </c>
    </row>
    <row r="1645" spans="1:19" hidden="1">
      <c r="A1645" s="5">
        <v>1710</v>
      </c>
      <c r="B1645" s="59"/>
      <c r="C1645" s="60"/>
      <c r="D1645" s="63"/>
      <c r="E1645" s="63"/>
      <c r="F1645" s="63"/>
      <c r="G1645" s="63"/>
      <c r="H1645" s="62"/>
      <c r="I1645" s="66"/>
      <c r="J1645" s="66"/>
      <c r="K1645" s="62"/>
      <c r="L1645" s="66"/>
      <c r="M1645" s="66"/>
      <c r="N1645" s="66"/>
      <c r="P1645">
        <f t="shared" si="88"/>
        <v>368</v>
      </c>
      <c r="Q1645" t="str">
        <f t="shared" si="89"/>
        <v>NA</v>
      </c>
      <c r="R1645" t="str">
        <f>IF(ISERROR(MATCH(P1645&amp;"."&amp;Q1645,R$5:R1644,0)),P1645&amp;"."&amp;Q1645,P1645&amp;"."&amp;Q1645&amp;COUNTIFS(P$5:P1644,P1645,Q$5:Q1644,Q1645))</f>
        <v>368.NA2</v>
      </c>
      <c r="S1645" s="55">
        <f t="shared" si="90"/>
        <v>0</v>
      </c>
    </row>
    <row r="1646" spans="1:19" hidden="1">
      <c r="A1646" s="5">
        <v>1711</v>
      </c>
      <c r="B1646" s="59"/>
      <c r="C1646" s="60">
        <v>369</v>
      </c>
      <c r="D1646" s="63" t="s">
        <v>387</v>
      </c>
      <c r="E1646" s="63"/>
      <c r="F1646" s="63"/>
      <c r="G1646" s="63"/>
      <c r="H1646" s="62"/>
      <c r="I1646" s="65"/>
      <c r="J1646" s="65"/>
      <c r="K1646" s="62"/>
      <c r="L1646" s="65"/>
      <c r="M1646" s="65"/>
      <c r="N1646" s="65"/>
      <c r="P1646">
        <f t="shared" si="88"/>
        <v>369</v>
      </c>
      <c r="Q1646" t="str">
        <f t="shared" si="89"/>
        <v>NA</v>
      </c>
      <c r="R1646" t="str">
        <f>IF(ISERROR(MATCH(P1646&amp;"."&amp;Q1646,R$5:R1645,0)),P1646&amp;"."&amp;Q1646,P1646&amp;"."&amp;Q1646&amp;COUNTIFS(P$5:P1645,P1646,Q$5:Q1645,Q1646))</f>
        <v>369.NA</v>
      </c>
      <c r="S1646" s="55">
        <f t="shared" si="90"/>
        <v>0</v>
      </c>
    </row>
    <row r="1647" spans="1:19" hidden="1">
      <c r="A1647" s="5">
        <v>1712</v>
      </c>
      <c r="B1647" s="59"/>
      <c r="C1647" s="60"/>
      <c r="D1647" s="61"/>
      <c r="E1647" s="63"/>
      <c r="F1647" s="63" t="s">
        <v>139</v>
      </c>
      <c r="G1647" s="63" t="s">
        <v>12</v>
      </c>
      <c r="H1647" s="62"/>
      <c r="I1647" s="65">
        <v>839103922.24615395</v>
      </c>
      <c r="J1647" s="65">
        <v>334813450.19076902</v>
      </c>
      <c r="K1647" s="62"/>
      <c r="L1647" s="65">
        <v>925843209.65358841</v>
      </c>
      <c r="M1647" s="65">
        <v>548966609.75293648</v>
      </c>
      <c r="N1647" s="65">
        <v>376876599.90065193</v>
      </c>
      <c r="P1647">
        <f t="shared" si="88"/>
        <v>369</v>
      </c>
      <c r="Q1647" t="str">
        <f t="shared" si="89"/>
        <v>S</v>
      </c>
      <c r="R1647" t="str">
        <f>IF(ISERROR(MATCH(P1647&amp;"."&amp;Q1647,R$5:R1646,0)),P1647&amp;"."&amp;Q1647,P1647&amp;"."&amp;Q1647&amp;COUNTIFS(P$5:P1646,P1647,Q$5:Q1646,Q1647))</f>
        <v>369.S1</v>
      </c>
      <c r="S1647" s="55">
        <f t="shared" si="90"/>
        <v>376876599.90065193</v>
      </c>
    </row>
    <row r="1648" spans="1:19" hidden="1">
      <c r="A1648" s="5">
        <v>1713</v>
      </c>
      <c r="B1648" s="59"/>
      <c r="C1648" s="60"/>
      <c r="D1648" s="63"/>
      <c r="E1648" s="63"/>
      <c r="F1648" s="60"/>
      <c r="G1648" s="61"/>
      <c r="H1648" s="62" t="s">
        <v>501</v>
      </c>
      <c r="I1648" s="65">
        <v>839103922.24615395</v>
      </c>
      <c r="J1648" s="65">
        <v>334813450.19076902</v>
      </c>
      <c r="K1648" s="62"/>
      <c r="L1648" s="65">
        <v>925843209.65358841</v>
      </c>
      <c r="M1648" s="65">
        <v>548966609.75293648</v>
      </c>
      <c r="N1648" s="64">
        <v>376876599.90065193</v>
      </c>
      <c r="P1648">
        <f t="shared" si="88"/>
        <v>369</v>
      </c>
      <c r="Q1648" t="str">
        <f t="shared" si="89"/>
        <v>NA</v>
      </c>
      <c r="R1648" t="str">
        <f>IF(ISERROR(MATCH(P1648&amp;"."&amp;Q1648,R$5:R1647,0)),P1648&amp;"."&amp;Q1648,P1648&amp;"."&amp;Q1648&amp;COUNTIFS(P$5:P1647,P1648,Q$5:Q1647,Q1648))</f>
        <v>369.NA1</v>
      </c>
      <c r="S1648" s="55">
        <f t="shared" si="90"/>
        <v>376876599.90065193</v>
      </c>
    </row>
    <row r="1649" spans="1:19" hidden="1">
      <c r="A1649" s="5">
        <v>1714</v>
      </c>
      <c r="B1649" s="59"/>
      <c r="C1649" s="60"/>
      <c r="D1649" s="63"/>
      <c r="E1649" s="63"/>
      <c r="F1649" s="63"/>
      <c r="G1649" s="63"/>
      <c r="H1649" s="62"/>
      <c r="I1649" s="66"/>
      <c r="J1649" s="66"/>
      <c r="K1649" s="62"/>
      <c r="L1649" s="66"/>
      <c r="M1649" s="66"/>
      <c r="N1649" s="66"/>
      <c r="P1649">
        <f t="shared" si="88"/>
        <v>369</v>
      </c>
      <c r="Q1649" t="str">
        <f t="shared" si="89"/>
        <v>NA</v>
      </c>
      <c r="R1649" t="str">
        <f>IF(ISERROR(MATCH(P1649&amp;"."&amp;Q1649,R$5:R1648,0)),P1649&amp;"."&amp;Q1649,P1649&amp;"."&amp;Q1649&amp;COUNTIFS(P$5:P1648,P1649,Q$5:Q1648,Q1649))</f>
        <v>369.NA2</v>
      </c>
      <c r="S1649" s="55">
        <f t="shared" si="90"/>
        <v>0</v>
      </c>
    </row>
    <row r="1650" spans="1:19" hidden="1">
      <c r="A1650" s="5">
        <v>1715</v>
      </c>
      <c r="B1650" s="59"/>
      <c r="C1650" s="60">
        <v>370</v>
      </c>
      <c r="D1650" s="63" t="s">
        <v>388</v>
      </c>
      <c r="E1650" s="63"/>
      <c r="F1650" s="63"/>
      <c r="G1650" s="63"/>
      <c r="H1650" s="62"/>
      <c r="I1650" s="65"/>
      <c r="J1650" s="65"/>
      <c r="K1650" s="62"/>
      <c r="L1650" s="65"/>
      <c r="M1650" s="65"/>
      <c r="N1650" s="65"/>
      <c r="P1650">
        <f t="shared" si="88"/>
        <v>370</v>
      </c>
      <c r="Q1650" t="str">
        <f t="shared" si="89"/>
        <v>NA</v>
      </c>
      <c r="R1650" t="str">
        <f>IF(ISERROR(MATCH(P1650&amp;"."&amp;Q1650,R$5:R1649,0)),P1650&amp;"."&amp;Q1650,P1650&amp;"."&amp;Q1650&amp;COUNTIFS(P$5:P1649,P1650,Q$5:Q1649,Q1650))</f>
        <v>370.NA</v>
      </c>
      <c r="S1650" s="55">
        <f t="shared" si="90"/>
        <v>0</v>
      </c>
    </row>
    <row r="1651" spans="1:19" hidden="1">
      <c r="A1651" s="5">
        <v>1716</v>
      </c>
      <c r="B1651" s="59"/>
      <c r="C1651" s="60"/>
      <c r="D1651" s="61"/>
      <c r="E1651" s="63"/>
      <c r="F1651" s="63" t="s">
        <v>139</v>
      </c>
      <c r="G1651" s="63" t="s">
        <v>12</v>
      </c>
      <c r="H1651" s="62"/>
      <c r="I1651" s="65">
        <v>236587440.92846158</v>
      </c>
      <c r="J1651" s="65">
        <v>91938158.683846205</v>
      </c>
      <c r="K1651" s="62"/>
      <c r="L1651" s="65">
        <v>261043799.06435314</v>
      </c>
      <c r="M1651" s="65">
        <v>157245830.54835528</v>
      </c>
      <c r="N1651" s="65">
        <v>103797968.51599787</v>
      </c>
      <c r="P1651">
        <f t="shared" si="88"/>
        <v>370</v>
      </c>
      <c r="Q1651" t="str">
        <f t="shared" si="89"/>
        <v>S</v>
      </c>
      <c r="R1651" t="str">
        <f>IF(ISERROR(MATCH(P1651&amp;"."&amp;Q1651,R$5:R1650,0)),P1651&amp;"."&amp;Q1651,P1651&amp;"."&amp;Q1651&amp;COUNTIFS(P$5:P1650,P1651,Q$5:Q1650,Q1651))</f>
        <v>370.S1</v>
      </c>
      <c r="S1651" s="55">
        <f t="shared" si="90"/>
        <v>103797968.51599787</v>
      </c>
    </row>
    <row r="1652" spans="1:19" hidden="1">
      <c r="A1652" s="5">
        <v>1717</v>
      </c>
      <c r="B1652" s="59"/>
      <c r="C1652" s="60"/>
      <c r="D1652" s="63"/>
      <c r="E1652" s="63"/>
      <c r="F1652" s="60"/>
      <c r="G1652" s="61"/>
      <c r="H1652" s="62" t="s">
        <v>501</v>
      </c>
      <c r="I1652" s="65">
        <v>236587440.92846158</v>
      </c>
      <c r="J1652" s="65">
        <v>91938158.683846205</v>
      </c>
      <c r="K1652" s="62"/>
      <c r="L1652" s="65">
        <v>261043799.06435314</v>
      </c>
      <c r="M1652" s="65">
        <v>157245830.54835528</v>
      </c>
      <c r="N1652" s="64">
        <v>103797968.51599787</v>
      </c>
      <c r="P1652">
        <f t="shared" si="88"/>
        <v>370</v>
      </c>
      <c r="Q1652" t="str">
        <f t="shared" si="89"/>
        <v>NA</v>
      </c>
      <c r="R1652" t="str">
        <f>IF(ISERROR(MATCH(P1652&amp;"."&amp;Q1652,R$5:R1651,0)),P1652&amp;"."&amp;Q1652,P1652&amp;"."&amp;Q1652&amp;COUNTIFS(P$5:P1651,P1652,Q$5:Q1651,Q1652))</f>
        <v>370.NA1</v>
      </c>
      <c r="S1652" s="55">
        <f t="shared" si="90"/>
        <v>103797968.51599787</v>
      </c>
    </row>
    <row r="1653" spans="1:19" hidden="1">
      <c r="A1653" s="5">
        <v>1718</v>
      </c>
      <c r="B1653" s="59"/>
      <c r="C1653" s="60"/>
      <c r="D1653" s="63"/>
      <c r="E1653" s="63"/>
      <c r="F1653" s="63"/>
      <c r="G1653" s="63"/>
      <c r="H1653" s="62"/>
      <c r="I1653" s="66"/>
      <c r="J1653" s="66"/>
      <c r="K1653" s="62"/>
      <c r="L1653" s="66"/>
      <c r="M1653" s="66"/>
      <c r="N1653" s="66"/>
      <c r="P1653">
        <f t="shared" si="88"/>
        <v>370</v>
      </c>
      <c r="Q1653" t="str">
        <f t="shared" si="89"/>
        <v>NA</v>
      </c>
      <c r="R1653" t="str">
        <f>IF(ISERROR(MATCH(P1653&amp;"."&amp;Q1653,R$5:R1652,0)),P1653&amp;"."&amp;Q1653,P1653&amp;"."&amp;Q1653&amp;COUNTIFS(P$5:P1652,P1653,Q$5:Q1652,Q1653))</f>
        <v>370.NA2</v>
      </c>
      <c r="S1653" s="55">
        <f t="shared" si="90"/>
        <v>0</v>
      </c>
    </row>
    <row r="1654" spans="1:19" hidden="1">
      <c r="A1654" s="5">
        <v>1719</v>
      </c>
      <c r="B1654" s="59"/>
      <c r="C1654" s="60">
        <v>371</v>
      </c>
      <c r="D1654" s="63" t="s">
        <v>552</v>
      </c>
      <c r="E1654" s="63"/>
      <c r="F1654" s="63"/>
      <c r="G1654" s="63"/>
      <c r="H1654" s="62"/>
      <c r="I1654" s="65"/>
      <c r="J1654" s="65"/>
      <c r="K1654" s="62"/>
      <c r="L1654" s="65"/>
      <c r="M1654" s="65"/>
      <c r="N1654" s="65"/>
      <c r="P1654">
        <f t="shared" si="88"/>
        <v>371</v>
      </c>
      <c r="Q1654" t="str">
        <f t="shared" si="89"/>
        <v>NA</v>
      </c>
      <c r="R1654" t="str">
        <f>IF(ISERROR(MATCH(P1654&amp;"."&amp;Q1654,R$5:R1653,0)),P1654&amp;"."&amp;Q1654,P1654&amp;"."&amp;Q1654&amp;COUNTIFS(P$5:P1653,P1654,Q$5:Q1653,Q1654))</f>
        <v>371.NA</v>
      </c>
      <c r="S1654" s="55">
        <f t="shared" si="90"/>
        <v>0</v>
      </c>
    </row>
    <row r="1655" spans="1:19" hidden="1">
      <c r="A1655" s="5">
        <v>1720</v>
      </c>
      <c r="B1655" s="59"/>
      <c r="C1655" s="60"/>
      <c r="D1655" s="63"/>
      <c r="E1655" s="63"/>
      <c r="F1655" s="63" t="s">
        <v>139</v>
      </c>
      <c r="G1655" s="63" t="s">
        <v>12</v>
      </c>
      <c r="H1655" s="62" t="s">
        <v>141</v>
      </c>
      <c r="I1655" s="65">
        <v>8803800.7761538513</v>
      </c>
      <c r="J1655" s="65">
        <v>4229239.1761538498</v>
      </c>
      <c r="K1655" s="62"/>
      <c r="L1655" s="65">
        <v>9713861.3604929969</v>
      </c>
      <c r="M1655" s="65">
        <v>5043299.5063661207</v>
      </c>
      <c r="N1655" s="65">
        <v>4670561.8541268762</v>
      </c>
      <c r="P1655">
        <f t="shared" si="88"/>
        <v>371</v>
      </c>
      <c r="Q1655" t="str">
        <f t="shared" si="89"/>
        <v>S</v>
      </c>
      <c r="R1655" t="str">
        <f>IF(ISERROR(MATCH(P1655&amp;"."&amp;Q1655,R$5:R1654,0)),P1655&amp;"."&amp;Q1655,P1655&amp;"."&amp;Q1655&amp;COUNTIFS(P$5:P1654,P1655,Q$5:Q1654,Q1655))</f>
        <v>371.S1</v>
      </c>
      <c r="S1655" s="55">
        <f t="shared" si="90"/>
        <v>4670561.8541268762</v>
      </c>
    </row>
    <row r="1656" spans="1:19" ht="15.75" hidden="1" thickBot="1">
      <c r="A1656" s="5">
        <v>1721</v>
      </c>
      <c r="B1656" s="59"/>
      <c r="C1656" s="45"/>
      <c r="D1656" s="63"/>
      <c r="E1656" s="63"/>
      <c r="F1656" s="63"/>
      <c r="G1656" s="63"/>
      <c r="H1656" s="41" t="s">
        <v>501</v>
      </c>
      <c r="I1656" s="68">
        <v>8803800.7761538513</v>
      </c>
      <c r="J1656" s="68">
        <v>4229239.1761538498</v>
      </c>
      <c r="K1656" s="41"/>
      <c r="L1656" s="68">
        <v>9713861.3604929969</v>
      </c>
      <c r="M1656" s="68">
        <v>5043299.5063661207</v>
      </c>
      <c r="N1656" s="68">
        <v>4670561.8541268762</v>
      </c>
      <c r="P1656">
        <f t="shared" si="88"/>
        <v>371</v>
      </c>
      <c r="Q1656" t="str">
        <f t="shared" si="89"/>
        <v>NA</v>
      </c>
      <c r="R1656" t="str">
        <f>IF(ISERROR(MATCH(P1656&amp;"."&amp;Q1656,R$5:R1655,0)),P1656&amp;"."&amp;Q1656,P1656&amp;"."&amp;Q1656&amp;COUNTIFS(P$5:P1655,P1656,Q$5:Q1655,Q1656))</f>
        <v>371.NA1</v>
      </c>
      <c r="S1656" s="55">
        <f t="shared" si="90"/>
        <v>4670561.8541268762</v>
      </c>
    </row>
    <row r="1657" spans="1:19" hidden="1">
      <c r="A1657" s="5">
        <v>1722</v>
      </c>
      <c r="B1657" s="59"/>
      <c r="C1657" s="60"/>
      <c r="D1657" s="63"/>
      <c r="E1657" s="63"/>
      <c r="F1657" s="63"/>
      <c r="G1657" s="63"/>
      <c r="H1657" s="62"/>
      <c r="I1657" s="69"/>
      <c r="J1657" s="69"/>
      <c r="K1657" s="62"/>
      <c r="L1657" s="69"/>
      <c r="M1657" s="65"/>
      <c r="N1657" s="65"/>
      <c r="P1657">
        <f t="shared" si="88"/>
        <v>371</v>
      </c>
      <c r="Q1657" t="str">
        <f t="shared" si="89"/>
        <v>NA</v>
      </c>
      <c r="R1657" t="str">
        <f>IF(ISERROR(MATCH(P1657&amp;"."&amp;Q1657,R$5:R1656,0)),P1657&amp;"."&amp;Q1657,P1657&amp;"."&amp;Q1657&amp;COUNTIFS(P$5:P1656,P1657,Q$5:Q1656,Q1657))</f>
        <v>371.NA2</v>
      </c>
      <c r="S1657" s="55">
        <f t="shared" si="90"/>
        <v>0</v>
      </c>
    </row>
    <row r="1658" spans="1:19" hidden="1">
      <c r="A1658" s="5">
        <v>1723</v>
      </c>
      <c r="B1658" s="59"/>
      <c r="C1658" s="60">
        <v>372</v>
      </c>
      <c r="D1658" s="63" t="s">
        <v>390</v>
      </c>
      <c r="E1658" s="63"/>
      <c r="F1658" s="63"/>
      <c r="G1658" s="63"/>
      <c r="H1658" s="62"/>
      <c r="I1658" s="65"/>
      <c r="J1658" s="65"/>
      <c r="K1658" s="62"/>
      <c r="L1658" s="65"/>
      <c r="M1658" s="65"/>
      <c r="N1658" s="65"/>
      <c r="P1658">
        <f t="shared" si="88"/>
        <v>372</v>
      </c>
      <c r="Q1658" t="str">
        <f t="shared" si="89"/>
        <v>NA</v>
      </c>
      <c r="R1658" t="str">
        <f>IF(ISERROR(MATCH(P1658&amp;"."&amp;Q1658,R$5:R1657,0)),P1658&amp;"."&amp;Q1658,P1658&amp;"."&amp;Q1658&amp;COUNTIFS(P$5:P1657,P1658,Q$5:Q1657,Q1658))</f>
        <v>372.NA</v>
      </c>
      <c r="S1658" s="55">
        <f t="shared" si="90"/>
        <v>0</v>
      </c>
    </row>
    <row r="1659" spans="1:19" hidden="1">
      <c r="A1659" s="5">
        <v>1724</v>
      </c>
      <c r="B1659" s="59"/>
      <c r="C1659" s="60"/>
      <c r="D1659" s="63"/>
      <c r="E1659" s="60"/>
      <c r="F1659" s="63" t="s">
        <v>139</v>
      </c>
      <c r="G1659" s="63" t="s">
        <v>12</v>
      </c>
      <c r="H1659" s="62"/>
      <c r="I1659" s="65">
        <v>0</v>
      </c>
      <c r="J1659" s="65">
        <v>0</v>
      </c>
      <c r="K1659" s="62"/>
      <c r="L1659" s="65">
        <v>0</v>
      </c>
      <c r="M1659" s="65">
        <v>0</v>
      </c>
      <c r="N1659" s="64">
        <v>0</v>
      </c>
      <c r="P1659">
        <f t="shared" si="88"/>
        <v>372</v>
      </c>
      <c r="Q1659" t="str">
        <f t="shared" si="89"/>
        <v>S</v>
      </c>
      <c r="R1659" t="str">
        <f>IF(ISERROR(MATCH(P1659&amp;"."&amp;Q1659,R$5:R1658,0)),P1659&amp;"."&amp;Q1659,P1659&amp;"."&amp;Q1659&amp;COUNTIFS(P$5:P1658,P1659,Q$5:Q1658,Q1659))</f>
        <v>372.S1</v>
      </c>
      <c r="S1659" s="55">
        <f t="shared" si="90"/>
        <v>0</v>
      </c>
    </row>
    <row r="1660" spans="1:19" hidden="1">
      <c r="A1660" s="5">
        <v>1725</v>
      </c>
      <c r="B1660" s="59"/>
      <c r="C1660" s="60"/>
      <c r="D1660" s="63"/>
      <c r="E1660" s="63"/>
      <c r="F1660" s="63"/>
      <c r="G1660" s="63"/>
      <c r="H1660" s="62" t="s">
        <v>501</v>
      </c>
      <c r="I1660" s="65">
        <v>0</v>
      </c>
      <c r="J1660" s="65">
        <v>0</v>
      </c>
      <c r="K1660" s="62"/>
      <c r="L1660" s="65">
        <v>0</v>
      </c>
      <c r="M1660" s="65">
        <v>0</v>
      </c>
      <c r="N1660" s="65">
        <v>0</v>
      </c>
      <c r="P1660">
        <f t="shared" si="88"/>
        <v>372</v>
      </c>
      <c r="Q1660" t="str">
        <f t="shared" si="89"/>
        <v>NA</v>
      </c>
      <c r="R1660" t="str">
        <f>IF(ISERROR(MATCH(P1660&amp;"."&amp;Q1660,R$5:R1659,0)),P1660&amp;"."&amp;Q1660,P1660&amp;"."&amp;Q1660&amp;COUNTIFS(P$5:P1659,P1660,Q$5:Q1659,Q1660))</f>
        <v>372.NA1</v>
      </c>
      <c r="S1660" s="55">
        <f t="shared" si="90"/>
        <v>0</v>
      </c>
    </row>
    <row r="1661" spans="1:19" ht="15.75" hidden="1" thickBot="1">
      <c r="A1661" s="5">
        <v>1726</v>
      </c>
      <c r="B1661" s="59"/>
      <c r="C1661" s="60"/>
      <c r="D1661" s="63"/>
      <c r="E1661" s="63"/>
      <c r="F1661" s="63"/>
      <c r="G1661" s="63"/>
      <c r="H1661" s="62"/>
      <c r="I1661" s="81"/>
      <c r="J1661" s="81"/>
      <c r="K1661" s="62"/>
      <c r="L1661" s="81"/>
      <c r="M1661" s="81"/>
      <c r="N1661" s="81"/>
      <c r="P1661">
        <f t="shared" si="88"/>
        <v>372</v>
      </c>
      <c r="Q1661" t="str">
        <f t="shared" si="89"/>
        <v>NA</v>
      </c>
      <c r="R1661" t="str">
        <f>IF(ISERROR(MATCH(P1661&amp;"."&amp;Q1661,R$5:R1660,0)),P1661&amp;"."&amp;Q1661,P1661&amp;"."&amp;Q1661&amp;COUNTIFS(P$5:P1660,P1661,Q$5:Q1660,Q1661))</f>
        <v>372.NA2</v>
      </c>
      <c r="S1661" s="55">
        <f t="shared" si="90"/>
        <v>0</v>
      </c>
    </row>
    <row r="1662" spans="1:19" hidden="1">
      <c r="A1662" s="5">
        <v>1727</v>
      </c>
      <c r="B1662" s="59"/>
      <c r="C1662" s="60">
        <v>373</v>
      </c>
      <c r="D1662" s="61" t="s">
        <v>553</v>
      </c>
      <c r="E1662" s="63"/>
      <c r="F1662" s="63"/>
      <c r="G1662" s="63"/>
      <c r="H1662" s="62"/>
      <c r="I1662" s="65"/>
      <c r="J1662" s="65"/>
      <c r="K1662" s="62"/>
      <c r="L1662" s="65"/>
      <c r="M1662" s="65"/>
      <c r="N1662" s="65"/>
      <c r="P1662">
        <f t="shared" si="88"/>
        <v>373</v>
      </c>
      <c r="Q1662" t="str">
        <f t="shared" si="89"/>
        <v>NA</v>
      </c>
      <c r="R1662" t="str">
        <f>IF(ISERROR(MATCH(P1662&amp;"."&amp;Q1662,R$5:R1661,0)),P1662&amp;"."&amp;Q1662,P1662&amp;"."&amp;Q1662&amp;COUNTIFS(P$5:P1661,P1662,Q$5:Q1661,Q1662))</f>
        <v>373.NA2</v>
      </c>
      <c r="S1662" s="55">
        <f t="shared" si="90"/>
        <v>0</v>
      </c>
    </row>
    <row r="1663" spans="1:19" hidden="1">
      <c r="A1663" s="5">
        <v>1728</v>
      </c>
      <c r="B1663" s="59"/>
      <c r="C1663" s="60"/>
      <c r="D1663" s="63"/>
      <c r="E1663" s="63"/>
      <c r="F1663" s="60" t="s">
        <v>139</v>
      </c>
      <c r="G1663" s="61" t="s">
        <v>12</v>
      </c>
      <c r="H1663" s="62"/>
      <c r="I1663" s="65">
        <v>62644883.254615344</v>
      </c>
      <c r="J1663" s="65">
        <v>21547099.4346154</v>
      </c>
      <c r="K1663" s="62"/>
      <c r="L1663" s="65">
        <v>69120568.076445132</v>
      </c>
      <c r="M1663" s="65">
        <v>44433165.000007376</v>
      </c>
      <c r="N1663" s="64">
        <v>24687403.07643776</v>
      </c>
      <c r="P1663">
        <f t="shared" si="88"/>
        <v>373</v>
      </c>
      <c r="Q1663" t="str">
        <f t="shared" si="89"/>
        <v>S</v>
      </c>
      <c r="R1663" t="str">
        <f>IF(ISERROR(MATCH(P1663&amp;"."&amp;Q1663,R$5:R1662,0)),P1663&amp;"."&amp;Q1663,P1663&amp;"."&amp;Q1663&amp;COUNTIFS(P$5:P1662,P1663,Q$5:Q1662,Q1663))</f>
        <v>373.S1</v>
      </c>
      <c r="S1663" s="55">
        <f t="shared" si="90"/>
        <v>24687403.07643776</v>
      </c>
    </row>
    <row r="1664" spans="1:19" hidden="1">
      <c r="A1664" s="5">
        <v>1729</v>
      </c>
      <c r="B1664" s="59"/>
      <c r="C1664" s="60"/>
      <c r="D1664" s="63"/>
      <c r="E1664" s="63"/>
      <c r="F1664" s="60"/>
      <c r="G1664" s="61"/>
      <c r="H1664" s="62" t="s">
        <v>501</v>
      </c>
      <c r="I1664" s="65">
        <v>62644883.254615344</v>
      </c>
      <c r="J1664" s="65">
        <v>21547099.4346154</v>
      </c>
      <c r="K1664" s="62"/>
      <c r="L1664" s="65">
        <v>69120568.076445132</v>
      </c>
      <c r="M1664" s="65">
        <v>44433165.000007376</v>
      </c>
      <c r="N1664" s="64">
        <v>24687403.07643776</v>
      </c>
      <c r="P1664">
        <f t="shared" si="88"/>
        <v>373</v>
      </c>
      <c r="Q1664" t="str">
        <f t="shared" si="89"/>
        <v>NA</v>
      </c>
      <c r="R1664" t="str">
        <f>IF(ISERROR(MATCH(P1664&amp;"."&amp;Q1664,R$5:R1663,0)),P1664&amp;"."&amp;Q1664,P1664&amp;"."&amp;Q1664&amp;COUNTIFS(P$5:P1663,P1664,Q$5:Q1663,Q1664))</f>
        <v>373.NA3</v>
      </c>
      <c r="S1664" s="55">
        <f t="shared" si="90"/>
        <v>24687403.07643776</v>
      </c>
    </row>
    <row r="1665" spans="1:19" hidden="1">
      <c r="A1665" s="5">
        <v>1730</v>
      </c>
      <c r="B1665" s="59"/>
      <c r="C1665" s="60"/>
      <c r="D1665" s="63"/>
      <c r="E1665" s="63"/>
      <c r="F1665" s="60"/>
      <c r="G1665" s="61"/>
      <c r="H1665" s="62"/>
      <c r="I1665" s="65"/>
      <c r="J1665" s="65"/>
      <c r="K1665" s="62"/>
      <c r="L1665" s="65"/>
      <c r="M1665" s="65"/>
      <c r="N1665" s="64"/>
      <c r="P1665">
        <f t="shared" si="88"/>
        <v>373</v>
      </c>
      <c r="Q1665" t="str">
        <f t="shared" si="89"/>
        <v>NA</v>
      </c>
      <c r="R1665" t="str">
        <f>IF(ISERROR(MATCH(P1665&amp;"."&amp;Q1665,R$5:R1664,0)),P1665&amp;"."&amp;Q1665,P1665&amp;"."&amp;Q1665&amp;COUNTIFS(P$5:P1664,P1665,Q$5:Q1664,Q1665))</f>
        <v>373.NA4</v>
      </c>
      <c r="S1665" s="55">
        <f t="shared" si="90"/>
        <v>0</v>
      </c>
    </row>
    <row r="1666" spans="1:19" hidden="1">
      <c r="A1666" s="5">
        <v>1731</v>
      </c>
      <c r="B1666" s="59"/>
      <c r="C1666" s="60" t="s">
        <v>246</v>
      </c>
      <c r="D1666" s="63" t="s">
        <v>554</v>
      </c>
      <c r="E1666" s="63"/>
      <c r="F1666" s="60"/>
      <c r="G1666" s="61"/>
      <c r="H1666" s="62"/>
      <c r="I1666" s="65"/>
      <c r="J1666" s="65"/>
      <c r="K1666" s="62"/>
      <c r="L1666" s="65"/>
      <c r="M1666" s="65"/>
      <c r="N1666" s="64"/>
      <c r="P1666" t="str">
        <f t="shared" si="88"/>
        <v>DP</v>
      </c>
      <c r="Q1666" t="str">
        <f t="shared" si="89"/>
        <v>NA</v>
      </c>
      <c r="R1666" t="str">
        <f>IF(ISERROR(MATCH(P1666&amp;"."&amp;Q1666,R$5:R1665,0)),P1666&amp;"."&amp;Q1666,P1666&amp;"."&amp;Q1666&amp;COUNTIFS(P$5:P1665,P1666,Q$5:Q1665,Q1666))</f>
        <v>DP.NA</v>
      </c>
      <c r="S1666" s="55">
        <f t="shared" si="90"/>
        <v>0</v>
      </c>
    </row>
    <row r="1667" spans="1:19" hidden="1">
      <c r="A1667" s="5">
        <v>1732</v>
      </c>
      <c r="B1667" s="59"/>
      <c r="C1667" s="60"/>
      <c r="D1667" s="63"/>
      <c r="E1667" s="63"/>
      <c r="F1667" s="60" t="s">
        <v>139</v>
      </c>
      <c r="G1667" s="61" t="s">
        <v>12</v>
      </c>
      <c r="H1667" s="62"/>
      <c r="I1667" s="65">
        <v>66957821.664615363</v>
      </c>
      <c r="J1667" s="65">
        <v>27861498.576923098</v>
      </c>
      <c r="K1667" s="62"/>
      <c r="L1667" s="65">
        <v>66957821.664615363</v>
      </c>
      <c r="M1667" s="65">
        <v>39096323.087692261</v>
      </c>
      <c r="N1667" s="64">
        <v>27861498.576923098</v>
      </c>
      <c r="P1667" t="str">
        <f t="shared" si="88"/>
        <v>DP</v>
      </c>
      <c r="Q1667" t="str">
        <f t="shared" si="89"/>
        <v>S</v>
      </c>
      <c r="R1667" t="str">
        <f>IF(ISERROR(MATCH(P1667&amp;"."&amp;Q1667,R$5:R1666,0)),P1667&amp;"."&amp;Q1667,P1667&amp;"."&amp;Q1667&amp;COUNTIFS(P$5:P1666,P1667,Q$5:Q1666,Q1667))</f>
        <v>DP.S</v>
      </c>
      <c r="S1667" s="55">
        <f t="shared" si="90"/>
        <v>27861498.576923098</v>
      </c>
    </row>
    <row r="1668" spans="1:19" hidden="1">
      <c r="A1668" s="5">
        <v>1733</v>
      </c>
      <c r="B1668" s="59"/>
      <c r="C1668" s="60"/>
      <c r="D1668" s="63"/>
      <c r="E1668" s="63"/>
      <c r="F1668" s="63"/>
      <c r="G1668" s="63"/>
      <c r="H1668" s="62" t="s">
        <v>501</v>
      </c>
      <c r="I1668" s="66">
        <v>66957821.664615363</v>
      </c>
      <c r="J1668" s="66">
        <v>27861498.576923098</v>
      </c>
      <c r="K1668" s="62"/>
      <c r="L1668" s="66">
        <v>66957821.664615363</v>
      </c>
      <c r="M1668" s="66">
        <v>39096323.087692261</v>
      </c>
      <c r="N1668" s="66">
        <v>27861498.576923098</v>
      </c>
      <c r="P1668" t="str">
        <f t="shared" si="88"/>
        <v>DP</v>
      </c>
      <c r="Q1668" t="str">
        <f t="shared" si="89"/>
        <v>NA</v>
      </c>
      <c r="R1668" t="str">
        <f>IF(ISERROR(MATCH(P1668&amp;"."&amp;Q1668,R$5:R1667,0)),P1668&amp;"."&amp;Q1668,P1668&amp;"."&amp;Q1668&amp;COUNTIFS(P$5:P1667,P1668,Q$5:Q1667,Q1668))</f>
        <v>DP.NA1</v>
      </c>
      <c r="S1668" s="55">
        <f t="shared" si="90"/>
        <v>27861498.576923098</v>
      </c>
    </row>
    <row r="1669" spans="1:19" hidden="1">
      <c r="A1669" s="5">
        <v>1734</v>
      </c>
      <c r="B1669" s="59"/>
      <c r="C1669" s="60"/>
      <c r="D1669" s="63"/>
      <c r="E1669" s="63"/>
      <c r="F1669" s="63"/>
      <c r="G1669" s="63"/>
      <c r="H1669" s="62"/>
      <c r="I1669" s="65"/>
      <c r="J1669" s="65"/>
      <c r="K1669" s="62"/>
      <c r="L1669" s="65"/>
      <c r="M1669" s="65"/>
      <c r="N1669" s="65"/>
      <c r="P1669" t="str">
        <f t="shared" si="88"/>
        <v>DP</v>
      </c>
      <c r="Q1669" t="str">
        <f t="shared" si="89"/>
        <v>NA</v>
      </c>
      <c r="R1669" t="str">
        <f>IF(ISERROR(MATCH(P1669&amp;"."&amp;Q1669,R$5:R1668,0)),P1669&amp;"."&amp;Q1669,P1669&amp;"."&amp;Q1669&amp;COUNTIFS(P$5:P1668,P1669,Q$5:Q1668,Q1669))</f>
        <v>DP.NA2</v>
      </c>
      <c r="S1669" s="55">
        <f t="shared" si="90"/>
        <v>0</v>
      </c>
    </row>
    <row r="1670" spans="1:19" hidden="1">
      <c r="A1670" s="5">
        <v>1735</v>
      </c>
      <c r="B1670" s="59"/>
      <c r="C1670" s="60" t="s">
        <v>247</v>
      </c>
      <c r="D1670" s="61" t="s">
        <v>555</v>
      </c>
      <c r="E1670" s="63"/>
      <c r="F1670" s="63"/>
      <c r="G1670" s="63"/>
      <c r="H1670" s="62"/>
      <c r="I1670" s="65"/>
      <c r="J1670" s="65"/>
      <c r="K1670" s="62"/>
      <c r="L1670" s="65"/>
      <c r="M1670" s="65"/>
      <c r="N1670" s="65"/>
      <c r="P1670" t="str">
        <f t="shared" si="88"/>
        <v>DS0</v>
      </c>
      <c r="Q1670" t="str">
        <f t="shared" si="89"/>
        <v>NA</v>
      </c>
      <c r="R1670" t="str">
        <f>IF(ISERROR(MATCH(P1670&amp;"."&amp;Q1670,R$5:R1669,0)),P1670&amp;"."&amp;Q1670,P1670&amp;"."&amp;Q1670&amp;COUNTIFS(P$5:P1669,P1670,Q$5:Q1669,Q1670))</f>
        <v>DS0.NA</v>
      </c>
      <c r="S1670" s="55">
        <f t="shared" si="90"/>
        <v>0</v>
      </c>
    </row>
    <row r="1671" spans="1:19" hidden="1">
      <c r="A1671" s="5">
        <v>1736</v>
      </c>
      <c r="B1671" s="59"/>
      <c r="C1671" s="60"/>
      <c r="D1671" s="63"/>
      <c r="E1671" s="63"/>
      <c r="F1671" s="60" t="s">
        <v>139</v>
      </c>
      <c r="G1671" s="61" t="s">
        <v>12</v>
      </c>
      <c r="H1671" s="62"/>
      <c r="I1671" s="65">
        <v>0</v>
      </c>
      <c r="J1671" s="65">
        <v>0</v>
      </c>
      <c r="K1671" s="62"/>
      <c r="L1671" s="65">
        <v>0</v>
      </c>
      <c r="M1671" s="65">
        <v>0</v>
      </c>
      <c r="N1671" s="64">
        <v>0</v>
      </c>
      <c r="P1671" t="str">
        <f t="shared" ref="P1671:P1734" si="91">IF(OR(C1671="",C1671=" ",C1671="  ",C1671="   "),P1670,C1671)</f>
        <v>DS0</v>
      </c>
      <c r="Q1671" t="str">
        <f t="shared" ref="Q1671:Q1734" si="92">IF(G1671="","NA",G1671)</f>
        <v>S</v>
      </c>
      <c r="R1671" t="str">
        <f>IF(ISERROR(MATCH(P1671&amp;"."&amp;Q1671,R$5:R1670,0)),P1671&amp;"."&amp;Q1671,P1671&amp;"."&amp;Q1671&amp;COUNTIFS(P$5:P1670,P1671,Q$5:Q1670,Q1671))</f>
        <v>DS0.S</v>
      </c>
      <c r="S1671" s="55">
        <f t="shared" si="90"/>
        <v>0</v>
      </c>
    </row>
    <row r="1672" spans="1:19" hidden="1">
      <c r="A1672" s="5">
        <v>1737</v>
      </c>
      <c r="B1672" s="59"/>
      <c r="C1672" s="60"/>
      <c r="D1672" s="63"/>
      <c r="E1672" s="63"/>
      <c r="F1672" s="60"/>
      <c r="G1672" s="61"/>
      <c r="H1672" s="62" t="s">
        <v>501</v>
      </c>
      <c r="I1672" s="65">
        <v>0</v>
      </c>
      <c r="J1672" s="65">
        <v>0</v>
      </c>
      <c r="K1672" s="62"/>
      <c r="L1672" s="65">
        <v>0</v>
      </c>
      <c r="M1672" s="65">
        <v>0</v>
      </c>
      <c r="N1672" s="64">
        <v>0</v>
      </c>
      <c r="P1672" t="str">
        <f t="shared" si="91"/>
        <v>DS0</v>
      </c>
      <c r="Q1672" t="str">
        <f t="shared" si="92"/>
        <v>NA</v>
      </c>
      <c r="R1672" t="str">
        <f>IF(ISERROR(MATCH(P1672&amp;"."&amp;Q1672,R$5:R1671,0)),P1672&amp;"."&amp;Q1672,P1672&amp;"."&amp;Q1672&amp;COUNTIFS(P$5:P1671,P1672,Q$5:Q1671,Q1672))</f>
        <v>DS0.NA1</v>
      </c>
      <c r="S1672" s="55">
        <f t="shared" ref="S1672:S1735" si="93">N1672</f>
        <v>0</v>
      </c>
    </row>
    <row r="1673" spans="1:19" hidden="1">
      <c r="A1673" s="5">
        <v>1738</v>
      </c>
      <c r="B1673" s="59"/>
      <c r="C1673" s="60"/>
      <c r="D1673" s="63"/>
      <c r="E1673" s="63"/>
      <c r="F1673" s="60"/>
      <c r="G1673" s="61"/>
      <c r="H1673" s="62"/>
      <c r="I1673" s="65"/>
      <c r="J1673" s="65"/>
      <c r="K1673" s="62"/>
      <c r="L1673" s="65"/>
      <c r="M1673" s="65"/>
      <c r="N1673" s="64"/>
      <c r="P1673" t="str">
        <f t="shared" si="91"/>
        <v>DS0</v>
      </c>
      <c r="Q1673" t="str">
        <f t="shared" si="92"/>
        <v>NA</v>
      </c>
      <c r="R1673" t="str">
        <f>IF(ISERROR(MATCH(P1673&amp;"."&amp;Q1673,R$5:R1672,0)),P1673&amp;"."&amp;Q1673,P1673&amp;"."&amp;Q1673&amp;COUNTIFS(P$5:P1672,P1673,Q$5:Q1672,Q1673))</f>
        <v>DS0.NA2</v>
      </c>
      <c r="S1673" s="55">
        <f t="shared" si="93"/>
        <v>0</v>
      </c>
    </row>
    <row r="1674" spans="1:19" hidden="1">
      <c r="A1674" s="5">
        <v>1739</v>
      </c>
      <c r="B1674" s="59"/>
      <c r="C1674" s="60"/>
      <c r="D1674" s="63"/>
      <c r="E1674" s="63"/>
      <c r="F1674" s="60"/>
      <c r="G1674" s="61"/>
      <c r="H1674" s="62"/>
      <c r="I1674" s="65"/>
      <c r="J1674" s="65"/>
      <c r="K1674" s="62"/>
      <c r="L1674" s="65"/>
      <c r="M1674" s="65"/>
      <c r="N1674" s="64"/>
      <c r="P1674" t="str">
        <f t="shared" si="91"/>
        <v>DS0</v>
      </c>
      <c r="Q1674" t="str">
        <f t="shared" si="92"/>
        <v>NA</v>
      </c>
      <c r="R1674" t="str">
        <f>IF(ISERROR(MATCH(P1674&amp;"."&amp;Q1674,R$5:R1673,0)),P1674&amp;"."&amp;Q1674,P1674&amp;"."&amp;Q1674&amp;COUNTIFS(P$5:P1673,P1674,Q$5:Q1673,Q1674))</f>
        <v>DS0.NA3</v>
      </c>
      <c r="S1674" s="55">
        <f t="shared" si="93"/>
        <v>0</v>
      </c>
    </row>
    <row r="1675" spans="1:19" hidden="1">
      <c r="A1675" s="5">
        <v>1740</v>
      </c>
      <c r="B1675" s="59"/>
      <c r="C1675" s="60" t="s">
        <v>556</v>
      </c>
      <c r="D1675" s="63"/>
      <c r="E1675" s="63"/>
      <c r="F1675" s="60"/>
      <c r="G1675" s="61"/>
      <c r="H1675" s="62" t="s">
        <v>501</v>
      </c>
      <c r="I1675" s="65">
        <v>7144303698.2569218</v>
      </c>
      <c r="J1675" s="65">
        <v>3051930252.3338451</v>
      </c>
      <c r="K1675" s="62"/>
      <c r="L1675" s="65">
        <v>7875898345.5900984</v>
      </c>
      <c r="M1675" s="65">
        <v>4469190274.6055679</v>
      </c>
      <c r="N1675" s="64">
        <v>3406708070.9845309</v>
      </c>
      <c r="P1675" t="str">
        <f t="shared" si="91"/>
        <v>Total Distribution Plant</v>
      </c>
      <c r="Q1675" t="str">
        <f t="shared" si="92"/>
        <v>NA</v>
      </c>
      <c r="R1675" t="str">
        <f>IF(ISERROR(MATCH(P1675&amp;"."&amp;Q1675,R$5:R1674,0)),P1675&amp;"."&amp;Q1675,P1675&amp;"."&amp;Q1675&amp;COUNTIFS(P$5:P1674,P1675,Q$5:Q1674,Q1675))</f>
        <v>Total Distribution Plant.NA</v>
      </c>
      <c r="S1675" s="55">
        <f t="shared" si="93"/>
        <v>3406708070.9845309</v>
      </c>
    </row>
    <row r="1676" spans="1:19" hidden="1">
      <c r="A1676" s="5">
        <v>1741</v>
      </c>
      <c r="B1676" s="59"/>
      <c r="C1676" s="60"/>
      <c r="D1676" s="63"/>
      <c r="E1676" s="63"/>
      <c r="F1676" s="60"/>
      <c r="G1676" s="61"/>
      <c r="H1676" s="62"/>
      <c r="I1676" s="65"/>
      <c r="J1676" s="65"/>
      <c r="K1676" s="62"/>
      <c r="L1676" s="65"/>
      <c r="M1676" s="65"/>
      <c r="N1676" s="64"/>
      <c r="P1676" t="str">
        <f t="shared" si="91"/>
        <v>Total Distribution Plant</v>
      </c>
      <c r="Q1676" t="str">
        <f t="shared" si="92"/>
        <v>NA</v>
      </c>
      <c r="R1676" t="str">
        <f>IF(ISERROR(MATCH(P1676&amp;"."&amp;Q1676,R$5:R1675,0)),P1676&amp;"."&amp;Q1676,P1676&amp;"."&amp;Q1676&amp;COUNTIFS(P$5:P1675,P1676,Q$5:Q1675,Q1676))</f>
        <v>Total Distribution Plant.NA1</v>
      </c>
      <c r="S1676" s="55">
        <f t="shared" si="93"/>
        <v>0</v>
      </c>
    </row>
    <row r="1677" spans="1:19" hidden="1">
      <c r="A1677" s="5">
        <v>1742</v>
      </c>
      <c r="B1677" s="59"/>
      <c r="C1677" s="60" t="s">
        <v>557</v>
      </c>
      <c r="D1677" s="63"/>
      <c r="E1677" s="63"/>
      <c r="F1677" s="60"/>
      <c r="G1677" s="61"/>
      <c r="H1677" s="62"/>
      <c r="I1677" s="65"/>
      <c r="J1677" s="65"/>
      <c r="K1677" s="62"/>
      <c r="L1677" s="65"/>
      <c r="M1677" s="65"/>
      <c r="N1677" s="64"/>
      <c r="P1677" t="str">
        <f t="shared" si="91"/>
        <v>Summary of Distribution Plant by Factor</v>
      </c>
      <c r="Q1677" t="str">
        <f t="shared" si="92"/>
        <v>NA</v>
      </c>
      <c r="R1677" t="str">
        <f>IF(ISERROR(MATCH(P1677&amp;"."&amp;Q1677,R$5:R1676,0)),P1677&amp;"."&amp;Q1677,P1677&amp;"."&amp;Q1677&amp;COUNTIFS(P$5:P1676,P1677,Q$5:Q1676,Q1677))</f>
        <v>Summary of Distribution Plant by Factor.NA</v>
      </c>
      <c r="S1677" s="55">
        <f t="shared" si="93"/>
        <v>0</v>
      </c>
    </row>
    <row r="1678" spans="1:19" hidden="1">
      <c r="A1678" s="5">
        <v>1743</v>
      </c>
      <c r="B1678" s="59"/>
      <c r="C1678" s="60"/>
      <c r="D1678" s="63"/>
      <c r="E1678" s="63" t="s">
        <v>12</v>
      </c>
      <c r="F1678" s="63"/>
      <c r="G1678" s="63"/>
      <c r="H1678" s="62"/>
      <c r="I1678" s="66">
        <v>7144303698.2569218</v>
      </c>
      <c r="J1678" s="66">
        <v>3051930252.3338451</v>
      </c>
      <c r="K1678" s="62"/>
      <c r="L1678" s="66">
        <v>7875898345.5900984</v>
      </c>
      <c r="M1678" s="66">
        <v>4469190274.6055679</v>
      </c>
      <c r="N1678" s="66">
        <v>3406708070.9845309</v>
      </c>
      <c r="P1678" t="str">
        <f t="shared" si="91"/>
        <v>Summary of Distribution Plant by Factor</v>
      </c>
      <c r="Q1678" t="str">
        <f t="shared" si="92"/>
        <v>NA</v>
      </c>
      <c r="R1678" t="str">
        <f>IF(ISERROR(MATCH(P1678&amp;"."&amp;Q1678,R$5:R1677,0)),P1678&amp;"."&amp;Q1678,P1678&amp;"."&amp;Q1678&amp;COUNTIFS(P$5:P1677,P1678,Q$5:Q1677,Q1678))</f>
        <v>Summary of Distribution Plant by Factor.NA1</v>
      </c>
      <c r="S1678" s="55">
        <f t="shared" si="93"/>
        <v>3406708070.9845309</v>
      </c>
    </row>
    <row r="1679" spans="1:19" hidden="1">
      <c r="A1679" s="5">
        <v>1744</v>
      </c>
      <c r="B1679" s="59"/>
      <c r="C1679" s="60"/>
      <c r="D1679" s="63"/>
      <c r="E1679" s="63"/>
      <c r="F1679" s="63"/>
      <c r="G1679" s="63"/>
      <c r="H1679" s="62"/>
      <c r="I1679" s="65"/>
      <c r="J1679" s="65"/>
      <c r="K1679" s="62"/>
      <c r="L1679" s="65"/>
      <c r="M1679" s="65"/>
      <c r="N1679" s="65"/>
      <c r="P1679" t="str">
        <f t="shared" si="91"/>
        <v>Summary of Distribution Plant by Factor</v>
      </c>
      <c r="Q1679" t="str">
        <f t="shared" si="92"/>
        <v>NA</v>
      </c>
      <c r="R1679" t="str">
        <f>IF(ISERROR(MATCH(P1679&amp;"."&amp;Q1679,R$5:R1678,0)),P1679&amp;"."&amp;Q1679,P1679&amp;"."&amp;Q1679&amp;COUNTIFS(P$5:P1678,P1679,Q$5:Q1678,Q1679))</f>
        <v>Summary of Distribution Plant by Factor.NA2</v>
      </c>
      <c r="S1679" s="55">
        <f t="shared" si="93"/>
        <v>0</v>
      </c>
    </row>
    <row r="1680" spans="1:19" hidden="1">
      <c r="A1680" s="5">
        <v>1745</v>
      </c>
      <c r="B1680" s="59"/>
      <c r="C1680" s="60" t="s">
        <v>558</v>
      </c>
      <c r="D1680" s="61"/>
      <c r="E1680" s="63"/>
      <c r="F1680" s="63"/>
      <c r="G1680" s="63"/>
      <c r="H1680" s="62" t="s">
        <v>141</v>
      </c>
      <c r="I1680" s="65">
        <v>7144303698.2569218</v>
      </c>
      <c r="J1680" s="65">
        <v>3051930252.3338451</v>
      </c>
      <c r="K1680" s="62"/>
      <c r="L1680" s="65">
        <v>7875898345.5900984</v>
      </c>
      <c r="M1680" s="65">
        <v>4469190274.6055679</v>
      </c>
      <c r="N1680" s="65">
        <v>3406708070.9845309</v>
      </c>
      <c r="P1680" t="str">
        <f t="shared" si="91"/>
        <v>Total Distribution Plant by Factor</v>
      </c>
      <c r="Q1680" t="str">
        <f t="shared" si="92"/>
        <v>NA</v>
      </c>
      <c r="R1680" t="str">
        <f>IF(ISERROR(MATCH(P1680&amp;"."&amp;Q1680,R$5:R1679,0)),P1680&amp;"."&amp;Q1680,P1680&amp;"."&amp;Q1680&amp;COUNTIFS(P$5:P1679,P1680,Q$5:Q1679,Q1680))</f>
        <v>Total Distribution Plant by Factor.NA</v>
      </c>
      <c r="S1680" s="55">
        <f t="shared" si="93"/>
        <v>3406708070.9845309</v>
      </c>
    </row>
    <row r="1681" spans="1:19" hidden="1">
      <c r="A1681" s="5">
        <v>1746</v>
      </c>
      <c r="B1681" s="59"/>
      <c r="C1681" s="60">
        <v>389</v>
      </c>
      <c r="D1681" s="63" t="s">
        <v>500</v>
      </c>
      <c r="E1681" s="63"/>
      <c r="F1681" s="60"/>
      <c r="G1681" s="61"/>
      <c r="H1681" s="62"/>
      <c r="I1681" s="65"/>
      <c r="J1681" s="65"/>
      <c r="K1681" s="62"/>
      <c r="L1681" s="65"/>
      <c r="M1681" s="65"/>
      <c r="N1681" s="64"/>
      <c r="P1681">
        <f t="shared" si="91"/>
        <v>389</v>
      </c>
      <c r="Q1681" t="str">
        <f t="shared" si="92"/>
        <v>NA</v>
      </c>
      <c r="R1681" t="str">
        <f>IF(ISERROR(MATCH(P1681&amp;"."&amp;Q1681,R$5:R1680,0)),P1681&amp;"."&amp;Q1681,P1681&amp;"."&amp;Q1681&amp;COUNTIFS(P$5:P1680,P1681,Q$5:Q1680,Q1681))</f>
        <v>389.NA</v>
      </c>
      <c r="S1681" s="55">
        <f t="shared" si="93"/>
        <v>0</v>
      </c>
    </row>
    <row r="1682" spans="1:19" hidden="1">
      <c r="A1682" s="5">
        <v>1747</v>
      </c>
      <c r="B1682" s="59"/>
      <c r="C1682" s="60"/>
      <c r="D1682" s="63"/>
      <c r="E1682" s="63"/>
      <c r="F1682" s="60" t="s">
        <v>393</v>
      </c>
      <c r="G1682" s="61" t="s">
        <v>12</v>
      </c>
      <c r="H1682" s="62"/>
      <c r="I1682" s="65">
        <v>14330816.390769223</v>
      </c>
      <c r="J1682" s="65">
        <v>4080599.63</v>
      </c>
      <c r="K1682" s="62"/>
      <c r="L1682" s="65">
        <v>14330816.390769223</v>
      </c>
      <c r="M1682" s="65">
        <v>10250216.760769222</v>
      </c>
      <c r="N1682" s="64">
        <v>4080599.63</v>
      </c>
      <c r="P1682">
        <f t="shared" si="91"/>
        <v>389</v>
      </c>
      <c r="Q1682" t="str">
        <f t="shared" si="92"/>
        <v>S</v>
      </c>
      <c r="R1682" t="str">
        <f>IF(ISERROR(MATCH(P1682&amp;"."&amp;Q1682,R$5:R1681,0)),P1682&amp;"."&amp;Q1682,P1682&amp;"."&amp;Q1682&amp;COUNTIFS(P$5:P1681,P1682,Q$5:Q1681,Q1682))</f>
        <v>389.S</v>
      </c>
      <c r="S1682" s="55">
        <f t="shared" si="93"/>
        <v>4080599.63</v>
      </c>
    </row>
    <row r="1683" spans="1:19" hidden="1">
      <c r="A1683" s="5">
        <v>1748</v>
      </c>
      <c r="B1683" s="59"/>
      <c r="C1683" s="60"/>
      <c r="D1683" s="63"/>
      <c r="E1683" s="63"/>
      <c r="F1683" s="60" t="s">
        <v>149</v>
      </c>
      <c r="G1683" s="61" t="s">
        <v>155</v>
      </c>
      <c r="H1683" s="62"/>
      <c r="I1683" s="65">
        <v>1128505.79</v>
      </c>
      <c r="J1683" s="65">
        <v>539531.79772374488</v>
      </c>
      <c r="K1683" s="62"/>
      <c r="L1683" s="65">
        <v>1128505.79</v>
      </c>
      <c r="M1683" s="65">
        <v>588973.99227625516</v>
      </c>
      <c r="N1683" s="64">
        <v>539531.79772374488</v>
      </c>
      <c r="P1683">
        <f t="shared" si="91"/>
        <v>389</v>
      </c>
      <c r="Q1683" t="str">
        <f t="shared" si="92"/>
        <v>CN</v>
      </c>
      <c r="R1683" t="str">
        <f>IF(ISERROR(MATCH(P1683&amp;"."&amp;Q1683,R$5:R1682,0)),P1683&amp;"."&amp;Q1683,P1683&amp;"."&amp;Q1683&amp;COUNTIFS(P$5:P1682,P1683,Q$5:Q1682,Q1683))</f>
        <v>389.CN</v>
      </c>
      <c r="S1683" s="55">
        <f t="shared" si="93"/>
        <v>539531.79772374488</v>
      </c>
    </row>
    <row r="1684" spans="1:19" hidden="1">
      <c r="A1684" s="5">
        <v>1749</v>
      </c>
      <c r="B1684" s="59"/>
      <c r="C1684" s="60"/>
      <c r="D1684" s="63"/>
      <c r="E1684" s="63"/>
      <c r="F1684" s="60" t="s">
        <v>395</v>
      </c>
      <c r="G1684" s="61" t="s">
        <v>15</v>
      </c>
      <c r="H1684" s="62"/>
      <c r="I1684" s="65">
        <v>332.32</v>
      </c>
      <c r="J1684" s="65">
        <v>146.21248579316389</v>
      </c>
      <c r="K1684" s="62"/>
      <c r="L1684" s="65">
        <v>332.32</v>
      </c>
      <c r="M1684" s="65">
        <v>186.1075142068361</v>
      </c>
      <c r="N1684" s="64">
        <v>146.21248579316389</v>
      </c>
      <c r="P1684">
        <f t="shared" si="91"/>
        <v>389</v>
      </c>
      <c r="Q1684" t="str">
        <f t="shared" si="92"/>
        <v>SG</v>
      </c>
      <c r="R1684" t="str">
        <f>IF(ISERROR(MATCH(P1684&amp;"."&amp;Q1684,R$5:R1683,0)),P1684&amp;"."&amp;Q1684,P1684&amp;"."&amp;Q1684&amp;COUNTIFS(P$5:P1683,P1684,Q$5:Q1683,Q1684))</f>
        <v>389.SG</v>
      </c>
      <c r="S1684" s="55">
        <f t="shared" si="93"/>
        <v>146.21248579316389</v>
      </c>
    </row>
    <row r="1685" spans="1:19" hidden="1">
      <c r="A1685" s="5">
        <v>1750</v>
      </c>
      <c r="B1685" s="59"/>
      <c r="C1685" s="60"/>
      <c r="D1685" s="63"/>
      <c r="E1685" s="63"/>
      <c r="F1685" s="60" t="s">
        <v>396</v>
      </c>
      <c r="G1685" s="61" t="s">
        <v>15</v>
      </c>
      <c r="H1685" s="62"/>
      <c r="I1685" s="65">
        <v>1227.55</v>
      </c>
      <c r="J1685" s="65">
        <v>540.09128832269596</v>
      </c>
      <c r="K1685" s="62"/>
      <c r="L1685" s="65">
        <v>1227.55</v>
      </c>
      <c r="M1685" s="65">
        <v>687.458711677304</v>
      </c>
      <c r="N1685" s="64">
        <v>540.09128832269596</v>
      </c>
      <c r="P1685">
        <f t="shared" si="91"/>
        <v>389</v>
      </c>
      <c r="Q1685" t="str">
        <f t="shared" si="92"/>
        <v>SG</v>
      </c>
      <c r="R1685" t="str">
        <f>IF(ISERROR(MATCH(P1685&amp;"."&amp;Q1685,R$5:R1684,0)),P1685&amp;"."&amp;Q1685,P1685&amp;"."&amp;Q1685&amp;COUNTIFS(P$5:P1684,P1685,Q$5:Q1684,Q1685))</f>
        <v>389.SG1</v>
      </c>
      <c r="S1685" s="55">
        <f t="shared" si="93"/>
        <v>540.09128832269596</v>
      </c>
    </row>
    <row r="1686" spans="1:19" hidden="1">
      <c r="A1686" s="5">
        <v>1751</v>
      </c>
      <c r="B1686" s="59"/>
      <c r="C1686" s="60"/>
      <c r="D1686" s="63"/>
      <c r="E1686" s="63"/>
      <c r="F1686" s="60" t="s">
        <v>171</v>
      </c>
      <c r="G1686" s="61" t="s">
        <v>136</v>
      </c>
      <c r="H1686" s="62"/>
      <c r="I1686" s="65">
        <v>7516302.2000000002</v>
      </c>
      <c r="J1686" s="65">
        <v>3261964.7093859208</v>
      </c>
      <c r="K1686" s="62"/>
      <c r="L1686" s="65">
        <v>7516302.2000000002</v>
      </c>
      <c r="M1686" s="65">
        <v>4232090.0012570992</v>
      </c>
      <c r="N1686" s="64">
        <v>3284212.1987429014</v>
      </c>
      <c r="P1686">
        <f t="shared" si="91"/>
        <v>389</v>
      </c>
      <c r="Q1686" t="str">
        <f t="shared" si="92"/>
        <v>SO</v>
      </c>
      <c r="R1686" t="str">
        <f>IF(ISERROR(MATCH(P1686&amp;"."&amp;Q1686,R$5:R1685,0)),P1686&amp;"."&amp;Q1686,P1686&amp;"."&amp;Q1686&amp;COUNTIFS(P$5:P1685,P1686,Q$5:Q1685,Q1686))</f>
        <v>389.SO</v>
      </c>
      <c r="S1686" s="55">
        <f t="shared" si="93"/>
        <v>3284212.1987429014</v>
      </c>
    </row>
    <row r="1687" spans="1:19" hidden="1">
      <c r="A1687" s="5">
        <v>1752</v>
      </c>
      <c r="B1687" s="59"/>
      <c r="C1687" s="60"/>
      <c r="D1687" s="63"/>
      <c r="E1687" s="63"/>
      <c r="F1687" s="60"/>
      <c r="G1687" s="61"/>
      <c r="H1687" s="62" t="s">
        <v>501</v>
      </c>
      <c r="I1687" s="65">
        <v>22977184.250769224</v>
      </c>
      <c r="J1687" s="65">
        <v>7882782.4408837818</v>
      </c>
      <c r="K1687" s="62"/>
      <c r="L1687" s="65">
        <v>22977184.250769224</v>
      </c>
      <c r="M1687" s="65">
        <v>15072154.320528461</v>
      </c>
      <c r="N1687" s="64">
        <v>7905029.9302407615</v>
      </c>
      <c r="P1687">
        <f t="shared" si="91"/>
        <v>389</v>
      </c>
      <c r="Q1687" t="str">
        <f t="shared" si="92"/>
        <v>NA</v>
      </c>
      <c r="R1687" t="str">
        <f>IF(ISERROR(MATCH(P1687&amp;"."&amp;Q1687,R$5:R1686,0)),P1687&amp;"."&amp;Q1687,P1687&amp;"."&amp;Q1687&amp;COUNTIFS(P$5:P1686,P1687,Q$5:Q1686,Q1687))</f>
        <v>389.NA1</v>
      </c>
      <c r="S1687" s="55">
        <f t="shared" si="93"/>
        <v>7905029.9302407615</v>
      </c>
    </row>
    <row r="1688" spans="1:19" hidden="1">
      <c r="A1688" s="5">
        <v>1753</v>
      </c>
      <c r="B1688" s="59"/>
      <c r="C1688" s="60"/>
      <c r="D1688" s="63"/>
      <c r="E1688" s="63"/>
      <c r="F1688" s="60"/>
      <c r="G1688" s="61"/>
      <c r="H1688" s="62"/>
      <c r="I1688" s="65"/>
      <c r="J1688" s="65"/>
      <c r="K1688" s="62"/>
      <c r="L1688" s="65"/>
      <c r="M1688" s="65"/>
      <c r="N1688" s="64"/>
      <c r="P1688">
        <f t="shared" si="91"/>
        <v>389</v>
      </c>
      <c r="Q1688" t="str">
        <f t="shared" si="92"/>
        <v>NA</v>
      </c>
      <c r="R1688" t="str">
        <f>IF(ISERROR(MATCH(P1688&amp;"."&amp;Q1688,R$5:R1687,0)),P1688&amp;"."&amp;Q1688,P1688&amp;"."&amp;Q1688&amp;COUNTIFS(P$5:P1687,P1688,Q$5:Q1687,Q1688))</f>
        <v>389.NA2</v>
      </c>
      <c r="S1688" s="55">
        <f t="shared" si="93"/>
        <v>0</v>
      </c>
    </row>
    <row r="1689" spans="1:19" hidden="1">
      <c r="A1689" s="5">
        <v>1754</v>
      </c>
      <c r="B1689" s="59"/>
      <c r="C1689" s="60">
        <v>390</v>
      </c>
      <c r="D1689" s="63" t="s">
        <v>502</v>
      </c>
      <c r="E1689" s="63"/>
      <c r="F1689" s="60"/>
      <c r="G1689" s="61"/>
      <c r="H1689" s="62"/>
      <c r="I1689" s="65"/>
      <c r="J1689" s="65"/>
      <c r="K1689" s="62"/>
      <c r="L1689" s="65"/>
      <c r="M1689" s="65"/>
      <c r="N1689" s="64"/>
      <c r="P1689">
        <f t="shared" si="91"/>
        <v>390</v>
      </c>
      <c r="Q1689" t="str">
        <f t="shared" si="92"/>
        <v>NA</v>
      </c>
      <c r="R1689" t="str">
        <f>IF(ISERROR(MATCH(P1689&amp;"."&amp;Q1689,R$5:R1688,0)),P1689&amp;"."&amp;Q1689,P1689&amp;"."&amp;Q1689&amp;COUNTIFS(P$5:P1688,P1689,Q$5:Q1688,Q1689))</f>
        <v>390.NA</v>
      </c>
      <c r="S1689" s="55">
        <f t="shared" si="93"/>
        <v>0</v>
      </c>
    </row>
    <row r="1690" spans="1:19" hidden="1">
      <c r="A1690" s="5">
        <v>1755</v>
      </c>
      <c r="B1690" s="59"/>
      <c r="C1690" s="60"/>
      <c r="D1690" s="63"/>
      <c r="E1690" s="63"/>
      <c r="F1690" s="63" t="s">
        <v>393</v>
      </c>
      <c r="G1690" s="63" t="s">
        <v>12</v>
      </c>
      <c r="H1690" s="62"/>
      <c r="I1690" s="66">
        <v>132917235.30538461</v>
      </c>
      <c r="J1690" s="66">
        <v>44198383.473076902</v>
      </c>
      <c r="K1690" s="62"/>
      <c r="L1690" s="66">
        <v>132917235.30538461</v>
      </c>
      <c r="M1690" s="66">
        <v>88718851.832307696</v>
      </c>
      <c r="N1690" s="66">
        <v>44198383.473076902</v>
      </c>
      <c r="P1690">
        <f t="shared" si="91"/>
        <v>390</v>
      </c>
      <c r="Q1690" t="str">
        <f t="shared" si="92"/>
        <v>S</v>
      </c>
      <c r="R1690" t="str">
        <f>IF(ISERROR(MATCH(P1690&amp;"."&amp;Q1690,R$5:R1689,0)),P1690&amp;"."&amp;Q1690,P1690&amp;"."&amp;Q1690&amp;COUNTIFS(P$5:P1689,P1690,Q$5:Q1689,Q1690))</f>
        <v>390.S</v>
      </c>
      <c r="S1690" s="55">
        <f t="shared" si="93"/>
        <v>44198383.473076902</v>
      </c>
    </row>
    <row r="1691" spans="1:19" hidden="1">
      <c r="A1691" s="5">
        <v>1756</v>
      </c>
      <c r="B1691" s="59"/>
      <c r="C1691" s="60"/>
      <c r="D1691" s="63"/>
      <c r="E1691" s="63"/>
      <c r="F1691" s="63" t="s">
        <v>394</v>
      </c>
      <c r="G1691" s="63" t="s">
        <v>15</v>
      </c>
      <c r="H1691" s="62"/>
      <c r="I1691" s="69">
        <v>335238.15999999997</v>
      </c>
      <c r="J1691" s="69">
        <v>147496.40318466056</v>
      </c>
      <c r="K1691" s="62"/>
      <c r="L1691" s="69">
        <v>335238.15999999997</v>
      </c>
      <c r="M1691" s="65">
        <v>187741.75681533941</v>
      </c>
      <c r="N1691" s="65">
        <v>147496.40318466056</v>
      </c>
      <c r="P1691">
        <f t="shared" si="91"/>
        <v>390</v>
      </c>
      <c r="Q1691" t="str">
        <f t="shared" si="92"/>
        <v>SG</v>
      </c>
      <c r="R1691" t="str">
        <f>IF(ISERROR(MATCH(P1691&amp;"."&amp;Q1691,R$5:R1690,0)),P1691&amp;"."&amp;Q1691,P1691&amp;"."&amp;Q1691&amp;COUNTIFS(P$5:P1690,P1691,Q$5:Q1690,Q1691))</f>
        <v>390.SG</v>
      </c>
      <c r="S1691" s="55">
        <f t="shared" si="93"/>
        <v>147496.40318466056</v>
      </c>
    </row>
    <row r="1692" spans="1:19" hidden="1">
      <c r="A1692" s="5">
        <v>1757</v>
      </c>
      <c r="B1692" s="59"/>
      <c r="C1692" s="60"/>
      <c r="D1692" s="61"/>
      <c r="E1692" s="63"/>
      <c r="F1692" s="63" t="s">
        <v>395</v>
      </c>
      <c r="G1692" s="63" t="s">
        <v>15</v>
      </c>
      <c r="H1692" s="62"/>
      <c r="I1692" s="65">
        <v>1482919.28</v>
      </c>
      <c r="J1692" s="65">
        <v>652447.38252109068</v>
      </c>
      <c r="K1692" s="62"/>
      <c r="L1692" s="65">
        <v>1482919.28</v>
      </c>
      <c r="M1692" s="65">
        <v>830471.89747890935</v>
      </c>
      <c r="N1692" s="65">
        <v>652447.38252109068</v>
      </c>
      <c r="P1692">
        <f t="shared" si="91"/>
        <v>390</v>
      </c>
      <c r="Q1692" t="str">
        <f t="shared" si="92"/>
        <v>SG</v>
      </c>
      <c r="R1692" t="str">
        <f>IF(ISERROR(MATCH(P1692&amp;"."&amp;Q1692,R$5:R1691,0)),P1692&amp;"."&amp;Q1692,P1692&amp;"."&amp;Q1692&amp;COUNTIFS(P$5:P1691,P1692,Q$5:Q1691,Q1692))</f>
        <v>390.SG1</v>
      </c>
      <c r="S1692" s="55">
        <f t="shared" si="93"/>
        <v>652447.38252109068</v>
      </c>
    </row>
    <row r="1693" spans="1:19" hidden="1">
      <c r="A1693" s="5">
        <v>1758</v>
      </c>
      <c r="B1693" s="59"/>
      <c r="C1693" s="60"/>
      <c r="D1693" s="63"/>
      <c r="E1693" s="63"/>
      <c r="F1693" s="60" t="s">
        <v>149</v>
      </c>
      <c r="G1693" s="61" t="s">
        <v>155</v>
      </c>
      <c r="H1693" s="62"/>
      <c r="I1693" s="65">
        <v>8202037.2992307702</v>
      </c>
      <c r="J1693" s="65">
        <v>3921344.4612022648</v>
      </c>
      <c r="K1693" s="62"/>
      <c r="L1693" s="65">
        <v>8202037.2992307702</v>
      </c>
      <c r="M1693" s="65">
        <v>4280692.8380285054</v>
      </c>
      <c r="N1693" s="64">
        <v>3921344.4612022648</v>
      </c>
      <c r="P1693">
        <f t="shared" si="91"/>
        <v>390</v>
      </c>
      <c r="Q1693" t="str">
        <f t="shared" si="92"/>
        <v>CN</v>
      </c>
      <c r="R1693" t="str">
        <f>IF(ISERROR(MATCH(P1693&amp;"."&amp;Q1693,R$5:R1692,0)),P1693&amp;"."&amp;Q1693,P1693&amp;"."&amp;Q1693&amp;COUNTIFS(P$5:P1692,P1693,Q$5:Q1692,Q1693))</f>
        <v>390.CN</v>
      </c>
      <c r="S1693" s="55">
        <f t="shared" si="93"/>
        <v>3921344.4612022648</v>
      </c>
    </row>
    <row r="1694" spans="1:19" hidden="1">
      <c r="A1694" s="5">
        <v>1759</v>
      </c>
      <c r="B1694" s="59"/>
      <c r="C1694" s="60"/>
      <c r="D1694" s="63"/>
      <c r="E1694" s="63"/>
      <c r="F1694" s="60" t="s">
        <v>396</v>
      </c>
      <c r="G1694" s="61" t="s">
        <v>15</v>
      </c>
      <c r="H1694" s="62"/>
      <c r="I1694" s="65">
        <v>5801797.8538461505</v>
      </c>
      <c r="J1694" s="65">
        <v>2552645.9023841149</v>
      </c>
      <c r="K1694" s="62"/>
      <c r="L1694" s="65">
        <v>5801797.8538461505</v>
      </c>
      <c r="M1694" s="65">
        <v>3249151.9514620355</v>
      </c>
      <c r="N1694" s="64">
        <v>2552645.9023841149</v>
      </c>
      <c r="P1694">
        <f t="shared" si="91"/>
        <v>390</v>
      </c>
      <c r="Q1694" t="str">
        <f t="shared" si="92"/>
        <v>SG</v>
      </c>
      <c r="R1694" t="str">
        <f>IF(ISERROR(MATCH(P1694&amp;"."&amp;Q1694,R$5:R1693,0)),P1694&amp;"."&amp;Q1694,P1694&amp;"."&amp;Q1694&amp;COUNTIFS(P$5:P1693,P1694,Q$5:Q1693,Q1694))</f>
        <v>390.SG2</v>
      </c>
      <c r="S1694" s="55">
        <f t="shared" si="93"/>
        <v>2552645.9023841149</v>
      </c>
    </row>
    <row r="1695" spans="1:19" hidden="1">
      <c r="A1695" s="5">
        <v>1760</v>
      </c>
      <c r="B1695" s="59"/>
      <c r="C1695" s="60"/>
      <c r="D1695" s="63"/>
      <c r="E1695" s="63"/>
      <c r="F1695" s="60" t="s">
        <v>13</v>
      </c>
      <c r="G1695" s="61" t="s">
        <v>16</v>
      </c>
      <c r="H1695" s="62"/>
      <c r="I1695" s="65">
        <v>1293095.61846154</v>
      </c>
      <c r="J1695" s="65">
        <v>560637.2453659001</v>
      </c>
      <c r="K1695" s="62"/>
      <c r="L1695" s="65">
        <v>1293095.61846154</v>
      </c>
      <c r="M1695" s="65">
        <v>732458.37309563986</v>
      </c>
      <c r="N1695" s="64">
        <v>560637.2453659001</v>
      </c>
      <c r="P1695">
        <f t="shared" si="91"/>
        <v>390</v>
      </c>
      <c r="Q1695" t="str">
        <f t="shared" si="92"/>
        <v>SE</v>
      </c>
      <c r="R1695" t="str">
        <f>IF(ISERROR(MATCH(P1695&amp;"."&amp;Q1695,R$5:R1694,0)),P1695&amp;"."&amp;Q1695,P1695&amp;"."&amp;Q1695&amp;COUNTIFS(P$5:P1694,P1695,Q$5:Q1694,Q1695))</f>
        <v>390.SE</v>
      </c>
      <c r="S1695" s="55">
        <f t="shared" si="93"/>
        <v>560637.2453659001</v>
      </c>
    </row>
    <row r="1696" spans="1:19" hidden="1">
      <c r="A1696" s="5">
        <v>1761</v>
      </c>
      <c r="B1696" s="59"/>
      <c r="C1696" s="60"/>
      <c r="D1696" s="63"/>
      <c r="E1696" s="63"/>
      <c r="F1696" s="60" t="s">
        <v>171</v>
      </c>
      <c r="G1696" s="61" t="s">
        <v>136</v>
      </c>
      <c r="H1696" s="62"/>
      <c r="I1696" s="65">
        <v>96666533.536153898</v>
      </c>
      <c r="J1696" s="65">
        <v>41951855.125463769</v>
      </c>
      <c r="K1696" s="62"/>
      <c r="L1696" s="65">
        <v>96666533.536153898</v>
      </c>
      <c r="M1696" s="65">
        <v>54428555.312017776</v>
      </c>
      <c r="N1696" s="64">
        <v>42237978.224136122</v>
      </c>
      <c r="P1696">
        <f t="shared" si="91"/>
        <v>390</v>
      </c>
      <c r="Q1696" t="str">
        <f t="shared" si="92"/>
        <v>SO</v>
      </c>
      <c r="R1696" t="str">
        <f>IF(ISERROR(MATCH(P1696&amp;"."&amp;Q1696,R$5:R1695,0)),P1696&amp;"."&amp;Q1696,P1696&amp;"."&amp;Q1696&amp;COUNTIFS(P$5:P1695,P1696,Q$5:Q1695,Q1696))</f>
        <v>390.SO</v>
      </c>
      <c r="S1696" s="55">
        <f t="shared" si="93"/>
        <v>42237978.224136122</v>
      </c>
    </row>
    <row r="1697" spans="1:19" hidden="1">
      <c r="A1697" s="5">
        <v>1762</v>
      </c>
      <c r="B1697" s="59"/>
      <c r="C1697" s="60"/>
      <c r="D1697" s="63"/>
      <c r="E1697" s="63"/>
      <c r="F1697" s="60"/>
      <c r="G1697" s="61"/>
      <c r="H1697" s="62" t="s">
        <v>501</v>
      </c>
      <c r="I1697" s="65">
        <v>246698857.05307698</v>
      </c>
      <c r="J1697" s="65">
        <v>93984809.993198708</v>
      </c>
      <c r="K1697" s="62"/>
      <c r="L1697" s="65">
        <v>246698857.05307698</v>
      </c>
      <c r="M1697" s="65">
        <v>152427923.9612059</v>
      </c>
      <c r="N1697" s="64">
        <v>94270933.091871053</v>
      </c>
      <c r="P1697">
        <f t="shared" si="91"/>
        <v>390</v>
      </c>
      <c r="Q1697" t="str">
        <f t="shared" si="92"/>
        <v>NA</v>
      </c>
      <c r="R1697" t="str">
        <f>IF(ISERROR(MATCH(P1697&amp;"."&amp;Q1697,R$5:R1696,0)),P1697&amp;"."&amp;Q1697,P1697&amp;"."&amp;Q1697&amp;COUNTIFS(P$5:P1696,P1697,Q$5:Q1696,Q1697))</f>
        <v>390.NA1</v>
      </c>
      <c r="S1697" s="55">
        <f t="shared" si="93"/>
        <v>94270933.091871053</v>
      </c>
    </row>
    <row r="1698" spans="1:19" hidden="1">
      <c r="A1698" s="5">
        <v>1763</v>
      </c>
      <c r="B1698" s="59"/>
      <c r="C1698" s="60"/>
      <c r="D1698" s="63"/>
      <c r="E1698" s="63"/>
      <c r="F1698" s="60"/>
      <c r="G1698" s="61"/>
      <c r="H1698" s="62"/>
      <c r="I1698" s="65"/>
      <c r="J1698" s="65"/>
      <c r="K1698" s="62"/>
      <c r="L1698" s="65"/>
      <c r="M1698" s="65"/>
      <c r="N1698" s="64"/>
      <c r="P1698">
        <f t="shared" si="91"/>
        <v>390</v>
      </c>
      <c r="Q1698" t="str">
        <f t="shared" si="92"/>
        <v>NA</v>
      </c>
      <c r="R1698" t="str">
        <f>IF(ISERROR(MATCH(P1698&amp;"."&amp;Q1698,R$5:R1697,0)),P1698&amp;"."&amp;Q1698,P1698&amp;"."&amp;Q1698&amp;COUNTIFS(P$5:P1697,P1698,Q$5:Q1697,Q1698))</f>
        <v>390.NA2</v>
      </c>
      <c r="S1698" s="55">
        <f t="shared" si="93"/>
        <v>0</v>
      </c>
    </row>
    <row r="1699" spans="1:19" hidden="1">
      <c r="A1699" s="5">
        <v>1764</v>
      </c>
      <c r="B1699" s="59"/>
      <c r="C1699" s="60">
        <v>391</v>
      </c>
      <c r="D1699" s="63" t="s">
        <v>559</v>
      </c>
      <c r="E1699" s="63"/>
      <c r="F1699" s="60"/>
      <c r="G1699" s="61"/>
      <c r="H1699" s="62"/>
      <c r="I1699" s="65"/>
      <c r="J1699" s="65"/>
      <c r="K1699" s="62"/>
      <c r="L1699" s="65"/>
      <c r="M1699" s="65"/>
      <c r="N1699" s="64"/>
      <c r="P1699">
        <f t="shared" si="91"/>
        <v>391</v>
      </c>
      <c r="Q1699" t="str">
        <f t="shared" si="92"/>
        <v>NA</v>
      </c>
      <c r="R1699" t="str">
        <f>IF(ISERROR(MATCH(P1699&amp;"."&amp;Q1699,R$5:R1698,0)),P1699&amp;"."&amp;Q1699,P1699&amp;"."&amp;Q1699&amp;COUNTIFS(P$5:P1698,P1699,Q$5:Q1698,Q1699))</f>
        <v>391.NA</v>
      </c>
      <c r="S1699" s="55">
        <f t="shared" si="93"/>
        <v>0</v>
      </c>
    </row>
    <row r="1700" spans="1:19" hidden="1">
      <c r="A1700" s="5">
        <v>1765</v>
      </c>
      <c r="B1700" s="59"/>
      <c r="C1700" s="60"/>
      <c r="D1700" s="63"/>
      <c r="E1700" s="63"/>
      <c r="F1700" s="60" t="s">
        <v>393</v>
      </c>
      <c r="G1700" s="61" t="s">
        <v>12</v>
      </c>
      <c r="H1700" s="62"/>
      <c r="I1700" s="65">
        <v>6506522.4561538491</v>
      </c>
      <c r="J1700" s="65">
        <v>1206258.32692308</v>
      </c>
      <c r="K1700" s="62"/>
      <c r="L1700" s="65">
        <v>6506522.4561538491</v>
      </c>
      <c r="M1700" s="65">
        <v>5300264.1292307694</v>
      </c>
      <c r="N1700" s="64">
        <v>1206258.32692308</v>
      </c>
      <c r="P1700">
        <f t="shared" si="91"/>
        <v>391</v>
      </c>
      <c r="Q1700" t="str">
        <f t="shared" si="92"/>
        <v>S</v>
      </c>
      <c r="R1700" t="str">
        <f>IF(ISERROR(MATCH(P1700&amp;"."&amp;Q1700,R$5:R1699,0)),P1700&amp;"."&amp;Q1700,P1700&amp;"."&amp;Q1700&amp;COUNTIFS(P$5:P1699,P1700,Q$5:Q1699,Q1700))</f>
        <v>391.S</v>
      </c>
      <c r="S1700" s="55">
        <f t="shared" si="93"/>
        <v>1206258.32692308</v>
      </c>
    </row>
    <row r="1701" spans="1:19" hidden="1">
      <c r="A1701" s="5">
        <v>1766</v>
      </c>
      <c r="B1701" s="59"/>
      <c r="C1701" s="60"/>
      <c r="D1701" s="63"/>
      <c r="E1701" s="63"/>
      <c r="F1701" s="60" t="s">
        <v>394</v>
      </c>
      <c r="G1701" s="61" t="s">
        <v>15</v>
      </c>
      <c r="H1701" s="62"/>
      <c r="I1701" s="65">
        <v>0</v>
      </c>
      <c r="J1701" s="65">
        <v>0</v>
      </c>
      <c r="K1701" s="62"/>
      <c r="L1701" s="65">
        <v>0</v>
      </c>
      <c r="M1701" s="65">
        <v>0</v>
      </c>
      <c r="N1701" s="64">
        <v>0</v>
      </c>
      <c r="P1701">
        <f t="shared" si="91"/>
        <v>391</v>
      </c>
      <c r="Q1701" t="str">
        <f t="shared" si="92"/>
        <v>SG</v>
      </c>
      <c r="R1701" t="str">
        <f>IF(ISERROR(MATCH(P1701&amp;"."&amp;Q1701,R$5:R1700,0)),P1701&amp;"."&amp;Q1701,P1701&amp;"."&amp;Q1701&amp;COUNTIFS(P$5:P1700,P1701,Q$5:Q1700,Q1701))</f>
        <v>391.SG</v>
      </c>
      <c r="S1701" s="55">
        <f t="shared" si="93"/>
        <v>0</v>
      </c>
    </row>
    <row r="1702" spans="1:19" hidden="1">
      <c r="A1702" s="5">
        <v>1767</v>
      </c>
      <c r="B1702" s="59"/>
      <c r="C1702" s="60"/>
      <c r="D1702" s="63"/>
      <c r="E1702" s="63"/>
      <c r="F1702" s="63" t="s">
        <v>395</v>
      </c>
      <c r="G1702" s="63" t="s">
        <v>15</v>
      </c>
      <c r="H1702" s="62"/>
      <c r="I1702" s="66">
        <v>0</v>
      </c>
      <c r="J1702" s="66">
        <v>0</v>
      </c>
      <c r="K1702" s="62"/>
      <c r="L1702" s="66">
        <v>0</v>
      </c>
      <c r="M1702" s="66">
        <v>0</v>
      </c>
      <c r="N1702" s="66">
        <v>0</v>
      </c>
      <c r="P1702">
        <f t="shared" si="91"/>
        <v>391</v>
      </c>
      <c r="Q1702" t="str">
        <f t="shared" si="92"/>
        <v>SG</v>
      </c>
      <c r="R1702" t="str">
        <f>IF(ISERROR(MATCH(P1702&amp;"."&amp;Q1702,R$5:R1701,0)),P1702&amp;"."&amp;Q1702,P1702&amp;"."&amp;Q1702&amp;COUNTIFS(P$5:P1701,P1702,Q$5:Q1701,Q1702))</f>
        <v>391.SG1</v>
      </c>
      <c r="S1702" s="55">
        <f t="shared" si="93"/>
        <v>0</v>
      </c>
    </row>
    <row r="1703" spans="1:19" hidden="1">
      <c r="A1703" s="5">
        <v>1768</v>
      </c>
      <c r="B1703" s="59"/>
      <c r="C1703" s="60"/>
      <c r="D1703" s="63"/>
      <c r="E1703" s="63"/>
      <c r="F1703" s="63" t="s">
        <v>149</v>
      </c>
      <c r="G1703" s="63" t="s">
        <v>155</v>
      </c>
      <c r="H1703" s="62"/>
      <c r="I1703" s="65">
        <v>4259760.1369230803</v>
      </c>
      <c r="J1703" s="65">
        <v>2036565.5762794579</v>
      </c>
      <c r="K1703" s="62"/>
      <c r="L1703" s="65">
        <v>4259760.1369230803</v>
      </c>
      <c r="M1703" s="65">
        <v>2223194.5606436227</v>
      </c>
      <c r="N1703" s="65">
        <v>2036565.5762794579</v>
      </c>
      <c r="P1703">
        <f t="shared" si="91"/>
        <v>391</v>
      </c>
      <c r="Q1703" t="str">
        <f t="shared" si="92"/>
        <v>CN</v>
      </c>
      <c r="R1703" t="str">
        <f>IF(ISERROR(MATCH(P1703&amp;"."&amp;Q1703,R$5:R1702,0)),P1703&amp;"."&amp;Q1703,P1703&amp;"."&amp;Q1703&amp;COUNTIFS(P$5:P1702,P1703,Q$5:Q1702,Q1703))</f>
        <v>391.CN</v>
      </c>
      <c r="S1703" s="55">
        <f t="shared" si="93"/>
        <v>2036565.5762794579</v>
      </c>
    </row>
    <row r="1704" spans="1:19" hidden="1">
      <c r="A1704" s="5">
        <v>1769</v>
      </c>
      <c r="B1704" s="59"/>
      <c r="C1704" s="60"/>
      <c r="D1704" s="61"/>
      <c r="E1704" s="63"/>
      <c r="F1704" s="63" t="s">
        <v>396</v>
      </c>
      <c r="G1704" s="63" t="s">
        <v>15</v>
      </c>
      <c r="H1704" s="62"/>
      <c r="I1704" s="65">
        <v>3325340.17</v>
      </c>
      <c r="J1704" s="65">
        <v>1463066.4791874164</v>
      </c>
      <c r="K1704" s="62"/>
      <c r="L1704" s="65">
        <v>3325340.17</v>
      </c>
      <c r="M1704" s="65">
        <v>1862273.6908125835</v>
      </c>
      <c r="N1704" s="65">
        <v>1463066.4791874164</v>
      </c>
      <c r="P1704">
        <f t="shared" si="91"/>
        <v>391</v>
      </c>
      <c r="Q1704" t="str">
        <f t="shared" si="92"/>
        <v>SG</v>
      </c>
      <c r="R1704" t="str">
        <f>IF(ISERROR(MATCH(P1704&amp;"."&amp;Q1704,R$5:R1703,0)),P1704&amp;"."&amp;Q1704,P1704&amp;"."&amp;Q1704&amp;COUNTIFS(P$5:P1703,P1704,Q$5:Q1703,Q1704))</f>
        <v>391.SG2</v>
      </c>
      <c r="S1704" s="55">
        <f t="shared" si="93"/>
        <v>1463066.4791874164</v>
      </c>
    </row>
    <row r="1705" spans="1:19" hidden="1">
      <c r="A1705" s="5">
        <v>1770</v>
      </c>
      <c r="B1705" s="59"/>
      <c r="C1705" s="60"/>
      <c r="D1705" s="63"/>
      <c r="E1705" s="63"/>
      <c r="F1705" s="60" t="s">
        <v>13</v>
      </c>
      <c r="G1705" s="61" t="s">
        <v>16</v>
      </c>
      <c r="H1705" s="62"/>
      <c r="I1705" s="65">
        <v>10545.430769230799</v>
      </c>
      <c r="J1705" s="65">
        <v>4572.099056906829</v>
      </c>
      <c r="K1705" s="62"/>
      <c r="L1705" s="65">
        <v>10545.430769230799</v>
      </c>
      <c r="M1705" s="65">
        <v>5973.3317123239704</v>
      </c>
      <c r="N1705" s="64">
        <v>4572.099056906829</v>
      </c>
      <c r="P1705">
        <f t="shared" si="91"/>
        <v>391</v>
      </c>
      <c r="Q1705" t="str">
        <f t="shared" si="92"/>
        <v>SE</v>
      </c>
      <c r="R1705" t="str">
        <f>IF(ISERROR(MATCH(P1705&amp;"."&amp;Q1705,R$5:R1704,0)),P1705&amp;"."&amp;Q1705,P1705&amp;"."&amp;Q1705&amp;COUNTIFS(P$5:P1704,P1705,Q$5:Q1704,Q1705))</f>
        <v>391.SE</v>
      </c>
      <c r="S1705" s="55">
        <f t="shared" si="93"/>
        <v>4572.099056906829</v>
      </c>
    </row>
    <row r="1706" spans="1:19" hidden="1">
      <c r="A1706" s="5">
        <v>1771</v>
      </c>
      <c r="B1706" s="59"/>
      <c r="C1706" s="60"/>
      <c r="D1706" s="63"/>
      <c r="E1706" s="63"/>
      <c r="F1706" s="60" t="s">
        <v>171</v>
      </c>
      <c r="G1706" s="61" t="s">
        <v>136</v>
      </c>
      <c r="H1706" s="62"/>
      <c r="I1706" s="65">
        <v>55974565.880000003</v>
      </c>
      <c r="J1706" s="65">
        <v>24292139.095173325</v>
      </c>
      <c r="K1706" s="62"/>
      <c r="L1706" s="65">
        <v>55974565.880000003</v>
      </c>
      <c r="M1706" s="65">
        <v>31516747.767998837</v>
      </c>
      <c r="N1706" s="64">
        <v>24457818.112001166</v>
      </c>
      <c r="P1706">
        <f t="shared" si="91"/>
        <v>391</v>
      </c>
      <c r="Q1706" t="str">
        <f t="shared" si="92"/>
        <v>SO</v>
      </c>
      <c r="R1706" t="str">
        <f>IF(ISERROR(MATCH(P1706&amp;"."&amp;Q1706,R$5:R1705,0)),P1706&amp;"."&amp;Q1706,P1706&amp;"."&amp;Q1706&amp;COUNTIFS(P$5:P1705,P1706,Q$5:Q1705,Q1706))</f>
        <v>391.SO</v>
      </c>
      <c r="S1706" s="55">
        <f t="shared" si="93"/>
        <v>24457818.112001166</v>
      </c>
    </row>
    <row r="1707" spans="1:19" hidden="1">
      <c r="A1707" s="5">
        <v>1772</v>
      </c>
      <c r="B1707" s="59"/>
      <c r="C1707" s="60"/>
      <c r="D1707" s="63"/>
      <c r="E1707" s="63"/>
      <c r="F1707" s="60" t="s">
        <v>396</v>
      </c>
      <c r="G1707" s="61" t="s">
        <v>15</v>
      </c>
      <c r="H1707" s="62"/>
      <c r="I1707" s="65">
        <v>0</v>
      </c>
      <c r="J1707" s="65">
        <v>0</v>
      </c>
      <c r="K1707" s="62"/>
      <c r="L1707" s="65">
        <v>0</v>
      </c>
      <c r="M1707" s="65">
        <v>0</v>
      </c>
      <c r="N1707" s="64">
        <v>0</v>
      </c>
      <c r="P1707">
        <f t="shared" si="91"/>
        <v>391</v>
      </c>
      <c r="Q1707" t="str">
        <f t="shared" si="92"/>
        <v>SG</v>
      </c>
      <c r="R1707" t="str">
        <f>IF(ISERROR(MATCH(P1707&amp;"."&amp;Q1707,R$5:R1706,0)),P1707&amp;"."&amp;Q1707,P1707&amp;"."&amp;Q1707&amp;COUNTIFS(P$5:P1706,P1707,Q$5:Q1706,Q1707))</f>
        <v>391.SG3</v>
      </c>
      <c r="S1707" s="55">
        <f t="shared" si="93"/>
        <v>0</v>
      </c>
    </row>
    <row r="1708" spans="1:19" hidden="1">
      <c r="A1708" s="5">
        <v>1773</v>
      </c>
      <c r="B1708" s="59"/>
      <c r="C1708" s="60"/>
      <c r="D1708" s="63"/>
      <c r="E1708" s="63"/>
      <c r="F1708" s="60" t="s">
        <v>396</v>
      </c>
      <c r="G1708" s="61" t="s">
        <v>15</v>
      </c>
      <c r="H1708" s="62"/>
      <c r="I1708" s="65">
        <v>4038.71</v>
      </c>
      <c r="J1708" s="65">
        <v>1776.9313568178532</v>
      </c>
      <c r="K1708" s="62"/>
      <c r="L1708" s="65">
        <v>4038.71</v>
      </c>
      <c r="M1708" s="65">
        <v>2261.7786431821469</v>
      </c>
      <c r="N1708" s="64">
        <v>1776.9313568178532</v>
      </c>
      <c r="P1708">
        <f t="shared" si="91"/>
        <v>391</v>
      </c>
      <c r="Q1708" t="str">
        <f t="shared" si="92"/>
        <v>SG</v>
      </c>
      <c r="R1708" t="str">
        <f>IF(ISERROR(MATCH(P1708&amp;"."&amp;Q1708,R$5:R1707,0)),P1708&amp;"."&amp;Q1708,P1708&amp;"."&amp;Q1708&amp;COUNTIFS(P$5:P1707,P1708,Q$5:Q1707,Q1708))</f>
        <v>391.SG4</v>
      </c>
      <c r="S1708" s="55">
        <f t="shared" si="93"/>
        <v>1776.9313568178532</v>
      </c>
    </row>
    <row r="1709" spans="1:19" hidden="1">
      <c r="A1709" s="5">
        <v>1774</v>
      </c>
      <c r="B1709" s="59"/>
      <c r="C1709" s="60"/>
      <c r="D1709" s="63"/>
      <c r="E1709" s="63"/>
      <c r="F1709" s="60"/>
      <c r="G1709" s="61"/>
      <c r="H1709" s="62" t="s">
        <v>501</v>
      </c>
      <c r="I1709" s="65">
        <v>70080772.783846155</v>
      </c>
      <c r="J1709" s="65">
        <v>29004378.507977005</v>
      </c>
      <c r="K1709" s="62"/>
      <c r="L1709" s="65">
        <v>70080772.783846155</v>
      </c>
      <c r="M1709" s="65">
        <v>40910715.259041317</v>
      </c>
      <c r="N1709" s="64">
        <v>29170057.524804845</v>
      </c>
      <c r="P1709">
        <f t="shared" si="91"/>
        <v>391</v>
      </c>
      <c r="Q1709" t="str">
        <f t="shared" si="92"/>
        <v>NA</v>
      </c>
      <c r="R1709" t="str">
        <f>IF(ISERROR(MATCH(P1709&amp;"."&amp;Q1709,R$5:R1708,0)),P1709&amp;"."&amp;Q1709,P1709&amp;"."&amp;Q1709&amp;COUNTIFS(P$5:P1708,P1709,Q$5:Q1708,Q1709))</f>
        <v>391.NA1</v>
      </c>
      <c r="S1709" s="55">
        <f t="shared" si="93"/>
        <v>29170057.524804845</v>
      </c>
    </row>
    <row r="1710" spans="1:19" hidden="1">
      <c r="A1710" s="5">
        <v>1775</v>
      </c>
      <c r="B1710" s="59"/>
      <c r="C1710" s="60"/>
      <c r="D1710" s="63"/>
      <c r="E1710" s="63"/>
      <c r="F1710" s="60"/>
      <c r="G1710" s="61"/>
      <c r="H1710" s="62"/>
      <c r="I1710" s="65"/>
      <c r="J1710" s="65"/>
      <c r="K1710" s="62"/>
      <c r="L1710" s="65"/>
      <c r="M1710" s="65"/>
      <c r="N1710" s="64"/>
      <c r="P1710">
        <f t="shared" si="91"/>
        <v>391</v>
      </c>
      <c r="Q1710" t="str">
        <f t="shared" si="92"/>
        <v>NA</v>
      </c>
      <c r="R1710" t="str">
        <f>IF(ISERROR(MATCH(P1710&amp;"."&amp;Q1710,R$5:R1709,0)),P1710&amp;"."&amp;Q1710,P1710&amp;"."&amp;Q1710&amp;COUNTIFS(P$5:P1709,P1710,Q$5:Q1709,Q1710))</f>
        <v>391.NA2</v>
      </c>
      <c r="S1710" s="55">
        <f t="shared" si="93"/>
        <v>0</v>
      </c>
    </row>
    <row r="1711" spans="1:19" hidden="1">
      <c r="A1711" s="5">
        <v>1776</v>
      </c>
      <c r="B1711" s="59"/>
      <c r="C1711" s="60">
        <v>392</v>
      </c>
      <c r="D1711" s="63" t="s">
        <v>560</v>
      </c>
      <c r="E1711" s="63"/>
      <c r="F1711" s="63"/>
      <c r="G1711" s="63"/>
      <c r="H1711" s="62"/>
      <c r="I1711" s="66"/>
      <c r="J1711" s="66"/>
      <c r="K1711" s="62"/>
      <c r="L1711" s="66"/>
      <c r="M1711" s="66"/>
      <c r="N1711" s="66"/>
      <c r="P1711">
        <f t="shared" si="91"/>
        <v>392</v>
      </c>
      <c r="Q1711" t="str">
        <f t="shared" si="92"/>
        <v>NA</v>
      </c>
      <c r="R1711" t="str">
        <f>IF(ISERROR(MATCH(P1711&amp;"."&amp;Q1711,R$5:R1710,0)),P1711&amp;"."&amp;Q1711,P1711&amp;"."&amp;Q1711&amp;COUNTIFS(P$5:P1710,P1711,Q$5:Q1710,Q1711))</f>
        <v>392.NA</v>
      </c>
      <c r="S1711" s="55">
        <f t="shared" si="93"/>
        <v>0</v>
      </c>
    </row>
    <row r="1712" spans="1:19" hidden="1">
      <c r="A1712" s="5">
        <v>1777</v>
      </c>
      <c r="B1712" s="59"/>
      <c r="C1712" s="60"/>
      <c r="D1712" s="63"/>
      <c r="E1712" s="63"/>
      <c r="F1712" s="63" t="s">
        <v>393</v>
      </c>
      <c r="G1712" s="63" t="s">
        <v>12</v>
      </c>
      <c r="H1712" s="62"/>
      <c r="I1712" s="65">
        <v>88213062.023076922</v>
      </c>
      <c r="J1712" s="65">
        <v>37167012.770769201</v>
      </c>
      <c r="K1712" s="62"/>
      <c r="L1712" s="65">
        <v>88213062.023076922</v>
      </c>
      <c r="M1712" s="65">
        <v>51046049.25230772</v>
      </c>
      <c r="N1712" s="65">
        <v>37167012.770769201</v>
      </c>
      <c r="P1712">
        <f t="shared" si="91"/>
        <v>392</v>
      </c>
      <c r="Q1712" t="str">
        <f t="shared" si="92"/>
        <v>S</v>
      </c>
      <c r="R1712" t="str">
        <f>IF(ISERROR(MATCH(P1712&amp;"."&amp;Q1712,R$5:R1711,0)),P1712&amp;"."&amp;Q1712,P1712&amp;"."&amp;Q1712&amp;COUNTIFS(P$5:P1711,P1712,Q$5:Q1711,Q1712))</f>
        <v>392.S</v>
      </c>
      <c r="S1712" s="55">
        <f t="shared" si="93"/>
        <v>37167012.770769201</v>
      </c>
    </row>
    <row r="1713" spans="1:19" hidden="1">
      <c r="A1713" s="5">
        <v>1778</v>
      </c>
      <c r="B1713" s="59"/>
      <c r="C1713" s="60"/>
      <c r="D1713" s="61"/>
      <c r="E1713" s="63"/>
      <c r="F1713" s="63" t="s">
        <v>171</v>
      </c>
      <c r="G1713" s="63" t="s">
        <v>136</v>
      </c>
      <c r="H1713" s="62"/>
      <c r="I1713" s="65">
        <v>7114837.8023076896</v>
      </c>
      <c r="J1713" s="65">
        <v>3087735.0599517627</v>
      </c>
      <c r="K1713" s="62"/>
      <c r="L1713" s="65">
        <v>7114837.8023076896</v>
      </c>
      <c r="M1713" s="65">
        <v>4006043.5467472826</v>
      </c>
      <c r="N1713" s="65">
        <v>3108794.2555604069</v>
      </c>
      <c r="P1713">
        <f t="shared" si="91"/>
        <v>392</v>
      </c>
      <c r="Q1713" t="str">
        <f t="shared" si="92"/>
        <v>SO</v>
      </c>
      <c r="R1713" t="str">
        <f>IF(ISERROR(MATCH(P1713&amp;"."&amp;Q1713,R$5:R1712,0)),P1713&amp;"."&amp;Q1713,P1713&amp;"."&amp;Q1713&amp;COUNTIFS(P$5:P1712,P1713,Q$5:Q1712,Q1713))</f>
        <v>392.SO</v>
      </c>
      <c r="S1713" s="55">
        <f t="shared" si="93"/>
        <v>3108794.2555604069</v>
      </c>
    </row>
    <row r="1714" spans="1:19" hidden="1">
      <c r="A1714" s="5">
        <v>1779</v>
      </c>
      <c r="B1714" s="59"/>
      <c r="C1714" s="60"/>
      <c r="D1714" s="63"/>
      <c r="E1714" s="63"/>
      <c r="F1714" s="60" t="s">
        <v>396</v>
      </c>
      <c r="G1714" s="61" t="s">
        <v>15</v>
      </c>
      <c r="H1714" s="62"/>
      <c r="I1714" s="65">
        <v>21245932.816153798</v>
      </c>
      <c r="J1714" s="65">
        <v>9347678.8939708769</v>
      </c>
      <c r="K1714" s="62"/>
      <c r="L1714" s="65">
        <v>21245932.816153798</v>
      </c>
      <c r="M1714" s="65">
        <v>11898253.922182921</v>
      </c>
      <c r="N1714" s="64">
        <v>9347678.8939708769</v>
      </c>
      <c r="P1714">
        <f t="shared" si="91"/>
        <v>392</v>
      </c>
      <c r="Q1714" t="str">
        <f t="shared" si="92"/>
        <v>SG</v>
      </c>
      <c r="R1714" t="str">
        <f>IF(ISERROR(MATCH(P1714&amp;"."&amp;Q1714,R$5:R1713,0)),P1714&amp;"."&amp;Q1714,P1714&amp;"."&amp;Q1714&amp;COUNTIFS(P$5:P1713,P1714,Q$5:Q1713,Q1714))</f>
        <v>392.SG</v>
      </c>
      <c r="S1714" s="55">
        <f t="shared" si="93"/>
        <v>9347678.8939708769</v>
      </c>
    </row>
    <row r="1715" spans="1:19" hidden="1">
      <c r="A1715" s="5">
        <v>1780</v>
      </c>
      <c r="B1715" s="59"/>
      <c r="C1715" s="60"/>
      <c r="D1715" s="63"/>
      <c r="E1715" s="63"/>
      <c r="F1715" s="60" t="s">
        <v>149</v>
      </c>
      <c r="G1715" s="61" t="s">
        <v>155</v>
      </c>
      <c r="H1715" s="62"/>
      <c r="I1715" s="65">
        <v>0</v>
      </c>
      <c r="J1715" s="65">
        <v>0</v>
      </c>
      <c r="K1715" s="62"/>
      <c r="L1715" s="65">
        <v>0</v>
      </c>
      <c r="M1715" s="65">
        <v>0</v>
      </c>
      <c r="N1715" s="64">
        <v>0</v>
      </c>
      <c r="P1715">
        <f t="shared" si="91"/>
        <v>392</v>
      </c>
      <c r="Q1715" t="str">
        <f t="shared" si="92"/>
        <v>CN</v>
      </c>
      <c r="R1715" t="str">
        <f>IF(ISERROR(MATCH(P1715&amp;"."&amp;Q1715,R$5:R1714,0)),P1715&amp;"."&amp;Q1715,P1715&amp;"."&amp;Q1715&amp;COUNTIFS(P$5:P1714,P1715,Q$5:Q1714,Q1715))</f>
        <v>392.CN</v>
      </c>
      <c r="S1715" s="55">
        <f t="shared" si="93"/>
        <v>0</v>
      </c>
    </row>
    <row r="1716" spans="1:19" hidden="1">
      <c r="A1716" s="5">
        <v>1781</v>
      </c>
      <c r="B1716" s="59"/>
      <c r="C1716" s="60"/>
      <c r="D1716" s="63"/>
      <c r="E1716" s="63"/>
      <c r="F1716" s="60" t="s">
        <v>395</v>
      </c>
      <c r="G1716" s="61" t="s">
        <v>15</v>
      </c>
      <c r="H1716" s="62"/>
      <c r="I1716" s="65">
        <v>472987.19153846201</v>
      </c>
      <c r="J1716" s="65">
        <v>208102.53076301716</v>
      </c>
      <c r="K1716" s="62"/>
      <c r="L1716" s="65">
        <v>472987.19153846201</v>
      </c>
      <c r="M1716" s="65">
        <v>264884.66077544482</v>
      </c>
      <c r="N1716" s="64">
        <v>208102.53076301716</v>
      </c>
      <c r="P1716">
        <f t="shared" si="91"/>
        <v>392</v>
      </c>
      <c r="Q1716" t="str">
        <f t="shared" si="92"/>
        <v>SG</v>
      </c>
      <c r="R1716" t="str">
        <f>IF(ISERROR(MATCH(P1716&amp;"."&amp;Q1716,R$5:R1715,0)),P1716&amp;"."&amp;Q1716,P1716&amp;"."&amp;Q1716&amp;COUNTIFS(P$5:P1715,P1716,Q$5:Q1715,Q1716))</f>
        <v>392.SG1</v>
      </c>
      <c r="S1716" s="55">
        <f t="shared" si="93"/>
        <v>208102.53076301716</v>
      </c>
    </row>
    <row r="1717" spans="1:19" hidden="1">
      <c r="A1717" s="5">
        <v>1782</v>
      </c>
      <c r="B1717" s="59"/>
      <c r="C1717" s="60"/>
      <c r="D1717" s="63"/>
      <c r="E1717" s="63"/>
      <c r="F1717" s="60" t="s">
        <v>13</v>
      </c>
      <c r="G1717" s="61" t="s">
        <v>16</v>
      </c>
      <c r="H1717" s="62"/>
      <c r="I1717" s="65">
        <v>500747.15461538499</v>
      </c>
      <c r="J1717" s="65">
        <v>217104.98541661541</v>
      </c>
      <c r="K1717" s="62"/>
      <c r="L1717" s="65">
        <v>500747.15461538499</v>
      </c>
      <c r="M1717" s="65">
        <v>283642.16919876961</v>
      </c>
      <c r="N1717" s="64">
        <v>217104.98541661541</v>
      </c>
      <c r="P1717">
        <f t="shared" si="91"/>
        <v>392</v>
      </c>
      <c r="Q1717" t="str">
        <f t="shared" si="92"/>
        <v>SE</v>
      </c>
      <c r="R1717" t="str">
        <f>IF(ISERROR(MATCH(P1717&amp;"."&amp;Q1717,R$5:R1716,0)),P1717&amp;"."&amp;Q1717,P1717&amp;"."&amp;Q1717&amp;COUNTIFS(P$5:P1716,P1717,Q$5:Q1716,Q1717))</f>
        <v>392.SE</v>
      </c>
      <c r="S1717" s="55">
        <f t="shared" si="93"/>
        <v>217104.98541661541</v>
      </c>
    </row>
    <row r="1718" spans="1:19" hidden="1">
      <c r="A1718" s="5">
        <v>1783</v>
      </c>
      <c r="B1718" s="59"/>
      <c r="C1718" s="60"/>
      <c r="D1718" s="63"/>
      <c r="E1718" s="63"/>
      <c r="F1718" s="60" t="s">
        <v>394</v>
      </c>
      <c r="G1718" s="61" t="s">
        <v>15</v>
      </c>
      <c r="H1718" s="62"/>
      <c r="I1718" s="65">
        <v>70615.7</v>
      </c>
      <c r="J1718" s="65">
        <v>31069.141288590283</v>
      </c>
      <c r="K1718" s="62"/>
      <c r="L1718" s="65">
        <v>70615.7</v>
      </c>
      <c r="M1718" s="65">
        <v>39546.558711409714</v>
      </c>
      <c r="N1718" s="64">
        <v>31069.141288590283</v>
      </c>
      <c r="P1718">
        <f t="shared" si="91"/>
        <v>392</v>
      </c>
      <c r="Q1718" t="str">
        <f t="shared" si="92"/>
        <v>SG</v>
      </c>
      <c r="R1718" t="str">
        <f>IF(ISERROR(MATCH(P1718&amp;"."&amp;Q1718,R$5:R1717,0)),P1718&amp;"."&amp;Q1718,P1718&amp;"."&amp;Q1718&amp;COUNTIFS(P$5:P1717,P1718,Q$5:Q1717,Q1718))</f>
        <v>392.SG2</v>
      </c>
      <c r="S1718" s="55">
        <f t="shared" si="93"/>
        <v>31069.141288590283</v>
      </c>
    </row>
    <row r="1719" spans="1:19" hidden="1">
      <c r="A1719" s="5">
        <v>1784</v>
      </c>
      <c r="B1719" s="59"/>
      <c r="C1719" s="60"/>
      <c r="D1719" s="63"/>
      <c r="E1719" s="63"/>
      <c r="F1719" s="60" t="s">
        <v>396</v>
      </c>
      <c r="G1719" s="61" t="s">
        <v>15</v>
      </c>
      <c r="H1719" s="62"/>
      <c r="I1719" s="65">
        <v>299519.48</v>
      </c>
      <c r="J1719" s="65">
        <v>131781.07761878861</v>
      </c>
      <c r="K1719" s="62"/>
      <c r="L1719" s="65">
        <v>299519.48</v>
      </c>
      <c r="M1719" s="65">
        <v>167738.40238121137</v>
      </c>
      <c r="N1719" s="64">
        <v>131781.07761878861</v>
      </c>
      <c r="P1719">
        <f t="shared" si="91"/>
        <v>392</v>
      </c>
      <c r="Q1719" t="str">
        <f t="shared" si="92"/>
        <v>SG</v>
      </c>
      <c r="R1719" t="str">
        <f>IF(ISERROR(MATCH(P1719&amp;"."&amp;Q1719,R$5:R1718,0)),P1719&amp;"."&amp;Q1719,P1719&amp;"."&amp;Q1719&amp;COUNTIFS(P$5:P1718,P1719,Q$5:Q1718,Q1719))</f>
        <v>392.SG3</v>
      </c>
      <c r="S1719" s="55">
        <f t="shared" si="93"/>
        <v>131781.07761878861</v>
      </c>
    </row>
    <row r="1720" spans="1:19" hidden="1">
      <c r="A1720" s="5">
        <v>1785</v>
      </c>
      <c r="B1720" s="59"/>
      <c r="C1720" s="60"/>
      <c r="D1720" s="63"/>
      <c r="E1720" s="63"/>
      <c r="F1720" s="60" t="s">
        <v>395</v>
      </c>
      <c r="G1720" s="61" t="s">
        <v>15</v>
      </c>
      <c r="H1720" s="62"/>
      <c r="I1720" s="65">
        <v>44655.09</v>
      </c>
      <c r="J1720" s="65">
        <v>19647.122388714055</v>
      </c>
      <c r="K1720" s="62"/>
      <c r="L1720" s="65">
        <v>44655.09</v>
      </c>
      <c r="M1720" s="65">
        <v>25007.967611285942</v>
      </c>
      <c r="N1720" s="64">
        <v>19647.122388714055</v>
      </c>
      <c r="P1720">
        <f t="shared" si="91"/>
        <v>392</v>
      </c>
      <c r="Q1720" t="str">
        <f t="shared" si="92"/>
        <v>SG</v>
      </c>
      <c r="R1720" t="str">
        <f>IF(ISERROR(MATCH(P1720&amp;"."&amp;Q1720,R$5:R1719,0)),P1720&amp;"."&amp;Q1720,P1720&amp;"."&amp;Q1720&amp;COUNTIFS(P$5:P1719,P1720,Q$5:Q1719,Q1720))</f>
        <v>392.SG4</v>
      </c>
      <c r="S1720" s="55">
        <f t="shared" si="93"/>
        <v>19647.122388714055</v>
      </c>
    </row>
    <row r="1721" spans="1:19" hidden="1">
      <c r="A1721" s="5">
        <v>1786</v>
      </c>
      <c r="B1721" s="59"/>
      <c r="C1721" s="60"/>
      <c r="D1721" s="63"/>
      <c r="E1721" s="63"/>
      <c r="F1721" s="60"/>
      <c r="G1721" s="61"/>
      <c r="H1721" s="62" t="s">
        <v>501</v>
      </c>
      <c r="I1721" s="65">
        <v>117962357.25769228</v>
      </c>
      <c r="J1721" s="65">
        <v>50210131.582167558</v>
      </c>
      <c r="K1721" s="62"/>
      <c r="L1721" s="65">
        <v>117962357.25769228</v>
      </c>
      <c r="M1721" s="65">
        <v>67731166.479916036</v>
      </c>
      <c r="N1721" s="64">
        <v>50231190.777776204</v>
      </c>
      <c r="P1721">
        <f t="shared" si="91"/>
        <v>392</v>
      </c>
      <c r="Q1721" t="str">
        <f t="shared" si="92"/>
        <v>NA</v>
      </c>
      <c r="R1721" t="str">
        <f>IF(ISERROR(MATCH(P1721&amp;"."&amp;Q1721,R$5:R1720,0)),P1721&amp;"."&amp;Q1721,P1721&amp;"."&amp;Q1721&amp;COUNTIFS(P$5:P1720,P1721,Q$5:Q1720,Q1721))</f>
        <v>392.NA1</v>
      </c>
      <c r="S1721" s="55">
        <f t="shared" si="93"/>
        <v>50231190.777776204</v>
      </c>
    </row>
    <row r="1722" spans="1:19" hidden="1">
      <c r="A1722" s="5">
        <v>1787</v>
      </c>
      <c r="B1722" s="59"/>
      <c r="C1722" s="60"/>
      <c r="D1722" s="63"/>
      <c r="E1722" s="63"/>
      <c r="F1722" s="63"/>
      <c r="G1722" s="63"/>
      <c r="H1722" s="62"/>
      <c r="I1722" s="66"/>
      <c r="J1722" s="66"/>
      <c r="K1722" s="62"/>
      <c r="L1722" s="66"/>
      <c r="M1722" s="66"/>
      <c r="N1722" s="66"/>
      <c r="P1722">
        <f t="shared" si="91"/>
        <v>392</v>
      </c>
      <c r="Q1722" t="str">
        <f t="shared" si="92"/>
        <v>NA</v>
      </c>
      <c r="R1722" t="str">
        <f>IF(ISERROR(MATCH(P1722&amp;"."&amp;Q1722,R$5:R1721,0)),P1722&amp;"."&amp;Q1722,P1722&amp;"."&amp;Q1722&amp;COUNTIFS(P$5:P1721,P1722,Q$5:Q1721,Q1722))</f>
        <v>392.NA2</v>
      </c>
      <c r="S1722" s="55">
        <f t="shared" si="93"/>
        <v>0</v>
      </c>
    </row>
    <row r="1723" spans="1:19" hidden="1">
      <c r="A1723" s="5">
        <v>1788</v>
      </c>
      <c r="B1723" s="59"/>
      <c r="C1723" s="60">
        <v>393</v>
      </c>
      <c r="D1723" s="63" t="s">
        <v>561</v>
      </c>
      <c r="E1723" s="63"/>
      <c r="F1723" s="63"/>
      <c r="G1723" s="63"/>
      <c r="H1723" s="62"/>
      <c r="I1723" s="65"/>
      <c r="J1723" s="65"/>
      <c r="K1723" s="62"/>
      <c r="L1723" s="65"/>
      <c r="M1723" s="65"/>
      <c r="N1723" s="65"/>
      <c r="P1723">
        <f t="shared" si="91"/>
        <v>393</v>
      </c>
      <c r="Q1723" t="str">
        <f t="shared" si="92"/>
        <v>NA</v>
      </c>
      <c r="R1723" t="str">
        <f>IF(ISERROR(MATCH(P1723&amp;"."&amp;Q1723,R$5:R1722,0)),P1723&amp;"."&amp;Q1723,P1723&amp;"."&amp;Q1723&amp;COUNTIFS(P$5:P1722,P1723,Q$5:Q1722,Q1723))</f>
        <v>393.NA</v>
      </c>
      <c r="S1723" s="55">
        <f t="shared" si="93"/>
        <v>0</v>
      </c>
    </row>
    <row r="1724" spans="1:19" hidden="1">
      <c r="A1724" s="5">
        <v>1789</v>
      </c>
      <c r="B1724" s="59"/>
      <c r="C1724" s="60"/>
      <c r="D1724" s="61"/>
      <c r="E1724" s="63"/>
      <c r="F1724" s="63" t="s">
        <v>393</v>
      </c>
      <c r="G1724" s="63" t="s">
        <v>12</v>
      </c>
      <c r="H1724" s="62"/>
      <c r="I1724" s="65">
        <v>8533070.0869230665</v>
      </c>
      <c r="J1724" s="65">
        <v>3306767.45307692</v>
      </c>
      <c r="K1724" s="62"/>
      <c r="L1724" s="65">
        <v>8533070.0869230665</v>
      </c>
      <c r="M1724" s="65">
        <v>5226302.633846147</v>
      </c>
      <c r="N1724" s="65">
        <v>3306767.45307692</v>
      </c>
      <c r="P1724">
        <f t="shared" si="91"/>
        <v>393</v>
      </c>
      <c r="Q1724" t="str">
        <f t="shared" si="92"/>
        <v>S</v>
      </c>
      <c r="R1724" t="str">
        <f>IF(ISERROR(MATCH(P1724&amp;"."&amp;Q1724,R$5:R1723,0)),P1724&amp;"."&amp;Q1724,P1724&amp;"."&amp;Q1724&amp;COUNTIFS(P$5:P1723,P1724,Q$5:Q1723,Q1724))</f>
        <v>393.S</v>
      </c>
      <c r="S1724" s="55">
        <f t="shared" si="93"/>
        <v>3306767.45307692</v>
      </c>
    </row>
    <row r="1725" spans="1:19" hidden="1">
      <c r="A1725" s="5">
        <v>1790</v>
      </c>
      <c r="B1725" s="59"/>
      <c r="C1725" s="60"/>
      <c r="D1725" s="63"/>
      <c r="E1725" s="63"/>
      <c r="F1725" s="60" t="s">
        <v>394</v>
      </c>
      <c r="G1725" s="61" t="s">
        <v>15</v>
      </c>
      <c r="H1725" s="62"/>
      <c r="I1725" s="65">
        <v>0</v>
      </c>
      <c r="J1725" s="65">
        <v>0</v>
      </c>
      <c r="K1725" s="62"/>
      <c r="L1725" s="65">
        <v>0</v>
      </c>
      <c r="M1725" s="65">
        <v>0</v>
      </c>
      <c r="N1725" s="64">
        <v>0</v>
      </c>
      <c r="P1725">
        <f t="shared" si="91"/>
        <v>393</v>
      </c>
      <c r="Q1725" t="str">
        <f t="shared" si="92"/>
        <v>SG</v>
      </c>
      <c r="R1725" t="str">
        <f>IF(ISERROR(MATCH(P1725&amp;"."&amp;Q1725,R$5:R1724,0)),P1725&amp;"."&amp;Q1725,P1725&amp;"."&amp;Q1725&amp;COUNTIFS(P$5:P1724,P1725,Q$5:Q1724,Q1725))</f>
        <v>393.SG</v>
      </c>
      <c r="S1725" s="55">
        <f t="shared" si="93"/>
        <v>0</v>
      </c>
    </row>
    <row r="1726" spans="1:19" hidden="1">
      <c r="A1726" s="5">
        <v>1791</v>
      </c>
      <c r="B1726" s="59"/>
      <c r="C1726" s="60"/>
      <c r="D1726" s="63"/>
      <c r="E1726" s="63"/>
      <c r="F1726" s="60" t="s">
        <v>395</v>
      </c>
      <c r="G1726" s="61" t="s">
        <v>15</v>
      </c>
      <c r="H1726" s="62"/>
      <c r="I1726" s="65">
        <v>0</v>
      </c>
      <c r="J1726" s="65">
        <v>0</v>
      </c>
      <c r="K1726" s="62"/>
      <c r="L1726" s="65">
        <v>0</v>
      </c>
      <c r="M1726" s="65">
        <v>0</v>
      </c>
      <c r="N1726" s="64">
        <v>0</v>
      </c>
      <c r="P1726">
        <f t="shared" si="91"/>
        <v>393</v>
      </c>
      <c r="Q1726" t="str">
        <f t="shared" si="92"/>
        <v>SG</v>
      </c>
      <c r="R1726" t="str">
        <f>IF(ISERROR(MATCH(P1726&amp;"."&amp;Q1726,R$5:R1725,0)),P1726&amp;"."&amp;Q1726,P1726&amp;"."&amp;Q1726&amp;COUNTIFS(P$5:P1725,P1726,Q$5:Q1725,Q1726))</f>
        <v>393.SG1</v>
      </c>
      <c r="S1726" s="55">
        <f t="shared" si="93"/>
        <v>0</v>
      </c>
    </row>
    <row r="1727" spans="1:19" hidden="1">
      <c r="A1727" s="5">
        <v>1792</v>
      </c>
      <c r="B1727" s="59"/>
      <c r="C1727" s="60"/>
      <c r="D1727" s="63"/>
      <c r="E1727" s="63"/>
      <c r="F1727" s="60" t="s">
        <v>171</v>
      </c>
      <c r="G1727" s="61" t="s">
        <v>136</v>
      </c>
      <c r="H1727" s="62"/>
      <c r="I1727" s="65">
        <v>255084.57</v>
      </c>
      <c r="J1727" s="65">
        <v>110702.95513781797</v>
      </c>
      <c r="K1727" s="62"/>
      <c r="L1727" s="65">
        <v>255084.57</v>
      </c>
      <c r="M1727" s="65">
        <v>143626.59050243703</v>
      </c>
      <c r="N1727" s="64">
        <v>111457.97949756299</v>
      </c>
      <c r="P1727">
        <f t="shared" si="91"/>
        <v>393</v>
      </c>
      <c r="Q1727" t="str">
        <f t="shared" si="92"/>
        <v>SO</v>
      </c>
      <c r="R1727" t="str">
        <f>IF(ISERROR(MATCH(P1727&amp;"."&amp;Q1727,R$5:R1726,0)),P1727&amp;"."&amp;Q1727,P1727&amp;"."&amp;Q1727&amp;COUNTIFS(P$5:P1726,P1727,Q$5:Q1726,Q1727))</f>
        <v>393.SO</v>
      </c>
      <c r="S1727" s="55">
        <f t="shared" si="93"/>
        <v>111457.97949756299</v>
      </c>
    </row>
    <row r="1728" spans="1:19" hidden="1">
      <c r="A1728" s="5">
        <v>1793</v>
      </c>
      <c r="B1728" s="59"/>
      <c r="C1728" s="60"/>
      <c r="D1728" s="63"/>
      <c r="E1728" s="63"/>
      <c r="F1728" s="60" t="s">
        <v>396</v>
      </c>
      <c r="G1728" s="61" t="s">
        <v>15</v>
      </c>
      <c r="H1728" s="62"/>
      <c r="I1728" s="65">
        <v>5849438.1615384603</v>
      </c>
      <c r="J1728" s="65">
        <v>2573606.445871247</v>
      </c>
      <c r="K1728" s="62"/>
      <c r="L1728" s="65">
        <v>5849438.1615384603</v>
      </c>
      <c r="M1728" s="65">
        <v>3275831.7156672133</v>
      </c>
      <c r="N1728" s="64">
        <v>2573606.445871247</v>
      </c>
      <c r="P1728">
        <f t="shared" si="91"/>
        <v>393</v>
      </c>
      <c r="Q1728" t="str">
        <f t="shared" si="92"/>
        <v>SG</v>
      </c>
      <c r="R1728" t="str">
        <f>IF(ISERROR(MATCH(P1728&amp;"."&amp;Q1728,R$5:R1727,0)),P1728&amp;"."&amp;Q1728,P1728&amp;"."&amp;Q1728&amp;COUNTIFS(P$5:P1727,P1728,Q$5:Q1727,Q1728))</f>
        <v>393.SG2</v>
      </c>
      <c r="S1728" s="55">
        <f t="shared" si="93"/>
        <v>2573606.445871247</v>
      </c>
    </row>
    <row r="1729" spans="1:19" hidden="1">
      <c r="A1729" s="5">
        <v>1794</v>
      </c>
      <c r="B1729" s="59"/>
      <c r="C1729" s="60"/>
      <c r="D1729" s="63"/>
      <c r="E1729" s="63"/>
      <c r="F1729" s="60" t="s">
        <v>395</v>
      </c>
      <c r="G1729" s="61" t="s">
        <v>15</v>
      </c>
      <c r="H1729" s="62"/>
      <c r="I1729" s="65">
        <v>53970.76</v>
      </c>
      <c r="J1729" s="65">
        <v>23745.784122972611</v>
      </c>
      <c r="K1729" s="62"/>
      <c r="L1729" s="65">
        <v>53970.76</v>
      </c>
      <c r="M1729" s="65">
        <v>30224.975877027391</v>
      </c>
      <c r="N1729" s="64">
        <v>23745.784122972611</v>
      </c>
      <c r="P1729">
        <f t="shared" si="91"/>
        <v>393</v>
      </c>
      <c r="Q1729" t="str">
        <f t="shared" si="92"/>
        <v>SG</v>
      </c>
      <c r="R1729" t="str">
        <f>IF(ISERROR(MATCH(P1729&amp;"."&amp;Q1729,R$5:R1728,0)),P1729&amp;"."&amp;Q1729,P1729&amp;"."&amp;Q1729&amp;COUNTIFS(P$5:P1728,P1729,Q$5:Q1728,Q1729))</f>
        <v>393.SG3</v>
      </c>
      <c r="S1729" s="55">
        <f t="shared" si="93"/>
        <v>23745.784122972611</v>
      </c>
    </row>
    <row r="1730" spans="1:19" hidden="1">
      <c r="A1730" s="5">
        <v>1795</v>
      </c>
      <c r="B1730" s="59"/>
      <c r="C1730" s="60"/>
      <c r="D1730" s="63"/>
      <c r="E1730" s="63"/>
      <c r="F1730" s="60"/>
      <c r="G1730" s="61"/>
      <c r="H1730" s="62" t="s">
        <v>501</v>
      </c>
      <c r="I1730" s="65">
        <v>14691563.578461526</v>
      </c>
      <c r="J1730" s="65">
        <v>6014822.6382089583</v>
      </c>
      <c r="K1730" s="62"/>
      <c r="L1730" s="65">
        <v>14691563.578461526</v>
      </c>
      <c r="M1730" s="65">
        <v>8675985.9158928245</v>
      </c>
      <c r="N1730" s="64">
        <v>6015577.6625687024</v>
      </c>
      <c r="P1730">
        <f t="shared" si="91"/>
        <v>393</v>
      </c>
      <c r="Q1730" t="str">
        <f t="shared" si="92"/>
        <v>NA</v>
      </c>
      <c r="R1730" t="str">
        <f>IF(ISERROR(MATCH(P1730&amp;"."&amp;Q1730,R$5:R1729,0)),P1730&amp;"."&amp;Q1730,P1730&amp;"."&amp;Q1730&amp;COUNTIFS(P$5:P1729,P1730,Q$5:Q1729,Q1730))</f>
        <v>393.NA1</v>
      </c>
      <c r="S1730" s="55">
        <f t="shared" si="93"/>
        <v>6015577.6625687024</v>
      </c>
    </row>
    <row r="1731" spans="1:19" hidden="1">
      <c r="A1731" s="5">
        <v>1796</v>
      </c>
      <c r="B1731" s="59"/>
      <c r="C1731" s="60"/>
      <c r="D1731" s="63"/>
      <c r="E1731" s="63"/>
      <c r="F1731" s="60"/>
      <c r="G1731" s="61"/>
      <c r="H1731" s="62"/>
      <c r="I1731" s="65"/>
      <c r="J1731" s="65"/>
      <c r="K1731" s="62"/>
      <c r="L1731" s="65"/>
      <c r="M1731" s="65"/>
      <c r="N1731" s="64"/>
      <c r="P1731">
        <f t="shared" si="91"/>
        <v>393</v>
      </c>
      <c r="Q1731" t="str">
        <f t="shared" si="92"/>
        <v>NA</v>
      </c>
      <c r="R1731" t="str">
        <f>IF(ISERROR(MATCH(P1731&amp;"."&amp;Q1731,R$5:R1730,0)),P1731&amp;"."&amp;Q1731,P1731&amp;"."&amp;Q1731&amp;COUNTIFS(P$5:P1730,P1731,Q$5:Q1730,Q1731))</f>
        <v>393.NA2</v>
      </c>
      <c r="S1731" s="55">
        <f t="shared" si="93"/>
        <v>0</v>
      </c>
    </row>
    <row r="1732" spans="1:19" hidden="1">
      <c r="A1732" s="5">
        <v>1797</v>
      </c>
      <c r="B1732" s="59"/>
      <c r="C1732" s="60">
        <v>394</v>
      </c>
      <c r="D1732" s="63" t="s">
        <v>562</v>
      </c>
      <c r="E1732" s="63"/>
      <c r="F1732" s="60"/>
      <c r="G1732" s="61"/>
      <c r="H1732" s="62"/>
      <c r="I1732" s="65"/>
      <c r="J1732" s="65"/>
      <c r="K1732" s="62"/>
      <c r="L1732" s="65"/>
      <c r="M1732" s="65"/>
      <c r="N1732" s="64"/>
      <c r="P1732">
        <f t="shared" si="91"/>
        <v>394</v>
      </c>
      <c r="Q1732" t="str">
        <f t="shared" si="92"/>
        <v>NA</v>
      </c>
      <c r="R1732" t="str">
        <f>IF(ISERROR(MATCH(P1732&amp;"."&amp;Q1732,R$5:R1731,0)),P1732&amp;"."&amp;Q1732,P1732&amp;"."&amp;Q1732&amp;COUNTIFS(P$5:P1731,P1732,Q$5:Q1731,Q1732))</f>
        <v>394.NA</v>
      </c>
      <c r="S1732" s="55">
        <f t="shared" si="93"/>
        <v>0</v>
      </c>
    </row>
    <row r="1733" spans="1:19" hidden="1">
      <c r="A1733" s="5">
        <v>1798</v>
      </c>
      <c r="B1733" s="59"/>
      <c r="C1733" s="60"/>
      <c r="D1733" s="63"/>
      <c r="E1733" s="63"/>
      <c r="F1733" s="63" t="s">
        <v>393</v>
      </c>
      <c r="G1733" s="63" t="s">
        <v>12</v>
      </c>
      <c r="H1733" s="62"/>
      <c r="I1733" s="66">
        <v>34924627.957692273</v>
      </c>
      <c r="J1733" s="66">
        <v>14454151.8384615</v>
      </c>
      <c r="K1733" s="62"/>
      <c r="L1733" s="66">
        <v>34924627.957692273</v>
      </c>
      <c r="M1733" s="66">
        <v>20470476.119230773</v>
      </c>
      <c r="N1733" s="66">
        <v>14454151.8384615</v>
      </c>
      <c r="P1733">
        <f t="shared" si="91"/>
        <v>394</v>
      </c>
      <c r="Q1733" t="str">
        <f t="shared" si="92"/>
        <v>S</v>
      </c>
      <c r="R1733" t="str">
        <f>IF(ISERROR(MATCH(P1733&amp;"."&amp;Q1733,R$5:R1732,0)),P1733&amp;"."&amp;Q1733,P1733&amp;"."&amp;Q1733&amp;COUNTIFS(P$5:P1732,P1733,Q$5:Q1732,Q1733))</f>
        <v>394.S</v>
      </c>
      <c r="S1733" s="55">
        <f t="shared" si="93"/>
        <v>14454151.8384615</v>
      </c>
    </row>
    <row r="1734" spans="1:19" hidden="1">
      <c r="A1734" s="5">
        <v>1799</v>
      </c>
      <c r="B1734" s="59"/>
      <c r="C1734" s="63"/>
      <c r="D1734" s="63"/>
      <c r="E1734" s="63"/>
      <c r="F1734" s="63" t="s">
        <v>394</v>
      </c>
      <c r="G1734" s="63" t="s">
        <v>15</v>
      </c>
      <c r="H1734" s="62"/>
      <c r="I1734" s="69">
        <v>93867.155384615398</v>
      </c>
      <c r="J1734" s="69">
        <v>41299.199937162331</v>
      </c>
      <c r="K1734" s="62"/>
      <c r="L1734" s="69">
        <v>93867.155384615398</v>
      </c>
      <c r="M1734" s="65">
        <v>52567.955447453067</v>
      </c>
      <c r="N1734" s="65">
        <v>41299.199937162331</v>
      </c>
      <c r="P1734">
        <f t="shared" si="91"/>
        <v>394</v>
      </c>
      <c r="Q1734" t="str">
        <f t="shared" si="92"/>
        <v>SG</v>
      </c>
      <c r="R1734" t="str">
        <f>IF(ISERROR(MATCH(P1734&amp;"."&amp;Q1734,R$5:R1733,0)),P1734&amp;"."&amp;Q1734,P1734&amp;"."&amp;Q1734&amp;COUNTIFS(P$5:P1733,P1734,Q$5:Q1733,Q1734))</f>
        <v>394.SG</v>
      </c>
      <c r="S1734" s="55">
        <f t="shared" si="93"/>
        <v>41299.199937162331</v>
      </c>
    </row>
    <row r="1735" spans="1:19" hidden="1">
      <c r="A1735" s="5">
        <v>1800</v>
      </c>
      <c r="B1735" s="59"/>
      <c r="C1735" s="60"/>
      <c r="D1735" s="61"/>
      <c r="E1735" s="63"/>
      <c r="F1735" s="63" t="s">
        <v>396</v>
      </c>
      <c r="G1735" s="63" t="s">
        <v>15</v>
      </c>
      <c r="H1735" s="62"/>
      <c r="I1735" s="65">
        <v>22399542.8261538</v>
      </c>
      <c r="J1735" s="65">
        <v>9855238.4365743212</v>
      </c>
      <c r="K1735" s="62"/>
      <c r="L1735" s="65">
        <v>22399542.8261538</v>
      </c>
      <c r="M1735" s="65">
        <v>12544304.389579479</v>
      </c>
      <c r="N1735" s="65">
        <v>9855238.4365743212</v>
      </c>
      <c r="P1735">
        <f t="shared" ref="P1735:P1798" si="94">IF(OR(C1735="",C1735=" ",C1735="  ",C1735="   "),P1734,C1735)</f>
        <v>394</v>
      </c>
      <c r="Q1735" t="str">
        <f t="shared" ref="Q1735:Q1798" si="95">IF(G1735="","NA",G1735)</f>
        <v>SG</v>
      </c>
      <c r="R1735" t="str">
        <f>IF(ISERROR(MATCH(P1735&amp;"."&amp;Q1735,R$5:R1734,0)),P1735&amp;"."&amp;Q1735,P1735&amp;"."&amp;Q1735&amp;COUNTIFS(P$5:P1734,P1735,Q$5:Q1734,Q1735))</f>
        <v>394.SG1</v>
      </c>
      <c r="S1735" s="55">
        <f t="shared" si="93"/>
        <v>9855238.4365743212</v>
      </c>
    </row>
    <row r="1736" spans="1:19" hidden="1">
      <c r="A1736" s="5">
        <v>1801</v>
      </c>
      <c r="B1736" s="59"/>
      <c r="C1736" s="60"/>
      <c r="D1736" s="63"/>
      <c r="E1736" s="63"/>
      <c r="F1736" s="60" t="s">
        <v>171</v>
      </c>
      <c r="G1736" s="61" t="s">
        <v>136</v>
      </c>
      <c r="H1736" s="62"/>
      <c r="I1736" s="65">
        <v>2208107.6769230799</v>
      </c>
      <c r="J1736" s="65">
        <v>958286.28559495846</v>
      </c>
      <c r="K1736" s="62"/>
      <c r="L1736" s="65">
        <v>2208107.6769230799</v>
      </c>
      <c r="M1736" s="65">
        <v>1243285.6173884554</v>
      </c>
      <c r="N1736" s="64">
        <v>964822.05953462445</v>
      </c>
      <c r="P1736">
        <f t="shared" si="94"/>
        <v>394</v>
      </c>
      <c r="Q1736" t="str">
        <f t="shared" si="95"/>
        <v>SO</v>
      </c>
      <c r="R1736" t="str">
        <f>IF(ISERROR(MATCH(P1736&amp;"."&amp;Q1736,R$5:R1735,0)),P1736&amp;"."&amp;Q1736,P1736&amp;"."&amp;Q1736&amp;COUNTIFS(P$5:P1735,P1736,Q$5:Q1735,Q1736))</f>
        <v>394.SO</v>
      </c>
      <c r="S1736" s="55">
        <f t="shared" ref="S1736:S1799" si="96">N1736</f>
        <v>964822.05953462445</v>
      </c>
    </row>
    <row r="1737" spans="1:19" hidden="1">
      <c r="A1737" s="5">
        <v>1802</v>
      </c>
      <c r="B1737" s="59"/>
      <c r="C1737" s="60"/>
      <c r="D1737" s="63"/>
      <c r="E1737" s="63"/>
      <c r="F1737" s="60" t="s">
        <v>13</v>
      </c>
      <c r="G1737" s="61" t="s">
        <v>16</v>
      </c>
      <c r="H1737" s="62"/>
      <c r="I1737" s="65">
        <v>109750.19230769201</v>
      </c>
      <c r="J1737" s="65">
        <v>47583.523302760543</v>
      </c>
      <c r="K1737" s="62"/>
      <c r="L1737" s="65">
        <v>109750.19230769201</v>
      </c>
      <c r="M1737" s="65">
        <v>62166.669004931464</v>
      </c>
      <c r="N1737" s="64">
        <v>47583.523302760543</v>
      </c>
      <c r="P1737">
        <f t="shared" si="94"/>
        <v>394</v>
      </c>
      <c r="Q1737" t="str">
        <f t="shared" si="95"/>
        <v>SE</v>
      </c>
      <c r="R1737" t="str">
        <f>IF(ISERROR(MATCH(P1737&amp;"."&amp;Q1737,R$5:R1736,0)),P1737&amp;"."&amp;Q1737,P1737&amp;"."&amp;Q1737&amp;COUNTIFS(P$5:P1736,P1737,Q$5:Q1736,Q1737))</f>
        <v>394.SE</v>
      </c>
      <c r="S1737" s="55">
        <f t="shared" si="96"/>
        <v>47583.523302760543</v>
      </c>
    </row>
    <row r="1738" spans="1:19" hidden="1">
      <c r="A1738" s="5">
        <v>1803</v>
      </c>
      <c r="B1738" s="59"/>
      <c r="C1738" s="60"/>
      <c r="D1738" s="63"/>
      <c r="E1738" s="63"/>
      <c r="F1738" s="60" t="s">
        <v>395</v>
      </c>
      <c r="G1738" s="61" t="s">
        <v>15</v>
      </c>
      <c r="H1738" s="62"/>
      <c r="I1738" s="65">
        <v>0</v>
      </c>
      <c r="J1738" s="65">
        <v>0</v>
      </c>
      <c r="K1738" s="62"/>
      <c r="L1738" s="65">
        <v>0</v>
      </c>
      <c r="M1738" s="65">
        <v>0</v>
      </c>
      <c r="N1738" s="64">
        <v>0</v>
      </c>
      <c r="P1738">
        <f t="shared" si="94"/>
        <v>394</v>
      </c>
      <c r="Q1738" t="str">
        <f t="shared" si="95"/>
        <v>SG</v>
      </c>
      <c r="R1738" t="str">
        <f>IF(ISERROR(MATCH(P1738&amp;"."&amp;Q1738,R$5:R1737,0)),P1738&amp;"."&amp;Q1738,P1738&amp;"."&amp;Q1738&amp;COUNTIFS(P$5:P1737,P1738,Q$5:Q1737,Q1738))</f>
        <v>394.SG2</v>
      </c>
      <c r="S1738" s="55">
        <f t="shared" si="96"/>
        <v>0</v>
      </c>
    </row>
    <row r="1739" spans="1:19" hidden="1">
      <c r="A1739" s="5">
        <v>1804</v>
      </c>
      <c r="B1739" s="59"/>
      <c r="C1739" s="60"/>
      <c r="D1739" s="63"/>
      <c r="E1739" s="63"/>
      <c r="F1739" s="60" t="s">
        <v>396</v>
      </c>
      <c r="G1739" s="61" t="s">
        <v>15</v>
      </c>
      <c r="H1739" s="62"/>
      <c r="I1739" s="65">
        <v>1718615.4338461501</v>
      </c>
      <c r="J1739" s="65">
        <v>756147.7934073857</v>
      </c>
      <c r="K1739" s="62"/>
      <c r="L1739" s="65">
        <v>1718615.4338461501</v>
      </c>
      <c r="M1739" s="65">
        <v>962467.64043876436</v>
      </c>
      <c r="N1739" s="64">
        <v>756147.7934073857</v>
      </c>
      <c r="P1739">
        <f t="shared" si="94"/>
        <v>394</v>
      </c>
      <c r="Q1739" t="str">
        <f t="shared" si="95"/>
        <v>SG</v>
      </c>
      <c r="R1739" t="str">
        <f>IF(ISERROR(MATCH(P1739&amp;"."&amp;Q1739,R$5:R1738,0)),P1739&amp;"."&amp;Q1739,P1739&amp;"."&amp;Q1739&amp;COUNTIFS(P$5:P1738,P1739,Q$5:Q1738,Q1739))</f>
        <v>394.SG3</v>
      </c>
      <c r="S1739" s="55">
        <f t="shared" si="96"/>
        <v>756147.7934073857</v>
      </c>
    </row>
    <row r="1740" spans="1:19" hidden="1">
      <c r="A1740" s="5">
        <v>1805</v>
      </c>
      <c r="B1740" s="59"/>
      <c r="C1740" s="60"/>
      <c r="D1740" s="63"/>
      <c r="E1740" s="63"/>
      <c r="F1740" s="60" t="s">
        <v>396</v>
      </c>
      <c r="G1740" s="61" t="s">
        <v>15</v>
      </c>
      <c r="H1740" s="62"/>
      <c r="I1740" s="65">
        <v>89913.38</v>
      </c>
      <c r="J1740" s="65">
        <v>39559.637686161972</v>
      </c>
      <c r="K1740" s="62"/>
      <c r="L1740" s="65">
        <v>89913.38</v>
      </c>
      <c r="M1740" s="65">
        <v>50353.742313838033</v>
      </c>
      <c r="N1740" s="64">
        <v>39559.637686161972</v>
      </c>
      <c r="P1740">
        <f t="shared" si="94"/>
        <v>394</v>
      </c>
      <c r="Q1740" t="str">
        <f t="shared" si="95"/>
        <v>SG</v>
      </c>
      <c r="R1740" t="str">
        <f>IF(ISERROR(MATCH(P1740&amp;"."&amp;Q1740,R$5:R1739,0)),P1740&amp;"."&amp;Q1740,P1740&amp;"."&amp;Q1740&amp;COUNTIFS(P$5:P1739,P1740,Q$5:Q1739,Q1740))</f>
        <v>394.SG4</v>
      </c>
      <c r="S1740" s="55">
        <f t="shared" si="96"/>
        <v>39559.637686161972</v>
      </c>
    </row>
    <row r="1741" spans="1:19" hidden="1">
      <c r="A1741" s="5">
        <v>1806</v>
      </c>
      <c r="B1741" s="59"/>
      <c r="C1741" s="60"/>
      <c r="D1741" s="63"/>
      <c r="E1741" s="63"/>
      <c r="F1741" s="60"/>
      <c r="G1741" s="61"/>
      <c r="H1741" s="62" t="s">
        <v>501</v>
      </c>
      <c r="I1741" s="65">
        <v>61544424.622307613</v>
      </c>
      <c r="J1741" s="65">
        <v>26152266.714964252</v>
      </c>
      <c r="K1741" s="62"/>
      <c r="L1741" s="65">
        <v>61544424.622307613</v>
      </c>
      <c r="M1741" s="65">
        <v>35385622.133403696</v>
      </c>
      <c r="N1741" s="64">
        <v>26158802.488903917</v>
      </c>
      <c r="P1741">
        <f t="shared" si="94"/>
        <v>394</v>
      </c>
      <c r="Q1741" t="str">
        <f t="shared" si="95"/>
        <v>NA</v>
      </c>
      <c r="R1741" t="str">
        <f>IF(ISERROR(MATCH(P1741&amp;"."&amp;Q1741,R$5:R1740,0)),P1741&amp;"."&amp;Q1741,P1741&amp;"."&amp;Q1741&amp;COUNTIFS(P$5:P1740,P1741,Q$5:Q1740,Q1741))</f>
        <v>394.NA1</v>
      </c>
      <c r="S1741" s="55">
        <f t="shared" si="96"/>
        <v>26158802.488903917</v>
      </c>
    </row>
    <row r="1742" spans="1:19" hidden="1">
      <c r="A1742" s="5">
        <v>1807</v>
      </c>
      <c r="B1742" s="59"/>
      <c r="C1742" s="60"/>
      <c r="D1742" s="63"/>
      <c r="E1742" s="63"/>
      <c r="F1742" s="60"/>
      <c r="G1742" s="61"/>
      <c r="H1742" s="62"/>
      <c r="I1742" s="65"/>
      <c r="J1742" s="65"/>
      <c r="K1742" s="62"/>
      <c r="L1742" s="65"/>
      <c r="M1742" s="65"/>
      <c r="N1742" s="64"/>
      <c r="P1742">
        <f t="shared" si="94"/>
        <v>394</v>
      </c>
      <c r="Q1742" t="str">
        <f t="shared" si="95"/>
        <v>NA</v>
      </c>
      <c r="R1742" t="str">
        <f>IF(ISERROR(MATCH(P1742&amp;"."&amp;Q1742,R$5:R1741,0)),P1742&amp;"."&amp;Q1742,P1742&amp;"."&amp;Q1742&amp;COUNTIFS(P$5:P1741,P1742,Q$5:Q1741,Q1742))</f>
        <v>394.NA2</v>
      </c>
      <c r="S1742" s="55">
        <f t="shared" si="96"/>
        <v>0</v>
      </c>
    </row>
    <row r="1743" spans="1:19" hidden="1">
      <c r="A1743" s="5">
        <v>1808</v>
      </c>
      <c r="B1743" s="59"/>
      <c r="C1743" s="60">
        <v>395</v>
      </c>
      <c r="D1743" s="63" t="s">
        <v>563</v>
      </c>
      <c r="E1743" s="63"/>
      <c r="F1743" s="60"/>
      <c r="G1743" s="61"/>
      <c r="H1743" s="62"/>
      <c r="I1743" s="65"/>
      <c r="J1743" s="65"/>
      <c r="K1743" s="62"/>
      <c r="L1743" s="65"/>
      <c r="M1743" s="65"/>
      <c r="N1743" s="64"/>
      <c r="P1743">
        <f t="shared" si="94"/>
        <v>395</v>
      </c>
      <c r="Q1743" t="str">
        <f t="shared" si="95"/>
        <v>NA</v>
      </c>
      <c r="R1743" t="str">
        <f>IF(ISERROR(MATCH(P1743&amp;"."&amp;Q1743,R$5:R1742,0)),P1743&amp;"."&amp;Q1743,P1743&amp;"."&amp;Q1743&amp;COUNTIFS(P$5:P1742,P1743,Q$5:Q1742,Q1743))</f>
        <v>395.NA</v>
      </c>
      <c r="S1743" s="55">
        <f t="shared" si="96"/>
        <v>0</v>
      </c>
    </row>
    <row r="1744" spans="1:19" hidden="1">
      <c r="A1744" s="5">
        <v>1809</v>
      </c>
      <c r="B1744" s="59"/>
      <c r="C1744" s="60"/>
      <c r="D1744" s="63"/>
      <c r="E1744" s="63"/>
      <c r="F1744" s="63" t="s">
        <v>393</v>
      </c>
      <c r="G1744" s="63" t="s">
        <v>12</v>
      </c>
      <c r="H1744" s="62"/>
      <c r="I1744" s="66">
        <v>21630155.203076929</v>
      </c>
      <c r="J1744" s="66">
        <v>7906771.4076923104</v>
      </c>
      <c r="K1744" s="62"/>
      <c r="L1744" s="66">
        <v>21630155.203076929</v>
      </c>
      <c r="M1744" s="66">
        <v>13723383.795384619</v>
      </c>
      <c r="N1744" s="66">
        <v>7906771.4076923104</v>
      </c>
      <c r="P1744">
        <f t="shared" si="94"/>
        <v>395</v>
      </c>
      <c r="Q1744" t="str">
        <f t="shared" si="95"/>
        <v>S</v>
      </c>
      <c r="R1744" t="str">
        <f>IF(ISERROR(MATCH(P1744&amp;"."&amp;Q1744,R$5:R1743,0)),P1744&amp;"."&amp;Q1744,P1744&amp;"."&amp;Q1744&amp;COUNTIFS(P$5:P1743,P1744,Q$5:Q1743,Q1744))</f>
        <v>395.S</v>
      </c>
      <c r="S1744" s="55">
        <f t="shared" si="96"/>
        <v>7906771.4076923104</v>
      </c>
    </row>
    <row r="1745" spans="1:19" hidden="1">
      <c r="A1745" s="5">
        <v>1810</v>
      </c>
      <c r="B1745" s="59"/>
      <c r="C1745" s="60"/>
      <c r="D1745" s="61"/>
      <c r="E1745" s="63"/>
      <c r="F1745" s="63" t="s">
        <v>394</v>
      </c>
      <c r="G1745" s="63" t="s">
        <v>15</v>
      </c>
      <c r="H1745" s="62"/>
      <c r="I1745" s="65">
        <v>0</v>
      </c>
      <c r="J1745" s="65">
        <v>0</v>
      </c>
      <c r="K1745" s="62"/>
      <c r="L1745" s="65">
        <v>0</v>
      </c>
      <c r="M1745" s="65">
        <v>0</v>
      </c>
      <c r="N1745" s="65">
        <v>0</v>
      </c>
      <c r="P1745">
        <f t="shared" si="94"/>
        <v>395</v>
      </c>
      <c r="Q1745" t="str">
        <f t="shared" si="95"/>
        <v>SG</v>
      </c>
      <c r="R1745" t="str">
        <f>IF(ISERROR(MATCH(P1745&amp;"."&amp;Q1745,R$5:R1744,0)),P1745&amp;"."&amp;Q1745,P1745&amp;"."&amp;Q1745&amp;COUNTIFS(P$5:P1744,P1745,Q$5:Q1744,Q1745))</f>
        <v>395.SG</v>
      </c>
      <c r="S1745" s="55">
        <f t="shared" si="96"/>
        <v>0</v>
      </c>
    </row>
    <row r="1746" spans="1:19" hidden="1">
      <c r="A1746" s="5">
        <v>1811</v>
      </c>
      <c r="B1746" s="59"/>
      <c r="C1746" s="60"/>
      <c r="D1746" s="63"/>
      <c r="E1746" s="63"/>
      <c r="F1746" s="60" t="s">
        <v>395</v>
      </c>
      <c r="G1746" s="61" t="s">
        <v>15</v>
      </c>
      <c r="H1746" s="62"/>
      <c r="I1746" s="65">
        <v>0</v>
      </c>
      <c r="J1746" s="65">
        <v>0</v>
      </c>
      <c r="K1746" s="62"/>
      <c r="L1746" s="65">
        <v>0</v>
      </c>
      <c r="M1746" s="65">
        <v>0</v>
      </c>
      <c r="N1746" s="64">
        <v>0</v>
      </c>
      <c r="P1746">
        <f t="shared" si="94"/>
        <v>395</v>
      </c>
      <c r="Q1746" t="str">
        <f t="shared" si="95"/>
        <v>SG</v>
      </c>
      <c r="R1746" t="str">
        <f>IF(ISERROR(MATCH(P1746&amp;"."&amp;Q1746,R$5:R1745,0)),P1746&amp;"."&amp;Q1746,P1746&amp;"."&amp;Q1746&amp;COUNTIFS(P$5:P1745,P1746,Q$5:Q1745,Q1746))</f>
        <v>395.SG1</v>
      </c>
      <c r="S1746" s="55">
        <f t="shared" si="96"/>
        <v>0</v>
      </c>
    </row>
    <row r="1747" spans="1:19" hidden="1">
      <c r="A1747" s="5">
        <v>1812</v>
      </c>
      <c r="B1747" s="59"/>
      <c r="C1747" s="60"/>
      <c r="D1747" s="63"/>
      <c r="E1747" s="63"/>
      <c r="F1747" s="60" t="s">
        <v>171</v>
      </c>
      <c r="G1747" s="61" t="s">
        <v>136</v>
      </c>
      <c r="H1747" s="62"/>
      <c r="I1747" s="65">
        <v>4958344.2861538501</v>
      </c>
      <c r="J1747" s="65">
        <v>2151848.5617062049</v>
      </c>
      <c r="K1747" s="62"/>
      <c r="L1747" s="65">
        <v>4958344.2861538501</v>
      </c>
      <c r="M1747" s="65">
        <v>2791819.5301170801</v>
      </c>
      <c r="N1747" s="64">
        <v>2166524.7560367701</v>
      </c>
      <c r="P1747">
        <f t="shared" si="94"/>
        <v>395</v>
      </c>
      <c r="Q1747" t="str">
        <f t="shared" si="95"/>
        <v>SO</v>
      </c>
      <c r="R1747" t="str">
        <f>IF(ISERROR(MATCH(P1747&amp;"."&amp;Q1747,R$5:R1746,0)),P1747&amp;"."&amp;Q1747,P1747&amp;"."&amp;Q1747&amp;COUNTIFS(P$5:P1746,P1747,Q$5:Q1746,Q1747))</f>
        <v>395.SO</v>
      </c>
      <c r="S1747" s="55">
        <f t="shared" si="96"/>
        <v>2166524.7560367701</v>
      </c>
    </row>
    <row r="1748" spans="1:19" hidden="1">
      <c r="A1748" s="5">
        <v>1813</v>
      </c>
      <c r="B1748" s="59"/>
      <c r="C1748" s="60"/>
      <c r="D1748" s="63"/>
      <c r="E1748" s="63"/>
      <c r="F1748" s="60" t="s">
        <v>13</v>
      </c>
      <c r="G1748" s="61" t="s">
        <v>16</v>
      </c>
      <c r="H1748" s="62"/>
      <c r="I1748" s="65">
        <v>1261168.92384615</v>
      </c>
      <c r="J1748" s="65">
        <v>546795.04076226358</v>
      </c>
      <c r="K1748" s="62"/>
      <c r="L1748" s="65">
        <v>1261168.92384615</v>
      </c>
      <c r="M1748" s="65">
        <v>714373.88308388647</v>
      </c>
      <c r="N1748" s="64">
        <v>546795.04076226358</v>
      </c>
      <c r="P1748">
        <f t="shared" si="94"/>
        <v>395</v>
      </c>
      <c r="Q1748" t="str">
        <f t="shared" si="95"/>
        <v>SE</v>
      </c>
      <c r="R1748" t="str">
        <f>IF(ISERROR(MATCH(P1748&amp;"."&amp;Q1748,R$5:R1747,0)),P1748&amp;"."&amp;Q1748,P1748&amp;"."&amp;Q1748&amp;COUNTIFS(P$5:P1747,P1748,Q$5:Q1747,Q1748))</f>
        <v>395.SE</v>
      </c>
      <c r="S1748" s="55">
        <f t="shared" si="96"/>
        <v>546795.04076226358</v>
      </c>
    </row>
    <row r="1749" spans="1:19" hidden="1">
      <c r="A1749" s="5">
        <v>1814</v>
      </c>
      <c r="B1749" s="59"/>
      <c r="C1749" s="60"/>
      <c r="D1749" s="63"/>
      <c r="E1749" s="63"/>
      <c r="F1749" s="60" t="s">
        <v>396</v>
      </c>
      <c r="G1749" s="61" t="s">
        <v>15</v>
      </c>
      <c r="H1749" s="62"/>
      <c r="I1749" s="65">
        <v>6336393.5561538497</v>
      </c>
      <c r="J1749" s="65">
        <v>2787854.6365221473</v>
      </c>
      <c r="K1749" s="62"/>
      <c r="L1749" s="65">
        <v>6336393.5561538497</v>
      </c>
      <c r="M1749" s="65">
        <v>3548538.9196317024</v>
      </c>
      <c r="N1749" s="64">
        <v>2787854.6365221473</v>
      </c>
      <c r="P1749">
        <f t="shared" si="94"/>
        <v>395</v>
      </c>
      <c r="Q1749" t="str">
        <f t="shared" si="95"/>
        <v>SG</v>
      </c>
      <c r="R1749" t="str">
        <f>IF(ISERROR(MATCH(P1749&amp;"."&amp;Q1749,R$5:R1748,0)),P1749&amp;"."&amp;Q1749,P1749&amp;"."&amp;Q1749&amp;COUNTIFS(P$5:P1748,P1749,Q$5:Q1748,Q1749))</f>
        <v>395.SG2</v>
      </c>
      <c r="S1749" s="55">
        <f t="shared" si="96"/>
        <v>2787854.6365221473</v>
      </c>
    </row>
    <row r="1750" spans="1:19" hidden="1">
      <c r="A1750" s="5">
        <v>1815</v>
      </c>
      <c r="B1750" s="59"/>
      <c r="C1750" s="60"/>
      <c r="D1750" s="63"/>
      <c r="E1750" s="63"/>
      <c r="F1750" s="60" t="s">
        <v>396</v>
      </c>
      <c r="G1750" s="61" t="s">
        <v>15</v>
      </c>
      <c r="H1750" s="62"/>
      <c r="I1750" s="65">
        <v>223587.09</v>
      </c>
      <c r="J1750" s="65">
        <v>98372.725746749682</v>
      </c>
      <c r="K1750" s="62"/>
      <c r="L1750" s="65">
        <v>223587.09</v>
      </c>
      <c r="M1750" s="65">
        <v>125214.36425325031</v>
      </c>
      <c r="N1750" s="64">
        <v>98372.725746749682</v>
      </c>
      <c r="P1750">
        <f t="shared" si="94"/>
        <v>395</v>
      </c>
      <c r="Q1750" t="str">
        <f t="shared" si="95"/>
        <v>SG</v>
      </c>
      <c r="R1750" t="str">
        <f>IF(ISERROR(MATCH(P1750&amp;"."&amp;Q1750,R$5:R1749,0)),P1750&amp;"."&amp;Q1750,P1750&amp;"."&amp;Q1750&amp;COUNTIFS(P$5:P1749,P1750,Q$5:Q1749,Q1750))</f>
        <v>395.SG3</v>
      </c>
      <c r="S1750" s="55">
        <f t="shared" si="96"/>
        <v>98372.725746749682</v>
      </c>
    </row>
    <row r="1751" spans="1:19" hidden="1">
      <c r="A1751" s="5">
        <v>1816</v>
      </c>
      <c r="B1751" s="59"/>
      <c r="C1751" s="60"/>
      <c r="D1751" s="63"/>
      <c r="E1751" s="63"/>
      <c r="F1751" s="60" t="s">
        <v>396</v>
      </c>
      <c r="G1751" s="61" t="s">
        <v>15</v>
      </c>
      <c r="H1751" s="62"/>
      <c r="I1751" s="65">
        <v>14021.51</v>
      </c>
      <c r="J1751" s="65">
        <v>6169.1136003662295</v>
      </c>
      <c r="K1751" s="62"/>
      <c r="L1751" s="65">
        <v>14021.51</v>
      </c>
      <c r="M1751" s="65">
        <v>7852.3963996337707</v>
      </c>
      <c r="N1751" s="64">
        <v>6169.1136003662295</v>
      </c>
      <c r="P1751">
        <f t="shared" si="94"/>
        <v>395</v>
      </c>
      <c r="Q1751" t="str">
        <f t="shared" si="95"/>
        <v>SG</v>
      </c>
      <c r="R1751" t="str">
        <f>IF(ISERROR(MATCH(P1751&amp;"."&amp;Q1751,R$5:R1750,0)),P1751&amp;"."&amp;Q1751,P1751&amp;"."&amp;Q1751&amp;COUNTIFS(P$5:P1750,P1751,Q$5:Q1750,Q1751))</f>
        <v>395.SG4</v>
      </c>
      <c r="S1751" s="55">
        <f t="shared" si="96"/>
        <v>6169.1136003662295</v>
      </c>
    </row>
    <row r="1752" spans="1:19" hidden="1">
      <c r="A1752" s="5">
        <v>1817</v>
      </c>
      <c r="B1752" s="59"/>
      <c r="C1752" s="60"/>
      <c r="D1752" s="63"/>
      <c r="E1752" s="63"/>
      <c r="F1752" s="60"/>
      <c r="G1752" s="61"/>
      <c r="H1752" s="62" t="s">
        <v>501</v>
      </c>
      <c r="I1752" s="65">
        <v>34423670.56923078</v>
      </c>
      <c r="J1752" s="65">
        <v>13497811.486030042</v>
      </c>
      <c r="K1752" s="62"/>
      <c r="L1752" s="65">
        <v>34423670.56923078</v>
      </c>
      <c r="M1752" s="65">
        <v>20911182.888870168</v>
      </c>
      <c r="N1752" s="64">
        <v>13512487.680360608</v>
      </c>
      <c r="P1752">
        <f t="shared" si="94"/>
        <v>395</v>
      </c>
      <c r="Q1752" t="str">
        <f t="shared" si="95"/>
        <v>NA</v>
      </c>
      <c r="R1752" t="str">
        <f>IF(ISERROR(MATCH(P1752&amp;"."&amp;Q1752,R$5:R1751,0)),P1752&amp;"."&amp;Q1752,P1752&amp;"."&amp;Q1752&amp;COUNTIFS(P$5:P1751,P1752,Q$5:Q1751,Q1752))</f>
        <v>395.NA1</v>
      </c>
      <c r="S1752" s="55">
        <f t="shared" si="96"/>
        <v>13512487.680360608</v>
      </c>
    </row>
    <row r="1753" spans="1:19" hidden="1">
      <c r="A1753" s="5">
        <v>1818</v>
      </c>
      <c r="B1753" s="59"/>
      <c r="C1753" s="60"/>
      <c r="D1753" s="63"/>
      <c r="E1753" s="63"/>
      <c r="F1753" s="60"/>
      <c r="G1753" s="61"/>
      <c r="H1753" s="62"/>
      <c r="I1753" s="65"/>
      <c r="J1753" s="65"/>
      <c r="K1753" s="62"/>
      <c r="L1753" s="65"/>
      <c r="M1753" s="65"/>
      <c r="N1753" s="64"/>
      <c r="P1753">
        <f t="shared" si="94"/>
        <v>395</v>
      </c>
      <c r="Q1753" t="str">
        <f t="shared" si="95"/>
        <v>NA</v>
      </c>
      <c r="R1753" t="str">
        <f>IF(ISERROR(MATCH(P1753&amp;"."&amp;Q1753,R$5:R1752,0)),P1753&amp;"."&amp;Q1753,P1753&amp;"."&amp;Q1753&amp;COUNTIFS(P$5:P1752,P1753,Q$5:Q1752,Q1753))</f>
        <v>395.NA2</v>
      </c>
      <c r="S1753" s="55">
        <f t="shared" si="96"/>
        <v>0</v>
      </c>
    </row>
    <row r="1754" spans="1:19" hidden="1">
      <c r="A1754" s="5">
        <v>1819</v>
      </c>
      <c r="B1754" s="59"/>
      <c r="C1754" s="60">
        <v>396</v>
      </c>
      <c r="D1754" s="63" t="s">
        <v>564</v>
      </c>
      <c r="E1754" s="63"/>
      <c r="F1754" s="60"/>
      <c r="G1754" s="61"/>
      <c r="H1754" s="62"/>
      <c r="I1754" s="65"/>
      <c r="J1754" s="65"/>
      <c r="K1754" s="62"/>
      <c r="L1754" s="65"/>
      <c r="M1754" s="65"/>
      <c r="N1754" s="64"/>
      <c r="P1754">
        <f t="shared" si="94"/>
        <v>396</v>
      </c>
      <c r="Q1754" t="str">
        <f t="shared" si="95"/>
        <v>NA</v>
      </c>
      <c r="R1754" t="str">
        <f>IF(ISERROR(MATCH(P1754&amp;"."&amp;Q1754,R$5:R1753,0)),P1754&amp;"."&amp;Q1754,P1754&amp;"."&amp;Q1754&amp;COUNTIFS(P$5:P1753,P1754,Q$5:Q1753,Q1754))</f>
        <v>396.NA</v>
      </c>
      <c r="S1754" s="55">
        <f t="shared" si="96"/>
        <v>0</v>
      </c>
    </row>
    <row r="1755" spans="1:19" hidden="1">
      <c r="A1755" s="5">
        <v>1820</v>
      </c>
      <c r="B1755" s="59"/>
      <c r="C1755" s="60"/>
      <c r="D1755" s="63"/>
      <c r="E1755" s="63"/>
      <c r="F1755" s="63" t="s">
        <v>393</v>
      </c>
      <c r="G1755" s="63" t="s">
        <v>12</v>
      </c>
      <c r="H1755" s="62"/>
      <c r="I1755" s="66">
        <v>136448153.77846155</v>
      </c>
      <c r="J1755" s="66">
        <v>50541225.1646154</v>
      </c>
      <c r="K1755" s="62"/>
      <c r="L1755" s="66">
        <v>136448153.77846155</v>
      </c>
      <c r="M1755" s="66">
        <v>85906928.613846153</v>
      </c>
      <c r="N1755" s="66">
        <v>50541225.1646154</v>
      </c>
      <c r="P1755">
        <f t="shared" si="94"/>
        <v>396</v>
      </c>
      <c r="Q1755" t="str">
        <f t="shared" si="95"/>
        <v>S</v>
      </c>
      <c r="R1755" t="str">
        <f>IF(ISERROR(MATCH(P1755&amp;"."&amp;Q1755,R$5:R1754,0)),P1755&amp;"."&amp;Q1755,P1755&amp;"."&amp;Q1755&amp;COUNTIFS(P$5:P1754,P1755,Q$5:Q1754,Q1755))</f>
        <v>396.S</v>
      </c>
      <c r="S1755" s="55">
        <f t="shared" si="96"/>
        <v>50541225.1646154</v>
      </c>
    </row>
    <row r="1756" spans="1:19" hidden="1">
      <c r="A1756" s="5">
        <v>1821</v>
      </c>
      <c r="B1756" s="59"/>
      <c r="C1756" s="60"/>
      <c r="D1756" s="63"/>
      <c r="E1756" s="63"/>
      <c r="F1756" s="63" t="s">
        <v>394</v>
      </c>
      <c r="G1756" s="63" t="s">
        <v>15</v>
      </c>
      <c r="H1756" s="62"/>
      <c r="I1756" s="65">
        <v>277140.94923076901</v>
      </c>
      <c r="J1756" s="65">
        <v>121935.08396156647</v>
      </c>
      <c r="K1756" s="62"/>
      <c r="L1756" s="65">
        <v>277140.94923076901</v>
      </c>
      <c r="M1756" s="65">
        <v>155205.86526920254</v>
      </c>
      <c r="N1756" s="65">
        <v>121935.08396156647</v>
      </c>
      <c r="P1756">
        <f t="shared" si="94"/>
        <v>396</v>
      </c>
      <c r="Q1756" t="str">
        <f t="shared" si="95"/>
        <v>SG</v>
      </c>
      <c r="R1756" t="str">
        <f>IF(ISERROR(MATCH(P1756&amp;"."&amp;Q1756,R$5:R1755,0)),P1756&amp;"."&amp;Q1756,P1756&amp;"."&amp;Q1756&amp;COUNTIFS(P$5:P1755,P1756,Q$5:Q1755,Q1756))</f>
        <v>396.SG</v>
      </c>
      <c r="S1756" s="55">
        <f t="shared" si="96"/>
        <v>121935.08396156647</v>
      </c>
    </row>
    <row r="1757" spans="1:19" hidden="1">
      <c r="A1757" s="5">
        <v>1822</v>
      </c>
      <c r="B1757" s="59"/>
      <c r="C1757" s="60"/>
      <c r="D1757" s="61"/>
      <c r="E1757" s="63"/>
      <c r="F1757" s="63" t="s">
        <v>396</v>
      </c>
      <c r="G1757" s="63" t="s">
        <v>15</v>
      </c>
      <c r="H1757" s="62"/>
      <c r="I1757" s="65">
        <v>44145185.307692297</v>
      </c>
      <c r="J1757" s="65">
        <v>19422777.081239611</v>
      </c>
      <c r="K1757" s="62"/>
      <c r="L1757" s="65">
        <v>44145185.307692297</v>
      </c>
      <c r="M1757" s="65">
        <v>24722408.226452686</v>
      </c>
      <c r="N1757" s="65">
        <v>19422777.081239611</v>
      </c>
      <c r="P1757">
        <f t="shared" si="94"/>
        <v>396</v>
      </c>
      <c r="Q1757" t="str">
        <f t="shared" si="95"/>
        <v>SG</v>
      </c>
      <c r="R1757" t="str">
        <f>IF(ISERROR(MATCH(P1757&amp;"."&amp;Q1757,R$5:R1756,0)),P1757&amp;"."&amp;Q1757,P1757&amp;"."&amp;Q1757&amp;COUNTIFS(P$5:P1756,P1757,Q$5:Q1756,Q1757))</f>
        <v>396.SG1</v>
      </c>
      <c r="S1757" s="55">
        <f t="shared" si="96"/>
        <v>19422777.081239611</v>
      </c>
    </row>
    <row r="1758" spans="1:19" hidden="1">
      <c r="A1758" s="5">
        <v>1823</v>
      </c>
      <c r="B1758" s="59"/>
      <c r="C1758" s="60"/>
      <c r="D1758" s="63"/>
      <c r="E1758" s="63"/>
      <c r="F1758" s="60" t="s">
        <v>171</v>
      </c>
      <c r="G1758" s="61" t="s">
        <v>136</v>
      </c>
      <c r="H1758" s="62"/>
      <c r="I1758" s="65">
        <v>6711774.6707692305</v>
      </c>
      <c r="J1758" s="65">
        <v>2912811.5835203561</v>
      </c>
      <c r="K1758" s="62"/>
      <c r="L1758" s="65">
        <v>6711774.6707692305</v>
      </c>
      <c r="M1758" s="65">
        <v>3779096.9174780007</v>
      </c>
      <c r="N1758" s="64">
        <v>2932677.7532912297</v>
      </c>
      <c r="P1758">
        <f t="shared" si="94"/>
        <v>396</v>
      </c>
      <c r="Q1758" t="str">
        <f t="shared" si="95"/>
        <v>SO</v>
      </c>
      <c r="R1758" t="str">
        <f>IF(ISERROR(MATCH(P1758&amp;"."&amp;Q1758,R$5:R1757,0)),P1758&amp;"."&amp;Q1758,P1758&amp;"."&amp;Q1758&amp;COUNTIFS(P$5:P1757,P1758,Q$5:Q1757,Q1758))</f>
        <v>396.SO</v>
      </c>
      <c r="S1758" s="55">
        <f t="shared" si="96"/>
        <v>2932677.7532912297</v>
      </c>
    </row>
    <row r="1759" spans="1:19" hidden="1">
      <c r="A1759" s="5">
        <v>1824</v>
      </c>
      <c r="B1759" s="59"/>
      <c r="C1759" s="60"/>
      <c r="D1759" s="63"/>
      <c r="E1759" s="63"/>
      <c r="F1759" s="60" t="s">
        <v>395</v>
      </c>
      <c r="G1759" s="61" t="s">
        <v>15</v>
      </c>
      <c r="H1759" s="62"/>
      <c r="I1759" s="65">
        <v>1057504.3700000001</v>
      </c>
      <c r="J1759" s="65">
        <v>465275.46543943713</v>
      </c>
      <c r="K1759" s="62"/>
      <c r="L1759" s="65">
        <v>1057504.3700000001</v>
      </c>
      <c r="M1759" s="65">
        <v>592228.90456056292</v>
      </c>
      <c r="N1759" s="64">
        <v>465275.46543943713</v>
      </c>
      <c r="P1759">
        <f t="shared" si="94"/>
        <v>396</v>
      </c>
      <c r="Q1759" t="str">
        <f t="shared" si="95"/>
        <v>SG</v>
      </c>
      <c r="R1759" t="str">
        <f>IF(ISERROR(MATCH(P1759&amp;"."&amp;Q1759,R$5:R1758,0)),P1759&amp;"."&amp;Q1759,P1759&amp;"."&amp;Q1759&amp;COUNTIFS(P$5:P1758,P1759,Q$5:Q1758,Q1759))</f>
        <v>396.SG2</v>
      </c>
      <c r="S1759" s="55">
        <f t="shared" si="96"/>
        <v>465275.46543943713</v>
      </c>
    </row>
    <row r="1760" spans="1:19" hidden="1">
      <c r="A1760" s="5">
        <v>1825</v>
      </c>
      <c r="B1760" s="59"/>
      <c r="C1760" s="60"/>
      <c r="D1760" s="63"/>
      <c r="E1760" s="63"/>
      <c r="F1760" s="60" t="s">
        <v>13</v>
      </c>
      <c r="G1760" s="61" t="s">
        <v>16</v>
      </c>
      <c r="H1760" s="62"/>
      <c r="I1760" s="65">
        <v>249546.72923076901</v>
      </c>
      <c r="J1760" s="65">
        <v>108194.00272383617</v>
      </c>
      <c r="K1760" s="62"/>
      <c r="L1760" s="65">
        <v>249546.72923076901</v>
      </c>
      <c r="M1760" s="65">
        <v>141352.72650693284</v>
      </c>
      <c r="N1760" s="64">
        <v>108194.00272383617</v>
      </c>
      <c r="P1760">
        <f t="shared" si="94"/>
        <v>396</v>
      </c>
      <c r="Q1760" t="str">
        <f t="shared" si="95"/>
        <v>SE</v>
      </c>
      <c r="R1760" t="str">
        <f>IF(ISERROR(MATCH(P1760&amp;"."&amp;Q1760,R$5:R1759,0)),P1760&amp;"."&amp;Q1760,P1760&amp;"."&amp;Q1760&amp;COUNTIFS(P$5:P1759,P1760,Q$5:Q1759,Q1760))</f>
        <v>396.SE</v>
      </c>
      <c r="S1760" s="55">
        <f t="shared" si="96"/>
        <v>108194.00272383617</v>
      </c>
    </row>
    <row r="1761" spans="1:19" hidden="1">
      <c r="A1761" s="5">
        <v>1826</v>
      </c>
      <c r="B1761" s="59"/>
      <c r="C1761" s="60"/>
      <c r="D1761" s="63"/>
      <c r="E1761" s="63"/>
      <c r="F1761" s="60" t="s">
        <v>13</v>
      </c>
      <c r="G1761" s="61" t="s">
        <v>15</v>
      </c>
      <c r="H1761" s="62"/>
      <c r="I1761" s="65">
        <v>0</v>
      </c>
      <c r="J1761" s="65">
        <v>0</v>
      </c>
      <c r="K1761" s="62"/>
      <c r="L1761" s="65">
        <v>0</v>
      </c>
      <c r="M1761" s="65">
        <v>0</v>
      </c>
      <c r="N1761" s="64">
        <v>0</v>
      </c>
      <c r="P1761">
        <f t="shared" si="94"/>
        <v>396</v>
      </c>
      <c r="Q1761" t="str">
        <f t="shared" si="95"/>
        <v>SG</v>
      </c>
      <c r="R1761" t="str">
        <f>IF(ISERROR(MATCH(P1761&amp;"."&amp;Q1761,R$5:R1760,0)),P1761&amp;"."&amp;Q1761,P1761&amp;"."&amp;Q1761&amp;COUNTIFS(P$5:P1760,P1761,Q$5:Q1760,Q1761))</f>
        <v>396.SG3</v>
      </c>
      <c r="S1761" s="55">
        <f t="shared" si="96"/>
        <v>0</v>
      </c>
    </row>
    <row r="1762" spans="1:19" hidden="1">
      <c r="A1762" s="5">
        <v>1827</v>
      </c>
      <c r="B1762" s="59"/>
      <c r="C1762" s="60"/>
      <c r="D1762" s="63"/>
      <c r="E1762" s="63"/>
      <c r="F1762" s="60" t="s">
        <v>396</v>
      </c>
      <c r="G1762" s="61" t="s">
        <v>15</v>
      </c>
      <c r="H1762" s="62"/>
      <c r="I1762" s="65">
        <v>1374377.8530769199</v>
      </c>
      <c r="J1762" s="65">
        <v>604691.87023786781</v>
      </c>
      <c r="K1762" s="62"/>
      <c r="L1762" s="65">
        <v>1374377.8530769199</v>
      </c>
      <c r="M1762" s="65">
        <v>769685.9828390521</v>
      </c>
      <c r="N1762" s="64">
        <v>604691.87023786781</v>
      </c>
      <c r="P1762">
        <f t="shared" si="94"/>
        <v>396</v>
      </c>
      <c r="Q1762" t="str">
        <f t="shared" si="95"/>
        <v>SG</v>
      </c>
      <c r="R1762" t="str">
        <f>IF(ISERROR(MATCH(P1762&amp;"."&amp;Q1762,R$5:R1761,0)),P1762&amp;"."&amp;Q1762,P1762&amp;"."&amp;Q1762&amp;COUNTIFS(P$5:P1761,P1762,Q$5:Q1761,Q1762))</f>
        <v>396.SG4</v>
      </c>
      <c r="S1762" s="55">
        <f t="shared" si="96"/>
        <v>604691.87023786781</v>
      </c>
    </row>
    <row r="1763" spans="1:19" hidden="1">
      <c r="A1763" s="5">
        <v>1828</v>
      </c>
      <c r="B1763" s="59"/>
      <c r="C1763" s="60"/>
      <c r="D1763" s="63"/>
      <c r="E1763" s="63"/>
      <c r="F1763" s="60"/>
      <c r="G1763" s="61"/>
      <c r="H1763" s="62" t="s">
        <v>501</v>
      </c>
      <c r="I1763" s="65">
        <v>190263683.65846151</v>
      </c>
      <c r="J1763" s="65">
        <v>74176910.251738086</v>
      </c>
      <c r="K1763" s="62"/>
      <c r="L1763" s="65">
        <v>190263683.65846151</v>
      </c>
      <c r="M1763" s="65">
        <v>116066907.23695259</v>
      </c>
      <c r="N1763" s="64">
        <v>74196776.421508968</v>
      </c>
      <c r="P1763">
        <f t="shared" si="94"/>
        <v>396</v>
      </c>
      <c r="Q1763" t="str">
        <f t="shared" si="95"/>
        <v>NA</v>
      </c>
      <c r="R1763" t="str">
        <f>IF(ISERROR(MATCH(P1763&amp;"."&amp;Q1763,R$5:R1762,0)),P1763&amp;"."&amp;Q1763,P1763&amp;"."&amp;Q1763&amp;COUNTIFS(P$5:P1762,P1763,Q$5:Q1762,Q1763))</f>
        <v>396.NA1</v>
      </c>
      <c r="S1763" s="55">
        <f t="shared" si="96"/>
        <v>74196776.421508968</v>
      </c>
    </row>
    <row r="1764" spans="1:19" hidden="1">
      <c r="A1764" s="5">
        <v>1829</v>
      </c>
      <c r="B1764" s="59"/>
      <c r="C1764" s="60">
        <v>397</v>
      </c>
      <c r="D1764" s="63" t="s">
        <v>565</v>
      </c>
      <c r="E1764" s="63"/>
      <c r="F1764" s="60"/>
      <c r="G1764" s="61"/>
      <c r="H1764" s="62"/>
      <c r="I1764" s="65"/>
      <c r="J1764" s="65"/>
      <c r="K1764" s="62"/>
      <c r="L1764" s="65"/>
      <c r="M1764" s="65"/>
      <c r="N1764" s="64"/>
      <c r="P1764">
        <f t="shared" si="94"/>
        <v>397</v>
      </c>
      <c r="Q1764" t="str">
        <f t="shared" si="95"/>
        <v>NA</v>
      </c>
      <c r="R1764" t="str">
        <f>IF(ISERROR(MATCH(P1764&amp;"."&amp;Q1764,R$5:R1763,0)),P1764&amp;"."&amp;Q1764,P1764&amp;"."&amp;Q1764&amp;COUNTIFS(P$5:P1763,P1764,Q$5:Q1763,Q1764))</f>
        <v>397.NA</v>
      </c>
      <c r="S1764" s="55">
        <f t="shared" si="96"/>
        <v>0</v>
      </c>
    </row>
    <row r="1765" spans="1:19" hidden="1">
      <c r="A1765" s="5">
        <v>1830</v>
      </c>
      <c r="B1765" s="59"/>
      <c r="C1765" s="60"/>
      <c r="D1765" s="63"/>
      <c r="E1765" s="63"/>
      <c r="F1765" s="60" t="s">
        <v>393</v>
      </c>
      <c r="G1765" s="61" t="s">
        <v>12</v>
      </c>
      <c r="H1765" s="62"/>
      <c r="I1765" s="65">
        <v>203253989.43230769</v>
      </c>
      <c r="J1765" s="65">
        <v>63203006.626153797</v>
      </c>
      <c r="K1765" s="62"/>
      <c r="L1765" s="65">
        <v>284577658.97146374</v>
      </c>
      <c r="M1765" s="65">
        <v>164344794.86085114</v>
      </c>
      <c r="N1765" s="64">
        <v>120232864.1106126</v>
      </c>
      <c r="P1765">
        <f t="shared" si="94"/>
        <v>397</v>
      </c>
      <c r="Q1765" t="str">
        <f t="shared" si="95"/>
        <v>S</v>
      </c>
      <c r="R1765" t="str">
        <f>IF(ISERROR(MATCH(P1765&amp;"."&amp;Q1765,R$5:R1764,0)),P1765&amp;"."&amp;Q1765,P1765&amp;"."&amp;Q1765&amp;COUNTIFS(P$5:P1764,P1765,Q$5:Q1764,Q1765))</f>
        <v>397.S</v>
      </c>
      <c r="S1765" s="55">
        <f t="shared" si="96"/>
        <v>120232864.1106126</v>
      </c>
    </row>
    <row r="1766" spans="1:19" hidden="1">
      <c r="A1766" s="5">
        <v>1831</v>
      </c>
      <c r="B1766" s="59"/>
      <c r="C1766" s="60"/>
      <c r="D1766" s="63"/>
      <c r="E1766" s="63"/>
      <c r="F1766" s="63" t="s">
        <v>394</v>
      </c>
      <c r="G1766" s="63" t="s">
        <v>15</v>
      </c>
      <c r="H1766" s="62"/>
      <c r="I1766" s="66">
        <v>412543.75</v>
      </c>
      <c r="J1766" s="66">
        <v>181508.92870105186</v>
      </c>
      <c r="K1766" s="62"/>
      <c r="L1766" s="66">
        <v>191265.91438461584</v>
      </c>
      <c r="M1766" s="66">
        <v>107113.69727557291</v>
      </c>
      <c r="N1766" s="66">
        <v>84152.217109042933</v>
      </c>
      <c r="P1766">
        <f t="shared" si="94"/>
        <v>397</v>
      </c>
      <c r="Q1766" t="str">
        <f t="shared" si="95"/>
        <v>SG</v>
      </c>
      <c r="R1766" t="str">
        <f>IF(ISERROR(MATCH(P1766&amp;"."&amp;Q1766,R$5:R1765,0)),P1766&amp;"."&amp;Q1766,P1766&amp;"."&amp;Q1766&amp;COUNTIFS(P$5:P1765,P1766,Q$5:Q1765,Q1766))</f>
        <v>397.SG</v>
      </c>
      <c r="S1766" s="55">
        <f t="shared" si="96"/>
        <v>84152.217109042933</v>
      </c>
    </row>
    <row r="1767" spans="1:19" hidden="1">
      <c r="A1767" s="5">
        <v>1832</v>
      </c>
      <c r="B1767" s="59"/>
      <c r="C1767" s="60"/>
      <c r="D1767" s="63"/>
      <c r="E1767" s="63"/>
      <c r="F1767" s="63" t="s">
        <v>395</v>
      </c>
      <c r="G1767" s="63" t="s">
        <v>15</v>
      </c>
      <c r="H1767" s="62"/>
      <c r="I1767" s="65">
        <v>1136750.28</v>
      </c>
      <c r="J1767" s="65">
        <v>500141.68321158848</v>
      </c>
      <c r="K1767" s="62"/>
      <c r="L1767" s="65">
        <v>881822.74346153555</v>
      </c>
      <c r="M1767" s="65">
        <v>493842.79837710311</v>
      </c>
      <c r="N1767" s="65">
        <v>387979.94508443243</v>
      </c>
      <c r="P1767">
        <f t="shared" si="94"/>
        <v>397</v>
      </c>
      <c r="Q1767" t="str">
        <f t="shared" si="95"/>
        <v>SG</v>
      </c>
      <c r="R1767" t="str">
        <f>IF(ISERROR(MATCH(P1767&amp;"."&amp;Q1767,R$5:R1766,0)),P1767&amp;"."&amp;Q1767,P1767&amp;"."&amp;Q1767&amp;COUNTIFS(P$5:P1766,P1767,Q$5:Q1766,Q1767))</f>
        <v>397.SG1</v>
      </c>
      <c r="S1767" s="55">
        <f t="shared" si="96"/>
        <v>387979.94508443243</v>
      </c>
    </row>
    <row r="1768" spans="1:19" hidden="1">
      <c r="A1768" s="5">
        <v>1833</v>
      </c>
      <c r="B1768" s="59"/>
      <c r="C1768" s="60"/>
      <c r="D1768" s="61"/>
      <c r="E1768" s="63"/>
      <c r="F1768" s="63" t="s">
        <v>171</v>
      </c>
      <c r="G1768" s="63" t="s">
        <v>136</v>
      </c>
      <c r="H1768" s="62"/>
      <c r="I1768" s="65">
        <v>93463015.8276923</v>
      </c>
      <c r="J1768" s="65">
        <v>40561575.512851253</v>
      </c>
      <c r="K1768" s="62"/>
      <c r="L1768" s="65">
        <v>116491369.4189761</v>
      </c>
      <c r="M1768" s="65">
        <v>65591024.234070271</v>
      </c>
      <c r="N1768" s="65">
        <v>50900345.184905827</v>
      </c>
      <c r="P1768">
        <f t="shared" si="94"/>
        <v>397</v>
      </c>
      <c r="Q1768" t="str">
        <f t="shared" si="95"/>
        <v>SO</v>
      </c>
      <c r="R1768" t="str">
        <f>IF(ISERROR(MATCH(P1768&amp;"."&amp;Q1768,R$5:R1767,0)),P1768&amp;"."&amp;Q1768,P1768&amp;"."&amp;Q1768&amp;COUNTIFS(P$5:P1767,P1768,Q$5:Q1767,Q1768))</f>
        <v>397.SO</v>
      </c>
      <c r="S1768" s="55">
        <f t="shared" si="96"/>
        <v>50900345.184905827</v>
      </c>
    </row>
    <row r="1769" spans="1:19" hidden="1">
      <c r="A1769" s="5">
        <v>1834</v>
      </c>
      <c r="B1769" s="59"/>
      <c r="C1769" s="60"/>
      <c r="D1769" s="63"/>
      <c r="E1769" s="63"/>
      <c r="F1769" s="60" t="s">
        <v>149</v>
      </c>
      <c r="G1769" s="61" t="s">
        <v>155</v>
      </c>
      <c r="H1769" s="62"/>
      <c r="I1769" s="65">
        <v>3848525.66</v>
      </c>
      <c r="J1769" s="65">
        <v>1839956.8582858238</v>
      </c>
      <c r="K1769" s="62"/>
      <c r="L1769" s="65">
        <v>1451801.5205384474</v>
      </c>
      <c r="M1769" s="65">
        <v>757703.98798243387</v>
      </c>
      <c r="N1769" s="64">
        <v>694097.53255601355</v>
      </c>
      <c r="P1769">
        <f t="shared" si="94"/>
        <v>397</v>
      </c>
      <c r="Q1769" t="str">
        <f t="shared" si="95"/>
        <v>CN</v>
      </c>
      <c r="R1769" t="str">
        <f>IF(ISERROR(MATCH(P1769&amp;"."&amp;Q1769,R$5:R1768,0)),P1769&amp;"."&amp;Q1769,P1769&amp;"."&amp;Q1769&amp;COUNTIFS(P$5:P1768,P1769,Q$5:Q1768,Q1769))</f>
        <v>397.CN</v>
      </c>
      <c r="S1769" s="55">
        <f t="shared" si="96"/>
        <v>694097.53255601355</v>
      </c>
    </row>
    <row r="1770" spans="1:19" hidden="1">
      <c r="A1770" s="5">
        <v>1835</v>
      </c>
      <c r="B1770" s="59"/>
      <c r="C1770" s="60"/>
      <c r="D1770" s="63"/>
      <c r="E1770" s="63"/>
      <c r="F1770" s="60" t="s">
        <v>396</v>
      </c>
      <c r="G1770" s="61" t="s">
        <v>15</v>
      </c>
      <c r="H1770" s="62"/>
      <c r="I1770" s="65">
        <v>175994452.87923101</v>
      </c>
      <c r="J1770" s="65">
        <v>77433156.118440703</v>
      </c>
      <c r="K1770" s="62"/>
      <c r="L1770" s="65">
        <v>192990291.77214471</v>
      </c>
      <c r="M1770" s="65">
        <v>108079391.75423045</v>
      </c>
      <c r="N1770" s="64">
        <v>84910900.01791425</v>
      </c>
      <c r="P1770">
        <f t="shared" si="94"/>
        <v>397</v>
      </c>
      <c r="Q1770" t="str">
        <f t="shared" si="95"/>
        <v>SG</v>
      </c>
      <c r="R1770" t="str">
        <f>IF(ISERROR(MATCH(P1770&amp;"."&amp;Q1770,R$5:R1769,0)),P1770&amp;"."&amp;Q1770,P1770&amp;"."&amp;Q1770&amp;COUNTIFS(P$5:P1769,P1770,Q$5:Q1769,Q1770))</f>
        <v>397.SG2</v>
      </c>
      <c r="S1770" s="55">
        <f t="shared" si="96"/>
        <v>84910900.01791425</v>
      </c>
    </row>
    <row r="1771" spans="1:19" hidden="1">
      <c r="A1771" s="5">
        <v>1836</v>
      </c>
      <c r="B1771" s="59"/>
      <c r="C1771" s="60"/>
      <c r="D1771" s="63"/>
      <c r="E1771" s="63"/>
      <c r="F1771" s="63" t="s">
        <v>13</v>
      </c>
      <c r="G1771" s="63" t="s">
        <v>16</v>
      </c>
      <c r="H1771" s="62"/>
      <c r="I1771" s="66">
        <v>343512.42769230797</v>
      </c>
      <c r="J1771" s="66">
        <v>148933.96780626127</v>
      </c>
      <c r="K1771" s="62"/>
      <c r="L1771" s="66">
        <v>458536.84323077544</v>
      </c>
      <c r="M1771" s="66">
        <v>259732.64884836014</v>
      </c>
      <c r="N1771" s="66">
        <v>198804.1943824153</v>
      </c>
      <c r="P1771">
        <f t="shared" si="94"/>
        <v>397</v>
      </c>
      <c r="Q1771" t="str">
        <f t="shared" si="95"/>
        <v>SE</v>
      </c>
      <c r="R1771" t="str">
        <f>IF(ISERROR(MATCH(P1771&amp;"."&amp;Q1771,R$5:R1770,0)),P1771&amp;"."&amp;Q1771,P1771&amp;"."&amp;Q1771&amp;COUNTIFS(P$5:P1770,P1771,Q$5:Q1770,Q1771))</f>
        <v>397.SE</v>
      </c>
      <c r="S1771" s="55">
        <f t="shared" si="96"/>
        <v>198804.1943824153</v>
      </c>
    </row>
    <row r="1772" spans="1:19" hidden="1">
      <c r="A1772" s="5">
        <v>1837</v>
      </c>
      <c r="B1772" s="59"/>
      <c r="C1772" s="60"/>
      <c r="D1772" s="63"/>
      <c r="E1772" s="63"/>
      <c r="F1772" s="63" t="s">
        <v>396</v>
      </c>
      <c r="G1772" s="63" t="s">
        <v>15</v>
      </c>
      <c r="H1772" s="62"/>
      <c r="I1772" s="69">
        <v>1285815.1499999999</v>
      </c>
      <c r="J1772" s="69">
        <v>565726.49660571106</v>
      </c>
      <c r="K1772" s="62"/>
      <c r="L1772" s="69">
        <v>1072508.5260769292</v>
      </c>
      <c r="M1772" s="65">
        <v>600631.60734778212</v>
      </c>
      <c r="N1772" s="65">
        <v>471876.91872914706</v>
      </c>
      <c r="P1772">
        <f t="shared" si="94"/>
        <v>397</v>
      </c>
      <c r="Q1772" t="str">
        <f t="shared" si="95"/>
        <v>SG</v>
      </c>
      <c r="R1772" t="str">
        <f>IF(ISERROR(MATCH(P1772&amp;"."&amp;Q1772,R$5:R1771,0)),P1772&amp;"."&amp;Q1772,P1772&amp;"."&amp;Q1772&amp;COUNTIFS(P$5:P1771,P1772,Q$5:Q1771,Q1772))</f>
        <v>397.SG3</v>
      </c>
      <c r="S1772" s="55">
        <f t="shared" si="96"/>
        <v>471876.91872914706</v>
      </c>
    </row>
    <row r="1773" spans="1:19" hidden="1">
      <c r="A1773" s="5">
        <v>1838</v>
      </c>
      <c r="B1773" s="59"/>
      <c r="C1773" s="60"/>
      <c r="D1773" s="61"/>
      <c r="E1773" s="63"/>
      <c r="F1773" s="63" t="s">
        <v>396</v>
      </c>
      <c r="G1773" s="63" t="s">
        <v>15</v>
      </c>
      <c r="H1773" s="62"/>
      <c r="I1773" s="65">
        <v>16632.87</v>
      </c>
      <c r="J1773" s="65">
        <v>7318.0466675931084</v>
      </c>
      <c r="K1773" s="62"/>
      <c r="L1773" s="65">
        <v>16632.87</v>
      </c>
      <c r="M1773" s="65">
        <v>9314.8233324068897</v>
      </c>
      <c r="N1773" s="65">
        <v>7318.0466675931084</v>
      </c>
      <c r="P1773">
        <f t="shared" si="94"/>
        <v>397</v>
      </c>
      <c r="Q1773" t="str">
        <f t="shared" si="95"/>
        <v>SG</v>
      </c>
      <c r="R1773" t="str">
        <f>IF(ISERROR(MATCH(P1773&amp;"."&amp;Q1773,R$5:R1772,0)),P1773&amp;"."&amp;Q1773,P1773&amp;"."&amp;Q1773&amp;COUNTIFS(P$5:P1772,P1773,Q$5:Q1772,Q1773))</f>
        <v>397.SG4</v>
      </c>
      <c r="S1773" s="55">
        <f t="shared" si="96"/>
        <v>7318.0466675931084</v>
      </c>
    </row>
    <row r="1774" spans="1:19" hidden="1">
      <c r="A1774" s="5">
        <v>1839</v>
      </c>
      <c r="B1774" s="59"/>
      <c r="C1774" s="60"/>
      <c r="D1774" s="63"/>
      <c r="E1774" s="63"/>
      <c r="F1774" s="60"/>
      <c r="G1774" s="61"/>
      <c r="H1774" s="62" t="s">
        <v>501</v>
      </c>
      <c r="I1774" s="65">
        <v>479755238.2769233</v>
      </c>
      <c r="J1774" s="65">
        <v>184441324.23872378</v>
      </c>
      <c r="K1774" s="62"/>
      <c r="L1774" s="65">
        <v>598131888.58027673</v>
      </c>
      <c r="M1774" s="65">
        <v>340243550.41231555</v>
      </c>
      <c r="N1774" s="103">
        <v>257888338.16796136</v>
      </c>
      <c r="P1774">
        <f t="shared" si="94"/>
        <v>397</v>
      </c>
      <c r="Q1774" t="str">
        <f t="shared" si="95"/>
        <v>NA</v>
      </c>
      <c r="R1774" t="str">
        <f>IF(ISERROR(MATCH(P1774&amp;"."&amp;Q1774,R$5:R1773,0)),P1774&amp;"."&amp;Q1774,P1774&amp;"."&amp;Q1774&amp;COUNTIFS(P$5:P1773,P1774,Q$5:Q1773,Q1774))</f>
        <v>397.NA1</v>
      </c>
      <c r="S1774" s="55">
        <f t="shared" si="96"/>
        <v>257888338.16796136</v>
      </c>
    </row>
    <row r="1775" spans="1:19" hidden="1">
      <c r="A1775" s="5">
        <v>1840</v>
      </c>
      <c r="B1775" s="59"/>
      <c r="C1775" s="60"/>
      <c r="D1775" s="63"/>
      <c r="E1775" s="63"/>
      <c r="F1775" s="63"/>
      <c r="G1775" s="63"/>
      <c r="H1775" s="62"/>
      <c r="I1775" s="104"/>
      <c r="J1775" s="104"/>
      <c r="K1775" s="62"/>
      <c r="L1775" s="104"/>
      <c r="M1775" s="104"/>
      <c r="N1775" s="64"/>
      <c r="P1775">
        <f t="shared" si="94"/>
        <v>397</v>
      </c>
      <c r="Q1775" t="str">
        <f t="shared" si="95"/>
        <v>NA</v>
      </c>
      <c r="R1775" t="str">
        <f>IF(ISERROR(MATCH(P1775&amp;"."&amp;Q1775,R$5:R1774,0)),P1775&amp;"."&amp;Q1775,P1775&amp;"."&amp;Q1775&amp;COUNTIFS(P$5:P1774,P1775,Q$5:Q1774,Q1775))</f>
        <v>397.NA2</v>
      </c>
      <c r="S1775" s="55">
        <f t="shared" si="96"/>
        <v>0</v>
      </c>
    </row>
    <row r="1776" spans="1:19" hidden="1">
      <c r="A1776" s="5">
        <v>1841</v>
      </c>
      <c r="B1776" s="59"/>
      <c r="C1776" s="60">
        <v>398</v>
      </c>
      <c r="D1776" s="63" t="s">
        <v>566</v>
      </c>
      <c r="E1776" s="63"/>
      <c r="F1776" s="63"/>
      <c r="G1776" s="63"/>
      <c r="H1776" s="62"/>
      <c r="I1776" s="65"/>
      <c r="J1776" s="65"/>
      <c r="K1776" s="62"/>
      <c r="L1776" s="65"/>
      <c r="M1776" s="65"/>
      <c r="N1776" s="65"/>
      <c r="P1776">
        <f t="shared" si="94"/>
        <v>398</v>
      </c>
      <c r="Q1776" t="str">
        <f t="shared" si="95"/>
        <v>NA</v>
      </c>
      <c r="R1776" t="str">
        <f>IF(ISERROR(MATCH(P1776&amp;"."&amp;Q1776,R$5:R1775,0)),P1776&amp;"."&amp;Q1776,P1776&amp;"."&amp;Q1776&amp;COUNTIFS(P$5:P1775,P1776,Q$5:Q1775,Q1776))</f>
        <v>398.NA</v>
      </c>
      <c r="S1776" s="55">
        <f t="shared" si="96"/>
        <v>0</v>
      </c>
    </row>
    <row r="1777" spans="1:19" hidden="1">
      <c r="A1777" s="5">
        <v>1842</v>
      </c>
      <c r="B1777" s="59"/>
      <c r="C1777" s="60"/>
      <c r="D1777" s="61"/>
      <c r="E1777" s="63"/>
      <c r="F1777" s="63" t="s">
        <v>393</v>
      </c>
      <c r="G1777" s="63" t="s">
        <v>12</v>
      </c>
      <c r="H1777" s="62"/>
      <c r="I1777" s="65">
        <v>3035496.8615384586</v>
      </c>
      <c r="J1777" s="65">
        <v>1354672.52461538</v>
      </c>
      <c r="K1777" s="62"/>
      <c r="L1777" s="65">
        <v>3035496.8615384586</v>
      </c>
      <c r="M1777" s="65">
        <v>1680824.3369230786</v>
      </c>
      <c r="N1777" s="65">
        <v>1354672.52461538</v>
      </c>
      <c r="P1777">
        <f t="shared" si="94"/>
        <v>398</v>
      </c>
      <c r="Q1777" t="str">
        <f t="shared" si="95"/>
        <v>S</v>
      </c>
      <c r="R1777" t="str">
        <f>IF(ISERROR(MATCH(P1777&amp;"."&amp;Q1777,R$5:R1776,0)),P1777&amp;"."&amp;Q1777,P1777&amp;"."&amp;Q1777&amp;COUNTIFS(P$5:P1776,P1777,Q$5:Q1776,Q1777))</f>
        <v>398.S</v>
      </c>
      <c r="S1777" s="55">
        <f t="shared" si="96"/>
        <v>1354672.52461538</v>
      </c>
    </row>
    <row r="1778" spans="1:19" hidden="1">
      <c r="A1778" s="5">
        <v>1843</v>
      </c>
      <c r="B1778" s="59"/>
      <c r="C1778" s="60"/>
      <c r="D1778" s="63"/>
      <c r="E1778" s="63"/>
      <c r="F1778" s="63" t="s">
        <v>394</v>
      </c>
      <c r="G1778" s="63" t="s">
        <v>15</v>
      </c>
      <c r="H1778" s="62"/>
      <c r="I1778" s="66">
        <v>0</v>
      </c>
      <c r="J1778" s="66">
        <v>0</v>
      </c>
      <c r="K1778" s="62"/>
      <c r="L1778" s="66">
        <v>0</v>
      </c>
      <c r="M1778" s="66">
        <v>0</v>
      </c>
      <c r="N1778" s="66">
        <v>0</v>
      </c>
      <c r="P1778">
        <f t="shared" si="94"/>
        <v>398</v>
      </c>
      <c r="Q1778" t="str">
        <f t="shared" si="95"/>
        <v>SG</v>
      </c>
      <c r="R1778" t="str">
        <f>IF(ISERROR(MATCH(P1778&amp;"."&amp;Q1778,R$5:R1777,0)),P1778&amp;"."&amp;Q1778,P1778&amp;"."&amp;Q1778&amp;COUNTIFS(P$5:P1777,P1778,Q$5:Q1777,Q1778))</f>
        <v>398.SG</v>
      </c>
      <c r="S1778" s="55">
        <f t="shared" si="96"/>
        <v>0</v>
      </c>
    </row>
    <row r="1779" spans="1:19" hidden="1">
      <c r="A1779" s="5">
        <v>1844</v>
      </c>
      <c r="B1779" s="59"/>
      <c r="C1779" s="60"/>
      <c r="D1779" s="63"/>
      <c r="E1779" s="63"/>
      <c r="F1779" s="63" t="s">
        <v>395</v>
      </c>
      <c r="G1779" s="63" t="s">
        <v>15</v>
      </c>
      <c r="H1779" s="62"/>
      <c r="I1779" s="65">
        <v>0</v>
      </c>
      <c r="J1779" s="65">
        <v>0</v>
      </c>
      <c r="K1779" s="62"/>
      <c r="L1779" s="65">
        <v>0</v>
      </c>
      <c r="M1779" s="65">
        <v>0</v>
      </c>
      <c r="N1779" s="65">
        <v>0</v>
      </c>
      <c r="P1779">
        <f t="shared" si="94"/>
        <v>398</v>
      </c>
      <c r="Q1779" t="str">
        <f t="shared" si="95"/>
        <v>SG</v>
      </c>
      <c r="R1779" t="str">
        <f>IF(ISERROR(MATCH(P1779&amp;"."&amp;Q1779,R$5:R1778,0)),P1779&amp;"."&amp;Q1779,P1779&amp;"."&amp;Q1779&amp;COUNTIFS(P$5:P1778,P1779,Q$5:Q1778,Q1779))</f>
        <v>398.SG1</v>
      </c>
      <c r="S1779" s="55">
        <f t="shared" si="96"/>
        <v>0</v>
      </c>
    </row>
    <row r="1780" spans="1:19" hidden="1">
      <c r="A1780" s="5">
        <v>1845</v>
      </c>
      <c r="B1780" s="59"/>
      <c r="C1780" s="60"/>
      <c r="D1780" s="61"/>
      <c r="E1780" s="63"/>
      <c r="F1780" s="63" t="s">
        <v>149</v>
      </c>
      <c r="G1780" s="63" t="s">
        <v>155</v>
      </c>
      <c r="H1780" s="62"/>
      <c r="I1780" s="65">
        <v>79001.372307692305</v>
      </c>
      <c r="J1780" s="65">
        <v>37770.078630976364</v>
      </c>
      <c r="K1780" s="62"/>
      <c r="L1780" s="65">
        <v>79001.372307692305</v>
      </c>
      <c r="M1780" s="65">
        <v>41231.293676715941</v>
      </c>
      <c r="N1780" s="65">
        <v>37770.078630976364</v>
      </c>
      <c r="P1780">
        <f t="shared" si="94"/>
        <v>398</v>
      </c>
      <c r="Q1780" t="str">
        <f t="shared" si="95"/>
        <v>CN</v>
      </c>
      <c r="R1780" t="str">
        <f>IF(ISERROR(MATCH(P1780&amp;"."&amp;Q1780,R$5:R1779,0)),P1780&amp;"."&amp;Q1780,P1780&amp;"."&amp;Q1780&amp;COUNTIFS(P$5:P1779,P1780,Q$5:Q1779,Q1780))</f>
        <v>398.CN</v>
      </c>
      <c r="S1780" s="55">
        <f t="shared" si="96"/>
        <v>37770.078630976364</v>
      </c>
    </row>
    <row r="1781" spans="1:19" hidden="1">
      <c r="A1781" s="5">
        <v>1846</v>
      </c>
      <c r="B1781" s="59"/>
      <c r="C1781" s="60"/>
      <c r="D1781" s="63"/>
      <c r="E1781" s="63"/>
      <c r="F1781" s="60" t="s">
        <v>171</v>
      </c>
      <c r="G1781" s="61" t="s">
        <v>136</v>
      </c>
      <c r="H1781" s="62"/>
      <c r="I1781" s="65">
        <v>2223286.36846154</v>
      </c>
      <c r="J1781" s="65">
        <v>964873.61468520062</v>
      </c>
      <c r="K1781" s="62"/>
      <c r="L1781" s="65">
        <v>2223286.36846154</v>
      </c>
      <c r="M1781" s="65">
        <v>1251832.0524549012</v>
      </c>
      <c r="N1781" s="64">
        <v>971454.31600663881</v>
      </c>
      <c r="P1781">
        <f t="shared" si="94"/>
        <v>398</v>
      </c>
      <c r="Q1781" t="str">
        <f t="shared" si="95"/>
        <v>SO</v>
      </c>
      <c r="R1781" t="str">
        <f>IF(ISERROR(MATCH(P1781&amp;"."&amp;Q1781,R$5:R1780,0)),P1781&amp;"."&amp;Q1781,P1781&amp;"."&amp;Q1781&amp;COUNTIFS(P$5:P1780,P1781,Q$5:Q1780,Q1781))</f>
        <v>398.SO</v>
      </c>
      <c r="S1781" s="55">
        <f t="shared" si="96"/>
        <v>971454.31600663881</v>
      </c>
    </row>
    <row r="1782" spans="1:19" hidden="1">
      <c r="A1782" s="5">
        <v>1847</v>
      </c>
      <c r="B1782" s="59"/>
      <c r="C1782" s="60"/>
      <c r="D1782" s="63"/>
      <c r="E1782" s="63"/>
      <c r="F1782" s="60" t="s">
        <v>13</v>
      </c>
      <c r="G1782" s="61" t="s">
        <v>16</v>
      </c>
      <c r="H1782" s="62"/>
      <c r="I1782" s="77">
        <v>4009.0215384615399</v>
      </c>
      <c r="J1782" s="77">
        <v>1738.159777085727</v>
      </c>
      <c r="K1782" s="62"/>
      <c r="L1782" s="77">
        <v>4009.0215384615399</v>
      </c>
      <c r="M1782" s="77">
        <v>2270.8617613758129</v>
      </c>
      <c r="N1782" s="78">
        <v>1738.159777085727</v>
      </c>
      <c r="P1782">
        <f t="shared" si="94"/>
        <v>398</v>
      </c>
      <c r="Q1782" t="str">
        <f t="shared" si="95"/>
        <v>SE</v>
      </c>
      <c r="R1782" t="str">
        <f>IF(ISERROR(MATCH(P1782&amp;"."&amp;Q1782,R$5:R1781,0)),P1782&amp;"."&amp;Q1782,P1782&amp;"."&amp;Q1782&amp;COUNTIFS(P$5:P1781,P1782,Q$5:Q1781,Q1782))</f>
        <v>398.SE</v>
      </c>
      <c r="S1782" s="55">
        <f t="shared" si="96"/>
        <v>1738.159777085727</v>
      </c>
    </row>
    <row r="1783" spans="1:19" hidden="1">
      <c r="A1783" s="5">
        <v>1848</v>
      </c>
      <c r="B1783" s="59"/>
      <c r="C1783" s="60"/>
      <c r="D1783" s="63"/>
      <c r="E1783" s="63"/>
      <c r="F1783" s="60" t="s">
        <v>396</v>
      </c>
      <c r="G1783" s="61" t="s">
        <v>15</v>
      </c>
      <c r="H1783" s="62"/>
      <c r="I1783" s="91">
        <v>2698794.7953846199</v>
      </c>
      <c r="J1783" s="91">
        <v>1187402.1896931825</v>
      </c>
      <c r="K1783" s="62"/>
      <c r="L1783" s="91">
        <v>2698794.7953846199</v>
      </c>
      <c r="M1783" s="91">
        <v>1511392.6056914374</v>
      </c>
      <c r="N1783" s="103">
        <v>1187402.1896931825</v>
      </c>
      <c r="P1783">
        <f t="shared" si="94"/>
        <v>398</v>
      </c>
      <c r="Q1783" t="str">
        <f t="shared" si="95"/>
        <v>SG</v>
      </c>
      <c r="R1783" t="str">
        <f>IF(ISERROR(MATCH(P1783&amp;"."&amp;Q1783,R$5:R1782,0)),P1783&amp;"."&amp;Q1783,P1783&amp;"."&amp;Q1783&amp;COUNTIFS(P$5:P1782,P1783,Q$5:Q1782,Q1783))</f>
        <v>398.SG2</v>
      </c>
      <c r="S1783" s="55">
        <f t="shared" si="96"/>
        <v>1187402.1896931825</v>
      </c>
    </row>
    <row r="1784" spans="1:19" hidden="1">
      <c r="A1784" s="5">
        <v>1849</v>
      </c>
      <c r="B1784" s="59"/>
      <c r="C1784" s="60"/>
      <c r="D1784" s="63"/>
      <c r="E1784" s="63"/>
      <c r="F1784" s="63" t="s">
        <v>396</v>
      </c>
      <c r="G1784" s="63" t="s">
        <v>15</v>
      </c>
      <c r="H1784" s="62"/>
      <c r="I1784" s="65">
        <v>0</v>
      </c>
      <c r="J1784" s="65">
        <v>0</v>
      </c>
      <c r="K1784" s="62"/>
      <c r="L1784" s="65">
        <v>0</v>
      </c>
      <c r="M1784" s="65">
        <v>0</v>
      </c>
      <c r="N1784" s="65">
        <v>0</v>
      </c>
      <c r="P1784">
        <f t="shared" si="94"/>
        <v>398</v>
      </c>
      <c r="Q1784" t="str">
        <f t="shared" si="95"/>
        <v>SG</v>
      </c>
      <c r="R1784" t="str">
        <f>IF(ISERROR(MATCH(P1784&amp;"."&amp;Q1784,R$5:R1783,0)),P1784&amp;"."&amp;Q1784,P1784&amp;"."&amp;Q1784&amp;COUNTIFS(P$5:P1783,P1784,Q$5:Q1783,Q1784))</f>
        <v>398.SG3</v>
      </c>
      <c r="S1784" s="55">
        <f t="shared" si="96"/>
        <v>0</v>
      </c>
    </row>
    <row r="1785" spans="1:19" hidden="1">
      <c r="A1785" s="5">
        <v>1850</v>
      </c>
      <c r="B1785" s="59"/>
      <c r="C1785" s="60"/>
      <c r="D1785" s="63"/>
      <c r="E1785" s="63"/>
      <c r="F1785" s="63"/>
      <c r="G1785" s="63"/>
      <c r="H1785" s="62" t="s">
        <v>501</v>
      </c>
      <c r="I1785" s="65">
        <v>8040588.4192307722</v>
      </c>
      <c r="J1785" s="65">
        <v>3546456.5674018255</v>
      </c>
      <c r="K1785" s="62"/>
      <c r="L1785" s="65">
        <v>8040588.4192307722</v>
      </c>
      <c r="M1785" s="65">
        <v>4487551.1505075088</v>
      </c>
      <c r="N1785" s="65">
        <v>3553037.2687232634</v>
      </c>
      <c r="P1785">
        <f t="shared" si="94"/>
        <v>398</v>
      </c>
      <c r="Q1785" t="str">
        <f t="shared" si="95"/>
        <v>NA</v>
      </c>
      <c r="R1785" t="str">
        <f>IF(ISERROR(MATCH(P1785&amp;"."&amp;Q1785,R$5:R1784,0)),P1785&amp;"."&amp;Q1785,P1785&amp;"."&amp;Q1785&amp;COUNTIFS(P$5:P1784,P1785,Q$5:Q1784,Q1785))</f>
        <v>398.NA1</v>
      </c>
      <c r="S1785" s="55">
        <f t="shared" si="96"/>
        <v>3553037.2687232634</v>
      </c>
    </row>
    <row r="1786" spans="1:19" hidden="1">
      <c r="A1786" s="5">
        <v>1851</v>
      </c>
      <c r="B1786" s="59"/>
      <c r="C1786" s="60"/>
      <c r="D1786" s="61"/>
      <c r="E1786" s="63"/>
      <c r="F1786" s="63"/>
      <c r="G1786" s="63"/>
      <c r="H1786" s="62"/>
      <c r="I1786" s="91"/>
      <c r="J1786" s="91"/>
      <c r="K1786" s="62"/>
      <c r="L1786" s="91"/>
      <c r="M1786" s="91"/>
      <c r="N1786" s="64"/>
      <c r="P1786">
        <f t="shared" si="94"/>
        <v>398</v>
      </c>
      <c r="Q1786" t="str">
        <f t="shared" si="95"/>
        <v>NA</v>
      </c>
      <c r="R1786" t="str">
        <f>IF(ISERROR(MATCH(P1786&amp;"."&amp;Q1786,R$5:R1785,0)),P1786&amp;"."&amp;Q1786,P1786&amp;"."&amp;Q1786&amp;COUNTIFS(P$5:P1785,P1786,Q$5:Q1785,Q1786))</f>
        <v>398.NA2</v>
      </c>
      <c r="S1786" s="55">
        <f t="shared" si="96"/>
        <v>0</v>
      </c>
    </row>
    <row r="1787" spans="1:19" hidden="1">
      <c r="A1787" s="5">
        <v>1852</v>
      </c>
      <c r="B1787" s="59"/>
      <c r="C1787" s="60">
        <v>399</v>
      </c>
      <c r="D1787" s="63" t="s">
        <v>567</v>
      </c>
      <c r="E1787" s="63"/>
      <c r="F1787" s="63"/>
      <c r="G1787" s="63"/>
      <c r="H1787" s="62"/>
      <c r="I1787" s="66"/>
      <c r="J1787" s="66"/>
      <c r="K1787" s="62"/>
      <c r="L1787" s="66"/>
      <c r="M1787" s="66"/>
      <c r="N1787" s="66"/>
      <c r="P1787">
        <f t="shared" si="94"/>
        <v>399</v>
      </c>
      <c r="Q1787" t="str">
        <f t="shared" si="95"/>
        <v>NA</v>
      </c>
      <c r="R1787" t="str">
        <f>IF(ISERROR(MATCH(P1787&amp;"."&amp;Q1787,R$5:R1786,0)),P1787&amp;"."&amp;Q1787,P1787&amp;"."&amp;Q1787&amp;COUNTIFS(P$5:P1786,P1787,Q$5:Q1786,Q1787))</f>
        <v>399.NA</v>
      </c>
      <c r="S1787" s="55">
        <f t="shared" si="96"/>
        <v>0</v>
      </c>
    </row>
    <row r="1788" spans="1:19" hidden="1">
      <c r="A1788" s="5">
        <v>1853</v>
      </c>
      <c r="B1788" s="59"/>
      <c r="C1788" s="60"/>
      <c r="D1788" s="63"/>
      <c r="E1788" s="63"/>
      <c r="F1788" s="63" t="s">
        <v>13</v>
      </c>
      <c r="G1788" s="63" t="s">
        <v>16</v>
      </c>
      <c r="H1788" s="62"/>
      <c r="I1788" s="65">
        <v>1854827.92</v>
      </c>
      <c r="J1788" s="65">
        <v>804183.07884591364</v>
      </c>
      <c r="K1788" s="62"/>
      <c r="L1788" s="65">
        <v>79104518.886535585</v>
      </c>
      <c r="M1788" s="65">
        <v>44807797.954709783</v>
      </c>
      <c r="N1788" s="65">
        <v>34296720.931825802</v>
      </c>
      <c r="P1788">
        <f t="shared" si="94"/>
        <v>399</v>
      </c>
      <c r="Q1788" t="str">
        <f t="shared" si="95"/>
        <v>SE</v>
      </c>
      <c r="R1788" t="str">
        <f>IF(ISERROR(MATCH(P1788&amp;"."&amp;Q1788,R$5:R1787,0)),P1788&amp;"."&amp;Q1788,P1788&amp;"."&amp;Q1788&amp;COUNTIFS(P$5:P1787,P1788,Q$5:Q1787,Q1788))</f>
        <v>399.SE</v>
      </c>
      <c r="S1788" s="55">
        <f t="shared" si="96"/>
        <v>34296720.931825802</v>
      </c>
    </row>
    <row r="1789" spans="1:19" hidden="1">
      <c r="A1789" s="5">
        <v>1854</v>
      </c>
      <c r="B1789" s="59"/>
      <c r="C1789" s="60" t="s">
        <v>254</v>
      </c>
      <c r="D1789" s="61"/>
      <c r="E1789" s="63"/>
      <c r="F1789" s="63" t="s">
        <v>13</v>
      </c>
      <c r="G1789" s="63" t="s">
        <v>16</v>
      </c>
      <c r="H1789" s="62"/>
      <c r="I1789" s="65">
        <v>0</v>
      </c>
      <c r="J1789" s="65">
        <v>0</v>
      </c>
      <c r="K1789" s="62"/>
      <c r="L1789" s="65">
        <v>0</v>
      </c>
      <c r="M1789" s="65">
        <v>0</v>
      </c>
      <c r="N1789" s="65">
        <v>0</v>
      </c>
      <c r="P1789" t="str">
        <f t="shared" si="94"/>
        <v>MP</v>
      </c>
      <c r="Q1789" t="str">
        <f t="shared" si="95"/>
        <v>SE</v>
      </c>
      <c r="R1789" t="str">
        <f>IF(ISERROR(MATCH(P1789&amp;"."&amp;Q1789,R$5:R1788,0)),P1789&amp;"."&amp;Q1789,P1789&amp;"."&amp;Q1789&amp;COUNTIFS(P$5:P1788,P1789,Q$5:Q1788,Q1789))</f>
        <v>MP.SE</v>
      </c>
      <c r="S1789" s="55">
        <f t="shared" si="96"/>
        <v>0</v>
      </c>
    </row>
    <row r="1790" spans="1:19" hidden="1">
      <c r="A1790" s="5">
        <v>1855</v>
      </c>
      <c r="B1790" s="59"/>
      <c r="C1790" s="60"/>
      <c r="D1790" s="63"/>
      <c r="E1790" s="63"/>
      <c r="F1790" s="60"/>
      <c r="G1790" s="61"/>
      <c r="H1790" s="62" t="s">
        <v>501</v>
      </c>
      <c r="I1790" s="91">
        <v>1854827.92</v>
      </c>
      <c r="J1790" s="91">
        <v>804183.07884591364</v>
      </c>
      <c r="K1790" s="62"/>
      <c r="L1790" s="91">
        <v>79104518.886535585</v>
      </c>
      <c r="M1790" s="91">
        <v>44807797.954709783</v>
      </c>
      <c r="N1790" s="91">
        <v>34296720.931825802</v>
      </c>
      <c r="P1790" t="str">
        <f t="shared" si="94"/>
        <v>MP</v>
      </c>
      <c r="Q1790" t="str">
        <f t="shared" si="95"/>
        <v>NA</v>
      </c>
      <c r="R1790" t="str">
        <f>IF(ISERROR(MATCH(P1790&amp;"."&amp;Q1790,R$5:R1789,0)),P1790&amp;"."&amp;Q1790,P1790&amp;"."&amp;Q1790&amp;COUNTIFS(P$5:P1789,P1790,Q$5:Q1789,Q1790))</f>
        <v>MP.NA</v>
      </c>
      <c r="S1790" s="55">
        <f t="shared" si="96"/>
        <v>34296720.931825802</v>
      </c>
    </row>
    <row r="1791" spans="1:19" hidden="1">
      <c r="A1791" s="5">
        <v>1856</v>
      </c>
      <c r="B1791" s="59"/>
      <c r="C1791" s="60"/>
      <c r="D1791" s="63"/>
      <c r="E1791" s="63"/>
      <c r="F1791" s="63"/>
      <c r="G1791" s="63"/>
      <c r="H1791" s="62"/>
      <c r="I1791" s="65"/>
      <c r="J1791" s="65"/>
      <c r="K1791" s="62"/>
      <c r="L1791" s="65"/>
      <c r="M1791" s="65"/>
      <c r="N1791" s="77"/>
      <c r="P1791" t="str">
        <f t="shared" si="94"/>
        <v>MP</v>
      </c>
      <c r="Q1791" t="str">
        <f t="shared" si="95"/>
        <v>NA</v>
      </c>
      <c r="R1791" t="str">
        <f>IF(ISERROR(MATCH(P1791&amp;"."&amp;Q1791,R$5:R1790,0)),P1791&amp;"."&amp;Q1791,P1791&amp;"."&amp;Q1791&amp;COUNTIFS(P$5:P1790,P1791,Q$5:Q1790,Q1791))</f>
        <v>MP.NA1</v>
      </c>
      <c r="S1791" s="55">
        <f t="shared" si="96"/>
        <v>0</v>
      </c>
    </row>
    <row r="1792" spans="1:19" hidden="1">
      <c r="A1792" s="5">
        <v>1857</v>
      </c>
      <c r="B1792" s="59"/>
      <c r="C1792" s="60" t="s">
        <v>222</v>
      </c>
      <c r="D1792" s="63" t="s">
        <v>568</v>
      </c>
      <c r="E1792" s="63"/>
      <c r="F1792" s="63"/>
      <c r="G1792" s="63"/>
      <c r="H1792" s="62"/>
      <c r="I1792" s="65"/>
      <c r="J1792" s="65"/>
      <c r="K1792" s="62"/>
      <c r="L1792" s="65"/>
      <c r="M1792" s="65"/>
      <c r="N1792" s="65"/>
      <c r="P1792" t="str">
        <f t="shared" si="94"/>
        <v>399L</v>
      </c>
      <c r="Q1792" t="str">
        <f t="shared" si="95"/>
        <v>NA</v>
      </c>
      <c r="R1792" t="str">
        <f>IF(ISERROR(MATCH(P1792&amp;"."&amp;Q1792,R$5:R1791,0)),P1792&amp;"."&amp;Q1792,P1792&amp;"."&amp;Q1792&amp;COUNTIFS(P$5:P1791,P1792,Q$5:Q1791,Q1792))</f>
        <v>399L.NA</v>
      </c>
      <c r="S1792" s="55">
        <f t="shared" si="96"/>
        <v>0</v>
      </c>
    </row>
    <row r="1793" spans="1:19" hidden="1">
      <c r="A1793" s="5">
        <v>1858</v>
      </c>
      <c r="B1793" s="59"/>
      <c r="C1793" s="60"/>
      <c r="D1793" s="61"/>
      <c r="E1793" s="63"/>
      <c r="F1793" s="63" t="s">
        <v>13</v>
      </c>
      <c r="G1793" s="63" t="s">
        <v>16</v>
      </c>
      <c r="H1793" s="62"/>
      <c r="I1793" s="91">
        <v>0</v>
      </c>
      <c r="J1793" s="91">
        <v>0</v>
      </c>
      <c r="K1793" s="62"/>
      <c r="L1793" s="91">
        <v>0</v>
      </c>
      <c r="M1793" s="91">
        <v>0</v>
      </c>
      <c r="N1793" s="64">
        <v>0</v>
      </c>
      <c r="P1793" t="str">
        <f t="shared" si="94"/>
        <v>399L</v>
      </c>
      <c r="Q1793" t="str">
        <f t="shared" si="95"/>
        <v>SE</v>
      </c>
      <c r="R1793" t="str">
        <f>IF(ISERROR(MATCH(P1793&amp;"."&amp;Q1793,R$5:R1792,0)),P1793&amp;"."&amp;Q1793,P1793&amp;"."&amp;Q1793&amp;COUNTIFS(P$5:P1792,P1793,Q$5:Q1792,Q1793))</f>
        <v>399L.SE</v>
      </c>
      <c r="S1793" s="55">
        <f t="shared" si="96"/>
        <v>0</v>
      </c>
    </row>
    <row r="1794" spans="1:19" hidden="1">
      <c r="A1794" s="5">
        <v>1859</v>
      </c>
      <c r="B1794" s="59"/>
      <c r="C1794" s="60"/>
      <c r="D1794" s="63"/>
      <c r="E1794" s="63"/>
      <c r="F1794" s="63"/>
      <c r="G1794" s="63"/>
      <c r="H1794" s="62"/>
      <c r="I1794" s="66">
        <v>0</v>
      </c>
      <c r="J1794" s="66">
        <v>0</v>
      </c>
      <c r="K1794" s="62"/>
      <c r="L1794" s="66">
        <v>0</v>
      </c>
      <c r="M1794" s="66">
        <v>0</v>
      </c>
      <c r="N1794" s="66">
        <v>0</v>
      </c>
      <c r="P1794" t="str">
        <f t="shared" si="94"/>
        <v>399L</v>
      </c>
      <c r="Q1794" t="str">
        <f t="shared" si="95"/>
        <v>NA</v>
      </c>
      <c r="R1794" t="str">
        <f>IF(ISERROR(MATCH(P1794&amp;"."&amp;Q1794,R$5:R1793,0)),P1794&amp;"."&amp;Q1794,P1794&amp;"."&amp;Q1794&amp;COUNTIFS(P$5:P1793,P1794,Q$5:Q1793,Q1794))</f>
        <v>399L.NA1</v>
      </c>
      <c r="S1794" s="55">
        <f t="shared" si="96"/>
        <v>0</v>
      </c>
    </row>
    <row r="1795" spans="1:19" hidden="1">
      <c r="A1795" s="5">
        <v>1860</v>
      </c>
      <c r="B1795" s="59"/>
      <c r="C1795" s="60"/>
      <c r="D1795" s="63"/>
      <c r="E1795" s="63"/>
      <c r="F1795" s="63"/>
      <c r="G1795" s="63"/>
      <c r="H1795" s="62"/>
      <c r="I1795" s="65"/>
      <c r="J1795" s="65"/>
      <c r="K1795" s="62"/>
      <c r="L1795" s="65"/>
      <c r="M1795" s="65"/>
      <c r="N1795" s="65"/>
      <c r="P1795" t="str">
        <f t="shared" si="94"/>
        <v>399L</v>
      </c>
      <c r="Q1795" t="str">
        <f t="shared" si="95"/>
        <v>NA</v>
      </c>
      <c r="R1795" t="str">
        <f>IF(ISERROR(MATCH(P1795&amp;"."&amp;Q1795,R$5:R1794,0)),P1795&amp;"."&amp;Q1795,P1795&amp;"."&amp;Q1795&amp;COUNTIFS(P$5:P1794,P1795,Q$5:Q1794,Q1795))</f>
        <v>399L.NA2</v>
      </c>
      <c r="S1795" s="55">
        <f t="shared" si="96"/>
        <v>0</v>
      </c>
    </row>
    <row r="1796" spans="1:19" hidden="1">
      <c r="A1796" s="5">
        <v>1861</v>
      </c>
      <c r="B1796" s="59"/>
      <c r="C1796" s="60"/>
      <c r="D1796" s="61" t="s">
        <v>569</v>
      </c>
      <c r="E1796" s="63"/>
      <c r="F1796" s="63"/>
      <c r="G1796" s="63"/>
      <c r="H1796" s="62"/>
      <c r="I1796" s="65">
        <v>0</v>
      </c>
      <c r="J1796" s="65">
        <v>0</v>
      </c>
      <c r="K1796" s="62"/>
      <c r="L1796" s="65">
        <v>0</v>
      </c>
      <c r="M1796" s="65">
        <v>0</v>
      </c>
      <c r="N1796" s="65">
        <v>0</v>
      </c>
      <c r="P1796" t="str">
        <f t="shared" si="94"/>
        <v>399L</v>
      </c>
      <c r="Q1796" t="str">
        <f t="shared" si="95"/>
        <v>NA</v>
      </c>
      <c r="R1796" t="str">
        <f>IF(ISERROR(MATCH(P1796&amp;"."&amp;Q1796,R$5:R1795,0)),P1796&amp;"."&amp;Q1796,P1796&amp;"."&amp;Q1796&amp;COUNTIFS(P$5:P1795,P1796,Q$5:Q1795,Q1796))</f>
        <v>399L.NA3</v>
      </c>
      <c r="S1796" s="55">
        <f t="shared" si="96"/>
        <v>0</v>
      </c>
    </row>
    <row r="1797" spans="1:19" hidden="1">
      <c r="A1797" s="5">
        <v>1862</v>
      </c>
      <c r="B1797" s="59"/>
      <c r="C1797" s="60"/>
      <c r="D1797" s="63"/>
      <c r="E1797" s="63"/>
      <c r="F1797" s="60"/>
      <c r="G1797" s="61"/>
      <c r="H1797" s="62"/>
      <c r="I1797" s="65">
        <v>0</v>
      </c>
      <c r="J1797" s="65">
        <v>0</v>
      </c>
      <c r="K1797" s="62"/>
      <c r="L1797" s="65">
        <v>0</v>
      </c>
      <c r="M1797" s="65">
        <v>0</v>
      </c>
      <c r="N1797" s="64">
        <v>0</v>
      </c>
      <c r="P1797" t="str">
        <f t="shared" si="94"/>
        <v>399L</v>
      </c>
      <c r="Q1797" t="str">
        <f t="shared" si="95"/>
        <v>NA</v>
      </c>
      <c r="R1797" t="str">
        <f>IF(ISERROR(MATCH(P1797&amp;"."&amp;Q1797,R$5:R1796,0)),P1797&amp;"."&amp;Q1797,P1797&amp;"."&amp;Q1797&amp;COUNTIFS(P$5:P1796,P1797,Q$5:Q1796,Q1797))</f>
        <v>399L.NA4</v>
      </c>
      <c r="S1797" s="55">
        <f t="shared" si="96"/>
        <v>0</v>
      </c>
    </row>
    <row r="1798" spans="1:19" hidden="1">
      <c r="A1798" s="5">
        <v>1863</v>
      </c>
      <c r="B1798" s="59"/>
      <c r="C1798" s="60"/>
      <c r="D1798" s="63"/>
      <c r="E1798" s="63"/>
      <c r="F1798" s="60"/>
      <c r="G1798" s="61"/>
      <c r="H1798" s="62"/>
      <c r="I1798" s="65"/>
      <c r="J1798" s="65"/>
      <c r="K1798" s="62"/>
      <c r="L1798" s="65"/>
      <c r="M1798" s="65"/>
      <c r="N1798" s="64"/>
      <c r="P1798" t="str">
        <f t="shared" si="94"/>
        <v>399L</v>
      </c>
      <c r="Q1798" t="str">
        <f t="shared" si="95"/>
        <v>NA</v>
      </c>
      <c r="R1798" t="str">
        <f>IF(ISERROR(MATCH(P1798&amp;"."&amp;Q1798,R$5:R1797,0)),P1798&amp;"."&amp;Q1798,P1798&amp;"."&amp;Q1798&amp;COUNTIFS(P$5:P1797,P1798,Q$5:Q1797,Q1798))</f>
        <v>399L.NA5</v>
      </c>
      <c r="S1798" s="55">
        <f t="shared" si="96"/>
        <v>0</v>
      </c>
    </row>
    <row r="1799" spans="1:19" hidden="1">
      <c r="A1799" s="5">
        <v>1864</v>
      </c>
      <c r="B1799" s="59"/>
      <c r="C1799" s="60">
        <v>1011390</v>
      </c>
      <c r="D1799" s="63" t="s">
        <v>570</v>
      </c>
      <c r="E1799" s="63"/>
      <c r="F1799" s="60"/>
      <c r="G1799" s="61"/>
      <c r="H1799" s="62"/>
      <c r="I1799" s="65"/>
      <c r="J1799" s="65"/>
      <c r="K1799" s="62"/>
      <c r="L1799" s="65"/>
      <c r="M1799" s="65"/>
      <c r="N1799" s="64"/>
      <c r="P1799">
        <f t="shared" ref="P1799:P1862" si="97">IF(OR(C1799="",C1799=" ",C1799="  ",C1799="   "),P1798,C1799)</f>
        <v>1011390</v>
      </c>
      <c r="Q1799" t="str">
        <f t="shared" ref="Q1799:Q1862" si="98">IF(G1799="","NA",G1799)</f>
        <v>NA</v>
      </c>
      <c r="R1799" t="str">
        <f>IF(ISERROR(MATCH(P1799&amp;"."&amp;Q1799,R$5:R1798,0)),P1799&amp;"."&amp;Q1799,P1799&amp;"."&amp;Q1799&amp;COUNTIFS(P$5:P1798,P1799,Q$5:Q1798,Q1799))</f>
        <v>1011390.NA</v>
      </c>
      <c r="S1799" s="55">
        <f t="shared" si="96"/>
        <v>0</v>
      </c>
    </row>
    <row r="1800" spans="1:19" hidden="1">
      <c r="A1800" s="5">
        <v>1865</v>
      </c>
      <c r="B1800" s="59"/>
      <c r="C1800" s="60"/>
      <c r="D1800" s="63"/>
      <c r="E1800" s="63"/>
      <c r="F1800" s="60" t="s">
        <v>393</v>
      </c>
      <c r="G1800" s="61" t="s">
        <v>12</v>
      </c>
      <c r="H1800" s="62"/>
      <c r="I1800" s="65">
        <v>5563332.93307692</v>
      </c>
      <c r="J1800" s="65">
        <v>3475886.4192307699</v>
      </c>
      <c r="K1800" s="62"/>
      <c r="L1800" s="65">
        <v>5563332.93307692</v>
      </c>
      <c r="M1800" s="65">
        <v>2087446.5138461501</v>
      </c>
      <c r="N1800" s="64">
        <v>3475886.4192307699</v>
      </c>
      <c r="P1800">
        <f t="shared" si="97"/>
        <v>1011390</v>
      </c>
      <c r="Q1800" t="str">
        <f t="shared" si="98"/>
        <v>S</v>
      </c>
      <c r="R1800" t="str">
        <f>IF(ISERROR(MATCH(P1800&amp;"."&amp;Q1800,R$5:R1799,0)),P1800&amp;"."&amp;Q1800,P1800&amp;"."&amp;Q1800&amp;COUNTIFS(P$5:P1799,P1800,Q$5:Q1799,Q1800))</f>
        <v>1011390.S</v>
      </c>
      <c r="S1800" s="55">
        <f t="shared" ref="S1800:S1863" si="99">N1800</f>
        <v>3475886.4192307699</v>
      </c>
    </row>
    <row r="1801" spans="1:19" hidden="1">
      <c r="A1801" s="5">
        <v>1866</v>
      </c>
      <c r="B1801" s="59"/>
      <c r="C1801" s="60"/>
      <c r="D1801" s="63"/>
      <c r="E1801" s="63"/>
      <c r="F1801" s="60" t="s">
        <v>13</v>
      </c>
      <c r="G1801" s="61" t="s">
        <v>15</v>
      </c>
      <c r="H1801" s="62"/>
      <c r="I1801" s="65">
        <v>10774084.783076899</v>
      </c>
      <c r="J1801" s="65">
        <v>4740327.7512035817</v>
      </c>
      <c r="K1801" s="62"/>
      <c r="L1801" s="65">
        <v>10774084.783076899</v>
      </c>
      <c r="M1801" s="65">
        <v>6033757.0318733174</v>
      </c>
      <c r="N1801" s="64">
        <v>4740327.7512035817</v>
      </c>
      <c r="P1801">
        <f t="shared" si="97"/>
        <v>1011390</v>
      </c>
      <c r="Q1801" t="str">
        <f t="shared" si="98"/>
        <v>SG</v>
      </c>
      <c r="R1801" t="str">
        <f>IF(ISERROR(MATCH(P1801&amp;"."&amp;Q1801,R$5:R1800,0)),P1801&amp;"."&amp;Q1801,P1801&amp;"."&amp;Q1801&amp;COUNTIFS(P$5:P1800,P1801,Q$5:Q1800,Q1801))</f>
        <v>1011390.SG</v>
      </c>
      <c r="S1801" s="55">
        <f t="shared" si="99"/>
        <v>4740327.7512035817</v>
      </c>
    </row>
    <row r="1802" spans="1:19" hidden="1">
      <c r="A1802" s="5">
        <v>1867</v>
      </c>
      <c r="B1802" s="59"/>
      <c r="C1802" s="60"/>
      <c r="D1802" s="63"/>
      <c r="E1802" s="63"/>
      <c r="F1802" s="60" t="s">
        <v>171</v>
      </c>
      <c r="G1802" s="61" t="s">
        <v>136</v>
      </c>
      <c r="H1802" s="62"/>
      <c r="I1802" s="65">
        <v>1708906.08153846</v>
      </c>
      <c r="J1802" s="65">
        <v>741640.12852402811</v>
      </c>
      <c r="K1802" s="62"/>
      <c r="L1802" s="65">
        <v>1708906.08153846</v>
      </c>
      <c r="M1802" s="65">
        <v>962207.7649786839</v>
      </c>
      <c r="N1802" s="64">
        <v>746698.31655977608</v>
      </c>
      <c r="P1802">
        <f t="shared" si="97"/>
        <v>1011390</v>
      </c>
      <c r="Q1802" t="str">
        <f t="shared" si="98"/>
        <v>SO</v>
      </c>
      <c r="R1802" t="str">
        <f>IF(ISERROR(MATCH(P1802&amp;"."&amp;Q1802,R$5:R1801,0)),P1802&amp;"."&amp;Q1802,P1802&amp;"."&amp;Q1802&amp;COUNTIFS(P$5:P1801,P1802,Q$5:Q1801,Q1802))</f>
        <v>1011390.SO</v>
      </c>
      <c r="S1802" s="55">
        <f t="shared" si="99"/>
        <v>746698.31655977608</v>
      </c>
    </row>
    <row r="1803" spans="1:19" hidden="1">
      <c r="A1803" s="5">
        <v>1868</v>
      </c>
      <c r="B1803" s="59"/>
      <c r="C1803" s="60"/>
      <c r="D1803" s="63"/>
      <c r="E1803" s="63"/>
      <c r="F1803" s="63"/>
      <c r="G1803" s="63"/>
      <c r="H1803" s="62" t="s">
        <v>571</v>
      </c>
      <c r="I1803" s="66">
        <v>18046323.79769228</v>
      </c>
      <c r="J1803" s="66">
        <v>8957854.2989583798</v>
      </c>
      <c r="K1803" s="62"/>
      <c r="L1803" s="66">
        <v>18046323.79769228</v>
      </c>
      <c r="M1803" s="66">
        <v>9083411.3106981516</v>
      </c>
      <c r="N1803" s="66">
        <v>8962912.4869941287</v>
      </c>
      <c r="P1803">
        <f t="shared" si="97"/>
        <v>1011390</v>
      </c>
      <c r="Q1803" t="str">
        <f t="shared" si="98"/>
        <v>NA</v>
      </c>
      <c r="R1803" t="str">
        <f>IF(ISERROR(MATCH(P1803&amp;"."&amp;Q1803,R$5:R1802,0)),P1803&amp;"."&amp;Q1803,P1803&amp;"."&amp;Q1803&amp;COUNTIFS(P$5:P1802,P1803,Q$5:Q1802,Q1803))</f>
        <v>1011390.NA1</v>
      </c>
      <c r="S1803" s="55">
        <f t="shared" si="99"/>
        <v>8962912.4869941287</v>
      </c>
    </row>
    <row r="1804" spans="1:19" hidden="1">
      <c r="A1804" s="5">
        <v>1869</v>
      </c>
      <c r="B1804" s="59"/>
      <c r="C1804" s="60"/>
      <c r="D1804" s="63"/>
      <c r="E1804" s="63"/>
      <c r="F1804" s="63"/>
      <c r="G1804" s="63"/>
      <c r="H1804" s="62"/>
      <c r="I1804" s="69"/>
      <c r="J1804" s="69"/>
      <c r="K1804" s="62"/>
      <c r="L1804" s="69"/>
      <c r="M1804" s="65"/>
      <c r="N1804" s="65"/>
      <c r="P1804">
        <f t="shared" si="97"/>
        <v>1011390</v>
      </c>
      <c r="Q1804" t="str">
        <f t="shared" si="98"/>
        <v>NA</v>
      </c>
      <c r="R1804" t="str">
        <f>IF(ISERROR(MATCH(P1804&amp;"."&amp;Q1804,R$5:R1803,0)),P1804&amp;"."&amp;Q1804,P1804&amp;"."&amp;Q1804&amp;COUNTIFS(P$5:P1803,P1804,Q$5:Q1803,Q1804))</f>
        <v>1011390.NA2</v>
      </c>
      <c r="S1804" s="55">
        <f t="shared" si="99"/>
        <v>0</v>
      </c>
    </row>
    <row r="1805" spans="1:19" hidden="1">
      <c r="A1805" s="5">
        <v>1870</v>
      </c>
      <c r="B1805" s="59"/>
      <c r="C1805" s="60"/>
      <c r="D1805" s="61" t="s">
        <v>569</v>
      </c>
      <c r="E1805" s="63"/>
      <c r="F1805" s="63"/>
      <c r="G1805" s="63"/>
      <c r="H1805" s="62"/>
      <c r="I1805" s="65">
        <v>-18046323.797692277</v>
      </c>
      <c r="J1805" s="65">
        <v>-8957854.2989583798</v>
      </c>
      <c r="K1805" s="62"/>
      <c r="L1805" s="65">
        <v>-18046323.79769228</v>
      </c>
      <c r="M1805" s="65">
        <v>-9083411.3106981516</v>
      </c>
      <c r="N1805" s="65">
        <v>-8962912.4869941287</v>
      </c>
      <c r="P1805">
        <f t="shared" si="97"/>
        <v>1011390</v>
      </c>
      <c r="Q1805" t="str">
        <f t="shared" si="98"/>
        <v>NA</v>
      </c>
      <c r="R1805" t="str">
        <f>IF(ISERROR(MATCH(P1805&amp;"."&amp;Q1805,R$5:R1804,0)),P1805&amp;"."&amp;Q1805,P1805&amp;"."&amp;Q1805&amp;COUNTIFS(P$5:P1804,P1805,Q$5:Q1804,Q1805))</f>
        <v>1011390.NA3</v>
      </c>
      <c r="S1805" s="55">
        <f t="shared" si="99"/>
        <v>-8962912.4869941287</v>
      </c>
    </row>
    <row r="1806" spans="1:19" hidden="1">
      <c r="A1806" s="5">
        <v>1871</v>
      </c>
      <c r="B1806" s="59"/>
      <c r="C1806" s="60"/>
      <c r="D1806" s="63"/>
      <c r="E1806" s="63"/>
      <c r="F1806" s="60"/>
      <c r="G1806" s="61"/>
      <c r="H1806" s="62" t="s">
        <v>141</v>
      </c>
      <c r="I1806" s="65">
        <v>0</v>
      </c>
      <c r="J1806" s="65">
        <v>0</v>
      </c>
      <c r="K1806" s="62"/>
      <c r="L1806" s="65">
        <v>0</v>
      </c>
      <c r="M1806" s="65">
        <v>0</v>
      </c>
      <c r="N1806" s="64">
        <v>0</v>
      </c>
      <c r="P1806">
        <f t="shared" si="97"/>
        <v>1011390</v>
      </c>
      <c r="Q1806" t="str">
        <f t="shared" si="98"/>
        <v>NA</v>
      </c>
      <c r="R1806" t="str">
        <f>IF(ISERROR(MATCH(P1806&amp;"."&amp;Q1806,R$5:R1805,0)),P1806&amp;"."&amp;Q1806,P1806&amp;"."&amp;Q1806&amp;COUNTIFS(P$5:P1805,P1806,Q$5:Q1805,Q1806))</f>
        <v>1011390.NA4</v>
      </c>
      <c r="S1806" s="55">
        <f t="shared" si="99"/>
        <v>0</v>
      </c>
    </row>
    <row r="1807" spans="1:19" hidden="1">
      <c r="A1807" s="5">
        <v>1872</v>
      </c>
      <c r="B1807" s="59"/>
      <c r="C1807" s="60"/>
      <c r="D1807" s="63"/>
      <c r="E1807" s="63"/>
      <c r="F1807" s="60"/>
      <c r="G1807" s="61"/>
      <c r="H1807" s="62"/>
      <c r="I1807" s="65"/>
      <c r="J1807" s="65"/>
      <c r="K1807" s="62"/>
      <c r="L1807" s="65"/>
      <c r="M1807" s="65"/>
      <c r="N1807" s="64"/>
      <c r="P1807">
        <f t="shared" si="97"/>
        <v>1011390</v>
      </c>
      <c r="Q1807" t="str">
        <f t="shared" si="98"/>
        <v>NA</v>
      </c>
      <c r="R1807" t="str">
        <f>IF(ISERROR(MATCH(P1807&amp;"."&amp;Q1807,R$5:R1806,0)),P1807&amp;"."&amp;Q1807,P1807&amp;"."&amp;Q1807&amp;COUNTIFS(P$5:P1806,P1807,Q$5:Q1806,Q1807))</f>
        <v>1011390.NA5</v>
      </c>
      <c r="S1807" s="55">
        <f t="shared" si="99"/>
        <v>0</v>
      </c>
    </row>
    <row r="1808" spans="1:19" hidden="1">
      <c r="A1808" s="5">
        <v>1873</v>
      </c>
      <c r="B1808" s="59"/>
      <c r="C1808" s="60">
        <v>1011346</v>
      </c>
      <c r="D1808" s="63" t="s">
        <v>572</v>
      </c>
      <c r="E1808" s="63"/>
      <c r="F1808" s="60"/>
      <c r="G1808" s="61"/>
      <c r="H1808" s="62"/>
      <c r="I1808" s="65"/>
      <c r="J1808" s="65"/>
      <c r="K1808" s="62"/>
      <c r="L1808" s="65"/>
      <c r="M1808" s="65"/>
      <c r="N1808" s="64"/>
      <c r="P1808">
        <f t="shared" si="97"/>
        <v>1011346</v>
      </c>
      <c r="Q1808" t="str">
        <f t="shared" si="98"/>
        <v>NA</v>
      </c>
      <c r="R1808" t="str">
        <f>IF(ISERROR(MATCH(P1808&amp;"."&amp;Q1808,R$5:R1807,0)),P1808&amp;"."&amp;Q1808,P1808&amp;"."&amp;Q1808&amp;COUNTIFS(P$5:P1807,P1808,Q$5:Q1807,Q1808))</f>
        <v>1011346.NA</v>
      </c>
      <c r="S1808" s="55">
        <f t="shared" si="99"/>
        <v>0</v>
      </c>
    </row>
    <row r="1809" spans="1:19" hidden="1">
      <c r="A1809" s="5">
        <v>1874</v>
      </c>
      <c r="B1809" s="59"/>
      <c r="C1809" s="60"/>
      <c r="D1809" s="63"/>
      <c r="E1809" s="63"/>
      <c r="F1809" s="60" t="s">
        <v>13</v>
      </c>
      <c r="G1809" s="61" t="s">
        <v>15</v>
      </c>
      <c r="H1809" s="62"/>
      <c r="I1809" s="65">
        <v>0</v>
      </c>
      <c r="J1809" s="65">
        <v>0</v>
      </c>
      <c r="K1809" s="62"/>
      <c r="L1809" s="65">
        <v>0</v>
      </c>
      <c r="M1809" s="65">
        <v>0</v>
      </c>
      <c r="N1809" s="64">
        <v>0</v>
      </c>
      <c r="P1809">
        <f t="shared" si="97"/>
        <v>1011346</v>
      </c>
      <c r="Q1809" t="str">
        <f t="shared" si="98"/>
        <v>SG</v>
      </c>
      <c r="R1809" t="str">
        <f>IF(ISERROR(MATCH(P1809&amp;"."&amp;Q1809,R$5:R1808,0)),P1809&amp;"."&amp;Q1809,P1809&amp;"."&amp;Q1809&amp;COUNTIFS(P$5:P1808,P1809,Q$5:Q1808,Q1809))</f>
        <v>1011346.SG</v>
      </c>
      <c r="S1809" s="55">
        <f t="shared" si="99"/>
        <v>0</v>
      </c>
    </row>
    <row r="1810" spans="1:19" hidden="1">
      <c r="A1810" s="5">
        <v>1875</v>
      </c>
      <c r="B1810" s="59"/>
      <c r="C1810" s="60"/>
      <c r="D1810" s="63"/>
      <c r="E1810" s="63"/>
      <c r="F1810" s="60"/>
      <c r="G1810" s="61"/>
      <c r="H1810" s="62" t="s">
        <v>571</v>
      </c>
      <c r="I1810" s="65">
        <v>0</v>
      </c>
      <c r="J1810" s="65">
        <v>0</v>
      </c>
      <c r="K1810" s="62"/>
      <c r="L1810" s="65">
        <v>0</v>
      </c>
      <c r="M1810" s="65">
        <v>0</v>
      </c>
      <c r="N1810" s="64">
        <v>0</v>
      </c>
      <c r="P1810">
        <f t="shared" si="97"/>
        <v>1011346</v>
      </c>
      <c r="Q1810" t="str">
        <f t="shared" si="98"/>
        <v>NA</v>
      </c>
      <c r="R1810" t="str">
        <f>IF(ISERROR(MATCH(P1810&amp;"."&amp;Q1810,R$5:R1809,0)),P1810&amp;"."&amp;Q1810,P1810&amp;"."&amp;Q1810&amp;COUNTIFS(P$5:P1809,P1810,Q$5:Q1809,Q1810))</f>
        <v>1011346.NA1</v>
      </c>
      <c r="S1810" s="55">
        <f t="shared" si="99"/>
        <v>0</v>
      </c>
    </row>
    <row r="1811" spans="1:19" hidden="1">
      <c r="A1811" s="5">
        <v>1876</v>
      </c>
      <c r="B1811" s="59"/>
      <c r="C1811" s="60"/>
      <c r="D1811" s="63"/>
      <c r="E1811" s="63"/>
      <c r="F1811" s="60"/>
      <c r="G1811" s="63"/>
      <c r="H1811" s="62"/>
      <c r="I1811" s="66"/>
      <c r="J1811" s="66"/>
      <c r="K1811" s="62"/>
      <c r="L1811" s="66"/>
      <c r="M1811" s="66"/>
      <c r="N1811" s="66"/>
      <c r="P1811">
        <f t="shared" si="97"/>
        <v>1011346</v>
      </c>
      <c r="Q1811" t="str">
        <f t="shared" si="98"/>
        <v>NA</v>
      </c>
      <c r="R1811" t="str">
        <f>IF(ISERROR(MATCH(P1811&amp;"."&amp;Q1811,R$5:R1810,0)),P1811&amp;"."&amp;Q1811,P1811&amp;"."&amp;Q1811&amp;COUNTIFS(P$5:P1810,P1811,Q$5:Q1810,Q1811))</f>
        <v>1011346.NA2</v>
      </c>
      <c r="S1811" s="55">
        <f t="shared" si="99"/>
        <v>0</v>
      </c>
    </row>
    <row r="1812" spans="1:19" hidden="1">
      <c r="A1812" s="5">
        <v>1877</v>
      </c>
      <c r="B1812" s="59"/>
      <c r="C1812" s="60"/>
      <c r="D1812" s="63" t="s">
        <v>569</v>
      </c>
      <c r="E1812" s="63"/>
      <c r="F1812" s="63"/>
      <c r="G1812" s="63"/>
      <c r="H1812" s="62"/>
      <c r="I1812" s="65">
        <v>0</v>
      </c>
      <c r="J1812" s="65">
        <v>0</v>
      </c>
      <c r="K1812" s="62"/>
      <c r="L1812" s="65">
        <v>0</v>
      </c>
      <c r="M1812" s="65">
        <v>0</v>
      </c>
      <c r="N1812" s="65">
        <v>0</v>
      </c>
      <c r="P1812">
        <f t="shared" si="97"/>
        <v>1011346</v>
      </c>
      <c r="Q1812" t="str">
        <f t="shared" si="98"/>
        <v>NA</v>
      </c>
      <c r="R1812" t="str">
        <f>IF(ISERROR(MATCH(P1812&amp;"."&amp;Q1812,R$5:R1811,0)),P1812&amp;"."&amp;Q1812,P1812&amp;"."&amp;Q1812&amp;COUNTIFS(P$5:P1811,P1812,Q$5:Q1811,Q1812))</f>
        <v>1011346.NA3</v>
      </c>
      <c r="S1812" s="55">
        <f t="shared" si="99"/>
        <v>0</v>
      </c>
    </row>
    <row r="1813" spans="1:19" ht="15.75" hidden="1" thickBot="1">
      <c r="A1813" s="5">
        <v>1878</v>
      </c>
      <c r="B1813" s="59"/>
      <c r="C1813" s="45"/>
      <c r="D1813" s="63"/>
      <c r="E1813" s="63"/>
      <c r="F1813" s="63"/>
      <c r="G1813" s="63"/>
      <c r="H1813" s="41" t="s">
        <v>141</v>
      </c>
      <c r="I1813" s="68">
        <v>0</v>
      </c>
      <c r="J1813" s="68">
        <v>0</v>
      </c>
      <c r="K1813" s="41"/>
      <c r="L1813" s="68">
        <v>0</v>
      </c>
      <c r="M1813" s="68">
        <v>0</v>
      </c>
      <c r="N1813" s="68">
        <v>0</v>
      </c>
      <c r="P1813">
        <f t="shared" si="97"/>
        <v>1011346</v>
      </c>
      <c r="Q1813" t="str">
        <f t="shared" si="98"/>
        <v>NA</v>
      </c>
      <c r="R1813" t="str">
        <f>IF(ISERROR(MATCH(P1813&amp;"."&amp;Q1813,R$5:R1812,0)),P1813&amp;"."&amp;Q1813,P1813&amp;"."&amp;Q1813&amp;COUNTIFS(P$5:P1812,P1813,Q$5:Q1812,Q1813))</f>
        <v>1011346.NA4</v>
      </c>
      <c r="S1813" s="55">
        <f t="shared" si="99"/>
        <v>0</v>
      </c>
    </row>
    <row r="1814" spans="1:19" hidden="1">
      <c r="A1814" s="5">
        <v>1879</v>
      </c>
      <c r="B1814" s="59"/>
      <c r="C1814" s="60"/>
      <c r="D1814" s="63"/>
      <c r="E1814" s="63"/>
      <c r="F1814" s="63"/>
      <c r="G1814" s="63"/>
      <c r="H1814" s="62"/>
      <c r="I1814" s="65"/>
      <c r="J1814" s="65"/>
      <c r="K1814" s="62"/>
      <c r="L1814" s="65"/>
      <c r="M1814" s="65"/>
      <c r="N1814" s="65"/>
      <c r="P1814">
        <f t="shared" si="97"/>
        <v>1011346</v>
      </c>
      <c r="Q1814" t="str">
        <f t="shared" si="98"/>
        <v>NA</v>
      </c>
      <c r="R1814" t="str">
        <f>IF(ISERROR(MATCH(P1814&amp;"."&amp;Q1814,R$5:R1813,0)),P1814&amp;"."&amp;Q1814,P1814&amp;"."&amp;Q1814&amp;COUNTIFS(P$5:P1813,P1814,Q$5:Q1813,Q1814))</f>
        <v>1011346.NA5</v>
      </c>
      <c r="S1814" s="55">
        <f t="shared" si="99"/>
        <v>0</v>
      </c>
    </row>
    <row r="1815" spans="1:19" hidden="1">
      <c r="A1815" s="5">
        <v>1880</v>
      </c>
      <c r="B1815" s="59"/>
      <c r="C1815" s="60" t="s">
        <v>140</v>
      </c>
      <c r="D1815" s="63" t="s">
        <v>573</v>
      </c>
      <c r="E1815" s="63"/>
      <c r="F1815" s="63"/>
      <c r="G1815" s="63"/>
      <c r="H1815" s="62"/>
      <c r="I1815" s="65"/>
      <c r="J1815" s="65"/>
      <c r="K1815" s="62"/>
      <c r="L1815" s="65"/>
      <c r="M1815" s="65"/>
      <c r="N1815" s="65"/>
      <c r="P1815" t="str">
        <f t="shared" si="97"/>
        <v>GP</v>
      </c>
      <c r="Q1815" t="str">
        <f t="shared" si="98"/>
        <v>NA</v>
      </c>
      <c r="R1815" t="str">
        <f>IF(ISERROR(MATCH(P1815&amp;"."&amp;Q1815,R$5:R1814,0)),P1815&amp;"."&amp;Q1815,P1815&amp;"."&amp;Q1815&amp;COUNTIFS(P$5:P1814,P1815,Q$5:Q1814,Q1815))</f>
        <v>GP.NA</v>
      </c>
      <c r="S1815" s="55">
        <f t="shared" si="99"/>
        <v>0</v>
      </c>
    </row>
    <row r="1816" spans="1:19" hidden="1">
      <c r="A1816" s="5">
        <v>1881</v>
      </c>
      <c r="B1816" s="59"/>
      <c r="C1816" s="60"/>
      <c r="D1816" s="63"/>
      <c r="E1816" s="60"/>
      <c r="F1816" s="63" t="s">
        <v>393</v>
      </c>
      <c r="G1816" s="63" t="s">
        <v>12</v>
      </c>
      <c r="H1816" s="62"/>
      <c r="I1816" s="65">
        <v>0</v>
      </c>
      <c r="J1816" s="65">
        <v>0</v>
      </c>
      <c r="K1816" s="62"/>
      <c r="L1816" s="65">
        <v>0</v>
      </c>
      <c r="M1816" s="65">
        <v>0</v>
      </c>
      <c r="N1816" s="64">
        <v>0</v>
      </c>
      <c r="P1816" t="str">
        <f t="shared" si="97"/>
        <v>GP</v>
      </c>
      <c r="Q1816" t="str">
        <f t="shared" si="98"/>
        <v>S</v>
      </c>
      <c r="R1816" t="str">
        <f>IF(ISERROR(MATCH(P1816&amp;"."&amp;Q1816,R$5:R1815,0)),P1816&amp;"."&amp;Q1816,P1816&amp;"."&amp;Q1816&amp;COUNTIFS(P$5:P1815,P1816,Q$5:Q1815,Q1816))</f>
        <v>GP.S</v>
      </c>
      <c r="S1816" s="55">
        <f t="shared" si="99"/>
        <v>0</v>
      </c>
    </row>
    <row r="1817" spans="1:19" hidden="1">
      <c r="A1817" s="5">
        <v>1882</v>
      </c>
      <c r="B1817" s="59"/>
      <c r="C1817" s="60"/>
      <c r="D1817" s="63"/>
      <c r="E1817" s="61"/>
      <c r="F1817" s="63" t="s">
        <v>171</v>
      </c>
      <c r="G1817" s="63" t="s">
        <v>136</v>
      </c>
      <c r="H1817" s="62"/>
      <c r="I1817" s="65">
        <v>36905928.450769201</v>
      </c>
      <c r="J1817" s="65">
        <v>16016630.647651572</v>
      </c>
      <c r="K1817" s="62"/>
      <c r="L1817" s="65">
        <v>36905928.450769201</v>
      </c>
      <c r="M1817" s="65">
        <v>20780060.011904553</v>
      </c>
      <c r="N1817" s="64">
        <v>16125868.438864648</v>
      </c>
      <c r="P1817" t="str">
        <f t="shared" si="97"/>
        <v>GP</v>
      </c>
      <c r="Q1817" t="str">
        <f t="shared" si="98"/>
        <v>SO</v>
      </c>
      <c r="R1817" t="str">
        <f>IF(ISERROR(MATCH(P1817&amp;"."&amp;Q1817,R$5:R1816,0)),P1817&amp;"."&amp;Q1817,P1817&amp;"."&amp;Q1817&amp;COUNTIFS(P$5:P1816,P1817,Q$5:Q1816,Q1817))</f>
        <v>GP.SO</v>
      </c>
      <c r="S1817" s="55">
        <f t="shared" si="99"/>
        <v>16125868.438864648</v>
      </c>
    </row>
    <row r="1818" spans="1:19" hidden="1">
      <c r="A1818" s="5">
        <v>1883</v>
      </c>
      <c r="B1818" s="59"/>
      <c r="C1818" s="60"/>
      <c r="D1818" s="63"/>
      <c r="E1818" s="61"/>
      <c r="F1818" s="63" t="s">
        <v>149</v>
      </c>
      <c r="G1818" s="63" t="s">
        <v>155</v>
      </c>
      <c r="H1818" s="62"/>
      <c r="I1818" s="65">
        <v>0</v>
      </c>
      <c r="J1818" s="65">
        <v>0</v>
      </c>
      <c r="K1818" s="62"/>
      <c r="L1818" s="65">
        <v>0</v>
      </c>
      <c r="M1818" s="65">
        <v>0</v>
      </c>
      <c r="N1818" s="64">
        <v>0</v>
      </c>
      <c r="P1818" t="str">
        <f t="shared" si="97"/>
        <v>GP</v>
      </c>
      <c r="Q1818" t="str">
        <f t="shared" si="98"/>
        <v>CN</v>
      </c>
      <c r="R1818" t="str">
        <f>IF(ISERROR(MATCH(P1818&amp;"."&amp;Q1818,R$5:R1817,0)),P1818&amp;"."&amp;Q1818,P1818&amp;"."&amp;Q1818&amp;COUNTIFS(P$5:P1817,P1818,Q$5:Q1817,Q1818))</f>
        <v>GP.CN</v>
      </c>
      <c r="S1818" s="55">
        <f t="shared" si="99"/>
        <v>0</v>
      </c>
    </row>
    <row r="1819" spans="1:19" hidden="1">
      <c r="A1819" s="5">
        <v>1884</v>
      </c>
      <c r="B1819" s="59"/>
      <c r="C1819" s="60"/>
      <c r="D1819" s="63"/>
      <c r="E1819" s="70"/>
      <c r="F1819" s="63" t="s">
        <v>396</v>
      </c>
      <c r="G1819" s="63" t="s">
        <v>15</v>
      </c>
      <c r="H1819" s="62"/>
      <c r="I1819" s="65">
        <v>0</v>
      </c>
      <c r="J1819" s="65">
        <v>0</v>
      </c>
      <c r="K1819" s="62"/>
      <c r="L1819" s="65">
        <v>0</v>
      </c>
      <c r="M1819" s="65">
        <v>0</v>
      </c>
      <c r="N1819" s="64">
        <v>0</v>
      </c>
      <c r="P1819" t="str">
        <f t="shared" si="97"/>
        <v>GP</v>
      </c>
      <c r="Q1819" t="str">
        <f t="shared" si="98"/>
        <v>SG</v>
      </c>
      <c r="R1819" t="str">
        <f>IF(ISERROR(MATCH(P1819&amp;"."&amp;Q1819,R$5:R1818,0)),P1819&amp;"."&amp;Q1819,P1819&amp;"."&amp;Q1819&amp;COUNTIFS(P$5:P1818,P1819,Q$5:Q1818,Q1819))</f>
        <v>GP.SG</v>
      </c>
      <c r="S1819" s="55">
        <f t="shared" si="99"/>
        <v>0</v>
      </c>
    </row>
    <row r="1820" spans="1:19" hidden="1">
      <c r="A1820" s="5">
        <v>1885</v>
      </c>
      <c r="B1820" s="59"/>
      <c r="C1820" s="60"/>
      <c r="D1820" s="63"/>
      <c r="E1820" s="70"/>
      <c r="F1820" s="63" t="s">
        <v>394</v>
      </c>
      <c r="G1820" s="63" t="s">
        <v>15</v>
      </c>
      <c r="H1820" s="62"/>
      <c r="I1820" s="65">
        <v>0</v>
      </c>
      <c r="J1820" s="65">
        <v>0</v>
      </c>
      <c r="K1820" s="62"/>
      <c r="L1820" s="65">
        <v>0</v>
      </c>
      <c r="M1820" s="65">
        <v>0</v>
      </c>
      <c r="N1820" s="64">
        <v>0</v>
      </c>
      <c r="P1820" t="str">
        <f t="shared" si="97"/>
        <v>GP</v>
      </c>
      <c r="Q1820" t="str">
        <f t="shared" si="98"/>
        <v>SG</v>
      </c>
      <c r="R1820" t="str">
        <f>IF(ISERROR(MATCH(P1820&amp;"."&amp;Q1820,R$5:R1819,0)),P1820&amp;"."&amp;Q1820,P1820&amp;"."&amp;Q1820&amp;COUNTIFS(P$5:P1819,P1820,Q$5:Q1819,Q1820))</f>
        <v>GP.SG1</v>
      </c>
      <c r="S1820" s="55">
        <f t="shared" si="99"/>
        <v>0</v>
      </c>
    </row>
    <row r="1821" spans="1:19" hidden="1">
      <c r="A1821" s="5">
        <v>1886</v>
      </c>
      <c r="B1821" s="59"/>
      <c r="C1821" s="60"/>
      <c r="D1821" s="63"/>
      <c r="E1821" s="70"/>
      <c r="F1821" s="63" t="s">
        <v>395</v>
      </c>
      <c r="G1821" s="63" t="s">
        <v>15</v>
      </c>
      <c r="H1821" s="62"/>
      <c r="I1821" s="65">
        <v>0</v>
      </c>
      <c r="J1821" s="65">
        <v>0</v>
      </c>
      <c r="K1821" s="62"/>
      <c r="L1821" s="65">
        <v>0</v>
      </c>
      <c r="M1821" s="65">
        <v>0</v>
      </c>
      <c r="N1821" s="64">
        <v>0</v>
      </c>
      <c r="P1821" t="str">
        <f t="shared" si="97"/>
        <v>GP</v>
      </c>
      <c r="Q1821" t="str">
        <f t="shared" si="98"/>
        <v>SG</v>
      </c>
      <c r="R1821" t="str">
        <f>IF(ISERROR(MATCH(P1821&amp;"."&amp;Q1821,R$5:R1820,0)),P1821&amp;"."&amp;Q1821,P1821&amp;"."&amp;Q1821&amp;COUNTIFS(P$5:P1820,P1821,Q$5:Q1820,Q1821))</f>
        <v>GP.SG2</v>
      </c>
      <c r="S1821" s="55">
        <f t="shared" si="99"/>
        <v>0</v>
      </c>
    </row>
    <row r="1822" spans="1:19" hidden="1">
      <c r="A1822" s="5">
        <v>1887</v>
      </c>
      <c r="B1822" s="59"/>
      <c r="C1822" s="60"/>
      <c r="D1822" s="63"/>
      <c r="E1822" s="70"/>
      <c r="F1822" s="63"/>
      <c r="G1822" s="63"/>
      <c r="H1822" s="62" t="s">
        <v>501</v>
      </c>
      <c r="I1822" s="65">
        <v>36905928.450769201</v>
      </c>
      <c r="J1822" s="65">
        <v>16016630.647651572</v>
      </c>
      <c r="K1822" s="62"/>
      <c r="L1822" s="65">
        <v>36905928.450769201</v>
      </c>
      <c r="M1822" s="65">
        <v>20780060.011904553</v>
      </c>
      <c r="N1822" s="64">
        <v>16125868.438864648</v>
      </c>
      <c r="P1822" t="str">
        <f t="shared" si="97"/>
        <v>GP</v>
      </c>
      <c r="Q1822" t="str">
        <f t="shared" si="98"/>
        <v>NA</v>
      </c>
      <c r="R1822" t="str">
        <f>IF(ISERROR(MATCH(P1822&amp;"."&amp;Q1822,R$5:R1821,0)),P1822&amp;"."&amp;Q1822,P1822&amp;"."&amp;Q1822&amp;COUNTIFS(P$5:P1821,P1822,Q$5:Q1821,Q1822))</f>
        <v>GP.NA1</v>
      </c>
      <c r="S1822" s="55">
        <f t="shared" si="99"/>
        <v>16125868.438864648</v>
      </c>
    </row>
    <row r="1823" spans="1:19" hidden="1">
      <c r="A1823" s="5">
        <v>1888</v>
      </c>
      <c r="B1823" s="59"/>
      <c r="C1823" s="60"/>
      <c r="D1823" s="63"/>
      <c r="E1823" s="60"/>
      <c r="F1823" s="63"/>
      <c r="G1823" s="63"/>
      <c r="H1823" s="62"/>
      <c r="I1823" s="65"/>
      <c r="J1823" s="65"/>
      <c r="K1823" s="62"/>
      <c r="L1823" s="65"/>
      <c r="M1823" s="65"/>
      <c r="N1823" s="64"/>
      <c r="P1823" t="str">
        <f t="shared" si="97"/>
        <v>GP</v>
      </c>
      <c r="Q1823" t="str">
        <f t="shared" si="98"/>
        <v>NA</v>
      </c>
      <c r="R1823" t="str">
        <f>IF(ISERROR(MATCH(P1823&amp;"."&amp;Q1823,R$5:R1822,0)),P1823&amp;"."&amp;Q1823,P1823&amp;"."&amp;Q1823&amp;COUNTIFS(P$5:P1822,P1823,Q$5:Q1822,Q1823))</f>
        <v>GP.NA2</v>
      </c>
      <c r="S1823" s="55">
        <f t="shared" si="99"/>
        <v>0</v>
      </c>
    </row>
    <row r="1824" spans="1:19" hidden="1">
      <c r="A1824" s="5">
        <v>1889</v>
      </c>
      <c r="B1824" s="59"/>
      <c r="C1824" s="60" t="s">
        <v>221</v>
      </c>
      <c r="D1824" s="63" t="s">
        <v>573</v>
      </c>
      <c r="E1824" s="60"/>
      <c r="F1824" s="63"/>
      <c r="G1824" s="63"/>
      <c r="H1824" s="62"/>
      <c r="I1824" s="65"/>
      <c r="J1824" s="65"/>
      <c r="K1824" s="62"/>
      <c r="L1824" s="65"/>
      <c r="M1824" s="65"/>
      <c r="N1824" s="64"/>
      <c r="P1824" t="str">
        <f t="shared" si="97"/>
        <v>399G</v>
      </c>
      <c r="Q1824" t="str">
        <f t="shared" si="98"/>
        <v>NA</v>
      </c>
      <c r="R1824" t="str">
        <f>IF(ISERROR(MATCH(P1824&amp;"."&amp;Q1824,R$5:R1823,0)),P1824&amp;"."&amp;Q1824,P1824&amp;"."&amp;Q1824&amp;COUNTIFS(P$5:P1823,P1824,Q$5:Q1823,Q1824))</f>
        <v>399G.NA</v>
      </c>
      <c r="S1824" s="55">
        <f t="shared" si="99"/>
        <v>0</v>
      </c>
    </row>
    <row r="1825" spans="1:19" hidden="1">
      <c r="A1825" s="5">
        <v>1890</v>
      </c>
      <c r="B1825" s="59"/>
      <c r="C1825" s="60"/>
      <c r="D1825" s="63"/>
      <c r="E1825" s="60"/>
      <c r="F1825" s="63" t="s">
        <v>393</v>
      </c>
      <c r="G1825" s="63" t="s">
        <v>12</v>
      </c>
      <c r="H1825" s="62"/>
      <c r="I1825" s="65">
        <v>0</v>
      </c>
      <c r="J1825" s="65">
        <v>0</v>
      </c>
      <c r="K1825" s="62"/>
      <c r="L1825" s="65">
        <v>0</v>
      </c>
      <c r="M1825" s="65">
        <v>0</v>
      </c>
      <c r="N1825" s="64">
        <v>0</v>
      </c>
      <c r="P1825" t="str">
        <f t="shared" si="97"/>
        <v>399G</v>
      </c>
      <c r="Q1825" t="str">
        <f t="shared" si="98"/>
        <v>S</v>
      </c>
      <c r="R1825" t="str">
        <f>IF(ISERROR(MATCH(P1825&amp;"."&amp;Q1825,R$5:R1824,0)),P1825&amp;"."&amp;Q1825,P1825&amp;"."&amp;Q1825&amp;COUNTIFS(P$5:P1824,P1825,Q$5:Q1824,Q1825))</f>
        <v>399G.S</v>
      </c>
      <c r="S1825" s="55">
        <f t="shared" si="99"/>
        <v>0</v>
      </c>
    </row>
    <row r="1826" spans="1:19" hidden="1">
      <c r="A1826" s="5">
        <v>1891</v>
      </c>
      <c r="B1826" s="59"/>
      <c r="C1826" s="60"/>
      <c r="D1826" s="63"/>
      <c r="E1826" s="61"/>
      <c r="F1826" s="63" t="s">
        <v>171</v>
      </c>
      <c r="G1826" s="63" t="s">
        <v>136</v>
      </c>
      <c r="H1826" s="62"/>
      <c r="I1826" s="65">
        <v>0</v>
      </c>
      <c r="J1826" s="65">
        <v>0</v>
      </c>
      <c r="K1826" s="62"/>
      <c r="L1826" s="65">
        <v>0</v>
      </c>
      <c r="M1826" s="65">
        <v>0</v>
      </c>
      <c r="N1826" s="64">
        <v>0</v>
      </c>
      <c r="P1826" t="str">
        <f t="shared" si="97"/>
        <v>399G</v>
      </c>
      <c r="Q1826" t="str">
        <f t="shared" si="98"/>
        <v>SO</v>
      </c>
      <c r="R1826" t="str">
        <f>IF(ISERROR(MATCH(P1826&amp;"."&amp;Q1826,R$5:R1825,0)),P1826&amp;"."&amp;Q1826,P1826&amp;"."&amp;Q1826&amp;COUNTIFS(P$5:P1825,P1826,Q$5:Q1825,Q1826))</f>
        <v>399G.SO</v>
      </c>
      <c r="S1826" s="55">
        <f t="shared" si="99"/>
        <v>0</v>
      </c>
    </row>
    <row r="1827" spans="1:19" ht="15.75" hidden="1" thickBot="1">
      <c r="A1827" s="5">
        <v>1892</v>
      </c>
      <c r="B1827" s="59"/>
      <c r="C1827" s="60"/>
      <c r="D1827" s="63"/>
      <c r="E1827" s="63"/>
      <c r="F1827" s="63" t="s">
        <v>396</v>
      </c>
      <c r="G1827" s="63" t="s">
        <v>15</v>
      </c>
      <c r="H1827" s="62"/>
      <c r="I1827" s="81">
        <v>0</v>
      </c>
      <c r="J1827" s="81">
        <v>0</v>
      </c>
      <c r="K1827" s="62"/>
      <c r="L1827" s="81">
        <v>0</v>
      </c>
      <c r="M1827" s="81">
        <v>0</v>
      </c>
      <c r="N1827" s="81">
        <v>0</v>
      </c>
      <c r="P1827" t="str">
        <f t="shared" si="97"/>
        <v>399G</v>
      </c>
      <c r="Q1827" t="str">
        <f t="shared" si="98"/>
        <v>SG</v>
      </c>
      <c r="R1827" t="str">
        <f>IF(ISERROR(MATCH(P1827&amp;"."&amp;Q1827,R$5:R1826,0)),P1827&amp;"."&amp;Q1827,P1827&amp;"."&amp;Q1827&amp;COUNTIFS(P$5:P1826,P1827,Q$5:Q1826,Q1827))</f>
        <v>399G.SG</v>
      </c>
      <c r="S1827" s="55">
        <f t="shared" si="99"/>
        <v>0</v>
      </c>
    </row>
    <row r="1828" spans="1:19" hidden="1">
      <c r="A1828" s="5">
        <v>1893</v>
      </c>
      <c r="B1828" s="59"/>
      <c r="C1828" s="60"/>
      <c r="D1828" s="61"/>
      <c r="E1828" s="63"/>
      <c r="F1828" s="63" t="s">
        <v>394</v>
      </c>
      <c r="G1828" s="63" t="s">
        <v>15</v>
      </c>
      <c r="H1828" s="62"/>
      <c r="I1828" s="65">
        <v>0</v>
      </c>
      <c r="J1828" s="65">
        <v>0</v>
      </c>
      <c r="K1828" s="62"/>
      <c r="L1828" s="65">
        <v>0</v>
      </c>
      <c r="M1828" s="65">
        <v>0</v>
      </c>
      <c r="N1828" s="65">
        <v>0</v>
      </c>
      <c r="P1828" t="str">
        <f t="shared" si="97"/>
        <v>399G</v>
      </c>
      <c r="Q1828" t="str">
        <f t="shared" si="98"/>
        <v>SG</v>
      </c>
      <c r="R1828" t="str">
        <f>IF(ISERROR(MATCH(P1828&amp;"."&amp;Q1828,R$5:R1827,0)),P1828&amp;"."&amp;Q1828,P1828&amp;"."&amp;Q1828&amp;COUNTIFS(P$5:P1827,P1828,Q$5:Q1827,Q1828))</f>
        <v>399G.SG1</v>
      </c>
      <c r="S1828" s="55">
        <f t="shared" si="99"/>
        <v>0</v>
      </c>
    </row>
    <row r="1829" spans="1:19" hidden="1">
      <c r="A1829" s="5">
        <v>1894</v>
      </c>
      <c r="B1829" s="59"/>
      <c r="C1829" s="60"/>
      <c r="D1829" s="63"/>
      <c r="E1829" s="63"/>
      <c r="F1829" s="60" t="s">
        <v>395</v>
      </c>
      <c r="G1829" s="61" t="s">
        <v>15</v>
      </c>
      <c r="H1829" s="62"/>
      <c r="I1829" s="65">
        <v>0</v>
      </c>
      <c r="J1829" s="65">
        <v>0</v>
      </c>
      <c r="K1829" s="62"/>
      <c r="L1829" s="65">
        <v>0</v>
      </c>
      <c r="M1829" s="65">
        <v>0</v>
      </c>
      <c r="N1829" s="64">
        <v>0</v>
      </c>
      <c r="P1829" t="str">
        <f t="shared" si="97"/>
        <v>399G</v>
      </c>
      <c r="Q1829" t="str">
        <f t="shared" si="98"/>
        <v>SG</v>
      </c>
      <c r="R1829" t="str">
        <f>IF(ISERROR(MATCH(P1829&amp;"."&amp;Q1829,R$5:R1828,0)),P1829&amp;"."&amp;Q1829,P1829&amp;"."&amp;Q1829&amp;COUNTIFS(P$5:P1828,P1829,Q$5:Q1828,Q1829))</f>
        <v>399G.SG2</v>
      </c>
      <c r="S1829" s="55">
        <f t="shared" si="99"/>
        <v>0</v>
      </c>
    </row>
    <row r="1830" spans="1:19" hidden="1">
      <c r="A1830" s="5">
        <v>1895</v>
      </c>
      <c r="B1830" s="59"/>
      <c r="C1830" s="60"/>
      <c r="D1830" s="63"/>
      <c r="E1830" s="63"/>
      <c r="F1830" s="60" t="s">
        <v>141</v>
      </c>
      <c r="G1830" s="61"/>
      <c r="H1830" s="62" t="s">
        <v>501</v>
      </c>
      <c r="I1830" s="65">
        <v>0</v>
      </c>
      <c r="J1830" s="65">
        <v>0</v>
      </c>
      <c r="K1830" s="62"/>
      <c r="L1830" s="65">
        <v>0</v>
      </c>
      <c r="M1830" s="65">
        <v>0</v>
      </c>
      <c r="N1830" s="64">
        <v>0</v>
      </c>
      <c r="P1830" t="str">
        <f t="shared" si="97"/>
        <v>399G</v>
      </c>
      <c r="Q1830" t="str">
        <f t="shared" si="98"/>
        <v>NA</v>
      </c>
      <c r="R1830" t="str">
        <f>IF(ISERROR(MATCH(P1830&amp;"."&amp;Q1830,R$5:R1829,0)),P1830&amp;"."&amp;Q1830,P1830&amp;"."&amp;Q1830&amp;COUNTIFS(P$5:P1829,P1830,Q$5:Q1829,Q1830))</f>
        <v>399G.NA1</v>
      </c>
      <c r="S1830" s="55">
        <f t="shared" si="99"/>
        <v>0</v>
      </c>
    </row>
    <row r="1831" spans="1:19" hidden="1">
      <c r="A1831" s="5">
        <v>1896</v>
      </c>
      <c r="B1831" s="59"/>
      <c r="C1831" s="60"/>
      <c r="D1831" s="63"/>
      <c r="E1831" s="63"/>
      <c r="F1831" s="60"/>
      <c r="G1831" s="61"/>
      <c r="H1831" s="62"/>
      <c r="I1831" s="65"/>
      <c r="J1831" s="65"/>
      <c r="K1831" s="62"/>
      <c r="L1831" s="65"/>
      <c r="M1831" s="65"/>
      <c r="N1831" s="64"/>
      <c r="P1831" t="str">
        <f t="shared" si="97"/>
        <v>399G</v>
      </c>
      <c r="Q1831" t="str">
        <f t="shared" si="98"/>
        <v>NA</v>
      </c>
      <c r="R1831" t="str">
        <f>IF(ISERROR(MATCH(P1831&amp;"."&amp;Q1831,R$5:R1830,0)),P1831&amp;"."&amp;Q1831,P1831&amp;"."&amp;Q1831&amp;COUNTIFS(P$5:P1830,P1831,Q$5:Q1830,Q1831))</f>
        <v>399G.NA2</v>
      </c>
      <c r="S1831" s="55">
        <f t="shared" si="99"/>
        <v>0</v>
      </c>
    </row>
    <row r="1832" spans="1:19" hidden="1">
      <c r="A1832" s="5">
        <v>1897</v>
      </c>
      <c r="B1832" s="59"/>
      <c r="C1832" s="60" t="s">
        <v>574</v>
      </c>
      <c r="D1832" s="63"/>
      <c r="E1832" s="63"/>
      <c r="F1832" s="63"/>
      <c r="G1832" s="63"/>
      <c r="H1832" s="62" t="s">
        <v>501</v>
      </c>
      <c r="I1832" s="66">
        <v>1285199096.8407698</v>
      </c>
      <c r="J1832" s="66">
        <v>505732508.14779139</v>
      </c>
      <c r="K1832" s="62"/>
      <c r="L1832" s="66">
        <v>1480825438.1106586</v>
      </c>
      <c r="M1832" s="66">
        <v>867500617.72524858</v>
      </c>
      <c r="N1832" s="66">
        <v>613324820.38541007</v>
      </c>
      <c r="P1832" t="str">
        <f t="shared" si="97"/>
        <v>Total General Plant</v>
      </c>
      <c r="Q1832" t="str">
        <f t="shared" si="98"/>
        <v>NA</v>
      </c>
      <c r="R1832" t="str">
        <f>IF(ISERROR(MATCH(P1832&amp;"."&amp;Q1832,R$5:R1831,0)),P1832&amp;"."&amp;Q1832,P1832&amp;"."&amp;Q1832&amp;COUNTIFS(P$5:P1831,P1832,Q$5:Q1831,Q1832))</f>
        <v>Total General Plant.NA</v>
      </c>
      <c r="S1832" s="55">
        <f t="shared" si="99"/>
        <v>613324820.38541007</v>
      </c>
    </row>
    <row r="1833" spans="1:19" hidden="1">
      <c r="A1833" s="5">
        <v>1898</v>
      </c>
      <c r="B1833" s="59"/>
      <c r="C1833" s="60"/>
      <c r="D1833" s="61"/>
      <c r="E1833" s="63"/>
      <c r="F1833" s="63"/>
      <c r="G1833" s="63"/>
      <c r="H1833" s="62"/>
      <c r="I1833" s="65"/>
      <c r="J1833" s="65"/>
      <c r="K1833" s="62"/>
      <c r="L1833" s="65"/>
      <c r="M1833" s="65"/>
      <c r="N1833" s="65"/>
      <c r="P1833" t="str">
        <f t="shared" si="97"/>
        <v>Total General Plant</v>
      </c>
      <c r="Q1833" t="str">
        <f t="shared" si="98"/>
        <v>NA</v>
      </c>
      <c r="R1833" t="str">
        <f>IF(ISERROR(MATCH(P1833&amp;"."&amp;Q1833,R$5:R1832,0)),P1833&amp;"."&amp;Q1833,P1833&amp;"."&amp;Q1833&amp;COUNTIFS(P$5:P1832,P1833,Q$5:Q1832,Q1833))</f>
        <v>Total General Plant.NA1</v>
      </c>
      <c r="S1833" s="55">
        <f t="shared" si="99"/>
        <v>0</v>
      </c>
    </row>
    <row r="1834" spans="1:19" hidden="1">
      <c r="A1834" s="5">
        <v>1899</v>
      </c>
      <c r="B1834" s="59"/>
      <c r="C1834" s="60" t="s">
        <v>575</v>
      </c>
      <c r="D1834" s="63"/>
      <c r="E1834" s="63"/>
      <c r="F1834" s="60"/>
      <c r="G1834" s="61"/>
      <c r="H1834" s="62"/>
      <c r="I1834" s="65"/>
      <c r="J1834" s="65"/>
      <c r="K1834" s="62"/>
      <c r="L1834" s="65"/>
      <c r="M1834" s="65"/>
      <c r="N1834" s="64"/>
      <c r="P1834" t="str">
        <f t="shared" si="97"/>
        <v>Summary of General Plant by Factor</v>
      </c>
      <c r="Q1834" t="str">
        <f t="shared" si="98"/>
        <v>NA</v>
      </c>
      <c r="R1834" t="str">
        <f>IF(ISERROR(MATCH(P1834&amp;"."&amp;Q1834,R$5:R1833,0)),P1834&amp;"."&amp;Q1834,P1834&amp;"."&amp;Q1834&amp;COUNTIFS(P$5:P1833,P1834,Q$5:Q1833,Q1834))</f>
        <v>Summary of General Plant by Factor.NA</v>
      </c>
      <c r="S1834" s="55">
        <f t="shared" si="99"/>
        <v>0</v>
      </c>
    </row>
    <row r="1835" spans="1:19" hidden="1">
      <c r="A1835" s="5">
        <v>1900</v>
      </c>
      <c r="B1835" s="59"/>
      <c r="C1835" s="60"/>
      <c r="D1835" s="63"/>
      <c r="E1835" s="63" t="s">
        <v>12</v>
      </c>
      <c r="F1835" s="60"/>
      <c r="G1835" s="61"/>
      <c r="H1835" s="62"/>
      <c r="I1835" s="65">
        <v>655356462.42846155</v>
      </c>
      <c r="J1835" s="65">
        <v>230894735.63461524</v>
      </c>
      <c r="K1835" s="62"/>
      <c r="L1835" s="65">
        <v>736680131.96761763</v>
      </c>
      <c r="M1835" s="65">
        <v>448755538.84854358</v>
      </c>
      <c r="N1835" s="64">
        <v>287924593.11907405</v>
      </c>
      <c r="P1835" t="str">
        <f t="shared" si="97"/>
        <v>Summary of General Plant by Factor</v>
      </c>
      <c r="Q1835" t="str">
        <f t="shared" si="98"/>
        <v>NA</v>
      </c>
      <c r="R1835" t="str">
        <f>IF(ISERROR(MATCH(P1835&amp;"."&amp;Q1835,R$5:R1834,0)),P1835&amp;"."&amp;Q1835,P1835&amp;"."&amp;Q1835&amp;COUNTIFS(P$5:P1834,P1835,Q$5:Q1834,Q1835))</f>
        <v>Summary of General Plant by Factor.NA1</v>
      </c>
      <c r="S1835" s="55">
        <f t="shared" si="99"/>
        <v>287924593.11907405</v>
      </c>
    </row>
    <row r="1836" spans="1:19" hidden="1">
      <c r="A1836" s="5">
        <v>1901</v>
      </c>
      <c r="B1836" s="59"/>
      <c r="C1836" s="60"/>
      <c r="D1836" s="63"/>
      <c r="E1836" s="63" t="s">
        <v>17</v>
      </c>
      <c r="F1836" s="60"/>
      <c r="G1836" s="61"/>
      <c r="H1836" s="62"/>
      <c r="I1836" s="65">
        <v>0</v>
      </c>
      <c r="J1836" s="65">
        <v>0</v>
      </c>
      <c r="K1836" s="62"/>
      <c r="L1836" s="65">
        <v>0</v>
      </c>
      <c r="M1836" s="65">
        <v>0</v>
      </c>
      <c r="N1836" s="64">
        <v>0</v>
      </c>
      <c r="P1836" t="str">
        <f t="shared" si="97"/>
        <v>Summary of General Plant by Factor</v>
      </c>
      <c r="Q1836" t="str">
        <f t="shared" si="98"/>
        <v>NA</v>
      </c>
      <c r="R1836" t="str">
        <f>IF(ISERROR(MATCH(P1836&amp;"."&amp;Q1836,R$5:R1835,0)),P1836&amp;"."&amp;Q1836,P1836&amp;"."&amp;Q1836&amp;COUNTIFS(P$5:P1835,P1836,Q$5:Q1835,Q1836))</f>
        <v>Summary of General Plant by Factor.NA2</v>
      </c>
      <c r="S1836" s="55">
        <f t="shared" si="99"/>
        <v>0</v>
      </c>
    </row>
    <row r="1837" spans="1:19" hidden="1">
      <c r="A1837" s="5">
        <v>1902</v>
      </c>
      <c r="B1837" s="59"/>
      <c r="C1837" s="60"/>
      <c r="D1837" s="63"/>
      <c r="E1837" s="63" t="s">
        <v>14</v>
      </c>
      <c r="F1837" s="60"/>
      <c r="G1837" s="61"/>
      <c r="H1837" s="62"/>
      <c r="I1837" s="65">
        <v>0</v>
      </c>
      <c r="J1837" s="65">
        <v>0</v>
      </c>
      <c r="K1837" s="62"/>
      <c r="L1837" s="65">
        <v>0</v>
      </c>
      <c r="M1837" s="65">
        <v>0</v>
      </c>
      <c r="N1837" s="64">
        <v>0</v>
      </c>
      <c r="P1837" t="str">
        <f t="shared" si="97"/>
        <v>Summary of General Plant by Factor</v>
      </c>
      <c r="Q1837" t="str">
        <f t="shared" si="98"/>
        <v>NA</v>
      </c>
      <c r="R1837" t="str">
        <f>IF(ISERROR(MATCH(P1837&amp;"."&amp;Q1837,R$5:R1836,0)),P1837&amp;"."&amp;Q1837,P1837&amp;"."&amp;Q1837&amp;COUNTIFS(P$5:P1836,P1837,Q$5:Q1836,Q1837))</f>
        <v>Summary of General Plant by Factor.NA3</v>
      </c>
      <c r="S1837" s="55">
        <f t="shared" si="99"/>
        <v>0</v>
      </c>
    </row>
    <row r="1838" spans="1:19" hidden="1">
      <c r="A1838" s="5">
        <v>1903</v>
      </c>
      <c r="B1838" s="59"/>
      <c r="C1838" s="60"/>
      <c r="D1838" s="63"/>
      <c r="E1838" s="63" t="s">
        <v>15</v>
      </c>
      <c r="F1838" s="60"/>
      <c r="G1838" s="61"/>
      <c r="H1838" s="62"/>
      <c r="I1838" s="65">
        <v>309037237.18230784</v>
      </c>
      <c r="J1838" s="65">
        <v>135968652.65730858</v>
      </c>
      <c r="K1838" s="62"/>
      <c r="L1838" s="65">
        <v>325343564.0791446</v>
      </c>
      <c r="M1838" s="65">
        <v>182200535.54995817</v>
      </c>
      <c r="N1838" s="64">
        <v>143143028.52918643</v>
      </c>
      <c r="P1838" t="str">
        <f t="shared" si="97"/>
        <v>Summary of General Plant by Factor</v>
      </c>
      <c r="Q1838" t="str">
        <f t="shared" si="98"/>
        <v>NA</v>
      </c>
      <c r="R1838" t="str">
        <f>IF(ISERROR(MATCH(P1838&amp;"."&amp;Q1838,R$5:R1837,0)),P1838&amp;"."&amp;Q1838,P1838&amp;"."&amp;Q1838&amp;COUNTIFS(P$5:P1837,P1838,Q$5:Q1837,Q1838))</f>
        <v>Summary of General Plant by Factor.NA4</v>
      </c>
      <c r="S1838" s="55">
        <f t="shared" si="99"/>
        <v>143143028.52918643</v>
      </c>
    </row>
    <row r="1839" spans="1:19" hidden="1">
      <c r="A1839" s="5">
        <v>1904</v>
      </c>
      <c r="B1839" s="59"/>
      <c r="C1839" s="60"/>
      <c r="D1839" s="63"/>
      <c r="E1839" s="63" t="s">
        <v>136</v>
      </c>
      <c r="F1839" s="60"/>
      <c r="G1839" s="61"/>
      <c r="H1839" s="62"/>
      <c r="I1839" s="65">
        <v>315706687.35076922</v>
      </c>
      <c r="J1839" s="65">
        <v>137012063.27964619</v>
      </c>
      <c r="K1839" s="62"/>
      <c r="L1839" s="65">
        <v>338735040.94205302</v>
      </c>
      <c r="M1839" s="65">
        <v>190726389.3469153</v>
      </c>
      <c r="N1839" s="64">
        <v>148008651.59513772</v>
      </c>
      <c r="P1839" t="str">
        <f t="shared" si="97"/>
        <v>Summary of General Plant by Factor</v>
      </c>
      <c r="Q1839" t="str">
        <f t="shared" si="98"/>
        <v>NA</v>
      </c>
      <c r="R1839" t="str">
        <f>IF(ISERROR(MATCH(P1839&amp;"."&amp;Q1839,R$5:R1838,0)),P1839&amp;"."&amp;Q1839,P1839&amp;"."&amp;Q1839&amp;COUNTIFS(P$5:P1838,P1839,Q$5:Q1838,Q1839))</f>
        <v>Summary of General Plant by Factor.NA5</v>
      </c>
      <c r="S1839" s="55">
        <f t="shared" si="99"/>
        <v>148008651.59513772</v>
      </c>
    </row>
    <row r="1840" spans="1:19" hidden="1">
      <c r="A1840" s="5">
        <v>1905</v>
      </c>
      <c r="B1840" s="59"/>
      <c r="C1840" s="60"/>
      <c r="D1840" s="63"/>
      <c r="E1840" s="63" t="s">
        <v>16</v>
      </c>
      <c r="F1840" s="63"/>
      <c r="G1840" s="63"/>
      <c r="H1840" s="62"/>
      <c r="I1840" s="66">
        <v>5627203.4184615361</v>
      </c>
      <c r="J1840" s="66">
        <v>2439742.1030575433</v>
      </c>
      <c r="K1840" s="62"/>
      <c r="L1840" s="66">
        <v>82991918.800535589</v>
      </c>
      <c r="M1840" s="66">
        <v>47009768.617922001</v>
      </c>
      <c r="N1840" s="66">
        <v>35982150.182613589</v>
      </c>
      <c r="P1840" t="str">
        <f t="shared" si="97"/>
        <v>Summary of General Plant by Factor</v>
      </c>
      <c r="Q1840" t="str">
        <f t="shared" si="98"/>
        <v>NA</v>
      </c>
      <c r="R1840" t="str">
        <f>IF(ISERROR(MATCH(P1840&amp;"."&amp;Q1840,R$5:R1839,0)),P1840&amp;"."&amp;Q1840,P1840&amp;"."&amp;Q1840&amp;COUNTIFS(P$5:P1839,P1840,Q$5:Q1839,Q1840))</f>
        <v>Summary of General Plant by Factor.NA6</v>
      </c>
      <c r="S1840" s="55">
        <f t="shared" si="99"/>
        <v>35982150.182613589</v>
      </c>
    </row>
    <row r="1841" spans="1:19" hidden="1">
      <c r="A1841" s="5">
        <v>1906</v>
      </c>
      <c r="B1841" s="59"/>
      <c r="C1841" s="60"/>
      <c r="D1841" s="63"/>
      <c r="E1841" s="63" t="s">
        <v>155</v>
      </c>
      <c r="F1841" s="63"/>
      <c r="G1841" s="63"/>
      <c r="H1841" s="62"/>
      <c r="I1841" s="65">
        <v>17517830.258461542</v>
      </c>
      <c r="J1841" s="65">
        <v>8375168.7721222676</v>
      </c>
      <c r="K1841" s="62"/>
      <c r="L1841" s="65">
        <v>15121106.11899999</v>
      </c>
      <c r="M1841" s="65">
        <v>7891796.6726075327</v>
      </c>
      <c r="N1841" s="65">
        <v>7229309.446392457</v>
      </c>
      <c r="P1841" t="str">
        <f t="shared" si="97"/>
        <v>Summary of General Plant by Factor</v>
      </c>
      <c r="Q1841" t="str">
        <f t="shared" si="98"/>
        <v>NA</v>
      </c>
      <c r="R1841" t="str">
        <f>IF(ISERROR(MATCH(P1841&amp;"."&amp;Q1841,R$5:R1840,0)),P1841&amp;"."&amp;Q1841,P1841&amp;"."&amp;Q1841&amp;COUNTIFS(P$5:P1840,P1841,Q$5:Q1840,Q1841))</f>
        <v>Summary of General Plant by Factor.NA7</v>
      </c>
      <c r="S1841" s="55">
        <f t="shared" si="99"/>
        <v>7229309.446392457</v>
      </c>
    </row>
    <row r="1842" spans="1:19" hidden="1">
      <c r="A1842" s="5">
        <v>1907</v>
      </c>
      <c r="B1842" s="59"/>
      <c r="C1842" s="60"/>
      <c r="D1842" s="61"/>
      <c r="E1842" s="63" t="s">
        <v>294</v>
      </c>
      <c r="F1842" s="63"/>
      <c r="G1842" s="63"/>
      <c r="H1842" s="62"/>
      <c r="I1842" s="65">
        <v>0</v>
      </c>
      <c r="J1842" s="65">
        <v>0</v>
      </c>
      <c r="K1842" s="62"/>
      <c r="L1842" s="65">
        <v>0</v>
      </c>
      <c r="M1842" s="65">
        <v>0</v>
      </c>
      <c r="N1842" s="65">
        <v>0</v>
      </c>
      <c r="P1842" t="str">
        <f t="shared" si="97"/>
        <v>Summary of General Plant by Factor</v>
      </c>
      <c r="Q1842" t="str">
        <f t="shared" si="98"/>
        <v>NA</v>
      </c>
      <c r="R1842" t="str">
        <f>IF(ISERROR(MATCH(P1842&amp;"."&amp;Q1842,R$5:R1841,0)),P1842&amp;"."&amp;Q1842,P1842&amp;"."&amp;Q1842&amp;COUNTIFS(P$5:P1841,P1842,Q$5:Q1841,Q1842))</f>
        <v>Summary of General Plant by Factor.NA8</v>
      </c>
      <c r="S1842" s="55">
        <f t="shared" si="99"/>
        <v>0</v>
      </c>
    </row>
    <row r="1843" spans="1:19" hidden="1">
      <c r="A1843" s="5">
        <v>1908</v>
      </c>
      <c r="B1843" s="59"/>
      <c r="C1843" s="60"/>
      <c r="D1843" s="63"/>
      <c r="E1843" s="63" t="s">
        <v>298</v>
      </c>
      <c r="F1843" s="60"/>
      <c r="G1843" s="61"/>
      <c r="H1843" s="62"/>
      <c r="I1843" s="65">
        <v>0</v>
      </c>
      <c r="J1843" s="65">
        <v>0</v>
      </c>
      <c r="K1843" s="62"/>
      <c r="L1843" s="65">
        <v>0</v>
      </c>
      <c r="M1843" s="65">
        <v>0</v>
      </c>
      <c r="N1843" s="64">
        <v>0</v>
      </c>
      <c r="P1843" t="str">
        <f t="shared" si="97"/>
        <v>Summary of General Plant by Factor</v>
      </c>
      <c r="Q1843" t="str">
        <f t="shared" si="98"/>
        <v>NA</v>
      </c>
      <c r="R1843" t="str">
        <f>IF(ISERROR(MATCH(P1843&amp;"."&amp;Q1843,R$5:R1842,0)),P1843&amp;"."&amp;Q1843,P1843&amp;"."&amp;Q1843&amp;COUNTIFS(P$5:P1842,P1843,Q$5:Q1842,Q1843))</f>
        <v>Summary of General Plant by Factor.NA9</v>
      </c>
      <c r="S1843" s="55">
        <f t="shared" si="99"/>
        <v>0</v>
      </c>
    </row>
    <row r="1844" spans="1:19" hidden="1">
      <c r="A1844" s="5">
        <v>1909</v>
      </c>
      <c r="B1844" s="59"/>
      <c r="C1844" s="60"/>
      <c r="D1844" s="63"/>
      <c r="E1844" s="63" t="s">
        <v>301</v>
      </c>
      <c r="F1844" s="60"/>
      <c r="G1844" s="61"/>
      <c r="H1844" s="62"/>
      <c r="I1844" s="65">
        <v>0</v>
      </c>
      <c r="J1844" s="65">
        <v>0</v>
      </c>
      <c r="K1844" s="62"/>
      <c r="L1844" s="65">
        <v>0</v>
      </c>
      <c r="M1844" s="65">
        <v>0</v>
      </c>
      <c r="N1844" s="64">
        <v>0</v>
      </c>
      <c r="P1844" t="str">
        <f t="shared" si="97"/>
        <v>Summary of General Plant by Factor</v>
      </c>
      <c r="Q1844" t="str">
        <f t="shared" si="98"/>
        <v>NA</v>
      </c>
      <c r="R1844" t="str">
        <f>IF(ISERROR(MATCH(P1844&amp;"."&amp;Q1844,R$5:R1843,0)),P1844&amp;"."&amp;Q1844,P1844&amp;"."&amp;Q1844&amp;COUNTIFS(P$5:P1843,P1844,Q$5:Q1843,Q1844))</f>
        <v>Summary of General Plant by Factor.NA10</v>
      </c>
      <c r="S1844" s="55">
        <f t="shared" si="99"/>
        <v>0</v>
      </c>
    </row>
    <row r="1845" spans="1:19" hidden="1">
      <c r="A1845" s="5">
        <v>1910</v>
      </c>
      <c r="B1845" s="59"/>
      <c r="C1845" s="60"/>
      <c r="D1845" s="63"/>
      <c r="E1845" s="63" t="s">
        <v>576</v>
      </c>
      <c r="F1845" s="60"/>
      <c r="G1845" s="61"/>
      <c r="H1845" s="62"/>
      <c r="I1845" s="65">
        <v>-18046323.797692277</v>
      </c>
      <c r="J1845" s="65">
        <v>-8957854.2989583798</v>
      </c>
      <c r="K1845" s="62"/>
      <c r="L1845" s="65">
        <v>-18046323.79769228</v>
      </c>
      <c r="M1845" s="65">
        <v>-9083411.3106981516</v>
      </c>
      <c r="N1845" s="64">
        <v>-8962912.4869941287</v>
      </c>
      <c r="P1845" t="str">
        <f t="shared" si="97"/>
        <v>Summary of General Plant by Factor</v>
      </c>
      <c r="Q1845" t="str">
        <f t="shared" si="98"/>
        <v>NA</v>
      </c>
      <c r="R1845" t="str">
        <f>IF(ISERROR(MATCH(P1845&amp;"."&amp;Q1845,R$5:R1844,0)),P1845&amp;"."&amp;Q1845,P1845&amp;"."&amp;Q1845&amp;COUNTIFS(P$5:P1844,P1845,Q$5:Q1844,Q1845))</f>
        <v>Summary of General Plant by Factor.NA11</v>
      </c>
      <c r="S1845" s="55">
        <f t="shared" si="99"/>
        <v>-8962912.4869941287</v>
      </c>
    </row>
    <row r="1846" spans="1:19" hidden="1">
      <c r="A1846" s="5">
        <v>1911</v>
      </c>
      <c r="B1846" s="59"/>
      <c r="C1846" s="60" t="s">
        <v>577</v>
      </c>
      <c r="D1846" s="63"/>
      <c r="E1846" s="63"/>
      <c r="F1846" s="60"/>
      <c r="G1846" s="61"/>
      <c r="H1846" s="62" t="s">
        <v>141</v>
      </c>
      <c r="I1846" s="65">
        <v>1285199096.8407693</v>
      </c>
      <c r="J1846" s="65">
        <v>505732508.1477915</v>
      </c>
      <c r="K1846" s="62"/>
      <c r="L1846" s="65">
        <v>1480825438.1106586</v>
      </c>
      <c r="M1846" s="65">
        <v>867500617.72524846</v>
      </c>
      <c r="N1846" s="64">
        <v>613324820.38541007</v>
      </c>
      <c r="P1846" t="str">
        <f t="shared" si="97"/>
        <v>Total General Plant by Factor</v>
      </c>
      <c r="Q1846" t="str">
        <f t="shared" si="98"/>
        <v>NA</v>
      </c>
      <c r="R1846" t="str">
        <f>IF(ISERROR(MATCH(P1846&amp;"."&amp;Q1846,R$5:R1845,0)),P1846&amp;"."&amp;Q1846,P1846&amp;"."&amp;Q1846&amp;COUNTIFS(P$5:P1845,P1846,Q$5:Q1845,Q1846))</f>
        <v>Total General Plant by Factor.NA</v>
      </c>
      <c r="S1846" s="55">
        <f t="shared" si="99"/>
        <v>613324820.38541007</v>
      </c>
    </row>
    <row r="1847" spans="1:19" hidden="1">
      <c r="A1847" s="5">
        <v>1912</v>
      </c>
      <c r="B1847" s="59"/>
      <c r="C1847" s="60">
        <v>301</v>
      </c>
      <c r="D1847" s="63" t="s">
        <v>578</v>
      </c>
      <c r="E1847" s="63"/>
      <c r="F1847" s="60"/>
      <c r="G1847" s="61"/>
      <c r="H1847" s="62"/>
      <c r="I1847" s="65"/>
      <c r="J1847" s="65"/>
      <c r="K1847" s="62"/>
      <c r="L1847" s="65"/>
      <c r="M1847" s="65"/>
      <c r="N1847" s="64"/>
      <c r="P1847">
        <f t="shared" si="97"/>
        <v>301</v>
      </c>
      <c r="Q1847" t="str">
        <f t="shared" si="98"/>
        <v>NA</v>
      </c>
      <c r="R1847" t="str">
        <f>IF(ISERROR(MATCH(P1847&amp;"."&amp;Q1847,R$5:R1846,0)),P1847&amp;"."&amp;Q1847,P1847&amp;"."&amp;Q1847&amp;COUNTIFS(P$5:P1846,P1847,Q$5:Q1846,Q1847))</f>
        <v>301.NA</v>
      </c>
      <c r="S1847" s="55">
        <f t="shared" si="99"/>
        <v>0</v>
      </c>
    </row>
    <row r="1848" spans="1:19" hidden="1">
      <c r="A1848" s="5">
        <v>1913</v>
      </c>
      <c r="B1848" s="59"/>
      <c r="C1848" s="60"/>
      <c r="D1848" s="63"/>
      <c r="E1848" s="63"/>
      <c r="F1848" s="60" t="s">
        <v>405</v>
      </c>
      <c r="G1848" s="61" t="s">
        <v>12</v>
      </c>
      <c r="H1848" s="62"/>
      <c r="I1848" s="65">
        <v>0</v>
      </c>
      <c r="J1848" s="65">
        <v>0</v>
      </c>
      <c r="K1848" s="62"/>
      <c r="L1848" s="65">
        <v>0</v>
      </c>
      <c r="M1848" s="65">
        <v>0</v>
      </c>
      <c r="N1848" s="64">
        <v>0</v>
      </c>
      <c r="P1848">
        <f t="shared" si="97"/>
        <v>301</v>
      </c>
      <c r="Q1848" t="str">
        <f t="shared" si="98"/>
        <v>S</v>
      </c>
      <c r="R1848" t="str">
        <f>IF(ISERROR(MATCH(P1848&amp;"."&amp;Q1848,R$5:R1847,0)),P1848&amp;"."&amp;Q1848,P1848&amp;"."&amp;Q1848&amp;COUNTIFS(P$5:P1847,P1848,Q$5:Q1847,Q1848))</f>
        <v>301.S</v>
      </c>
      <c r="S1848" s="55">
        <f t="shared" si="99"/>
        <v>0</v>
      </c>
    </row>
    <row r="1849" spans="1:19" hidden="1">
      <c r="A1849" s="5">
        <v>1914</v>
      </c>
      <c r="B1849" s="59"/>
      <c r="C1849" s="60"/>
      <c r="D1849" s="63"/>
      <c r="E1849" s="63"/>
      <c r="F1849" s="60" t="s">
        <v>171</v>
      </c>
      <c r="G1849" s="61" t="s">
        <v>136</v>
      </c>
      <c r="H1849" s="62"/>
      <c r="I1849" s="65">
        <v>0</v>
      </c>
      <c r="J1849" s="65">
        <v>0</v>
      </c>
      <c r="K1849" s="62"/>
      <c r="L1849" s="65">
        <v>0</v>
      </c>
      <c r="M1849" s="65">
        <v>0</v>
      </c>
      <c r="N1849" s="64">
        <v>0</v>
      </c>
      <c r="P1849">
        <f t="shared" si="97"/>
        <v>301</v>
      </c>
      <c r="Q1849" t="str">
        <f t="shared" si="98"/>
        <v>SO</v>
      </c>
      <c r="R1849" t="str">
        <f>IF(ISERROR(MATCH(P1849&amp;"."&amp;Q1849,R$5:R1848,0)),P1849&amp;"."&amp;Q1849,P1849&amp;"."&amp;Q1849&amp;COUNTIFS(P$5:P1848,P1849,Q$5:Q1848,Q1849))</f>
        <v>301.SO</v>
      </c>
      <c r="S1849" s="55">
        <f t="shared" si="99"/>
        <v>0</v>
      </c>
    </row>
    <row r="1850" spans="1:19" hidden="1">
      <c r="A1850" s="5">
        <v>1915</v>
      </c>
      <c r="B1850" s="59"/>
      <c r="C1850" s="60"/>
      <c r="D1850" s="63"/>
      <c r="E1850" s="63"/>
      <c r="F1850" s="63" t="s">
        <v>406</v>
      </c>
      <c r="G1850" s="63" t="s">
        <v>15</v>
      </c>
      <c r="H1850" s="62"/>
      <c r="I1850" s="66">
        <v>0</v>
      </c>
      <c r="J1850" s="66">
        <v>0</v>
      </c>
      <c r="K1850" s="62"/>
      <c r="L1850" s="66">
        <v>0</v>
      </c>
      <c r="M1850" s="66">
        <v>0</v>
      </c>
      <c r="N1850" s="66">
        <v>0</v>
      </c>
      <c r="P1850">
        <f t="shared" si="97"/>
        <v>301</v>
      </c>
      <c r="Q1850" t="str">
        <f t="shared" si="98"/>
        <v>SG</v>
      </c>
      <c r="R1850" t="str">
        <f>IF(ISERROR(MATCH(P1850&amp;"."&amp;Q1850,R$5:R1849,0)),P1850&amp;"."&amp;Q1850,P1850&amp;"."&amp;Q1850&amp;COUNTIFS(P$5:P1849,P1850,Q$5:Q1849,Q1850))</f>
        <v>301.SG</v>
      </c>
      <c r="S1850" s="55">
        <f t="shared" si="99"/>
        <v>0</v>
      </c>
    </row>
    <row r="1851" spans="1:19" hidden="1">
      <c r="A1851" s="5">
        <v>1916</v>
      </c>
      <c r="B1851" s="59"/>
      <c r="C1851" s="60"/>
      <c r="D1851" s="61"/>
      <c r="E1851" s="63"/>
      <c r="F1851" s="63"/>
      <c r="G1851" s="63"/>
      <c r="H1851" s="62" t="s">
        <v>501</v>
      </c>
      <c r="I1851" s="65">
        <v>0</v>
      </c>
      <c r="J1851" s="65">
        <v>0</v>
      </c>
      <c r="K1851" s="62"/>
      <c r="L1851" s="65">
        <v>0</v>
      </c>
      <c r="M1851" s="65">
        <v>0</v>
      </c>
      <c r="N1851" s="65">
        <v>0</v>
      </c>
      <c r="P1851">
        <f t="shared" si="97"/>
        <v>301</v>
      </c>
      <c r="Q1851" t="str">
        <f t="shared" si="98"/>
        <v>NA</v>
      </c>
      <c r="R1851" t="str">
        <f>IF(ISERROR(MATCH(P1851&amp;"."&amp;Q1851,R$5:R1850,0)),P1851&amp;"."&amp;Q1851,P1851&amp;"."&amp;Q1851&amp;COUNTIFS(P$5:P1850,P1851,Q$5:Q1850,Q1851))</f>
        <v>301.NA1</v>
      </c>
      <c r="S1851" s="55">
        <f t="shared" si="99"/>
        <v>0</v>
      </c>
    </row>
    <row r="1852" spans="1:19" hidden="1">
      <c r="A1852" s="5">
        <v>1917</v>
      </c>
      <c r="B1852" s="59"/>
      <c r="C1852" s="60">
        <v>302</v>
      </c>
      <c r="D1852" s="63" t="s">
        <v>579</v>
      </c>
      <c r="E1852" s="63"/>
      <c r="F1852" s="60"/>
      <c r="G1852" s="61"/>
      <c r="H1852" s="62"/>
      <c r="I1852" s="65"/>
      <c r="J1852" s="65"/>
      <c r="K1852" s="62"/>
      <c r="L1852" s="65"/>
      <c r="M1852" s="65"/>
      <c r="N1852" s="64"/>
      <c r="P1852">
        <f t="shared" si="97"/>
        <v>302</v>
      </c>
      <c r="Q1852" t="str">
        <f t="shared" si="98"/>
        <v>NA</v>
      </c>
      <c r="R1852" t="str">
        <f>IF(ISERROR(MATCH(P1852&amp;"."&amp;Q1852,R$5:R1851,0)),P1852&amp;"."&amp;Q1852,P1852&amp;"."&amp;Q1852&amp;COUNTIFS(P$5:P1851,P1852,Q$5:Q1851,Q1852))</f>
        <v>302.NA</v>
      </c>
      <c r="S1852" s="55">
        <f t="shared" si="99"/>
        <v>0</v>
      </c>
    </row>
    <row r="1853" spans="1:19" hidden="1">
      <c r="A1853" s="5">
        <v>1918</v>
      </c>
      <c r="B1853" s="59"/>
      <c r="C1853" s="60"/>
      <c r="D1853" s="63"/>
      <c r="E1853" s="63"/>
      <c r="F1853" s="63" t="s">
        <v>405</v>
      </c>
      <c r="G1853" s="63" t="s">
        <v>12</v>
      </c>
      <c r="H1853" s="62"/>
      <c r="I1853" s="66">
        <v>-31081214.850000001</v>
      </c>
      <c r="J1853" s="66">
        <v>-32081214.850000001</v>
      </c>
      <c r="K1853" s="62"/>
      <c r="L1853" s="66">
        <v>1000000</v>
      </c>
      <c r="M1853" s="66">
        <v>1000000</v>
      </c>
      <c r="N1853" s="66">
        <v>0</v>
      </c>
      <c r="P1853">
        <f t="shared" si="97"/>
        <v>302</v>
      </c>
      <c r="Q1853" t="str">
        <f t="shared" si="98"/>
        <v>S</v>
      </c>
      <c r="R1853" t="str">
        <f>IF(ISERROR(MATCH(P1853&amp;"."&amp;Q1853,R$5:R1852,0)),P1853&amp;"."&amp;Q1853,P1853&amp;"."&amp;Q1853&amp;COUNTIFS(P$5:P1852,P1853,Q$5:Q1852,Q1853))</f>
        <v>302.S</v>
      </c>
      <c r="S1853" s="55">
        <f t="shared" si="99"/>
        <v>0</v>
      </c>
    </row>
    <row r="1854" spans="1:19" hidden="1">
      <c r="A1854" s="5">
        <v>1919</v>
      </c>
      <c r="B1854" s="59"/>
      <c r="C1854" s="60"/>
      <c r="D1854" s="61"/>
      <c r="E1854" s="63"/>
      <c r="F1854" s="63" t="s">
        <v>406</v>
      </c>
      <c r="G1854" s="63" t="s">
        <v>15</v>
      </c>
      <c r="H1854" s="62"/>
      <c r="I1854" s="65">
        <v>10337536.9284615</v>
      </c>
      <c r="J1854" s="65">
        <v>4548257.6170227015</v>
      </c>
      <c r="K1854" s="62"/>
      <c r="L1854" s="65">
        <v>15402661.160462119</v>
      </c>
      <c r="M1854" s="65">
        <v>8625875.6040677242</v>
      </c>
      <c r="N1854" s="65">
        <v>6776785.5563943936</v>
      </c>
      <c r="P1854">
        <f t="shared" si="97"/>
        <v>302</v>
      </c>
      <c r="Q1854" t="str">
        <f t="shared" si="98"/>
        <v>SG</v>
      </c>
      <c r="R1854" t="str">
        <f>IF(ISERROR(MATCH(P1854&amp;"."&amp;Q1854,R$5:R1853,0)),P1854&amp;"."&amp;Q1854,P1854&amp;"."&amp;Q1854&amp;COUNTIFS(P$5:P1853,P1854,Q$5:Q1853,Q1854))</f>
        <v>302.SG</v>
      </c>
      <c r="S1854" s="55">
        <f t="shared" si="99"/>
        <v>6776785.5563943936</v>
      </c>
    </row>
    <row r="1855" spans="1:19" hidden="1">
      <c r="A1855" s="5">
        <v>1920</v>
      </c>
      <c r="B1855" s="59"/>
      <c r="C1855" s="60"/>
      <c r="D1855" s="63"/>
      <c r="E1855" s="63"/>
      <c r="F1855" s="60" t="s">
        <v>406</v>
      </c>
      <c r="G1855" s="61" t="s">
        <v>15</v>
      </c>
      <c r="H1855" s="62"/>
      <c r="I1855" s="65">
        <v>175266123.16538501</v>
      </c>
      <c r="J1855" s="65">
        <v>77112709.266194537</v>
      </c>
      <c r="K1855" s="62"/>
      <c r="L1855" s="65">
        <v>101048859.32599999</v>
      </c>
      <c r="M1855" s="65">
        <v>56589889.331361718</v>
      </c>
      <c r="N1855" s="64">
        <v>44458969.994638272</v>
      </c>
      <c r="P1855">
        <f t="shared" si="97"/>
        <v>302</v>
      </c>
      <c r="Q1855" t="str">
        <f t="shared" si="98"/>
        <v>SG</v>
      </c>
      <c r="R1855" t="str">
        <f>IF(ISERROR(MATCH(P1855&amp;"."&amp;Q1855,R$5:R1854,0)),P1855&amp;"."&amp;Q1855,P1855&amp;"."&amp;Q1855&amp;COUNTIFS(P$5:P1854,P1855,Q$5:Q1854,Q1855))</f>
        <v>302.SG1</v>
      </c>
      <c r="S1855" s="55">
        <f t="shared" si="99"/>
        <v>44458969.994638272</v>
      </c>
    </row>
    <row r="1856" spans="1:19" hidden="1">
      <c r="A1856" s="5">
        <v>1921</v>
      </c>
      <c r="B1856" s="59"/>
      <c r="C1856" s="60"/>
      <c r="D1856" s="63"/>
      <c r="E1856" s="63"/>
      <c r="F1856" s="60" t="s">
        <v>406</v>
      </c>
      <c r="G1856" s="61" t="s">
        <v>15</v>
      </c>
      <c r="H1856" s="62"/>
      <c r="I1856" s="65">
        <v>9350398.8100000005</v>
      </c>
      <c r="J1856" s="65">
        <v>4113941.5417896658</v>
      </c>
      <c r="K1856" s="62"/>
      <c r="L1856" s="65">
        <v>9350398.8100000005</v>
      </c>
      <c r="M1856" s="65">
        <v>5236457.2682103347</v>
      </c>
      <c r="N1856" s="64">
        <v>4113941.5417896658</v>
      </c>
      <c r="P1856">
        <f t="shared" si="97"/>
        <v>302</v>
      </c>
      <c r="Q1856" t="str">
        <f t="shared" si="98"/>
        <v>SG</v>
      </c>
      <c r="R1856" t="str">
        <f>IF(ISERROR(MATCH(P1856&amp;"."&amp;Q1856,R$5:R1855,0)),P1856&amp;"."&amp;Q1856,P1856&amp;"."&amp;Q1856&amp;COUNTIFS(P$5:P1855,P1856,Q$5:Q1855,Q1856))</f>
        <v>302.SG2</v>
      </c>
      <c r="S1856" s="55">
        <f t="shared" si="99"/>
        <v>4113941.5417896658</v>
      </c>
    </row>
    <row r="1857" spans="1:19" hidden="1">
      <c r="A1857" s="5">
        <v>1922</v>
      </c>
      <c r="B1857" s="59"/>
      <c r="C1857" s="60"/>
      <c r="D1857" s="63"/>
      <c r="E1857" s="63"/>
      <c r="F1857" s="60" t="s">
        <v>408</v>
      </c>
      <c r="G1857" s="61" t="s">
        <v>15</v>
      </c>
      <c r="H1857" s="62"/>
      <c r="I1857" s="65">
        <v>0</v>
      </c>
      <c r="J1857" s="65">
        <v>0</v>
      </c>
      <c r="K1857" s="62"/>
      <c r="L1857" s="65">
        <v>0</v>
      </c>
      <c r="M1857" s="65">
        <v>0</v>
      </c>
      <c r="N1857" s="64">
        <v>0</v>
      </c>
      <c r="P1857">
        <f t="shared" si="97"/>
        <v>302</v>
      </c>
      <c r="Q1857" t="str">
        <f t="shared" si="98"/>
        <v>SG</v>
      </c>
      <c r="R1857" t="str">
        <f>IF(ISERROR(MATCH(P1857&amp;"."&amp;Q1857,R$5:R1856,0)),P1857&amp;"."&amp;Q1857,P1857&amp;"."&amp;Q1857&amp;COUNTIFS(P$5:P1856,P1857,Q$5:Q1856,Q1857))</f>
        <v>302.SG3</v>
      </c>
      <c r="S1857" s="55">
        <f t="shared" si="99"/>
        <v>0</v>
      </c>
    </row>
    <row r="1858" spans="1:19" hidden="1">
      <c r="A1858" s="5">
        <v>1923</v>
      </c>
      <c r="B1858" s="59"/>
      <c r="C1858" s="60"/>
      <c r="D1858" s="63"/>
      <c r="E1858" s="63"/>
      <c r="F1858" s="60" t="s">
        <v>407</v>
      </c>
      <c r="G1858" s="61" t="s">
        <v>15</v>
      </c>
      <c r="H1858" s="62"/>
      <c r="I1858" s="65">
        <v>600993.05000000005</v>
      </c>
      <c r="J1858" s="65">
        <v>264421.90594883019</v>
      </c>
      <c r="K1858" s="62"/>
      <c r="L1858" s="65">
        <v>600993.05000000005</v>
      </c>
      <c r="M1858" s="65">
        <v>336571.14405116986</v>
      </c>
      <c r="N1858" s="64">
        <v>264421.90594883019</v>
      </c>
      <c r="P1858">
        <f t="shared" si="97"/>
        <v>302</v>
      </c>
      <c r="Q1858" t="str">
        <f t="shared" si="98"/>
        <v>SG</v>
      </c>
      <c r="R1858" t="str">
        <f>IF(ISERROR(MATCH(P1858&amp;"."&amp;Q1858,R$5:R1857,0)),P1858&amp;"."&amp;Q1858,P1858&amp;"."&amp;Q1858&amp;COUNTIFS(P$5:P1857,P1858,Q$5:Q1857,Q1858))</f>
        <v>302.SG4</v>
      </c>
      <c r="S1858" s="55">
        <f t="shared" si="99"/>
        <v>264421.90594883019</v>
      </c>
    </row>
    <row r="1859" spans="1:19" hidden="1">
      <c r="A1859" s="5">
        <v>1924</v>
      </c>
      <c r="B1859" s="59"/>
      <c r="C1859" s="60"/>
      <c r="D1859" s="63"/>
      <c r="E1859" s="63"/>
      <c r="F1859" s="63"/>
      <c r="G1859" s="63"/>
      <c r="H1859" s="62" t="s">
        <v>501</v>
      </c>
      <c r="I1859" s="66">
        <v>164473837.10384652</v>
      </c>
      <c r="J1859" s="66">
        <v>53958115.480955735</v>
      </c>
      <c r="K1859" s="62"/>
      <c r="L1859" s="66">
        <v>127402912.34646212</v>
      </c>
      <c r="M1859" s="66">
        <v>71788793.34769094</v>
      </c>
      <c r="N1859" s="66">
        <v>55614118.998771161</v>
      </c>
      <c r="P1859">
        <f t="shared" si="97"/>
        <v>302</v>
      </c>
      <c r="Q1859" t="str">
        <f t="shared" si="98"/>
        <v>NA</v>
      </c>
      <c r="R1859" t="str">
        <f>IF(ISERROR(MATCH(P1859&amp;"."&amp;Q1859,R$5:R1858,0)),P1859&amp;"."&amp;Q1859,P1859&amp;"."&amp;Q1859&amp;COUNTIFS(P$5:P1858,P1859,Q$5:Q1858,Q1859))</f>
        <v>302.NA1</v>
      </c>
      <c r="S1859" s="55">
        <f t="shared" si="99"/>
        <v>55614118.998771161</v>
      </c>
    </row>
    <row r="1860" spans="1:19" hidden="1">
      <c r="A1860" s="5">
        <v>1925</v>
      </c>
      <c r="B1860" s="59"/>
      <c r="C1860" s="60"/>
      <c r="D1860" s="63"/>
      <c r="E1860" s="63"/>
      <c r="F1860" s="63"/>
      <c r="G1860" s="63"/>
      <c r="H1860" s="62"/>
      <c r="I1860" s="65"/>
      <c r="J1860" s="65"/>
      <c r="K1860" s="62"/>
      <c r="L1860" s="65"/>
      <c r="M1860" s="65"/>
      <c r="N1860" s="65"/>
      <c r="P1860">
        <f t="shared" si="97"/>
        <v>302</v>
      </c>
      <c r="Q1860" t="str">
        <f t="shared" si="98"/>
        <v>NA</v>
      </c>
      <c r="R1860" t="str">
        <f>IF(ISERROR(MATCH(P1860&amp;"."&amp;Q1860,R$5:R1859,0)),P1860&amp;"."&amp;Q1860,P1860&amp;"."&amp;Q1860&amp;COUNTIFS(P$5:P1859,P1860,Q$5:Q1859,Q1860))</f>
        <v>302.NA2</v>
      </c>
      <c r="S1860" s="55">
        <f t="shared" si="99"/>
        <v>0</v>
      </c>
    </row>
    <row r="1861" spans="1:19" ht="15.75" hidden="1" thickBot="1">
      <c r="A1861" s="5">
        <v>1926</v>
      </c>
      <c r="B1861" s="59"/>
      <c r="C1861" s="45">
        <v>303</v>
      </c>
      <c r="D1861" s="63" t="s">
        <v>580</v>
      </c>
      <c r="E1861" s="63"/>
      <c r="F1861" s="63"/>
      <c r="G1861" s="63"/>
      <c r="H1861" s="41"/>
      <c r="I1861" s="68"/>
      <c r="J1861" s="68"/>
      <c r="K1861" s="41"/>
      <c r="L1861" s="68"/>
      <c r="M1861" s="68"/>
      <c r="N1861" s="68"/>
      <c r="P1861">
        <f t="shared" si="97"/>
        <v>303</v>
      </c>
      <c r="Q1861" t="str">
        <f t="shared" si="98"/>
        <v>NA</v>
      </c>
      <c r="R1861" t="str">
        <f>IF(ISERROR(MATCH(P1861&amp;"."&amp;Q1861,R$5:R1860,0)),P1861&amp;"."&amp;Q1861,P1861&amp;"."&amp;Q1861&amp;COUNTIFS(P$5:P1860,P1861,Q$5:Q1860,Q1861))</f>
        <v>303.NA</v>
      </c>
      <c r="S1861" s="55">
        <f t="shared" si="99"/>
        <v>0</v>
      </c>
    </row>
    <row r="1862" spans="1:19" hidden="1">
      <c r="A1862" s="5">
        <v>1927</v>
      </c>
      <c r="B1862" s="59"/>
      <c r="C1862" s="45"/>
      <c r="D1862" s="63"/>
      <c r="E1862" s="63"/>
      <c r="F1862" s="63" t="s">
        <v>405</v>
      </c>
      <c r="G1862" s="63" t="s">
        <v>12</v>
      </c>
      <c r="H1862" s="62"/>
      <c r="I1862" s="77">
        <v>22022387.649230771</v>
      </c>
      <c r="J1862" s="77">
        <v>5890216.7300000004</v>
      </c>
      <c r="K1862" s="62"/>
      <c r="L1862" s="77">
        <v>22981471.59046156</v>
      </c>
      <c r="M1862" s="65">
        <v>16841246.611000009</v>
      </c>
      <c r="N1862" s="65">
        <v>6140224.9794615507</v>
      </c>
      <c r="P1862">
        <f t="shared" si="97"/>
        <v>303</v>
      </c>
      <c r="Q1862" t="str">
        <f t="shared" si="98"/>
        <v>S</v>
      </c>
      <c r="R1862" t="str">
        <f>IF(ISERROR(MATCH(P1862&amp;"."&amp;Q1862,R$5:R1861,0)),P1862&amp;"."&amp;Q1862,P1862&amp;"."&amp;Q1862&amp;COUNTIFS(P$5:P1861,P1862,Q$5:Q1861,Q1862))</f>
        <v>303.S</v>
      </c>
      <c r="S1862" s="55">
        <f t="shared" si="99"/>
        <v>6140224.9794615507</v>
      </c>
    </row>
    <row r="1863" spans="1:19" hidden="1">
      <c r="A1863" s="5">
        <v>1928</v>
      </c>
      <c r="B1863" s="59"/>
      <c r="C1863" s="60"/>
      <c r="D1863" s="63"/>
      <c r="E1863" s="63"/>
      <c r="F1863" s="63" t="s">
        <v>406</v>
      </c>
      <c r="G1863" s="63" t="s">
        <v>15</v>
      </c>
      <c r="H1863" s="62"/>
      <c r="I1863" s="65">
        <v>172346397.421538</v>
      </c>
      <c r="J1863" s="65">
        <v>75828102.986578003</v>
      </c>
      <c r="K1863" s="62"/>
      <c r="L1863" s="65">
        <v>176346397.421538</v>
      </c>
      <c r="M1863" s="65">
        <v>98758394.50966914</v>
      </c>
      <c r="N1863" s="65">
        <v>77588002.911868855</v>
      </c>
      <c r="P1863">
        <f t="shared" ref="P1863:P1926" si="100">IF(OR(C1863="",C1863=" ",C1863="  ",C1863="   "),P1862,C1863)</f>
        <v>303</v>
      </c>
      <c r="Q1863" t="str">
        <f t="shared" ref="Q1863:Q1926" si="101">IF(G1863="","NA",G1863)</f>
        <v>SG</v>
      </c>
      <c r="R1863" t="str">
        <f>IF(ISERROR(MATCH(P1863&amp;"."&amp;Q1863,R$5:R1862,0)),P1863&amp;"."&amp;Q1863,P1863&amp;"."&amp;Q1863&amp;COUNTIFS(P$5:P1862,P1863,Q$5:Q1862,Q1863))</f>
        <v>303.SG</v>
      </c>
      <c r="S1863" s="55">
        <f t="shared" si="99"/>
        <v>77588002.911868855</v>
      </c>
    </row>
    <row r="1864" spans="1:19" hidden="1">
      <c r="A1864" s="5">
        <v>1929</v>
      </c>
      <c r="B1864" s="59"/>
      <c r="C1864" s="60"/>
      <c r="D1864" s="63"/>
      <c r="E1864" s="60"/>
      <c r="F1864" s="63" t="s">
        <v>171</v>
      </c>
      <c r="G1864" s="63" t="s">
        <v>136</v>
      </c>
      <c r="H1864" s="62"/>
      <c r="I1864" s="65">
        <v>390075917.84538502</v>
      </c>
      <c r="J1864" s="65">
        <v>169287216.52423283</v>
      </c>
      <c r="K1864" s="62"/>
      <c r="L1864" s="65">
        <v>420734665.02919662</v>
      </c>
      <c r="M1864" s="65">
        <v>236896670.95241562</v>
      </c>
      <c r="N1864" s="64">
        <v>183837994.076781</v>
      </c>
      <c r="P1864">
        <f t="shared" si="100"/>
        <v>303</v>
      </c>
      <c r="Q1864" t="str">
        <f t="shared" si="101"/>
        <v>SO</v>
      </c>
      <c r="R1864" t="str">
        <f>IF(ISERROR(MATCH(P1864&amp;"."&amp;Q1864,R$5:R1863,0)),P1864&amp;"."&amp;Q1864,P1864&amp;"."&amp;Q1864&amp;COUNTIFS(P$5:P1863,P1864,Q$5:Q1863,Q1864))</f>
        <v>303.SO</v>
      </c>
      <c r="S1864" s="55">
        <f t="shared" ref="S1864:S1927" si="102">N1864</f>
        <v>183837994.076781</v>
      </c>
    </row>
    <row r="1865" spans="1:19" hidden="1">
      <c r="A1865" s="5">
        <v>1930</v>
      </c>
      <c r="B1865" s="59"/>
      <c r="C1865" s="60"/>
      <c r="D1865" s="63"/>
      <c r="E1865" s="61"/>
      <c r="F1865" s="63" t="s">
        <v>13</v>
      </c>
      <c r="G1865" s="63" t="s">
        <v>16</v>
      </c>
      <c r="H1865" s="62"/>
      <c r="I1865" s="65">
        <v>0</v>
      </c>
      <c r="J1865" s="65">
        <v>0</v>
      </c>
      <c r="K1865" s="62"/>
      <c r="L1865" s="65">
        <v>-1106268.8070000005</v>
      </c>
      <c r="M1865" s="65">
        <v>-626632.58541214769</v>
      </c>
      <c r="N1865" s="64">
        <v>-479636.22158785287</v>
      </c>
      <c r="P1865">
        <f t="shared" si="100"/>
        <v>303</v>
      </c>
      <c r="Q1865" t="str">
        <f t="shared" si="101"/>
        <v>SE</v>
      </c>
      <c r="R1865" t="str">
        <f>IF(ISERROR(MATCH(P1865&amp;"."&amp;Q1865,R$5:R1864,0)),P1865&amp;"."&amp;Q1865,P1865&amp;"."&amp;Q1865&amp;COUNTIFS(P$5:P1864,P1865,Q$5:Q1864,Q1865))</f>
        <v>303.SE</v>
      </c>
      <c r="S1865" s="55">
        <f t="shared" si="102"/>
        <v>-479636.22158785287</v>
      </c>
    </row>
    <row r="1866" spans="1:19" hidden="1">
      <c r="A1866" s="5">
        <v>1931</v>
      </c>
      <c r="B1866" s="59"/>
      <c r="C1866" s="60"/>
      <c r="D1866" s="63"/>
      <c r="E1866" s="61"/>
      <c r="F1866" s="63" t="s">
        <v>149</v>
      </c>
      <c r="G1866" s="63" t="s">
        <v>155</v>
      </c>
      <c r="H1866" s="62"/>
      <c r="I1866" s="65">
        <v>176932374.02307701</v>
      </c>
      <c r="J1866" s="65">
        <v>84590298.674675614</v>
      </c>
      <c r="K1866" s="62"/>
      <c r="L1866" s="65">
        <v>183528365.8499999</v>
      </c>
      <c r="M1866" s="65">
        <v>95784563.347797781</v>
      </c>
      <c r="N1866" s="64">
        <v>87743802.502202123</v>
      </c>
      <c r="P1866">
        <f t="shared" si="100"/>
        <v>303</v>
      </c>
      <c r="Q1866" t="str">
        <f t="shared" si="101"/>
        <v>CN</v>
      </c>
      <c r="R1866" t="str">
        <f>IF(ISERROR(MATCH(P1866&amp;"."&amp;Q1866,R$5:R1865,0)),P1866&amp;"."&amp;Q1866,P1866&amp;"."&amp;Q1866&amp;COUNTIFS(P$5:P1865,P1866,Q$5:Q1865,Q1866))</f>
        <v>303.CN</v>
      </c>
      <c r="S1866" s="55">
        <f t="shared" si="102"/>
        <v>87743802.502202123</v>
      </c>
    </row>
    <row r="1867" spans="1:19" hidden="1">
      <c r="A1867" s="5">
        <v>1932</v>
      </c>
      <c r="B1867" s="59"/>
      <c r="C1867" s="60"/>
      <c r="D1867" s="63"/>
      <c r="E1867" s="61"/>
      <c r="F1867" s="63" t="s">
        <v>13</v>
      </c>
      <c r="G1867" s="63" t="s">
        <v>15</v>
      </c>
      <c r="H1867" s="62"/>
      <c r="I1867" s="65">
        <v>0</v>
      </c>
      <c r="J1867" s="65">
        <v>0</v>
      </c>
      <c r="K1867" s="62"/>
      <c r="L1867" s="65">
        <v>0</v>
      </c>
      <c r="M1867" s="65">
        <v>0</v>
      </c>
      <c r="N1867" s="64">
        <v>0</v>
      </c>
      <c r="P1867">
        <f t="shared" si="100"/>
        <v>303</v>
      </c>
      <c r="Q1867" t="str">
        <f t="shared" si="101"/>
        <v>SG</v>
      </c>
      <c r="R1867" t="str">
        <f>IF(ISERROR(MATCH(P1867&amp;"."&amp;Q1867,R$5:R1866,0)),P1867&amp;"."&amp;Q1867,P1867&amp;"."&amp;Q1867&amp;COUNTIFS(P$5:P1866,P1867,Q$5:Q1866,Q1867))</f>
        <v>303.SG1</v>
      </c>
      <c r="S1867" s="55">
        <f t="shared" si="102"/>
        <v>0</v>
      </c>
    </row>
    <row r="1868" spans="1:19" hidden="1">
      <c r="A1868" s="5">
        <v>1933</v>
      </c>
      <c r="B1868" s="59"/>
      <c r="C1868" s="60"/>
      <c r="D1868" s="63"/>
      <c r="E1868" s="70"/>
      <c r="F1868" s="63" t="s">
        <v>408</v>
      </c>
      <c r="G1868" s="63" t="s">
        <v>15</v>
      </c>
      <c r="H1868" s="62"/>
      <c r="I1868" s="65">
        <v>0</v>
      </c>
      <c r="J1868" s="65">
        <v>0</v>
      </c>
      <c r="K1868" s="62"/>
      <c r="L1868" s="65">
        <v>0</v>
      </c>
      <c r="M1868" s="65">
        <v>0</v>
      </c>
      <c r="N1868" s="64">
        <v>0</v>
      </c>
      <c r="P1868">
        <f t="shared" si="100"/>
        <v>303</v>
      </c>
      <c r="Q1868" t="str">
        <f t="shared" si="101"/>
        <v>SG</v>
      </c>
      <c r="R1868" t="str">
        <f>IF(ISERROR(MATCH(P1868&amp;"."&amp;Q1868,R$5:R1867,0)),P1868&amp;"."&amp;Q1868,P1868&amp;"."&amp;Q1868&amp;COUNTIFS(P$5:P1867,P1868,Q$5:Q1867,Q1868))</f>
        <v>303.SG2</v>
      </c>
      <c r="S1868" s="55">
        <f t="shared" si="102"/>
        <v>0</v>
      </c>
    </row>
    <row r="1869" spans="1:19" hidden="1">
      <c r="A1869" s="5">
        <v>1934</v>
      </c>
      <c r="B1869" s="59"/>
      <c r="C1869" s="60"/>
      <c r="D1869" s="63"/>
      <c r="E1869" s="70"/>
      <c r="F1869" s="63"/>
      <c r="G1869" s="63"/>
      <c r="H1869" s="62" t="s">
        <v>501</v>
      </c>
      <c r="I1869" s="65">
        <v>761377076.9392308</v>
      </c>
      <c r="J1869" s="65">
        <v>335595834.91548645</v>
      </c>
      <c r="K1869" s="62"/>
      <c r="L1869" s="65">
        <v>802484631.08419597</v>
      </c>
      <c r="M1869" s="65">
        <v>447654242.83547044</v>
      </c>
      <c r="N1869" s="64">
        <v>354830388.24872565</v>
      </c>
      <c r="P1869">
        <f t="shared" si="100"/>
        <v>303</v>
      </c>
      <c r="Q1869" t="str">
        <f t="shared" si="101"/>
        <v>NA</v>
      </c>
      <c r="R1869" t="str">
        <f>IF(ISERROR(MATCH(P1869&amp;"."&amp;Q1869,R$5:R1868,0)),P1869&amp;"."&amp;Q1869,P1869&amp;"."&amp;Q1869&amp;COUNTIFS(P$5:P1868,P1869,Q$5:Q1868,Q1869))</f>
        <v>303.NA1</v>
      </c>
      <c r="S1869" s="55">
        <f t="shared" si="102"/>
        <v>354830388.24872565</v>
      </c>
    </row>
    <row r="1870" spans="1:19" hidden="1">
      <c r="A1870" s="5">
        <v>1935</v>
      </c>
      <c r="B1870" s="59"/>
      <c r="C1870" s="60">
        <v>303</v>
      </c>
      <c r="D1870" s="63" t="s">
        <v>581</v>
      </c>
      <c r="E1870" s="60"/>
      <c r="F1870" s="63"/>
      <c r="G1870" s="63"/>
      <c r="H1870" s="62"/>
      <c r="I1870" s="65"/>
      <c r="J1870" s="65"/>
      <c r="K1870" s="62"/>
      <c r="L1870" s="65"/>
      <c r="M1870" s="65"/>
      <c r="N1870" s="64"/>
      <c r="P1870">
        <f t="shared" si="100"/>
        <v>303</v>
      </c>
      <c r="Q1870" t="str">
        <f t="shared" si="101"/>
        <v>NA</v>
      </c>
      <c r="R1870" t="str">
        <f>IF(ISERROR(MATCH(P1870&amp;"."&amp;Q1870,R$5:R1869,0)),P1870&amp;"."&amp;Q1870,P1870&amp;"."&amp;Q1870&amp;COUNTIFS(P$5:P1869,P1870,Q$5:Q1869,Q1870))</f>
        <v>303.NA2</v>
      </c>
      <c r="S1870" s="55">
        <f t="shared" si="102"/>
        <v>0</v>
      </c>
    </row>
    <row r="1871" spans="1:19" hidden="1">
      <c r="A1871" s="5">
        <v>1936</v>
      </c>
      <c r="B1871" s="59"/>
      <c r="C1871" s="60"/>
      <c r="D1871" s="63"/>
      <c r="E1871" s="60"/>
      <c r="F1871" s="63" t="s">
        <v>405</v>
      </c>
      <c r="G1871" s="63" t="s">
        <v>12</v>
      </c>
      <c r="H1871" s="62"/>
      <c r="I1871" s="65">
        <v>0</v>
      </c>
      <c r="J1871" s="65">
        <v>0</v>
      </c>
      <c r="K1871" s="62"/>
      <c r="L1871" s="65">
        <v>0</v>
      </c>
      <c r="M1871" s="65">
        <v>0</v>
      </c>
      <c r="N1871" s="64">
        <v>0</v>
      </c>
      <c r="P1871">
        <f t="shared" si="100"/>
        <v>303</v>
      </c>
      <c r="Q1871" t="str">
        <f t="shared" si="101"/>
        <v>S</v>
      </c>
      <c r="R1871" t="str">
        <f>IF(ISERROR(MATCH(P1871&amp;"."&amp;Q1871,R$5:R1870,0)),P1871&amp;"."&amp;Q1871,P1871&amp;"."&amp;Q1871&amp;COUNTIFS(P$5:P1870,P1871,Q$5:Q1870,Q1871))</f>
        <v>303.S1</v>
      </c>
      <c r="S1871" s="55">
        <f t="shared" si="102"/>
        <v>0</v>
      </c>
    </row>
    <row r="1872" spans="1:19" hidden="1">
      <c r="A1872" s="5">
        <v>1937</v>
      </c>
      <c r="B1872" s="59"/>
      <c r="C1872" s="60"/>
      <c r="D1872" s="63"/>
      <c r="E1872" s="70"/>
      <c r="F1872" s="63"/>
      <c r="G1872" s="63"/>
      <c r="H1872" s="62" t="s">
        <v>141</v>
      </c>
      <c r="I1872" s="65">
        <v>761377076.9392308</v>
      </c>
      <c r="J1872" s="65">
        <v>335595834.91548645</v>
      </c>
      <c r="K1872" s="62"/>
      <c r="L1872" s="65">
        <v>802484631.08419597</v>
      </c>
      <c r="M1872" s="65">
        <v>447654242.83547044</v>
      </c>
      <c r="N1872" s="64">
        <v>354830388.24872565</v>
      </c>
      <c r="P1872">
        <f t="shared" si="100"/>
        <v>303</v>
      </c>
      <c r="Q1872" t="str">
        <f t="shared" si="101"/>
        <v>NA</v>
      </c>
      <c r="R1872" t="str">
        <f>IF(ISERROR(MATCH(P1872&amp;"."&amp;Q1872,R$5:R1871,0)),P1872&amp;"."&amp;Q1872,P1872&amp;"."&amp;Q1872&amp;COUNTIFS(P$5:P1871,P1872,Q$5:Q1871,Q1872))</f>
        <v>303.NA3</v>
      </c>
      <c r="S1872" s="55">
        <f t="shared" si="102"/>
        <v>354830388.24872565</v>
      </c>
    </row>
    <row r="1873" spans="1:19" ht="15.75" hidden="1" thickBot="1">
      <c r="A1873" s="5">
        <v>1938</v>
      </c>
      <c r="B1873" s="59"/>
      <c r="C1873" s="60" t="s">
        <v>250</v>
      </c>
      <c r="D1873" s="63" t="s">
        <v>582</v>
      </c>
      <c r="E1873" s="63"/>
      <c r="F1873" s="63"/>
      <c r="G1873" s="63"/>
      <c r="H1873" s="62"/>
      <c r="I1873" s="81"/>
      <c r="J1873" s="81"/>
      <c r="K1873" s="62"/>
      <c r="L1873" s="81"/>
      <c r="M1873" s="81"/>
      <c r="N1873" s="81"/>
      <c r="P1873" t="str">
        <f t="shared" si="100"/>
        <v>IP</v>
      </c>
      <c r="Q1873" t="str">
        <f t="shared" si="101"/>
        <v>NA</v>
      </c>
      <c r="R1873" t="str">
        <f>IF(ISERROR(MATCH(P1873&amp;"."&amp;Q1873,R$5:R1872,0)),P1873&amp;"."&amp;Q1873,P1873&amp;"."&amp;Q1873&amp;COUNTIFS(P$5:P1872,P1873,Q$5:Q1872,Q1873))</f>
        <v>IP.NA</v>
      </c>
      <c r="S1873" s="55">
        <f t="shared" si="102"/>
        <v>0</v>
      </c>
    </row>
    <row r="1874" spans="1:19" hidden="1">
      <c r="A1874" s="5">
        <v>1939</v>
      </c>
      <c r="B1874" s="59"/>
      <c r="C1874" s="60"/>
      <c r="D1874" s="63"/>
      <c r="E1874" s="63"/>
      <c r="F1874" s="63" t="s">
        <v>405</v>
      </c>
      <c r="G1874" s="63" t="s">
        <v>12</v>
      </c>
      <c r="H1874" s="62"/>
      <c r="I1874" s="65">
        <v>0</v>
      </c>
      <c r="J1874" s="65">
        <v>0</v>
      </c>
      <c r="K1874" s="62"/>
      <c r="L1874" s="65">
        <v>0</v>
      </c>
      <c r="M1874" s="65">
        <v>0</v>
      </c>
      <c r="N1874" s="65">
        <v>0</v>
      </c>
      <c r="P1874" t="str">
        <f t="shared" si="100"/>
        <v>IP</v>
      </c>
      <c r="Q1874" t="str">
        <f t="shared" si="101"/>
        <v>S</v>
      </c>
      <c r="R1874" t="str">
        <f>IF(ISERROR(MATCH(P1874&amp;"."&amp;Q1874,R$5:R1873,0)),P1874&amp;"."&amp;Q1874,P1874&amp;"."&amp;Q1874&amp;COUNTIFS(P$5:P1873,P1874,Q$5:Q1873,Q1874))</f>
        <v>IP.S</v>
      </c>
      <c r="S1874" s="55">
        <f t="shared" si="102"/>
        <v>0</v>
      </c>
    </row>
    <row r="1875" spans="1:19" hidden="1">
      <c r="A1875" s="5">
        <v>1940</v>
      </c>
      <c r="B1875" s="59"/>
      <c r="C1875" s="60"/>
      <c r="D1875" s="63"/>
      <c r="E1875" s="70"/>
      <c r="F1875" s="63" t="s">
        <v>406</v>
      </c>
      <c r="G1875" s="63" t="s">
        <v>15</v>
      </c>
      <c r="H1875" s="62"/>
      <c r="I1875" s="65">
        <v>0</v>
      </c>
      <c r="J1875" s="65">
        <v>0</v>
      </c>
      <c r="K1875" s="62"/>
      <c r="L1875" s="65">
        <v>0</v>
      </c>
      <c r="M1875" s="65">
        <v>0</v>
      </c>
      <c r="N1875" s="64">
        <v>0</v>
      </c>
      <c r="P1875" t="str">
        <f t="shared" si="100"/>
        <v>IP</v>
      </c>
      <c r="Q1875" t="str">
        <f t="shared" si="101"/>
        <v>SG</v>
      </c>
      <c r="R1875" t="str">
        <f>IF(ISERROR(MATCH(P1875&amp;"."&amp;Q1875,R$5:R1874,0)),P1875&amp;"."&amp;Q1875,P1875&amp;"."&amp;Q1875&amp;COUNTIFS(P$5:P1874,P1875,Q$5:Q1874,Q1875))</f>
        <v>IP.SG</v>
      </c>
      <c r="S1875" s="55">
        <f t="shared" si="102"/>
        <v>0</v>
      </c>
    </row>
    <row r="1876" spans="1:19" hidden="1">
      <c r="A1876" s="5">
        <v>1941</v>
      </c>
      <c r="B1876" s="59"/>
      <c r="C1876" s="60"/>
      <c r="D1876" s="63"/>
      <c r="E1876" s="61"/>
      <c r="F1876" s="63" t="s">
        <v>407</v>
      </c>
      <c r="G1876" s="63" t="s">
        <v>15</v>
      </c>
      <c r="H1876" s="62"/>
      <c r="I1876" s="65">
        <v>0</v>
      </c>
      <c r="J1876" s="65">
        <v>0</v>
      </c>
      <c r="K1876" s="62"/>
      <c r="L1876" s="65">
        <v>0</v>
      </c>
      <c r="M1876" s="65">
        <v>0</v>
      </c>
      <c r="N1876" s="64">
        <v>0</v>
      </c>
      <c r="P1876" t="str">
        <f t="shared" si="100"/>
        <v>IP</v>
      </c>
      <c r="Q1876" t="str">
        <f t="shared" si="101"/>
        <v>SG</v>
      </c>
      <c r="R1876" t="str">
        <f>IF(ISERROR(MATCH(P1876&amp;"."&amp;Q1876,R$5:R1875,0)),P1876&amp;"."&amp;Q1876,P1876&amp;"."&amp;Q1876&amp;COUNTIFS(P$5:P1875,P1876,Q$5:Q1875,Q1876))</f>
        <v>IP.SG1</v>
      </c>
      <c r="S1876" s="55">
        <f t="shared" si="102"/>
        <v>0</v>
      </c>
    </row>
    <row r="1877" spans="1:19" hidden="1">
      <c r="A1877" s="5">
        <v>1942</v>
      </c>
      <c r="B1877" s="59"/>
      <c r="C1877" s="60"/>
      <c r="D1877" s="63"/>
      <c r="E1877" s="70"/>
      <c r="F1877" s="63" t="s">
        <v>171</v>
      </c>
      <c r="G1877" s="63" t="s">
        <v>136</v>
      </c>
      <c r="H1877" s="62"/>
      <c r="I1877" s="65">
        <v>0</v>
      </c>
      <c r="J1877" s="65">
        <v>0</v>
      </c>
      <c r="K1877" s="62"/>
      <c r="L1877" s="65">
        <v>0</v>
      </c>
      <c r="M1877" s="65">
        <v>0</v>
      </c>
      <c r="N1877" s="64">
        <v>0</v>
      </c>
      <c r="P1877" t="str">
        <f t="shared" si="100"/>
        <v>IP</v>
      </c>
      <c r="Q1877" t="str">
        <f t="shared" si="101"/>
        <v>SO</v>
      </c>
      <c r="R1877" t="str">
        <f>IF(ISERROR(MATCH(P1877&amp;"."&amp;Q1877,R$5:R1876,0)),P1877&amp;"."&amp;Q1877,P1877&amp;"."&amp;Q1877&amp;COUNTIFS(P$5:P1876,P1877,Q$5:Q1876,Q1877))</f>
        <v>IP.SO</v>
      </c>
      <c r="S1877" s="55">
        <f t="shared" si="102"/>
        <v>0</v>
      </c>
    </row>
    <row r="1878" spans="1:19" hidden="1">
      <c r="A1878" s="5">
        <v>1943</v>
      </c>
      <c r="B1878" s="59"/>
      <c r="C1878" s="60"/>
      <c r="D1878" s="63"/>
      <c r="E1878" s="70"/>
      <c r="F1878" s="63"/>
      <c r="G1878" s="63"/>
      <c r="H1878" s="62"/>
      <c r="I1878" s="65">
        <v>0</v>
      </c>
      <c r="J1878" s="65">
        <v>0</v>
      </c>
      <c r="K1878" s="62"/>
      <c r="L1878" s="65">
        <v>0</v>
      </c>
      <c r="M1878" s="65">
        <v>0</v>
      </c>
      <c r="N1878" s="64">
        <v>0</v>
      </c>
      <c r="P1878" t="str">
        <f t="shared" si="100"/>
        <v>IP</v>
      </c>
      <c r="Q1878" t="str">
        <f t="shared" si="101"/>
        <v>NA</v>
      </c>
      <c r="R1878" t="str">
        <f>IF(ISERROR(MATCH(P1878&amp;"."&amp;Q1878,R$5:R1877,0)),P1878&amp;"."&amp;Q1878,P1878&amp;"."&amp;Q1878&amp;COUNTIFS(P$5:P1877,P1878,Q$5:Q1877,Q1878))</f>
        <v>IP.NA1</v>
      </c>
      <c r="S1878" s="55">
        <f t="shared" si="102"/>
        <v>0</v>
      </c>
    </row>
    <row r="1879" spans="1:19" hidden="1">
      <c r="A1879" s="5">
        <v>1944</v>
      </c>
      <c r="B1879" s="59"/>
      <c r="C1879" s="60"/>
      <c r="D1879" s="63"/>
      <c r="E1879" s="70"/>
      <c r="F1879" s="63"/>
      <c r="G1879" s="63"/>
      <c r="H1879" s="62"/>
      <c r="I1879" s="65"/>
      <c r="J1879" s="65"/>
      <c r="K1879" s="62"/>
      <c r="L1879" s="65"/>
      <c r="M1879" s="65"/>
      <c r="N1879" s="64"/>
      <c r="P1879" t="str">
        <f t="shared" si="100"/>
        <v>IP</v>
      </c>
      <c r="Q1879" t="str">
        <f t="shared" si="101"/>
        <v>NA</v>
      </c>
      <c r="R1879" t="str">
        <f>IF(ISERROR(MATCH(P1879&amp;"."&amp;Q1879,R$5:R1878,0)),P1879&amp;"."&amp;Q1879,P1879&amp;"."&amp;Q1879&amp;COUNTIFS(P$5:P1878,P1879,Q$5:Q1878,Q1879))</f>
        <v>IP.NA2</v>
      </c>
      <c r="S1879" s="55">
        <f t="shared" si="102"/>
        <v>0</v>
      </c>
    </row>
    <row r="1880" spans="1:19" hidden="1">
      <c r="A1880" s="5">
        <v>1945</v>
      </c>
      <c r="B1880" s="59"/>
      <c r="C1880" s="60" t="s">
        <v>583</v>
      </c>
      <c r="D1880" s="63"/>
      <c r="E1880" s="70"/>
      <c r="F1880" s="63"/>
      <c r="G1880" s="63"/>
      <c r="H1880" s="62" t="s">
        <v>501</v>
      </c>
      <c r="I1880" s="65">
        <v>925850914.04307723</v>
      </c>
      <c r="J1880" s="65">
        <v>389553950.39644217</v>
      </c>
      <c r="K1880" s="62"/>
      <c r="L1880" s="65">
        <v>929887543.43065822</v>
      </c>
      <c r="M1880" s="65">
        <v>519443036.18316126</v>
      </c>
      <c r="N1880" s="64">
        <v>410444507.24749684</v>
      </c>
      <c r="P1880" t="str">
        <f t="shared" si="100"/>
        <v>Total Intangible Plant</v>
      </c>
      <c r="Q1880" t="str">
        <f t="shared" si="101"/>
        <v>NA</v>
      </c>
      <c r="R1880" t="str">
        <f>IF(ISERROR(MATCH(P1880&amp;"."&amp;Q1880,R$5:R1879,0)),P1880&amp;"."&amp;Q1880,P1880&amp;"."&amp;Q1880&amp;COUNTIFS(P$5:P1879,P1880,Q$5:Q1879,Q1880))</f>
        <v>Total Intangible Plant.NA</v>
      </c>
      <c r="S1880" s="55">
        <f t="shared" si="102"/>
        <v>410444507.24749684</v>
      </c>
    </row>
    <row r="1881" spans="1:19" hidden="1">
      <c r="A1881" s="5">
        <v>1946</v>
      </c>
      <c r="B1881" s="59"/>
      <c r="C1881" s="60"/>
      <c r="D1881" s="63"/>
      <c r="E1881" s="70"/>
      <c r="F1881" s="63"/>
      <c r="G1881" s="63"/>
      <c r="H1881" s="62"/>
      <c r="I1881" s="65"/>
      <c r="J1881" s="65"/>
      <c r="K1881" s="62"/>
      <c r="L1881" s="65"/>
      <c r="M1881" s="65"/>
      <c r="N1881" s="64"/>
      <c r="P1881" t="str">
        <f t="shared" si="100"/>
        <v>Total Intangible Plant</v>
      </c>
      <c r="Q1881" t="str">
        <f t="shared" si="101"/>
        <v>NA</v>
      </c>
      <c r="R1881" t="str">
        <f>IF(ISERROR(MATCH(P1881&amp;"."&amp;Q1881,R$5:R1880,0)),P1881&amp;"."&amp;Q1881,P1881&amp;"."&amp;Q1881&amp;COUNTIFS(P$5:P1880,P1881,Q$5:Q1880,Q1881))</f>
        <v>Total Intangible Plant.NA1</v>
      </c>
      <c r="S1881" s="55">
        <f t="shared" si="102"/>
        <v>0</v>
      </c>
    </row>
    <row r="1882" spans="1:19" hidden="1">
      <c r="A1882" s="5">
        <v>1947</v>
      </c>
      <c r="B1882" s="59"/>
      <c r="C1882" s="60" t="s">
        <v>584</v>
      </c>
      <c r="D1882" s="63"/>
      <c r="E1882" s="61"/>
      <c r="F1882" s="63"/>
      <c r="G1882" s="63"/>
      <c r="H1882" s="62"/>
      <c r="I1882" s="65"/>
      <c r="J1882" s="65"/>
      <c r="K1882" s="62"/>
      <c r="L1882" s="65"/>
      <c r="M1882" s="65"/>
      <c r="N1882" s="64"/>
      <c r="P1882" t="str">
        <f t="shared" si="100"/>
        <v>Summary of Intangible Plant by Factor</v>
      </c>
      <c r="Q1882" t="str">
        <f t="shared" si="101"/>
        <v>NA</v>
      </c>
      <c r="R1882" t="str">
        <f>IF(ISERROR(MATCH(P1882&amp;"."&amp;Q1882,R$5:R1881,0)),P1882&amp;"."&amp;Q1882,P1882&amp;"."&amp;Q1882&amp;COUNTIFS(P$5:P1881,P1882,Q$5:Q1881,Q1882))</f>
        <v>Summary of Intangible Plant by Factor.NA</v>
      </c>
      <c r="S1882" s="55">
        <f t="shared" si="102"/>
        <v>0</v>
      </c>
    </row>
    <row r="1883" spans="1:19" hidden="1">
      <c r="A1883" s="5">
        <v>1948</v>
      </c>
      <c r="B1883" s="59"/>
      <c r="C1883" s="60"/>
      <c r="D1883" s="63"/>
      <c r="E1883" s="70" t="s">
        <v>12</v>
      </c>
      <c r="F1883" s="63"/>
      <c r="G1883" s="63"/>
      <c r="H1883" s="62"/>
      <c r="I1883" s="65">
        <v>-9058827.2007692307</v>
      </c>
      <c r="J1883" s="65">
        <v>-26190998.120000001</v>
      </c>
      <c r="K1883" s="62"/>
      <c r="L1883" s="65">
        <v>23981471.59046156</v>
      </c>
      <c r="M1883" s="65">
        <v>17841246.611000009</v>
      </c>
      <c r="N1883" s="64">
        <v>6140224.9794615507</v>
      </c>
      <c r="P1883" t="str">
        <f t="shared" si="100"/>
        <v>Summary of Intangible Plant by Factor</v>
      </c>
      <c r="Q1883" t="str">
        <f t="shared" si="101"/>
        <v>NA</v>
      </c>
      <c r="R1883" t="str">
        <f>IF(ISERROR(MATCH(P1883&amp;"."&amp;Q1883,R$5:R1882,0)),P1883&amp;"."&amp;Q1883,P1883&amp;"."&amp;Q1883&amp;COUNTIFS(P$5:P1882,P1883,Q$5:Q1882,Q1883))</f>
        <v>Summary of Intangible Plant by Factor.NA1</v>
      </c>
      <c r="S1883" s="55">
        <f t="shared" si="102"/>
        <v>6140224.9794615507</v>
      </c>
    </row>
    <row r="1884" spans="1:19" hidden="1">
      <c r="A1884" s="5">
        <v>1949</v>
      </c>
      <c r="B1884" s="59"/>
      <c r="C1884" s="60"/>
      <c r="D1884" s="63"/>
      <c r="E1884" s="70" t="s">
        <v>17</v>
      </c>
      <c r="F1884" s="63"/>
      <c r="G1884" s="63"/>
      <c r="H1884" s="62"/>
      <c r="I1884" s="65">
        <v>0</v>
      </c>
      <c r="J1884" s="65">
        <v>0</v>
      </c>
      <c r="K1884" s="62"/>
      <c r="L1884" s="65">
        <v>0</v>
      </c>
      <c r="M1884" s="65">
        <v>0</v>
      </c>
      <c r="N1884" s="64">
        <v>0</v>
      </c>
      <c r="P1884" t="str">
        <f t="shared" si="100"/>
        <v>Summary of Intangible Plant by Factor</v>
      </c>
      <c r="Q1884" t="str">
        <f t="shared" si="101"/>
        <v>NA</v>
      </c>
      <c r="R1884" t="str">
        <f>IF(ISERROR(MATCH(P1884&amp;"."&amp;Q1884,R$5:R1883,0)),P1884&amp;"."&amp;Q1884,P1884&amp;"."&amp;Q1884&amp;COUNTIFS(P$5:P1883,P1884,Q$5:Q1883,Q1884))</f>
        <v>Summary of Intangible Plant by Factor.NA2</v>
      </c>
      <c r="S1884" s="55">
        <f t="shared" si="102"/>
        <v>0</v>
      </c>
    </row>
    <row r="1885" spans="1:19" hidden="1">
      <c r="A1885" s="5">
        <v>1950</v>
      </c>
      <c r="B1885" s="59"/>
      <c r="C1885" s="60"/>
      <c r="D1885" s="63"/>
      <c r="E1885" s="70" t="s">
        <v>14</v>
      </c>
      <c r="F1885" s="63"/>
      <c r="G1885" s="63"/>
      <c r="H1885" s="62"/>
      <c r="I1885" s="65">
        <v>0</v>
      </c>
      <c r="J1885" s="65">
        <v>0</v>
      </c>
      <c r="K1885" s="62"/>
      <c r="L1885" s="65">
        <v>0</v>
      </c>
      <c r="M1885" s="65">
        <v>0</v>
      </c>
      <c r="N1885" s="64">
        <v>0</v>
      </c>
      <c r="P1885" t="str">
        <f t="shared" si="100"/>
        <v>Summary of Intangible Plant by Factor</v>
      </c>
      <c r="Q1885" t="str">
        <f t="shared" si="101"/>
        <v>NA</v>
      </c>
      <c r="R1885" t="str">
        <f>IF(ISERROR(MATCH(P1885&amp;"."&amp;Q1885,R$5:R1884,0)),P1885&amp;"."&amp;Q1885,P1885&amp;"."&amp;Q1885&amp;COUNTIFS(P$5:P1884,P1885,Q$5:Q1884,Q1885))</f>
        <v>Summary of Intangible Plant by Factor.NA3</v>
      </c>
      <c r="S1885" s="55">
        <f t="shared" si="102"/>
        <v>0</v>
      </c>
    </row>
    <row r="1886" spans="1:19" ht="15.75" hidden="1" thickBot="1">
      <c r="A1886" s="5">
        <v>1951</v>
      </c>
      <c r="B1886" s="59"/>
      <c r="C1886" s="60"/>
      <c r="D1886" s="63"/>
      <c r="E1886" s="63" t="s">
        <v>15</v>
      </c>
      <c r="F1886" s="63"/>
      <c r="G1886" s="63"/>
      <c r="H1886" s="62"/>
      <c r="I1886" s="81">
        <v>367901449.37538451</v>
      </c>
      <c r="J1886" s="81">
        <v>161867433.31753373</v>
      </c>
      <c r="K1886" s="62"/>
      <c r="L1886" s="81">
        <v>302749309.76800013</v>
      </c>
      <c r="M1886" s="81">
        <v>169547187.85736012</v>
      </c>
      <c r="N1886" s="81">
        <v>133202121.91064002</v>
      </c>
      <c r="P1886" t="str">
        <f t="shared" si="100"/>
        <v>Summary of Intangible Plant by Factor</v>
      </c>
      <c r="Q1886" t="str">
        <f t="shared" si="101"/>
        <v>NA</v>
      </c>
      <c r="R1886" t="str">
        <f>IF(ISERROR(MATCH(P1886&amp;"."&amp;Q1886,R$5:R1885,0)),P1886&amp;"."&amp;Q1886,P1886&amp;"."&amp;Q1886&amp;COUNTIFS(P$5:P1885,P1886,Q$5:Q1885,Q1886))</f>
        <v>Summary of Intangible Plant by Factor.NA4</v>
      </c>
      <c r="S1886" s="55">
        <f t="shared" si="102"/>
        <v>133202121.91064002</v>
      </c>
    </row>
    <row r="1887" spans="1:19" hidden="1">
      <c r="A1887" s="5">
        <v>1952</v>
      </c>
      <c r="B1887" s="59"/>
      <c r="C1887" s="60"/>
      <c r="D1887" s="63"/>
      <c r="E1887" s="63" t="s">
        <v>136</v>
      </c>
      <c r="F1887" s="63"/>
      <c r="G1887" s="63"/>
      <c r="H1887" s="62"/>
      <c r="I1887" s="65">
        <v>390075917.84538502</v>
      </c>
      <c r="J1887" s="65">
        <v>169287216.52423283</v>
      </c>
      <c r="K1887" s="62"/>
      <c r="L1887" s="65">
        <v>420734665.02919662</v>
      </c>
      <c r="M1887" s="65">
        <v>236896670.95241562</v>
      </c>
      <c r="N1887" s="65">
        <v>183837994.076781</v>
      </c>
      <c r="P1887" t="str">
        <f t="shared" si="100"/>
        <v>Summary of Intangible Plant by Factor</v>
      </c>
      <c r="Q1887" t="str">
        <f t="shared" si="101"/>
        <v>NA</v>
      </c>
      <c r="R1887" t="str">
        <f>IF(ISERROR(MATCH(P1887&amp;"."&amp;Q1887,R$5:R1886,0)),P1887&amp;"."&amp;Q1887,P1887&amp;"."&amp;Q1887&amp;COUNTIFS(P$5:P1886,P1887,Q$5:Q1886,Q1887))</f>
        <v>Summary of Intangible Plant by Factor.NA5</v>
      </c>
      <c r="S1887" s="55">
        <f t="shared" si="102"/>
        <v>183837994.076781</v>
      </c>
    </row>
    <row r="1888" spans="1:19" ht="15.75" hidden="1" thickBot="1">
      <c r="A1888" s="5">
        <v>1953</v>
      </c>
      <c r="B1888" s="59"/>
      <c r="C1888" s="45"/>
      <c r="D1888" s="63"/>
      <c r="E1888" s="63" t="s">
        <v>155</v>
      </c>
      <c r="F1888" s="63"/>
      <c r="G1888" s="63"/>
      <c r="H1888" s="41"/>
      <c r="I1888" s="68">
        <v>176932374.02307701</v>
      </c>
      <c r="J1888" s="68">
        <v>84590298.674675614</v>
      </c>
      <c r="K1888" s="41"/>
      <c r="L1888" s="68">
        <v>183528365.8499999</v>
      </c>
      <c r="M1888" s="68">
        <v>95784563.347797781</v>
      </c>
      <c r="N1888" s="68">
        <v>87743802.502202123</v>
      </c>
      <c r="P1888" t="str">
        <f t="shared" si="100"/>
        <v>Summary of Intangible Plant by Factor</v>
      </c>
      <c r="Q1888" t="str">
        <f t="shared" si="101"/>
        <v>NA</v>
      </c>
      <c r="R1888" t="str">
        <f>IF(ISERROR(MATCH(P1888&amp;"."&amp;Q1888,R$5:R1887,0)),P1888&amp;"."&amp;Q1888,P1888&amp;"."&amp;Q1888&amp;COUNTIFS(P$5:P1887,P1888,Q$5:Q1887,Q1888))</f>
        <v>Summary of Intangible Plant by Factor.NA6</v>
      </c>
      <c r="S1888" s="55">
        <f t="shared" si="102"/>
        <v>87743802.502202123</v>
      </c>
    </row>
    <row r="1889" spans="1:19" hidden="1">
      <c r="A1889" s="5">
        <v>1954</v>
      </c>
      <c r="B1889" s="59"/>
      <c r="C1889" s="60"/>
      <c r="D1889" s="63"/>
      <c r="E1889" s="63" t="s">
        <v>298</v>
      </c>
      <c r="F1889" s="63"/>
      <c r="G1889" s="63"/>
      <c r="H1889" s="62"/>
      <c r="I1889" s="65">
        <v>0</v>
      </c>
      <c r="J1889" s="65">
        <v>0</v>
      </c>
      <c r="K1889" s="62"/>
      <c r="L1889" s="65">
        <v>0</v>
      </c>
      <c r="M1889" s="65">
        <v>0</v>
      </c>
      <c r="N1889" s="65">
        <v>0</v>
      </c>
      <c r="P1889" t="str">
        <f t="shared" si="100"/>
        <v>Summary of Intangible Plant by Factor</v>
      </c>
      <c r="Q1889" t="str">
        <f t="shared" si="101"/>
        <v>NA</v>
      </c>
      <c r="R1889" t="str">
        <f>IF(ISERROR(MATCH(P1889&amp;"."&amp;Q1889,R$5:R1888,0)),P1889&amp;"."&amp;Q1889,P1889&amp;"."&amp;Q1889&amp;COUNTIFS(P$5:P1888,P1889,Q$5:Q1888,Q1889))</f>
        <v>Summary of Intangible Plant by Factor.NA7</v>
      </c>
      <c r="S1889" s="55">
        <f t="shared" si="102"/>
        <v>0</v>
      </c>
    </row>
    <row r="1890" spans="1:19" hidden="1">
      <c r="A1890" s="5">
        <v>1955</v>
      </c>
      <c r="B1890" s="59"/>
      <c r="C1890" s="60"/>
      <c r="D1890" s="63"/>
      <c r="E1890" s="60" t="s">
        <v>301</v>
      </c>
      <c r="F1890" s="63"/>
      <c r="G1890" s="63"/>
      <c r="H1890" s="62"/>
      <c r="I1890" s="65">
        <v>0</v>
      </c>
      <c r="J1890" s="65">
        <v>0</v>
      </c>
      <c r="K1890" s="62"/>
      <c r="L1890" s="65">
        <v>0</v>
      </c>
      <c r="M1890" s="65">
        <v>0</v>
      </c>
      <c r="N1890" s="64">
        <v>0</v>
      </c>
      <c r="P1890" t="str">
        <f t="shared" si="100"/>
        <v>Summary of Intangible Plant by Factor</v>
      </c>
      <c r="Q1890" t="str">
        <f t="shared" si="101"/>
        <v>NA</v>
      </c>
      <c r="R1890" t="str">
        <f>IF(ISERROR(MATCH(P1890&amp;"."&amp;Q1890,R$5:R1889,0)),P1890&amp;"."&amp;Q1890,P1890&amp;"."&amp;Q1890&amp;COUNTIFS(P$5:P1889,P1890,Q$5:Q1889,Q1890))</f>
        <v>Summary of Intangible Plant by Factor.NA8</v>
      </c>
      <c r="S1890" s="55">
        <f t="shared" si="102"/>
        <v>0</v>
      </c>
    </row>
    <row r="1891" spans="1:19" hidden="1">
      <c r="A1891" s="5">
        <v>1956</v>
      </c>
      <c r="B1891" s="59"/>
      <c r="C1891" s="60"/>
      <c r="D1891" s="63"/>
      <c r="E1891" s="70" t="s">
        <v>16</v>
      </c>
      <c r="F1891" s="63"/>
      <c r="G1891" s="63"/>
      <c r="H1891" s="62"/>
      <c r="I1891" s="65">
        <v>0</v>
      </c>
      <c r="J1891" s="65">
        <v>0</v>
      </c>
      <c r="K1891" s="62"/>
      <c r="L1891" s="65">
        <v>-1106268.8070000005</v>
      </c>
      <c r="M1891" s="65">
        <v>-626632.58541214769</v>
      </c>
      <c r="N1891" s="64">
        <v>-479636.22158785287</v>
      </c>
      <c r="P1891" t="str">
        <f t="shared" si="100"/>
        <v>Summary of Intangible Plant by Factor</v>
      </c>
      <c r="Q1891" t="str">
        <f t="shared" si="101"/>
        <v>NA</v>
      </c>
      <c r="R1891" t="str">
        <f>IF(ISERROR(MATCH(P1891&amp;"."&amp;Q1891,R$5:R1890,0)),P1891&amp;"."&amp;Q1891,P1891&amp;"."&amp;Q1891&amp;COUNTIFS(P$5:P1890,P1891,Q$5:Q1890,Q1891))</f>
        <v>Summary of Intangible Plant by Factor.NA9</v>
      </c>
      <c r="S1891" s="55">
        <f t="shared" si="102"/>
        <v>-479636.22158785287</v>
      </c>
    </row>
    <row r="1892" spans="1:19" hidden="1">
      <c r="A1892" s="5">
        <v>1957</v>
      </c>
      <c r="B1892" s="59"/>
      <c r="C1892" s="60" t="s">
        <v>585</v>
      </c>
      <c r="D1892" s="63"/>
      <c r="E1892" s="61"/>
      <c r="F1892" s="63"/>
      <c r="G1892" s="63"/>
      <c r="H1892" s="62" t="s">
        <v>141</v>
      </c>
      <c r="I1892" s="65">
        <v>925850914.04307723</v>
      </c>
      <c r="J1892" s="65">
        <v>389553950.39644217</v>
      </c>
      <c r="K1892" s="62"/>
      <c r="L1892" s="65">
        <v>929887543.43065822</v>
      </c>
      <c r="M1892" s="65">
        <v>519443036.18316138</v>
      </c>
      <c r="N1892" s="64">
        <v>410444507.2474969</v>
      </c>
      <c r="P1892" t="str">
        <f t="shared" si="100"/>
        <v>Total Intangible Plant by Factor</v>
      </c>
      <c r="Q1892" t="str">
        <f t="shared" si="101"/>
        <v>NA</v>
      </c>
      <c r="R1892" t="str">
        <f>IF(ISERROR(MATCH(P1892&amp;"."&amp;Q1892,R$5:R1891,0)),P1892&amp;"."&amp;Q1892,P1892&amp;"."&amp;Q1892&amp;COUNTIFS(P$5:P1891,P1892,Q$5:Q1891,Q1892))</f>
        <v>Total Intangible Plant by Factor.NA</v>
      </c>
      <c r="S1892" s="55">
        <f t="shared" si="102"/>
        <v>410444507.2474969</v>
      </c>
    </row>
    <row r="1893" spans="1:19" hidden="1">
      <c r="A1893" s="5">
        <v>1958</v>
      </c>
      <c r="B1893" s="59"/>
      <c r="C1893" s="60" t="s">
        <v>586</v>
      </c>
      <c r="D1893" s="63"/>
      <c r="E1893" s="61"/>
      <c r="F1893" s="63"/>
      <c r="G1893" s="63"/>
      <c r="H1893" s="62"/>
      <c r="I1893" s="65"/>
      <c r="J1893" s="65"/>
      <c r="K1893" s="62"/>
      <c r="L1893" s="65"/>
      <c r="M1893" s="65"/>
      <c r="N1893" s="64"/>
      <c r="P1893" t="str">
        <f t="shared" si="100"/>
        <v>Summary of Unclassified Plant (Account 106)</v>
      </c>
      <c r="Q1893" t="str">
        <f t="shared" si="101"/>
        <v>NA</v>
      </c>
      <c r="R1893" t="str">
        <f>IF(ISERROR(MATCH(P1893&amp;"."&amp;Q1893,R$5:R1892,0)),P1893&amp;"."&amp;Q1893,P1893&amp;"."&amp;Q1893&amp;COUNTIFS(P$5:P1892,P1893,Q$5:Q1892,Q1893))</f>
        <v>Summary of Unclassified Plant (Account 106).NA</v>
      </c>
      <c r="S1893" s="55">
        <f t="shared" si="102"/>
        <v>0</v>
      </c>
    </row>
    <row r="1894" spans="1:19" hidden="1">
      <c r="A1894" s="5">
        <v>1959</v>
      </c>
      <c r="B1894" s="59"/>
      <c r="C1894" s="60"/>
      <c r="D1894" s="63"/>
      <c r="E1894" s="61" t="s">
        <v>246</v>
      </c>
      <c r="F1894" s="63"/>
      <c r="G1894" s="63"/>
      <c r="H1894" s="62"/>
      <c r="I1894" s="65">
        <v>66957821.664615363</v>
      </c>
      <c r="J1894" s="65">
        <v>27861498.576923098</v>
      </c>
      <c r="K1894" s="62"/>
      <c r="L1894" s="65">
        <v>66957821.664615363</v>
      </c>
      <c r="M1894" s="65">
        <v>39096323.087692261</v>
      </c>
      <c r="N1894" s="64">
        <v>27861498.576923098</v>
      </c>
      <c r="P1894" t="str">
        <f t="shared" si="100"/>
        <v>Summary of Unclassified Plant (Account 106)</v>
      </c>
      <c r="Q1894" t="str">
        <f t="shared" si="101"/>
        <v>NA</v>
      </c>
      <c r="R1894" t="str">
        <f>IF(ISERROR(MATCH(P1894&amp;"."&amp;Q1894,R$5:R1893,0)),P1894&amp;"."&amp;Q1894,P1894&amp;"."&amp;Q1894&amp;COUNTIFS(P$5:P1893,P1894,Q$5:Q1893,Q1894))</f>
        <v>Summary of Unclassified Plant (Account 106).NA1</v>
      </c>
      <c r="S1894" s="55">
        <f t="shared" si="102"/>
        <v>27861498.576923098</v>
      </c>
    </row>
    <row r="1895" spans="1:19" hidden="1">
      <c r="A1895" s="5">
        <v>1960</v>
      </c>
      <c r="B1895" s="59"/>
      <c r="C1895" s="60"/>
      <c r="D1895" s="63"/>
      <c r="E1895" s="70" t="s">
        <v>247</v>
      </c>
      <c r="F1895" s="63"/>
      <c r="G1895" s="63"/>
      <c r="H1895" s="62"/>
      <c r="I1895" s="65">
        <v>0</v>
      </c>
      <c r="J1895" s="65">
        <v>0</v>
      </c>
      <c r="K1895" s="62"/>
      <c r="L1895" s="65">
        <v>0</v>
      </c>
      <c r="M1895" s="65">
        <v>0</v>
      </c>
      <c r="N1895" s="64">
        <v>0</v>
      </c>
      <c r="P1895" t="str">
        <f t="shared" si="100"/>
        <v>Summary of Unclassified Plant (Account 106)</v>
      </c>
      <c r="Q1895" t="str">
        <f t="shared" si="101"/>
        <v>NA</v>
      </c>
      <c r="R1895" t="str">
        <f>IF(ISERROR(MATCH(P1895&amp;"."&amp;Q1895,R$5:R1894,0)),P1895&amp;"."&amp;Q1895,P1895&amp;"."&amp;Q1895&amp;COUNTIFS(P$5:P1894,P1895,Q$5:Q1894,Q1895))</f>
        <v>Summary of Unclassified Plant (Account 106).NA2</v>
      </c>
      <c r="S1895" s="55">
        <f t="shared" si="102"/>
        <v>0</v>
      </c>
    </row>
    <row r="1896" spans="1:19" hidden="1">
      <c r="A1896" s="5">
        <v>1961</v>
      </c>
      <c r="B1896" s="59"/>
      <c r="C1896" s="60"/>
      <c r="D1896" s="63"/>
      <c r="E1896" s="70" t="s">
        <v>140</v>
      </c>
      <c r="F1896" s="63"/>
      <c r="G1896" s="63"/>
      <c r="H1896" s="62"/>
      <c r="I1896" s="65">
        <v>36905928.450769201</v>
      </c>
      <c r="J1896" s="65">
        <v>16016630.647651572</v>
      </c>
      <c r="K1896" s="62"/>
      <c r="L1896" s="65">
        <v>36905928.450769201</v>
      </c>
      <c r="M1896" s="65">
        <v>20780060.011904553</v>
      </c>
      <c r="N1896" s="64">
        <v>16125868.438864648</v>
      </c>
      <c r="P1896" t="str">
        <f t="shared" si="100"/>
        <v>Summary of Unclassified Plant (Account 106)</v>
      </c>
      <c r="Q1896" t="str">
        <f t="shared" si="101"/>
        <v>NA</v>
      </c>
      <c r="R1896" t="str">
        <f>IF(ISERROR(MATCH(P1896&amp;"."&amp;Q1896,R$5:R1895,0)),P1896&amp;"."&amp;Q1896,P1896&amp;"."&amp;Q1896&amp;COUNTIFS(P$5:P1895,P1896,Q$5:Q1895,Q1896))</f>
        <v>Summary of Unclassified Plant (Account 106).NA3</v>
      </c>
      <c r="S1896" s="55">
        <f t="shared" si="102"/>
        <v>16125868.438864648</v>
      </c>
    </row>
    <row r="1897" spans="1:19" hidden="1">
      <c r="A1897" s="5">
        <v>1962</v>
      </c>
      <c r="B1897" s="59"/>
      <c r="C1897" s="60"/>
      <c r="D1897" s="63"/>
      <c r="E1897" s="61" t="s">
        <v>249</v>
      </c>
      <c r="F1897" s="63"/>
      <c r="G1897" s="63"/>
      <c r="H1897" s="62"/>
      <c r="I1897" s="65">
        <v>0</v>
      </c>
      <c r="J1897" s="65">
        <v>0</v>
      </c>
      <c r="K1897" s="62"/>
      <c r="L1897" s="65">
        <v>0</v>
      </c>
      <c r="M1897" s="65">
        <v>0</v>
      </c>
      <c r="N1897" s="64">
        <v>0</v>
      </c>
      <c r="P1897" t="str">
        <f t="shared" si="100"/>
        <v>Summary of Unclassified Plant (Account 106)</v>
      </c>
      <c r="Q1897" t="str">
        <f t="shared" si="101"/>
        <v>NA</v>
      </c>
      <c r="R1897" t="str">
        <f>IF(ISERROR(MATCH(P1897&amp;"."&amp;Q1897,R$5:R1896,0)),P1897&amp;"."&amp;Q1897,P1897&amp;"."&amp;Q1897&amp;COUNTIFS(P$5:P1896,P1897,Q$5:Q1896,Q1897))</f>
        <v>Summary of Unclassified Plant (Account 106).NA4</v>
      </c>
      <c r="S1897" s="55">
        <f t="shared" si="102"/>
        <v>0</v>
      </c>
    </row>
    <row r="1898" spans="1:19" hidden="1">
      <c r="A1898" s="5">
        <v>1963</v>
      </c>
      <c r="B1898" s="59"/>
      <c r="C1898" s="60"/>
      <c r="D1898" s="63"/>
      <c r="E1898" s="61" t="s">
        <v>255</v>
      </c>
      <c r="F1898" s="63"/>
      <c r="G1898" s="63"/>
      <c r="H1898" s="62"/>
      <c r="I1898" s="65">
        <v>0</v>
      </c>
      <c r="J1898" s="65">
        <v>0</v>
      </c>
      <c r="K1898" s="62"/>
      <c r="L1898" s="65">
        <v>0</v>
      </c>
      <c r="M1898" s="65">
        <v>0</v>
      </c>
      <c r="N1898" s="64">
        <v>0</v>
      </c>
      <c r="P1898" t="str">
        <f t="shared" si="100"/>
        <v>Summary of Unclassified Plant (Account 106)</v>
      </c>
      <c r="Q1898" t="str">
        <f t="shared" si="101"/>
        <v>NA</v>
      </c>
      <c r="R1898" t="str">
        <f>IF(ISERROR(MATCH(P1898&amp;"."&amp;Q1898,R$5:R1897,0)),P1898&amp;"."&amp;Q1898,P1898&amp;"."&amp;Q1898&amp;COUNTIFS(P$5:P1897,P1898,Q$5:Q1897,Q1898))</f>
        <v>Summary of Unclassified Plant (Account 106).NA5</v>
      </c>
      <c r="S1898" s="55">
        <f t="shared" si="102"/>
        <v>0</v>
      </c>
    </row>
    <row r="1899" spans="1:19" hidden="1">
      <c r="A1899" s="5">
        <v>1964</v>
      </c>
      <c r="B1899" s="59"/>
      <c r="C1899" s="60"/>
      <c r="D1899" s="63"/>
      <c r="E1899" s="61" t="s">
        <v>256</v>
      </c>
      <c r="F1899" s="63"/>
      <c r="G1899" s="63"/>
      <c r="H1899" s="62"/>
      <c r="I1899" s="65">
        <v>-476249.92307692312</v>
      </c>
      <c r="J1899" s="65">
        <v>-209538.05101071263</v>
      </c>
      <c r="K1899" s="62"/>
      <c r="L1899" s="65">
        <v>-476249.92307692312</v>
      </c>
      <c r="M1899" s="65">
        <v>-266711.87206621049</v>
      </c>
      <c r="N1899" s="64">
        <v>-209538.05101071263</v>
      </c>
      <c r="P1899" t="str">
        <f t="shared" si="100"/>
        <v>Summary of Unclassified Plant (Account 106)</v>
      </c>
      <c r="Q1899" t="str">
        <f t="shared" si="101"/>
        <v>NA</v>
      </c>
      <c r="R1899" t="str">
        <f>IF(ISERROR(MATCH(P1899&amp;"."&amp;Q1899,R$5:R1898,0)),P1899&amp;"."&amp;Q1899,P1899&amp;"."&amp;Q1899&amp;COUNTIFS(P$5:P1898,P1899,Q$5:Q1898,Q1899))</f>
        <v>Summary of Unclassified Plant (Account 106).NA6</v>
      </c>
      <c r="S1899" s="55">
        <f t="shared" si="102"/>
        <v>-209538.05101071263</v>
      </c>
    </row>
    <row r="1900" spans="1:19" hidden="1">
      <c r="A1900" s="5">
        <v>1965</v>
      </c>
      <c r="B1900" s="59"/>
      <c r="C1900" s="60"/>
      <c r="D1900" s="63"/>
      <c r="E1900" s="61" t="s">
        <v>265</v>
      </c>
      <c r="F1900" s="63"/>
      <c r="G1900" s="63"/>
      <c r="H1900" s="62"/>
      <c r="I1900" s="65">
        <v>107229090.03153799</v>
      </c>
      <c r="J1900" s="65">
        <v>47178116.883877411</v>
      </c>
      <c r="K1900" s="62"/>
      <c r="L1900" s="65">
        <v>107229090.03153799</v>
      </c>
      <c r="M1900" s="65">
        <v>60050973.147660583</v>
      </c>
      <c r="N1900" s="64">
        <v>47178116.883877411</v>
      </c>
      <c r="P1900" t="str">
        <f t="shared" si="100"/>
        <v>Summary of Unclassified Plant (Account 106)</v>
      </c>
      <c r="Q1900" t="str">
        <f t="shared" si="101"/>
        <v>NA</v>
      </c>
      <c r="R1900" t="str">
        <f>IF(ISERROR(MATCH(P1900&amp;"."&amp;Q1900,R$5:R1899,0)),P1900&amp;"."&amp;Q1900,P1900&amp;"."&amp;Q1900&amp;COUNTIFS(P$5:P1899,P1900,Q$5:Q1899,Q1900))</f>
        <v>Summary of Unclassified Plant (Account 106).NA7</v>
      </c>
      <c r="S1900" s="55">
        <f t="shared" si="102"/>
        <v>47178116.883877411</v>
      </c>
    </row>
    <row r="1901" spans="1:19" ht="15.75" hidden="1" thickBot="1">
      <c r="A1901" s="5">
        <v>1966</v>
      </c>
      <c r="B1901" s="59"/>
      <c r="C1901" s="60"/>
      <c r="D1901" s="63"/>
      <c r="E1901" s="63" t="s">
        <v>266</v>
      </c>
      <c r="F1901" s="63"/>
      <c r="G1901" s="63"/>
      <c r="H1901" s="62"/>
      <c r="I1901" s="81">
        <v>0</v>
      </c>
      <c r="J1901" s="81">
        <v>0</v>
      </c>
      <c r="K1901" s="62"/>
      <c r="L1901" s="81">
        <v>0</v>
      </c>
      <c r="M1901" s="81">
        <v>0</v>
      </c>
      <c r="N1901" s="81">
        <v>0</v>
      </c>
      <c r="P1901" t="str">
        <f t="shared" si="100"/>
        <v>Summary of Unclassified Plant (Account 106)</v>
      </c>
      <c r="Q1901" t="str">
        <f t="shared" si="101"/>
        <v>NA</v>
      </c>
      <c r="R1901" t="str">
        <f>IF(ISERROR(MATCH(P1901&amp;"."&amp;Q1901,R$5:R1900,0)),P1901&amp;"."&amp;Q1901,P1901&amp;"."&amp;Q1901&amp;COUNTIFS(P$5:P1900,P1901,Q$5:Q1900,Q1901))</f>
        <v>Summary of Unclassified Plant (Account 106).NA8</v>
      </c>
      <c r="S1901" s="55">
        <f t="shared" si="102"/>
        <v>0</v>
      </c>
    </row>
    <row r="1902" spans="1:19" hidden="1">
      <c r="A1902" s="5">
        <v>1967</v>
      </c>
      <c r="B1902" s="59"/>
      <c r="C1902" s="60"/>
      <c r="D1902" s="61"/>
      <c r="E1902" s="63" t="s">
        <v>250</v>
      </c>
      <c r="F1902" s="63"/>
      <c r="G1902" s="63"/>
      <c r="H1902" s="62"/>
      <c r="I1902" s="65">
        <v>0</v>
      </c>
      <c r="J1902" s="65">
        <v>0</v>
      </c>
      <c r="K1902" s="62"/>
      <c r="L1902" s="65">
        <v>0</v>
      </c>
      <c r="M1902" s="65">
        <v>0</v>
      </c>
      <c r="N1902" s="65">
        <v>0</v>
      </c>
      <c r="P1902" t="str">
        <f t="shared" si="100"/>
        <v>Summary of Unclassified Plant (Account 106)</v>
      </c>
      <c r="Q1902" t="str">
        <f t="shared" si="101"/>
        <v>NA</v>
      </c>
      <c r="R1902" t="str">
        <f>IF(ISERROR(MATCH(P1902&amp;"."&amp;Q1902,R$5:R1901,0)),P1902&amp;"."&amp;Q1902,P1902&amp;"."&amp;Q1902&amp;COUNTIFS(P$5:P1901,P1902,Q$5:Q1901,Q1902))</f>
        <v>Summary of Unclassified Plant (Account 106).NA9</v>
      </c>
      <c r="S1902" s="55">
        <f t="shared" si="102"/>
        <v>0</v>
      </c>
    </row>
    <row r="1903" spans="1:19" hidden="1">
      <c r="A1903" s="5">
        <v>1968</v>
      </c>
      <c r="B1903" s="59"/>
      <c r="C1903" s="60"/>
      <c r="D1903" s="63"/>
      <c r="E1903" s="63" t="s">
        <v>254</v>
      </c>
      <c r="F1903" s="60"/>
      <c r="G1903" s="61"/>
      <c r="H1903" s="62"/>
      <c r="I1903" s="65">
        <v>0</v>
      </c>
      <c r="J1903" s="65">
        <v>0</v>
      </c>
      <c r="K1903" s="62"/>
      <c r="L1903" s="65">
        <v>0</v>
      </c>
      <c r="M1903" s="65">
        <v>0</v>
      </c>
      <c r="N1903" s="64">
        <v>0</v>
      </c>
      <c r="P1903" t="str">
        <f t="shared" si="100"/>
        <v>Summary of Unclassified Plant (Account 106)</v>
      </c>
      <c r="Q1903" t="str">
        <f t="shared" si="101"/>
        <v>NA</v>
      </c>
      <c r="R1903" t="str">
        <f>IF(ISERROR(MATCH(P1903&amp;"."&amp;Q1903,R$5:R1902,0)),P1903&amp;"."&amp;Q1903,P1903&amp;"."&amp;Q1903&amp;COUNTIFS(P$5:P1902,P1903,Q$5:Q1902,Q1903))</f>
        <v>Summary of Unclassified Plant (Account 106).NA10</v>
      </c>
      <c r="S1903" s="55">
        <f t="shared" si="102"/>
        <v>0</v>
      </c>
    </row>
    <row r="1904" spans="1:19" hidden="1">
      <c r="A1904" s="5">
        <v>1969</v>
      </c>
      <c r="B1904" s="59"/>
      <c r="C1904" s="60"/>
      <c r="D1904" s="63"/>
      <c r="E1904" s="63" t="s">
        <v>264</v>
      </c>
      <c r="F1904" s="60"/>
      <c r="G1904" s="61"/>
      <c r="H1904" s="62"/>
      <c r="I1904" s="65">
        <v>46348778.811538503</v>
      </c>
      <c r="J1904" s="65">
        <v>20392303.091937196</v>
      </c>
      <c r="K1904" s="62"/>
      <c r="L1904" s="65">
        <v>46348778.811538503</v>
      </c>
      <c r="M1904" s="65">
        <v>25956475.719601307</v>
      </c>
      <c r="N1904" s="64">
        <v>20392303.091937196</v>
      </c>
      <c r="P1904" t="str">
        <f t="shared" si="100"/>
        <v>Summary of Unclassified Plant (Account 106)</v>
      </c>
      <c r="Q1904" t="str">
        <f t="shared" si="101"/>
        <v>NA</v>
      </c>
      <c r="R1904" t="str">
        <f>IF(ISERROR(MATCH(P1904&amp;"."&amp;Q1904,R$5:R1903,0)),P1904&amp;"."&amp;Q1904,P1904&amp;"."&amp;Q1904&amp;COUNTIFS(P$5:P1903,P1904,Q$5:Q1903,Q1904))</f>
        <v>Summary of Unclassified Plant (Account 106).NA11</v>
      </c>
      <c r="S1904" s="55">
        <f t="shared" si="102"/>
        <v>20392303.091937196</v>
      </c>
    </row>
    <row r="1905" spans="1:19" hidden="1">
      <c r="A1905" s="5">
        <v>1970</v>
      </c>
      <c r="B1905" s="59"/>
      <c r="C1905" s="60" t="s">
        <v>587</v>
      </c>
      <c r="D1905" s="63"/>
      <c r="E1905" s="63"/>
      <c r="F1905" s="60"/>
      <c r="G1905" s="61"/>
      <c r="H1905" s="62"/>
      <c r="I1905" s="65">
        <v>256965369.03538412</v>
      </c>
      <c r="J1905" s="65">
        <v>111239011.14937857</v>
      </c>
      <c r="K1905" s="62"/>
      <c r="L1905" s="65">
        <v>256965369.03538412</v>
      </c>
      <c r="M1905" s="65">
        <v>145617120.09479249</v>
      </c>
      <c r="N1905" s="64">
        <v>111348248.94059165</v>
      </c>
      <c r="P1905" t="str">
        <f t="shared" si="100"/>
        <v>Total Unclassified Plant by Factor</v>
      </c>
      <c r="Q1905" t="str">
        <f t="shared" si="101"/>
        <v>NA</v>
      </c>
      <c r="R1905" t="str">
        <f>IF(ISERROR(MATCH(P1905&amp;"."&amp;Q1905,R$5:R1904,0)),P1905&amp;"."&amp;Q1905,P1905&amp;"."&amp;Q1905&amp;COUNTIFS(P$5:P1904,P1905,Q$5:Q1904,Q1905))</f>
        <v>Total Unclassified Plant by Factor.NA</v>
      </c>
      <c r="S1905" s="55">
        <f t="shared" si="102"/>
        <v>111348248.94059165</v>
      </c>
    </row>
    <row r="1906" spans="1:19" hidden="1">
      <c r="A1906" s="5">
        <v>1971</v>
      </c>
      <c r="B1906" s="59"/>
      <c r="C1906" s="60"/>
      <c r="D1906" s="63"/>
      <c r="E1906" s="63"/>
      <c r="F1906" s="60"/>
      <c r="G1906" s="61"/>
      <c r="H1906" s="62"/>
      <c r="I1906" s="65"/>
      <c r="J1906" s="65"/>
      <c r="K1906" s="62"/>
      <c r="L1906" s="65"/>
      <c r="M1906" s="65"/>
      <c r="N1906" s="64"/>
      <c r="P1906" t="str">
        <f t="shared" si="100"/>
        <v>Total Unclassified Plant by Factor</v>
      </c>
      <c r="Q1906" t="str">
        <f t="shared" si="101"/>
        <v>NA</v>
      </c>
      <c r="R1906" t="str">
        <f>IF(ISERROR(MATCH(P1906&amp;"."&amp;Q1906,R$5:R1905,0)),P1906&amp;"."&amp;Q1906,P1906&amp;"."&amp;Q1906&amp;COUNTIFS(P$5:P1905,P1906,Q$5:Q1905,Q1906))</f>
        <v>Total Unclassified Plant by Factor.NA1</v>
      </c>
      <c r="S1906" s="55">
        <f t="shared" si="102"/>
        <v>0</v>
      </c>
    </row>
    <row r="1907" spans="1:19" hidden="1">
      <c r="A1907" s="5">
        <v>1972</v>
      </c>
      <c r="B1907" s="59"/>
      <c r="C1907" s="60" t="s">
        <v>588</v>
      </c>
      <c r="D1907" s="63"/>
      <c r="E1907" s="63"/>
      <c r="F1907" s="60"/>
      <c r="G1907" s="61"/>
      <c r="H1907" s="62" t="s">
        <v>501</v>
      </c>
      <c r="I1907" s="65">
        <v>28204842852.10923</v>
      </c>
      <c r="J1907" s="65">
        <v>12240487352.591549</v>
      </c>
      <c r="K1907" s="62"/>
      <c r="L1907" s="65">
        <v>31498363598.966087</v>
      </c>
      <c r="M1907" s="65">
        <v>17735304687.874962</v>
      </c>
      <c r="N1907" s="64">
        <v>13763058911.091122</v>
      </c>
      <c r="P1907" t="str">
        <f t="shared" si="100"/>
        <v>Total Electric Plant In Service</v>
      </c>
      <c r="Q1907" t="str">
        <f t="shared" si="101"/>
        <v>NA</v>
      </c>
      <c r="R1907" t="str">
        <f>IF(ISERROR(MATCH(P1907&amp;"."&amp;Q1907,R$5:R1906,0)),P1907&amp;"."&amp;Q1907,P1907&amp;"."&amp;Q1907&amp;COUNTIFS(P$5:P1906,P1907,Q$5:Q1906,Q1907))</f>
        <v>Total Electric Plant In Service.NA</v>
      </c>
      <c r="S1907" s="55">
        <f t="shared" si="102"/>
        <v>13763058911.091122</v>
      </c>
    </row>
    <row r="1908" spans="1:19" hidden="1">
      <c r="A1908" s="5">
        <v>1973</v>
      </c>
      <c r="B1908" s="59"/>
      <c r="C1908" s="60" t="s">
        <v>589</v>
      </c>
      <c r="D1908" s="63"/>
      <c r="E1908" s="63"/>
      <c r="F1908" s="60"/>
      <c r="G1908" s="61"/>
      <c r="H1908" s="62"/>
      <c r="I1908" s="65"/>
      <c r="J1908" s="65"/>
      <c r="K1908" s="62"/>
      <c r="L1908" s="65"/>
      <c r="M1908" s="65"/>
      <c r="N1908" s="64"/>
      <c r="P1908" t="str">
        <f t="shared" si="100"/>
        <v>Summary of Electric Plant by Factor</v>
      </c>
      <c r="Q1908" t="str">
        <f t="shared" si="101"/>
        <v>NA</v>
      </c>
      <c r="R1908" t="str">
        <f>IF(ISERROR(MATCH(P1908&amp;"."&amp;Q1908,R$5:R1907,0)),P1908&amp;"."&amp;Q1908,P1908&amp;"."&amp;Q1908&amp;COUNTIFS(P$5:P1907,P1908,Q$5:Q1907,Q1908))</f>
        <v>Summary of Electric Plant by Factor.NA</v>
      </c>
      <c r="S1908" s="55">
        <f t="shared" si="102"/>
        <v>0</v>
      </c>
    </row>
    <row r="1909" spans="1:19" hidden="1">
      <c r="A1909" s="5">
        <v>1974</v>
      </c>
      <c r="B1909" s="59"/>
      <c r="C1909" s="60"/>
      <c r="D1909" s="63"/>
      <c r="E1909" s="63" t="s">
        <v>12</v>
      </c>
      <c r="F1909" s="63"/>
      <c r="G1909" s="63"/>
      <c r="H1909" s="62"/>
      <c r="I1909" s="67">
        <v>7790676319.3546133</v>
      </c>
      <c r="J1909" s="67">
        <v>3256633989.8484607</v>
      </c>
      <c r="K1909" s="62"/>
      <c r="L1909" s="67">
        <v>8636693586.6304855</v>
      </c>
      <c r="M1909" s="65">
        <v>4935920697.5474186</v>
      </c>
      <c r="N1909" s="65">
        <v>3700772889.0830665</v>
      </c>
      <c r="P1909" t="str">
        <f t="shared" si="100"/>
        <v>Summary of Electric Plant by Factor</v>
      </c>
      <c r="Q1909" t="str">
        <f t="shared" si="101"/>
        <v>NA</v>
      </c>
      <c r="R1909" t="str">
        <f>IF(ISERROR(MATCH(P1909&amp;"."&amp;Q1909,R$5:R1908,0)),P1909&amp;"."&amp;Q1909,P1909&amp;"."&amp;Q1909&amp;COUNTIFS(P$5:P1908,P1909,Q$5:Q1908,Q1909))</f>
        <v>Summary of Electric Plant by Factor.NA1</v>
      </c>
      <c r="S1909" s="55">
        <f t="shared" si="102"/>
        <v>3700772889.0830665</v>
      </c>
    </row>
    <row r="1910" spans="1:19" hidden="1">
      <c r="A1910" s="5">
        <v>1975</v>
      </c>
      <c r="B1910" s="59"/>
      <c r="C1910" s="60"/>
      <c r="D1910" s="63"/>
      <c r="E1910" s="63" t="s">
        <v>16</v>
      </c>
      <c r="F1910" s="63"/>
      <c r="G1910" s="63"/>
      <c r="H1910" s="62"/>
      <c r="I1910" s="67">
        <v>5627203.4184615361</v>
      </c>
      <c r="J1910" s="67">
        <v>2439742.1030575433</v>
      </c>
      <c r="K1910" s="62"/>
      <c r="L1910" s="67">
        <v>81885649.993535593</v>
      </c>
      <c r="M1910" s="65">
        <v>46383136.032509856</v>
      </c>
      <c r="N1910" s="65">
        <v>35502513.961025737</v>
      </c>
      <c r="P1910" t="str">
        <f t="shared" si="100"/>
        <v>Summary of Electric Plant by Factor</v>
      </c>
      <c r="Q1910" t="str">
        <f t="shared" si="101"/>
        <v>NA</v>
      </c>
      <c r="R1910" t="str">
        <f>IF(ISERROR(MATCH(P1910&amp;"."&amp;Q1910,R$5:R1909,0)),P1910&amp;"."&amp;Q1910,P1910&amp;"."&amp;Q1910&amp;COUNTIFS(P$5:P1909,P1910,Q$5:Q1909,Q1910))</f>
        <v>Summary of Electric Plant by Factor.NA2</v>
      </c>
      <c r="S1910" s="55">
        <f t="shared" si="102"/>
        <v>35502513.961025737</v>
      </c>
    </row>
    <row r="1911" spans="1:19" ht="15.75" hidden="1" thickBot="1">
      <c r="A1911" s="5">
        <v>1976</v>
      </c>
      <c r="B1911" s="59"/>
      <c r="C1911" s="45"/>
      <c r="D1911" s="63"/>
      <c r="E1911" s="63" t="s">
        <v>14</v>
      </c>
      <c r="F1911" s="63"/>
      <c r="G1911" s="63"/>
      <c r="H1911" s="41"/>
      <c r="I1911" s="92">
        <v>0</v>
      </c>
      <c r="J1911" s="92">
        <v>0</v>
      </c>
      <c r="K1911" s="41"/>
      <c r="L1911" s="92">
        <v>0</v>
      </c>
      <c r="M1911" s="92">
        <v>0</v>
      </c>
      <c r="N1911" s="92">
        <v>0</v>
      </c>
      <c r="P1911" t="str">
        <f t="shared" si="100"/>
        <v>Summary of Electric Plant by Factor</v>
      </c>
      <c r="Q1911" t="str">
        <f t="shared" si="101"/>
        <v>NA</v>
      </c>
      <c r="R1911" t="str">
        <f>IF(ISERROR(MATCH(P1911&amp;"."&amp;Q1911,R$5:R1910,0)),P1911&amp;"."&amp;Q1911,P1911&amp;"."&amp;Q1911&amp;COUNTIFS(P$5:P1910,P1911,Q$5:Q1910,Q1911))</f>
        <v>Summary of Electric Plant by Factor.NA3</v>
      </c>
      <c r="S1911" s="55">
        <f t="shared" si="102"/>
        <v>0</v>
      </c>
    </row>
    <row r="1912" spans="1:19" hidden="1">
      <c r="A1912" s="5">
        <v>1977</v>
      </c>
      <c r="B1912" s="59"/>
      <c r="C1912" s="60"/>
      <c r="D1912" s="63"/>
      <c r="E1912" s="63" t="s">
        <v>17</v>
      </c>
      <c r="F1912" s="63"/>
      <c r="G1912" s="63"/>
      <c r="H1912" s="62"/>
      <c r="I1912" s="65">
        <v>0</v>
      </c>
      <c r="J1912" s="65">
        <v>0</v>
      </c>
      <c r="K1912" s="62"/>
      <c r="L1912" s="65">
        <v>0</v>
      </c>
      <c r="M1912" s="65">
        <v>0</v>
      </c>
      <c r="N1912" s="65">
        <v>0</v>
      </c>
      <c r="P1912" t="str">
        <f t="shared" si="100"/>
        <v>Summary of Electric Plant by Factor</v>
      </c>
      <c r="Q1912" t="str">
        <f t="shared" si="101"/>
        <v>NA</v>
      </c>
      <c r="R1912" t="str">
        <f>IF(ISERROR(MATCH(P1912&amp;"."&amp;Q1912,R$5:R1911,0)),P1912&amp;"."&amp;Q1912,P1912&amp;"."&amp;Q1912&amp;COUNTIFS(P$5:P1911,P1912,Q$5:Q1911,Q1912))</f>
        <v>Summary of Electric Plant by Factor.NA4</v>
      </c>
      <c r="S1912" s="55">
        <f t="shared" si="102"/>
        <v>0</v>
      </c>
    </row>
    <row r="1913" spans="1:19" hidden="1">
      <c r="A1913" s="5">
        <v>1978</v>
      </c>
      <c r="B1913" s="59"/>
      <c r="C1913" s="60"/>
      <c r="D1913" s="61"/>
      <c r="E1913" s="63" t="s">
        <v>15</v>
      </c>
      <c r="F1913" s="63"/>
      <c r="G1913" s="63"/>
      <c r="H1913" s="62"/>
      <c r="I1913" s="65">
        <v>19526352843.656151</v>
      </c>
      <c r="J1913" s="65">
        <v>8591106727.6883125</v>
      </c>
      <c r="K1913" s="62"/>
      <c r="L1913" s="65">
        <v>21839711508.199501</v>
      </c>
      <c r="M1913" s="65">
        <v>12230784845.285992</v>
      </c>
      <c r="N1913" s="65">
        <v>9608926662.9135094</v>
      </c>
      <c r="P1913" t="str">
        <f t="shared" si="100"/>
        <v>Summary of Electric Plant by Factor</v>
      </c>
      <c r="Q1913" t="str">
        <f t="shared" si="101"/>
        <v>NA</v>
      </c>
      <c r="R1913" t="str">
        <f>IF(ISERROR(MATCH(P1913&amp;"."&amp;Q1913,R$5:R1912,0)),P1913&amp;"."&amp;Q1913,P1913&amp;"."&amp;Q1913&amp;COUNTIFS(P$5:P1912,P1913,Q$5:Q1912,Q1913))</f>
        <v>Summary of Electric Plant by Factor.NA5</v>
      </c>
      <c r="S1913" s="55">
        <f t="shared" si="102"/>
        <v>9608926662.9135094</v>
      </c>
    </row>
    <row r="1914" spans="1:19" hidden="1">
      <c r="A1914" s="5">
        <v>1979</v>
      </c>
      <c r="B1914" s="59"/>
      <c r="C1914" s="60"/>
      <c r="D1914" s="63"/>
      <c r="E1914" s="63" t="s">
        <v>136</v>
      </c>
      <c r="F1914" s="60"/>
      <c r="G1914" s="61"/>
      <c r="H1914" s="62"/>
      <c r="I1914" s="65">
        <v>705782605.19615424</v>
      </c>
      <c r="J1914" s="65">
        <v>306299279.80387902</v>
      </c>
      <c r="K1914" s="62"/>
      <c r="L1914" s="65">
        <v>759469705.97124958</v>
      </c>
      <c r="M1914" s="65">
        <v>427623060.29933083</v>
      </c>
      <c r="N1914" s="64">
        <v>331846645.67191875</v>
      </c>
      <c r="P1914" t="str">
        <f t="shared" si="100"/>
        <v>Summary of Electric Plant by Factor</v>
      </c>
      <c r="Q1914" t="str">
        <f t="shared" si="101"/>
        <v>NA</v>
      </c>
      <c r="R1914" t="str">
        <f>IF(ISERROR(MATCH(P1914&amp;"."&amp;Q1914,R$5:R1913,0)),P1914&amp;"."&amp;Q1914,P1914&amp;"."&amp;Q1914&amp;COUNTIFS(P$5:P1913,P1914,Q$5:Q1913,Q1914))</f>
        <v>Summary of Electric Plant by Factor.NA6</v>
      </c>
      <c r="S1914" s="55">
        <f t="shared" si="102"/>
        <v>331846645.67191875</v>
      </c>
    </row>
    <row r="1915" spans="1:19" hidden="1">
      <c r="A1915" s="5">
        <v>1980</v>
      </c>
      <c r="B1915" s="59"/>
      <c r="C1915" s="60"/>
      <c r="D1915" s="63"/>
      <c r="E1915" s="63" t="s">
        <v>155</v>
      </c>
      <c r="F1915" s="60"/>
      <c r="G1915" s="61"/>
      <c r="H1915" s="62"/>
      <c r="I1915" s="65">
        <v>194450204.28153855</v>
      </c>
      <c r="J1915" s="65">
        <v>92965467.446797878</v>
      </c>
      <c r="K1915" s="62"/>
      <c r="L1915" s="65">
        <v>198649471.96899989</v>
      </c>
      <c r="M1915" s="65">
        <v>103676360.02040531</v>
      </c>
      <c r="N1915" s="64">
        <v>94973111.948594585</v>
      </c>
      <c r="P1915" t="str">
        <f t="shared" si="100"/>
        <v>Summary of Electric Plant by Factor</v>
      </c>
      <c r="Q1915" t="str">
        <f t="shared" si="101"/>
        <v>NA</v>
      </c>
      <c r="R1915" t="str">
        <f>IF(ISERROR(MATCH(P1915&amp;"."&amp;Q1915,R$5:R1914,0)),P1915&amp;"."&amp;Q1915,P1915&amp;"."&amp;Q1915&amp;COUNTIFS(P$5:P1914,P1915,Q$5:Q1914,Q1915))</f>
        <v>Summary of Electric Plant by Factor.NA7</v>
      </c>
      <c r="S1915" s="55">
        <f t="shared" si="102"/>
        <v>94973111.948594585</v>
      </c>
    </row>
    <row r="1916" spans="1:19" hidden="1">
      <c r="A1916" s="5">
        <v>1981</v>
      </c>
      <c r="B1916" s="59"/>
      <c r="C1916" s="60"/>
      <c r="D1916" s="63"/>
      <c r="E1916" s="63" t="s">
        <v>294</v>
      </c>
      <c r="F1916" s="60"/>
      <c r="G1916" s="61"/>
      <c r="H1916" s="62"/>
      <c r="I1916" s="65">
        <v>0</v>
      </c>
      <c r="J1916" s="65">
        <v>0</v>
      </c>
      <c r="K1916" s="62"/>
      <c r="L1916" s="65">
        <v>0</v>
      </c>
      <c r="M1916" s="65">
        <v>0</v>
      </c>
      <c r="N1916" s="64">
        <v>0</v>
      </c>
      <c r="P1916" t="str">
        <f t="shared" si="100"/>
        <v>Summary of Electric Plant by Factor</v>
      </c>
      <c r="Q1916" t="str">
        <f t="shared" si="101"/>
        <v>NA</v>
      </c>
      <c r="R1916" t="str">
        <f>IF(ISERROR(MATCH(P1916&amp;"."&amp;Q1916,R$5:R1915,0)),P1916&amp;"."&amp;Q1916,P1916&amp;"."&amp;Q1916&amp;COUNTIFS(P$5:P1915,P1916,Q$5:Q1915,Q1916))</f>
        <v>Summary of Electric Plant by Factor.NA8</v>
      </c>
      <c r="S1916" s="55">
        <f t="shared" si="102"/>
        <v>0</v>
      </c>
    </row>
    <row r="1917" spans="1:19" ht="15.75" hidden="1" thickBot="1">
      <c r="A1917" s="5">
        <v>1982</v>
      </c>
      <c r="B1917" s="59"/>
      <c r="C1917" s="45"/>
      <c r="D1917" s="63"/>
      <c r="E1917" s="63" t="s">
        <v>301</v>
      </c>
      <c r="F1917" s="63"/>
      <c r="G1917" s="63"/>
      <c r="H1917" s="41"/>
      <c r="I1917" s="92">
        <v>0</v>
      </c>
      <c r="J1917" s="92">
        <v>0</v>
      </c>
      <c r="K1917" s="41"/>
      <c r="L1917" s="92">
        <v>0</v>
      </c>
      <c r="M1917" s="92">
        <v>0</v>
      </c>
      <c r="N1917" s="92">
        <v>0</v>
      </c>
      <c r="P1917" t="str">
        <f t="shared" si="100"/>
        <v>Summary of Electric Plant by Factor</v>
      </c>
      <c r="Q1917" t="str">
        <f t="shared" si="101"/>
        <v>NA</v>
      </c>
      <c r="R1917" t="str">
        <f>IF(ISERROR(MATCH(P1917&amp;"."&amp;Q1917,R$5:R1916,0)),P1917&amp;"."&amp;Q1917,P1917&amp;"."&amp;Q1917&amp;COUNTIFS(P$5:P1916,P1917,Q$5:Q1916,Q1917))</f>
        <v>Summary of Electric Plant by Factor.NA9</v>
      </c>
      <c r="S1917" s="55">
        <f t="shared" si="102"/>
        <v>0</v>
      </c>
    </row>
    <row r="1918" spans="1:19" hidden="1">
      <c r="A1918" s="5">
        <v>1983</v>
      </c>
      <c r="B1918" s="59"/>
      <c r="C1918" s="60"/>
      <c r="D1918" s="63"/>
      <c r="E1918" s="63" t="s">
        <v>298</v>
      </c>
      <c r="F1918" s="63"/>
      <c r="G1918" s="63"/>
      <c r="H1918" s="62"/>
      <c r="I1918" s="65">
        <v>0</v>
      </c>
      <c r="J1918" s="65">
        <v>0</v>
      </c>
      <c r="K1918" s="62"/>
      <c r="L1918" s="65">
        <v>0</v>
      </c>
      <c r="M1918" s="65">
        <v>0</v>
      </c>
      <c r="N1918" s="65">
        <v>0</v>
      </c>
      <c r="P1918" t="str">
        <f t="shared" si="100"/>
        <v>Summary of Electric Plant by Factor</v>
      </c>
      <c r="Q1918" t="str">
        <f t="shared" si="101"/>
        <v>NA</v>
      </c>
      <c r="R1918" t="str">
        <f>IF(ISERROR(MATCH(P1918&amp;"."&amp;Q1918,R$5:R1917,0)),P1918&amp;"."&amp;Q1918,P1918&amp;"."&amp;Q1918&amp;COUNTIFS(P$5:P1917,P1918,Q$5:Q1917,Q1918))</f>
        <v>Summary of Electric Plant by Factor.NA10</v>
      </c>
      <c r="S1918" s="55">
        <f t="shared" si="102"/>
        <v>0</v>
      </c>
    </row>
    <row r="1919" spans="1:19" hidden="1">
      <c r="A1919" s="5">
        <v>1984</v>
      </c>
      <c r="B1919" s="59"/>
      <c r="C1919" s="60"/>
      <c r="D1919" s="61"/>
      <c r="E1919" s="63" t="s">
        <v>576</v>
      </c>
      <c r="F1919" s="63"/>
      <c r="G1919" s="63"/>
      <c r="H1919" s="62"/>
      <c r="I1919" s="65">
        <v>-18046323.797692277</v>
      </c>
      <c r="J1919" s="65">
        <v>-8957854.2989583798</v>
      </c>
      <c r="K1919" s="62"/>
      <c r="L1919" s="65">
        <v>-18046323.79769228</v>
      </c>
      <c r="M1919" s="65">
        <v>-9083411.3106981516</v>
      </c>
      <c r="N1919" s="65">
        <v>-8962912.4869941287</v>
      </c>
      <c r="P1919" t="str">
        <f t="shared" si="100"/>
        <v>Summary of Electric Plant by Factor</v>
      </c>
      <c r="Q1919" t="str">
        <f t="shared" si="101"/>
        <v>NA</v>
      </c>
      <c r="R1919" t="str">
        <f>IF(ISERROR(MATCH(P1919&amp;"."&amp;Q1919,R$5:R1918,0)),P1919&amp;"."&amp;Q1919,P1919&amp;"."&amp;Q1919&amp;COUNTIFS(P$5:P1918,P1919,Q$5:Q1918,Q1919))</f>
        <v>Summary of Electric Plant by Factor.NA11</v>
      </c>
      <c r="S1919" s="55">
        <f t="shared" si="102"/>
        <v>-8962912.4869941287</v>
      </c>
    </row>
    <row r="1920" spans="1:19" hidden="1">
      <c r="A1920" s="5">
        <v>1985</v>
      </c>
      <c r="B1920" s="59"/>
      <c r="C1920" s="60"/>
      <c r="D1920" s="63"/>
      <c r="E1920" s="63"/>
      <c r="F1920" s="60"/>
      <c r="G1920" s="61"/>
      <c r="H1920" s="62" t="s">
        <v>141</v>
      </c>
      <c r="I1920" s="65">
        <v>28204842852.10923</v>
      </c>
      <c r="J1920" s="65">
        <v>12240487352.591551</v>
      </c>
      <c r="K1920" s="62"/>
      <c r="L1920" s="65">
        <v>31498363598.966084</v>
      </c>
      <c r="M1920" s="65">
        <v>17735304687.874958</v>
      </c>
      <c r="N1920" s="64">
        <v>13763058911.091122</v>
      </c>
      <c r="P1920" t="str">
        <f t="shared" si="100"/>
        <v>Summary of Electric Plant by Factor</v>
      </c>
      <c r="Q1920" t="str">
        <f t="shared" si="101"/>
        <v>NA</v>
      </c>
      <c r="R1920" t="str">
        <f>IF(ISERROR(MATCH(P1920&amp;"."&amp;Q1920,R$5:R1919,0)),P1920&amp;"."&amp;Q1920,P1920&amp;"."&amp;Q1920&amp;COUNTIFS(P$5:P1919,P1920,Q$5:Q1919,Q1920))</f>
        <v>Summary of Electric Plant by Factor.NA12</v>
      </c>
      <c r="S1920" s="55">
        <f t="shared" si="102"/>
        <v>13763058911.091122</v>
      </c>
    </row>
    <row r="1921" spans="1:19" hidden="1">
      <c r="A1921" s="5">
        <v>1986</v>
      </c>
      <c r="B1921" s="59"/>
      <c r="C1921" s="60">
        <v>105</v>
      </c>
      <c r="D1921" s="63" t="s">
        <v>590</v>
      </c>
      <c r="E1921" s="63"/>
      <c r="F1921" s="60"/>
      <c r="G1921" s="61"/>
      <c r="H1921" s="62"/>
      <c r="I1921" s="65"/>
      <c r="J1921" s="65"/>
      <c r="K1921" s="62"/>
      <c r="L1921" s="65"/>
      <c r="M1921" s="65"/>
      <c r="N1921" s="64"/>
      <c r="P1921">
        <f t="shared" si="100"/>
        <v>105</v>
      </c>
      <c r="Q1921" t="str">
        <f t="shared" si="101"/>
        <v>NA</v>
      </c>
      <c r="R1921" t="str">
        <f>IF(ISERROR(MATCH(P1921&amp;"."&amp;Q1921,R$5:R1920,0)),P1921&amp;"."&amp;Q1921,P1921&amp;"."&amp;Q1921&amp;COUNTIFS(P$5:P1920,P1921,Q$5:Q1920,Q1921))</f>
        <v>105.NA</v>
      </c>
      <c r="S1921" s="55">
        <f t="shared" si="102"/>
        <v>0</v>
      </c>
    </row>
    <row r="1922" spans="1:19" hidden="1">
      <c r="A1922" s="5">
        <v>1987</v>
      </c>
      <c r="B1922" s="59"/>
      <c r="C1922" s="60"/>
      <c r="D1922" s="63"/>
      <c r="E1922" s="63"/>
      <c r="F1922" s="60" t="s">
        <v>139</v>
      </c>
      <c r="G1922" s="61" t="s">
        <v>12</v>
      </c>
      <c r="H1922" s="62"/>
      <c r="I1922" s="65">
        <v>13593785.155384621</v>
      </c>
      <c r="J1922" s="65">
        <v>5730528.6500000004</v>
      </c>
      <c r="K1922" s="62"/>
      <c r="L1922" s="65">
        <v>13593785.155384621</v>
      </c>
      <c r="M1922" s="65">
        <v>7863256.5053846203</v>
      </c>
      <c r="N1922" s="64">
        <v>5730528.6500000004</v>
      </c>
      <c r="P1922">
        <f t="shared" si="100"/>
        <v>105</v>
      </c>
      <c r="Q1922" t="str">
        <f t="shared" si="101"/>
        <v>S</v>
      </c>
      <c r="R1922" t="str">
        <f>IF(ISERROR(MATCH(P1922&amp;"."&amp;Q1922,R$5:R1921,0)),P1922&amp;"."&amp;Q1922,P1922&amp;"."&amp;Q1922&amp;COUNTIFS(P$5:P1921,P1922,Q$5:Q1921,Q1922))</f>
        <v>105.S</v>
      </c>
      <c r="S1922" s="55">
        <f t="shared" si="102"/>
        <v>5730528.6500000004</v>
      </c>
    </row>
    <row r="1923" spans="1:19" ht="15.75" hidden="1" thickBot="1">
      <c r="A1923" s="5">
        <v>1988</v>
      </c>
      <c r="B1923" s="59"/>
      <c r="C1923" s="60"/>
      <c r="D1923" s="63"/>
      <c r="E1923" s="63"/>
      <c r="F1923" s="63" t="s">
        <v>13</v>
      </c>
      <c r="G1923" s="63" t="s">
        <v>15</v>
      </c>
      <c r="H1923" s="62"/>
      <c r="I1923" s="81">
        <v>0</v>
      </c>
      <c r="J1923" s="81">
        <v>0</v>
      </c>
      <c r="K1923" s="62"/>
      <c r="L1923" s="81">
        <v>0</v>
      </c>
      <c r="M1923" s="81">
        <v>0</v>
      </c>
      <c r="N1923" s="81">
        <v>0</v>
      </c>
      <c r="P1923">
        <f t="shared" si="100"/>
        <v>105</v>
      </c>
      <c r="Q1923" t="str">
        <f t="shared" si="101"/>
        <v>SG</v>
      </c>
      <c r="R1923" t="str">
        <f>IF(ISERROR(MATCH(P1923&amp;"."&amp;Q1923,R$5:R1922,0)),P1923&amp;"."&amp;Q1923,P1923&amp;"."&amp;Q1923&amp;COUNTIFS(P$5:P1922,P1923,Q$5:Q1922,Q1923))</f>
        <v>105.SG</v>
      </c>
      <c r="S1923" s="55">
        <f t="shared" si="102"/>
        <v>0</v>
      </c>
    </row>
    <row r="1924" spans="1:19" hidden="1">
      <c r="A1924" s="5">
        <v>1989</v>
      </c>
      <c r="B1924" s="59"/>
      <c r="C1924" s="60"/>
      <c r="D1924" s="63"/>
      <c r="E1924" s="63"/>
      <c r="F1924" s="63" t="s">
        <v>18</v>
      </c>
      <c r="G1924" s="63" t="s">
        <v>15</v>
      </c>
      <c r="H1924" s="62"/>
      <c r="I1924" s="65">
        <v>3657534.48</v>
      </c>
      <c r="J1924" s="65">
        <v>1609223.6645251778</v>
      </c>
      <c r="K1924" s="62"/>
      <c r="L1924" s="65">
        <v>3657534.48</v>
      </c>
      <c r="M1924" s="65">
        <v>2048310.8154748222</v>
      </c>
      <c r="N1924" s="65">
        <v>1609223.6645251778</v>
      </c>
      <c r="P1924">
        <f t="shared" si="100"/>
        <v>105</v>
      </c>
      <c r="Q1924" t="str">
        <f t="shared" si="101"/>
        <v>SG</v>
      </c>
      <c r="R1924" t="str">
        <f>IF(ISERROR(MATCH(P1924&amp;"."&amp;Q1924,R$5:R1923,0)),P1924&amp;"."&amp;Q1924,P1924&amp;"."&amp;Q1924&amp;COUNTIFS(P$5:P1923,P1924,Q$5:Q1923,Q1924))</f>
        <v>105.SG1</v>
      </c>
      <c r="S1924" s="55">
        <f t="shared" si="102"/>
        <v>1609223.6645251778</v>
      </c>
    </row>
    <row r="1925" spans="1:19" hidden="1">
      <c r="A1925" s="5">
        <v>1990</v>
      </c>
      <c r="B1925" s="59"/>
      <c r="C1925" s="60"/>
      <c r="D1925" s="61"/>
      <c r="E1925" s="63"/>
      <c r="F1925" s="63" t="s">
        <v>13</v>
      </c>
      <c r="G1925" s="63" t="s">
        <v>15</v>
      </c>
      <c r="H1925" s="62"/>
      <c r="I1925" s="65">
        <v>8923301.5399999991</v>
      </c>
      <c r="J1925" s="65">
        <v>3926029.4283984331</v>
      </c>
      <c r="K1925" s="62"/>
      <c r="L1925" s="65">
        <v>8923301.5399999991</v>
      </c>
      <c r="M1925" s="65">
        <v>4997272.111601566</v>
      </c>
      <c r="N1925" s="65">
        <v>3926029.4283984331</v>
      </c>
      <c r="P1925">
        <f t="shared" si="100"/>
        <v>105</v>
      </c>
      <c r="Q1925" t="str">
        <f t="shared" si="101"/>
        <v>SG</v>
      </c>
      <c r="R1925" t="str">
        <f>IF(ISERROR(MATCH(P1925&amp;"."&amp;Q1925,R$5:R1924,0)),P1925&amp;"."&amp;Q1925,P1925&amp;"."&amp;Q1925&amp;COUNTIFS(P$5:P1924,P1925,Q$5:Q1924,Q1925))</f>
        <v>105.SG2</v>
      </c>
      <c r="S1925" s="55">
        <f t="shared" si="102"/>
        <v>3926029.4283984331</v>
      </c>
    </row>
    <row r="1926" spans="1:19" hidden="1">
      <c r="A1926" s="5">
        <v>1991</v>
      </c>
      <c r="B1926" s="59"/>
      <c r="C1926" s="60"/>
      <c r="D1926" s="63"/>
      <c r="E1926" s="63"/>
      <c r="F1926" s="60" t="s">
        <v>13</v>
      </c>
      <c r="G1926" s="61" t="s">
        <v>16</v>
      </c>
      <c r="H1926" s="62"/>
      <c r="I1926" s="65">
        <v>0</v>
      </c>
      <c r="J1926" s="65">
        <v>0</v>
      </c>
      <c r="K1926" s="62"/>
      <c r="L1926" s="65">
        <v>0</v>
      </c>
      <c r="M1926" s="65">
        <v>0</v>
      </c>
      <c r="N1926" s="64">
        <v>0</v>
      </c>
      <c r="P1926">
        <f t="shared" si="100"/>
        <v>105</v>
      </c>
      <c r="Q1926" t="str">
        <f t="shared" si="101"/>
        <v>SE</v>
      </c>
      <c r="R1926" t="str">
        <f>IF(ISERROR(MATCH(P1926&amp;"."&amp;Q1926,R$5:R1925,0)),P1926&amp;"."&amp;Q1926,P1926&amp;"."&amp;Q1926&amp;COUNTIFS(P$5:P1925,P1926,Q$5:Q1925,Q1926))</f>
        <v>105.SE</v>
      </c>
      <c r="S1926" s="55">
        <f t="shared" si="102"/>
        <v>0</v>
      </c>
    </row>
    <row r="1927" spans="1:19" ht="15.75" hidden="1" thickBot="1">
      <c r="A1927" s="5">
        <v>1992</v>
      </c>
      <c r="B1927" s="59"/>
      <c r="C1927" s="45"/>
      <c r="D1927" s="63"/>
      <c r="E1927" s="63"/>
      <c r="F1927" s="63" t="s">
        <v>164</v>
      </c>
      <c r="G1927" s="63" t="s">
        <v>15</v>
      </c>
      <c r="H1927" s="41"/>
      <c r="I1927" s="92">
        <v>0</v>
      </c>
      <c r="J1927" s="92">
        <v>0</v>
      </c>
      <c r="K1927" s="41"/>
      <c r="L1927" s="92">
        <v>-11155674.720000001</v>
      </c>
      <c r="M1927" s="92">
        <v>-6247456.943425742</v>
      </c>
      <c r="N1927" s="92">
        <v>-4908217.7765742587</v>
      </c>
      <c r="P1927">
        <f t="shared" ref="P1927:P1990" si="103">IF(OR(C1927="",C1927=" ",C1927="  ",C1927="   "),P1926,C1927)</f>
        <v>105</v>
      </c>
      <c r="Q1927" t="str">
        <f t="shared" ref="Q1927:Q1990" si="104">IF(G1927="","NA",G1927)</f>
        <v>SG</v>
      </c>
      <c r="R1927" t="str">
        <f>IF(ISERROR(MATCH(P1927&amp;"."&amp;Q1927,R$5:R1926,0)),P1927&amp;"."&amp;Q1927,P1927&amp;"."&amp;Q1927&amp;COUNTIFS(P$5:P1926,P1927,Q$5:Q1926,Q1927))</f>
        <v>105.SG3</v>
      </c>
      <c r="S1927" s="55">
        <f t="shared" si="102"/>
        <v>-4908217.7765742587</v>
      </c>
    </row>
    <row r="1928" spans="1:19" hidden="1">
      <c r="A1928" s="5">
        <v>1993</v>
      </c>
      <c r="B1928" s="59"/>
      <c r="C1928" s="60"/>
      <c r="D1928" s="63"/>
      <c r="E1928" s="63"/>
      <c r="F1928" s="63"/>
      <c r="G1928" s="63"/>
      <c r="H1928" s="62"/>
      <c r="I1928" s="65"/>
      <c r="J1928" s="65"/>
      <c r="K1928" s="62"/>
      <c r="L1928" s="65"/>
      <c r="M1928" s="65"/>
      <c r="N1928" s="65"/>
      <c r="P1928">
        <f t="shared" si="103"/>
        <v>105</v>
      </c>
      <c r="Q1928" t="str">
        <f t="shared" si="104"/>
        <v>NA</v>
      </c>
      <c r="R1928" t="str">
        <f>IF(ISERROR(MATCH(P1928&amp;"."&amp;Q1928,R$5:R1927,0)),P1928&amp;"."&amp;Q1928,P1928&amp;"."&amp;Q1928&amp;COUNTIFS(P$5:P1927,P1928,Q$5:Q1927,Q1928))</f>
        <v>105.NA1</v>
      </c>
      <c r="S1928" s="55">
        <f t="shared" ref="S1928:S1991" si="105">N1928</f>
        <v>0</v>
      </c>
    </row>
    <row r="1929" spans="1:19" hidden="1">
      <c r="A1929" s="5">
        <v>1994</v>
      </c>
      <c r="B1929" s="59"/>
      <c r="C1929" s="60"/>
      <c r="D1929" s="61"/>
      <c r="E1929" s="63"/>
      <c r="F1929" s="63"/>
      <c r="G1929" s="63"/>
      <c r="H1929" s="62"/>
      <c r="I1929" s="65"/>
      <c r="J1929" s="65"/>
      <c r="K1929" s="62"/>
      <c r="L1929" s="65"/>
      <c r="M1929" s="65"/>
      <c r="N1929" s="65"/>
      <c r="P1929">
        <f t="shared" si="103"/>
        <v>105</v>
      </c>
      <c r="Q1929" t="str">
        <f t="shared" si="104"/>
        <v>NA</v>
      </c>
      <c r="R1929" t="str">
        <f>IF(ISERROR(MATCH(P1929&amp;"."&amp;Q1929,R$5:R1928,0)),P1929&amp;"."&amp;Q1929,P1929&amp;"."&amp;Q1929&amp;COUNTIFS(P$5:P1928,P1929,Q$5:Q1928,Q1929))</f>
        <v>105.NA2</v>
      </c>
      <c r="S1929" s="55">
        <f t="shared" si="105"/>
        <v>0</v>
      </c>
    </row>
    <row r="1930" spans="1:19" hidden="1">
      <c r="A1930" s="5">
        <v>1995</v>
      </c>
      <c r="B1930" s="59"/>
      <c r="C1930" s="60" t="s">
        <v>591</v>
      </c>
      <c r="D1930" s="63"/>
      <c r="E1930" s="63"/>
      <c r="F1930" s="60"/>
      <c r="G1930" s="61"/>
      <c r="H1930" s="62" t="s">
        <v>592</v>
      </c>
      <c r="I1930" s="65">
        <v>26174621.175384618</v>
      </c>
      <c r="J1930" s="65">
        <v>11265781.74292361</v>
      </c>
      <c r="K1930" s="62"/>
      <c r="L1930" s="65">
        <v>15018946.455384618</v>
      </c>
      <c r="M1930" s="65">
        <v>8661382.4890352674</v>
      </c>
      <c r="N1930" s="64">
        <v>6357563.9663493512</v>
      </c>
      <c r="P1930" t="str">
        <f t="shared" si="103"/>
        <v>Total Plant Held For Future Use</v>
      </c>
      <c r="Q1930" t="str">
        <f t="shared" si="104"/>
        <v>NA</v>
      </c>
      <c r="R1930" t="str">
        <f>IF(ISERROR(MATCH(P1930&amp;"."&amp;Q1930,R$5:R1929,0)),P1930&amp;"."&amp;Q1930,P1930&amp;"."&amp;Q1930&amp;COUNTIFS(P$5:P1929,P1930,Q$5:Q1929,Q1930))</f>
        <v>Total Plant Held For Future Use.NA</v>
      </c>
      <c r="S1930" s="55">
        <f t="shared" si="105"/>
        <v>6357563.9663493512</v>
      </c>
    </row>
    <row r="1931" spans="1:19" hidden="1">
      <c r="A1931" s="5">
        <v>1996</v>
      </c>
      <c r="B1931" s="59"/>
      <c r="C1931" s="60"/>
      <c r="D1931" s="63"/>
      <c r="E1931" s="63"/>
      <c r="F1931" s="60"/>
      <c r="G1931" s="61"/>
      <c r="H1931" s="62"/>
      <c r="I1931" s="65"/>
      <c r="J1931" s="65"/>
      <c r="K1931" s="62"/>
      <c r="L1931" s="65"/>
      <c r="M1931" s="65" t="s">
        <v>141</v>
      </c>
      <c r="N1931" s="64"/>
      <c r="P1931" t="str">
        <f t="shared" si="103"/>
        <v>Total Plant Held For Future Use</v>
      </c>
      <c r="Q1931" t="str">
        <f t="shared" si="104"/>
        <v>NA</v>
      </c>
      <c r="R1931" t="str">
        <f>IF(ISERROR(MATCH(P1931&amp;"."&amp;Q1931,R$5:R1930,0)),P1931&amp;"."&amp;Q1931,P1931&amp;"."&amp;Q1931&amp;COUNTIFS(P$5:P1930,P1931,Q$5:Q1930,Q1931))</f>
        <v>Total Plant Held For Future Use.NA1</v>
      </c>
      <c r="S1931" s="55">
        <f t="shared" si="105"/>
        <v>0</v>
      </c>
    </row>
    <row r="1932" spans="1:19" ht="15.75" hidden="1" thickBot="1">
      <c r="A1932" s="5">
        <v>1997</v>
      </c>
      <c r="B1932" s="59"/>
      <c r="C1932" s="60">
        <v>114</v>
      </c>
      <c r="D1932" s="63" t="s">
        <v>593</v>
      </c>
      <c r="E1932" s="63"/>
      <c r="F1932" s="63"/>
      <c r="G1932" s="63"/>
      <c r="H1932" s="62"/>
      <c r="I1932" s="81"/>
      <c r="J1932" s="81"/>
      <c r="K1932" s="62"/>
      <c r="L1932" s="81"/>
      <c r="M1932" s="81"/>
      <c r="N1932" s="81"/>
      <c r="P1932">
        <f t="shared" si="103"/>
        <v>114</v>
      </c>
      <c r="Q1932" t="str">
        <f t="shared" si="104"/>
        <v>NA</v>
      </c>
      <c r="R1932" t="str">
        <f>IF(ISERROR(MATCH(P1932&amp;"."&amp;Q1932,R$5:R1931,0)),P1932&amp;"."&amp;Q1932,P1932&amp;"."&amp;Q1932&amp;COUNTIFS(P$5:P1931,P1932,Q$5:Q1931,Q1932))</f>
        <v>114.NA</v>
      </c>
      <c r="S1932" s="55">
        <f t="shared" si="105"/>
        <v>0</v>
      </c>
    </row>
    <row r="1933" spans="1:19" hidden="1">
      <c r="A1933" s="5">
        <v>1998</v>
      </c>
      <c r="B1933" s="59"/>
      <c r="C1933" s="60"/>
      <c r="D1933" s="63"/>
      <c r="E1933" s="63"/>
      <c r="F1933" s="63" t="s">
        <v>13</v>
      </c>
      <c r="G1933" s="63" t="s">
        <v>12</v>
      </c>
      <c r="H1933" s="62"/>
      <c r="I1933" s="65">
        <v>11763783.68</v>
      </c>
      <c r="J1933" s="65">
        <v>11763783.68</v>
      </c>
      <c r="K1933" s="62"/>
      <c r="L1933" s="65">
        <v>11763783.68</v>
      </c>
      <c r="M1933" s="65">
        <v>0</v>
      </c>
      <c r="N1933" s="65">
        <v>11763783.68</v>
      </c>
      <c r="P1933">
        <f t="shared" si="103"/>
        <v>114</v>
      </c>
      <c r="Q1933" t="str">
        <f t="shared" si="104"/>
        <v>S</v>
      </c>
      <c r="R1933" t="str">
        <f>IF(ISERROR(MATCH(P1933&amp;"."&amp;Q1933,R$5:R1932,0)),P1933&amp;"."&amp;Q1933,P1933&amp;"."&amp;Q1933&amp;COUNTIFS(P$5:P1932,P1933,Q$5:Q1932,Q1933))</f>
        <v>114.S</v>
      </c>
      <c r="S1933" s="55">
        <f t="shared" si="105"/>
        <v>11763783.68</v>
      </c>
    </row>
    <row r="1934" spans="1:19" hidden="1">
      <c r="A1934" s="5">
        <v>1999</v>
      </c>
      <c r="B1934" s="59"/>
      <c r="C1934" s="60"/>
      <c r="D1934" s="61"/>
      <c r="E1934" s="63"/>
      <c r="F1934" s="63" t="s">
        <v>13</v>
      </c>
      <c r="G1934" s="63" t="s">
        <v>15</v>
      </c>
      <c r="H1934" s="62"/>
      <c r="I1934" s="65">
        <v>144704699.05000001</v>
      </c>
      <c r="J1934" s="65">
        <v>63666447.26183252</v>
      </c>
      <c r="K1934" s="62"/>
      <c r="L1934" s="65">
        <v>144704699.05000001</v>
      </c>
      <c r="M1934" s="65">
        <v>81038251.788167492</v>
      </c>
      <c r="N1934" s="65">
        <v>63666447.26183252</v>
      </c>
      <c r="P1934">
        <f t="shared" si="103"/>
        <v>114</v>
      </c>
      <c r="Q1934" t="str">
        <f t="shared" si="104"/>
        <v>SG</v>
      </c>
      <c r="R1934" t="str">
        <f>IF(ISERROR(MATCH(P1934&amp;"."&amp;Q1934,R$5:R1933,0)),P1934&amp;"."&amp;Q1934,P1934&amp;"."&amp;Q1934&amp;COUNTIFS(P$5:P1933,P1934,Q$5:Q1933,Q1934))</f>
        <v>114.SG</v>
      </c>
      <c r="S1934" s="55">
        <f t="shared" si="105"/>
        <v>63666447.26183252</v>
      </c>
    </row>
    <row r="1935" spans="1:19" hidden="1">
      <c r="A1935" s="5">
        <v>2000</v>
      </c>
      <c r="B1935" s="59"/>
      <c r="C1935" s="60"/>
      <c r="D1935" s="63"/>
      <c r="E1935" s="63"/>
      <c r="F1935" s="60" t="s">
        <v>13</v>
      </c>
      <c r="G1935" s="61" t="s">
        <v>15</v>
      </c>
      <c r="H1935" s="62"/>
      <c r="I1935" s="65">
        <v>0</v>
      </c>
      <c r="J1935" s="65">
        <v>0</v>
      </c>
      <c r="K1935" s="62"/>
      <c r="L1935" s="65">
        <v>0</v>
      </c>
      <c r="M1935" s="65">
        <v>0</v>
      </c>
      <c r="N1935" s="64">
        <v>0</v>
      </c>
      <c r="P1935">
        <f t="shared" si="103"/>
        <v>114</v>
      </c>
      <c r="Q1935" t="str">
        <f t="shared" si="104"/>
        <v>SG</v>
      </c>
      <c r="R1935" t="str">
        <f>IF(ISERROR(MATCH(P1935&amp;"."&amp;Q1935,R$5:R1934,0)),P1935&amp;"."&amp;Q1935,P1935&amp;"."&amp;Q1935&amp;COUNTIFS(P$5:P1934,P1935,Q$5:Q1934,Q1935))</f>
        <v>114.SG1</v>
      </c>
      <c r="S1935" s="55">
        <f t="shared" si="105"/>
        <v>0</v>
      </c>
    </row>
    <row r="1936" spans="1:19" hidden="1">
      <c r="A1936" s="5">
        <v>2001</v>
      </c>
      <c r="B1936" s="59"/>
      <c r="C1936" s="60" t="s">
        <v>594</v>
      </c>
      <c r="D1936" s="63"/>
      <c r="E1936" s="63"/>
      <c r="F1936" s="60"/>
      <c r="G1936" s="61"/>
      <c r="H1936" s="62" t="s">
        <v>595</v>
      </c>
      <c r="I1936" s="65">
        <v>156468482.73000002</v>
      </c>
      <c r="J1936" s="65">
        <v>75430230.941832513</v>
      </c>
      <c r="K1936" s="62"/>
      <c r="L1936" s="65">
        <v>156468482.73000002</v>
      </c>
      <c r="M1936" s="65">
        <v>81038251.788167492</v>
      </c>
      <c r="N1936" s="64">
        <v>75430230.941832513</v>
      </c>
      <c r="P1936" t="str">
        <f t="shared" si="103"/>
        <v>Total Electric Plant Acquisition Adjustment</v>
      </c>
      <c r="Q1936" t="str">
        <f t="shared" si="104"/>
        <v>NA</v>
      </c>
      <c r="R1936" t="str">
        <f>IF(ISERROR(MATCH(P1936&amp;"."&amp;Q1936,R$5:R1935,0)),P1936&amp;"."&amp;Q1936,P1936&amp;"."&amp;Q1936&amp;COUNTIFS(P$5:P1935,P1936,Q$5:Q1935,Q1936))</f>
        <v>Total Electric Plant Acquisition Adjustment.NA</v>
      </c>
      <c r="S1936" s="55">
        <f t="shared" si="105"/>
        <v>75430230.941832513</v>
      </c>
    </row>
    <row r="1937" spans="1:19" hidden="1">
      <c r="A1937" s="5">
        <v>2002</v>
      </c>
      <c r="B1937" s="59"/>
      <c r="C1937" s="60"/>
      <c r="D1937" s="63"/>
      <c r="E1937" s="63"/>
      <c r="F1937" s="60"/>
      <c r="G1937" s="61"/>
      <c r="H1937" s="62"/>
      <c r="I1937" s="65"/>
      <c r="J1937" s="65"/>
      <c r="K1937" s="62"/>
      <c r="L1937" s="65"/>
      <c r="M1937" s="65"/>
      <c r="N1937" s="64"/>
      <c r="P1937" t="str">
        <f t="shared" si="103"/>
        <v>Total Electric Plant Acquisition Adjustment</v>
      </c>
      <c r="Q1937" t="str">
        <f t="shared" si="104"/>
        <v>NA</v>
      </c>
      <c r="R1937" t="str">
        <f>IF(ISERROR(MATCH(P1937&amp;"."&amp;Q1937,R$5:R1936,0)),P1937&amp;"."&amp;Q1937,P1937&amp;"."&amp;Q1937&amp;COUNTIFS(P$5:P1936,P1937,Q$5:Q1936,Q1937))</f>
        <v>Total Electric Plant Acquisition Adjustment.NA1</v>
      </c>
      <c r="S1937" s="55">
        <f t="shared" si="105"/>
        <v>0</v>
      </c>
    </row>
    <row r="1938" spans="1:19" hidden="1">
      <c r="A1938" s="5">
        <v>2003</v>
      </c>
      <c r="B1938" s="59"/>
      <c r="C1938" s="60">
        <v>115</v>
      </c>
      <c r="D1938" s="63" t="s">
        <v>596</v>
      </c>
      <c r="E1938" s="63"/>
      <c r="F1938" s="60"/>
      <c r="G1938" s="61"/>
      <c r="H1938" s="62"/>
      <c r="I1938" s="65"/>
      <c r="J1938" s="65"/>
      <c r="K1938" s="62"/>
      <c r="L1938" s="65"/>
      <c r="M1938" s="65"/>
      <c r="N1938" s="64"/>
      <c r="P1938">
        <f t="shared" si="103"/>
        <v>115</v>
      </c>
      <c r="Q1938" t="str">
        <f t="shared" si="104"/>
        <v>NA</v>
      </c>
      <c r="R1938" t="str">
        <f>IF(ISERROR(MATCH(P1938&amp;"."&amp;Q1938,R$5:R1937,0)),P1938&amp;"."&amp;Q1938,P1938&amp;"."&amp;Q1938&amp;COUNTIFS(P$5:P1937,P1938,Q$5:Q1937,Q1938))</f>
        <v>115.NA</v>
      </c>
      <c r="S1938" s="55">
        <f t="shared" si="105"/>
        <v>0</v>
      </c>
    </row>
    <row r="1939" spans="1:19" ht="15.75" hidden="1" thickBot="1">
      <c r="A1939" s="5">
        <v>2004</v>
      </c>
      <c r="B1939" s="59"/>
      <c r="C1939" s="60"/>
      <c r="D1939" s="63"/>
      <c r="E1939" s="63"/>
      <c r="F1939" s="63" t="s">
        <v>13</v>
      </c>
      <c r="G1939" s="63" t="s">
        <v>12</v>
      </c>
      <c r="H1939" s="62"/>
      <c r="I1939" s="81">
        <v>-1294270.3899999999</v>
      </c>
      <c r="J1939" s="81">
        <v>-1294270.3899999999</v>
      </c>
      <c r="K1939" s="62"/>
      <c r="L1939" s="81">
        <v>-1897541.3500000008</v>
      </c>
      <c r="M1939" s="81">
        <v>0</v>
      </c>
      <c r="N1939" s="81">
        <v>-1897541.3500000008</v>
      </c>
      <c r="P1939">
        <f t="shared" si="103"/>
        <v>115</v>
      </c>
      <c r="Q1939" t="str">
        <f t="shared" si="104"/>
        <v>S</v>
      </c>
      <c r="R1939" t="str">
        <f>IF(ISERROR(MATCH(P1939&amp;"."&amp;Q1939,R$5:R1938,0)),P1939&amp;"."&amp;Q1939,P1939&amp;"."&amp;Q1939&amp;COUNTIFS(P$5:P1938,P1939,Q$5:Q1938,Q1939))</f>
        <v>115.S</v>
      </c>
      <c r="S1939" s="55">
        <f t="shared" si="105"/>
        <v>-1897541.3500000008</v>
      </c>
    </row>
    <row r="1940" spans="1:19" hidden="1">
      <c r="A1940" s="5">
        <v>2005</v>
      </c>
      <c r="B1940" s="59"/>
      <c r="C1940" s="60"/>
      <c r="D1940" s="63"/>
      <c r="E1940" s="63"/>
      <c r="F1940" s="63" t="s">
        <v>13</v>
      </c>
      <c r="G1940" s="63" t="s">
        <v>15</v>
      </c>
      <c r="H1940" s="62"/>
      <c r="I1940" s="69">
        <v>-128417358.419231</v>
      </c>
      <c r="J1940" s="69">
        <v>-56500424.872013263</v>
      </c>
      <c r="K1940" s="62"/>
      <c r="L1940" s="69">
        <v>-137980477.13923103</v>
      </c>
      <c r="M1940" s="65">
        <v>-77272519.286998868</v>
      </c>
      <c r="N1940" s="65">
        <v>-60707957.852232166</v>
      </c>
      <c r="P1940">
        <f t="shared" si="103"/>
        <v>115</v>
      </c>
      <c r="Q1940" t="str">
        <f t="shared" si="104"/>
        <v>SG</v>
      </c>
      <c r="R1940" t="str">
        <f>IF(ISERROR(MATCH(P1940&amp;"."&amp;Q1940,R$5:R1939,0)),P1940&amp;"."&amp;Q1940,P1940&amp;"."&amp;Q1940&amp;COUNTIFS(P$5:P1939,P1940,Q$5:Q1939,Q1940))</f>
        <v>115.SG</v>
      </c>
      <c r="S1940" s="55">
        <f t="shared" si="105"/>
        <v>-60707957.852232166</v>
      </c>
    </row>
    <row r="1941" spans="1:19" hidden="1">
      <c r="A1941" s="5">
        <v>2006</v>
      </c>
      <c r="B1941" s="59"/>
      <c r="C1941" s="60"/>
      <c r="D1941" s="61"/>
      <c r="E1941" s="63"/>
      <c r="F1941" s="63" t="s">
        <v>13</v>
      </c>
      <c r="G1941" s="63" t="s">
        <v>15</v>
      </c>
      <c r="H1941" s="62"/>
      <c r="I1941" s="65">
        <v>0</v>
      </c>
      <c r="J1941" s="65">
        <v>0</v>
      </c>
      <c r="K1941" s="62"/>
      <c r="L1941" s="65">
        <v>0</v>
      </c>
      <c r="M1941" s="65">
        <v>0</v>
      </c>
      <c r="N1941" s="65">
        <v>0</v>
      </c>
      <c r="P1941">
        <f t="shared" si="103"/>
        <v>115</v>
      </c>
      <c r="Q1941" t="str">
        <f t="shared" si="104"/>
        <v>SG</v>
      </c>
      <c r="R1941" t="str">
        <f>IF(ISERROR(MATCH(P1941&amp;"."&amp;Q1941,R$5:R1940,0)),P1941&amp;"."&amp;Q1941,P1941&amp;"."&amp;Q1941&amp;COUNTIFS(P$5:P1940,P1941,Q$5:Q1940,Q1941))</f>
        <v>115.SG1</v>
      </c>
      <c r="S1941" s="55">
        <f t="shared" si="105"/>
        <v>0</v>
      </c>
    </row>
    <row r="1942" spans="1:19" hidden="1">
      <c r="A1942" s="5">
        <v>2007</v>
      </c>
      <c r="B1942" s="59"/>
      <c r="C1942" s="60"/>
      <c r="D1942" s="63"/>
      <c r="E1942" s="63"/>
      <c r="F1942" s="60"/>
      <c r="G1942" s="61"/>
      <c r="H1942" s="62" t="s">
        <v>595</v>
      </c>
      <c r="I1942" s="65">
        <v>-129711628.809231</v>
      </c>
      <c r="J1942" s="65">
        <v>-57794695.262013264</v>
      </c>
      <c r="K1942" s="62"/>
      <c r="L1942" s="65">
        <v>-139878018.48923102</v>
      </c>
      <c r="M1942" s="65">
        <v>-77272519.286998868</v>
      </c>
      <c r="N1942" s="64">
        <v>-62605499.202232167</v>
      </c>
      <c r="P1942">
        <f t="shared" si="103"/>
        <v>115</v>
      </c>
      <c r="Q1942" t="str">
        <f t="shared" si="104"/>
        <v>NA</v>
      </c>
      <c r="R1942" t="str">
        <f>IF(ISERROR(MATCH(P1942&amp;"."&amp;Q1942,R$5:R1941,0)),P1942&amp;"."&amp;Q1942,P1942&amp;"."&amp;Q1942&amp;COUNTIFS(P$5:P1941,P1942,Q$5:Q1941,Q1942))</f>
        <v>115.NA1</v>
      </c>
      <c r="S1942" s="55">
        <f t="shared" si="105"/>
        <v>-62605499.202232167</v>
      </c>
    </row>
    <row r="1943" spans="1:19" hidden="1">
      <c r="A1943" s="5">
        <v>2008</v>
      </c>
      <c r="B1943" s="59"/>
      <c r="C1943" s="60"/>
      <c r="D1943" s="63"/>
      <c r="E1943" s="63"/>
      <c r="F1943" s="60"/>
      <c r="G1943" s="61"/>
      <c r="H1943" s="62"/>
      <c r="I1943" s="65"/>
      <c r="J1943" s="65"/>
      <c r="K1943" s="62"/>
      <c r="L1943" s="65"/>
      <c r="M1943" s="65"/>
      <c r="N1943" s="64"/>
      <c r="P1943">
        <f t="shared" si="103"/>
        <v>115</v>
      </c>
      <c r="Q1943" t="str">
        <f t="shared" si="104"/>
        <v>NA</v>
      </c>
      <c r="R1943" t="str">
        <f>IF(ISERROR(MATCH(P1943&amp;"."&amp;Q1943,R$5:R1942,0)),P1943&amp;"."&amp;Q1943,P1943&amp;"."&amp;Q1943&amp;COUNTIFS(P$5:P1942,P1943,Q$5:Q1942,Q1943))</f>
        <v>115.NA2</v>
      </c>
      <c r="S1943" s="55">
        <f t="shared" si="105"/>
        <v>0</v>
      </c>
    </row>
    <row r="1944" spans="1:19" hidden="1">
      <c r="A1944" s="5">
        <v>2009</v>
      </c>
      <c r="B1944" s="59"/>
      <c r="C1944" s="60">
        <v>128</v>
      </c>
      <c r="D1944" s="63" t="s">
        <v>597</v>
      </c>
      <c r="E1944" s="63"/>
      <c r="F1944" s="60"/>
      <c r="G1944" s="61"/>
      <c r="H1944" s="62"/>
      <c r="I1944" s="65"/>
      <c r="J1944" s="65"/>
      <c r="K1944" s="62"/>
      <c r="L1944" s="65"/>
      <c r="M1944" s="65"/>
      <c r="N1944" s="64"/>
      <c r="P1944">
        <f t="shared" si="103"/>
        <v>128</v>
      </c>
      <c r="Q1944" t="str">
        <f t="shared" si="104"/>
        <v>NA</v>
      </c>
      <c r="R1944" t="str">
        <f>IF(ISERROR(MATCH(P1944&amp;"."&amp;Q1944,R$5:R1943,0)),P1944&amp;"."&amp;Q1944,P1944&amp;"."&amp;Q1944&amp;COUNTIFS(P$5:P1943,P1944,Q$5:Q1943,Q1944))</f>
        <v>128.NA</v>
      </c>
      <c r="S1944" s="55">
        <f t="shared" si="105"/>
        <v>0</v>
      </c>
    </row>
    <row r="1945" spans="1:19" hidden="1">
      <c r="A1945" s="5">
        <v>2010</v>
      </c>
      <c r="B1945" s="59"/>
      <c r="C1945" s="60"/>
      <c r="D1945" s="63"/>
      <c r="E1945" s="63"/>
      <c r="F1945" s="60" t="s">
        <v>361</v>
      </c>
      <c r="G1945" s="61" t="s">
        <v>136</v>
      </c>
      <c r="H1945" s="62"/>
      <c r="I1945" s="65">
        <v>4464715.6653846204</v>
      </c>
      <c r="J1945" s="65">
        <v>1937620.99372842</v>
      </c>
      <c r="K1945" s="62"/>
      <c r="L1945" s="65">
        <v>34843255.695500448</v>
      </c>
      <c r="M1945" s="65">
        <v>19618662.224647101</v>
      </c>
      <c r="N1945" s="64">
        <v>15224593.470853347</v>
      </c>
      <c r="P1945">
        <f t="shared" si="103"/>
        <v>128</v>
      </c>
      <c r="Q1945" t="str">
        <f t="shared" si="104"/>
        <v>SO</v>
      </c>
      <c r="R1945" t="str">
        <f>IF(ISERROR(MATCH(P1945&amp;"."&amp;Q1945,R$5:R1944,0)),P1945&amp;"."&amp;Q1945,P1945&amp;"."&amp;Q1945&amp;COUNTIFS(P$5:P1944,P1945,Q$5:Q1944,Q1945))</f>
        <v>128.SO</v>
      </c>
      <c r="S1945" s="55">
        <f t="shared" si="105"/>
        <v>15224593.470853347</v>
      </c>
    </row>
    <row r="1946" spans="1:19" hidden="1">
      <c r="A1946" s="5">
        <v>2011</v>
      </c>
      <c r="B1946" s="59"/>
      <c r="C1946" s="60" t="s">
        <v>598</v>
      </c>
      <c r="D1946" s="63"/>
      <c r="E1946" s="63"/>
      <c r="F1946" s="60"/>
      <c r="G1946" s="61"/>
      <c r="H1946" s="62" t="s">
        <v>595</v>
      </c>
      <c r="I1946" s="65">
        <v>4464715.6653846204</v>
      </c>
      <c r="J1946" s="65">
        <v>1937620.99372842</v>
      </c>
      <c r="K1946" s="62"/>
      <c r="L1946" s="65">
        <v>34843255.695500448</v>
      </c>
      <c r="M1946" s="65">
        <v>19618662.224647101</v>
      </c>
      <c r="N1946" s="64">
        <v>15224593.470853347</v>
      </c>
      <c r="P1946" t="str">
        <f t="shared" si="103"/>
        <v>Total Pensions</v>
      </c>
      <c r="Q1946" t="str">
        <f t="shared" si="104"/>
        <v>NA</v>
      </c>
      <c r="R1946" t="str">
        <f>IF(ISERROR(MATCH(P1946&amp;"."&amp;Q1946,R$5:R1945,0)),P1946&amp;"."&amp;Q1946,P1946&amp;"."&amp;Q1946&amp;COUNTIFS(P$5:P1945,P1946,Q$5:Q1945,Q1946))</f>
        <v>Total Pensions.NA</v>
      </c>
      <c r="S1946" s="55">
        <f t="shared" si="105"/>
        <v>15224593.470853347</v>
      </c>
    </row>
    <row r="1947" spans="1:19" ht="15.75" hidden="1" thickBot="1">
      <c r="A1947" s="5">
        <v>2012</v>
      </c>
      <c r="B1947" s="59"/>
      <c r="C1947" s="60"/>
      <c r="D1947" s="63"/>
      <c r="E1947" s="63"/>
      <c r="F1947" s="63"/>
      <c r="G1947" s="63"/>
      <c r="H1947" s="62"/>
      <c r="I1947" s="81"/>
      <c r="J1947" s="81"/>
      <c r="K1947" s="62"/>
      <c r="L1947" s="81"/>
      <c r="M1947" s="81"/>
      <c r="N1947" s="81"/>
      <c r="P1947" t="str">
        <f t="shared" si="103"/>
        <v>Total Pensions</v>
      </c>
      <c r="Q1947" t="str">
        <f t="shared" si="104"/>
        <v>NA</v>
      </c>
      <c r="R1947" t="str">
        <f>IF(ISERROR(MATCH(P1947&amp;"."&amp;Q1947,R$5:R1946,0)),P1947&amp;"."&amp;Q1947,P1947&amp;"."&amp;Q1947&amp;COUNTIFS(P$5:P1946,P1947,Q$5:Q1946,Q1947))</f>
        <v>Total Pensions.NA1</v>
      </c>
      <c r="S1947" s="55">
        <f t="shared" si="105"/>
        <v>0</v>
      </c>
    </row>
    <row r="1948" spans="1:19" hidden="1">
      <c r="A1948" s="5">
        <v>2013</v>
      </c>
      <c r="B1948" s="59"/>
      <c r="C1948" s="60">
        <v>124</v>
      </c>
      <c r="D1948" s="63" t="s">
        <v>599</v>
      </c>
      <c r="E1948" s="63"/>
      <c r="F1948" s="63"/>
      <c r="G1948" s="63"/>
      <c r="H1948" s="62"/>
      <c r="I1948" s="65"/>
      <c r="J1948" s="65"/>
      <c r="K1948" s="62"/>
      <c r="L1948" s="65"/>
      <c r="M1948" s="65"/>
      <c r="N1948" s="65"/>
      <c r="P1948">
        <f t="shared" si="103"/>
        <v>124</v>
      </c>
      <c r="Q1948" t="str">
        <f t="shared" si="104"/>
        <v>NA</v>
      </c>
      <c r="R1948" t="str">
        <f>IF(ISERROR(MATCH(P1948&amp;"."&amp;Q1948,R$5:R1947,0)),P1948&amp;"."&amp;Q1948,P1948&amp;"."&amp;Q1948&amp;COUNTIFS(P$5:P1947,P1948,Q$5:Q1947,Q1948))</f>
        <v>124.NA</v>
      </c>
      <c r="S1948" s="55">
        <f t="shared" si="105"/>
        <v>0</v>
      </c>
    </row>
    <row r="1949" spans="1:19" ht="15.75" hidden="1" thickBot="1">
      <c r="A1949" s="5">
        <v>2014</v>
      </c>
      <c r="B1949" s="59"/>
      <c r="C1949" s="40"/>
      <c r="D1949" s="63"/>
      <c r="E1949" s="63"/>
      <c r="F1949" s="63" t="s">
        <v>154</v>
      </c>
      <c r="G1949" s="63" t="s">
        <v>12</v>
      </c>
      <c r="H1949" s="41"/>
      <c r="I1949" s="68">
        <v>789161.65923076891</v>
      </c>
      <c r="J1949" s="68">
        <v>4492.45</v>
      </c>
      <c r="K1949" s="41"/>
      <c r="L1949" s="68">
        <v>784669.20923076896</v>
      </c>
      <c r="M1949" s="68">
        <v>784669.20923076896</v>
      </c>
      <c r="N1949" s="68">
        <v>0</v>
      </c>
      <c r="P1949">
        <f t="shared" si="103"/>
        <v>124</v>
      </c>
      <c r="Q1949" t="str">
        <f t="shared" si="104"/>
        <v>S</v>
      </c>
      <c r="R1949" t="str">
        <f>IF(ISERROR(MATCH(P1949&amp;"."&amp;Q1949,R$5:R1948,0)),P1949&amp;"."&amp;Q1949,P1949&amp;"."&amp;Q1949&amp;COUNTIFS(P$5:P1948,P1949,Q$5:Q1948,Q1949))</f>
        <v>124.S</v>
      </c>
      <c r="S1949" s="55">
        <f t="shared" si="105"/>
        <v>0</v>
      </c>
    </row>
    <row r="1950" spans="1:19" hidden="1">
      <c r="A1950" s="5">
        <v>2015</v>
      </c>
      <c r="B1950" s="59"/>
      <c r="C1950" s="60"/>
      <c r="D1950" s="63"/>
      <c r="E1950" s="63"/>
      <c r="F1950" s="63" t="s">
        <v>154</v>
      </c>
      <c r="G1950" s="63" t="s">
        <v>136</v>
      </c>
      <c r="H1950" s="62"/>
      <c r="I1950" s="65">
        <v>-5007.95</v>
      </c>
      <c r="J1950" s="65">
        <v>-2173.3767126033358</v>
      </c>
      <c r="K1950" s="62"/>
      <c r="L1950" s="65">
        <v>-1.2100000000000364</v>
      </c>
      <c r="M1950" s="65">
        <v>-0.6812963030572724</v>
      </c>
      <c r="N1950" s="65">
        <v>-0.52870369694276398</v>
      </c>
      <c r="P1950">
        <f t="shared" si="103"/>
        <v>124</v>
      </c>
      <c r="Q1950" t="str">
        <f t="shared" si="104"/>
        <v>SO</v>
      </c>
      <c r="R1950" t="str">
        <f>IF(ISERROR(MATCH(P1950&amp;"."&amp;Q1950,R$5:R1949,0)),P1950&amp;"."&amp;Q1950,P1950&amp;"."&amp;Q1950&amp;COUNTIFS(P$5:P1949,P1950,Q$5:Q1949,Q1950))</f>
        <v>124.SO</v>
      </c>
      <c r="S1950" s="55">
        <f t="shared" si="105"/>
        <v>-0.52870369694276398</v>
      </c>
    </row>
    <row r="1951" spans="1:19" hidden="1">
      <c r="A1951" s="5">
        <v>2016</v>
      </c>
      <c r="B1951" s="59"/>
      <c r="C1951" s="60"/>
      <c r="D1951" s="61"/>
      <c r="E1951" s="63"/>
      <c r="F1951" s="63"/>
      <c r="G1951" s="63"/>
      <c r="H1951" s="62" t="s">
        <v>600</v>
      </c>
      <c r="I1951" s="65">
        <v>784153.70923076896</v>
      </c>
      <c r="J1951" s="65">
        <v>2319.073287396664</v>
      </c>
      <c r="K1951" s="62"/>
      <c r="L1951" s="65">
        <v>784667.999230769</v>
      </c>
      <c r="M1951" s="65">
        <v>784668.52793446591</v>
      </c>
      <c r="N1951" s="65">
        <v>-0.52870369694276398</v>
      </c>
      <c r="P1951">
        <f t="shared" si="103"/>
        <v>124</v>
      </c>
      <c r="Q1951" t="str">
        <f t="shared" si="104"/>
        <v>NA</v>
      </c>
      <c r="R1951" t="str">
        <f>IF(ISERROR(MATCH(P1951&amp;"."&amp;Q1951,R$5:R1950,0)),P1951&amp;"."&amp;Q1951,P1951&amp;"."&amp;Q1951&amp;COUNTIFS(P$5:P1950,P1951,Q$5:Q1950,Q1951))</f>
        <v>124.NA1</v>
      </c>
      <c r="S1951" s="55">
        <f t="shared" si="105"/>
        <v>-0.52870369694276398</v>
      </c>
    </row>
    <row r="1952" spans="1:19" hidden="1">
      <c r="A1952" s="5">
        <v>2017</v>
      </c>
      <c r="B1952" s="59"/>
      <c r="C1952" s="60"/>
      <c r="D1952" s="63"/>
      <c r="E1952" s="63"/>
      <c r="F1952" s="60"/>
      <c r="G1952" s="61"/>
      <c r="H1952" s="62"/>
      <c r="I1952" s="65"/>
      <c r="J1952" s="65"/>
      <c r="K1952" s="62"/>
      <c r="L1952" s="65"/>
      <c r="M1952" s="65"/>
      <c r="N1952" s="64"/>
      <c r="P1952">
        <f t="shared" si="103"/>
        <v>124</v>
      </c>
      <c r="Q1952" t="str">
        <f t="shared" si="104"/>
        <v>NA</v>
      </c>
      <c r="R1952" t="str">
        <f>IF(ISERROR(MATCH(P1952&amp;"."&amp;Q1952,R$5:R1951,0)),P1952&amp;"."&amp;Q1952,P1952&amp;"."&amp;Q1952&amp;COUNTIFS(P$5:P1951,P1952,Q$5:Q1951,Q1952))</f>
        <v>124.NA2</v>
      </c>
      <c r="S1952" s="55">
        <f t="shared" si="105"/>
        <v>0</v>
      </c>
    </row>
    <row r="1953" spans="1:19" hidden="1">
      <c r="A1953" s="5">
        <v>2018</v>
      </c>
      <c r="B1953" s="59"/>
      <c r="C1953" s="60" t="s">
        <v>218</v>
      </c>
      <c r="D1953" s="63" t="s">
        <v>599</v>
      </c>
      <c r="E1953" s="63"/>
      <c r="F1953" s="60"/>
      <c r="G1953" s="61"/>
      <c r="H1953" s="62"/>
      <c r="I1953" s="65"/>
      <c r="J1953" s="65"/>
      <c r="K1953" s="62"/>
      <c r="L1953" s="65"/>
      <c r="M1953" s="65"/>
      <c r="N1953" s="64"/>
      <c r="P1953" t="str">
        <f t="shared" si="103"/>
        <v>182W</v>
      </c>
      <c r="Q1953" t="str">
        <f t="shared" si="104"/>
        <v>NA</v>
      </c>
      <c r="R1953" t="str">
        <f>IF(ISERROR(MATCH(P1953&amp;"."&amp;Q1953,R$5:R1952,0)),P1953&amp;"."&amp;Q1953,P1953&amp;"."&amp;Q1953&amp;COUNTIFS(P$5:P1952,P1953,Q$5:Q1952,Q1953))</f>
        <v>182W.NA</v>
      </c>
      <c r="S1953" s="55">
        <f t="shared" si="105"/>
        <v>0</v>
      </c>
    </row>
    <row r="1954" spans="1:19" hidden="1">
      <c r="A1954" s="5">
        <v>2019</v>
      </c>
      <c r="B1954" s="59"/>
      <c r="C1954" s="60"/>
      <c r="D1954" s="63"/>
      <c r="E1954" s="63"/>
      <c r="F1954" s="60" t="s">
        <v>154</v>
      </c>
      <c r="G1954" s="61" t="s">
        <v>12</v>
      </c>
      <c r="H1954" s="62"/>
      <c r="I1954" s="65">
        <v>-12349608.951538423</v>
      </c>
      <c r="J1954" s="65">
        <v>0</v>
      </c>
      <c r="K1954" s="62"/>
      <c r="L1954" s="65">
        <v>-12349608.951538423</v>
      </c>
      <c r="M1954" s="65">
        <v>-12349608.951538423</v>
      </c>
      <c r="N1954" s="64">
        <v>0</v>
      </c>
      <c r="P1954" t="str">
        <f t="shared" si="103"/>
        <v>182W</v>
      </c>
      <c r="Q1954" t="str">
        <f t="shared" si="104"/>
        <v>S</v>
      </c>
      <c r="R1954" t="str">
        <f>IF(ISERROR(MATCH(P1954&amp;"."&amp;Q1954,R$5:R1953,0)),P1954&amp;"."&amp;Q1954,P1954&amp;"."&amp;Q1954&amp;COUNTIFS(P$5:P1953,P1954,Q$5:Q1953,Q1954))</f>
        <v>182W.S</v>
      </c>
      <c r="S1954" s="55">
        <f t="shared" si="105"/>
        <v>0</v>
      </c>
    </row>
    <row r="1955" spans="1:19" hidden="1">
      <c r="A1955" s="5">
        <v>2020</v>
      </c>
      <c r="B1955" s="59"/>
      <c r="C1955" s="60"/>
      <c r="D1955" s="63"/>
      <c r="E1955" s="63"/>
      <c r="F1955" s="60" t="s">
        <v>154</v>
      </c>
      <c r="G1955" s="61" t="s">
        <v>15</v>
      </c>
      <c r="H1955" s="62"/>
      <c r="I1955" s="65">
        <v>0</v>
      </c>
      <c r="J1955" s="65">
        <v>0</v>
      </c>
      <c r="K1955" s="62"/>
      <c r="L1955" s="65">
        <v>0</v>
      </c>
      <c r="M1955" s="65">
        <v>0</v>
      </c>
      <c r="N1955" s="64">
        <v>0</v>
      </c>
      <c r="P1955" t="str">
        <f t="shared" si="103"/>
        <v>182W</v>
      </c>
      <c r="Q1955" t="str">
        <f t="shared" si="104"/>
        <v>SG</v>
      </c>
      <c r="R1955" t="str">
        <f>IF(ISERROR(MATCH(P1955&amp;"."&amp;Q1955,R$5:R1954,0)),P1955&amp;"."&amp;Q1955,P1955&amp;"."&amp;Q1955&amp;COUNTIFS(P$5:P1954,P1955,Q$5:Q1954,Q1955))</f>
        <v>182W.SG</v>
      </c>
      <c r="S1955" s="55">
        <f t="shared" si="105"/>
        <v>0</v>
      </c>
    </row>
    <row r="1956" spans="1:19" hidden="1">
      <c r="A1956" s="5">
        <v>2021</v>
      </c>
      <c r="B1956" s="59"/>
      <c r="C1956" s="45"/>
      <c r="D1956" s="63"/>
      <c r="E1956" s="63"/>
      <c r="F1956" s="63" t="s">
        <v>154</v>
      </c>
      <c r="G1956" s="63" t="s">
        <v>283</v>
      </c>
      <c r="H1956" s="62"/>
      <c r="I1956" s="66">
        <v>0</v>
      </c>
      <c r="J1956" s="66">
        <v>0</v>
      </c>
      <c r="K1956" s="62"/>
      <c r="L1956" s="66">
        <v>0</v>
      </c>
      <c r="M1956" s="66">
        <v>0</v>
      </c>
      <c r="N1956" s="66">
        <v>0</v>
      </c>
      <c r="P1956" t="str">
        <f t="shared" si="103"/>
        <v>182W</v>
      </c>
      <c r="Q1956" t="str">
        <f t="shared" si="104"/>
        <v>SGCT</v>
      </c>
      <c r="R1956" t="str">
        <f>IF(ISERROR(MATCH(P1956&amp;"."&amp;Q1956,R$5:R1955,0)),P1956&amp;"."&amp;Q1956,P1956&amp;"."&amp;Q1956&amp;COUNTIFS(P$5:P1955,P1956,Q$5:Q1955,Q1956))</f>
        <v>182W.SGCT</v>
      </c>
      <c r="S1956" s="55">
        <f t="shared" si="105"/>
        <v>0</v>
      </c>
    </row>
    <row r="1957" spans="1:19" hidden="1">
      <c r="A1957" s="5">
        <v>2022</v>
      </c>
      <c r="B1957" s="59"/>
      <c r="C1957" s="60"/>
      <c r="D1957" s="63"/>
      <c r="E1957" s="63"/>
      <c r="F1957" s="63" t="s">
        <v>154</v>
      </c>
      <c r="G1957" s="63" t="s">
        <v>136</v>
      </c>
      <c r="H1957" s="62"/>
      <c r="I1957" s="65">
        <v>0</v>
      </c>
      <c r="J1957" s="65">
        <v>0</v>
      </c>
      <c r="K1957" s="62"/>
      <c r="L1957" s="65">
        <v>0</v>
      </c>
      <c r="M1957" s="65">
        <v>0</v>
      </c>
      <c r="N1957" s="65">
        <v>0</v>
      </c>
      <c r="P1957" t="str">
        <f t="shared" si="103"/>
        <v>182W</v>
      </c>
      <c r="Q1957" t="str">
        <f t="shared" si="104"/>
        <v>SO</v>
      </c>
      <c r="R1957" t="str">
        <f>IF(ISERROR(MATCH(P1957&amp;"."&amp;Q1957,R$5:R1956,0)),P1957&amp;"."&amp;Q1957,P1957&amp;"."&amp;Q1957&amp;COUNTIFS(P$5:P1956,P1957,Q$5:Q1956,Q1957))</f>
        <v>182W.SO</v>
      </c>
      <c r="S1957" s="55">
        <f t="shared" si="105"/>
        <v>0</v>
      </c>
    </row>
    <row r="1958" spans="1:19" hidden="1">
      <c r="A1958" s="5">
        <v>2023</v>
      </c>
      <c r="B1958" s="59"/>
      <c r="C1958" s="60"/>
      <c r="D1958" s="61"/>
      <c r="E1958" s="63"/>
      <c r="F1958" s="63"/>
      <c r="G1958" s="63"/>
      <c r="H1958" s="62" t="s">
        <v>600</v>
      </c>
      <c r="I1958" s="65">
        <v>-12349608.951538423</v>
      </c>
      <c r="J1958" s="65">
        <v>0</v>
      </c>
      <c r="K1958" s="62"/>
      <c r="L1958" s="65">
        <v>-12349608.951538423</v>
      </c>
      <c r="M1958" s="65">
        <v>-12349608.951538423</v>
      </c>
      <c r="N1958" s="65">
        <v>0</v>
      </c>
      <c r="P1958" t="str">
        <f t="shared" si="103"/>
        <v>182W</v>
      </c>
      <c r="Q1958" t="str">
        <f t="shared" si="104"/>
        <v>NA</v>
      </c>
      <c r="R1958" t="str">
        <f>IF(ISERROR(MATCH(P1958&amp;"."&amp;Q1958,R$5:R1957,0)),P1958&amp;"."&amp;Q1958,P1958&amp;"."&amp;Q1958&amp;COUNTIFS(P$5:P1957,P1958,Q$5:Q1957,Q1958))</f>
        <v>182W.NA1</v>
      </c>
      <c r="S1958" s="55">
        <f t="shared" si="105"/>
        <v>0</v>
      </c>
    </row>
    <row r="1959" spans="1:19" hidden="1">
      <c r="A1959" s="5">
        <v>2024</v>
      </c>
      <c r="B1959" s="59"/>
      <c r="C1959" s="60"/>
      <c r="D1959" s="63"/>
      <c r="E1959" s="63"/>
      <c r="F1959" s="60"/>
      <c r="G1959" s="61"/>
      <c r="H1959" s="62"/>
      <c r="I1959" s="65"/>
      <c r="J1959" s="65"/>
      <c r="K1959" s="62"/>
      <c r="L1959" s="65"/>
      <c r="M1959" s="65"/>
      <c r="N1959" s="64"/>
      <c r="P1959" t="str">
        <f t="shared" si="103"/>
        <v>182W</v>
      </c>
      <c r="Q1959" t="str">
        <f t="shared" si="104"/>
        <v>NA</v>
      </c>
      <c r="R1959" t="str">
        <f>IF(ISERROR(MATCH(P1959&amp;"."&amp;Q1959,R$5:R1958,0)),P1959&amp;"."&amp;Q1959,P1959&amp;"."&amp;Q1959&amp;COUNTIFS(P$5:P1958,P1959,Q$5:Q1958,Q1959))</f>
        <v>182W.NA2</v>
      </c>
      <c r="S1959" s="55">
        <f t="shared" si="105"/>
        <v>0</v>
      </c>
    </row>
    <row r="1960" spans="1:19" hidden="1">
      <c r="A1960" s="5">
        <v>2025</v>
      </c>
      <c r="B1960" s="59"/>
      <c r="C1960" s="60" t="s">
        <v>220</v>
      </c>
      <c r="D1960" s="63" t="s">
        <v>599</v>
      </c>
      <c r="E1960" s="63"/>
      <c r="F1960" s="63"/>
      <c r="G1960" s="63"/>
      <c r="H1960" s="62"/>
      <c r="I1960" s="66"/>
      <c r="J1960" s="66"/>
      <c r="K1960" s="62"/>
      <c r="L1960" s="66"/>
      <c r="M1960" s="66"/>
      <c r="N1960" s="66"/>
      <c r="P1960" t="str">
        <f t="shared" si="103"/>
        <v>186W</v>
      </c>
      <c r="Q1960" t="str">
        <f t="shared" si="104"/>
        <v>NA</v>
      </c>
      <c r="R1960" t="str">
        <f>IF(ISERROR(MATCH(P1960&amp;"."&amp;Q1960,R$5:R1959,0)),P1960&amp;"."&amp;Q1960,P1960&amp;"."&amp;Q1960&amp;COUNTIFS(P$5:P1959,P1960,Q$5:Q1959,Q1960))</f>
        <v>186W.NA</v>
      </c>
      <c r="S1960" s="55">
        <f t="shared" si="105"/>
        <v>0</v>
      </c>
    </row>
    <row r="1961" spans="1:19" hidden="1">
      <c r="A1961" s="5">
        <v>2026</v>
      </c>
      <c r="B1961" s="59"/>
      <c r="C1961" s="60"/>
      <c r="D1961" s="63"/>
      <c r="E1961" s="63"/>
      <c r="F1961" s="63" t="s">
        <v>154</v>
      </c>
      <c r="G1961" s="63" t="s">
        <v>12</v>
      </c>
      <c r="H1961" s="62"/>
      <c r="I1961" s="65">
        <v>0</v>
      </c>
      <c r="J1961" s="65">
        <v>0</v>
      </c>
      <c r="K1961" s="62"/>
      <c r="L1961" s="65">
        <v>0</v>
      </c>
      <c r="M1961" s="65">
        <v>0</v>
      </c>
      <c r="N1961" s="65">
        <v>0</v>
      </c>
      <c r="P1961" t="str">
        <f t="shared" si="103"/>
        <v>186W</v>
      </c>
      <c r="Q1961" t="str">
        <f t="shared" si="104"/>
        <v>S</v>
      </c>
      <c r="R1961" t="str">
        <f>IF(ISERROR(MATCH(P1961&amp;"."&amp;Q1961,R$5:R1960,0)),P1961&amp;"."&amp;Q1961,P1961&amp;"."&amp;Q1961&amp;COUNTIFS(P$5:P1960,P1961,Q$5:Q1960,Q1961))</f>
        <v>186W.S</v>
      </c>
      <c r="S1961" s="55">
        <f t="shared" si="105"/>
        <v>0</v>
      </c>
    </row>
    <row r="1962" spans="1:19" hidden="1">
      <c r="A1962" s="5">
        <v>2027</v>
      </c>
      <c r="B1962" s="59"/>
      <c r="C1962" s="60"/>
      <c r="D1962" s="61"/>
      <c r="E1962" s="63"/>
      <c r="F1962" s="63" t="s">
        <v>154</v>
      </c>
      <c r="G1962" s="63" t="s">
        <v>155</v>
      </c>
      <c r="H1962" s="62"/>
      <c r="I1962" s="65">
        <v>0</v>
      </c>
      <c r="J1962" s="65">
        <v>0</v>
      </c>
      <c r="K1962" s="62"/>
      <c r="L1962" s="65">
        <v>0</v>
      </c>
      <c r="M1962" s="65">
        <v>0</v>
      </c>
      <c r="N1962" s="65">
        <v>0</v>
      </c>
      <c r="P1962" t="str">
        <f t="shared" si="103"/>
        <v>186W</v>
      </c>
      <c r="Q1962" t="str">
        <f t="shared" si="104"/>
        <v>CN</v>
      </c>
      <c r="R1962" t="str">
        <f>IF(ISERROR(MATCH(P1962&amp;"."&amp;Q1962,R$5:R1961,0)),P1962&amp;"."&amp;Q1962,P1962&amp;"."&amp;Q1962&amp;COUNTIFS(P$5:P1961,P1962,Q$5:Q1961,Q1962))</f>
        <v>186W.CN</v>
      </c>
      <c r="S1962" s="55">
        <f t="shared" si="105"/>
        <v>0</v>
      </c>
    </row>
    <row r="1963" spans="1:19" hidden="1">
      <c r="A1963" s="5">
        <v>2028</v>
      </c>
      <c r="B1963" s="59"/>
      <c r="C1963" s="60"/>
      <c r="D1963" s="63"/>
      <c r="E1963" s="63"/>
      <c r="F1963" s="60" t="s">
        <v>154</v>
      </c>
      <c r="G1963" s="61" t="s">
        <v>601</v>
      </c>
      <c r="H1963" s="62"/>
      <c r="I1963" s="65">
        <v>0</v>
      </c>
      <c r="J1963" s="65">
        <v>0</v>
      </c>
      <c r="K1963" s="62"/>
      <c r="L1963" s="65">
        <v>0</v>
      </c>
      <c r="M1963" s="65">
        <v>0</v>
      </c>
      <c r="N1963" s="64">
        <v>0</v>
      </c>
      <c r="P1963" t="str">
        <f t="shared" si="103"/>
        <v>186W</v>
      </c>
      <c r="Q1963" t="str">
        <f t="shared" si="104"/>
        <v>CNP</v>
      </c>
      <c r="R1963" t="str">
        <f>IF(ISERROR(MATCH(P1963&amp;"."&amp;Q1963,R$5:R1962,0)),P1963&amp;"."&amp;Q1963,P1963&amp;"."&amp;Q1963&amp;COUNTIFS(P$5:P1962,P1963,Q$5:Q1962,Q1963))</f>
        <v>186W.CNP</v>
      </c>
      <c r="S1963" s="55">
        <f t="shared" si="105"/>
        <v>0</v>
      </c>
    </row>
    <row r="1964" spans="1:19" hidden="1">
      <c r="A1964" s="5">
        <v>2029</v>
      </c>
      <c r="B1964" s="59"/>
      <c r="C1964" s="60"/>
      <c r="D1964" s="63"/>
      <c r="E1964" s="63"/>
      <c r="F1964" s="63" t="s">
        <v>154</v>
      </c>
      <c r="G1964" s="63" t="s">
        <v>15</v>
      </c>
      <c r="H1964" s="62"/>
      <c r="I1964" s="66">
        <v>0</v>
      </c>
      <c r="J1964" s="66">
        <v>0</v>
      </c>
      <c r="K1964" s="62"/>
      <c r="L1964" s="66">
        <v>0</v>
      </c>
      <c r="M1964" s="66">
        <v>0</v>
      </c>
      <c r="N1964" s="66">
        <v>0</v>
      </c>
      <c r="P1964" t="str">
        <f t="shared" si="103"/>
        <v>186W</v>
      </c>
      <c r="Q1964" t="str">
        <f t="shared" si="104"/>
        <v>SG</v>
      </c>
      <c r="R1964" t="str">
        <f>IF(ISERROR(MATCH(P1964&amp;"."&amp;Q1964,R$5:R1963,0)),P1964&amp;"."&amp;Q1964,P1964&amp;"."&amp;Q1964&amp;COUNTIFS(P$5:P1963,P1964,Q$5:Q1963,Q1964))</f>
        <v>186W.SG</v>
      </c>
      <c r="S1964" s="55">
        <f t="shared" si="105"/>
        <v>0</v>
      </c>
    </row>
    <row r="1965" spans="1:19" hidden="1">
      <c r="A1965" s="5">
        <v>2030</v>
      </c>
      <c r="B1965" s="59"/>
      <c r="C1965" s="60"/>
      <c r="D1965" s="63"/>
      <c r="E1965" s="63"/>
      <c r="F1965" s="63" t="s">
        <v>154</v>
      </c>
      <c r="G1965" s="63" t="s">
        <v>136</v>
      </c>
      <c r="H1965" s="62"/>
      <c r="I1965" s="65">
        <v>0</v>
      </c>
      <c r="J1965" s="65">
        <v>0</v>
      </c>
      <c r="K1965" s="62"/>
      <c r="L1965" s="65">
        <v>0</v>
      </c>
      <c r="M1965" s="65">
        <v>0</v>
      </c>
      <c r="N1965" s="65">
        <v>0</v>
      </c>
      <c r="P1965" t="str">
        <f t="shared" si="103"/>
        <v>186W</v>
      </c>
      <c r="Q1965" t="str">
        <f t="shared" si="104"/>
        <v>SO</v>
      </c>
      <c r="R1965" t="str">
        <f>IF(ISERROR(MATCH(P1965&amp;"."&amp;Q1965,R$5:R1964,0)),P1965&amp;"."&amp;Q1965,P1965&amp;"."&amp;Q1965&amp;COUNTIFS(P$5:P1964,P1965,Q$5:Q1964,Q1965))</f>
        <v>186W.SO</v>
      </c>
      <c r="S1965" s="55">
        <f t="shared" si="105"/>
        <v>0</v>
      </c>
    </row>
    <row r="1966" spans="1:19" hidden="1">
      <c r="A1966" s="5">
        <v>2031</v>
      </c>
      <c r="B1966" s="59"/>
      <c r="C1966" s="60"/>
      <c r="D1966" s="61"/>
      <c r="E1966" s="63"/>
      <c r="F1966" s="63"/>
      <c r="G1966" s="63"/>
      <c r="H1966" s="62" t="s">
        <v>600</v>
      </c>
      <c r="I1966" s="65">
        <v>0</v>
      </c>
      <c r="J1966" s="65">
        <v>0</v>
      </c>
      <c r="K1966" s="62"/>
      <c r="L1966" s="65">
        <v>0</v>
      </c>
      <c r="M1966" s="65">
        <v>0</v>
      </c>
      <c r="N1966" s="65">
        <v>0</v>
      </c>
      <c r="P1966" t="str">
        <f t="shared" si="103"/>
        <v>186W</v>
      </c>
      <c r="Q1966" t="str">
        <f t="shared" si="104"/>
        <v>NA</v>
      </c>
      <c r="R1966" t="str">
        <f>IF(ISERROR(MATCH(P1966&amp;"."&amp;Q1966,R$5:R1965,0)),P1966&amp;"."&amp;Q1966,P1966&amp;"."&amp;Q1966&amp;COUNTIFS(P$5:P1965,P1966,Q$5:Q1965,Q1966))</f>
        <v>186W.NA1</v>
      </c>
      <c r="S1966" s="55">
        <f t="shared" si="105"/>
        <v>0</v>
      </c>
    </row>
    <row r="1967" spans="1:19" hidden="1">
      <c r="A1967" s="5">
        <v>2032</v>
      </c>
      <c r="B1967" s="59"/>
      <c r="C1967" s="60"/>
      <c r="D1967" s="63"/>
      <c r="E1967" s="63"/>
      <c r="F1967" s="60"/>
      <c r="G1967" s="61"/>
      <c r="H1967" s="62"/>
      <c r="I1967" s="65"/>
      <c r="J1967" s="65"/>
      <c r="K1967" s="62"/>
      <c r="L1967" s="65"/>
      <c r="M1967" s="65"/>
      <c r="N1967" s="64"/>
      <c r="P1967" t="str">
        <f t="shared" si="103"/>
        <v>186W</v>
      </c>
      <c r="Q1967" t="str">
        <f t="shared" si="104"/>
        <v>NA</v>
      </c>
      <c r="R1967" t="str">
        <f>IF(ISERROR(MATCH(P1967&amp;"."&amp;Q1967,R$5:R1966,0)),P1967&amp;"."&amp;Q1967,P1967&amp;"."&amp;Q1967&amp;COUNTIFS(P$5:P1966,P1967,Q$5:Q1966,Q1967))</f>
        <v>186W.NA2</v>
      </c>
      <c r="S1967" s="55">
        <f t="shared" si="105"/>
        <v>0</v>
      </c>
    </row>
    <row r="1968" spans="1:19" hidden="1">
      <c r="A1968" s="5">
        <v>2033</v>
      </c>
      <c r="B1968" s="59"/>
      <c r="C1968" s="60" t="s">
        <v>602</v>
      </c>
      <c r="D1968" s="63"/>
      <c r="E1968" s="63"/>
      <c r="F1968" s="63"/>
      <c r="G1968" s="63"/>
      <c r="H1968" s="62" t="s">
        <v>600</v>
      </c>
      <c r="I1968" s="66">
        <v>-11565455.242307654</v>
      </c>
      <c r="J1968" s="66">
        <v>2319.073287396664</v>
      </c>
      <c r="K1968" s="62"/>
      <c r="L1968" s="66">
        <v>-11564940.952307655</v>
      </c>
      <c r="M1968" s="66">
        <v>-11564940.423603958</v>
      </c>
      <c r="N1968" s="66">
        <v>-0.52870369694276398</v>
      </c>
      <c r="P1968" t="str">
        <f t="shared" si="103"/>
        <v>Total Weatherization</v>
      </c>
      <c r="Q1968" t="str">
        <f t="shared" si="104"/>
        <v>NA</v>
      </c>
      <c r="R1968" t="str">
        <f>IF(ISERROR(MATCH(P1968&amp;"."&amp;Q1968,R$5:R1967,0)),P1968&amp;"."&amp;Q1968,P1968&amp;"."&amp;Q1968&amp;COUNTIFS(P$5:P1967,P1968,Q$5:Q1967,Q1968))</f>
        <v>Total Weatherization.NA</v>
      </c>
      <c r="S1968" s="55">
        <f t="shared" si="105"/>
        <v>-0.52870369694276398</v>
      </c>
    </row>
    <row r="1969" spans="1:19" hidden="1">
      <c r="A1969" s="5">
        <v>2034</v>
      </c>
      <c r="B1969" s="59"/>
      <c r="C1969" s="60"/>
      <c r="D1969" s="63"/>
      <c r="E1969" s="63"/>
      <c r="F1969" s="63"/>
      <c r="G1969" s="63"/>
      <c r="H1969" s="62"/>
      <c r="I1969" s="65"/>
      <c r="J1969" s="65"/>
      <c r="K1969" s="62"/>
      <c r="L1969" s="65"/>
      <c r="M1969" s="65"/>
      <c r="N1969" s="65"/>
      <c r="P1969" t="str">
        <f t="shared" si="103"/>
        <v>Total Weatherization</v>
      </c>
      <c r="Q1969" t="str">
        <f t="shared" si="104"/>
        <v>NA</v>
      </c>
      <c r="R1969" t="str">
        <f>IF(ISERROR(MATCH(P1969&amp;"."&amp;Q1969,R$5:R1968,0)),P1969&amp;"."&amp;Q1969,P1969&amp;"."&amp;Q1969&amp;COUNTIFS(P$5:P1968,P1969,Q$5:Q1968,Q1969))</f>
        <v>Total Weatherization.NA1</v>
      </c>
      <c r="S1969" s="55">
        <f t="shared" si="105"/>
        <v>0</v>
      </c>
    </row>
    <row r="1970" spans="1:19" hidden="1">
      <c r="A1970" s="5">
        <v>2035</v>
      </c>
      <c r="B1970" s="59"/>
      <c r="C1970" s="60">
        <v>151</v>
      </c>
      <c r="D1970" s="61" t="s">
        <v>603</v>
      </c>
      <c r="E1970" s="63"/>
      <c r="F1970" s="63"/>
      <c r="G1970" s="63"/>
      <c r="H1970" s="62"/>
      <c r="I1970" s="65"/>
      <c r="J1970" s="65"/>
      <c r="K1970" s="62"/>
      <c r="L1970" s="65"/>
      <c r="M1970" s="65"/>
      <c r="N1970" s="65"/>
      <c r="P1970">
        <f t="shared" si="103"/>
        <v>151</v>
      </c>
      <c r="Q1970" t="str">
        <f t="shared" si="104"/>
        <v>NA</v>
      </c>
      <c r="R1970" t="str">
        <f>IF(ISERROR(MATCH(P1970&amp;"."&amp;Q1970,R$5:R1969,0)),P1970&amp;"."&amp;Q1970,P1970&amp;"."&amp;Q1970&amp;COUNTIFS(P$5:P1969,P1970,Q$5:Q1969,Q1970))</f>
        <v>151.NA</v>
      </c>
      <c r="S1970" s="55">
        <f t="shared" si="105"/>
        <v>0</v>
      </c>
    </row>
    <row r="1971" spans="1:19" hidden="1">
      <c r="A1971" s="5">
        <v>2036</v>
      </c>
      <c r="B1971" s="59"/>
      <c r="C1971" s="60"/>
      <c r="D1971" s="63"/>
      <c r="E1971" s="63"/>
      <c r="F1971" s="60" t="s">
        <v>13</v>
      </c>
      <c r="G1971" s="61" t="s">
        <v>294</v>
      </c>
      <c r="H1971" s="62"/>
      <c r="I1971" s="65">
        <v>0</v>
      </c>
      <c r="J1971" s="65">
        <v>0</v>
      </c>
      <c r="K1971" s="62"/>
      <c r="L1971" s="65">
        <v>0</v>
      </c>
      <c r="M1971" s="65">
        <v>0</v>
      </c>
      <c r="N1971" s="64">
        <v>0</v>
      </c>
      <c r="P1971">
        <f t="shared" si="103"/>
        <v>151</v>
      </c>
      <c r="Q1971" t="str">
        <f t="shared" si="104"/>
        <v>DEU</v>
      </c>
      <c r="R1971" t="str">
        <f>IF(ISERROR(MATCH(P1971&amp;"."&amp;Q1971,R$5:R1970,0)),P1971&amp;"."&amp;Q1971,P1971&amp;"."&amp;Q1971&amp;COUNTIFS(P$5:P1970,P1971,Q$5:Q1970,Q1971))</f>
        <v>151.DEU</v>
      </c>
      <c r="S1971" s="55">
        <f t="shared" si="105"/>
        <v>0</v>
      </c>
    </row>
    <row r="1972" spans="1:19" hidden="1">
      <c r="A1972" s="5">
        <v>2037</v>
      </c>
      <c r="B1972" s="59"/>
      <c r="C1972" s="60"/>
      <c r="D1972" s="63"/>
      <c r="E1972" s="63"/>
      <c r="F1972" s="63" t="s">
        <v>13</v>
      </c>
      <c r="G1972" s="63" t="s">
        <v>16</v>
      </c>
      <c r="H1972" s="62"/>
      <c r="I1972" s="66">
        <v>163859900.41230801</v>
      </c>
      <c r="J1972" s="66">
        <v>71043441.708034381</v>
      </c>
      <c r="K1972" s="62"/>
      <c r="L1972" s="66">
        <v>167007550.65481031</v>
      </c>
      <c r="M1972" s="66">
        <v>94599407.113332763</v>
      </c>
      <c r="N1972" s="66">
        <v>72408143.541477546</v>
      </c>
      <c r="P1972">
        <f t="shared" si="103"/>
        <v>151</v>
      </c>
      <c r="Q1972" t="str">
        <f t="shared" si="104"/>
        <v>SE</v>
      </c>
      <c r="R1972" t="str">
        <f>IF(ISERROR(MATCH(P1972&amp;"."&amp;Q1972,R$5:R1971,0)),P1972&amp;"."&amp;Q1972,P1972&amp;"."&amp;Q1972&amp;COUNTIFS(P$5:P1971,P1972,Q$5:Q1971,Q1972))</f>
        <v>151.SE</v>
      </c>
      <c r="S1972" s="55">
        <f t="shared" si="105"/>
        <v>72408143.541477546</v>
      </c>
    </row>
    <row r="1973" spans="1:19" hidden="1">
      <c r="A1973" s="5">
        <v>2038</v>
      </c>
      <c r="B1973" s="59"/>
      <c r="C1973" s="60"/>
      <c r="D1973" s="63"/>
      <c r="E1973" s="63"/>
      <c r="F1973" s="63" t="s">
        <v>13</v>
      </c>
      <c r="G1973" s="63" t="s">
        <v>16</v>
      </c>
      <c r="H1973" s="62"/>
      <c r="I1973" s="65">
        <v>0</v>
      </c>
      <c r="J1973" s="65">
        <v>0</v>
      </c>
      <c r="K1973" s="62"/>
      <c r="L1973" s="65">
        <v>0</v>
      </c>
      <c r="M1973" s="65">
        <v>0</v>
      </c>
      <c r="N1973" s="65">
        <v>0</v>
      </c>
      <c r="P1973">
        <f t="shared" si="103"/>
        <v>151</v>
      </c>
      <c r="Q1973" t="str">
        <f t="shared" si="104"/>
        <v>SE</v>
      </c>
      <c r="R1973" t="str">
        <f>IF(ISERROR(MATCH(P1973&amp;"."&amp;Q1973,R$5:R1972,0)),P1973&amp;"."&amp;Q1973,P1973&amp;"."&amp;Q1973&amp;COUNTIFS(P$5:P1972,P1973,Q$5:Q1972,Q1973))</f>
        <v>151.SE1</v>
      </c>
      <c r="S1973" s="55">
        <f t="shared" si="105"/>
        <v>0</v>
      </c>
    </row>
    <row r="1974" spans="1:19" ht="15.75" hidden="1" thickBot="1">
      <c r="A1974" s="5">
        <v>2039</v>
      </c>
      <c r="B1974" s="59"/>
      <c r="C1974" s="45"/>
      <c r="D1974" s="63"/>
      <c r="E1974" s="63"/>
      <c r="F1974" s="63" t="s">
        <v>13</v>
      </c>
      <c r="G1974" s="63" t="s">
        <v>16</v>
      </c>
      <c r="H1974" s="41"/>
      <c r="I1974" s="68">
        <v>9237439.6238461491</v>
      </c>
      <c r="J1974" s="68">
        <v>4005003.6756821275</v>
      </c>
      <c r="K1974" s="41"/>
      <c r="L1974" s="68">
        <v>9237439.6238461491</v>
      </c>
      <c r="M1974" s="68">
        <v>5232435.9481640216</v>
      </c>
      <c r="N1974" s="68">
        <v>4005003.6756821275</v>
      </c>
      <c r="P1974">
        <f t="shared" si="103"/>
        <v>151</v>
      </c>
      <c r="Q1974" t="str">
        <f t="shared" si="104"/>
        <v>SE</v>
      </c>
      <c r="R1974" t="str">
        <f>IF(ISERROR(MATCH(P1974&amp;"."&amp;Q1974,R$5:R1973,0)),P1974&amp;"."&amp;Q1974,P1974&amp;"."&amp;Q1974&amp;COUNTIFS(P$5:P1973,P1974,Q$5:Q1973,Q1974))</f>
        <v>151.SE2</v>
      </c>
      <c r="S1974" s="55">
        <f t="shared" si="105"/>
        <v>4005003.6756821275</v>
      </c>
    </row>
    <row r="1975" spans="1:19" hidden="1">
      <c r="A1975" s="5">
        <v>2040</v>
      </c>
      <c r="B1975" s="59"/>
      <c r="C1975" s="60" t="s">
        <v>141</v>
      </c>
      <c r="D1975" s="61"/>
      <c r="E1975" s="63"/>
      <c r="F1975" s="63"/>
      <c r="G1975" s="63"/>
      <c r="H1975" s="62" t="s">
        <v>604</v>
      </c>
      <c r="I1975" s="65">
        <v>173097340.03615415</v>
      </c>
      <c r="J1975" s="65">
        <v>75048445.383716509</v>
      </c>
      <c r="K1975" s="62"/>
      <c r="L1975" s="65">
        <v>176244990.27865645</v>
      </c>
      <c r="M1975" s="65">
        <v>99831843.061496779</v>
      </c>
      <c r="N1975" s="65">
        <v>76413147.217159674</v>
      </c>
      <c r="P1975">
        <f t="shared" si="103"/>
        <v>151</v>
      </c>
      <c r="Q1975" t="str">
        <f t="shared" si="104"/>
        <v>NA</v>
      </c>
      <c r="R1975" t="str">
        <f>IF(ISERROR(MATCH(P1975&amp;"."&amp;Q1975,R$5:R1974,0)),P1975&amp;"."&amp;Q1975,P1975&amp;"."&amp;Q1975&amp;COUNTIFS(P$5:P1974,P1975,Q$5:Q1974,Q1975))</f>
        <v>151.NA1</v>
      </c>
      <c r="S1975" s="55">
        <f t="shared" si="105"/>
        <v>76413147.217159674</v>
      </c>
    </row>
    <row r="1976" spans="1:19" hidden="1">
      <c r="A1976" s="5">
        <v>2041</v>
      </c>
      <c r="B1976" s="59"/>
      <c r="C1976" s="60"/>
      <c r="D1976" s="63"/>
      <c r="E1976" s="63"/>
      <c r="F1976" s="60"/>
      <c r="G1976" s="61"/>
      <c r="H1976" s="62"/>
      <c r="I1976" s="65"/>
      <c r="J1976" s="65"/>
      <c r="K1976" s="62"/>
      <c r="L1976" s="65"/>
      <c r="M1976" s="65"/>
      <c r="N1976" s="64"/>
      <c r="P1976">
        <f t="shared" si="103"/>
        <v>151</v>
      </c>
      <c r="Q1976" t="str">
        <f t="shared" si="104"/>
        <v>NA</v>
      </c>
      <c r="R1976" t="str">
        <f>IF(ISERROR(MATCH(P1976&amp;"."&amp;Q1976,R$5:R1975,0)),P1976&amp;"."&amp;Q1976,P1976&amp;"."&amp;Q1976&amp;COUNTIFS(P$5:P1975,P1976,Q$5:Q1975,Q1976))</f>
        <v>151.NA2</v>
      </c>
      <c r="S1976" s="55">
        <f t="shared" si="105"/>
        <v>0</v>
      </c>
    </row>
    <row r="1977" spans="1:19" hidden="1">
      <c r="A1977" s="5">
        <v>2042</v>
      </c>
      <c r="B1977" s="59"/>
      <c r="C1977" s="60">
        <v>152</v>
      </c>
      <c r="D1977" s="63" t="s">
        <v>605</v>
      </c>
      <c r="E1977" s="63"/>
      <c r="F1977" s="60"/>
      <c r="G1977" s="61"/>
      <c r="H1977" s="62"/>
      <c r="I1977" s="65"/>
      <c r="J1977" s="65"/>
      <c r="K1977" s="62"/>
      <c r="L1977" s="65"/>
      <c r="M1977" s="65"/>
      <c r="N1977" s="64"/>
      <c r="P1977">
        <f t="shared" si="103"/>
        <v>152</v>
      </c>
      <c r="Q1977" t="str">
        <f t="shared" si="104"/>
        <v>NA</v>
      </c>
      <c r="R1977" t="str">
        <f>IF(ISERROR(MATCH(P1977&amp;"."&amp;Q1977,R$5:R1976,0)),P1977&amp;"."&amp;Q1977,P1977&amp;"."&amp;Q1977&amp;COUNTIFS(P$5:P1976,P1977,Q$5:Q1976,Q1977))</f>
        <v>152.NA</v>
      </c>
      <c r="S1977" s="55">
        <f t="shared" si="105"/>
        <v>0</v>
      </c>
    </row>
    <row r="1978" spans="1:19" hidden="1">
      <c r="A1978" s="5">
        <v>2043</v>
      </c>
      <c r="B1978" s="59"/>
      <c r="C1978" s="60"/>
      <c r="D1978" s="63"/>
      <c r="E1978" s="63"/>
      <c r="F1978" s="60" t="s">
        <v>13</v>
      </c>
      <c r="G1978" s="61" t="s">
        <v>16</v>
      </c>
      <c r="H1978" s="62"/>
      <c r="I1978" s="65">
        <v>0</v>
      </c>
      <c r="J1978" s="65">
        <v>0</v>
      </c>
      <c r="K1978" s="62"/>
      <c r="L1978" s="65">
        <v>0</v>
      </c>
      <c r="M1978" s="65">
        <v>0</v>
      </c>
      <c r="N1978" s="64">
        <v>0</v>
      </c>
      <c r="P1978">
        <f t="shared" si="103"/>
        <v>152</v>
      </c>
      <c r="Q1978" t="str">
        <f t="shared" si="104"/>
        <v>SE</v>
      </c>
      <c r="R1978" t="str">
        <f>IF(ISERROR(MATCH(P1978&amp;"."&amp;Q1978,R$5:R1977,0)),P1978&amp;"."&amp;Q1978,P1978&amp;"."&amp;Q1978&amp;COUNTIFS(P$5:P1977,P1978,Q$5:Q1977,Q1978))</f>
        <v>152.SE</v>
      </c>
      <c r="S1978" s="55">
        <f t="shared" si="105"/>
        <v>0</v>
      </c>
    </row>
    <row r="1979" spans="1:19" hidden="1">
      <c r="A1979" s="5">
        <v>2044</v>
      </c>
      <c r="B1979" s="59"/>
      <c r="C1979" s="60"/>
      <c r="D1979" s="63"/>
      <c r="E1979" s="63"/>
      <c r="F1979" s="60"/>
      <c r="G1979" s="61"/>
      <c r="H1979" s="62"/>
      <c r="I1979" s="65">
        <v>0</v>
      </c>
      <c r="J1979" s="65">
        <v>0</v>
      </c>
      <c r="K1979" s="62"/>
      <c r="L1979" s="65">
        <v>0</v>
      </c>
      <c r="M1979" s="65">
        <v>0</v>
      </c>
      <c r="N1979" s="64">
        <v>0</v>
      </c>
      <c r="P1979">
        <f t="shared" si="103"/>
        <v>152</v>
      </c>
      <c r="Q1979" t="str">
        <f t="shared" si="104"/>
        <v>NA</v>
      </c>
      <c r="R1979" t="str">
        <f>IF(ISERROR(MATCH(P1979&amp;"."&amp;Q1979,R$5:R1978,0)),P1979&amp;"."&amp;Q1979,P1979&amp;"."&amp;Q1979&amp;COUNTIFS(P$5:P1978,P1979,Q$5:Q1978,Q1979))</f>
        <v>152.NA1</v>
      </c>
      <c r="S1979" s="55">
        <f t="shared" si="105"/>
        <v>0</v>
      </c>
    </row>
    <row r="1980" spans="1:19" hidden="1">
      <c r="A1980" s="5">
        <v>2045</v>
      </c>
      <c r="B1980" s="59"/>
      <c r="C1980" s="60"/>
      <c r="D1980" s="63"/>
      <c r="E1980" s="63"/>
      <c r="F1980" s="60"/>
      <c r="G1980" s="61"/>
      <c r="H1980" s="62"/>
      <c r="I1980" s="65"/>
      <c r="J1980" s="65"/>
      <c r="K1980" s="62"/>
      <c r="L1980" s="65"/>
      <c r="M1980" s="65"/>
      <c r="N1980" s="64"/>
      <c r="P1980">
        <f t="shared" si="103"/>
        <v>152</v>
      </c>
      <c r="Q1980" t="str">
        <f t="shared" si="104"/>
        <v>NA</v>
      </c>
      <c r="R1980" t="str">
        <f>IF(ISERROR(MATCH(P1980&amp;"."&amp;Q1980,R$5:R1979,0)),P1980&amp;"."&amp;Q1980,P1980&amp;"."&amp;Q1980&amp;COUNTIFS(P$5:P1979,P1980,Q$5:Q1979,Q1980))</f>
        <v>152.NA2</v>
      </c>
      <c r="S1980" s="55">
        <f t="shared" si="105"/>
        <v>0</v>
      </c>
    </row>
    <row r="1981" spans="1:19" hidden="1">
      <c r="A1981" s="5">
        <v>2046</v>
      </c>
      <c r="B1981" s="59"/>
      <c r="C1981" s="60">
        <v>25316</v>
      </c>
      <c r="D1981" s="63" t="s">
        <v>606</v>
      </c>
      <c r="E1981" s="63"/>
      <c r="F1981" s="60"/>
      <c r="G1981" s="61"/>
      <c r="H1981" s="62"/>
      <c r="I1981" s="65"/>
      <c r="J1981" s="65"/>
      <c r="K1981" s="62"/>
      <c r="L1981" s="65"/>
      <c r="M1981" s="65"/>
      <c r="N1981" s="64"/>
      <c r="P1981">
        <f t="shared" si="103"/>
        <v>25316</v>
      </c>
      <c r="Q1981" t="str">
        <f t="shared" si="104"/>
        <v>NA</v>
      </c>
      <c r="R1981" t="str">
        <f>IF(ISERROR(MATCH(P1981&amp;"."&amp;Q1981,R$5:R1980,0)),P1981&amp;"."&amp;Q1981,P1981&amp;"."&amp;Q1981&amp;COUNTIFS(P$5:P1980,P1981,Q$5:Q1980,Q1981))</f>
        <v>25316.NA</v>
      </c>
      <c r="S1981" s="55">
        <f t="shared" si="105"/>
        <v>0</v>
      </c>
    </row>
    <row r="1982" spans="1:19" hidden="1">
      <c r="A1982" s="5">
        <v>2047</v>
      </c>
      <c r="B1982" s="59"/>
      <c r="C1982" s="60"/>
      <c r="D1982" s="63"/>
      <c r="E1982" s="63"/>
      <c r="F1982" s="60" t="s">
        <v>13</v>
      </c>
      <c r="G1982" s="61" t="s">
        <v>16</v>
      </c>
      <c r="H1982" s="62"/>
      <c r="I1982" s="65">
        <v>-2496461.5384615399</v>
      </c>
      <c r="J1982" s="65">
        <v>-1082371.0946837631</v>
      </c>
      <c r="K1982" s="62"/>
      <c r="L1982" s="65">
        <v>-2063461.5384615399</v>
      </c>
      <c r="M1982" s="65">
        <v>-1168822.8309095602</v>
      </c>
      <c r="N1982" s="64">
        <v>-894638.70755197969</v>
      </c>
      <c r="P1982">
        <f t="shared" si="103"/>
        <v>25316</v>
      </c>
      <c r="Q1982" t="str">
        <f t="shared" si="104"/>
        <v>SE</v>
      </c>
      <c r="R1982" t="str">
        <f>IF(ISERROR(MATCH(P1982&amp;"."&amp;Q1982,R$5:R1981,0)),P1982&amp;"."&amp;Q1982,P1982&amp;"."&amp;Q1982&amp;COUNTIFS(P$5:P1981,P1982,Q$5:Q1981,Q1982))</f>
        <v>25316.SE</v>
      </c>
      <c r="S1982" s="55">
        <f t="shared" si="105"/>
        <v>-894638.70755197969</v>
      </c>
    </row>
    <row r="1983" spans="1:19" hidden="1">
      <c r="A1983" s="5">
        <v>2048</v>
      </c>
      <c r="B1983" s="59"/>
      <c r="C1983" s="60"/>
      <c r="D1983" s="63"/>
      <c r="E1983" s="63"/>
      <c r="F1983" s="60"/>
      <c r="G1983" s="61"/>
      <c r="H1983" s="62" t="s">
        <v>604</v>
      </c>
      <c r="I1983" s="65">
        <v>-2496461.5384615399</v>
      </c>
      <c r="J1983" s="65">
        <v>-1082371.0946837631</v>
      </c>
      <c r="K1983" s="62"/>
      <c r="L1983" s="65">
        <v>-2063461.5384615399</v>
      </c>
      <c r="M1983" s="65">
        <v>-1168822.8309095602</v>
      </c>
      <c r="N1983" s="64">
        <v>-894638.70755197969</v>
      </c>
      <c r="P1983">
        <f t="shared" si="103"/>
        <v>25316</v>
      </c>
      <c r="Q1983" t="str">
        <f t="shared" si="104"/>
        <v>NA</v>
      </c>
      <c r="R1983" t="str">
        <f>IF(ISERROR(MATCH(P1983&amp;"."&amp;Q1983,R$5:R1982,0)),P1983&amp;"."&amp;Q1983,P1983&amp;"."&amp;Q1983&amp;COUNTIFS(P$5:P1982,P1983,Q$5:Q1982,Q1983))</f>
        <v>25316.NA1</v>
      </c>
      <c r="S1983" s="55">
        <f t="shared" si="105"/>
        <v>-894638.70755197969</v>
      </c>
    </row>
    <row r="1984" spans="1:19" hidden="1">
      <c r="A1984" s="5">
        <v>2049</v>
      </c>
      <c r="B1984" s="59"/>
      <c r="C1984" s="60"/>
      <c r="D1984" s="63"/>
      <c r="E1984" s="63"/>
      <c r="F1984" s="60"/>
      <c r="G1984" s="61"/>
      <c r="H1984" s="62"/>
      <c r="I1984" s="65"/>
      <c r="J1984" s="65"/>
      <c r="K1984" s="62"/>
      <c r="L1984" s="65"/>
      <c r="M1984" s="65"/>
      <c r="N1984" s="64"/>
      <c r="P1984">
        <f t="shared" si="103"/>
        <v>25316</v>
      </c>
      <c r="Q1984" t="str">
        <f t="shared" si="104"/>
        <v>NA</v>
      </c>
      <c r="R1984" t="str">
        <f>IF(ISERROR(MATCH(P1984&amp;"."&amp;Q1984,R$5:R1983,0)),P1984&amp;"."&amp;Q1984,P1984&amp;"."&amp;Q1984&amp;COUNTIFS(P$5:P1983,P1984,Q$5:Q1983,Q1984))</f>
        <v>25316.NA2</v>
      </c>
      <c r="S1984" s="55">
        <f t="shared" si="105"/>
        <v>0</v>
      </c>
    </row>
    <row r="1985" spans="1:19" hidden="1">
      <c r="A1985" s="5">
        <v>2050</v>
      </c>
      <c r="B1985" s="59"/>
      <c r="C1985" s="60">
        <v>25317</v>
      </c>
      <c r="D1985" s="63" t="s">
        <v>607</v>
      </c>
      <c r="E1985" s="63"/>
      <c r="F1985" s="60"/>
      <c r="G1985" s="61"/>
      <c r="H1985" s="62"/>
      <c r="I1985" s="65"/>
      <c r="J1985" s="65"/>
      <c r="K1985" s="62"/>
      <c r="L1985" s="65"/>
      <c r="M1985" s="65"/>
      <c r="N1985" s="64"/>
      <c r="P1985">
        <f t="shared" si="103"/>
        <v>25317</v>
      </c>
      <c r="Q1985" t="str">
        <f t="shared" si="104"/>
        <v>NA</v>
      </c>
      <c r="R1985" t="str">
        <f>IF(ISERROR(MATCH(P1985&amp;"."&amp;Q1985,R$5:R1984,0)),P1985&amp;"."&amp;Q1985,P1985&amp;"."&amp;Q1985&amp;COUNTIFS(P$5:P1984,P1985,Q$5:Q1984,Q1985))</f>
        <v>25317.NA</v>
      </c>
      <c r="S1985" s="55">
        <f t="shared" si="105"/>
        <v>0</v>
      </c>
    </row>
    <row r="1986" spans="1:19" hidden="1">
      <c r="A1986" s="5">
        <v>2051</v>
      </c>
      <c r="B1986" s="59"/>
      <c r="C1986" s="60"/>
      <c r="D1986" s="63"/>
      <c r="E1986" s="63"/>
      <c r="F1986" s="60" t="s">
        <v>13</v>
      </c>
      <c r="G1986" s="61" t="s">
        <v>16</v>
      </c>
      <c r="H1986" s="62"/>
      <c r="I1986" s="65">
        <v>-2620034.9230769202</v>
      </c>
      <c r="J1986" s="65">
        <v>-1135947.8302029301</v>
      </c>
      <c r="K1986" s="62"/>
      <c r="L1986" s="65">
        <v>-2707857.3076923047</v>
      </c>
      <c r="M1986" s="65">
        <v>-1533833.020428285</v>
      </c>
      <c r="N1986" s="64">
        <v>-1174024.2872640197</v>
      </c>
      <c r="P1986">
        <f t="shared" si="103"/>
        <v>25317</v>
      </c>
      <c r="Q1986" t="str">
        <f t="shared" si="104"/>
        <v>SE</v>
      </c>
      <c r="R1986" t="str">
        <f>IF(ISERROR(MATCH(P1986&amp;"."&amp;Q1986,R$5:R1985,0)),P1986&amp;"."&amp;Q1986,P1986&amp;"."&amp;Q1986&amp;COUNTIFS(P$5:P1985,P1986,Q$5:Q1985,Q1986))</f>
        <v>25317.SE</v>
      </c>
      <c r="S1986" s="55">
        <f t="shared" si="105"/>
        <v>-1174024.2872640197</v>
      </c>
    </row>
    <row r="1987" spans="1:19" hidden="1">
      <c r="A1987" s="5">
        <v>2052</v>
      </c>
      <c r="B1987" s="59"/>
      <c r="C1987" s="60"/>
      <c r="D1987" s="63"/>
      <c r="E1987" s="63"/>
      <c r="F1987" s="60"/>
      <c r="G1987" s="61"/>
      <c r="H1987" s="62" t="s">
        <v>604</v>
      </c>
      <c r="I1987" s="65">
        <v>-2620034.9230769202</v>
      </c>
      <c r="J1987" s="65">
        <v>-1135947.8302029301</v>
      </c>
      <c r="K1987" s="62"/>
      <c r="L1987" s="65">
        <v>-2707857.3076923047</v>
      </c>
      <c r="M1987" s="65">
        <v>-1533833.020428285</v>
      </c>
      <c r="N1987" s="64">
        <v>-1174024.2872640197</v>
      </c>
      <c r="P1987">
        <f t="shared" si="103"/>
        <v>25317</v>
      </c>
      <c r="Q1987" t="str">
        <f t="shared" si="104"/>
        <v>NA</v>
      </c>
      <c r="R1987" t="str">
        <f>IF(ISERROR(MATCH(P1987&amp;"."&amp;Q1987,R$5:R1986,0)),P1987&amp;"."&amp;Q1987,P1987&amp;"."&amp;Q1987&amp;COUNTIFS(P$5:P1986,P1987,Q$5:Q1986,Q1987))</f>
        <v>25317.NA1</v>
      </c>
      <c r="S1987" s="55">
        <f t="shared" si="105"/>
        <v>-1174024.2872640197</v>
      </c>
    </row>
    <row r="1988" spans="1:19" hidden="1">
      <c r="A1988" s="5">
        <v>2053</v>
      </c>
      <c r="B1988" s="59"/>
      <c r="C1988" s="60"/>
      <c r="D1988" s="63"/>
      <c r="E1988" s="63"/>
      <c r="F1988" s="60"/>
      <c r="G1988" s="61"/>
      <c r="H1988" s="62"/>
      <c r="I1988" s="65"/>
      <c r="J1988" s="65"/>
      <c r="K1988" s="62"/>
      <c r="L1988" s="65"/>
      <c r="M1988" s="65"/>
      <c r="N1988" s="64"/>
      <c r="P1988">
        <f t="shared" si="103"/>
        <v>25317</v>
      </c>
      <c r="Q1988" t="str">
        <f t="shared" si="104"/>
        <v>NA</v>
      </c>
      <c r="R1988" t="str">
        <f>IF(ISERROR(MATCH(P1988&amp;"."&amp;Q1988,R$5:R1987,0)),P1988&amp;"."&amp;Q1988,P1988&amp;"."&amp;Q1988&amp;COUNTIFS(P$5:P1987,P1988,Q$5:Q1987,Q1988))</f>
        <v>25317.NA2</v>
      </c>
      <c r="S1988" s="55">
        <f t="shared" si="105"/>
        <v>0</v>
      </c>
    </row>
    <row r="1989" spans="1:19" hidden="1">
      <c r="A1989" s="5">
        <v>2054</v>
      </c>
      <c r="B1989" s="59"/>
      <c r="C1989" s="45">
        <v>25319</v>
      </c>
      <c r="D1989" s="63" t="s">
        <v>608</v>
      </c>
      <c r="E1989" s="63"/>
      <c r="F1989" s="63"/>
      <c r="G1989" s="63"/>
      <c r="H1989" s="62"/>
      <c r="I1989" s="66"/>
      <c r="J1989" s="66"/>
      <c r="K1989" s="62"/>
      <c r="L1989" s="66"/>
      <c r="M1989" s="66"/>
      <c r="N1989" s="66"/>
      <c r="P1989">
        <f t="shared" si="103"/>
        <v>25319</v>
      </c>
      <c r="Q1989" t="str">
        <f t="shared" si="104"/>
        <v>NA</v>
      </c>
      <c r="R1989" t="str">
        <f>IF(ISERROR(MATCH(P1989&amp;"."&amp;Q1989,R$5:R1988,0)),P1989&amp;"."&amp;Q1989,P1989&amp;"."&amp;Q1989&amp;COUNTIFS(P$5:P1988,P1989,Q$5:Q1988,Q1989))</f>
        <v>25319.NA</v>
      </c>
      <c r="S1989" s="55">
        <f t="shared" si="105"/>
        <v>0</v>
      </c>
    </row>
    <row r="1990" spans="1:19" hidden="1">
      <c r="A1990" s="5">
        <v>2055</v>
      </c>
      <c r="B1990" s="59"/>
      <c r="C1990" s="60"/>
      <c r="D1990" s="63"/>
      <c r="E1990" s="63"/>
      <c r="F1990" s="63" t="s">
        <v>13</v>
      </c>
      <c r="G1990" s="63" t="s">
        <v>16</v>
      </c>
      <c r="H1990" s="62"/>
      <c r="I1990" s="65">
        <v>0</v>
      </c>
      <c r="J1990" s="65">
        <v>0</v>
      </c>
      <c r="K1990" s="62"/>
      <c r="L1990" s="65">
        <v>0</v>
      </c>
      <c r="M1990" s="65">
        <v>0</v>
      </c>
      <c r="N1990" s="65">
        <v>0</v>
      </c>
      <c r="P1990">
        <f t="shared" si="103"/>
        <v>25319</v>
      </c>
      <c r="Q1990" t="str">
        <f t="shared" si="104"/>
        <v>SE</v>
      </c>
      <c r="R1990" t="str">
        <f>IF(ISERROR(MATCH(P1990&amp;"."&amp;Q1990,R$5:R1989,0)),P1990&amp;"."&amp;Q1990,P1990&amp;"."&amp;Q1990&amp;COUNTIFS(P$5:P1989,P1990,Q$5:Q1989,Q1990))</f>
        <v>25319.SE</v>
      </c>
      <c r="S1990" s="55">
        <f t="shared" si="105"/>
        <v>0</v>
      </c>
    </row>
    <row r="1991" spans="1:19" hidden="1">
      <c r="A1991" s="5">
        <v>2056</v>
      </c>
      <c r="B1991" s="59"/>
      <c r="C1991" s="60"/>
      <c r="D1991" s="61"/>
      <c r="E1991" s="63"/>
      <c r="F1991" s="63"/>
      <c r="G1991" s="63"/>
      <c r="H1991" s="62"/>
      <c r="I1991" s="65">
        <v>0</v>
      </c>
      <c r="J1991" s="65">
        <v>0</v>
      </c>
      <c r="K1991" s="62"/>
      <c r="L1991" s="65">
        <v>0</v>
      </c>
      <c r="M1991" s="65">
        <v>0</v>
      </c>
      <c r="N1991" s="65">
        <v>0</v>
      </c>
      <c r="P1991">
        <f t="shared" ref="P1991:P2054" si="106">IF(OR(C1991="",C1991=" ",C1991="  ",C1991="   "),P1990,C1991)</f>
        <v>25319</v>
      </c>
      <c r="Q1991" t="str">
        <f t="shared" ref="Q1991:Q2054" si="107">IF(G1991="","NA",G1991)</f>
        <v>NA</v>
      </c>
      <c r="R1991" t="str">
        <f>IF(ISERROR(MATCH(P1991&amp;"."&amp;Q1991,R$5:R1990,0)),P1991&amp;"."&amp;Q1991,P1991&amp;"."&amp;Q1991&amp;COUNTIFS(P$5:P1990,P1991,Q$5:Q1990,Q1991))</f>
        <v>25319.NA1</v>
      </c>
      <c r="S1991" s="55">
        <f t="shared" si="105"/>
        <v>0</v>
      </c>
    </row>
    <row r="1992" spans="1:19" hidden="1">
      <c r="A1992" s="5">
        <v>2057</v>
      </c>
      <c r="B1992" s="59"/>
      <c r="C1992" s="60"/>
      <c r="D1992" s="63"/>
      <c r="E1992" s="63"/>
      <c r="F1992" s="60"/>
      <c r="G1992" s="61"/>
      <c r="H1992" s="62"/>
      <c r="I1992" s="65"/>
      <c r="J1992" s="65"/>
      <c r="K1992" s="62"/>
      <c r="L1992" s="65"/>
      <c r="M1992" s="65"/>
      <c r="N1992" s="64"/>
      <c r="P1992">
        <f t="shared" si="106"/>
        <v>25319</v>
      </c>
      <c r="Q1992" t="str">
        <f t="shared" si="107"/>
        <v>NA</v>
      </c>
      <c r="R1992" t="str">
        <f>IF(ISERROR(MATCH(P1992&amp;"."&amp;Q1992,R$5:R1991,0)),P1992&amp;"."&amp;Q1992,P1992&amp;"."&amp;Q1992&amp;COUNTIFS(P$5:P1991,P1992,Q$5:Q1991,Q1992))</f>
        <v>25319.NA2</v>
      </c>
      <c r="S1992" s="55">
        <f t="shared" ref="S1992:S2055" si="108">N1992</f>
        <v>0</v>
      </c>
    </row>
    <row r="1993" spans="1:19" hidden="1">
      <c r="A1993" s="5">
        <v>2058</v>
      </c>
      <c r="B1993" s="59"/>
      <c r="C1993" s="60" t="s">
        <v>609</v>
      </c>
      <c r="D1993" s="63"/>
      <c r="E1993" s="63"/>
      <c r="F1993" s="63"/>
      <c r="G1993" s="63"/>
      <c r="H1993" s="62" t="s">
        <v>604</v>
      </c>
      <c r="I1993" s="65">
        <v>167980843.57461569</v>
      </c>
      <c r="J1993" s="65">
        <v>72830126.458829805</v>
      </c>
      <c r="K1993" s="62"/>
      <c r="L1993" s="65">
        <v>171473671.4325026</v>
      </c>
      <c r="M1993" s="65">
        <v>97129187.210158929</v>
      </c>
      <c r="N1993" s="65">
        <v>74344484.222343668</v>
      </c>
      <c r="P1993" t="str">
        <f t="shared" si="106"/>
        <v>Total Fuel Stock</v>
      </c>
      <c r="Q1993" t="str">
        <f t="shared" si="107"/>
        <v>NA</v>
      </c>
      <c r="R1993" t="str">
        <f>IF(ISERROR(MATCH(P1993&amp;"."&amp;Q1993,R$5:R1992,0)),P1993&amp;"."&amp;Q1993,P1993&amp;"."&amp;Q1993&amp;COUNTIFS(P$5:P1992,P1993,Q$5:Q1992,Q1993))</f>
        <v>Total Fuel Stock.NA</v>
      </c>
      <c r="S1993" s="55">
        <f t="shared" si="108"/>
        <v>74344484.222343668</v>
      </c>
    </row>
    <row r="1994" spans="1:19" hidden="1">
      <c r="A1994" s="5">
        <v>2059</v>
      </c>
      <c r="B1994" s="59"/>
      <c r="C1994" s="60">
        <v>154</v>
      </c>
      <c r="D1994" s="63" t="s">
        <v>610</v>
      </c>
      <c r="E1994" s="63"/>
      <c r="F1994" s="63"/>
      <c r="G1994" s="63"/>
      <c r="H1994" s="62"/>
      <c r="I1994" s="66"/>
      <c r="J1994" s="66"/>
      <c r="K1994" s="62"/>
      <c r="L1994" s="66"/>
      <c r="M1994" s="66"/>
      <c r="N1994" s="66"/>
      <c r="P1994">
        <f t="shared" si="106"/>
        <v>154</v>
      </c>
      <c r="Q1994" t="str">
        <f t="shared" si="107"/>
        <v>NA</v>
      </c>
      <c r="R1994" t="str">
        <f>IF(ISERROR(MATCH(P1994&amp;"."&amp;Q1994,R$5:R1993,0)),P1994&amp;"."&amp;Q1994,P1994&amp;"."&amp;Q1994&amp;COUNTIFS(P$5:P1993,P1994,Q$5:Q1993,Q1994))</f>
        <v>154.NA</v>
      </c>
      <c r="S1994" s="55">
        <f t="shared" si="108"/>
        <v>0</v>
      </c>
    </row>
    <row r="1995" spans="1:19" hidden="1">
      <c r="A1995" s="5">
        <v>2060</v>
      </c>
      <c r="B1995" s="59"/>
      <c r="C1995" s="60"/>
      <c r="D1995" s="63"/>
      <c r="E1995" s="63"/>
      <c r="F1995" s="63" t="s">
        <v>611</v>
      </c>
      <c r="G1995" s="63" t="s">
        <v>12</v>
      </c>
      <c r="H1995" s="62"/>
      <c r="I1995" s="65">
        <v>117863705.89384615</v>
      </c>
      <c r="J1995" s="65">
        <v>47854931.1815385</v>
      </c>
      <c r="K1995" s="62"/>
      <c r="L1995" s="65">
        <v>117863705.89384615</v>
      </c>
      <c r="M1995" s="65">
        <v>70008774.712307662</v>
      </c>
      <c r="N1995" s="65">
        <v>47854931.1815385</v>
      </c>
      <c r="P1995">
        <f t="shared" si="106"/>
        <v>154</v>
      </c>
      <c r="Q1995" t="str">
        <f t="shared" si="107"/>
        <v>S</v>
      </c>
      <c r="R1995" t="str">
        <f>IF(ISERROR(MATCH(P1995&amp;"."&amp;Q1995,R$5:R1994,0)),P1995&amp;"."&amp;Q1995,P1995&amp;"."&amp;Q1995&amp;COUNTIFS(P$5:P1994,P1995,Q$5:Q1994,Q1995))</f>
        <v>154.S</v>
      </c>
      <c r="S1995" s="55">
        <f t="shared" si="108"/>
        <v>47854931.1815385</v>
      </c>
    </row>
    <row r="1996" spans="1:19" hidden="1">
      <c r="A1996" s="5">
        <v>2061</v>
      </c>
      <c r="B1996" s="59"/>
      <c r="C1996" s="60"/>
      <c r="D1996" s="61"/>
      <c r="E1996" s="63"/>
      <c r="F1996" s="63" t="s">
        <v>611</v>
      </c>
      <c r="G1996" s="63" t="s">
        <v>15</v>
      </c>
      <c r="H1996" s="62"/>
      <c r="I1996" s="65">
        <v>4906248.3584615402</v>
      </c>
      <c r="J1996" s="65">
        <v>2158626.5298787062</v>
      </c>
      <c r="K1996" s="62"/>
      <c r="L1996" s="65">
        <v>-1759728.2846153826</v>
      </c>
      <c r="M1996" s="65">
        <v>-985491.86545868032</v>
      </c>
      <c r="N1996" s="65">
        <v>-774236.41915670224</v>
      </c>
      <c r="P1996">
        <f t="shared" si="106"/>
        <v>154</v>
      </c>
      <c r="Q1996" t="str">
        <f t="shared" si="107"/>
        <v>SG</v>
      </c>
      <c r="R1996" t="str">
        <f>IF(ISERROR(MATCH(P1996&amp;"."&amp;Q1996,R$5:R1995,0)),P1996&amp;"."&amp;Q1996,P1996&amp;"."&amp;Q1996&amp;COUNTIFS(P$5:P1995,P1996,Q$5:Q1995,Q1996))</f>
        <v>154.SG</v>
      </c>
      <c r="S1996" s="55">
        <f t="shared" si="108"/>
        <v>-774236.41915670224</v>
      </c>
    </row>
    <row r="1997" spans="1:19" hidden="1">
      <c r="A1997" s="5">
        <v>2062</v>
      </c>
      <c r="B1997" s="59"/>
      <c r="C1997" s="60"/>
      <c r="D1997" s="63"/>
      <c r="E1997" s="63"/>
      <c r="F1997" s="60" t="s">
        <v>611</v>
      </c>
      <c r="G1997" s="61" t="s">
        <v>16</v>
      </c>
      <c r="H1997" s="62"/>
      <c r="I1997" s="65">
        <v>0</v>
      </c>
      <c r="J1997" s="65">
        <v>0</v>
      </c>
      <c r="K1997" s="62"/>
      <c r="L1997" s="65">
        <v>0</v>
      </c>
      <c r="M1997" s="65">
        <v>0</v>
      </c>
      <c r="N1997" s="64">
        <v>0</v>
      </c>
      <c r="P1997">
        <f t="shared" si="106"/>
        <v>154</v>
      </c>
      <c r="Q1997" t="str">
        <f t="shared" si="107"/>
        <v>SE</v>
      </c>
      <c r="R1997" t="str">
        <f>IF(ISERROR(MATCH(P1997&amp;"."&amp;Q1997,R$5:R1996,0)),P1997&amp;"."&amp;Q1997,P1997&amp;"."&amp;Q1997&amp;COUNTIFS(P$5:P1996,P1997,Q$5:Q1996,Q1997))</f>
        <v>154.SE</v>
      </c>
      <c r="S1997" s="55">
        <f t="shared" si="108"/>
        <v>0</v>
      </c>
    </row>
    <row r="1998" spans="1:19" hidden="1">
      <c r="A1998" s="5">
        <v>2063</v>
      </c>
      <c r="B1998" s="59"/>
      <c r="C1998" s="60"/>
      <c r="D1998" s="63"/>
      <c r="E1998" s="63"/>
      <c r="F1998" s="63" t="s">
        <v>611</v>
      </c>
      <c r="G1998" s="63" t="s">
        <v>136</v>
      </c>
      <c r="H1998" s="62"/>
      <c r="I1998" s="65">
        <v>-66992.778461538503</v>
      </c>
      <c r="J1998" s="65">
        <v>-29073.881452670677</v>
      </c>
      <c r="K1998" s="62"/>
      <c r="L1998" s="65">
        <v>-66992.778461538503</v>
      </c>
      <c r="M1998" s="65">
        <v>-37720.605204446008</v>
      </c>
      <c r="N1998" s="65">
        <v>-29272.173257092491</v>
      </c>
      <c r="P1998">
        <f t="shared" si="106"/>
        <v>154</v>
      </c>
      <c r="Q1998" t="str">
        <f t="shared" si="107"/>
        <v>SO</v>
      </c>
      <c r="R1998" t="str">
        <f>IF(ISERROR(MATCH(P1998&amp;"."&amp;Q1998,R$5:R1997,0)),P1998&amp;"."&amp;Q1998,P1998&amp;"."&amp;Q1998&amp;COUNTIFS(P$5:P1997,P1998,Q$5:Q1997,Q1998))</f>
        <v>154.SO</v>
      </c>
      <c r="S1998" s="55">
        <f t="shared" si="108"/>
        <v>-29272.173257092491</v>
      </c>
    </row>
    <row r="1999" spans="1:19" hidden="1">
      <c r="A1999" s="5">
        <v>2064</v>
      </c>
      <c r="B1999" s="59"/>
      <c r="C1999" s="60"/>
      <c r="D1999" s="63"/>
      <c r="E1999" s="63"/>
      <c r="F1999" s="63" t="s">
        <v>611</v>
      </c>
      <c r="G1999" s="63" t="s">
        <v>15</v>
      </c>
      <c r="H1999" s="62"/>
      <c r="I1999" s="66">
        <v>116002537.063077</v>
      </c>
      <c r="J1999" s="66">
        <v>51038214.077714592</v>
      </c>
      <c r="K1999" s="62"/>
      <c r="L1999" s="66">
        <v>116002537.063077</v>
      </c>
      <c r="M1999" s="66">
        <v>64964322.985362411</v>
      </c>
      <c r="N1999" s="66">
        <v>51038214.077714592</v>
      </c>
      <c r="P1999">
        <f t="shared" si="106"/>
        <v>154</v>
      </c>
      <c r="Q1999" t="str">
        <f t="shared" si="107"/>
        <v>SG</v>
      </c>
      <c r="R1999" t="str">
        <f>IF(ISERROR(MATCH(P1999&amp;"."&amp;Q1999,R$5:R1998,0)),P1999&amp;"."&amp;Q1999,P1999&amp;"."&amp;Q1999&amp;COUNTIFS(P$5:P1998,P1999,Q$5:Q1998,Q1999))</f>
        <v>154.SG1</v>
      </c>
      <c r="S1999" s="55">
        <f t="shared" si="108"/>
        <v>51038214.077714592</v>
      </c>
    </row>
    <row r="2000" spans="1:19" hidden="1">
      <c r="A2000" s="5">
        <v>2065</v>
      </c>
      <c r="B2000" s="59"/>
      <c r="C2000" s="60"/>
      <c r="D2000" s="63"/>
      <c r="E2000" s="63"/>
      <c r="F2000" s="63" t="s">
        <v>611</v>
      </c>
      <c r="G2000" s="63" t="s">
        <v>15</v>
      </c>
      <c r="H2000" s="62"/>
      <c r="I2000" s="65">
        <v>7849.56</v>
      </c>
      <c r="J2000" s="65">
        <v>3453.6100143915132</v>
      </c>
      <c r="K2000" s="62"/>
      <c r="L2000" s="65">
        <v>7849.56</v>
      </c>
      <c r="M2000" s="65">
        <v>4395.9499856084876</v>
      </c>
      <c r="N2000" s="65">
        <v>3453.6100143915132</v>
      </c>
      <c r="P2000">
        <f t="shared" si="106"/>
        <v>154</v>
      </c>
      <c r="Q2000" t="str">
        <f t="shared" si="107"/>
        <v>SG</v>
      </c>
      <c r="R2000" t="str">
        <f>IF(ISERROR(MATCH(P2000&amp;"."&amp;Q2000,R$5:R1999,0)),P2000&amp;"."&amp;Q2000,P2000&amp;"."&amp;Q2000&amp;COUNTIFS(P$5:P1999,P2000,Q$5:Q1999,Q2000))</f>
        <v>154.SG2</v>
      </c>
      <c r="S2000" s="55">
        <f t="shared" si="108"/>
        <v>3453.6100143915132</v>
      </c>
    </row>
    <row r="2001" spans="1:19" ht="15.75" hidden="1" thickBot="1">
      <c r="A2001" s="5">
        <v>2066</v>
      </c>
      <c r="B2001" s="59"/>
      <c r="C2001" s="45"/>
      <c r="D2001" s="63"/>
      <c r="E2001" s="63"/>
      <c r="F2001" s="63" t="s">
        <v>611</v>
      </c>
      <c r="G2001" s="63" t="s">
        <v>321</v>
      </c>
      <c r="H2001" s="41"/>
      <c r="I2001" s="68">
        <v>-1650835.49</v>
      </c>
      <c r="J2001" s="68">
        <v>-796217.04912463704</v>
      </c>
      <c r="K2001" s="41"/>
      <c r="L2001" s="68">
        <v>-1650835.49</v>
      </c>
      <c r="M2001" s="68">
        <v>-850378.2273572993</v>
      </c>
      <c r="N2001" s="68">
        <v>-800457.26264270069</v>
      </c>
      <c r="P2001">
        <f t="shared" si="106"/>
        <v>154</v>
      </c>
      <c r="Q2001" t="str">
        <f t="shared" si="107"/>
        <v>SNPD</v>
      </c>
      <c r="R2001" t="str">
        <f>IF(ISERROR(MATCH(P2001&amp;"."&amp;Q2001,R$5:R2000,0)),P2001&amp;"."&amp;Q2001,P2001&amp;"."&amp;Q2001&amp;COUNTIFS(P$5:P2000,P2001,Q$5:Q2000,Q2001))</f>
        <v>154.SNPD</v>
      </c>
      <c r="S2001" s="55">
        <f t="shared" si="108"/>
        <v>-800457.26264270069</v>
      </c>
    </row>
    <row r="2002" spans="1:19" hidden="1">
      <c r="A2002" s="5">
        <v>2067</v>
      </c>
      <c r="B2002" s="59"/>
      <c r="C2002" s="60"/>
      <c r="D2002" s="63"/>
      <c r="E2002" s="63"/>
      <c r="F2002" s="63" t="s">
        <v>611</v>
      </c>
      <c r="G2002" s="63" t="s">
        <v>15</v>
      </c>
      <c r="H2002" s="62"/>
      <c r="I2002" s="65">
        <v>0</v>
      </c>
      <c r="J2002" s="65">
        <v>0</v>
      </c>
      <c r="K2002" s="62"/>
      <c r="L2002" s="65">
        <v>0</v>
      </c>
      <c r="M2002" s="65">
        <v>0</v>
      </c>
      <c r="N2002" s="65">
        <v>0</v>
      </c>
      <c r="P2002">
        <f t="shared" si="106"/>
        <v>154</v>
      </c>
      <c r="Q2002" t="str">
        <f t="shared" si="107"/>
        <v>SG</v>
      </c>
      <c r="R2002" t="str">
        <f>IF(ISERROR(MATCH(P2002&amp;"."&amp;Q2002,R$5:R2001,0)),P2002&amp;"."&amp;Q2002,P2002&amp;"."&amp;Q2002&amp;COUNTIFS(P$5:P2001,P2002,Q$5:Q2001,Q2002))</f>
        <v>154.SG3</v>
      </c>
      <c r="S2002" s="55">
        <f t="shared" si="108"/>
        <v>0</v>
      </c>
    </row>
    <row r="2003" spans="1:19" hidden="1">
      <c r="A2003" s="5">
        <v>2068</v>
      </c>
      <c r="B2003" s="59"/>
      <c r="C2003" s="60"/>
      <c r="D2003" s="61"/>
      <c r="E2003" s="63"/>
      <c r="F2003" s="63" t="s">
        <v>611</v>
      </c>
      <c r="G2003" s="63" t="s">
        <v>15</v>
      </c>
      <c r="H2003" s="62"/>
      <c r="I2003" s="65">
        <v>0</v>
      </c>
      <c r="J2003" s="65">
        <v>0</v>
      </c>
      <c r="K2003" s="62"/>
      <c r="L2003" s="65">
        <v>0</v>
      </c>
      <c r="M2003" s="65">
        <v>0</v>
      </c>
      <c r="N2003" s="65">
        <v>0</v>
      </c>
      <c r="P2003">
        <f t="shared" si="106"/>
        <v>154</v>
      </c>
      <c r="Q2003" t="str">
        <f t="shared" si="107"/>
        <v>SG</v>
      </c>
      <c r="R2003" t="str">
        <f>IF(ISERROR(MATCH(P2003&amp;"."&amp;Q2003,R$5:R2002,0)),P2003&amp;"."&amp;Q2003,P2003&amp;"."&amp;Q2003&amp;COUNTIFS(P$5:P2002,P2003,Q$5:Q2002,Q2003))</f>
        <v>154.SG4</v>
      </c>
      <c r="S2003" s="55">
        <f t="shared" si="108"/>
        <v>0</v>
      </c>
    </row>
    <row r="2004" spans="1:19" hidden="1">
      <c r="A2004" s="5">
        <v>2069</v>
      </c>
      <c r="B2004" s="59"/>
      <c r="C2004" s="60"/>
      <c r="D2004" s="63"/>
      <c r="E2004" s="63"/>
      <c r="F2004" s="60" t="s">
        <v>611</v>
      </c>
      <c r="G2004" s="61" t="s">
        <v>15</v>
      </c>
      <c r="H2004" s="62"/>
      <c r="I2004" s="65">
        <v>0</v>
      </c>
      <c r="J2004" s="65">
        <v>0</v>
      </c>
      <c r="K2004" s="62"/>
      <c r="L2004" s="65">
        <v>0</v>
      </c>
      <c r="M2004" s="65">
        <v>0</v>
      </c>
      <c r="N2004" s="64">
        <v>0</v>
      </c>
      <c r="P2004">
        <f t="shared" si="106"/>
        <v>154</v>
      </c>
      <c r="Q2004" t="str">
        <f t="shared" si="107"/>
        <v>SG</v>
      </c>
      <c r="R2004" t="str">
        <f>IF(ISERROR(MATCH(P2004&amp;"."&amp;Q2004,R$5:R2003,0)),P2004&amp;"."&amp;Q2004,P2004&amp;"."&amp;Q2004&amp;COUNTIFS(P$5:P2003,P2004,Q$5:Q2003,Q2004))</f>
        <v>154.SG5</v>
      </c>
      <c r="S2004" s="55">
        <f t="shared" si="108"/>
        <v>0</v>
      </c>
    </row>
    <row r="2005" spans="1:19" hidden="1">
      <c r="A2005" s="5">
        <v>2070</v>
      </c>
      <c r="B2005" s="59"/>
      <c r="C2005" s="60"/>
      <c r="D2005" s="63"/>
      <c r="E2005" s="63"/>
      <c r="F2005" s="60" t="s">
        <v>611</v>
      </c>
      <c r="G2005" s="61" t="s">
        <v>15</v>
      </c>
      <c r="H2005" s="62"/>
      <c r="I2005" s="65">
        <v>0</v>
      </c>
      <c r="J2005" s="65">
        <v>0</v>
      </c>
      <c r="K2005" s="62"/>
      <c r="L2005" s="65">
        <v>0</v>
      </c>
      <c r="M2005" s="65">
        <v>0</v>
      </c>
      <c r="N2005" s="64">
        <v>0</v>
      </c>
      <c r="P2005">
        <f t="shared" si="106"/>
        <v>154</v>
      </c>
      <c r="Q2005" t="str">
        <f t="shared" si="107"/>
        <v>SG</v>
      </c>
      <c r="R2005" t="str">
        <f>IF(ISERROR(MATCH(P2005&amp;"."&amp;Q2005,R$5:R2004,0)),P2005&amp;"."&amp;Q2005,P2005&amp;"."&amp;Q2005&amp;COUNTIFS(P$5:P2004,P2005,Q$5:Q2004,Q2005))</f>
        <v>154.SG6</v>
      </c>
      <c r="S2005" s="55">
        <f t="shared" si="108"/>
        <v>0</v>
      </c>
    </row>
    <row r="2006" spans="1:19" hidden="1">
      <c r="A2006" s="5">
        <v>2071</v>
      </c>
      <c r="B2006" s="59"/>
      <c r="C2006" s="60"/>
      <c r="D2006" s="63"/>
      <c r="E2006" s="63"/>
      <c r="F2006" s="60" t="s">
        <v>611</v>
      </c>
      <c r="G2006" s="61" t="s">
        <v>15</v>
      </c>
      <c r="H2006" s="62"/>
      <c r="I2006" s="65">
        <v>9406484.8453846108</v>
      </c>
      <c r="J2006" s="65">
        <v>4138617.9941604743</v>
      </c>
      <c r="K2006" s="62"/>
      <c r="L2006" s="65">
        <v>9406484.8453846108</v>
      </c>
      <c r="M2006" s="65">
        <v>5267866.8512241365</v>
      </c>
      <c r="N2006" s="64">
        <v>4138617.9941604743</v>
      </c>
      <c r="P2006">
        <f t="shared" si="106"/>
        <v>154</v>
      </c>
      <c r="Q2006" t="str">
        <f t="shared" si="107"/>
        <v>SG</v>
      </c>
      <c r="R2006" t="str">
        <f>IF(ISERROR(MATCH(P2006&amp;"."&amp;Q2006,R$5:R2005,0)),P2006&amp;"."&amp;Q2006,P2006&amp;"."&amp;Q2006&amp;COUNTIFS(P$5:P2005,P2006,Q$5:Q2005,Q2006))</f>
        <v>154.SG7</v>
      </c>
      <c r="S2006" s="55">
        <f t="shared" si="108"/>
        <v>4138617.9941604743</v>
      </c>
    </row>
    <row r="2007" spans="1:19" hidden="1">
      <c r="A2007" s="5">
        <v>2072</v>
      </c>
      <c r="B2007" s="59"/>
      <c r="C2007" s="60"/>
      <c r="D2007" s="63"/>
      <c r="E2007" s="63"/>
      <c r="F2007" s="60" t="s">
        <v>611</v>
      </c>
      <c r="G2007" s="61" t="s">
        <v>15</v>
      </c>
      <c r="H2007" s="62"/>
      <c r="I2007" s="65">
        <v>0</v>
      </c>
      <c r="J2007" s="65">
        <v>0</v>
      </c>
      <c r="K2007" s="62"/>
      <c r="L2007" s="65">
        <v>0</v>
      </c>
      <c r="M2007" s="65">
        <v>0</v>
      </c>
      <c r="N2007" s="64">
        <v>0</v>
      </c>
      <c r="P2007">
        <f t="shared" si="106"/>
        <v>154</v>
      </c>
      <c r="Q2007" t="str">
        <f t="shared" si="107"/>
        <v>SG</v>
      </c>
      <c r="R2007" t="str">
        <f>IF(ISERROR(MATCH(P2007&amp;"."&amp;Q2007,R$5:R2006,0)),P2007&amp;"."&amp;Q2007,P2007&amp;"."&amp;Q2007&amp;COUNTIFS(P$5:P2006,P2007,Q$5:Q2006,Q2007))</f>
        <v>154.SG8</v>
      </c>
      <c r="S2007" s="55">
        <f t="shared" si="108"/>
        <v>0</v>
      </c>
    </row>
    <row r="2008" spans="1:19" hidden="1">
      <c r="A2008" s="5">
        <v>2073</v>
      </c>
      <c r="B2008" s="59"/>
      <c r="C2008" s="60" t="s">
        <v>141</v>
      </c>
      <c r="D2008" s="63"/>
      <c r="E2008" s="63"/>
      <c r="F2008" s="60"/>
      <c r="G2008" s="61"/>
      <c r="H2008" s="62" t="s">
        <v>604</v>
      </c>
      <c r="I2008" s="65">
        <v>246468997.45230776</v>
      </c>
      <c r="J2008" s="65">
        <v>104368552.46272935</v>
      </c>
      <c r="K2008" s="62"/>
      <c r="L2008" s="65">
        <v>239803020.8092308</v>
      </c>
      <c r="M2008" s="65">
        <v>138371769.80085939</v>
      </c>
      <c r="N2008" s="64">
        <v>101431251.00837147</v>
      </c>
      <c r="P2008">
        <f t="shared" si="106"/>
        <v>154</v>
      </c>
      <c r="Q2008" t="str">
        <f t="shared" si="107"/>
        <v>NA</v>
      </c>
      <c r="R2008" t="str">
        <f>IF(ISERROR(MATCH(P2008&amp;"."&amp;Q2008,R$5:R2007,0)),P2008&amp;"."&amp;Q2008,P2008&amp;"."&amp;Q2008&amp;COUNTIFS(P$5:P2007,P2008,Q$5:Q2007,Q2008))</f>
        <v>154.NA1</v>
      </c>
      <c r="S2008" s="55">
        <f t="shared" si="108"/>
        <v>101431251.00837147</v>
      </c>
    </row>
    <row r="2009" spans="1:19" ht="15.75" hidden="1" thickBot="1">
      <c r="A2009" s="5">
        <v>2074</v>
      </c>
      <c r="B2009" s="59"/>
      <c r="C2009" s="45"/>
      <c r="D2009" s="63"/>
      <c r="E2009" s="63"/>
      <c r="F2009" s="63"/>
      <c r="G2009" s="63"/>
      <c r="H2009" s="41"/>
      <c r="I2009" s="92"/>
      <c r="J2009" s="92"/>
      <c r="K2009" s="41"/>
      <c r="L2009" s="92"/>
      <c r="M2009" s="92"/>
      <c r="N2009" s="92"/>
      <c r="P2009">
        <f t="shared" si="106"/>
        <v>154</v>
      </c>
      <c r="Q2009" t="str">
        <f t="shared" si="107"/>
        <v>NA</v>
      </c>
      <c r="R2009" t="str">
        <f>IF(ISERROR(MATCH(P2009&amp;"."&amp;Q2009,R$5:R2008,0)),P2009&amp;"."&amp;Q2009,P2009&amp;"."&amp;Q2009&amp;COUNTIFS(P$5:P2008,P2009,Q$5:Q2008,Q2009))</f>
        <v>154.NA2</v>
      </c>
      <c r="S2009" s="55">
        <f t="shared" si="108"/>
        <v>0</v>
      </c>
    </row>
    <row r="2010" spans="1:19" hidden="1">
      <c r="A2010" s="5">
        <v>2075</v>
      </c>
      <c r="B2010" s="59"/>
      <c r="C2010" s="60">
        <v>163</v>
      </c>
      <c r="D2010" s="63" t="s">
        <v>612</v>
      </c>
      <c r="E2010" s="63"/>
      <c r="F2010" s="63"/>
      <c r="G2010" s="63"/>
      <c r="H2010" s="62"/>
      <c r="I2010" s="65"/>
      <c r="J2010" s="65"/>
      <c r="K2010" s="62"/>
      <c r="L2010" s="65"/>
      <c r="M2010" s="65"/>
      <c r="N2010" s="65"/>
      <c r="P2010">
        <f t="shared" si="106"/>
        <v>163</v>
      </c>
      <c r="Q2010" t="str">
        <f t="shared" si="107"/>
        <v>NA</v>
      </c>
      <c r="R2010" t="str">
        <f>IF(ISERROR(MATCH(P2010&amp;"."&amp;Q2010,R$5:R2009,0)),P2010&amp;"."&amp;Q2010,P2010&amp;"."&amp;Q2010&amp;COUNTIFS(P$5:P2009,P2010,Q$5:Q2009,Q2010))</f>
        <v>163.NA</v>
      </c>
      <c r="S2010" s="55">
        <f t="shared" si="108"/>
        <v>0</v>
      </c>
    </row>
    <row r="2011" spans="1:19" hidden="1">
      <c r="A2011" s="5">
        <v>2076</v>
      </c>
      <c r="B2011" s="59"/>
      <c r="C2011" s="60"/>
      <c r="D2011" s="61"/>
      <c r="E2011" s="63"/>
      <c r="F2011" s="63" t="s">
        <v>611</v>
      </c>
      <c r="G2011" s="63" t="s">
        <v>136</v>
      </c>
      <c r="H2011" s="62"/>
      <c r="I2011" s="65">
        <v>0</v>
      </c>
      <c r="J2011" s="65">
        <v>0</v>
      </c>
      <c r="K2011" s="62"/>
      <c r="L2011" s="65">
        <v>0</v>
      </c>
      <c r="M2011" s="65">
        <v>0</v>
      </c>
      <c r="N2011" s="65">
        <v>0</v>
      </c>
      <c r="P2011">
        <f t="shared" si="106"/>
        <v>163</v>
      </c>
      <c r="Q2011" t="str">
        <f t="shared" si="107"/>
        <v>SO</v>
      </c>
      <c r="R2011" t="str">
        <f>IF(ISERROR(MATCH(P2011&amp;"."&amp;Q2011,R$5:R2010,0)),P2011&amp;"."&amp;Q2011,P2011&amp;"."&amp;Q2011&amp;COUNTIFS(P$5:P2010,P2011,Q$5:Q2010,Q2011))</f>
        <v>163.SO</v>
      </c>
      <c r="S2011" s="55">
        <f t="shared" si="108"/>
        <v>0</v>
      </c>
    </row>
    <row r="2012" spans="1:19" hidden="1">
      <c r="A2012" s="5">
        <v>2077</v>
      </c>
      <c r="B2012" s="59"/>
      <c r="C2012" s="60"/>
      <c r="D2012" s="63"/>
      <c r="E2012" s="63"/>
      <c r="F2012" s="60"/>
      <c r="G2012" s="61"/>
      <c r="H2012" s="62"/>
      <c r="I2012" s="65"/>
      <c r="J2012" s="65"/>
      <c r="K2012" s="62"/>
      <c r="L2012" s="65"/>
      <c r="M2012" s="65"/>
      <c r="N2012" s="64"/>
      <c r="P2012">
        <f t="shared" si="106"/>
        <v>163</v>
      </c>
      <c r="Q2012" t="str">
        <f t="shared" si="107"/>
        <v>NA</v>
      </c>
      <c r="R2012" t="str">
        <f>IF(ISERROR(MATCH(P2012&amp;"."&amp;Q2012,R$5:R2011,0)),P2012&amp;"."&amp;Q2012,P2012&amp;"."&amp;Q2012&amp;COUNTIFS(P$5:P2011,P2012,Q$5:Q2011,Q2012))</f>
        <v>163.NA1</v>
      </c>
      <c r="S2012" s="55">
        <f t="shared" si="108"/>
        <v>0</v>
      </c>
    </row>
    <row r="2013" spans="1:19" hidden="1">
      <c r="A2013" s="5">
        <v>2078</v>
      </c>
      <c r="B2013" s="59"/>
      <c r="C2013" s="60"/>
      <c r="D2013" s="63"/>
      <c r="E2013" s="63"/>
      <c r="F2013" s="60"/>
      <c r="G2013" s="61"/>
      <c r="H2013" s="62" t="s">
        <v>604</v>
      </c>
      <c r="I2013" s="65">
        <v>0</v>
      </c>
      <c r="J2013" s="65">
        <v>0</v>
      </c>
      <c r="K2013" s="62"/>
      <c r="L2013" s="65">
        <v>0</v>
      </c>
      <c r="M2013" s="65">
        <v>0</v>
      </c>
      <c r="N2013" s="64">
        <v>0</v>
      </c>
      <c r="P2013">
        <f t="shared" si="106"/>
        <v>163</v>
      </c>
      <c r="Q2013" t="str">
        <f t="shared" si="107"/>
        <v>NA</v>
      </c>
      <c r="R2013" t="str">
        <f>IF(ISERROR(MATCH(P2013&amp;"."&amp;Q2013,R$5:R2012,0)),P2013&amp;"."&amp;Q2013,P2013&amp;"."&amp;Q2013&amp;COUNTIFS(P$5:P2012,P2013,Q$5:Q2012,Q2013))</f>
        <v>163.NA2</v>
      </c>
      <c r="S2013" s="55">
        <f t="shared" si="108"/>
        <v>0</v>
      </c>
    </row>
    <row r="2014" spans="1:19" hidden="1">
      <c r="A2014" s="5">
        <v>2079</v>
      </c>
      <c r="B2014" s="59"/>
      <c r="C2014" s="60"/>
      <c r="D2014" s="63"/>
      <c r="E2014" s="63"/>
      <c r="F2014" s="60"/>
      <c r="G2014" s="61"/>
      <c r="H2014" s="62"/>
      <c r="I2014" s="65"/>
      <c r="J2014" s="65"/>
      <c r="K2014" s="62"/>
      <c r="L2014" s="65"/>
      <c r="M2014" s="65"/>
      <c r="N2014" s="64"/>
      <c r="P2014">
        <f t="shared" si="106"/>
        <v>163</v>
      </c>
      <c r="Q2014" t="str">
        <f t="shared" si="107"/>
        <v>NA</v>
      </c>
      <c r="R2014" t="str">
        <f>IF(ISERROR(MATCH(P2014&amp;"."&amp;Q2014,R$5:R2013,0)),P2014&amp;"."&amp;Q2014,P2014&amp;"."&amp;Q2014&amp;COUNTIFS(P$5:P2013,P2014,Q$5:Q2013,Q2014))</f>
        <v>163.NA3</v>
      </c>
      <c r="S2014" s="55">
        <f t="shared" si="108"/>
        <v>0</v>
      </c>
    </row>
    <row r="2015" spans="1:19" hidden="1">
      <c r="A2015" s="5">
        <v>2080</v>
      </c>
      <c r="B2015" s="59"/>
      <c r="C2015" s="60">
        <v>25318</v>
      </c>
      <c r="D2015" s="63" t="s">
        <v>608</v>
      </c>
      <c r="E2015" s="63"/>
      <c r="F2015" s="60"/>
      <c r="G2015" s="61"/>
      <c r="H2015" s="62"/>
      <c r="I2015" s="65"/>
      <c r="J2015" s="65"/>
      <c r="K2015" s="62"/>
      <c r="L2015" s="65"/>
      <c r="M2015" s="65"/>
      <c r="N2015" s="64"/>
      <c r="P2015">
        <f t="shared" si="106"/>
        <v>25318</v>
      </c>
      <c r="Q2015" t="str">
        <f t="shared" si="107"/>
        <v>NA</v>
      </c>
      <c r="R2015" t="str">
        <f>IF(ISERROR(MATCH(P2015&amp;"."&amp;Q2015,R$5:R2014,0)),P2015&amp;"."&amp;Q2015,P2015&amp;"."&amp;Q2015&amp;COUNTIFS(P$5:P2014,P2015,Q$5:Q2014,Q2015))</f>
        <v>25318.NA</v>
      </c>
      <c r="S2015" s="55">
        <f t="shared" si="108"/>
        <v>0</v>
      </c>
    </row>
    <row r="2016" spans="1:19" hidden="1">
      <c r="A2016" s="5">
        <v>2081</v>
      </c>
      <c r="B2016" s="59"/>
      <c r="C2016" s="60"/>
      <c r="D2016" s="63"/>
      <c r="E2016" s="63"/>
      <c r="F2016" s="60" t="s">
        <v>611</v>
      </c>
      <c r="G2016" s="61" t="s">
        <v>15</v>
      </c>
      <c r="H2016" s="62"/>
      <c r="I2016" s="65">
        <v>-273000</v>
      </c>
      <c r="J2016" s="65">
        <v>-120113.16990110057</v>
      </c>
      <c r="K2016" s="62"/>
      <c r="L2016" s="65">
        <v>-273000</v>
      </c>
      <c r="M2016" s="65">
        <v>-152886.83009889943</v>
      </c>
      <c r="N2016" s="64">
        <v>-120113.16990110057</v>
      </c>
      <c r="P2016">
        <f t="shared" si="106"/>
        <v>25318</v>
      </c>
      <c r="Q2016" t="str">
        <f t="shared" si="107"/>
        <v>SG</v>
      </c>
      <c r="R2016" t="str">
        <f>IF(ISERROR(MATCH(P2016&amp;"."&amp;Q2016,R$5:R2015,0)),P2016&amp;"."&amp;Q2016,P2016&amp;"."&amp;Q2016&amp;COUNTIFS(P$5:P2015,P2016,Q$5:Q2015,Q2016))</f>
        <v>25318.SG</v>
      </c>
      <c r="S2016" s="55">
        <f t="shared" si="108"/>
        <v>-120113.16990110057</v>
      </c>
    </row>
    <row r="2017" spans="1:19" hidden="1">
      <c r="A2017" s="5">
        <v>2082</v>
      </c>
      <c r="B2017" s="59"/>
      <c r="C2017" s="60"/>
      <c r="D2017" s="63"/>
      <c r="E2017" s="63"/>
      <c r="F2017" s="60"/>
      <c r="G2017" s="61"/>
      <c r="H2017" s="62"/>
      <c r="I2017" s="65"/>
      <c r="J2017" s="65"/>
      <c r="K2017" s="62"/>
      <c r="L2017" s="65"/>
      <c r="M2017" s="65"/>
      <c r="N2017" s="64"/>
      <c r="P2017">
        <f t="shared" si="106"/>
        <v>25318</v>
      </c>
      <c r="Q2017" t="str">
        <f t="shared" si="107"/>
        <v>NA</v>
      </c>
      <c r="R2017" t="str">
        <f>IF(ISERROR(MATCH(P2017&amp;"."&amp;Q2017,R$5:R2016,0)),P2017&amp;"."&amp;Q2017,P2017&amp;"."&amp;Q2017&amp;COUNTIFS(P$5:P2016,P2017,Q$5:Q2016,Q2017))</f>
        <v>25318.NA1</v>
      </c>
      <c r="S2017" s="55">
        <f t="shared" si="108"/>
        <v>0</v>
      </c>
    </row>
    <row r="2018" spans="1:19" hidden="1">
      <c r="A2018" s="5">
        <v>2083</v>
      </c>
      <c r="B2018" s="59"/>
      <c r="C2018" s="60"/>
      <c r="D2018" s="63"/>
      <c r="E2018" s="63"/>
      <c r="F2018" s="60"/>
      <c r="G2018" s="61"/>
      <c r="H2018" s="62" t="s">
        <v>604</v>
      </c>
      <c r="I2018" s="65">
        <v>-273000</v>
      </c>
      <c r="J2018" s="65">
        <v>-120113.16990110057</v>
      </c>
      <c r="K2018" s="62"/>
      <c r="L2018" s="65">
        <v>-273000</v>
      </c>
      <c r="M2018" s="65">
        <v>-152886.83009889943</v>
      </c>
      <c r="N2018" s="64">
        <v>-120113.16990110057</v>
      </c>
      <c r="P2018">
        <f t="shared" si="106"/>
        <v>25318</v>
      </c>
      <c r="Q2018" t="str">
        <f t="shared" si="107"/>
        <v>NA</v>
      </c>
      <c r="R2018" t="str">
        <f>IF(ISERROR(MATCH(P2018&amp;"."&amp;Q2018,R$5:R2017,0)),P2018&amp;"."&amp;Q2018,P2018&amp;"."&amp;Q2018&amp;COUNTIFS(P$5:P2017,P2018,Q$5:Q2017,Q2018))</f>
        <v>25318.NA2</v>
      </c>
      <c r="S2018" s="55">
        <f t="shared" si="108"/>
        <v>-120113.16990110057</v>
      </c>
    </row>
    <row r="2019" spans="1:19" ht="15.75" hidden="1" thickBot="1">
      <c r="A2019" s="5">
        <v>2084</v>
      </c>
      <c r="B2019" s="59"/>
      <c r="C2019" s="60"/>
      <c r="D2019" s="63"/>
      <c r="E2019" s="63"/>
      <c r="F2019" s="63"/>
      <c r="G2019" s="63"/>
      <c r="H2019" s="62"/>
      <c r="I2019" s="81"/>
      <c r="J2019" s="81"/>
      <c r="K2019" s="62"/>
      <c r="L2019" s="81"/>
      <c r="M2019" s="81"/>
      <c r="N2019" s="81"/>
      <c r="P2019">
        <f t="shared" si="106"/>
        <v>25318</v>
      </c>
      <c r="Q2019" t="str">
        <f t="shared" si="107"/>
        <v>NA</v>
      </c>
      <c r="R2019" t="str">
        <f>IF(ISERROR(MATCH(P2019&amp;"."&amp;Q2019,R$5:R2018,0)),P2019&amp;"."&amp;Q2019,P2019&amp;"."&amp;Q2019&amp;COUNTIFS(P$5:P2018,P2019,Q$5:Q2018,Q2019))</f>
        <v>25318.NA3</v>
      </c>
      <c r="S2019" s="55">
        <f t="shared" si="108"/>
        <v>0</v>
      </c>
    </row>
    <row r="2020" spans="1:19" hidden="1">
      <c r="A2020" s="5">
        <v>2085</v>
      </c>
      <c r="B2020" s="59"/>
      <c r="C2020" s="60" t="s">
        <v>613</v>
      </c>
      <c r="D2020" s="63"/>
      <c r="E2020" s="63"/>
      <c r="F2020" s="63"/>
      <c r="G2020" s="63"/>
      <c r="H2020" s="62" t="s">
        <v>604</v>
      </c>
      <c r="I2020" s="69">
        <v>246195997.45230776</v>
      </c>
      <c r="J2020" s="69">
        <v>104248439.29282825</v>
      </c>
      <c r="K2020" s="62"/>
      <c r="L2020" s="69">
        <v>239530020.8092308</v>
      </c>
      <c r="M2020" s="65">
        <v>138218882.97076049</v>
      </c>
      <c r="N2020" s="65">
        <v>101311137.83847037</v>
      </c>
      <c r="P2020" t="str">
        <f t="shared" si="106"/>
        <v>Total Materials and Supplies</v>
      </c>
      <c r="Q2020" t="str">
        <f t="shared" si="107"/>
        <v>NA</v>
      </c>
      <c r="R2020" t="str">
        <f>IF(ISERROR(MATCH(P2020&amp;"."&amp;Q2020,R$5:R2019,0)),P2020&amp;"."&amp;Q2020,P2020&amp;"."&amp;Q2020&amp;COUNTIFS(P$5:P2019,P2020,Q$5:Q2019,Q2020))</f>
        <v>Total Materials and Supplies.NA</v>
      </c>
      <c r="S2020" s="55">
        <f t="shared" si="108"/>
        <v>101311137.83847037</v>
      </c>
    </row>
    <row r="2021" spans="1:19" hidden="1">
      <c r="A2021" s="5">
        <v>2086</v>
      </c>
      <c r="B2021" s="59"/>
      <c r="C2021" s="60"/>
      <c r="D2021" s="61"/>
      <c r="E2021" s="63"/>
      <c r="F2021" s="63"/>
      <c r="G2021" s="63"/>
      <c r="H2021" s="62"/>
      <c r="I2021" s="65"/>
      <c r="J2021" s="65"/>
      <c r="K2021" s="62"/>
      <c r="L2021" s="65"/>
      <c r="M2021" s="65"/>
      <c r="N2021" s="65"/>
      <c r="P2021" t="str">
        <f t="shared" si="106"/>
        <v>Total Materials and Supplies</v>
      </c>
      <c r="Q2021" t="str">
        <f t="shared" si="107"/>
        <v>NA</v>
      </c>
      <c r="R2021" t="str">
        <f>IF(ISERROR(MATCH(P2021&amp;"."&amp;Q2021,R$5:R2020,0)),P2021&amp;"."&amp;Q2021,P2021&amp;"."&amp;Q2021&amp;COUNTIFS(P$5:P2020,P2021,Q$5:Q2020,Q2021))</f>
        <v>Total Materials and Supplies.NA1</v>
      </c>
      <c r="S2021" s="55">
        <f t="shared" si="108"/>
        <v>0</v>
      </c>
    </row>
    <row r="2022" spans="1:19" hidden="1">
      <c r="A2022" s="5">
        <v>2087</v>
      </c>
      <c r="B2022" s="59"/>
      <c r="C2022" s="60">
        <v>165</v>
      </c>
      <c r="D2022" s="63" t="s">
        <v>614</v>
      </c>
      <c r="E2022" s="63"/>
      <c r="F2022" s="60"/>
      <c r="G2022" s="61"/>
      <c r="H2022" s="62"/>
      <c r="I2022" s="65"/>
      <c r="J2022" s="65"/>
      <c r="K2022" s="62"/>
      <c r="L2022" s="65"/>
      <c r="M2022" s="65"/>
      <c r="N2022" s="64"/>
      <c r="P2022">
        <f t="shared" si="106"/>
        <v>165</v>
      </c>
      <c r="Q2022" t="str">
        <f t="shared" si="107"/>
        <v>NA</v>
      </c>
      <c r="R2022" t="str">
        <f>IF(ISERROR(MATCH(P2022&amp;"."&amp;Q2022,R$5:R2021,0)),P2022&amp;"."&amp;Q2022,P2022&amp;"."&amp;Q2022&amp;COUNTIFS(P$5:P2021,P2022,Q$5:Q2021,Q2022))</f>
        <v>165.NA</v>
      </c>
      <c r="S2022" s="55">
        <f t="shared" si="108"/>
        <v>0</v>
      </c>
    </row>
    <row r="2023" spans="1:19" hidden="1">
      <c r="A2023" s="5">
        <v>2088</v>
      </c>
      <c r="B2023" s="59"/>
      <c r="C2023" s="60"/>
      <c r="D2023" s="63"/>
      <c r="E2023" s="63"/>
      <c r="F2023" s="60" t="s">
        <v>154</v>
      </c>
      <c r="G2023" s="61" t="s">
        <v>12</v>
      </c>
      <c r="H2023" s="62"/>
      <c r="I2023" s="65">
        <v>19471435.450769179</v>
      </c>
      <c r="J2023" s="65">
        <v>3352695.03230769</v>
      </c>
      <c r="K2023" s="62"/>
      <c r="L2023" s="65">
        <v>19471435.450769179</v>
      </c>
      <c r="M2023" s="65">
        <v>16118740.418461489</v>
      </c>
      <c r="N2023" s="64">
        <v>3352695.03230769</v>
      </c>
      <c r="P2023">
        <f t="shared" si="106"/>
        <v>165</v>
      </c>
      <c r="Q2023" t="str">
        <f t="shared" si="107"/>
        <v>S</v>
      </c>
      <c r="R2023" t="str">
        <f>IF(ISERROR(MATCH(P2023&amp;"."&amp;Q2023,R$5:R2022,0)),P2023&amp;"."&amp;Q2023,P2023&amp;"."&amp;Q2023&amp;COUNTIFS(P$5:P2022,P2023,Q$5:Q2022,Q2023))</f>
        <v>165.S</v>
      </c>
      <c r="S2023" s="55">
        <f t="shared" si="108"/>
        <v>3352695.03230769</v>
      </c>
    </row>
    <row r="2024" spans="1:19" hidden="1">
      <c r="A2024" s="5">
        <v>2089</v>
      </c>
      <c r="B2024" s="59"/>
      <c r="C2024" s="60"/>
      <c r="D2024" s="63"/>
      <c r="E2024" s="63"/>
      <c r="F2024" s="60" t="s">
        <v>140</v>
      </c>
      <c r="G2024" s="61" t="s">
        <v>423</v>
      </c>
      <c r="H2024" s="62"/>
      <c r="I2024" s="65">
        <v>5839641.9953846196</v>
      </c>
      <c r="J2024" s="65">
        <v>2534318.8176218634</v>
      </c>
      <c r="K2024" s="62"/>
      <c r="L2024" s="65">
        <v>5839641.9953846196</v>
      </c>
      <c r="M2024" s="65">
        <v>3288038.4319284414</v>
      </c>
      <c r="N2024" s="64">
        <v>2551603.5634561782</v>
      </c>
      <c r="P2024">
        <f t="shared" si="106"/>
        <v>165</v>
      </c>
      <c r="Q2024" t="str">
        <f t="shared" si="107"/>
        <v>GPS</v>
      </c>
      <c r="R2024" t="str">
        <f>IF(ISERROR(MATCH(P2024&amp;"."&amp;Q2024,R$5:R2023,0)),P2024&amp;"."&amp;Q2024,P2024&amp;"."&amp;Q2024&amp;COUNTIFS(P$5:P2023,P2024,Q$5:Q2023,Q2024))</f>
        <v>165.GPS</v>
      </c>
      <c r="S2024" s="55">
        <f t="shared" si="108"/>
        <v>2551603.5634561782</v>
      </c>
    </row>
    <row r="2025" spans="1:19" hidden="1">
      <c r="A2025" s="5">
        <v>2090</v>
      </c>
      <c r="B2025" s="59"/>
      <c r="C2025" s="60"/>
      <c r="D2025" s="63"/>
      <c r="E2025" s="63"/>
      <c r="F2025" s="60" t="s">
        <v>134</v>
      </c>
      <c r="G2025" s="61" t="s">
        <v>15</v>
      </c>
      <c r="H2025" s="62"/>
      <c r="I2025" s="65">
        <v>3344629.10384615</v>
      </c>
      <c r="J2025" s="65">
        <v>1471553.1274961112</v>
      </c>
      <c r="K2025" s="62"/>
      <c r="L2025" s="65">
        <v>3344629.10384615</v>
      </c>
      <c r="M2025" s="65">
        <v>1873075.9763500388</v>
      </c>
      <c r="N2025" s="64">
        <v>1471553.1274961112</v>
      </c>
      <c r="P2025">
        <f t="shared" si="106"/>
        <v>165</v>
      </c>
      <c r="Q2025" t="str">
        <f t="shared" si="107"/>
        <v>SG</v>
      </c>
      <c r="R2025" t="str">
        <f>IF(ISERROR(MATCH(P2025&amp;"."&amp;Q2025,R$5:R2024,0)),P2025&amp;"."&amp;Q2025,P2025&amp;"."&amp;Q2025&amp;COUNTIFS(P$5:P2024,P2025,Q$5:Q2024,Q2025))</f>
        <v>165.SG</v>
      </c>
      <c r="S2025" s="55">
        <f t="shared" si="108"/>
        <v>1471553.1274961112</v>
      </c>
    </row>
    <row r="2026" spans="1:19" hidden="1">
      <c r="A2026" s="5">
        <v>2091</v>
      </c>
      <c r="B2026" s="59"/>
      <c r="C2026" s="60"/>
      <c r="D2026" s="63"/>
      <c r="E2026" s="63"/>
      <c r="F2026" s="60" t="s">
        <v>13</v>
      </c>
      <c r="G2026" s="61" t="s">
        <v>16</v>
      </c>
      <c r="H2026" s="62"/>
      <c r="I2026" s="65">
        <v>3589.84</v>
      </c>
      <c r="J2026" s="65">
        <v>1556.4185510881327</v>
      </c>
      <c r="K2026" s="62"/>
      <c r="L2026" s="65">
        <v>3589.84</v>
      </c>
      <c r="M2026" s="65">
        <v>2033.4214489118674</v>
      </c>
      <c r="N2026" s="64">
        <v>1556.4185510881327</v>
      </c>
      <c r="P2026">
        <f t="shared" si="106"/>
        <v>165</v>
      </c>
      <c r="Q2026" t="str">
        <f t="shared" si="107"/>
        <v>SE</v>
      </c>
      <c r="R2026" t="str">
        <f>IF(ISERROR(MATCH(P2026&amp;"."&amp;Q2026,R$5:R2025,0)),P2026&amp;"."&amp;Q2026,P2026&amp;"."&amp;Q2026&amp;COUNTIFS(P$5:P2025,P2026,Q$5:Q2025,Q2026))</f>
        <v>165.SE</v>
      </c>
      <c r="S2026" s="55">
        <f t="shared" si="108"/>
        <v>1556.4185510881327</v>
      </c>
    </row>
    <row r="2027" spans="1:19" hidden="1">
      <c r="A2027" s="5">
        <v>2092</v>
      </c>
      <c r="B2027" s="59"/>
      <c r="C2027" s="60"/>
      <c r="D2027" s="63"/>
      <c r="E2027" s="63"/>
      <c r="F2027" s="60" t="s">
        <v>171</v>
      </c>
      <c r="G2027" s="61" t="s">
        <v>136</v>
      </c>
      <c r="H2027" s="62"/>
      <c r="I2027" s="65">
        <v>20800417.453076899</v>
      </c>
      <c r="J2027" s="65">
        <v>9027075.5308949407</v>
      </c>
      <c r="K2027" s="62"/>
      <c r="L2027" s="65">
        <v>20800417.453076899</v>
      </c>
      <c r="M2027" s="65">
        <v>11711774.80399077</v>
      </c>
      <c r="N2027" s="64">
        <v>9088642.6490861289</v>
      </c>
      <c r="P2027">
        <f t="shared" si="106"/>
        <v>165</v>
      </c>
      <c r="Q2027" t="str">
        <f t="shared" si="107"/>
        <v>SO</v>
      </c>
      <c r="R2027" t="str">
        <f>IF(ISERROR(MATCH(P2027&amp;"."&amp;Q2027,R$5:R2026,0)),P2027&amp;"."&amp;Q2027,P2027&amp;"."&amp;Q2027&amp;COUNTIFS(P$5:P2026,P2027,Q$5:Q2026,Q2027))</f>
        <v>165.SO</v>
      </c>
      <c r="S2027" s="55">
        <f t="shared" si="108"/>
        <v>9088642.6490861289</v>
      </c>
    </row>
    <row r="2028" spans="1:19" hidden="1">
      <c r="A2028" s="5">
        <v>2093</v>
      </c>
      <c r="B2028" s="59"/>
      <c r="C2028" s="60" t="s">
        <v>615</v>
      </c>
      <c r="D2028" s="63"/>
      <c r="E2028" s="63"/>
      <c r="F2028" s="60"/>
      <c r="G2028" s="61"/>
      <c r="H2028" s="62" t="s">
        <v>595</v>
      </c>
      <c r="I2028" s="65">
        <v>49459713.843076847</v>
      </c>
      <c r="J2028" s="65">
        <v>16387198.926871695</v>
      </c>
      <c r="K2028" s="62"/>
      <c r="L2028" s="65">
        <v>49459713.843076847</v>
      </c>
      <c r="M2028" s="65">
        <v>32993663.052179653</v>
      </c>
      <c r="N2028" s="64">
        <v>16466050.790897196</v>
      </c>
      <c r="P2028" t="str">
        <f t="shared" si="106"/>
        <v>Total Prepayments</v>
      </c>
      <c r="Q2028" t="str">
        <f t="shared" si="107"/>
        <v>NA</v>
      </c>
      <c r="R2028" t="str">
        <f>IF(ISERROR(MATCH(P2028&amp;"."&amp;Q2028,R$5:R2027,0)),P2028&amp;"."&amp;Q2028,P2028&amp;"."&amp;Q2028&amp;COUNTIFS(P$5:P2027,P2028,Q$5:Q2027,Q2028))</f>
        <v>Total Prepayments.NA</v>
      </c>
      <c r="S2028" s="55">
        <f t="shared" si="108"/>
        <v>16466050.790897196</v>
      </c>
    </row>
    <row r="2029" spans="1:19" hidden="1">
      <c r="A2029" s="5">
        <v>2094</v>
      </c>
      <c r="B2029" s="59"/>
      <c r="C2029" s="60"/>
      <c r="D2029" s="63"/>
      <c r="E2029" s="63"/>
      <c r="F2029" s="60"/>
      <c r="G2029" s="61"/>
      <c r="H2029" s="62"/>
      <c r="I2029" s="65"/>
      <c r="J2029" s="65"/>
      <c r="K2029" s="62"/>
      <c r="L2029" s="65"/>
      <c r="M2029" s="65"/>
      <c r="N2029" s="64"/>
      <c r="P2029" t="str">
        <f t="shared" si="106"/>
        <v>Total Prepayments</v>
      </c>
      <c r="Q2029" t="str">
        <f t="shared" si="107"/>
        <v>NA</v>
      </c>
      <c r="R2029" t="str">
        <f>IF(ISERROR(MATCH(P2029&amp;"."&amp;Q2029,R$5:R2028,0)),P2029&amp;"."&amp;Q2029,P2029&amp;"."&amp;Q2029&amp;COUNTIFS(P$5:P2028,P2029,Q$5:Q2028,Q2029))</f>
        <v>Total Prepayments.NA1</v>
      </c>
      <c r="S2029" s="55">
        <f t="shared" si="108"/>
        <v>0</v>
      </c>
    </row>
    <row r="2030" spans="1:19" ht="15.75" hidden="1" thickBot="1">
      <c r="A2030" s="5">
        <v>2095</v>
      </c>
      <c r="B2030" s="59"/>
      <c r="C2030" s="45" t="s">
        <v>216</v>
      </c>
      <c r="D2030" s="63" t="s">
        <v>616</v>
      </c>
      <c r="E2030" s="63"/>
      <c r="F2030" s="63"/>
      <c r="G2030" s="63"/>
      <c r="H2030" s="41"/>
      <c r="I2030" s="92"/>
      <c r="J2030" s="92"/>
      <c r="K2030" s="41"/>
      <c r="L2030" s="92"/>
      <c r="M2030" s="92"/>
      <c r="N2030" s="92"/>
      <c r="P2030" t="str">
        <f t="shared" si="106"/>
        <v>182M</v>
      </c>
      <c r="Q2030" t="str">
        <f t="shared" si="107"/>
        <v>NA</v>
      </c>
      <c r="R2030" t="str">
        <f>IF(ISERROR(MATCH(P2030&amp;"."&amp;Q2030,R$5:R2029,0)),P2030&amp;"."&amp;Q2030,P2030&amp;"."&amp;Q2030&amp;COUNTIFS(P$5:P2029,P2030,Q$5:Q2029,Q2030))</f>
        <v>182M.NA</v>
      </c>
      <c r="S2030" s="55">
        <f t="shared" si="108"/>
        <v>0</v>
      </c>
    </row>
    <row r="2031" spans="1:19" hidden="1">
      <c r="A2031" s="5">
        <v>2096</v>
      </c>
      <c r="B2031" s="59"/>
      <c r="C2031" s="60"/>
      <c r="D2031" s="63"/>
      <c r="E2031" s="63"/>
      <c r="F2031" s="63" t="s">
        <v>617</v>
      </c>
      <c r="G2031" s="63" t="s">
        <v>12</v>
      </c>
      <c r="H2031" s="62"/>
      <c r="I2031" s="65">
        <v>120386087.02384622</v>
      </c>
      <c r="J2031" s="65">
        <v>7822371.0923076896</v>
      </c>
      <c r="K2031" s="62"/>
      <c r="L2031" s="65">
        <v>105645523.46923085</v>
      </c>
      <c r="M2031" s="65">
        <v>103927590.14692315</v>
      </c>
      <c r="N2031" s="65">
        <v>1717933.32230769</v>
      </c>
      <c r="P2031" t="str">
        <f t="shared" si="106"/>
        <v>182M</v>
      </c>
      <c r="Q2031" t="str">
        <f t="shared" si="107"/>
        <v>S</v>
      </c>
      <c r="R2031" t="str">
        <f>IF(ISERROR(MATCH(P2031&amp;"."&amp;Q2031,R$5:R2030,0)),P2031&amp;"."&amp;Q2031,P2031&amp;"."&amp;Q2031&amp;COUNTIFS(P$5:P2030,P2031,Q$5:Q2030,Q2031))</f>
        <v>182M.S</v>
      </c>
      <c r="S2031" s="55">
        <f t="shared" si="108"/>
        <v>1717933.32230769</v>
      </c>
    </row>
    <row r="2032" spans="1:19" hidden="1">
      <c r="A2032" s="5">
        <v>2097</v>
      </c>
      <c r="B2032" s="59"/>
      <c r="C2032" s="60"/>
      <c r="D2032" s="63"/>
      <c r="E2032" s="63"/>
      <c r="F2032" s="63" t="s">
        <v>618</v>
      </c>
      <c r="G2032" s="63" t="s">
        <v>15</v>
      </c>
      <c r="H2032" s="62"/>
      <c r="I2032" s="65">
        <v>3448669.39</v>
      </c>
      <c r="J2032" s="65">
        <v>1517328.2504534612</v>
      </c>
      <c r="K2032" s="62"/>
      <c r="L2032" s="65">
        <v>24381831.149150535</v>
      </c>
      <c r="M2032" s="65">
        <v>13654435.444689494</v>
      </c>
      <c r="N2032" s="65">
        <v>10727395.704461042</v>
      </c>
      <c r="P2032" t="str">
        <f t="shared" si="106"/>
        <v>182M</v>
      </c>
      <c r="Q2032" t="str">
        <f t="shared" si="107"/>
        <v>SG</v>
      </c>
      <c r="R2032" t="str">
        <f>IF(ISERROR(MATCH(P2032&amp;"."&amp;Q2032,R$5:R2031,0)),P2032&amp;"."&amp;Q2032,P2032&amp;"."&amp;Q2032&amp;COUNTIFS(P$5:P2031,P2032,Q$5:Q2031,Q2032))</f>
        <v>182M.SG</v>
      </c>
      <c r="S2032" s="55">
        <f t="shared" si="108"/>
        <v>10727395.704461042</v>
      </c>
    </row>
    <row r="2033" spans="1:19" hidden="1">
      <c r="A2033" s="5">
        <v>2098</v>
      </c>
      <c r="B2033" s="59"/>
      <c r="C2033" s="60"/>
      <c r="D2033" s="61"/>
      <c r="E2033" s="63"/>
      <c r="F2033" s="63" t="s">
        <v>13</v>
      </c>
      <c r="G2033" s="63" t="s">
        <v>283</v>
      </c>
      <c r="H2033" s="62"/>
      <c r="I2033" s="65">
        <v>0</v>
      </c>
      <c r="J2033" s="65">
        <v>0</v>
      </c>
      <c r="K2033" s="62"/>
      <c r="L2033" s="65">
        <v>0</v>
      </c>
      <c r="M2033" s="65">
        <v>0</v>
      </c>
      <c r="N2033" s="65">
        <v>0</v>
      </c>
      <c r="P2033" t="str">
        <f t="shared" si="106"/>
        <v>182M</v>
      </c>
      <c r="Q2033" t="str">
        <f t="shared" si="107"/>
        <v>SGCT</v>
      </c>
      <c r="R2033" t="str">
        <f>IF(ISERROR(MATCH(P2033&amp;"."&amp;Q2033,R$5:R2032,0)),P2033&amp;"."&amp;Q2033,P2033&amp;"."&amp;Q2033&amp;COUNTIFS(P$5:P2032,P2033,Q$5:Q2032,Q2033))</f>
        <v>182M.SGCT</v>
      </c>
      <c r="S2033" s="55">
        <f t="shared" si="108"/>
        <v>0</v>
      </c>
    </row>
    <row r="2034" spans="1:19" hidden="1">
      <c r="A2034" s="5">
        <v>2099</v>
      </c>
      <c r="B2034" s="59"/>
      <c r="C2034" s="60"/>
      <c r="D2034" s="63"/>
      <c r="E2034" s="63"/>
      <c r="F2034" s="60" t="s">
        <v>618</v>
      </c>
      <c r="G2034" s="61" t="s">
        <v>418</v>
      </c>
      <c r="H2034" s="62"/>
      <c r="I2034" s="65">
        <v>0</v>
      </c>
      <c r="J2034" s="65">
        <v>0</v>
      </c>
      <c r="K2034" s="62"/>
      <c r="L2034" s="65">
        <v>0</v>
      </c>
      <c r="M2034" s="65">
        <v>0</v>
      </c>
      <c r="N2034" s="64">
        <v>0</v>
      </c>
      <c r="P2034" t="str">
        <f t="shared" si="106"/>
        <v>182M</v>
      </c>
      <c r="Q2034" t="str">
        <f t="shared" si="107"/>
        <v>SG-P</v>
      </c>
      <c r="R2034" t="str">
        <f>IF(ISERROR(MATCH(P2034&amp;"."&amp;Q2034,R$5:R2033,0)),P2034&amp;"."&amp;Q2034,P2034&amp;"."&amp;Q2034&amp;COUNTIFS(P$5:P2033,P2034,Q$5:Q2033,Q2034))</f>
        <v>182M.SG-P</v>
      </c>
      <c r="S2034" s="55">
        <f t="shared" si="108"/>
        <v>0</v>
      </c>
    </row>
    <row r="2035" spans="1:19" hidden="1">
      <c r="A2035" s="5">
        <v>2100</v>
      </c>
      <c r="B2035" s="59"/>
      <c r="C2035" s="60"/>
      <c r="D2035" s="63"/>
      <c r="E2035" s="63"/>
      <c r="F2035" s="60" t="s">
        <v>13</v>
      </c>
      <c r="G2035" s="61" t="s">
        <v>16</v>
      </c>
      <c r="H2035" s="62"/>
      <c r="I2035" s="65">
        <v>185893860.18615401</v>
      </c>
      <c r="J2035" s="65">
        <v>80596531.468565091</v>
      </c>
      <c r="K2035" s="62"/>
      <c r="L2035" s="65">
        <v>115119099.34000023</v>
      </c>
      <c r="M2035" s="65">
        <v>65207821.456491783</v>
      </c>
      <c r="N2035" s="64">
        <v>49911277.883508444</v>
      </c>
      <c r="P2035" t="str">
        <f t="shared" si="106"/>
        <v>182M</v>
      </c>
      <c r="Q2035" t="str">
        <f t="shared" si="107"/>
        <v>SE</v>
      </c>
      <c r="R2035" t="str">
        <f>IF(ISERROR(MATCH(P2035&amp;"."&amp;Q2035,R$5:R2034,0)),P2035&amp;"."&amp;Q2035,P2035&amp;"."&amp;Q2035&amp;COUNTIFS(P$5:P2034,P2035,Q$5:Q2034,Q2035))</f>
        <v>182M.SE</v>
      </c>
      <c r="S2035" s="55">
        <f t="shared" si="108"/>
        <v>49911277.883508444</v>
      </c>
    </row>
    <row r="2036" spans="1:19" hidden="1">
      <c r="A2036" s="5">
        <v>2101</v>
      </c>
      <c r="B2036" s="59"/>
      <c r="C2036" s="60"/>
      <c r="D2036" s="63"/>
      <c r="E2036" s="63"/>
      <c r="F2036" s="60" t="s">
        <v>13</v>
      </c>
      <c r="G2036" s="61" t="s">
        <v>15</v>
      </c>
      <c r="H2036" s="62"/>
      <c r="I2036" s="65">
        <v>0</v>
      </c>
      <c r="J2036" s="65">
        <v>0</v>
      </c>
      <c r="K2036" s="62"/>
      <c r="L2036" s="65">
        <v>0</v>
      </c>
      <c r="M2036" s="65">
        <v>0</v>
      </c>
      <c r="N2036" s="64">
        <v>0</v>
      </c>
      <c r="P2036" t="str">
        <f t="shared" si="106"/>
        <v>182M</v>
      </c>
      <c r="Q2036" t="str">
        <f t="shared" si="107"/>
        <v>SG</v>
      </c>
      <c r="R2036" t="str">
        <f>IF(ISERROR(MATCH(P2036&amp;"."&amp;Q2036,R$5:R2035,0)),P2036&amp;"."&amp;Q2036,P2036&amp;"."&amp;Q2036&amp;COUNTIFS(P$5:P2035,P2036,Q$5:Q2035,Q2036))</f>
        <v>182M.SG1</v>
      </c>
      <c r="S2036" s="55">
        <f t="shared" si="108"/>
        <v>0</v>
      </c>
    </row>
    <row r="2037" spans="1:19" hidden="1">
      <c r="A2037" s="5">
        <v>2102</v>
      </c>
      <c r="B2037" s="59"/>
      <c r="C2037" s="60"/>
      <c r="D2037" s="63"/>
      <c r="E2037" s="63"/>
      <c r="F2037" s="63" t="s">
        <v>619</v>
      </c>
      <c r="G2037" s="63" t="s">
        <v>136</v>
      </c>
      <c r="H2037" s="62"/>
      <c r="I2037" s="66">
        <v>471492791.84230798</v>
      </c>
      <c r="J2037" s="66">
        <v>204620943.48993185</v>
      </c>
      <c r="K2037" s="62"/>
      <c r="L2037" s="66">
        <v>360486167.74165094</v>
      </c>
      <c r="M2037" s="66">
        <v>202973465.60798609</v>
      </c>
      <c r="N2037" s="66">
        <v>157512702.13366485</v>
      </c>
      <c r="P2037" t="str">
        <f t="shared" si="106"/>
        <v>182M</v>
      </c>
      <c r="Q2037" t="str">
        <f t="shared" si="107"/>
        <v>SO</v>
      </c>
      <c r="R2037" t="str">
        <f>IF(ISERROR(MATCH(P2037&amp;"."&amp;Q2037,R$5:R2036,0)),P2037&amp;"."&amp;Q2037,P2037&amp;"."&amp;Q2037&amp;COUNTIFS(P$5:P2036,P2037,Q$5:Q2036,Q2037))</f>
        <v>182M.SO</v>
      </c>
      <c r="S2037" s="55">
        <f t="shared" si="108"/>
        <v>157512702.13366485</v>
      </c>
    </row>
    <row r="2038" spans="1:19" hidden="1">
      <c r="A2038" s="5">
        <v>2103</v>
      </c>
      <c r="B2038" s="59"/>
      <c r="C2038" s="60"/>
      <c r="D2038" s="63"/>
      <c r="E2038" s="63"/>
      <c r="F2038" s="63"/>
      <c r="G2038" s="63"/>
      <c r="H2038" s="62" t="s">
        <v>600</v>
      </c>
      <c r="I2038" s="65">
        <v>781221408.44230819</v>
      </c>
      <c r="J2038" s="65">
        <v>294557174.30125809</v>
      </c>
      <c r="K2038" s="62"/>
      <c r="L2038" s="65">
        <v>605632621.70003247</v>
      </c>
      <c r="M2038" s="65">
        <v>385763312.6560905</v>
      </c>
      <c r="N2038" s="65">
        <v>219869309.04394203</v>
      </c>
      <c r="P2038" t="str">
        <f t="shared" si="106"/>
        <v>182M</v>
      </c>
      <c r="Q2038" t="str">
        <f t="shared" si="107"/>
        <v>NA</v>
      </c>
      <c r="R2038" t="str">
        <f>IF(ISERROR(MATCH(P2038&amp;"."&amp;Q2038,R$5:R2037,0)),P2038&amp;"."&amp;Q2038,P2038&amp;"."&amp;Q2038&amp;COUNTIFS(P$5:P2037,P2038,Q$5:Q2037,Q2038))</f>
        <v>182M.NA1</v>
      </c>
      <c r="S2038" s="55">
        <f t="shared" si="108"/>
        <v>219869309.04394203</v>
      </c>
    </row>
    <row r="2039" spans="1:19" hidden="1">
      <c r="A2039" s="5">
        <v>2104</v>
      </c>
      <c r="B2039" s="59"/>
      <c r="C2039" s="60"/>
      <c r="D2039" s="105"/>
      <c r="E2039" s="94"/>
      <c r="F2039" s="63"/>
      <c r="G2039" s="63"/>
      <c r="H2039" s="62"/>
      <c r="I2039" s="65"/>
      <c r="J2039" s="65"/>
      <c r="K2039" s="62"/>
      <c r="L2039" s="65"/>
      <c r="M2039" s="65"/>
      <c r="N2039" s="65"/>
      <c r="P2039" t="str">
        <f t="shared" si="106"/>
        <v>182M</v>
      </c>
      <c r="Q2039" t="str">
        <f t="shared" si="107"/>
        <v>NA</v>
      </c>
      <c r="R2039" t="str">
        <f>IF(ISERROR(MATCH(P2039&amp;"."&amp;Q2039,R$5:R2038,0)),P2039&amp;"."&amp;Q2039,P2039&amp;"."&amp;Q2039&amp;COUNTIFS(P$5:P2038,P2039,Q$5:Q2038,Q2039))</f>
        <v>182M.NA2</v>
      </c>
      <c r="S2039" s="55">
        <f t="shared" si="108"/>
        <v>0</v>
      </c>
    </row>
    <row r="2040" spans="1:19" hidden="1">
      <c r="A2040" s="5">
        <v>2105</v>
      </c>
      <c r="B2040" s="59"/>
      <c r="C2040" s="60" t="s">
        <v>219</v>
      </c>
      <c r="D2040" s="96" t="s">
        <v>620</v>
      </c>
      <c r="E2040" s="94"/>
      <c r="F2040" s="60"/>
      <c r="G2040" s="61"/>
      <c r="H2040" s="62"/>
      <c r="I2040" s="65"/>
      <c r="J2040" s="65"/>
      <c r="K2040" s="62"/>
      <c r="L2040" s="65"/>
      <c r="M2040" s="65"/>
      <c r="N2040" s="64"/>
      <c r="P2040" t="str">
        <f t="shared" si="106"/>
        <v>186M</v>
      </c>
      <c r="Q2040" t="str">
        <f t="shared" si="107"/>
        <v>NA</v>
      </c>
      <c r="R2040" t="str">
        <f>IF(ISERROR(MATCH(P2040&amp;"."&amp;Q2040,R$5:R2039,0)),P2040&amp;"."&amp;Q2040,P2040&amp;"."&amp;Q2040&amp;COUNTIFS(P$5:P2039,P2040,Q$5:Q2039,Q2040))</f>
        <v>186M.NA</v>
      </c>
      <c r="S2040" s="55">
        <f t="shared" si="108"/>
        <v>0</v>
      </c>
    </row>
    <row r="2041" spans="1:19" hidden="1">
      <c r="A2041" s="5">
        <v>2106</v>
      </c>
      <c r="B2041" s="59"/>
      <c r="C2041" s="60"/>
      <c r="D2041" s="96"/>
      <c r="E2041" s="94"/>
      <c r="F2041" s="60" t="s">
        <v>361</v>
      </c>
      <c r="G2041" s="61" t="s">
        <v>12</v>
      </c>
      <c r="H2041" s="62"/>
      <c r="I2041" s="65">
        <v>3528662.1276923101</v>
      </c>
      <c r="J2041" s="65">
        <v>0</v>
      </c>
      <c r="K2041" s="62"/>
      <c r="L2041" s="65">
        <v>3528662.1276923101</v>
      </c>
      <c r="M2041" s="65">
        <v>3528662.1276923101</v>
      </c>
      <c r="N2041" s="64">
        <v>0</v>
      </c>
      <c r="P2041" t="str">
        <f t="shared" si="106"/>
        <v>186M</v>
      </c>
      <c r="Q2041" t="str">
        <f t="shared" si="107"/>
        <v>S</v>
      </c>
      <c r="R2041" t="str">
        <f>IF(ISERROR(MATCH(P2041&amp;"."&amp;Q2041,R$5:R2040,0)),P2041&amp;"."&amp;Q2041,P2041&amp;"."&amp;Q2041&amp;COUNTIFS(P$5:P2040,P2041,Q$5:Q2040,Q2041))</f>
        <v>186M.S</v>
      </c>
      <c r="S2041" s="55">
        <f t="shared" si="108"/>
        <v>0</v>
      </c>
    </row>
    <row r="2042" spans="1:19" hidden="1">
      <c r="A2042" s="5">
        <v>2107</v>
      </c>
      <c r="B2042" s="59"/>
      <c r="C2042" s="60"/>
      <c r="D2042" s="96"/>
      <c r="E2042" s="94"/>
      <c r="F2042" s="60" t="s">
        <v>13</v>
      </c>
      <c r="G2042" s="61" t="s">
        <v>15</v>
      </c>
      <c r="H2042" s="62"/>
      <c r="I2042" s="65">
        <v>0</v>
      </c>
      <c r="J2042" s="65">
        <v>0</v>
      </c>
      <c r="K2042" s="62"/>
      <c r="L2042" s="65">
        <v>0</v>
      </c>
      <c r="M2042" s="65">
        <v>0</v>
      </c>
      <c r="N2042" s="64">
        <v>0</v>
      </c>
      <c r="P2042" t="str">
        <f t="shared" si="106"/>
        <v>186M</v>
      </c>
      <c r="Q2042" t="str">
        <f t="shared" si="107"/>
        <v>SG</v>
      </c>
      <c r="R2042" t="str">
        <f>IF(ISERROR(MATCH(P2042&amp;"."&amp;Q2042,R$5:R2041,0)),P2042&amp;"."&amp;Q2042,P2042&amp;"."&amp;Q2042&amp;COUNTIFS(P$5:P2041,P2042,Q$5:Q2041,Q2042))</f>
        <v>186M.SG</v>
      </c>
      <c r="S2042" s="55">
        <f t="shared" si="108"/>
        <v>0</v>
      </c>
    </row>
    <row r="2043" spans="1:19" hidden="1">
      <c r="A2043" s="5">
        <v>2108</v>
      </c>
      <c r="B2043" s="59"/>
      <c r="C2043" s="60"/>
      <c r="D2043" s="96"/>
      <c r="E2043" s="94"/>
      <c r="F2043" s="60" t="s">
        <v>13</v>
      </c>
      <c r="G2043" s="61" t="s">
        <v>15</v>
      </c>
      <c r="H2043" s="62"/>
      <c r="I2043" s="65">
        <v>0</v>
      </c>
      <c r="J2043" s="65">
        <v>0</v>
      </c>
      <c r="K2043" s="62"/>
      <c r="L2043" s="65">
        <v>0</v>
      </c>
      <c r="M2043" s="65">
        <v>0</v>
      </c>
      <c r="N2043" s="64">
        <v>0</v>
      </c>
      <c r="P2043" t="str">
        <f t="shared" si="106"/>
        <v>186M</v>
      </c>
      <c r="Q2043" t="str">
        <f t="shared" si="107"/>
        <v>SG</v>
      </c>
      <c r="R2043" t="str">
        <f>IF(ISERROR(MATCH(P2043&amp;"."&amp;Q2043,R$5:R2042,0)),P2043&amp;"."&amp;Q2043,P2043&amp;"."&amp;Q2043&amp;COUNTIFS(P$5:P2042,P2043,Q$5:Q2042,Q2043))</f>
        <v>186M.SG1</v>
      </c>
      <c r="S2043" s="55">
        <f t="shared" si="108"/>
        <v>0</v>
      </c>
    </row>
    <row r="2044" spans="1:19" hidden="1">
      <c r="A2044" s="5">
        <v>2109</v>
      </c>
      <c r="B2044" s="59"/>
      <c r="C2044" s="60"/>
      <c r="D2044" s="96"/>
      <c r="E2044" s="94"/>
      <c r="F2044" s="60" t="s">
        <v>618</v>
      </c>
      <c r="G2044" s="61" t="s">
        <v>15</v>
      </c>
      <c r="H2044" s="62"/>
      <c r="I2044" s="65">
        <v>81170052.992307693</v>
      </c>
      <c r="J2044" s="65">
        <v>35712792.549254179</v>
      </c>
      <c r="K2044" s="62"/>
      <c r="L2044" s="65">
        <v>87713639.105247423</v>
      </c>
      <c r="M2044" s="65">
        <v>49121832.378169023</v>
      </c>
      <c r="N2044" s="64">
        <v>38591806.727078401</v>
      </c>
      <c r="P2044" t="str">
        <f t="shared" si="106"/>
        <v>186M</v>
      </c>
      <c r="Q2044" t="str">
        <f t="shared" si="107"/>
        <v>SG</v>
      </c>
      <c r="R2044" t="str">
        <f>IF(ISERROR(MATCH(P2044&amp;"."&amp;Q2044,R$5:R2043,0)),P2044&amp;"."&amp;Q2044,P2044&amp;"."&amp;Q2044&amp;COUNTIFS(P$5:P2043,P2044,Q$5:Q2043,Q2044))</f>
        <v>186M.SG2</v>
      </c>
      <c r="S2044" s="55">
        <f t="shared" si="108"/>
        <v>38591806.727078401</v>
      </c>
    </row>
    <row r="2045" spans="1:19" hidden="1">
      <c r="A2045" s="5">
        <v>2110</v>
      </c>
      <c r="B2045" s="59"/>
      <c r="C2045" s="60"/>
      <c r="D2045" s="96"/>
      <c r="E2045" s="94"/>
      <c r="F2045" s="60" t="s">
        <v>361</v>
      </c>
      <c r="G2045" s="61" t="s">
        <v>136</v>
      </c>
      <c r="H2045" s="62"/>
      <c r="I2045" s="65">
        <v>281966.06384615402</v>
      </c>
      <c r="J2045" s="65">
        <v>122369.12846726835</v>
      </c>
      <c r="K2045" s="62"/>
      <c r="L2045" s="65">
        <v>281966.06384615402</v>
      </c>
      <c r="M2045" s="65">
        <v>158762.34453387588</v>
      </c>
      <c r="N2045" s="64">
        <v>123203.71931227816</v>
      </c>
      <c r="P2045" t="str">
        <f t="shared" si="106"/>
        <v>186M</v>
      </c>
      <c r="Q2045" t="str">
        <f t="shared" si="107"/>
        <v>SO</v>
      </c>
      <c r="R2045" t="str">
        <f>IF(ISERROR(MATCH(P2045&amp;"."&amp;Q2045,R$5:R2044,0)),P2045&amp;"."&amp;Q2045,P2045&amp;"."&amp;Q2045&amp;COUNTIFS(P$5:P2044,P2045,Q$5:Q2044,Q2045))</f>
        <v>186M.SO</v>
      </c>
      <c r="S2045" s="55">
        <f t="shared" si="108"/>
        <v>123203.71931227816</v>
      </c>
    </row>
    <row r="2046" spans="1:19" hidden="1">
      <c r="A2046" s="5">
        <v>2111</v>
      </c>
      <c r="B2046" s="59"/>
      <c r="C2046" s="60"/>
      <c r="D2046" s="96"/>
      <c r="E2046" s="94"/>
      <c r="F2046" s="60" t="s">
        <v>13</v>
      </c>
      <c r="G2046" s="61" t="s">
        <v>16</v>
      </c>
      <c r="H2046" s="62"/>
      <c r="I2046" s="65">
        <v>1760630.37923077</v>
      </c>
      <c r="J2046" s="65">
        <v>763342.59572685813</v>
      </c>
      <c r="K2046" s="62"/>
      <c r="L2046" s="65">
        <v>1760630.37923077</v>
      </c>
      <c r="M2046" s="65">
        <v>997287.78350391192</v>
      </c>
      <c r="N2046" s="64">
        <v>763342.59572685813</v>
      </c>
      <c r="P2046" t="str">
        <f t="shared" si="106"/>
        <v>186M</v>
      </c>
      <c r="Q2046" t="str">
        <f t="shared" si="107"/>
        <v>SE</v>
      </c>
      <c r="R2046" t="str">
        <f>IF(ISERROR(MATCH(P2046&amp;"."&amp;Q2046,R$5:R2045,0)),P2046&amp;"."&amp;Q2046,P2046&amp;"."&amp;Q2046&amp;COUNTIFS(P$5:P2045,P2046,Q$5:Q2045,Q2046))</f>
        <v>186M.SE</v>
      </c>
      <c r="S2046" s="55">
        <f t="shared" si="108"/>
        <v>763342.59572685813</v>
      </c>
    </row>
    <row r="2047" spans="1:19" hidden="1">
      <c r="A2047" s="5">
        <v>2112</v>
      </c>
      <c r="B2047" s="59"/>
      <c r="C2047" s="60"/>
      <c r="D2047" s="96"/>
      <c r="E2047" s="94"/>
      <c r="F2047" s="60" t="s">
        <v>13</v>
      </c>
      <c r="G2047" s="61" t="s">
        <v>15</v>
      </c>
      <c r="H2047" s="62"/>
      <c r="I2047" s="65">
        <v>0</v>
      </c>
      <c r="J2047" s="65">
        <v>0</v>
      </c>
      <c r="K2047" s="62"/>
      <c r="L2047" s="65">
        <v>0</v>
      </c>
      <c r="M2047" s="65">
        <v>0</v>
      </c>
      <c r="N2047" s="64">
        <v>0</v>
      </c>
      <c r="P2047" t="str">
        <f t="shared" si="106"/>
        <v>186M</v>
      </c>
      <c r="Q2047" t="str">
        <f t="shared" si="107"/>
        <v>SG</v>
      </c>
      <c r="R2047" t="str">
        <f>IF(ISERROR(MATCH(P2047&amp;"."&amp;Q2047,R$5:R2046,0)),P2047&amp;"."&amp;Q2047,P2047&amp;"."&amp;Q2047&amp;COUNTIFS(P$5:P2046,P2047,Q$5:Q2046,Q2047))</f>
        <v>186M.SG3</v>
      </c>
      <c r="S2047" s="55">
        <f t="shared" si="108"/>
        <v>0</v>
      </c>
    </row>
    <row r="2048" spans="1:19" hidden="1">
      <c r="A2048" s="5">
        <v>2113</v>
      </c>
      <c r="B2048" s="59"/>
      <c r="C2048" s="60"/>
      <c r="D2048" s="94"/>
      <c r="E2048" s="94"/>
      <c r="F2048" s="60" t="s">
        <v>140</v>
      </c>
      <c r="G2048" s="61" t="s">
        <v>425</v>
      </c>
      <c r="H2048" s="62"/>
      <c r="I2048" s="65">
        <v>0</v>
      </c>
      <c r="J2048" s="65">
        <v>0</v>
      </c>
      <c r="K2048" s="62"/>
      <c r="L2048" s="65">
        <v>0</v>
      </c>
      <c r="M2048" s="65">
        <v>0</v>
      </c>
      <c r="N2048" s="64">
        <v>0</v>
      </c>
      <c r="P2048" t="str">
        <f t="shared" si="106"/>
        <v>186M</v>
      </c>
      <c r="Q2048" t="str">
        <f t="shared" si="107"/>
        <v>EXCTAX</v>
      </c>
      <c r="R2048" t="str">
        <f>IF(ISERROR(MATCH(P2048&amp;"."&amp;Q2048,R$5:R2047,0)),P2048&amp;"."&amp;Q2048,P2048&amp;"."&amp;Q2048&amp;COUNTIFS(P$5:P2047,P2048,Q$5:Q2047,Q2048))</f>
        <v>186M.EXCTAX</v>
      </c>
      <c r="S2048" s="55">
        <f t="shared" si="108"/>
        <v>0</v>
      </c>
    </row>
    <row r="2049" spans="1:19" hidden="1">
      <c r="A2049" s="5">
        <v>2114</v>
      </c>
      <c r="B2049" s="59"/>
      <c r="C2049" s="60" t="s">
        <v>621</v>
      </c>
      <c r="D2049" s="94"/>
      <c r="E2049" s="94"/>
      <c r="F2049" s="60"/>
      <c r="G2049" s="61"/>
      <c r="H2049" s="62" t="s">
        <v>622</v>
      </c>
      <c r="I2049" s="65">
        <v>86741311.563076928</v>
      </c>
      <c r="J2049" s="65">
        <v>36598504.273448303</v>
      </c>
      <c r="K2049" s="62"/>
      <c r="L2049" s="65">
        <v>93284897.676016659</v>
      </c>
      <c r="M2049" s="65">
        <v>53806544.633899122</v>
      </c>
      <c r="N2049" s="64">
        <v>39478353.042117536</v>
      </c>
      <c r="P2049" t="str">
        <f t="shared" si="106"/>
        <v>Total Misc. Deferred Debits</v>
      </c>
      <c r="Q2049" t="str">
        <f t="shared" si="107"/>
        <v>NA</v>
      </c>
      <c r="R2049" t="str">
        <f>IF(ISERROR(MATCH(P2049&amp;"."&amp;Q2049,R$5:R2048,0)),P2049&amp;"."&amp;Q2049,P2049&amp;"."&amp;Q2049&amp;COUNTIFS(P$5:P2048,P2049,Q$5:Q2048,Q2049))</f>
        <v>Total Misc. Deferred Debits.NA</v>
      </c>
      <c r="S2049" s="55">
        <f t="shared" si="108"/>
        <v>39478353.042117536</v>
      </c>
    </row>
    <row r="2050" spans="1:19" hidden="1">
      <c r="A2050" s="5">
        <v>2115</v>
      </c>
      <c r="B2050" s="59"/>
      <c r="C2050" s="60"/>
      <c r="D2050" s="94"/>
      <c r="E2050" s="94"/>
      <c r="F2050" s="60"/>
      <c r="G2050" s="61"/>
      <c r="H2050" s="62"/>
      <c r="I2050" s="65"/>
      <c r="J2050" s="65"/>
      <c r="K2050" s="62"/>
      <c r="L2050" s="65"/>
      <c r="M2050" s="65"/>
      <c r="N2050" s="64"/>
      <c r="P2050" t="str">
        <f t="shared" si="106"/>
        <v>Total Misc. Deferred Debits</v>
      </c>
      <c r="Q2050" t="str">
        <f t="shared" si="107"/>
        <v>NA</v>
      </c>
      <c r="R2050" t="str">
        <f>IF(ISERROR(MATCH(P2050&amp;"."&amp;Q2050,R$5:R2049,0)),P2050&amp;"."&amp;Q2050,P2050&amp;"."&amp;Q2050&amp;COUNTIFS(P$5:P2049,P2050,Q$5:Q2049,Q2050))</f>
        <v>Total Misc. Deferred Debits.NA1</v>
      </c>
      <c r="S2050" s="55">
        <f t="shared" si="108"/>
        <v>0</v>
      </c>
    </row>
    <row r="2051" spans="1:19" hidden="1">
      <c r="A2051" s="5">
        <v>2116</v>
      </c>
      <c r="B2051" s="59"/>
      <c r="C2051" s="60" t="s">
        <v>623</v>
      </c>
      <c r="D2051" s="94"/>
      <c r="E2051" s="94"/>
      <c r="F2051" s="60"/>
      <c r="G2051" s="61"/>
      <c r="H2051" s="62"/>
      <c r="I2051" s="65"/>
      <c r="J2051" s="65"/>
      <c r="K2051" s="62"/>
      <c r="L2051" s="65"/>
      <c r="M2051" s="65"/>
      <c r="N2051" s="64"/>
      <c r="P2051" t="str">
        <f t="shared" si="106"/>
        <v>Working Capital</v>
      </c>
      <c r="Q2051" t="str">
        <f t="shared" si="107"/>
        <v>NA</v>
      </c>
      <c r="R2051" t="str">
        <f>IF(ISERROR(MATCH(P2051&amp;"."&amp;Q2051,R$5:R2050,0)),P2051&amp;"."&amp;Q2051,P2051&amp;"."&amp;Q2051&amp;COUNTIFS(P$5:P2050,P2051,Q$5:Q2050,Q2051))</f>
        <v>Working Capital.NA</v>
      </c>
      <c r="S2051" s="55">
        <f t="shared" si="108"/>
        <v>0</v>
      </c>
    </row>
    <row r="2052" spans="1:19" hidden="1">
      <c r="A2052" s="5">
        <v>2117</v>
      </c>
      <c r="B2052" s="59"/>
      <c r="C2052" s="60" t="s">
        <v>244</v>
      </c>
      <c r="D2052" s="94" t="s">
        <v>624</v>
      </c>
      <c r="E2052" s="94"/>
      <c r="F2052" s="60"/>
      <c r="G2052" s="61"/>
      <c r="H2052" s="62"/>
      <c r="I2052" s="65"/>
      <c r="J2052" s="65"/>
      <c r="K2052" s="62"/>
      <c r="L2052" s="65"/>
      <c r="M2052" s="65"/>
      <c r="N2052" s="64"/>
      <c r="P2052" t="str">
        <f t="shared" si="106"/>
        <v>CWC</v>
      </c>
      <c r="Q2052" t="str">
        <f t="shared" si="107"/>
        <v>NA</v>
      </c>
      <c r="R2052" t="str">
        <f>IF(ISERROR(MATCH(P2052&amp;"."&amp;Q2052,R$5:R2051,0)),P2052&amp;"."&amp;Q2052,P2052&amp;"."&amp;Q2052&amp;COUNTIFS(P$5:P2051,P2052,Q$5:Q2051,Q2052))</f>
        <v>CWC.NA</v>
      </c>
      <c r="S2052" s="55">
        <f t="shared" si="108"/>
        <v>0</v>
      </c>
    </row>
    <row r="2053" spans="1:19" hidden="1">
      <c r="A2053" s="5">
        <v>2118</v>
      </c>
      <c r="B2053" s="59"/>
      <c r="C2053" s="60"/>
      <c r="D2053" s="94"/>
      <c r="E2053" s="94"/>
      <c r="F2053" s="60" t="s">
        <v>244</v>
      </c>
      <c r="G2053" s="61" t="s">
        <v>12</v>
      </c>
      <c r="H2053" s="62"/>
      <c r="I2053" s="65">
        <v>29065416.666078094</v>
      </c>
      <c r="J2053" s="65">
        <v>15230221.401558183</v>
      </c>
      <c r="K2053" s="62"/>
      <c r="L2053" s="65">
        <v>24796761.069775455</v>
      </c>
      <c r="M2053" s="65">
        <v>11795796.757642167</v>
      </c>
      <c r="N2053" s="64">
        <v>13000964.312133288</v>
      </c>
      <c r="P2053" t="str">
        <f t="shared" si="106"/>
        <v>CWC</v>
      </c>
      <c r="Q2053" t="str">
        <f t="shared" si="107"/>
        <v>S</v>
      </c>
      <c r="R2053" t="str">
        <f>IF(ISERROR(MATCH(P2053&amp;"."&amp;Q2053,R$5:R2052,0)),P2053&amp;"."&amp;Q2053,P2053&amp;"."&amp;Q2053&amp;COUNTIFS(P$5:P2052,P2053,Q$5:Q2052,Q2053))</f>
        <v>CWC.S</v>
      </c>
      <c r="S2053" s="55">
        <f t="shared" si="108"/>
        <v>13000964.312133288</v>
      </c>
    </row>
    <row r="2054" spans="1:19" hidden="1">
      <c r="A2054" s="5">
        <v>2119</v>
      </c>
      <c r="B2054" s="59"/>
      <c r="C2054" s="60"/>
      <c r="D2054" s="94"/>
      <c r="E2054" s="94"/>
      <c r="F2054" s="60" t="s">
        <v>244</v>
      </c>
      <c r="G2054" s="61" t="s">
        <v>136</v>
      </c>
      <c r="H2054" s="62"/>
      <c r="I2054" s="65">
        <v>0</v>
      </c>
      <c r="J2054" s="65">
        <v>0</v>
      </c>
      <c r="K2054" s="62"/>
      <c r="L2054" s="65">
        <v>0</v>
      </c>
      <c r="M2054" s="65">
        <v>0</v>
      </c>
      <c r="N2054" s="64">
        <v>0</v>
      </c>
      <c r="P2054" t="str">
        <f t="shared" si="106"/>
        <v>CWC</v>
      </c>
      <c r="Q2054" t="str">
        <f t="shared" si="107"/>
        <v>SO</v>
      </c>
      <c r="R2054" t="str">
        <f>IF(ISERROR(MATCH(P2054&amp;"."&amp;Q2054,R$5:R2053,0)),P2054&amp;"."&amp;Q2054,P2054&amp;"."&amp;Q2054&amp;COUNTIFS(P$5:P2053,P2054,Q$5:Q2053,Q2054))</f>
        <v>CWC.SO</v>
      </c>
      <c r="S2054" s="55">
        <f t="shared" si="108"/>
        <v>0</v>
      </c>
    </row>
    <row r="2055" spans="1:19" hidden="1">
      <c r="A2055" s="5">
        <v>2120</v>
      </c>
      <c r="B2055" s="59"/>
      <c r="C2055" s="60"/>
      <c r="D2055" s="63"/>
      <c r="E2055" s="63"/>
      <c r="F2055" s="63" t="s">
        <v>244</v>
      </c>
      <c r="G2055" s="63" t="s">
        <v>16</v>
      </c>
      <c r="H2055" s="62"/>
      <c r="I2055" s="66">
        <v>0</v>
      </c>
      <c r="J2055" s="66">
        <v>0</v>
      </c>
      <c r="K2055" s="62"/>
      <c r="L2055" s="66">
        <v>0</v>
      </c>
      <c r="M2055" s="66">
        <v>0</v>
      </c>
      <c r="N2055" s="66">
        <v>0</v>
      </c>
      <c r="P2055" t="str">
        <f t="shared" ref="P2055:P2118" si="109">IF(OR(C2055="",C2055=" ",C2055="  ",C2055="   "),P2054,C2055)</f>
        <v>CWC</v>
      </c>
      <c r="Q2055" t="str">
        <f t="shared" ref="Q2055:Q2118" si="110">IF(G2055="","NA",G2055)</f>
        <v>SE</v>
      </c>
      <c r="R2055" t="str">
        <f>IF(ISERROR(MATCH(P2055&amp;"."&amp;Q2055,R$5:R2054,0)),P2055&amp;"."&amp;Q2055,P2055&amp;"."&amp;Q2055&amp;COUNTIFS(P$5:P2054,P2055,Q$5:Q2054,Q2055))</f>
        <v>CWC.SE</v>
      </c>
      <c r="S2055" s="55">
        <f t="shared" si="108"/>
        <v>0</v>
      </c>
    </row>
    <row r="2056" spans="1:19" hidden="1">
      <c r="A2056" s="5">
        <v>2121</v>
      </c>
      <c r="B2056" s="59"/>
      <c r="C2056" s="60"/>
      <c r="D2056" s="63"/>
      <c r="E2056" s="63"/>
      <c r="F2056" s="63"/>
      <c r="G2056" s="63"/>
      <c r="H2056" s="62" t="s">
        <v>625</v>
      </c>
      <c r="I2056" s="65">
        <v>29065416.666078094</v>
      </c>
      <c r="J2056" s="65">
        <v>15230221.401558183</v>
      </c>
      <c r="K2056" s="62"/>
      <c r="L2056" s="65">
        <v>24796761.069775455</v>
      </c>
      <c r="M2056" s="65">
        <v>11795796.757642167</v>
      </c>
      <c r="N2056" s="65">
        <v>13000964.312133288</v>
      </c>
      <c r="P2056" t="str">
        <f t="shared" si="109"/>
        <v>CWC</v>
      </c>
      <c r="Q2056" t="str">
        <f t="shared" si="110"/>
        <v>NA</v>
      </c>
      <c r="R2056" t="str">
        <f>IF(ISERROR(MATCH(P2056&amp;"."&amp;Q2056,R$5:R2055,0)),P2056&amp;"."&amp;Q2056,P2056&amp;"."&amp;Q2056&amp;COUNTIFS(P$5:P2055,P2056,Q$5:Q2055,Q2056))</f>
        <v>CWC.NA1</v>
      </c>
      <c r="S2056" s="55">
        <f t="shared" ref="S2056:S2119" si="111">N2056</f>
        <v>13000964.312133288</v>
      </c>
    </row>
    <row r="2057" spans="1:19" ht="15.75" hidden="1" thickBot="1">
      <c r="A2057" s="5">
        <v>2122</v>
      </c>
      <c r="B2057" s="59"/>
      <c r="C2057" s="45"/>
      <c r="D2057" s="63"/>
      <c r="E2057" s="63"/>
      <c r="F2057" s="63"/>
      <c r="G2057" s="63"/>
      <c r="H2057" s="41"/>
      <c r="I2057" s="68"/>
      <c r="J2057" s="68"/>
      <c r="K2057" s="41"/>
      <c r="L2057" s="68"/>
      <c r="M2057" s="68"/>
      <c r="N2057" s="68"/>
      <c r="P2057" t="str">
        <f t="shared" si="109"/>
        <v>CWC</v>
      </c>
      <c r="Q2057" t="str">
        <f t="shared" si="110"/>
        <v>NA</v>
      </c>
      <c r="R2057" t="str">
        <f>IF(ISERROR(MATCH(P2057&amp;"."&amp;Q2057,R$5:R2056,0)),P2057&amp;"."&amp;Q2057,P2057&amp;"."&amp;Q2057&amp;COUNTIFS(P$5:P2056,P2057,Q$5:Q2056,Q2057))</f>
        <v>CWC.NA2</v>
      </c>
      <c r="S2057" s="55">
        <f t="shared" si="111"/>
        <v>0</v>
      </c>
    </row>
    <row r="2058" spans="1:19" hidden="1">
      <c r="A2058" s="5">
        <v>2123</v>
      </c>
      <c r="B2058" s="59"/>
      <c r="C2058" s="60" t="s">
        <v>257</v>
      </c>
      <c r="D2058" s="63" t="s">
        <v>626</v>
      </c>
      <c r="E2058" s="63"/>
      <c r="F2058" s="63"/>
      <c r="G2058" s="63"/>
      <c r="H2058" s="62"/>
      <c r="I2058" s="65"/>
      <c r="J2058" s="65"/>
      <c r="K2058" s="62"/>
      <c r="L2058" s="65"/>
      <c r="M2058" s="65"/>
      <c r="N2058" s="65"/>
      <c r="P2058" t="str">
        <f t="shared" si="109"/>
        <v>OWC</v>
      </c>
      <c r="Q2058" t="str">
        <f t="shared" si="110"/>
        <v>NA</v>
      </c>
      <c r="R2058" t="str">
        <f>IF(ISERROR(MATCH(P2058&amp;"."&amp;Q2058,R$5:R2057,0)),P2058&amp;"."&amp;Q2058,P2058&amp;"."&amp;Q2058&amp;COUNTIFS(P$5:P2057,P2058,Q$5:Q2057,Q2058))</f>
        <v>OWC.NA</v>
      </c>
      <c r="S2058" s="55">
        <f t="shared" si="111"/>
        <v>0</v>
      </c>
    </row>
    <row r="2059" spans="1:19" hidden="1">
      <c r="A2059" s="5">
        <v>2124</v>
      </c>
      <c r="B2059" s="59"/>
      <c r="C2059" s="60">
        <v>131</v>
      </c>
      <c r="D2059" s="61" t="s">
        <v>627</v>
      </c>
      <c r="E2059" s="63"/>
      <c r="F2059" s="63" t="s">
        <v>140</v>
      </c>
      <c r="G2059" s="63" t="s">
        <v>433</v>
      </c>
      <c r="H2059" s="62"/>
      <c r="I2059" s="65">
        <v>0</v>
      </c>
      <c r="J2059" s="65">
        <v>0</v>
      </c>
      <c r="K2059" s="62"/>
      <c r="L2059" s="65">
        <v>0</v>
      </c>
      <c r="M2059" s="65">
        <v>0</v>
      </c>
      <c r="N2059" s="65">
        <v>0</v>
      </c>
      <c r="P2059">
        <f t="shared" si="109"/>
        <v>131</v>
      </c>
      <c r="Q2059" t="str">
        <f t="shared" si="110"/>
        <v>SNP</v>
      </c>
      <c r="R2059" t="str">
        <f>IF(ISERROR(MATCH(P2059&amp;"."&amp;Q2059,R$5:R2058,0)),P2059&amp;"."&amp;Q2059,P2059&amp;"."&amp;Q2059&amp;COUNTIFS(P$5:P2058,P2059,Q$5:Q2058,Q2059))</f>
        <v>131.SNP</v>
      </c>
      <c r="S2059" s="55">
        <f t="shared" si="111"/>
        <v>0</v>
      </c>
    </row>
    <row r="2060" spans="1:19" hidden="1">
      <c r="A2060" s="5">
        <v>2125</v>
      </c>
      <c r="B2060" s="59"/>
      <c r="C2060" s="60">
        <v>135</v>
      </c>
      <c r="D2060" s="63" t="s">
        <v>628</v>
      </c>
      <c r="E2060" s="63"/>
      <c r="F2060" s="60" t="s">
        <v>140</v>
      </c>
      <c r="G2060" s="61" t="s">
        <v>15</v>
      </c>
      <c r="H2060" s="62"/>
      <c r="I2060" s="65">
        <v>0</v>
      </c>
      <c r="J2060" s="65">
        <v>0</v>
      </c>
      <c r="K2060" s="62"/>
      <c r="L2060" s="65">
        <v>0</v>
      </c>
      <c r="M2060" s="65">
        <v>0</v>
      </c>
      <c r="N2060" s="64">
        <v>0</v>
      </c>
      <c r="P2060">
        <f t="shared" si="109"/>
        <v>135</v>
      </c>
      <c r="Q2060" t="str">
        <f t="shared" si="110"/>
        <v>SG</v>
      </c>
      <c r="R2060" t="str">
        <f>IF(ISERROR(MATCH(P2060&amp;"."&amp;Q2060,R$5:R2059,0)),P2060&amp;"."&amp;Q2060,P2060&amp;"."&amp;Q2060&amp;COUNTIFS(P$5:P2059,P2060,Q$5:Q2059,Q2060))</f>
        <v>135.SG</v>
      </c>
      <c r="S2060" s="55">
        <f t="shared" si="111"/>
        <v>0</v>
      </c>
    </row>
    <row r="2061" spans="1:19" hidden="1">
      <c r="A2061" s="5">
        <v>2126</v>
      </c>
      <c r="B2061" s="59"/>
      <c r="C2061" s="60">
        <v>141</v>
      </c>
      <c r="D2061" s="63" t="s">
        <v>629</v>
      </c>
      <c r="E2061" s="63"/>
      <c r="F2061" s="63" t="s">
        <v>140</v>
      </c>
      <c r="G2061" s="63" t="s">
        <v>136</v>
      </c>
      <c r="H2061" s="62"/>
      <c r="I2061" s="65">
        <v>0</v>
      </c>
      <c r="J2061" s="65">
        <v>0</v>
      </c>
      <c r="K2061" s="62"/>
      <c r="L2061" s="65">
        <v>0</v>
      </c>
      <c r="M2061" s="65">
        <v>0</v>
      </c>
      <c r="N2061" s="65">
        <v>0</v>
      </c>
      <c r="P2061">
        <f t="shared" si="109"/>
        <v>141</v>
      </c>
      <c r="Q2061" t="str">
        <f t="shared" si="110"/>
        <v>SO</v>
      </c>
      <c r="R2061" t="str">
        <f>IF(ISERROR(MATCH(P2061&amp;"."&amp;Q2061,R$5:R2060,0)),P2061&amp;"."&amp;Q2061,P2061&amp;"."&amp;Q2061&amp;COUNTIFS(P$5:P2060,P2061,Q$5:Q2060,Q2061))</f>
        <v>141.SO</v>
      </c>
      <c r="S2061" s="55">
        <f t="shared" si="111"/>
        <v>0</v>
      </c>
    </row>
    <row r="2062" spans="1:19" hidden="1">
      <c r="A2062" s="5">
        <v>2127</v>
      </c>
      <c r="B2062" s="59"/>
      <c r="C2062" s="60">
        <v>143</v>
      </c>
      <c r="D2062" s="63" t="s">
        <v>630</v>
      </c>
      <c r="E2062" s="63"/>
      <c r="F2062" s="63" t="s">
        <v>140</v>
      </c>
      <c r="G2062" s="63" t="s">
        <v>136</v>
      </c>
      <c r="H2062" s="62"/>
      <c r="I2062" s="66">
        <v>39073061.655000038</v>
      </c>
      <c r="J2062" s="66">
        <v>16957134.614181738</v>
      </c>
      <c r="K2062" s="62"/>
      <c r="L2062" s="66">
        <v>39073061.655000038</v>
      </c>
      <c r="M2062" s="66">
        <v>22000274.755933549</v>
      </c>
      <c r="N2062" s="66">
        <v>17072786.899066489</v>
      </c>
      <c r="P2062">
        <f t="shared" si="109"/>
        <v>143</v>
      </c>
      <c r="Q2062" t="str">
        <f t="shared" si="110"/>
        <v>SO</v>
      </c>
      <c r="R2062" t="str">
        <f>IF(ISERROR(MATCH(P2062&amp;"."&amp;Q2062,R$5:R2061,0)),P2062&amp;"."&amp;Q2062,P2062&amp;"."&amp;Q2062&amp;COUNTIFS(P$5:P2061,P2062,Q$5:Q2061,Q2062))</f>
        <v>143.SO</v>
      </c>
      <c r="S2062" s="55">
        <f t="shared" si="111"/>
        <v>17072786.899066489</v>
      </c>
    </row>
    <row r="2063" spans="1:19" hidden="1">
      <c r="A2063" s="5">
        <v>2128</v>
      </c>
      <c r="B2063" s="59"/>
      <c r="C2063" s="60">
        <v>232</v>
      </c>
      <c r="D2063" s="63" t="s">
        <v>631</v>
      </c>
      <c r="E2063" s="63"/>
      <c r="F2063" s="63" t="s">
        <v>171</v>
      </c>
      <c r="G2063" s="63" t="s">
        <v>12</v>
      </c>
      <c r="H2063" s="62"/>
      <c r="I2063" s="65">
        <v>-15475</v>
      </c>
      <c r="J2063" s="65">
        <v>0</v>
      </c>
      <c r="K2063" s="62"/>
      <c r="L2063" s="65">
        <v>-15475</v>
      </c>
      <c r="M2063" s="65">
        <v>-15475</v>
      </c>
      <c r="N2063" s="65">
        <v>0</v>
      </c>
      <c r="P2063">
        <f t="shared" si="109"/>
        <v>232</v>
      </c>
      <c r="Q2063" t="str">
        <f t="shared" si="110"/>
        <v>S</v>
      </c>
      <c r="R2063" t="str">
        <f>IF(ISERROR(MATCH(P2063&amp;"."&amp;Q2063,R$5:R2062,0)),P2063&amp;"."&amp;Q2063,P2063&amp;"."&amp;Q2063&amp;COUNTIFS(P$5:P2062,P2063,Q$5:Q2062,Q2063))</f>
        <v>232.S</v>
      </c>
      <c r="S2063" s="55">
        <f t="shared" si="111"/>
        <v>0</v>
      </c>
    </row>
    <row r="2064" spans="1:19" hidden="1">
      <c r="A2064" s="5">
        <v>2129</v>
      </c>
      <c r="B2064" s="59"/>
      <c r="C2064" s="60">
        <v>232</v>
      </c>
      <c r="D2064" s="61" t="s">
        <v>631</v>
      </c>
      <c r="E2064" s="63"/>
      <c r="F2064" s="63" t="s">
        <v>171</v>
      </c>
      <c r="G2064" s="63" t="s">
        <v>136</v>
      </c>
      <c r="H2064" s="62"/>
      <c r="I2064" s="65">
        <v>-6992292.0316666663</v>
      </c>
      <c r="J2064" s="65">
        <v>-3034551.9961952893</v>
      </c>
      <c r="K2064" s="62"/>
      <c r="L2064" s="65">
        <v>-6992292.0316666663</v>
      </c>
      <c r="M2064" s="65">
        <v>-3937043.5628687446</v>
      </c>
      <c r="N2064" s="65">
        <v>-3055248.4687979217</v>
      </c>
      <c r="P2064">
        <f t="shared" si="109"/>
        <v>232</v>
      </c>
      <c r="Q2064" t="str">
        <f t="shared" si="110"/>
        <v>SO</v>
      </c>
      <c r="R2064" t="str">
        <f>IF(ISERROR(MATCH(P2064&amp;"."&amp;Q2064,R$5:R2063,0)),P2064&amp;"."&amp;Q2064,P2064&amp;"."&amp;Q2064&amp;COUNTIFS(P$5:P2063,P2064,Q$5:Q2063,Q2064))</f>
        <v>232.SO</v>
      </c>
      <c r="S2064" s="55">
        <f t="shared" si="111"/>
        <v>-3055248.4687979217</v>
      </c>
    </row>
    <row r="2065" spans="1:19" hidden="1">
      <c r="A2065" s="5">
        <v>2130</v>
      </c>
      <c r="B2065" s="59"/>
      <c r="C2065" s="60">
        <v>232</v>
      </c>
      <c r="D2065" s="63" t="s">
        <v>631</v>
      </c>
      <c r="E2065" s="63"/>
      <c r="F2065" s="60" t="s">
        <v>13</v>
      </c>
      <c r="G2065" s="61" t="s">
        <v>16</v>
      </c>
      <c r="H2065" s="62"/>
      <c r="I2065" s="65">
        <v>-1732588.9883333365</v>
      </c>
      <c r="J2065" s="65">
        <v>-751184.91154286126</v>
      </c>
      <c r="K2065" s="62"/>
      <c r="L2065" s="65">
        <v>-1732588.9883333365</v>
      </c>
      <c r="M2065" s="65">
        <v>-981404.07679047529</v>
      </c>
      <c r="N2065" s="64">
        <v>-751184.91154286126</v>
      </c>
      <c r="P2065">
        <f t="shared" si="109"/>
        <v>232</v>
      </c>
      <c r="Q2065" t="str">
        <f t="shared" si="110"/>
        <v>SE</v>
      </c>
      <c r="R2065" t="str">
        <f>IF(ISERROR(MATCH(P2065&amp;"."&amp;Q2065,R$5:R2064,0)),P2065&amp;"."&amp;Q2065,P2065&amp;"."&amp;Q2065&amp;COUNTIFS(P$5:P2064,P2065,Q$5:Q2064,Q2065))</f>
        <v>232.SE</v>
      </c>
      <c r="S2065" s="55">
        <f t="shared" si="111"/>
        <v>-751184.91154286126</v>
      </c>
    </row>
    <row r="2066" spans="1:19" hidden="1">
      <c r="A2066" s="5">
        <v>2131</v>
      </c>
      <c r="B2066" s="59"/>
      <c r="C2066" s="60">
        <v>232</v>
      </c>
      <c r="D2066" s="63" t="s">
        <v>631</v>
      </c>
      <c r="E2066" s="63"/>
      <c r="F2066" s="60" t="s">
        <v>18</v>
      </c>
      <c r="G2066" s="61" t="s">
        <v>15</v>
      </c>
      <c r="H2066" s="62"/>
      <c r="I2066" s="65">
        <v>-2987663.3491666699</v>
      </c>
      <c r="J2066" s="65">
        <v>-1314497.126248159</v>
      </c>
      <c r="K2066" s="62"/>
      <c r="L2066" s="65">
        <v>-2987663.3491666699</v>
      </c>
      <c r="M2066" s="65">
        <v>-1673166.2229185109</v>
      </c>
      <c r="N2066" s="64">
        <v>-1314497.126248159</v>
      </c>
      <c r="P2066">
        <f t="shared" si="109"/>
        <v>232</v>
      </c>
      <c r="Q2066" t="str">
        <f t="shared" si="110"/>
        <v>SG</v>
      </c>
      <c r="R2066" t="str">
        <f>IF(ISERROR(MATCH(P2066&amp;"."&amp;Q2066,R$5:R2065,0)),P2066&amp;"."&amp;Q2066,P2066&amp;"."&amp;Q2066&amp;COUNTIFS(P$5:P2065,P2066,Q$5:Q2065,Q2066))</f>
        <v>232.SG</v>
      </c>
      <c r="S2066" s="55">
        <f t="shared" si="111"/>
        <v>-1314497.126248159</v>
      </c>
    </row>
    <row r="2067" spans="1:19" hidden="1">
      <c r="A2067" s="5">
        <v>2132</v>
      </c>
      <c r="B2067" s="59"/>
      <c r="C2067" s="60">
        <v>2533</v>
      </c>
      <c r="D2067" s="63" t="s">
        <v>632</v>
      </c>
      <c r="E2067" s="63"/>
      <c r="F2067" s="60" t="s">
        <v>13</v>
      </c>
      <c r="G2067" s="61" t="s">
        <v>12</v>
      </c>
      <c r="H2067" s="62"/>
      <c r="I2067" s="65">
        <v>0</v>
      </c>
      <c r="J2067" s="65">
        <v>0</v>
      </c>
      <c r="K2067" s="62"/>
      <c r="L2067" s="65">
        <v>0</v>
      </c>
      <c r="M2067" s="65">
        <v>0</v>
      </c>
      <c r="N2067" s="64">
        <v>0</v>
      </c>
      <c r="P2067">
        <f t="shared" si="109"/>
        <v>2533</v>
      </c>
      <c r="Q2067" t="str">
        <f t="shared" si="110"/>
        <v>S</v>
      </c>
      <c r="R2067" t="str">
        <f>IF(ISERROR(MATCH(P2067&amp;"."&amp;Q2067,R$5:R2066,0)),P2067&amp;"."&amp;Q2067,P2067&amp;"."&amp;Q2067&amp;COUNTIFS(P$5:P2066,P2067,Q$5:Q2066,Q2067))</f>
        <v>2533.S</v>
      </c>
      <c r="S2067" s="55">
        <f t="shared" si="111"/>
        <v>0</v>
      </c>
    </row>
    <row r="2068" spans="1:19" hidden="1">
      <c r="A2068" s="5">
        <v>2133</v>
      </c>
      <c r="B2068" s="59"/>
      <c r="C2068" s="60">
        <v>2533</v>
      </c>
      <c r="D2068" s="63" t="s">
        <v>632</v>
      </c>
      <c r="E2068" s="63"/>
      <c r="F2068" s="63" t="s">
        <v>13</v>
      </c>
      <c r="G2068" s="63" t="s">
        <v>16</v>
      </c>
      <c r="H2068" s="62"/>
      <c r="I2068" s="66">
        <v>-6633773.8191666706</v>
      </c>
      <c r="J2068" s="66">
        <v>-2876152.8747447734</v>
      </c>
      <c r="K2068" s="62"/>
      <c r="L2068" s="66">
        <v>-7155387.3921066672</v>
      </c>
      <c r="M2068" s="66">
        <v>-4053082.6439014683</v>
      </c>
      <c r="N2068" s="66">
        <v>-3102304.7482051989</v>
      </c>
      <c r="P2068">
        <f t="shared" si="109"/>
        <v>2533</v>
      </c>
      <c r="Q2068" t="str">
        <f t="shared" si="110"/>
        <v>SE</v>
      </c>
      <c r="R2068" t="str">
        <f>IF(ISERROR(MATCH(P2068&amp;"."&amp;Q2068,R$5:R2067,0)),P2068&amp;"."&amp;Q2068,P2068&amp;"."&amp;Q2068&amp;COUNTIFS(P$5:P2067,P2068,Q$5:Q2067,Q2068))</f>
        <v>2533.SE</v>
      </c>
      <c r="S2068" s="55">
        <f t="shared" si="111"/>
        <v>-3102304.7482051989</v>
      </c>
    </row>
    <row r="2069" spans="1:19" hidden="1">
      <c r="A2069" s="5">
        <v>2134</v>
      </c>
      <c r="B2069" s="59"/>
      <c r="C2069" s="60">
        <v>230</v>
      </c>
      <c r="D2069" s="63" t="s">
        <v>633</v>
      </c>
      <c r="E2069" s="63"/>
      <c r="F2069" s="63" t="s">
        <v>13</v>
      </c>
      <c r="G2069" s="63" t="s">
        <v>15</v>
      </c>
      <c r="H2069" s="62"/>
      <c r="I2069" s="69">
        <v>0</v>
      </c>
      <c r="J2069" s="69">
        <v>0</v>
      </c>
      <c r="K2069" s="62"/>
      <c r="L2069" s="69">
        <v>0</v>
      </c>
      <c r="M2069" s="65">
        <v>0</v>
      </c>
      <c r="N2069" s="65">
        <v>0</v>
      </c>
      <c r="P2069">
        <f t="shared" si="109"/>
        <v>230</v>
      </c>
      <c r="Q2069" t="str">
        <f t="shared" si="110"/>
        <v>SG</v>
      </c>
      <c r="R2069" t="str">
        <f>IF(ISERROR(MATCH(P2069&amp;"."&amp;Q2069,R$5:R2068,0)),P2069&amp;"."&amp;Q2069,P2069&amp;"."&amp;Q2069&amp;COUNTIFS(P$5:P2068,P2069,Q$5:Q2068,Q2069))</f>
        <v>230.SG</v>
      </c>
      <c r="S2069" s="55">
        <f t="shared" si="111"/>
        <v>0</v>
      </c>
    </row>
    <row r="2070" spans="1:19" hidden="1">
      <c r="A2070" s="5">
        <v>2135</v>
      </c>
      <c r="B2070" s="59"/>
      <c r="C2070" s="60">
        <v>230</v>
      </c>
      <c r="D2070" s="63" t="s">
        <v>633</v>
      </c>
      <c r="E2070" s="70"/>
      <c r="F2070" s="63" t="s">
        <v>13</v>
      </c>
      <c r="G2070" s="63" t="s">
        <v>12</v>
      </c>
      <c r="H2070" s="62"/>
      <c r="I2070" s="69">
        <v>-5559147.9141666694</v>
      </c>
      <c r="J2070" s="69">
        <v>0</v>
      </c>
      <c r="K2070" s="62"/>
      <c r="L2070" s="69">
        <v>-5559147.9141666694</v>
      </c>
      <c r="M2070" s="69">
        <v>-5559147.9141666694</v>
      </c>
      <c r="N2070" s="69">
        <v>0</v>
      </c>
      <c r="P2070">
        <f t="shared" si="109"/>
        <v>230</v>
      </c>
      <c r="Q2070" t="str">
        <f t="shared" si="110"/>
        <v>S</v>
      </c>
      <c r="R2070" t="str">
        <f>IF(ISERROR(MATCH(P2070&amp;"."&amp;Q2070,R$5:R2069,0)),P2070&amp;"."&amp;Q2070,P2070&amp;"."&amp;Q2070&amp;COUNTIFS(P$5:P2069,P2070,Q$5:Q2069,Q2070))</f>
        <v>230.S</v>
      </c>
      <c r="S2070" s="55">
        <f t="shared" si="111"/>
        <v>0</v>
      </c>
    </row>
    <row r="2071" spans="1:19" hidden="1">
      <c r="A2071" s="5">
        <v>2136</v>
      </c>
      <c r="B2071" s="59"/>
      <c r="C2071" s="71">
        <v>254</v>
      </c>
      <c r="D2071" s="72" t="s">
        <v>634</v>
      </c>
      <c r="E2071" s="73"/>
      <c r="F2071" s="63" t="s">
        <v>13</v>
      </c>
      <c r="G2071" s="72" t="s">
        <v>15</v>
      </c>
      <c r="H2071" s="74"/>
      <c r="I2071" s="75">
        <v>0</v>
      </c>
      <c r="J2071" s="75">
        <v>0</v>
      </c>
      <c r="K2071" s="62"/>
      <c r="L2071" s="75">
        <v>-20208826.999999996</v>
      </c>
      <c r="M2071" s="75">
        <v>-11317448.718121065</v>
      </c>
      <c r="N2071" s="75">
        <v>-8891378.2818789314</v>
      </c>
      <c r="P2071">
        <f t="shared" si="109"/>
        <v>254</v>
      </c>
      <c r="Q2071" t="str">
        <f t="shared" si="110"/>
        <v>SG</v>
      </c>
      <c r="R2071" t="str">
        <f>IF(ISERROR(MATCH(P2071&amp;"."&amp;Q2071,R$5:R2070,0)),P2071&amp;"."&amp;Q2071,P2071&amp;"."&amp;Q2071&amp;COUNTIFS(P$5:P2070,P2071,Q$5:Q2070,Q2071))</f>
        <v>254.SG</v>
      </c>
      <c r="S2071" s="55">
        <f t="shared" si="111"/>
        <v>-8891378.2818789314</v>
      </c>
    </row>
    <row r="2072" spans="1:19" hidden="1">
      <c r="A2072" s="5">
        <v>2137</v>
      </c>
      <c r="B2072" s="59"/>
      <c r="C2072" s="60">
        <v>254</v>
      </c>
      <c r="D2072" s="61" t="s">
        <v>634</v>
      </c>
      <c r="E2072" s="63"/>
      <c r="F2072" s="63" t="s">
        <v>13</v>
      </c>
      <c r="G2072" s="63" t="s">
        <v>447</v>
      </c>
      <c r="H2072" s="62"/>
      <c r="I2072" s="65">
        <v>0</v>
      </c>
      <c r="J2072" s="65">
        <v>0</v>
      </c>
      <c r="K2072" s="62"/>
      <c r="L2072" s="65">
        <v>0</v>
      </c>
      <c r="M2072" s="65">
        <v>0</v>
      </c>
      <c r="N2072" s="65">
        <v>0</v>
      </c>
      <c r="P2072">
        <f t="shared" si="109"/>
        <v>254</v>
      </c>
      <c r="Q2072" t="str">
        <f t="shared" si="110"/>
        <v>TROJD</v>
      </c>
      <c r="R2072" t="str">
        <f>IF(ISERROR(MATCH(P2072&amp;"."&amp;Q2072,R$5:R2071,0)),P2072&amp;"."&amp;Q2072,P2072&amp;"."&amp;Q2072&amp;COUNTIFS(P$5:P2071,P2072,Q$5:Q2071,Q2072))</f>
        <v>254.TROJD</v>
      </c>
      <c r="S2072" s="55">
        <f t="shared" si="111"/>
        <v>0</v>
      </c>
    </row>
    <row r="2073" spans="1:19" hidden="1">
      <c r="A2073" s="5">
        <v>2138</v>
      </c>
      <c r="B2073" s="59"/>
      <c r="C2073" s="60">
        <v>2533</v>
      </c>
      <c r="D2073" s="63" t="s">
        <v>635</v>
      </c>
      <c r="E2073" s="63"/>
      <c r="F2073" s="60" t="s">
        <v>13</v>
      </c>
      <c r="G2073" s="61" t="s">
        <v>16</v>
      </c>
      <c r="H2073" s="62"/>
      <c r="I2073" s="65">
        <v>0</v>
      </c>
      <c r="J2073" s="65">
        <v>0</v>
      </c>
      <c r="K2073" s="62"/>
      <c r="L2073" s="65">
        <v>0</v>
      </c>
      <c r="M2073" s="65">
        <v>0</v>
      </c>
      <c r="N2073" s="64">
        <v>0</v>
      </c>
      <c r="P2073">
        <f t="shared" si="109"/>
        <v>2533</v>
      </c>
      <c r="Q2073" t="str">
        <f t="shared" si="110"/>
        <v>SE</v>
      </c>
      <c r="R2073" t="str">
        <f>IF(ISERROR(MATCH(P2073&amp;"."&amp;Q2073,R$5:R2072,0)),P2073&amp;"."&amp;Q2073,P2073&amp;"."&amp;Q2073&amp;COUNTIFS(P$5:P2072,P2073,Q$5:Q2072,Q2073))</f>
        <v>2533.SE1</v>
      </c>
      <c r="S2073" s="55">
        <f t="shared" si="111"/>
        <v>0</v>
      </c>
    </row>
    <row r="2074" spans="1:19" hidden="1">
      <c r="A2074" s="5">
        <v>2139</v>
      </c>
      <c r="B2074" s="59"/>
      <c r="C2074" s="60"/>
      <c r="D2074" s="63"/>
      <c r="E2074" s="63"/>
      <c r="F2074" s="60"/>
      <c r="G2074" s="61"/>
      <c r="H2074" s="62" t="s">
        <v>625</v>
      </c>
      <c r="I2074" s="65">
        <v>15152120.552500024</v>
      </c>
      <c r="J2074" s="65">
        <v>8980747.7054506559</v>
      </c>
      <c r="K2074" s="62"/>
      <c r="L2074" s="65">
        <v>-5578320.0204399675</v>
      </c>
      <c r="M2074" s="65">
        <v>-5536493.3828333812</v>
      </c>
      <c r="N2074" s="64">
        <v>-41826.637606581673</v>
      </c>
      <c r="P2074">
        <f t="shared" si="109"/>
        <v>2533</v>
      </c>
      <c r="Q2074" t="str">
        <f t="shared" si="110"/>
        <v>NA</v>
      </c>
      <c r="R2074" t="str">
        <f>IF(ISERROR(MATCH(P2074&amp;"."&amp;Q2074,R$5:R2073,0)),P2074&amp;"."&amp;Q2074,P2074&amp;"."&amp;Q2074&amp;COUNTIFS(P$5:P2073,P2074,Q$5:Q2073,Q2074))</f>
        <v>2533.NA</v>
      </c>
      <c r="S2074" s="55">
        <f t="shared" si="111"/>
        <v>-41826.637606581673</v>
      </c>
    </row>
    <row r="2075" spans="1:19" hidden="1">
      <c r="A2075" s="5">
        <v>2140</v>
      </c>
      <c r="B2075" s="59"/>
      <c r="C2075" s="60"/>
      <c r="D2075" s="63"/>
      <c r="E2075" s="63"/>
      <c r="F2075" s="63"/>
      <c r="G2075" s="63"/>
      <c r="H2075" s="62"/>
      <c r="I2075" s="66"/>
      <c r="J2075" s="66"/>
      <c r="K2075" s="62"/>
      <c r="L2075" s="66"/>
      <c r="M2075" s="66"/>
      <c r="N2075" s="66"/>
      <c r="P2075">
        <f t="shared" si="109"/>
        <v>2533</v>
      </c>
      <c r="Q2075" t="str">
        <f t="shared" si="110"/>
        <v>NA</v>
      </c>
      <c r="R2075" t="str">
        <f>IF(ISERROR(MATCH(P2075&amp;"."&amp;Q2075,R$5:R2074,0)),P2075&amp;"."&amp;Q2075,P2075&amp;"."&amp;Q2075&amp;COUNTIFS(P$5:P2074,P2075,Q$5:Q2074,Q2075))</f>
        <v>2533.NA1</v>
      </c>
      <c r="S2075" s="55">
        <f t="shared" si="111"/>
        <v>0</v>
      </c>
    </row>
    <row r="2076" spans="1:19" hidden="1">
      <c r="A2076" s="5">
        <v>2141</v>
      </c>
      <c r="B2076" s="59"/>
      <c r="C2076" s="60" t="s">
        <v>636</v>
      </c>
      <c r="D2076" s="63"/>
      <c r="E2076" s="63"/>
      <c r="F2076" s="63"/>
      <c r="G2076" s="63"/>
      <c r="H2076" s="62" t="s">
        <v>625</v>
      </c>
      <c r="I2076" s="65">
        <v>44217537.21857813</v>
      </c>
      <c r="J2076" s="65">
        <v>24210969.107008837</v>
      </c>
      <c r="K2076" s="62"/>
      <c r="L2076" s="65">
        <v>19218441.049335491</v>
      </c>
      <c r="M2076" s="65">
        <v>6259303.3748087864</v>
      </c>
      <c r="N2076" s="65">
        <v>12959137.674526701</v>
      </c>
      <c r="P2076" t="str">
        <f t="shared" si="109"/>
        <v>Total Working Capital</v>
      </c>
      <c r="Q2076" t="str">
        <f t="shared" si="110"/>
        <v>NA</v>
      </c>
      <c r="R2076" t="str">
        <f>IF(ISERROR(MATCH(P2076&amp;"."&amp;Q2076,R$5:R2075,0)),P2076&amp;"."&amp;Q2076,P2076&amp;"."&amp;Q2076&amp;COUNTIFS(P$5:P2075,P2076,Q$5:Q2075,Q2076))</f>
        <v>Total Working Capital.NA</v>
      </c>
      <c r="S2076" s="55">
        <f t="shared" si="111"/>
        <v>12959137.674526701</v>
      </c>
    </row>
    <row r="2077" spans="1:19" ht="15.75" hidden="1" thickBot="1">
      <c r="A2077" s="5">
        <v>2142</v>
      </c>
      <c r="B2077" s="59"/>
      <c r="C2077" s="45" t="s">
        <v>637</v>
      </c>
      <c r="D2077" s="63"/>
      <c r="E2077" s="63"/>
      <c r="F2077" s="63"/>
      <c r="G2077" s="63"/>
      <c r="H2077" s="41"/>
      <c r="I2077" s="68"/>
      <c r="J2077" s="68"/>
      <c r="K2077" s="41"/>
      <c r="L2077" s="68"/>
      <c r="M2077" s="68"/>
      <c r="N2077" s="68"/>
      <c r="P2077" t="str">
        <f t="shared" si="109"/>
        <v>Miscellaneous Rate Base</v>
      </c>
      <c r="Q2077" t="str">
        <f t="shared" si="110"/>
        <v>NA</v>
      </c>
      <c r="R2077" t="str">
        <f>IF(ISERROR(MATCH(P2077&amp;"."&amp;Q2077,R$5:R2076,0)),P2077&amp;"."&amp;Q2077,P2077&amp;"."&amp;Q2077&amp;COUNTIFS(P$5:P2076,P2077,Q$5:Q2076,Q2077))</f>
        <v>Miscellaneous Rate Base.NA</v>
      </c>
      <c r="S2077" s="55">
        <f t="shared" si="111"/>
        <v>0</v>
      </c>
    </row>
    <row r="2078" spans="1:19" hidden="1">
      <c r="A2078" s="5">
        <v>2143</v>
      </c>
      <c r="B2078" s="59"/>
      <c r="C2078" s="60">
        <v>18221</v>
      </c>
      <c r="D2078" s="63" t="s">
        <v>638</v>
      </c>
      <c r="E2078" s="63"/>
      <c r="F2078" s="63"/>
      <c r="G2078" s="63"/>
      <c r="H2078" s="62"/>
      <c r="I2078" s="65"/>
      <c r="J2078" s="65"/>
      <c r="K2078" s="62"/>
      <c r="L2078" s="65"/>
      <c r="M2078" s="65"/>
      <c r="N2078" s="65"/>
      <c r="P2078">
        <f t="shared" si="109"/>
        <v>18221</v>
      </c>
      <c r="Q2078" t="str">
        <f t="shared" si="110"/>
        <v>NA</v>
      </c>
      <c r="R2078" t="str">
        <f>IF(ISERROR(MATCH(P2078&amp;"."&amp;Q2078,R$5:R2077,0)),P2078&amp;"."&amp;Q2078,P2078&amp;"."&amp;Q2078&amp;COUNTIFS(P$5:P2077,P2078,Q$5:Q2077,Q2078))</f>
        <v>18221.NA</v>
      </c>
      <c r="S2078" s="55">
        <f t="shared" si="111"/>
        <v>0</v>
      </c>
    </row>
    <row r="2079" spans="1:19" ht="15.75" hidden="1" thickBot="1">
      <c r="A2079" s="5">
        <v>2144</v>
      </c>
      <c r="B2079" s="59"/>
      <c r="C2079" s="45"/>
      <c r="D2079" s="63"/>
      <c r="E2079" s="63"/>
      <c r="F2079" s="63" t="s">
        <v>13</v>
      </c>
      <c r="G2079" s="63" t="s">
        <v>12</v>
      </c>
      <c r="H2079" s="41"/>
      <c r="I2079" s="68">
        <v>0</v>
      </c>
      <c r="J2079" s="68">
        <v>0</v>
      </c>
      <c r="K2079" s="41"/>
      <c r="L2079" s="68">
        <v>0</v>
      </c>
      <c r="M2079" s="68">
        <v>0</v>
      </c>
      <c r="N2079" s="68">
        <v>0</v>
      </c>
      <c r="P2079">
        <f t="shared" si="109"/>
        <v>18221</v>
      </c>
      <c r="Q2079" t="str">
        <f t="shared" si="110"/>
        <v>S</v>
      </c>
      <c r="R2079" t="str">
        <f>IF(ISERROR(MATCH(P2079&amp;"."&amp;Q2079,R$5:R2078,0)),P2079&amp;"."&amp;Q2079,P2079&amp;"."&amp;Q2079&amp;COUNTIFS(P$5:P2078,P2079,Q$5:Q2078,Q2079))</f>
        <v>18221.S</v>
      </c>
      <c r="S2079" s="55">
        <f t="shared" si="111"/>
        <v>0</v>
      </c>
    </row>
    <row r="2080" spans="1:19" hidden="1">
      <c r="A2080" s="5">
        <v>2145</v>
      </c>
      <c r="B2080" s="59"/>
      <c r="C2080" s="60"/>
      <c r="D2080" s="61"/>
      <c r="E2080" s="63"/>
      <c r="F2080" s="63"/>
      <c r="G2080" s="63"/>
      <c r="H2080" s="62"/>
      <c r="I2080" s="65"/>
      <c r="J2080" s="65"/>
      <c r="K2080" s="62"/>
      <c r="L2080" s="65"/>
      <c r="M2080" s="65"/>
      <c r="N2080" s="65"/>
      <c r="P2080">
        <f t="shared" si="109"/>
        <v>18221</v>
      </c>
      <c r="Q2080" t="str">
        <f t="shared" si="110"/>
        <v>NA</v>
      </c>
      <c r="R2080" t="str">
        <f>IF(ISERROR(MATCH(P2080&amp;"."&amp;Q2080,R$5:R2079,0)),P2080&amp;"."&amp;Q2080,P2080&amp;"."&amp;Q2080&amp;COUNTIFS(P$5:P2079,P2080,Q$5:Q2079,Q2080))</f>
        <v>18221.NA1</v>
      </c>
      <c r="S2080" s="55">
        <f t="shared" si="111"/>
        <v>0</v>
      </c>
    </row>
    <row r="2081" spans="1:19" hidden="1">
      <c r="A2081" s="5">
        <v>2146</v>
      </c>
      <c r="B2081" s="59"/>
      <c r="C2081" s="60"/>
      <c r="D2081" s="63"/>
      <c r="E2081" s="63"/>
      <c r="F2081" s="60"/>
      <c r="G2081" s="61"/>
      <c r="H2081" s="62"/>
      <c r="I2081" s="65">
        <v>0</v>
      </c>
      <c r="J2081" s="65">
        <v>0</v>
      </c>
      <c r="K2081" s="62"/>
      <c r="L2081" s="65">
        <v>0</v>
      </c>
      <c r="M2081" s="65">
        <v>0</v>
      </c>
      <c r="N2081" s="64">
        <v>0</v>
      </c>
      <c r="P2081">
        <f t="shared" si="109"/>
        <v>18221</v>
      </c>
      <c r="Q2081" t="str">
        <f t="shared" si="110"/>
        <v>NA</v>
      </c>
      <c r="R2081" t="str">
        <f>IF(ISERROR(MATCH(P2081&amp;"."&amp;Q2081,R$5:R2080,0)),P2081&amp;"."&amp;Q2081,P2081&amp;"."&amp;Q2081&amp;COUNTIFS(P$5:P2080,P2081,Q$5:Q2080,Q2081))</f>
        <v>18221.NA2</v>
      </c>
      <c r="S2081" s="55">
        <f t="shared" si="111"/>
        <v>0</v>
      </c>
    </row>
    <row r="2082" spans="1:19" hidden="1">
      <c r="A2082" s="5">
        <v>2147</v>
      </c>
      <c r="B2082" s="59"/>
      <c r="C2082" s="60"/>
      <c r="D2082" s="63"/>
      <c r="E2082" s="63"/>
      <c r="F2082" s="60"/>
      <c r="G2082" s="61"/>
      <c r="H2082" s="62"/>
      <c r="I2082" s="65"/>
      <c r="J2082" s="65"/>
      <c r="K2082" s="62"/>
      <c r="L2082" s="65"/>
      <c r="M2082" s="65"/>
      <c r="N2082" s="64"/>
      <c r="P2082">
        <f t="shared" si="109"/>
        <v>18221</v>
      </c>
      <c r="Q2082" t="str">
        <f t="shared" si="110"/>
        <v>NA</v>
      </c>
      <c r="R2082" t="str">
        <f>IF(ISERROR(MATCH(P2082&amp;"."&amp;Q2082,R$5:R2081,0)),P2082&amp;"."&amp;Q2082,P2082&amp;"."&amp;Q2082&amp;COUNTIFS(P$5:P2081,P2082,Q$5:Q2081,Q2082))</f>
        <v>18221.NA3</v>
      </c>
      <c r="S2082" s="55">
        <f t="shared" si="111"/>
        <v>0</v>
      </c>
    </row>
    <row r="2083" spans="1:19" ht="15.75" hidden="1" thickBot="1">
      <c r="A2083" s="5">
        <v>2148</v>
      </c>
      <c r="B2083" s="59"/>
      <c r="C2083" s="45">
        <v>18222</v>
      </c>
      <c r="D2083" s="63" t="s">
        <v>639</v>
      </c>
      <c r="E2083" s="63"/>
      <c r="F2083" s="63"/>
      <c r="G2083" s="63"/>
      <c r="H2083" s="62"/>
      <c r="I2083" s="92"/>
      <c r="J2083" s="92"/>
      <c r="K2083" s="41"/>
      <c r="L2083" s="92"/>
      <c r="M2083" s="92"/>
      <c r="N2083" s="92"/>
      <c r="P2083">
        <f t="shared" si="109"/>
        <v>18222</v>
      </c>
      <c r="Q2083" t="str">
        <f t="shared" si="110"/>
        <v>NA</v>
      </c>
      <c r="R2083" t="str">
        <f>IF(ISERROR(MATCH(P2083&amp;"."&amp;Q2083,R$5:R2082,0)),P2083&amp;"."&amp;Q2083,P2083&amp;"."&amp;Q2083&amp;COUNTIFS(P$5:P2082,P2083,Q$5:Q2082,Q2083))</f>
        <v>18222.NA</v>
      </c>
      <c r="S2083" s="55">
        <f t="shared" si="111"/>
        <v>0</v>
      </c>
    </row>
    <row r="2084" spans="1:19" hidden="1">
      <c r="A2084" s="5">
        <v>2149</v>
      </c>
      <c r="B2084" s="59"/>
      <c r="C2084" s="60"/>
      <c r="D2084" s="63"/>
      <c r="E2084" s="63"/>
      <c r="F2084" s="63" t="s">
        <v>13</v>
      </c>
      <c r="G2084" s="63" t="s">
        <v>12</v>
      </c>
      <c r="H2084" s="62"/>
      <c r="I2084" s="65">
        <v>0</v>
      </c>
      <c r="J2084" s="65">
        <v>0</v>
      </c>
      <c r="K2084" s="62"/>
      <c r="L2084" s="65">
        <v>0</v>
      </c>
      <c r="M2084" s="65">
        <v>0</v>
      </c>
      <c r="N2084" s="65">
        <v>0</v>
      </c>
      <c r="P2084">
        <f t="shared" si="109"/>
        <v>18222</v>
      </c>
      <c r="Q2084" t="str">
        <f t="shared" si="110"/>
        <v>S</v>
      </c>
      <c r="R2084" t="str">
        <f>IF(ISERROR(MATCH(P2084&amp;"."&amp;Q2084,R$5:R2083,0)),P2084&amp;"."&amp;Q2084,P2084&amp;"."&amp;Q2084&amp;COUNTIFS(P$5:P2083,P2084,Q$5:Q2083,Q2084))</f>
        <v>18222.S</v>
      </c>
      <c r="S2084" s="55">
        <f t="shared" si="111"/>
        <v>0</v>
      </c>
    </row>
    <row r="2085" spans="1:19" hidden="1">
      <c r="A2085" s="5">
        <v>2150</v>
      </c>
      <c r="B2085" s="59"/>
      <c r="C2085" s="60"/>
      <c r="D2085" s="61"/>
      <c r="E2085" s="94"/>
      <c r="F2085" s="60" t="s">
        <v>13</v>
      </c>
      <c r="G2085" s="61" t="s">
        <v>284</v>
      </c>
      <c r="H2085" s="62"/>
      <c r="I2085" s="65">
        <v>0</v>
      </c>
      <c r="J2085" s="65">
        <v>0</v>
      </c>
      <c r="K2085" s="62"/>
      <c r="L2085" s="65">
        <v>0</v>
      </c>
      <c r="M2085" s="65">
        <v>0</v>
      </c>
      <c r="N2085" s="64">
        <v>0</v>
      </c>
      <c r="P2085">
        <f t="shared" si="109"/>
        <v>18222</v>
      </c>
      <c r="Q2085" t="str">
        <f t="shared" si="110"/>
        <v>TROJP</v>
      </c>
      <c r="R2085" t="str">
        <f>IF(ISERROR(MATCH(P2085&amp;"."&amp;Q2085,R$5:R2084,0)),P2085&amp;"."&amp;Q2085,P2085&amp;"."&amp;Q2085&amp;COUNTIFS(P$5:P2084,P2085,Q$5:Q2084,Q2085))</f>
        <v>18222.TROJP</v>
      </c>
      <c r="S2085" s="55">
        <f t="shared" si="111"/>
        <v>0</v>
      </c>
    </row>
    <row r="2086" spans="1:19" hidden="1">
      <c r="A2086" s="5">
        <v>2151</v>
      </c>
      <c r="B2086" s="59"/>
      <c r="C2086" s="60"/>
      <c r="D2086" s="61"/>
      <c r="E2086" s="94"/>
      <c r="F2086" s="60" t="s">
        <v>13</v>
      </c>
      <c r="G2086" s="61" t="s">
        <v>447</v>
      </c>
      <c r="H2086" s="62"/>
      <c r="I2086" s="65">
        <v>0</v>
      </c>
      <c r="J2086" s="65">
        <v>0</v>
      </c>
      <c r="K2086" s="62"/>
      <c r="L2086" s="65">
        <v>0</v>
      </c>
      <c r="M2086" s="65">
        <v>0</v>
      </c>
      <c r="N2086" s="64">
        <v>0</v>
      </c>
      <c r="P2086">
        <f t="shared" si="109"/>
        <v>18222</v>
      </c>
      <c r="Q2086" t="str">
        <f t="shared" si="110"/>
        <v>TROJD</v>
      </c>
      <c r="R2086" t="str">
        <f>IF(ISERROR(MATCH(P2086&amp;"."&amp;Q2086,R$5:R2085,0)),P2086&amp;"."&amp;Q2086,P2086&amp;"."&amp;Q2086&amp;COUNTIFS(P$5:P2085,P2086,Q$5:Q2085,Q2086))</f>
        <v>18222.TROJD</v>
      </c>
      <c r="S2086" s="55">
        <f t="shared" si="111"/>
        <v>0</v>
      </c>
    </row>
    <row r="2087" spans="1:19" hidden="1">
      <c r="A2087" s="5">
        <v>2152</v>
      </c>
      <c r="B2087" s="59"/>
      <c r="C2087" s="60"/>
      <c r="D2087" s="61"/>
      <c r="E2087" s="94"/>
      <c r="F2087" s="60"/>
      <c r="G2087" s="61"/>
      <c r="H2087" s="62" t="s">
        <v>600</v>
      </c>
      <c r="I2087" s="65">
        <v>0</v>
      </c>
      <c r="J2087" s="65">
        <v>0</v>
      </c>
      <c r="K2087" s="62"/>
      <c r="L2087" s="65">
        <v>0</v>
      </c>
      <c r="M2087" s="65">
        <v>0</v>
      </c>
      <c r="N2087" s="64">
        <v>0</v>
      </c>
      <c r="P2087">
        <f t="shared" si="109"/>
        <v>18222</v>
      </c>
      <c r="Q2087" t="str">
        <f t="shared" si="110"/>
        <v>NA</v>
      </c>
      <c r="R2087" t="str">
        <f>IF(ISERROR(MATCH(P2087&amp;"."&amp;Q2087,R$5:R2086,0)),P2087&amp;"."&amp;Q2087,P2087&amp;"."&amp;Q2087&amp;COUNTIFS(P$5:P2086,P2087,Q$5:Q2086,Q2087))</f>
        <v>18222.NA1</v>
      </c>
      <c r="S2087" s="55">
        <f t="shared" si="111"/>
        <v>0</v>
      </c>
    </row>
    <row r="2088" spans="1:19" hidden="1">
      <c r="A2088" s="5">
        <v>2153</v>
      </c>
      <c r="B2088" s="59"/>
      <c r="C2088" s="60"/>
      <c r="D2088" s="61"/>
      <c r="E2088" s="94"/>
      <c r="F2088" s="60"/>
      <c r="G2088" s="61"/>
      <c r="H2088" s="62"/>
      <c r="I2088" s="65"/>
      <c r="J2088" s="65"/>
      <c r="K2088" s="62"/>
      <c r="L2088" s="65"/>
      <c r="M2088" s="65"/>
      <c r="N2088" s="64"/>
      <c r="P2088">
        <f t="shared" si="109"/>
        <v>18222</v>
      </c>
      <c r="Q2088" t="str">
        <f t="shared" si="110"/>
        <v>NA</v>
      </c>
      <c r="R2088" t="str">
        <f>IF(ISERROR(MATCH(P2088&amp;"."&amp;Q2088,R$5:R2087,0)),P2088&amp;"."&amp;Q2088,P2088&amp;"."&amp;Q2088&amp;COUNTIFS(P$5:P2087,P2088,Q$5:Q2087,Q2088))</f>
        <v>18222.NA2</v>
      </c>
      <c r="S2088" s="55">
        <f t="shared" si="111"/>
        <v>0</v>
      </c>
    </row>
    <row r="2089" spans="1:19" hidden="1">
      <c r="A2089" s="5">
        <v>2154</v>
      </c>
      <c r="B2089" s="59"/>
      <c r="C2089" s="60"/>
      <c r="D2089" s="61"/>
      <c r="E2089" s="94"/>
      <c r="F2089" s="60"/>
      <c r="G2089" s="61"/>
      <c r="H2089" s="62"/>
      <c r="I2089" s="65"/>
      <c r="J2089" s="65"/>
      <c r="K2089" s="62"/>
      <c r="L2089" s="65"/>
      <c r="M2089" s="65"/>
      <c r="N2089" s="64"/>
      <c r="P2089">
        <f t="shared" si="109"/>
        <v>18222</v>
      </c>
      <c r="Q2089" t="str">
        <f t="shared" si="110"/>
        <v>NA</v>
      </c>
      <c r="R2089" t="str">
        <f>IF(ISERROR(MATCH(P2089&amp;"."&amp;Q2089,R$5:R2088,0)),P2089&amp;"."&amp;Q2089,P2089&amp;"."&amp;Q2089&amp;COUNTIFS(P$5:P2088,P2089,Q$5:Q2088,Q2089))</f>
        <v>18222.NA3</v>
      </c>
      <c r="S2089" s="55">
        <f t="shared" si="111"/>
        <v>0</v>
      </c>
    </row>
    <row r="2090" spans="1:19" hidden="1">
      <c r="A2090" s="5">
        <v>2155</v>
      </c>
      <c r="B2090" s="59"/>
      <c r="C2090" s="60"/>
      <c r="D2090" s="61"/>
      <c r="E2090" s="94"/>
      <c r="F2090" s="60"/>
      <c r="G2090" s="61"/>
      <c r="H2090" s="62"/>
      <c r="I2090" s="65"/>
      <c r="J2090" s="65"/>
      <c r="K2090" s="62"/>
      <c r="L2090" s="65"/>
      <c r="M2090" s="65"/>
      <c r="N2090" s="64"/>
      <c r="P2090">
        <f t="shared" si="109"/>
        <v>18222</v>
      </c>
      <c r="Q2090" t="str">
        <f t="shared" si="110"/>
        <v>NA</v>
      </c>
      <c r="R2090" t="str">
        <f>IF(ISERROR(MATCH(P2090&amp;"."&amp;Q2090,R$5:R2089,0)),P2090&amp;"."&amp;Q2090,P2090&amp;"."&amp;Q2090&amp;COUNTIFS(P$5:P2089,P2090,Q$5:Q2089,Q2090))</f>
        <v>18222.NA4</v>
      </c>
      <c r="S2090" s="55">
        <f t="shared" si="111"/>
        <v>0</v>
      </c>
    </row>
    <row r="2091" spans="1:19" ht="15.75" hidden="1" thickBot="1">
      <c r="A2091" s="5">
        <v>2156</v>
      </c>
      <c r="B2091" s="59"/>
      <c r="C2091" s="45">
        <v>1869</v>
      </c>
      <c r="D2091" s="63" t="s">
        <v>640</v>
      </c>
      <c r="E2091" s="63"/>
      <c r="F2091" s="63"/>
      <c r="G2091" s="63"/>
      <c r="H2091" s="62"/>
      <c r="I2091" s="81"/>
      <c r="J2091" s="81"/>
      <c r="K2091" s="62"/>
      <c r="L2091" s="81"/>
      <c r="M2091" s="81"/>
      <c r="N2091" s="81"/>
      <c r="P2091">
        <f t="shared" si="109"/>
        <v>1869</v>
      </c>
      <c r="Q2091" t="str">
        <f t="shared" si="110"/>
        <v>NA</v>
      </c>
      <c r="R2091" t="str">
        <f>IF(ISERROR(MATCH(P2091&amp;"."&amp;Q2091,R$5:R2090,0)),P2091&amp;"."&amp;Q2091,P2091&amp;"."&amp;Q2091&amp;COUNTIFS(P$5:P2090,P2091,Q$5:Q2090,Q2091))</f>
        <v>1869.NA</v>
      </c>
      <c r="S2091" s="55">
        <f t="shared" si="111"/>
        <v>0</v>
      </c>
    </row>
    <row r="2092" spans="1:19" hidden="1">
      <c r="A2092" s="5">
        <v>2157</v>
      </c>
      <c r="B2092" s="59"/>
      <c r="C2092" s="60"/>
      <c r="D2092" s="63"/>
      <c r="E2092" s="63"/>
      <c r="F2092" s="63" t="s">
        <v>13</v>
      </c>
      <c r="G2092" s="63" t="s">
        <v>12</v>
      </c>
      <c r="H2092" s="62"/>
      <c r="I2092" s="65">
        <v>0</v>
      </c>
      <c r="J2092" s="65">
        <v>0</v>
      </c>
      <c r="K2092" s="62"/>
      <c r="L2092" s="65">
        <v>0</v>
      </c>
      <c r="M2092" s="65">
        <v>0</v>
      </c>
      <c r="N2092" s="65">
        <v>0</v>
      </c>
      <c r="P2092">
        <f t="shared" si="109"/>
        <v>1869</v>
      </c>
      <c r="Q2092" t="str">
        <f t="shared" si="110"/>
        <v>S</v>
      </c>
      <c r="R2092" t="str">
        <f>IF(ISERROR(MATCH(P2092&amp;"."&amp;Q2092,R$5:R2091,0)),P2092&amp;"."&amp;Q2092,P2092&amp;"."&amp;Q2092&amp;COUNTIFS(P$5:P2091,P2092,Q$5:Q2091,Q2092))</f>
        <v>1869.S</v>
      </c>
      <c r="S2092" s="55">
        <f t="shared" si="111"/>
        <v>0</v>
      </c>
    </row>
    <row r="2093" spans="1:19" hidden="1">
      <c r="A2093" s="5">
        <v>2158</v>
      </c>
      <c r="B2093" s="59"/>
      <c r="C2093" s="60"/>
      <c r="D2093" s="61"/>
      <c r="E2093" s="63"/>
      <c r="F2093" s="63" t="s">
        <v>13</v>
      </c>
      <c r="G2093" s="63" t="s">
        <v>15</v>
      </c>
      <c r="H2093" s="62"/>
      <c r="I2093" s="65">
        <v>0</v>
      </c>
      <c r="J2093" s="65">
        <v>0</v>
      </c>
      <c r="K2093" s="62"/>
      <c r="L2093" s="65">
        <v>0</v>
      </c>
      <c r="M2093" s="65">
        <v>0</v>
      </c>
      <c r="N2093" s="65">
        <v>0</v>
      </c>
      <c r="P2093">
        <f t="shared" si="109"/>
        <v>1869</v>
      </c>
      <c r="Q2093" t="str">
        <f t="shared" si="110"/>
        <v>SG</v>
      </c>
      <c r="R2093" t="str">
        <f>IF(ISERROR(MATCH(P2093&amp;"."&amp;Q2093,R$5:R2092,0)),P2093&amp;"."&amp;Q2093,P2093&amp;"."&amp;Q2093&amp;COUNTIFS(P$5:P2092,P2093,Q$5:Q2092,Q2093))</f>
        <v>1869.SG</v>
      </c>
      <c r="S2093" s="55">
        <f t="shared" si="111"/>
        <v>0</v>
      </c>
    </row>
    <row r="2094" spans="1:19" hidden="1">
      <c r="A2094" s="5">
        <v>2159</v>
      </c>
      <c r="B2094" s="59"/>
      <c r="C2094" s="60"/>
      <c r="D2094" s="63"/>
      <c r="E2094" s="63"/>
      <c r="F2094" s="60"/>
      <c r="G2094" s="61"/>
      <c r="H2094" s="62"/>
      <c r="I2094" s="65">
        <v>0</v>
      </c>
      <c r="J2094" s="65">
        <v>0</v>
      </c>
      <c r="K2094" s="62"/>
      <c r="L2094" s="65">
        <v>0</v>
      </c>
      <c r="M2094" s="65">
        <v>0</v>
      </c>
      <c r="N2094" s="64">
        <v>0</v>
      </c>
      <c r="P2094">
        <f t="shared" si="109"/>
        <v>1869</v>
      </c>
      <c r="Q2094" t="str">
        <f t="shared" si="110"/>
        <v>NA</v>
      </c>
      <c r="R2094" t="str">
        <f>IF(ISERROR(MATCH(P2094&amp;"."&amp;Q2094,R$5:R2093,0)),P2094&amp;"."&amp;Q2094,P2094&amp;"."&amp;Q2094&amp;COUNTIFS(P$5:P2093,P2094,Q$5:Q2093,Q2094))</f>
        <v>1869.NA1</v>
      </c>
      <c r="S2094" s="55">
        <f t="shared" si="111"/>
        <v>0</v>
      </c>
    </row>
    <row r="2095" spans="1:19" hidden="1">
      <c r="A2095" s="5">
        <v>2160</v>
      </c>
      <c r="B2095" s="59"/>
      <c r="C2095" s="60"/>
      <c r="D2095" s="63"/>
      <c r="E2095" s="63"/>
      <c r="F2095" s="60"/>
      <c r="G2095" s="61"/>
      <c r="H2095" s="62" t="s">
        <v>141</v>
      </c>
      <c r="I2095" s="65"/>
      <c r="J2095" s="65"/>
      <c r="K2095" s="62"/>
      <c r="L2095" s="65"/>
      <c r="M2095" s="65"/>
      <c r="N2095" s="64"/>
      <c r="P2095">
        <f t="shared" si="109"/>
        <v>1869</v>
      </c>
      <c r="Q2095" t="str">
        <f t="shared" si="110"/>
        <v>NA</v>
      </c>
      <c r="R2095" t="str">
        <f>IF(ISERROR(MATCH(P2095&amp;"."&amp;Q2095,R$5:R2094,0)),P2095&amp;"."&amp;Q2095,P2095&amp;"."&amp;Q2095&amp;COUNTIFS(P$5:P2094,P2095,Q$5:Q2094,Q2095))</f>
        <v>1869.NA2</v>
      </c>
      <c r="S2095" s="55">
        <f t="shared" si="111"/>
        <v>0</v>
      </c>
    </row>
    <row r="2096" spans="1:19" ht="15.75" hidden="1" thickBot="1">
      <c r="A2096" s="5">
        <v>2161</v>
      </c>
      <c r="B2096" s="59"/>
      <c r="C2096" s="60" t="s">
        <v>641</v>
      </c>
      <c r="D2096" s="63"/>
      <c r="E2096" s="63"/>
      <c r="F2096" s="63"/>
      <c r="G2096" s="63"/>
      <c r="H2096" s="62" t="s">
        <v>595</v>
      </c>
      <c r="I2096" s="81">
        <v>0</v>
      </c>
      <c r="J2096" s="81">
        <v>0</v>
      </c>
      <c r="K2096" s="62"/>
      <c r="L2096" s="81">
        <v>0</v>
      </c>
      <c r="M2096" s="81">
        <v>0</v>
      </c>
      <c r="N2096" s="81">
        <v>0</v>
      </c>
      <c r="P2096" t="str">
        <f t="shared" si="109"/>
        <v>Total Miscellaneous Rate Base</v>
      </c>
      <c r="Q2096" t="str">
        <f t="shared" si="110"/>
        <v>NA</v>
      </c>
      <c r="R2096" t="str">
        <f>IF(ISERROR(MATCH(P2096&amp;"."&amp;Q2096,R$5:R2095,0)),P2096&amp;"."&amp;Q2096,P2096&amp;"."&amp;Q2096&amp;COUNTIFS(P$5:P2095,P2096,Q$5:Q2095,Q2096))</f>
        <v>Total Miscellaneous Rate Base.NA</v>
      </c>
      <c r="S2096" s="55">
        <f t="shared" si="111"/>
        <v>0</v>
      </c>
    </row>
    <row r="2097" spans="1:19" hidden="1">
      <c r="A2097" s="5">
        <v>2162</v>
      </c>
      <c r="B2097" s="59"/>
      <c r="C2097" s="60"/>
      <c r="D2097" s="63"/>
      <c r="E2097" s="63"/>
      <c r="F2097" s="63"/>
      <c r="G2097" s="63"/>
      <c r="H2097" s="62"/>
      <c r="I2097" s="65"/>
      <c r="J2097" s="65"/>
      <c r="K2097" s="62"/>
      <c r="L2097" s="65"/>
      <c r="M2097" s="65"/>
      <c r="N2097" s="65"/>
      <c r="P2097" t="str">
        <f t="shared" si="109"/>
        <v>Total Miscellaneous Rate Base</v>
      </c>
      <c r="Q2097" t="str">
        <f t="shared" si="110"/>
        <v>NA</v>
      </c>
      <c r="R2097" t="str">
        <f>IF(ISERROR(MATCH(P2097&amp;"."&amp;Q2097,R$5:R2096,0)),P2097&amp;"."&amp;Q2097,P2097&amp;"."&amp;Q2097&amp;COUNTIFS(P$5:P2096,P2097,Q$5:Q2096,Q2097))</f>
        <v>Total Miscellaneous Rate Base.NA1</v>
      </c>
      <c r="S2097" s="55">
        <f t="shared" si="111"/>
        <v>0</v>
      </c>
    </row>
    <row r="2098" spans="1:19" hidden="1">
      <c r="A2098" s="5">
        <v>2163</v>
      </c>
      <c r="B2098" s="59"/>
      <c r="C2098" s="60" t="s">
        <v>642</v>
      </c>
      <c r="D2098" s="61"/>
      <c r="E2098" s="94"/>
      <c r="F2098" s="60"/>
      <c r="G2098" s="61"/>
      <c r="H2098" s="62" t="s">
        <v>141</v>
      </c>
      <c r="I2098" s="65">
        <v>1421647547.613194</v>
      </c>
      <c r="J2098" s="65">
        <v>579673669.8500036</v>
      </c>
      <c r="K2098" s="62"/>
      <c r="L2098" s="65">
        <v>1233487091.9495411</v>
      </c>
      <c r="M2098" s="65">
        <v>734651730.68914437</v>
      </c>
      <c r="N2098" s="64">
        <v>498835361.2603969</v>
      </c>
      <c r="P2098" t="str">
        <f t="shared" si="109"/>
        <v>Total Rate Base Additions</v>
      </c>
      <c r="Q2098" t="str">
        <f t="shared" si="110"/>
        <v>NA</v>
      </c>
      <c r="R2098" t="str">
        <f>IF(ISERROR(MATCH(P2098&amp;"."&amp;Q2098,R$5:R2097,0)),P2098&amp;"."&amp;Q2098,P2098&amp;"."&amp;Q2098&amp;COUNTIFS(P$5:P2097,P2098,Q$5:Q2097,Q2098))</f>
        <v>Total Rate Base Additions.NA</v>
      </c>
      <c r="S2098" s="55">
        <f t="shared" si="111"/>
        <v>498835361.2603969</v>
      </c>
    </row>
    <row r="2099" spans="1:19" hidden="1">
      <c r="A2099" s="5">
        <v>2164</v>
      </c>
      <c r="B2099" s="59"/>
      <c r="C2099" s="60">
        <v>235</v>
      </c>
      <c r="D2099" s="61" t="s">
        <v>643</v>
      </c>
      <c r="E2099" s="94"/>
      <c r="F2099" s="60"/>
      <c r="G2099" s="61"/>
      <c r="H2099" s="62"/>
      <c r="I2099" s="65"/>
      <c r="J2099" s="65"/>
      <c r="K2099" s="62"/>
      <c r="L2099" s="65"/>
      <c r="M2099" s="65"/>
      <c r="N2099" s="64"/>
      <c r="P2099">
        <f t="shared" si="109"/>
        <v>235</v>
      </c>
      <c r="Q2099" t="str">
        <f t="shared" si="110"/>
        <v>NA</v>
      </c>
      <c r="R2099" t="str">
        <f>IF(ISERROR(MATCH(P2099&amp;"."&amp;Q2099,R$5:R2098,0)),P2099&amp;"."&amp;Q2099,P2099&amp;"."&amp;Q2099&amp;COUNTIFS(P$5:P2098,P2099,Q$5:Q2098,Q2099))</f>
        <v>235.NA</v>
      </c>
      <c r="S2099" s="55">
        <f t="shared" si="111"/>
        <v>0</v>
      </c>
    </row>
    <row r="2100" spans="1:19" hidden="1">
      <c r="A2100" s="5">
        <v>2165</v>
      </c>
      <c r="B2100" s="59"/>
      <c r="C2100" s="60"/>
      <c r="D2100" s="61"/>
      <c r="E2100" s="94"/>
      <c r="F2100" s="60" t="s">
        <v>149</v>
      </c>
      <c r="G2100" s="61" t="s">
        <v>12</v>
      </c>
      <c r="H2100" s="62"/>
      <c r="I2100" s="65">
        <v>0</v>
      </c>
      <c r="J2100" s="65">
        <v>0</v>
      </c>
      <c r="K2100" s="62"/>
      <c r="L2100" s="65">
        <v>-16275584.48076923</v>
      </c>
      <c r="M2100" s="65">
        <v>0</v>
      </c>
      <c r="N2100" s="64">
        <v>-16275584.48076923</v>
      </c>
      <c r="P2100">
        <f t="shared" si="109"/>
        <v>235</v>
      </c>
      <c r="Q2100" t="str">
        <f t="shared" si="110"/>
        <v>S</v>
      </c>
      <c r="R2100" t="str">
        <f>IF(ISERROR(MATCH(P2100&amp;"."&amp;Q2100,R$5:R2099,0)),P2100&amp;"."&amp;Q2100,P2100&amp;"."&amp;Q2100&amp;COUNTIFS(P$5:P2099,P2100,Q$5:Q2099,Q2100))</f>
        <v>235.S</v>
      </c>
      <c r="S2100" s="55">
        <f t="shared" si="111"/>
        <v>-16275584.48076923</v>
      </c>
    </row>
    <row r="2101" spans="1:19" hidden="1">
      <c r="A2101" s="5">
        <v>2166</v>
      </c>
      <c r="B2101" s="59"/>
      <c r="C2101" s="60"/>
      <c r="D2101" s="61"/>
      <c r="E2101" s="63"/>
      <c r="F2101" s="60" t="s">
        <v>149</v>
      </c>
      <c r="G2101" s="61" t="s">
        <v>155</v>
      </c>
      <c r="H2101" s="62"/>
      <c r="I2101" s="65">
        <v>0</v>
      </c>
      <c r="J2101" s="65">
        <v>0</v>
      </c>
      <c r="K2101" s="62"/>
      <c r="L2101" s="65">
        <v>0</v>
      </c>
      <c r="M2101" s="65">
        <v>0</v>
      </c>
      <c r="N2101" s="64">
        <v>0</v>
      </c>
      <c r="P2101">
        <f t="shared" si="109"/>
        <v>235</v>
      </c>
      <c r="Q2101" t="str">
        <f t="shared" si="110"/>
        <v>CN</v>
      </c>
      <c r="R2101" t="str">
        <f>IF(ISERROR(MATCH(P2101&amp;"."&amp;Q2101,R$5:R2100,0)),P2101&amp;"."&amp;Q2101,P2101&amp;"."&amp;Q2101&amp;COUNTIFS(P$5:P2100,P2101,Q$5:Q2100,Q2101))</f>
        <v>235.CN</v>
      </c>
      <c r="S2101" s="55">
        <f t="shared" si="111"/>
        <v>0</v>
      </c>
    </row>
    <row r="2102" spans="1:19" ht="15.75" hidden="1" thickBot="1">
      <c r="A2102" s="5">
        <v>2167</v>
      </c>
      <c r="B2102" s="59"/>
      <c r="C2102" s="60" t="s">
        <v>644</v>
      </c>
      <c r="D2102" s="63"/>
      <c r="E2102" s="63"/>
      <c r="F2102" s="60"/>
      <c r="G2102" s="63"/>
      <c r="H2102" s="62" t="s">
        <v>595</v>
      </c>
      <c r="I2102" s="81">
        <v>0</v>
      </c>
      <c r="J2102" s="81">
        <v>0</v>
      </c>
      <c r="K2102" s="62"/>
      <c r="L2102" s="81">
        <v>-16275584.48076923</v>
      </c>
      <c r="M2102" s="81">
        <v>0</v>
      </c>
      <c r="N2102" s="81">
        <v>-16275584.48076923</v>
      </c>
      <c r="P2102" t="str">
        <f t="shared" si="109"/>
        <v>Total Customer Service Deposits</v>
      </c>
      <c r="Q2102" t="str">
        <f t="shared" si="110"/>
        <v>NA</v>
      </c>
      <c r="R2102" t="str">
        <f>IF(ISERROR(MATCH(P2102&amp;"."&amp;Q2102,R$5:R2101,0)),P2102&amp;"."&amp;Q2102,P2102&amp;"."&amp;Q2102&amp;COUNTIFS(P$5:P2101,P2102,Q$5:Q2101,Q2102))</f>
        <v>Total Customer Service Deposits.NA</v>
      </c>
      <c r="S2102" s="55">
        <f t="shared" si="111"/>
        <v>-16275584.48076923</v>
      </c>
    </row>
    <row r="2103" spans="1:19" hidden="1">
      <c r="A2103" s="5">
        <v>2168</v>
      </c>
      <c r="B2103" s="59"/>
      <c r="C2103" s="60"/>
      <c r="D2103" s="63"/>
      <c r="E2103" s="63"/>
      <c r="F2103" s="63"/>
      <c r="G2103" s="63"/>
      <c r="H2103" s="62"/>
      <c r="I2103" s="65"/>
      <c r="J2103" s="65"/>
      <c r="K2103" s="62"/>
      <c r="L2103" s="65"/>
      <c r="M2103" s="65"/>
      <c r="N2103" s="65"/>
      <c r="P2103" t="str">
        <f t="shared" si="109"/>
        <v>Total Customer Service Deposits</v>
      </c>
      <c r="Q2103" t="str">
        <f t="shared" si="110"/>
        <v>NA</v>
      </c>
      <c r="R2103" t="str">
        <f>IF(ISERROR(MATCH(P2103&amp;"."&amp;Q2103,R$5:R2102,0)),P2103&amp;"."&amp;Q2103,P2103&amp;"."&amp;Q2103&amp;COUNTIFS(P$5:P2102,P2103,Q$5:Q2102,Q2103))</f>
        <v>Total Customer Service Deposits.NA1</v>
      </c>
      <c r="S2103" s="55">
        <f t="shared" si="111"/>
        <v>0</v>
      </c>
    </row>
    <row r="2104" spans="1:19" hidden="1">
      <c r="A2104" s="5">
        <v>2169</v>
      </c>
      <c r="B2104" s="59"/>
      <c r="C2104" s="60">
        <v>2281</v>
      </c>
      <c r="D2104" s="61" t="s">
        <v>645</v>
      </c>
      <c r="E2104" s="63"/>
      <c r="F2104" s="63" t="s">
        <v>171</v>
      </c>
      <c r="G2104" s="63" t="s">
        <v>12</v>
      </c>
      <c r="H2104" s="62"/>
      <c r="I2104" s="65">
        <v>-9183079.1853846088</v>
      </c>
      <c r="J2104" s="65">
        <v>-7461026.9015384596</v>
      </c>
      <c r="K2104" s="62"/>
      <c r="L2104" s="65">
        <v>-9183079.1853846088</v>
      </c>
      <c r="M2104" s="65">
        <v>-1722052.2838461492</v>
      </c>
      <c r="N2104" s="65">
        <v>-7461026.9015384596</v>
      </c>
      <c r="P2104">
        <f t="shared" si="109"/>
        <v>2281</v>
      </c>
      <c r="Q2104" t="str">
        <f t="shared" si="110"/>
        <v>S</v>
      </c>
      <c r="R2104" t="str">
        <f>IF(ISERROR(MATCH(P2104&amp;"."&amp;Q2104,R$5:R2103,0)),P2104&amp;"."&amp;Q2104,P2104&amp;"."&amp;Q2104&amp;COUNTIFS(P$5:P2103,P2104,Q$5:Q2103,Q2104))</f>
        <v>2281.S</v>
      </c>
      <c r="S2104" s="55">
        <f t="shared" si="111"/>
        <v>-7461026.9015384596</v>
      </c>
    </row>
    <row r="2105" spans="1:19" hidden="1">
      <c r="A2105" s="5">
        <v>2170</v>
      </c>
      <c r="B2105" s="59"/>
      <c r="C2105" s="60">
        <v>2282</v>
      </c>
      <c r="D2105" s="63" t="s">
        <v>646</v>
      </c>
      <c r="E2105" s="63"/>
      <c r="F2105" s="60" t="s">
        <v>171</v>
      </c>
      <c r="G2105" s="61" t="s">
        <v>136</v>
      </c>
      <c r="H2105" s="62"/>
      <c r="I2105" s="65">
        <v>-14440725.700769201</v>
      </c>
      <c r="J2105" s="65">
        <v>-6267062.7604397545</v>
      </c>
      <c r="K2105" s="62"/>
      <c r="L2105" s="65">
        <v>3.166496753692627E-8</v>
      </c>
      <c r="M2105" s="65">
        <v>1.7829111834161788E-8</v>
      </c>
      <c r="N2105" s="64">
        <v>1.3835855702764482E-8</v>
      </c>
      <c r="P2105">
        <f t="shared" si="109"/>
        <v>2282</v>
      </c>
      <c r="Q2105" t="str">
        <f t="shared" si="110"/>
        <v>SO</v>
      </c>
      <c r="R2105" t="str">
        <f>IF(ISERROR(MATCH(P2105&amp;"."&amp;Q2105,R$5:R2104,0)),P2105&amp;"."&amp;Q2105,P2105&amp;"."&amp;Q2105&amp;COUNTIFS(P$5:P2104,P2105,Q$5:Q2104,Q2105))</f>
        <v>2282.SO</v>
      </c>
      <c r="S2105" s="55">
        <f t="shared" si="111"/>
        <v>1.3835855702764482E-8</v>
      </c>
    </row>
    <row r="2106" spans="1:19" hidden="1">
      <c r="A2106" s="5">
        <v>2171</v>
      </c>
      <c r="B2106" s="59"/>
      <c r="C2106" s="60">
        <v>2283</v>
      </c>
      <c r="D2106" s="63" t="s">
        <v>647</v>
      </c>
      <c r="E2106" s="63"/>
      <c r="F2106" s="60" t="s">
        <v>171</v>
      </c>
      <c r="G2106" s="61" t="s">
        <v>136</v>
      </c>
      <c r="H2106" s="62"/>
      <c r="I2106" s="65">
        <v>-99332331.632307693</v>
      </c>
      <c r="J2106" s="65">
        <v>-43108772.327648886</v>
      </c>
      <c r="K2106" s="62"/>
      <c r="L2106" s="65">
        <v>-32345479.003197856</v>
      </c>
      <c r="M2106" s="65">
        <v>-18212277.078921214</v>
      </c>
      <c r="N2106" s="64">
        <v>-14133201.924276644</v>
      </c>
      <c r="P2106">
        <f t="shared" si="109"/>
        <v>2283</v>
      </c>
      <c r="Q2106" t="str">
        <f t="shared" si="110"/>
        <v>SO</v>
      </c>
      <c r="R2106" t="str">
        <f>IF(ISERROR(MATCH(P2106&amp;"."&amp;Q2106,R$5:R2105,0)),P2106&amp;"."&amp;Q2106,P2106&amp;"."&amp;Q2106&amp;COUNTIFS(P$5:P2105,P2106,Q$5:Q2105,Q2106))</f>
        <v>2283.SO</v>
      </c>
      <c r="S2106" s="55">
        <f t="shared" si="111"/>
        <v>-14133201.924276644</v>
      </c>
    </row>
    <row r="2107" spans="1:19" hidden="1">
      <c r="A2107" s="5">
        <v>2172</v>
      </c>
      <c r="B2107" s="59"/>
      <c r="C2107" s="60">
        <v>254</v>
      </c>
      <c r="D2107" s="63" t="s">
        <v>648</v>
      </c>
      <c r="E2107" s="63"/>
      <c r="F2107" s="60" t="s">
        <v>171</v>
      </c>
      <c r="G2107" s="61" t="s">
        <v>136</v>
      </c>
      <c r="H2107" s="62"/>
      <c r="I2107" s="65">
        <v>-1411892.5538461499</v>
      </c>
      <c r="J2107" s="65">
        <v>-612740.62185670261</v>
      </c>
      <c r="K2107" s="62"/>
      <c r="L2107" s="65">
        <v>-1411892.5538461499</v>
      </c>
      <c r="M2107" s="65">
        <v>-794972.873759871</v>
      </c>
      <c r="N2107" s="64">
        <v>-616919.68008627894</v>
      </c>
      <c r="P2107">
        <f t="shared" si="109"/>
        <v>254</v>
      </c>
      <c r="Q2107" t="str">
        <f t="shared" si="110"/>
        <v>SO</v>
      </c>
      <c r="R2107" t="str">
        <f>IF(ISERROR(MATCH(P2107&amp;"."&amp;Q2107,R$5:R2106,0)),P2107&amp;"."&amp;Q2107,P2107&amp;"."&amp;Q2107&amp;COUNTIFS(P$5:P2106,P2107,Q$5:Q2106,Q2107))</f>
        <v>254.SO</v>
      </c>
      <c r="S2107" s="55">
        <f t="shared" si="111"/>
        <v>-616919.68008627894</v>
      </c>
    </row>
    <row r="2108" spans="1:19" hidden="1">
      <c r="A2108" s="5">
        <v>2173</v>
      </c>
      <c r="B2108" s="59"/>
      <c r="C2108" s="60">
        <v>2282</v>
      </c>
      <c r="D2108" s="63" t="s">
        <v>649</v>
      </c>
      <c r="E2108" s="63"/>
      <c r="F2108" s="60" t="s">
        <v>171</v>
      </c>
      <c r="G2108" s="61" t="s">
        <v>12</v>
      </c>
      <c r="H2108" s="62"/>
      <c r="I2108" s="65">
        <v>-8710934.6269230805</v>
      </c>
      <c r="J2108" s="65">
        <v>0</v>
      </c>
      <c r="K2108" s="62"/>
      <c r="L2108" s="65">
        <v>-8710934.6269230805</v>
      </c>
      <c r="M2108" s="65">
        <v>-8710934.6269230805</v>
      </c>
      <c r="N2108" s="64">
        <v>0</v>
      </c>
      <c r="P2108">
        <f t="shared" si="109"/>
        <v>2282</v>
      </c>
      <c r="Q2108" t="str">
        <f t="shared" si="110"/>
        <v>S</v>
      </c>
      <c r="R2108" t="str">
        <f>IF(ISERROR(MATCH(P2108&amp;"."&amp;Q2108,R$5:R2107,0)),P2108&amp;"."&amp;Q2108,P2108&amp;"."&amp;Q2108&amp;COUNTIFS(P$5:P2107,P2108,Q$5:Q2107,Q2108))</f>
        <v>2282.S</v>
      </c>
      <c r="S2108" s="55">
        <f t="shared" si="111"/>
        <v>0</v>
      </c>
    </row>
    <row r="2109" spans="1:19" hidden="1">
      <c r="A2109" s="5">
        <v>2174</v>
      </c>
      <c r="B2109" s="59"/>
      <c r="C2109" s="60">
        <v>25335</v>
      </c>
      <c r="D2109" s="63" t="s">
        <v>650</v>
      </c>
      <c r="E2109" s="63"/>
      <c r="F2109" s="60" t="s">
        <v>171</v>
      </c>
      <c r="G2109" s="61" t="s">
        <v>16</v>
      </c>
      <c r="H2109" s="62"/>
      <c r="I2109" s="65">
        <v>-115119099.34</v>
      </c>
      <c r="J2109" s="65">
        <v>-49911277.883508347</v>
      </c>
      <c r="K2109" s="62"/>
      <c r="L2109" s="65">
        <v>-115119099.34</v>
      </c>
      <c r="M2109" s="65">
        <v>-65207821.456491657</v>
      </c>
      <c r="N2109" s="64">
        <v>-49911277.883508347</v>
      </c>
      <c r="P2109">
        <f t="shared" si="109"/>
        <v>25335</v>
      </c>
      <c r="Q2109" t="str">
        <f t="shared" si="110"/>
        <v>SE</v>
      </c>
      <c r="R2109" t="str">
        <f>IF(ISERROR(MATCH(P2109&amp;"."&amp;Q2109,R$5:R2108,0)),P2109&amp;"."&amp;Q2109,P2109&amp;"."&amp;Q2109&amp;COUNTIFS(P$5:P2108,P2109,Q$5:Q2108,Q2109))</f>
        <v>25335.SE</v>
      </c>
      <c r="S2109" s="55">
        <f t="shared" si="111"/>
        <v>-49911277.883508347</v>
      </c>
    </row>
    <row r="2110" spans="1:19" ht="15.75" hidden="1" thickBot="1">
      <c r="A2110" s="5">
        <v>2175</v>
      </c>
      <c r="B2110" s="59"/>
      <c r="C2110" s="45"/>
      <c r="D2110" s="63"/>
      <c r="E2110" s="63"/>
      <c r="F2110" s="63"/>
      <c r="G2110" s="63"/>
      <c r="H2110" s="41" t="s">
        <v>595</v>
      </c>
      <c r="I2110" s="92">
        <v>-248198063.03923073</v>
      </c>
      <c r="J2110" s="92">
        <v>-107360880.49499215</v>
      </c>
      <c r="K2110" s="41"/>
      <c r="L2110" s="92">
        <v>-166770484.70935166</v>
      </c>
      <c r="M2110" s="92">
        <v>-94648058.319941953</v>
      </c>
      <c r="N2110" s="92">
        <v>-72122426.389409721</v>
      </c>
      <c r="P2110">
        <f t="shared" si="109"/>
        <v>25335</v>
      </c>
      <c r="Q2110" t="str">
        <f t="shared" si="110"/>
        <v>NA</v>
      </c>
      <c r="R2110" t="str">
        <f>IF(ISERROR(MATCH(P2110&amp;"."&amp;Q2110,R$5:R2109,0)),P2110&amp;"."&amp;Q2110,P2110&amp;"."&amp;Q2110&amp;COUNTIFS(P$5:P2109,P2110,Q$5:Q2109,Q2110))</f>
        <v>25335.NA</v>
      </c>
      <c r="S2110" s="55">
        <f t="shared" si="111"/>
        <v>-72122426.389409721</v>
      </c>
    </row>
    <row r="2111" spans="1:19" hidden="1">
      <c r="A2111" s="5">
        <v>2176</v>
      </c>
      <c r="B2111" s="59"/>
      <c r="C2111" s="60"/>
      <c r="D2111" s="63"/>
      <c r="E2111" s="63"/>
      <c r="F2111" s="63"/>
      <c r="G2111" s="63"/>
      <c r="H2111" s="62"/>
      <c r="I2111" s="65"/>
      <c r="J2111" s="65"/>
      <c r="K2111" s="62"/>
      <c r="L2111" s="65"/>
      <c r="M2111" s="65"/>
      <c r="N2111" s="65"/>
      <c r="P2111">
        <f t="shared" si="109"/>
        <v>25335</v>
      </c>
      <c r="Q2111" t="str">
        <f t="shared" si="110"/>
        <v>NA</v>
      </c>
      <c r="R2111" t="str">
        <f>IF(ISERROR(MATCH(P2111&amp;"."&amp;Q2111,R$5:R2110,0)),P2111&amp;"."&amp;Q2111,P2111&amp;"."&amp;Q2111&amp;COUNTIFS(P$5:P2110,P2111,Q$5:Q2110,Q2111))</f>
        <v>25335.NA1</v>
      </c>
      <c r="S2111" s="55">
        <f t="shared" si="111"/>
        <v>0</v>
      </c>
    </row>
    <row r="2112" spans="1:19" hidden="1">
      <c r="A2112" s="5">
        <v>2177</v>
      </c>
      <c r="B2112" s="59"/>
      <c r="C2112" s="60">
        <v>22841</v>
      </c>
      <c r="D2112" s="61" t="s">
        <v>651</v>
      </c>
      <c r="E2112" s="63"/>
      <c r="F2112" s="63"/>
      <c r="G2112" s="63"/>
      <c r="H2112" s="62"/>
      <c r="I2112" s="65"/>
      <c r="J2112" s="65"/>
      <c r="K2112" s="62"/>
      <c r="L2112" s="65"/>
      <c r="M2112" s="65"/>
      <c r="N2112" s="65"/>
      <c r="P2112">
        <f t="shared" si="109"/>
        <v>22841</v>
      </c>
      <c r="Q2112" t="str">
        <f t="shared" si="110"/>
        <v>NA</v>
      </c>
      <c r="R2112" t="str">
        <f>IF(ISERROR(MATCH(P2112&amp;"."&amp;Q2112,R$5:R2111,0)),P2112&amp;"."&amp;Q2112,P2112&amp;"."&amp;Q2112&amp;COUNTIFS(P$5:P2111,P2112,Q$5:Q2111,Q2112))</f>
        <v>22841.NA</v>
      </c>
      <c r="S2112" s="55">
        <f t="shared" si="111"/>
        <v>0</v>
      </c>
    </row>
    <row r="2113" spans="1:19" hidden="1">
      <c r="A2113" s="5">
        <v>2178</v>
      </c>
      <c r="B2113" s="59"/>
      <c r="C2113" s="60"/>
      <c r="D2113" s="63"/>
      <c r="E2113" s="63"/>
      <c r="F2113" s="60" t="s">
        <v>13</v>
      </c>
      <c r="G2113" s="61" t="s">
        <v>12</v>
      </c>
      <c r="H2113" s="62"/>
      <c r="I2113" s="65">
        <v>0</v>
      </c>
      <c r="J2113" s="65">
        <v>0</v>
      </c>
      <c r="K2113" s="62"/>
      <c r="L2113" s="65">
        <v>0</v>
      </c>
      <c r="M2113" s="65">
        <v>0</v>
      </c>
      <c r="N2113" s="64">
        <v>0</v>
      </c>
      <c r="P2113">
        <f t="shared" si="109"/>
        <v>22841</v>
      </c>
      <c r="Q2113" t="str">
        <f t="shared" si="110"/>
        <v>S</v>
      </c>
      <c r="R2113" t="str">
        <f>IF(ISERROR(MATCH(P2113&amp;"."&amp;Q2113,R$5:R2112,0)),P2113&amp;"."&amp;Q2113,P2113&amp;"."&amp;Q2113&amp;COUNTIFS(P$5:P2112,P2113,Q$5:Q2112,Q2113))</f>
        <v>22841.S</v>
      </c>
      <c r="S2113" s="55">
        <f t="shared" si="111"/>
        <v>0</v>
      </c>
    </row>
    <row r="2114" spans="1:19" ht="15.75" hidden="1" thickBot="1">
      <c r="A2114" s="5">
        <v>2179</v>
      </c>
      <c r="B2114" s="59"/>
      <c r="C2114" s="60"/>
      <c r="D2114" s="63"/>
      <c r="E2114" s="63"/>
      <c r="F2114" s="63" t="s">
        <v>13</v>
      </c>
      <c r="G2114" s="63" t="s">
        <v>15</v>
      </c>
      <c r="H2114" s="62"/>
      <c r="I2114" s="81">
        <v>-479879.58846153802</v>
      </c>
      <c r="J2114" s="81">
        <v>-211135.01297051625</v>
      </c>
      <c r="K2114" s="62"/>
      <c r="L2114" s="81">
        <v>-479879.58846153802</v>
      </c>
      <c r="M2114" s="81">
        <v>-268744.57549102174</v>
      </c>
      <c r="N2114" s="81">
        <v>-211135.01297051625</v>
      </c>
      <c r="P2114">
        <f t="shared" si="109"/>
        <v>22841</v>
      </c>
      <c r="Q2114" t="str">
        <f t="shared" si="110"/>
        <v>SG</v>
      </c>
      <c r="R2114" t="str">
        <f>IF(ISERROR(MATCH(P2114&amp;"."&amp;Q2114,R$5:R2113,0)),P2114&amp;"."&amp;Q2114,P2114&amp;"."&amp;Q2114&amp;COUNTIFS(P$5:P2113,P2114,Q$5:Q2113,Q2114))</f>
        <v>22841.SG</v>
      </c>
      <c r="S2114" s="55">
        <f t="shared" si="111"/>
        <v>-211135.01297051625</v>
      </c>
    </row>
    <row r="2115" spans="1:19" hidden="1">
      <c r="A2115" s="5">
        <v>2180</v>
      </c>
      <c r="B2115" s="59"/>
      <c r="C2115" s="60"/>
      <c r="D2115" s="63"/>
      <c r="E2115" s="63"/>
      <c r="F2115" s="63"/>
      <c r="G2115" s="63"/>
      <c r="H2115" s="62" t="s">
        <v>595</v>
      </c>
      <c r="I2115" s="65">
        <v>-479879.58846153802</v>
      </c>
      <c r="J2115" s="65">
        <v>-211135.01297051625</v>
      </c>
      <c r="K2115" s="62"/>
      <c r="L2115" s="65">
        <v>-479879.58846153802</v>
      </c>
      <c r="M2115" s="65">
        <v>-268744.57549102174</v>
      </c>
      <c r="N2115" s="65">
        <v>-211135.01297051625</v>
      </c>
      <c r="P2115">
        <f t="shared" si="109"/>
        <v>22841</v>
      </c>
      <c r="Q2115" t="str">
        <f t="shared" si="110"/>
        <v>NA</v>
      </c>
      <c r="R2115" t="str">
        <f>IF(ISERROR(MATCH(P2115&amp;"."&amp;Q2115,R$5:R2114,0)),P2115&amp;"."&amp;Q2115,P2115&amp;"."&amp;Q2115&amp;COUNTIFS(P$5:P2114,P2115,Q$5:Q2114,Q2115))</f>
        <v>22841.NA1</v>
      </c>
      <c r="S2115" s="55">
        <f t="shared" si="111"/>
        <v>-211135.01297051625</v>
      </c>
    </row>
    <row r="2116" spans="1:19" hidden="1">
      <c r="A2116" s="5">
        <v>2181</v>
      </c>
      <c r="B2116" s="59"/>
      <c r="C2116" s="60"/>
      <c r="D2116" s="61"/>
      <c r="E2116" s="63"/>
      <c r="F2116" s="63"/>
      <c r="G2116" s="63"/>
      <c r="H2116" s="62"/>
      <c r="I2116" s="65"/>
      <c r="J2116" s="65"/>
      <c r="K2116" s="62"/>
      <c r="L2116" s="65"/>
      <c r="M2116" s="65"/>
      <c r="N2116" s="65"/>
      <c r="P2116">
        <f t="shared" si="109"/>
        <v>22841</v>
      </c>
      <c r="Q2116" t="str">
        <f t="shared" si="110"/>
        <v>NA</v>
      </c>
      <c r="R2116" t="str">
        <f>IF(ISERROR(MATCH(P2116&amp;"."&amp;Q2116,R$5:R2115,0)),P2116&amp;"."&amp;Q2116,P2116&amp;"."&amp;Q2116&amp;COUNTIFS(P$5:P2115,P2116,Q$5:Q2115,Q2116))</f>
        <v>22841.NA2</v>
      </c>
      <c r="S2116" s="55">
        <f t="shared" si="111"/>
        <v>0</v>
      </c>
    </row>
    <row r="2117" spans="1:19" hidden="1">
      <c r="A2117" s="5">
        <v>2182</v>
      </c>
      <c r="B2117" s="59"/>
      <c r="C2117" s="60">
        <v>254105</v>
      </c>
      <c r="D2117" s="63" t="s">
        <v>652</v>
      </c>
      <c r="E2117" s="63"/>
      <c r="F2117" s="60" t="s">
        <v>13</v>
      </c>
      <c r="G2117" s="61" t="s">
        <v>12</v>
      </c>
      <c r="H2117" s="62"/>
      <c r="I2117" s="65">
        <v>257471.01</v>
      </c>
      <c r="J2117" s="65">
        <v>0</v>
      </c>
      <c r="K2117" s="62"/>
      <c r="L2117" s="65">
        <v>257471.01</v>
      </c>
      <c r="M2117" s="65">
        <v>257471.01</v>
      </c>
      <c r="N2117" s="64">
        <v>0</v>
      </c>
      <c r="P2117">
        <f t="shared" si="109"/>
        <v>254105</v>
      </c>
      <c r="Q2117" t="str">
        <f t="shared" si="110"/>
        <v>S</v>
      </c>
      <c r="R2117" t="str">
        <f>IF(ISERROR(MATCH(P2117&amp;"."&amp;Q2117,R$5:R2116,0)),P2117&amp;"."&amp;Q2117,P2117&amp;"."&amp;Q2117&amp;COUNTIFS(P$5:P2116,P2117,Q$5:Q2116,Q2117))</f>
        <v>254105.S</v>
      </c>
      <c r="S2117" s="55">
        <f t="shared" si="111"/>
        <v>0</v>
      </c>
    </row>
    <row r="2118" spans="1:19" hidden="1">
      <c r="A2118" s="5">
        <v>2183</v>
      </c>
      <c r="B2118" s="59"/>
      <c r="C2118" s="60">
        <v>230</v>
      </c>
      <c r="D2118" s="63" t="s">
        <v>652</v>
      </c>
      <c r="E2118" s="63"/>
      <c r="F2118" s="60" t="s">
        <v>13</v>
      </c>
      <c r="G2118" s="61" t="s">
        <v>447</v>
      </c>
      <c r="H2118" s="62"/>
      <c r="I2118" s="65">
        <v>-2966556.51230769</v>
      </c>
      <c r="J2118" s="65">
        <v>-1301810.3078051887</v>
      </c>
      <c r="K2118" s="62"/>
      <c r="L2118" s="65">
        <v>-2966556.51230769</v>
      </c>
      <c r="M2118" s="65">
        <v>-1664746.2045025013</v>
      </c>
      <c r="N2118" s="64">
        <v>-1301810.3078051887</v>
      </c>
      <c r="P2118">
        <f t="shared" si="109"/>
        <v>230</v>
      </c>
      <c r="Q2118" t="str">
        <f t="shared" si="110"/>
        <v>TROJD</v>
      </c>
      <c r="R2118" t="str">
        <f>IF(ISERROR(MATCH(P2118&amp;"."&amp;Q2118,R$5:R2117,0)),P2118&amp;"."&amp;Q2118,P2118&amp;"."&amp;Q2118&amp;COUNTIFS(P$5:P2117,P2118,Q$5:Q2117,Q2118))</f>
        <v>230.TROJD</v>
      </c>
      <c r="S2118" s="55">
        <f t="shared" si="111"/>
        <v>-1301810.3078051887</v>
      </c>
    </row>
    <row r="2119" spans="1:19" hidden="1">
      <c r="A2119" s="5">
        <v>2184</v>
      </c>
      <c r="B2119" s="59"/>
      <c r="C2119" s="60">
        <v>254105</v>
      </c>
      <c r="D2119" s="63" t="s">
        <v>652</v>
      </c>
      <c r="E2119" s="63"/>
      <c r="F2119" s="60" t="s">
        <v>13</v>
      </c>
      <c r="G2119" s="61" t="s">
        <v>447</v>
      </c>
      <c r="H2119" s="62"/>
      <c r="I2119" s="65">
        <v>-2402450.1753846202</v>
      </c>
      <c r="J2119" s="65">
        <v>-1054264.2249788686</v>
      </c>
      <c r="K2119" s="62"/>
      <c r="L2119" s="65">
        <v>0</v>
      </c>
      <c r="M2119" s="65">
        <v>0</v>
      </c>
      <c r="N2119" s="64">
        <v>0</v>
      </c>
      <c r="P2119">
        <f t="shared" ref="P2119:P2182" si="112">IF(OR(C2119="",C2119=" ",C2119="  ",C2119="   "),P2118,C2119)</f>
        <v>254105</v>
      </c>
      <c r="Q2119" t="str">
        <f t="shared" ref="Q2119:Q2182" si="113">IF(G2119="","NA",G2119)</f>
        <v>TROJD</v>
      </c>
      <c r="R2119" t="str">
        <f>IF(ISERROR(MATCH(P2119&amp;"."&amp;Q2119,R$5:R2118,0)),P2119&amp;"."&amp;Q2119,P2119&amp;"."&amp;Q2119&amp;COUNTIFS(P$5:P2118,P2119,Q$5:Q2118,Q2119))</f>
        <v>254105.TROJD</v>
      </c>
      <c r="S2119" s="55">
        <f t="shared" si="111"/>
        <v>0</v>
      </c>
    </row>
    <row r="2120" spans="1:19" hidden="1">
      <c r="A2120" s="5">
        <v>2185</v>
      </c>
      <c r="B2120" s="59"/>
      <c r="C2120" s="60">
        <v>254</v>
      </c>
      <c r="D2120" s="63"/>
      <c r="E2120" s="63"/>
      <c r="F2120" s="60" t="s">
        <v>13</v>
      </c>
      <c r="G2120" s="61" t="s">
        <v>12</v>
      </c>
      <c r="H2120" s="62"/>
      <c r="I2120" s="65">
        <v>-547654081.00769246</v>
      </c>
      <c r="J2120" s="65">
        <v>-93001993.396153897</v>
      </c>
      <c r="K2120" s="62"/>
      <c r="L2120" s="65">
        <v>-1122259725.2870994</v>
      </c>
      <c r="M2120" s="65">
        <v>-454652087.61153853</v>
      </c>
      <c r="N2120" s="64">
        <v>-667607637.67556083</v>
      </c>
      <c r="P2120">
        <f t="shared" si="112"/>
        <v>254</v>
      </c>
      <c r="Q2120" t="str">
        <f t="shared" si="113"/>
        <v>S</v>
      </c>
      <c r="R2120" t="str">
        <f>IF(ISERROR(MATCH(P2120&amp;"."&amp;Q2120,R$5:R2119,0)),P2120&amp;"."&amp;Q2120,P2120&amp;"."&amp;Q2120&amp;COUNTIFS(P$5:P2119,P2120,Q$5:Q2119,Q2120))</f>
        <v>254.S</v>
      </c>
      <c r="S2120" s="55">
        <f t="shared" ref="S2120:S2183" si="114">N2120</f>
        <v>-667607637.67556083</v>
      </c>
    </row>
    <row r="2121" spans="1:19" ht="15.75" hidden="1" thickBot="1">
      <c r="A2121" s="5">
        <v>2186</v>
      </c>
      <c r="B2121" s="59"/>
      <c r="C2121" s="60"/>
      <c r="D2121" s="63"/>
      <c r="E2121" s="63"/>
      <c r="F2121" s="63"/>
      <c r="G2121" s="63"/>
      <c r="H2121" s="62" t="s">
        <v>595</v>
      </c>
      <c r="I2121" s="81">
        <v>-552765616.68538475</v>
      </c>
      <c r="J2121" s="81">
        <v>-95358067.928937957</v>
      </c>
      <c r="K2121" s="62"/>
      <c r="L2121" s="81">
        <v>-1124968810.789407</v>
      </c>
      <c r="M2121" s="81">
        <v>-456059362.806041</v>
      </c>
      <c r="N2121" s="81">
        <v>-668909447.98336601</v>
      </c>
      <c r="P2121">
        <f t="shared" si="112"/>
        <v>254</v>
      </c>
      <c r="Q2121" t="str">
        <f t="shared" si="113"/>
        <v>NA</v>
      </c>
      <c r="R2121" t="str">
        <f>IF(ISERROR(MATCH(P2121&amp;"."&amp;Q2121,R$5:R2120,0)),P2121&amp;"."&amp;Q2121,P2121&amp;"."&amp;Q2121&amp;COUNTIFS(P$5:P2120,P2121,Q$5:Q2120,Q2121))</f>
        <v>254.NA</v>
      </c>
      <c r="S2121" s="55">
        <f t="shared" si="114"/>
        <v>-668909447.98336601</v>
      </c>
    </row>
    <row r="2122" spans="1:19" hidden="1">
      <c r="A2122" s="5">
        <v>2187</v>
      </c>
      <c r="B2122" s="59"/>
      <c r="C2122" s="60"/>
      <c r="D2122" s="63"/>
      <c r="E2122" s="63"/>
      <c r="F2122" s="63"/>
      <c r="G2122" s="63"/>
      <c r="H2122" s="62"/>
      <c r="I2122" s="69"/>
      <c r="J2122" s="69"/>
      <c r="K2122" s="62"/>
      <c r="L2122" s="69"/>
      <c r="M2122" s="65"/>
      <c r="N2122" s="65"/>
      <c r="P2122">
        <f t="shared" si="112"/>
        <v>254</v>
      </c>
      <c r="Q2122" t="str">
        <f t="shared" si="113"/>
        <v>NA</v>
      </c>
      <c r="R2122" t="str">
        <f>IF(ISERROR(MATCH(P2122&amp;"."&amp;Q2122,R$5:R2121,0)),P2122&amp;"."&amp;Q2122,P2122&amp;"."&amp;Q2122&amp;COUNTIFS(P$5:P2121,P2122,Q$5:Q2121,Q2122))</f>
        <v>254.NA1</v>
      </c>
      <c r="S2122" s="55">
        <f t="shared" si="114"/>
        <v>0</v>
      </c>
    </row>
    <row r="2123" spans="1:19" hidden="1">
      <c r="A2123" s="5">
        <v>2188</v>
      </c>
      <c r="B2123" s="59"/>
      <c r="C2123" s="60">
        <v>252</v>
      </c>
      <c r="D2123" s="61" t="s">
        <v>653</v>
      </c>
      <c r="E2123" s="63"/>
      <c r="F2123" s="63"/>
      <c r="G2123" s="63"/>
      <c r="H2123" s="62"/>
      <c r="I2123" s="65"/>
      <c r="J2123" s="65"/>
      <c r="K2123" s="62"/>
      <c r="L2123" s="65"/>
      <c r="M2123" s="65"/>
      <c r="N2123" s="65"/>
      <c r="P2123">
        <f t="shared" si="112"/>
        <v>252</v>
      </c>
      <c r="Q2123" t="str">
        <f t="shared" si="113"/>
        <v>NA</v>
      </c>
      <c r="R2123" t="str">
        <f>IF(ISERROR(MATCH(P2123&amp;"."&amp;Q2123,R$5:R2122,0)),P2123&amp;"."&amp;Q2123,P2123&amp;"."&amp;Q2123&amp;COUNTIFS(P$5:P2122,P2123,Q$5:Q2122,Q2123))</f>
        <v>252.NA</v>
      </c>
      <c r="S2123" s="55">
        <f t="shared" si="114"/>
        <v>0</v>
      </c>
    </row>
    <row r="2124" spans="1:19" hidden="1">
      <c r="A2124" s="5">
        <v>2189</v>
      </c>
      <c r="B2124" s="59"/>
      <c r="C2124" s="60"/>
      <c r="D2124" s="63"/>
      <c r="E2124" s="63"/>
      <c r="F2124" s="60" t="s">
        <v>139</v>
      </c>
      <c r="G2124" s="61" t="s">
        <v>12</v>
      </c>
      <c r="H2124" s="62"/>
      <c r="I2124" s="65">
        <v>-6700607.6530769179</v>
      </c>
      <c r="J2124" s="65">
        <v>-1518088.5630769201</v>
      </c>
      <c r="K2124" s="62"/>
      <c r="L2124" s="65">
        <v>-16678156.749230774</v>
      </c>
      <c r="M2124" s="65">
        <v>-4006654.5846153852</v>
      </c>
      <c r="N2124" s="64">
        <v>-12671502.164615389</v>
      </c>
      <c r="P2124">
        <f t="shared" si="112"/>
        <v>252</v>
      </c>
      <c r="Q2124" t="str">
        <f t="shared" si="113"/>
        <v>S</v>
      </c>
      <c r="R2124" t="str">
        <f>IF(ISERROR(MATCH(P2124&amp;"."&amp;Q2124,R$5:R2123,0)),P2124&amp;"."&amp;Q2124,P2124&amp;"."&amp;Q2124&amp;COUNTIFS(P$5:P2123,P2124,Q$5:Q2123,Q2124))</f>
        <v>252.S</v>
      </c>
      <c r="S2124" s="55">
        <f t="shared" si="114"/>
        <v>-12671502.164615389</v>
      </c>
    </row>
    <row r="2125" spans="1:19" hidden="1">
      <c r="A2125" s="5">
        <v>2190</v>
      </c>
      <c r="B2125" s="59"/>
      <c r="C2125" s="60"/>
      <c r="D2125" s="63"/>
      <c r="E2125" s="63"/>
      <c r="F2125" s="60" t="s">
        <v>139</v>
      </c>
      <c r="G2125" s="61" t="s">
        <v>16</v>
      </c>
      <c r="H2125" s="62"/>
      <c r="I2125" s="65">
        <v>0</v>
      </c>
      <c r="J2125" s="65">
        <v>0</v>
      </c>
      <c r="K2125" s="62"/>
      <c r="L2125" s="65">
        <v>0</v>
      </c>
      <c r="M2125" s="65">
        <v>0</v>
      </c>
      <c r="N2125" s="64">
        <v>0</v>
      </c>
      <c r="P2125">
        <f t="shared" si="112"/>
        <v>252</v>
      </c>
      <c r="Q2125" t="str">
        <f t="shared" si="113"/>
        <v>SE</v>
      </c>
      <c r="R2125" t="str">
        <f>IF(ISERROR(MATCH(P2125&amp;"."&amp;Q2125,R$5:R2124,0)),P2125&amp;"."&amp;Q2125,P2125&amp;"."&amp;Q2125&amp;COUNTIFS(P$5:P2124,P2125,Q$5:Q2124,Q2125))</f>
        <v>252.SE</v>
      </c>
      <c r="S2125" s="55">
        <f t="shared" si="114"/>
        <v>0</v>
      </c>
    </row>
    <row r="2126" spans="1:19" hidden="1">
      <c r="A2126" s="5">
        <v>2191</v>
      </c>
      <c r="B2126" s="59"/>
      <c r="C2126" s="60"/>
      <c r="D2126" s="63"/>
      <c r="E2126" s="63"/>
      <c r="F2126" s="60" t="s">
        <v>18</v>
      </c>
      <c r="G2126" s="61" t="s">
        <v>15</v>
      </c>
      <c r="H2126" s="62"/>
      <c r="I2126" s="65">
        <v>-67641413.186923102</v>
      </c>
      <c r="J2126" s="65">
        <v>-29760529.503558386</v>
      </c>
      <c r="K2126" s="62"/>
      <c r="L2126" s="65">
        <v>-57663864.090769291</v>
      </c>
      <c r="M2126" s="65">
        <v>-32293206.564437628</v>
      </c>
      <c r="N2126" s="64">
        <v>-25370657.526331663</v>
      </c>
      <c r="P2126">
        <f t="shared" si="112"/>
        <v>252</v>
      </c>
      <c r="Q2126" t="str">
        <f t="shared" si="113"/>
        <v>SG</v>
      </c>
      <c r="R2126" t="str">
        <f>IF(ISERROR(MATCH(P2126&amp;"."&amp;Q2126,R$5:R2125,0)),P2126&amp;"."&amp;Q2126,P2126&amp;"."&amp;Q2126&amp;COUNTIFS(P$5:P2125,P2126,Q$5:Q2125,Q2126))</f>
        <v>252.SG</v>
      </c>
      <c r="S2126" s="55">
        <f t="shared" si="114"/>
        <v>-25370657.526331663</v>
      </c>
    </row>
    <row r="2127" spans="1:19" hidden="1">
      <c r="A2127" s="5">
        <v>2192</v>
      </c>
      <c r="B2127" s="59"/>
      <c r="C2127" s="60"/>
      <c r="D2127" s="63"/>
      <c r="E2127" s="63"/>
      <c r="F2127" s="60" t="s">
        <v>139</v>
      </c>
      <c r="G2127" s="61" t="s">
        <v>136</v>
      </c>
      <c r="H2127" s="62"/>
      <c r="I2127" s="65">
        <v>0</v>
      </c>
      <c r="J2127" s="65">
        <v>0</v>
      </c>
      <c r="K2127" s="62"/>
      <c r="L2127" s="65">
        <v>0</v>
      </c>
      <c r="M2127" s="65">
        <v>0</v>
      </c>
      <c r="N2127" s="64">
        <v>0</v>
      </c>
      <c r="P2127">
        <f t="shared" si="112"/>
        <v>252</v>
      </c>
      <c r="Q2127" t="str">
        <f t="shared" si="113"/>
        <v>SO</v>
      </c>
      <c r="R2127" t="str">
        <f>IF(ISERROR(MATCH(P2127&amp;"."&amp;Q2127,R$5:R2126,0)),P2127&amp;"."&amp;Q2127,P2127&amp;"."&amp;Q2127&amp;COUNTIFS(P$5:P2126,P2127,Q$5:Q2126,Q2127))</f>
        <v>252.SO</v>
      </c>
      <c r="S2127" s="55">
        <f t="shared" si="114"/>
        <v>0</v>
      </c>
    </row>
    <row r="2128" spans="1:19" hidden="1">
      <c r="A2128" s="5">
        <v>2193</v>
      </c>
      <c r="B2128" s="59"/>
      <c r="C2128" s="60"/>
      <c r="D2128" s="63"/>
      <c r="E2128" s="63"/>
      <c r="F2128" s="60" t="s">
        <v>149</v>
      </c>
      <c r="G2128" s="61" t="s">
        <v>155</v>
      </c>
      <c r="H2128" s="62"/>
      <c r="I2128" s="65">
        <v>0</v>
      </c>
      <c r="J2128" s="65">
        <v>0</v>
      </c>
      <c r="K2128" s="62"/>
      <c r="L2128" s="65">
        <v>0</v>
      </c>
      <c r="M2128" s="65">
        <v>0</v>
      </c>
      <c r="N2128" s="64">
        <v>0</v>
      </c>
      <c r="P2128">
        <f t="shared" si="112"/>
        <v>252</v>
      </c>
      <c r="Q2128" t="str">
        <f t="shared" si="113"/>
        <v>CN</v>
      </c>
      <c r="R2128" t="str">
        <f>IF(ISERROR(MATCH(P2128&amp;"."&amp;Q2128,R$5:R2127,0)),P2128&amp;"."&amp;Q2128,P2128&amp;"."&amp;Q2128&amp;COUNTIFS(P$5:P2127,P2128,Q$5:Q2127,Q2128))</f>
        <v>252.CN</v>
      </c>
      <c r="S2128" s="55">
        <f t="shared" si="114"/>
        <v>0</v>
      </c>
    </row>
    <row r="2129" spans="1:19" hidden="1">
      <c r="A2129" s="5">
        <v>2194</v>
      </c>
      <c r="B2129" s="59"/>
      <c r="C2129" s="60" t="s">
        <v>654</v>
      </c>
      <c r="D2129" s="63"/>
      <c r="E2129" s="63"/>
      <c r="F2129" s="60"/>
      <c r="G2129" s="61"/>
      <c r="H2129" s="62" t="s">
        <v>655</v>
      </c>
      <c r="I2129" s="65">
        <v>-74342020.840000018</v>
      </c>
      <c r="J2129" s="65">
        <v>-31278618.066635307</v>
      </c>
      <c r="K2129" s="62"/>
      <c r="L2129" s="65">
        <v>-74342020.840000063</v>
      </c>
      <c r="M2129" s="65">
        <v>-36299861.149053015</v>
      </c>
      <c r="N2129" s="64">
        <v>-38042159.690947056</v>
      </c>
      <c r="P2129" t="str">
        <f t="shared" si="112"/>
        <v>Total Customer Advances for Construction</v>
      </c>
      <c r="Q2129" t="str">
        <f t="shared" si="113"/>
        <v>NA</v>
      </c>
      <c r="R2129" t="str">
        <f>IF(ISERROR(MATCH(P2129&amp;"."&amp;Q2129,R$5:R2128,0)),P2129&amp;"."&amp;Q2129,P2129&amp;"."&amp;Q2129&amp;COUNTIFS(P$5:P2128,P2129,Q$5:Q2128,Q2129))</f>
        <v>Total Customer Advances for Construction.NA</v>
      </c>
      <c r="S2129" s="55">
        <f t="shared" si="114"/>
        <v>-38042159.690947056</v>
      </c>
    </row>
    <row r="2130" spans="1:19" hidden="1">
      <c r="A2130" s="5">
        <v>2195</v>
      </c>
      <c r="B2130" s="59"/>
      <c r="C2130" s="60"/>
      <c r="D2130" s="63"/>
      <c r="E2130" s="63"/>
      <c r="F2130" s="60"/>
      <c r="G2130" s="61"/>
      <c r="H2130" s="62"/>
      <c r="I2130" s="65"/>
      <c r="J2130" s="65"/>
      <c r="K2130" s="62"/>
      <c r="L2130" s="65"/>
      <c r="M2130" s="65"/>
      <c r="N2130" s="64"/>
      <c r="P2130" t="str">
        <f t="shared" si="112"/>
        <v>Total Customer Advances for Construction</v>
      </c>
      <c r="Q2130" t="str">
        <f t="shared" si="113"/>
        <v>NA</v>
      </c>
      <c r="R2130" t="str">
        <f>IF(ISERROR(MATCH(P2130&amp;"."&amp;Q2130,R$5:R2129,0)),P2130&amp;"."&amp;Q2130,P2130&amp;"."&amp;Q2130&amp;COUNTIFS(P$5:P2129,P2130,Q$5:Q2129,Q2130))</f>
        <v>Total Customer Advances for Construction.NA1</v>
      </c>
      <c r="S2130" s="55">
        <f t="shared" si="114"/>
        <v>0</v>
      </c>
    </row>
    <row r="2131" spans="1:19" hidden="1">
      <c r="A2131" s="5">
        <v>2196</v>
      </c>
      <c r="B2131" s="59"/>
      <c r="C2131" s="60">
        <v>25398</v>
      </c>
      <c r="D2131" s="63" t="s">
        <v>656</v>
      </c>
      <c r="E2131" s="63"/>
      <c r="F2131" s="60"/>
      <c r="G2131" s="61"/>
      <c r="H2131" s="62"/>
      <c r="I2131" s="65"/>
      <c r="J2131" s="65"/>
      <c r="K2131" s="62"/>
      <c r="L2131" s="65"/>
      <c r="M2131" s="65"/>
      <c r="N2131" s="64"/>
      <c r="P2131">
        <f t="shared" si="112"/>
        <v>25398</v>
      </c>
      <c r="Q2131" t="str">
        <f t="shared" si="113"/>
        <v>NA</v>
      </c>
      <c r="R2131" t="str">
        <f>IF(ISERROR(MATCH(P2131&amp;"."&amp;Q2131,R$5:R2130,0)),P2131&amp;"."&amp;Q2131,P2131&amp;"."&amp;Q2131&amp;COUNTIFS(P$5:P2130,P2131,Q$5:Q2130,Q2131))</f>
        <v>25398.NA</v>
      </c>
      <c r="S2131" s="55">
        <f t="shared" si="114"/>
        <v>0</v>
      </c>
    </row>
    <row r="2132" spans="1:19" hidden="1">
      <c r="A2132" s="5">
        <v>2197</v>
      </c>
      <c r="B2132" s="59"/>
      <c r="C2132" s="60"/>
      <c r="D2132" s="63"/>
      <c r="E2132" s="63"/>
      <c r="F2132" s="60" t="s">
        <v>13</v>
      </c>
      <c r="G2132" s="61" t="s">
        <v>16</v>
      </c>
      <c r="H2132" s="62"/>
      <c r="I2132" s="65">
        <v>0</v>
      </c>
      <c r="J2132" s="65">
        <v>0</v>
      </c>
      <c r="K2132" s="62"/>
      <c r="L2132" s="65">
        <v>0</v>
      </c>
      <c r="M2132" s="65">
        <v>0</v>
      </c>
      <c r="N2132" s="64">
        <v>0</v>
      </c>
      <c r="P2132">
        <f t="shared" si="112"/>
        <v>25398</v>
      </c>
      <c r="Q2132" t="str">
        <f t="shared" si="113"/>
        <v>SE</v>
      </c>
      <c r="R2132" t="str">
        <f>IF(ISERROR(MATCH(P2132&amp;"."&amp;Q2132,R$5:R2131,0)),P2132&amp;"."&amp;Q2132,P2132&amp;"."&amp;Q2132&amp;COUNTIFS(P$5:P2131,P2132,Q$5:Q2131,Q2132))</f>
        <v>25398.SE</v>
      </c>
      <c r="S2132" s="55">
        <f t="shared" si="114"/>
        <v>0</v>
      </c>
    </row>
    <row r="2133" spans="1:19" hidden="1">
      <c r="A2133" s="5">
        <v>2198</v>
      </c>
      <c r="B2133" s="59"/>
      <c r="C2133" s="60"/>
      <c r="D2133" s="63"/>
      <c r="E2133" s="63"/>
      <c r="F2133" s="60"/>
      <c r="G2133" s="61"/>
      <c r="H2133" s="62"/>
      <c r="I2133" s="65">
        <v>0</v>
      </c>
      <c r="J2133" s="65">
        <v>0</v>
      </c>
      <c r="K2133" s="62"/>
      <c r="L2133" s="65">
        <v>0</v>
      </c>
      <c r="M2133" s="65">
        <v>0</v>
      </c>
      <c r="N2133" s="64">
        <v>0</v>
      </c>
      <c r="P2133">
        <f t="shared" si="112"/>
        <v>25398</v>
      </c>
      <c r="Q2133" t="str">
        <f t="shared" si="113"/>
        <v>NA</v>
      </c>
      <c r="R2133" t="str">
        <f>IF(ISERROR(MATCH(P2133&amp;"."&amp;Q2133,R$5:R2132,0)),P2133&amp;"."&amp;Q2133,P2133&amp;"."&amp;Q2133&amp;COUNTIFS(P$5:P2132,P2133,Q$5:Q2132,Q2133))</f>
        <v>25398.NA1</v>
      </c>
      <c r="S2133" s="55">
        <f t="shared" si="114"/>
        <v>0</v>
      </c>
    </row>
    <row r="2134" spans="1:19" hidden="1">
      <c r="A2134" s="5">
        <v>2199</v>
      </c>
      <c r="B2134" s="59"/>
      <c r="C2134" s="60"/>
      <c r="D2134" s="63"/>
      <c r="E2134" s="63"/>
      <c r="F2134" s="60"/>
      <c r="G2134" s="61"/>
      <c r="H2134" s="62"/>
      <c r="I2134" s="65"/>
      <c r="J2134" s="65"/>
      <c r="K2134" s="62"/>
      <c r="L2134" s="65"/>
      <c r="M2134" s="65"/>
      <c r="N2134" s="64"/>
      <c r="P2134">
        <f t="shared" si="112"/>
        <v>25398</v>
      </c>
      <c r="Q2134" t="str">
        <f t="shared" si="113"/>
        <v>NA</v>
      </c>
      <c r="R2134" t="str">
        <f>IF(ISERROR(MATCH(P2134&amp;"."&amp;Q2134,R$5:R2133,0)),P2134&amp;"."&amp;Q2134,P2134&amp;"."&amp;Q2134&amp;COUNTIFS(P$5:P2133,P2134,Q$5:Q2133,Q2134))</f>
        <v>25398.NA2</v>
      </c>
      <c r="S2134" s="55">
        <f t="shared" si="114"/>
        <v>0</v>
      </c>
    </row>
    <row r="2135" spans="1:19" hidden="1">
      <c r="A2135" s="5">
        <v>2200</v>
      </c>
      <c r="B2135" s="59"/>
      <c r="C2135" s="60">
        <v>25399</v>
      </c>
      <c r="D2135" s="63" t="s">
        <v>657</v>
      </c>
      <c r="E2135" s="63"/>
      <c r="F2135" s="60"/>
      <c r="G2135" s="61"/>
      <c r="H2135" s="62"/>
      <c r="I2135" s="65"/>
      <c r="J2135" s="65"/>
      <c r="K2135" s="62"/>
      <c r="L2135" s="65"/>
      <c r="M2135" s="65"/>
      <c r="N2135" s="64"/>
      <c r="P2135">
        <f t="shared" si="112"/>
        <v>25399</v>
      </c>
      <c r="Q2135" t="str">
        <f t="shared" si="113"/>
        <v>NA</v>
      </c>
      <c r="R2135" t="str">
        <f>IF(ISERROR(MATCH(P2135&amp;"."&amp;Q2135,R$5:R2134,0)),P2135&amp;"."&amp;Q2135,P2135&amp;"."&amp;Q2135&amp;COUNTIFS(P$5:P2134,P2135,Q$5:Q2134,Q2135))</f>
        <v>25399.NA</v>
      </c>
      <c r="S2135" s="55">
        <f t="shared" si="114"/>
        <v>0</v>
      </c>
    </row>
    <row r="2136" spans="1:19" hidden="1">
      <c r="A2136" s="5">
        <v>2201</v>
      </c>
      <c r="B2136" s="59"/>
      <c r="C2136" s="60"/>
      <c r="D2136" s="63"/>
      <c r="E2136" s="63"/>
      <c r="F2136" s="60" t="s">
        <v>13</v>
      </c>
      <c r="G2136" s="61" t="s">
        <v>12</v>
      </c>
      <c r="H2136" s="62"/>
      <c r="I2136" s="65">
        <v>-2865055.4261538414</v>
      </c>
      <c r="J2136" s="65">
        <v>-870564.97846153798</v>
      </c>
      <c r="K2136" s="62"/>
      <c r="L2136" s="65">
        <v>-2865055.4261538414</v>
      </c>
      <c r="M2136" s="65">
        <v>-1994490.4476923035</v>
      </c>
      <c r="N2136" s="64">
        <v>-870564.97846153798</v>
      </c>
      <c r="P2136">
        <f t="shared" si="112"/>
        <v>25399</v>
      </c>
      <c r="Q2136" t="str">
        <f t="shared" si="113"/>
        <v>S</v>
      </c>
      <c r="R2136" t="str">
        <f>IF(ISERROR(MATCH(P2136&amp;"."&amp;Q2136,R$5:R2135,0)),P2136&amp;"."&amp;Q2136,P2136&amp;"."&amp;Q2136&amp;COUNTIFS(P$5:P2135,P2136,Q$5:Q2135,Q2136))</f>
        <v>25399.S</v>
      </c>
      <c r="S2136" s="55">
        <f t="shared" si="114"/>
        <v>-870564.97846153798</v>
      </c>
    </row>
    <row r="2137" spans="1:19" hidden="1">
      <c r="A2137" s="5">
        <v>2202</v>
      </c>
      <c r="B2137" s="59"/>
      <c r="C2137" s="60"/>
      <c r="D2137" s="63"/>
      <c r="E2137" s="63"/>
      <c r="F2137" s="60" t="s">
        <v>361</v>
      </c>
      <c r="G2137" s="61" t="s">
        <v>136</v>
      </c>
      <c r="H2137" s="62"/>
      <c r="I2137" s="65">
        <v>-56400465.133846201</v>
      </c>
      <c r="J2137" s="65">
        <v>-24476973.113129668</v>
      </c>
      <c r="K2137" s="62"/>
      <c r="L2137" s="65">
        <v>-56400465.133846201</v>
      </c>
      <c r="M2137" s="65">
        <v>-31756552.385453597</v>
      </c>
      <c r="N2137" s="64">
        <v>-24643912.748392604</v>
      </c>
      <c r="P2137">
        <f t="shared" si="112"/>
        <v>25399</v>
      </c>
      <c r="Q2137" t="str">
        <f t="shared" si="113"/>
        <v>SO</v>
      </c>
      <c r="R2137" t="str">
        <f>IF(ISERROR(MATCH(P2137&amp;"."&amp;Q2137,R$5:R2136,0)),P2137&amp;"."&amp;Q2137,P2137&amp;"."&amp;Q2137&amp;COUNTIFS(P$5:P2136,P2137,Q$5:Q2136,Q2137))</f>
        <v>25399.SO</v>
      </c>
      <c r="S2137" s="55">
        <f t="shared" si="114"/>
        <v>-24643912.748392604</v>
      </c>
    </row>
    <row r="2138" spans="1:19" hidden="1">
      <c r="A2138" s="5">
        <v>2203</v>
      </c>
      <c r="B2138" s="59"/>
      <c r="C2138" s="45"/>
      <c r="D2138" s="63"/>
      <c r="E2138" s="63"/>
      <c r="F2138" s="63" t="s">
        <v>13</v>
      </c>
      <c r="G2138" s="63" t="s">
        <v>15</v>
      </c>
      <c r="H2138" s="62"/>
      <c r="I2138" s="66">
        <v>-21447464.518461499</v>
      </c>
      <c r="J2138" s="66">
        <v>-9436347.8009296414</v>
      </c>
      <c r="K2138" s="62"/>
      <c r="L2138" s="66">
        <v>-21447464.518461499</v>
      </c>
      <c r="M2138" s="66">
        <v>-12011116.717531858</v>
      </c>
      <c r="N2138" s="66">
        <v>-9436347.8009296414</v>
      </c>
      <c r="P2138">
        <f t="shared" si="112"/>
        <v>25399</v>
      </c>
      <c r="Q2138" t="str">
        <f t="shared" si="113"/>
        <v>SG</v>
      </c>
      <c r="R2138" t="str">
        <f>IF(ISERROR(MATCH(P2138&amp;"."&amp;Q2138,R$5:R2137,0)),P2138&amp;"."&amp;Q2138,P2138&amp;"."&amp;Q2138&amp;COUNTIFS(P$5:P2137,P2138,Q$5:Q2137,Q2138))</f>
        <v>25399.SG</v>
      </c>
      <c r="S2138" s="55">
        <f t="shared" si="114"/>
        <v>-9436347.8009296414</v>
      </c>
    </row>
    <row r="2139" spans="1:19" hidden="1">
      <c r="A2139" s="5">
        <v>2204</v>
      </c>
      <c r="B2139" s="59"/>
      <c r="C2139" s="60"/>
      <c r="D2139" s="63"/>
      <c r="E2139" s="63"/>
      <c r="F2139" s="63" t="s">
        <v>13</v>
      </c>
      <c r="G2139" s="63" t="s">
        <v>16</v>
      </c>
      <c r="H2139" s="62"/>
      <c r="I2139" s="77">
        <v>-7493405.7907692296</v>
      </c>
      <c r="J2139" s="77">
        <v>-3248856.7132753734</v>
      </c>
      <c r="K2139" s="62"/>
      <c r="L2139" s="77">
        <v>-7493405.7907692296</v>
      </c>
      <c r="M2139" s="65">
        <v>-4244549.0774938557</v>
      </c>
      <c r="N2139" s="65">
        <v>-3248856.7132753734</v>
      </c>
      <c r="P2139">
        <f t="shared" si="112"/>
        <v>25399</v>
      </c>
      <c r="Q2139" t="str">
        <f t="shared" si="113"/>
        <v>SE</v>
      </c>
      <c r="R2139" t="str">
        <f>IF(ISERROR(MATCH(P2139&amp;"."&amp;Q2139,R$5:R2138,0)),P2139&amp;"."&amp;Q2139,P2139&amp;"."&amp;Q2139&amp;COUNTIFS(P$5:P2138,P2139,Q$5:Q2138,Q2139))</f>
        <v>25399.SE</v>
      </c>
      <c r="S2139" s="55">
        <f t="shared" si="114"/>
        <v>-3248856.7132753734</v>
      </c>
    </row>
    <row r="2140" spans="1:19" hidden="1">
      <c r="A2140" s="5">
        <v>2205</v>
      </c>
      <c r="B2140" s="59"/>
      <c r="C2140" s="60"/>
      <c r="D2140" s="61"/>
      <c r="E2140" s="63"/>
      <c r="F2140" s="63"/>
      <c r="G2140" s="63"/>
      <c r="H2140" s="62" t="s">
        <v>595</v>
      </c>
      <c r="I2140" s="65">
        <v>-88206390.869230777</v>
      </c>
      <c r="J2140" s="65">
        <v>-38032742.605796218</v>
      </c>
      <c r="K2140" s="62"/>
      <c r="L2140" s="65">
        <v>-88206390.869230777</v>
      </c>
      <c r="M2140" s="65">
        <v>-50006708.628171615</v>
      </c>
      <c r="N2140" s="65">
        <v>-38199682.241059154</v>
      </c>
      <c r="P2140">
        <f t="shared" si="112"/>
        <v>25399</v>
      </c>
      <c r="Q2140" t="str">
        <f t="shared" si="113"/>
        <v>NA</v>
      </c>
      <c r="R2140" t="str">
        <f>IF(ISERROR(MATCH(P2140&amp;"."&amp;Q2140,R$5:R2139,0)),P2140&amp;"."&amp;Q2140,P2140&amp;"."&amp;Q2140&amp;COUNTIFS(P$5:P2139,P2140,Q$5:Q2139,Q2140))</f>
        <v>25399.NA1</v>
      </c>
      <c r="S2140" s="55">
        <f t="shared" si="114"/>
        <v>-38199682.241059154</v>
      </c>
    </row>
    <row r="2141" spans="1:19" hidden="1">
      <c r="A2141" s="5">
        <v>2206</v>
      </c>
      <c r="B2141" s="59"/>
      <c r="C2141" s="60"/>
      <c r="D2141" s="63"/>
      <c r="E2141" s="63"/>
      <c r="F2141" s="60"/>
      <c r="G2141" s="61"/>
      <c r="H2141" s="62"/>
      <c r="I2141" s="65"/>
      <c r="J2141" s="65"/>
      <c r="K2141" s="62"/>
      <c r="L2141" s="65"/>
      <c r="M2141" s="65"/>
      <c r="N2141" s="64"/>
      <c r="P2141">
        <f t="shared" si="112"/>
        <v>25399</v>
      </c>
      <c r="Q2141" t="str">
        <f t="shared" si="113"/>
        <v>NA</v>
      </c>
      <c r="R2141" t="str">
        <f>IF(ISERROR(MATCH(P2141&amp;"."&amp;Q2141,R$5:R2140,0)),P2141&amp;"."&amp;Q2141,P2141&amp;"."&amp;Q2141&amp;COUNTIFS(P$5:P2140,P2141,Q$5:Q2140,Q2141))</f>
        <v>25399.NA2</v>
      </c>
      <c r="S2141" s="55">
        <f t="shared" si="114"/>
        <v>0</v>
      </c>
    </row>
    <row r="2142" spans="1:19" hidden="1">
      <c r="A2142" s="5">
        <v>2207</v>
      </c>
      <c r="B2142" s="59"/>
      <c r="C2142" s="60">
        <v>190</v>
      </c>
      <c r="D2142" s="63" t="s">
        <v>658</v>
      </c>
      <c r="E2142" s="63"/>
      <c r="F2142" s="60"/>
      <c r="G2142" s="61"/>
      <c r="H2142" s="62"/>
      <c r="I2142" s="65"/>
      <c r="J2142" s="65"/>
      <c r="K2142" s="62"/>
      <c r="L2142" s="65"/>
      <c r="M2142" s="65"/>
      <c r="N2142" s="64"/>
      <c r="P2142">
        <f t="shared" si="112"/>
        <v>190</v>
      </c>
      <c r="Q2142" t="str">
        <f t="shared" si="113"/>
        <v>NA</v>
      </c>
      <c r="R2142" t="str">
        <f>IF(ISERROR(MATCH(P2142&amp;"."&amp;Q2142,R$5:R2141,0)),P2142&amp;"."&amp;Q2142,P2142&amp;"."&amp;Q2142&amp;COUNTIFS(P$5:P2141,P2142,Q$5:Q2141,Q2142))</f>
        <v>190.NA</v>
      </c>
      <c r="S2142" s="55">
        <f t="shared" si="114"/>
        <v>0</v>
      </c>
    </row>
    <row r="2143" spans="1:19" hidden="1">
      <c r="A2143" s="5">
        <v>2208</v>
      </c>
      <c r="B2143" s="59"/>
      <c r="C2143" s="60"/>
      <c r="D2143" s="63"/>
      <c r="E2143" s="63"/>
      <c r="F2143" s="60" t="s">
        <v>13</v>
      </c>
      <c r="G2143" s="61" t="s">
        <v>12</v>
      </c>
      <c r="H2143" s="62"/>
      <c r="I2143" s="65">
        <v>114784692.6923078</v>
      </c>
      <c r="J2143" s="65">
        <v>23384376.709230799</v>
      </c>
      <c r="K2143" s="62"/>
      <c r="L2143" s="65">
        <v>242278980.88559538</v>
      </c>
      <c r="M2143" s="65">
        <v>77116995.808318764</v>
      </c>
      <c r="N2143" s="64">
        <v>165161985.07727662</v>
      </c>
      <c r="P2143">
        <f t="shared" si="112"/>
        <v>190</v>
      </c>
      <c r="Q2143" t="str">
        <f t="shared" si="113"/>
        <v>S</v>
      </c>
      <c r="R2143" t="str">
        <f>IF(ISERROR(MATCH(P2143&amp;"."&amp;Q2143,R$5:R2142,0)),P2143&amp;"."&amp;Q2143,P2143&amp;"."&amp;Q2143&amp;COUNTIFS(P$5:P2142,P2143,Q$5:Q2142,Q2143))</f>
        <v>190.S</v>
      </c>
      <c r="S2143" s="55">
        <f t="shared" si="114"/>
        <v>165161985.07727662</v>
      </c>
    </row>
    <row r="2144" spans="1:19" hidden="1">
      <c r="A2144" s="5">
        <v>2209</v>
      </c>
      <c r="B2144" s="59"/>
      <c r="C2144" s="60"/>
      <c r="D2144" s="63"/>
      <c r="E2144" s="63"/>
      <c r="F2144" s="63" t="s">
        <v>149</v>
      </c>
      <c r="G2144" s="63" t="s">
        <v>155</v>
      </c>
      <c r="H2144" s="62"/>
      <c r="I2144" s="66">
        <v>0</v>
      </c>
      <c r="J2144" s="66">
        <v>0</v>
      </c>
      <c r="K2144" s="62"/>
      <c r="L2144" s="66">
        <v>0</v>
      </c>
      <c r="M2144" s="66">
        <v>0</v>
      </c>
      <c r="N2144" s="66">
        <v>0</v>
      </c>
      <c r="P2144">
        <f t="shared" si="112"/>
        <v>190</v>
      </c>
      <c r="Q2144" t="str">
        <f t="shared" si="113"/>
        <v>CN</v>
      </c>
      <c r="R2144" t="str">
        <f>IF(ISERROR(MATCH(P2144&amp;"."&amp;Q2144,R$5:R2143,0)),P2144&amp;"."&amp;Q2144,P2144&amp;"."&amp;Q2144&amp;COUNTIFS(P$5:P2143,P2144,Q$5:Q2143,Q2144))</f>
        <v>190.CN</v>
      </c>
      <c r="S2144" s="55">
        <f t="shared" si="114"/>
        <v>0</v>
      </c>
    </row>
    <row r="2145" spans="1:19" hidden="1">
      <c r="A2145" s="5">
        <v>2210</v>
      </c>
      <c r="B2145" s="59"/>
      <c r="C2145" s="60"/>
      <c r="D2145" s="63"/>
      <c r="E2145" s="63"/>
      <c r="F2145" s="63" t="s">
        <v>361</v>
      </c>
      <c r="G2145" s="63" t="s">
        <v>136</v>
      </c>
      <c r="H2145" s="62"/>
      <c r="I2145" s="65">
        <v>108617290.925385</v>
      </c>
      <c r="J2145" s="65">
        <v>47138308.226578414</v>
      </c>
      <c r="K2145" s="62"/>
      <c r="L2145" s="65">
        <v>68466708.855533272</v>
      </c>
      <c r="M2145" s="65">
        <v>38550508.781629771</v>
      </c>
      <c r="N2145" s="65">
        <v>29916200.073903497</v>
      </c>
      <c r="P2145">
        <f t="shared" si="112"/>
        <v>190</v>
      </c>
      <c r="Q2145" t="str">
        <f t="shared" si="113"/>
        <v>SO</v>
      </c>
      <c r="R2145" t="str">
        <f>IF(ISERROR(MATCH(P2145&amp;"."&amp;Q2145,R$5:R2144,0)),P2145&amp;"."&amp;Q2145,P2145&amp;"."&amp;Q2145&amp;COUNTIFS(P$5:P2144,P2145,Q$5:Q2144,Q2145))</f>
        <v>190.SO</v>
      </c>
      <c r="S2145" s="55">
        <f t="shared" si="114"/>
        <v>29916200.073903497</v>
      </c>
    </row>
    <row r="2146" spans="1:19" hidden="1">
      <c r="A2146" s="5">
        <v>2211</v>
      </c>
      <c r="B2146" s="59"/>
      <c r="C2146" s="60"/>
      <c r="D2146" s="61"/>
      <c r="E2146" s="63"/>
      <c r="F2146" s="63" t="s">
        <v>13</v>
      </c>
      <c r="G2146" s="63" t="s">
        <v>17</v>
      </c>
      <c r="H2146" s="62"/>
      <c r="I2146" s="65">
        <v>0</v>
      </c>
      <c r="J2146" s="65">
        <v>0</v>
      </c>
      <c r="K2146" s="62"/>
      <c r="L2146" s="65">
        <v>0</v>
      </c>
      <c r="M2146" s="65">
        <v>0</v>
      </c>
      <c r="N2146" s="65">
        <v>0</v>
      </c>
      <c r="P2146">
        <f t="shared" si="112"/>
        <v>190</v>
      </c>
      <c r="Q2146" t="str">
        <f t="shared" si="113"/>
        <v>DGP</v>
      </c>
      <c r="R2146" t="str">
        <f>IF(ISERROR(MATCH(P2146&amp;"."&amp;Q2146,R$5:R2145,0)),P2146&amp;"."&amp;Q2146,P2146&amp;"."&amp;Q2146&amp;COUNTIFS(P$5:P2145,P2146,Q$5:Q2145,Q2146))</f>
        <v>190.DGP</v>
      </c>
      <c r="S2146" s="55">
        <f t="shared" si="114"/>
        <v>0</v>
      </c>
    </row>
    <row r="2147" spans="1:19" hidden="1">
      <c r="A2147" s="5">
        <v>2212</v>
      </c>
      <c r="B2147" s="59"/>
      <c r="C2147" s="60"/>
      <c r="D2147" s="63"/>
      <c r="E2147" s="63"/>
      <c r="F2147" s="60" t="s">
        <v>450</v>
      </c>
      <c r="G2147" s="61" t="s">
        <v>450</v>
      </c>
      <c r="H2147" s="62"/>
      <c r="I2147" s="65">
        <v>0</v>
      </c>
      <c r="J2147" s="65">
        <v>0</v>
      </c>
      <c r="K2147" s="62"/>
      <c r="L2147" s="65">
        <v>0</v>
      </c>
      <c r="M2147" s="65">
        <v>0</v>
      </c>
      <c r="N2147" s="64">
        <v>0</v>
      </c>
      <c r="P2147">
        <f t="shared" si="112"/>
        <v>190</v>
      </c>
      <c r="Q2147" t="str">
        <f t="shared" si="113"/>
        <v>IBT</v>
      </c>
      <c r="R2147" t="str">
        <f>IF(ISERROR(MATCH(P2147&amp;"."&amp;Q2147,R$5:R2146,0)),P2147&amp;"."&amp;Q2147,P2147&amp;"."&amp;Q2147&amp;COUNTIFS(P$5:P2146,P2147,Q$5:Q2146,Q2147))</f>
        <v>190.IBT</v>
      </c>
      <c r="S2147" s="55">
        <f t="shared" si="114"/>
        <v>0</v>
      </c>
    </row>
    <row r="2148" spans="1:19" hidden="1">
      <c r="A2148" s="5">
        <v>2213</v>
      </c>
      <c r="B2148" s="59"/>
      <c r="C2148" s="60"/>
      <c r="D2148" s="63"/>
      <c r="E2148" s="63"/>
      <c r="F2148" s="60" t="s">
        <v>13</v>
      </c>
      <c r="G2148" s="61" t="s">
        <v>15</v>
      </c>
      <c r="H2148" s="62"/>
      <c r="I2148" s="65">
        <v>0</v>
      </c>
      <c r="J2148" s="65">
        <v>0</v>
      </c>
      <c r="K2148" s="62"/>
      <c r="L2148" s="65">
        <v>0</v>
      </c>
      <c r="M2148" s="65">
        <v>0</v>
      </c>
      <c r="N2148" s="64">
        <v>0</v>
      </c>
      <c r="P2148">
        <f t="shared" si="112"/>
        <v>190</v>
      </c>
      <c r="Q2148" t="str">
        <f t="shared" si="113"/>
        <v>SG</v>
      </c>
      <c r="R2148" t="str">
        <f>IF(ISERROR(MATCH(P2148&amp;"."&amp;Q2148,R$5:R2147,0)),P2148&amp;"."&amp;Q2148,P2148&amp;"."&amp;Q2148&amp;COUNTIFS(P$5:P2147,P2148,Q$5:Q2147,Q2148))</f>
        <v>190.SG</v>
      </c>
      <c r="S2148" s="55">
        <f t="shared" si="114"/>
        <v>0</v>
      </c>
    </row>
    <row r="2149" spans="1:19" hidden="1">
      <c r="A2149" s="5">
        <v>2214</v>
      </c>
      <c r="B2149" s="59"/>
      <c r="C2149" s="60"/>
      <c r="D2149" s="63"/>
      <c r="E2149" s="63"/>
      <c r="F2149" s="60" t="s">
        <v>13</v>
      </c>
      <c r="G2149" s="61" t="s">
        <v>15</v>
      </c>
      <c r="H2149" s="62"/>
      <c r="I2149" s="65">
        <v>0</v>
      </c>
      <c r="J2149" s="65">
        <v>0</v>
      </c>
      <c r="K2149" s="62"/>
      <c r="L2149" s="65">
        <v>0</v>
      </c>
      <c r="M2149" s="65">
        <v>0</v>
      </c>
      <c r="N2149" s="64">
        <v>0</v>
      </c>
      <c r="P2149">
        <f t="shared" si="112"/>
        <v>190</v>
      </c>
      <c r="Q2149" t="str">
        <f t="shared" si="113"/>
        <v>SG</v>
      </c>
      <c r="R2149" t="str">
        <f>IF(ISERROR(MATCH(P2149&amp;"."&amp;Q2149,R$5:R2148,0)),P2149&amp;"."&amp;Q2149,P2149&amp;"."&amp;Q2149&amp;COUNTIFS(P$5:P2148,P2149,Q$5:Q2148,Q2149))</f>
        <v>190.SG1</v>
      </c>
      <c r="S2149" s="55">
        <f t="shared" si="114"/>
        <v>0</v>
      </c>
    </row>
    <row r="2150" spans="1:19" hidden="1">
      <c r="A2150" s="5">
        <v>2215</v>
      </c>
      <c r="B2150" s="59"/>
      <c r="C2150" s="60"/>
      <c r="D2150" s="63"/>
      <c r="E2150" s="63"/>
      <c r="F2150" s="60" t="s">
        <v>149</v>
      </c>
      <c r="G2150" s="61" t="s">
        <v>449</v>
      </c>
      <c r="H2150" s="62"/>
      <c r="I2150" s="65">
        <v>2519956.81692308</v>
      </c>
      <c r="J2150" s="65">
        <v>837080.61116809095</v>
      </c>
      <c r="K2150" s="62"/>
      <c r="L2150" s="65">
        <v>2754658.81692308</v>
      </c>
      <c r="M2150" s="65">
        <v>1836172.4767145701</v>
      </c>
      <c r="N2150" s="64">
        <v>918486.34020850994</v>
      </c>
      <c r="P2150">
        <f t="shared" si="112"/>
        <v>190</v>
      </c>
      <c r="Q2150" t="str">
        <f t="shared" si="113"/>
        <v>BADDEBT</v>
      </c>
      <c r="R2150" t="str">
        <f>IF(ISERROR(MATCH(P2150&amp;"."&amp;Q2150,R$5:R2149,0)),P2150&amp;"."&amp;Q2150,P2150&amp;"."&amp;Q2150&amp;COUNTIFS(P$5:P2149,P2150,Q$5:Q2149,Q2150))</f>
        <v>190.BADDEBT</v>
      </c>
      <c r="S2150" s="55">
        <f t="shared" si="114"/>
        <v>918486.34020850994</v>
      </c>
    </row>
    <row r="2151" spans="1:19" hidden="1">
      <c r="A2151" s="5">
        <v>2216</v>
      </c>
      <c r="B2151" s="59"/>
      <c r="C2151" s="60"/>
      <c r="D2151" s="63"/>
      <c r="E2151" s="63"/>
      <c r="F2151" s="60" t="s">
        <v>13</v>
      </c>
      <c r="G2151" s="61" t="s">
        <v>447</v>
      </c>
      <c r="H2151" s="62"/>
      <c r="I2151" s="65">
        <v>1320055.88076923</v>
      </c>
      <c r="J2151" s="65">
        <v>579278.48174631456</v>
      </c>
      <c r="K2151" s="62"/>
      <c r="L2151" s="65">
        <v>3.461538371630013E-2</v>
      </c>
      <c r="M2151" s="65">
        <v>1.9425157896041927E-2</v>
      </c>
      <c r="N2151" s="64">
        <v>1.5190225820258202E-2</v>
      </c>
      <c r="P2151">
        <f t="shared" si="112"/>
        <v>190</v>
      </c>
      <c r="Q2151" t="str">
        <f t="shared" si="113"/>
        <v>TROJD</v>
      </c>
      <c r="R2151" t="str">
        <f>IF(ISERROR(MATCH(P2151&amp;"."&amp;Q2151,R$5:R2150,0)),P2151&amp;"."&amp;Q2151,P2151&amp;"."&amp;Q2151&amp;COUNTIFS(P$5:P2150,P2151,Q$5:Q2150,Q2151))</f>
        <v>190.TROJD</v>
      </c>
      <c r="S2151" s="55">
        <f t="shared" si="114"/>
        <v>1.5190225820258202E-2</v>
      </c>
    </row>
    <row r="2152" spans="1:19" hidden="1">
      <c r="A2152" s="5">
        <v>2217</v>
      </c>
      <c r="B2152" s="59"/>
      <c r="C2152" s="60"/>
      <c r="D2152" s="63"/>
      <c r="E2152" s="63"/>
      <c r="F2152" s="60" t="s">
        <v>13</v>
      </c>
      <c r="G2152" s="61" t="s">
        <v>15</v>
      </c>
      <c r="H2152" s="62"/>
      <c r="I2152" s="65">
        <v>26179266.536153801</v>
      </c>
      <c r="J2152" s="65">
        <v>11518222.305286586</v>
      </c>
      <c r="K2152" s="62"/>
      <c r="L2152" s="65">
        <v>6417855.496760793</v>
      </c>
      <c r="M2152" s="65">
        <v>3594159.6444415939</v>
      </c>
      <c r="N2152" s="64">
        <v>2823695.8523191991</v>
      </c>
      <c r="P2152">
        <f t="shared" si="112"/>
        <v>190</v>
      </c>
      <c r="Q2152" t="str">
        <f t="shared" si="113"/>
        <v>SG</v>
      </c>
      <c r="R2152" t="str">
        <f>IF(ISERROR(MATCH(P2152&amp;"."&amp;Q2152,R$5:R2151,0)),P2152&amp;"."&amp;Q2152,P2152&amp;"."&amp;Q2152&amp;COUNTIFS(P$5:P2151,P2152,Q$5:Q2151,Q2152))</f>
        <v>190.SG2</v>
      </c>
      <c r="S2152" s="55">
        <f t="shared" si="114"/>
        <v>2823695.8523191991</v>
      </c>
    </row>
    <row r="2153" spans="1:19" hidden="1">
      <c r="A2153" s="5">
        <v>2218</v>
      </c>
      <c r="B2153" s="59"/>
      <c r="C2153" s="60"/>
      <c r="D2153" s="63"/>
      <c r="E2153" s="63"/>
      <c r="F2153" s="60" t="s">
        <v>13</v>
      </c>
      <c r="G2153" s="61" t="s">
        <v>16</v>
      </c>
      <c r="H2153" s="62"/>
      <c r="I2153" s="65">
        <v>22061147.163846198</v>
      </c>
      <c r="J2153" s="65">
        <v>9564877.1822965834</v>
      </c>
      <c r="K2153" s="62"/>
      <c r="L2153" s="65">
        <v>-5607874.7592307255</v>
      </c>
      <c r="M2153" s="65">
        <v>-3176512.83016269</v>
      </c>
      <c r="N2153" s="64">
        <v>-2431361.9290680354</v>
      </c>
      <c r="P2153">
        <f t="shared" si="112"/>
        <v>190</v>
      </c>
      <c r="Q2153" t="str">
        <f t="shared" si="113"/>
        <v>SE</v>
      </c>
      <c r="R2153" t="str">
        <f>IF(ISERROR(MATCH(P2153&amp;"."&amp;Q2153,R$5:R2152,0)),P2153&amp;"."&amp;Q2153,P2153&amp;"."&amp;Q2153&amp;COUNTIFS(P$5:P2152,P2153,Q$5:Q2152,Q2153))</f>
        <v>190.SE</v>
      </c>
      <c r="S2153" s="55">
        <f t="shared" si="114"/>
        <v>-2431361.9290680354</v>
      </c>
    </row>
    <row r="2154" spans="1:19" hidden="1">
      <c r="A2154" s="5">
        <v>2219</v>
      </c>
      <c r="B2154" s="59"/>
      <c r="C2154" s="60"/>
      <c r="D2154" s="63"/>
      <c r="E2154" s="63"/>
      <c r="F2154" s="60" t="s">
        <v>171</v>
      </c>
      <c r="G2154" s="61" t="s">
        <v>433</v>
      </c>
      <c r="H2154" s="62"/>
      <c r="I2154" s="65">
        <v>0</v>
      </c>
      <c r="J2154" s="65">
        <v>0</v>
      </c>
      <c r="K2154" s="62"/>
      <c r="L2154" s="65">
        <v>0</v>
      </c>
      <c r="M2154" s="65">
        <v>0</v>
      </c>
      <c r="N2154" s="64">
        <v>0</v>
      </c>
      <c r="P2154">
        <f t="shared" si="112"/>
        <v>190</v>
      </c>
      <c r="Q2154" t="str">
        <f t="shared" si="113"/>
        <v>SNP</v>
      </c>
      <c r="R2154" t="str">
        <f>IF(ISERROR(MATCH(P2154&amp;"."&amp;Q2154,R$5:R2153,0)),P2154&amp;"."&amp;Q2154,P2154&amp;"."&amp;Q2154&amp;COUNTIFS(P$5:P2153,P2154,Q$5:Q2153,Q2154))</f>
        <v>190.SNP</v>
      </c>
      <c r="S2154" s="55">
        <f t="shared" si="114"/>
        <v>0</v>
      </c>
    </row>
    <row r="2155" spans="1:19" hidden="1">
      <c r="A2155" s="5">
        <v>2220</v>
      </c>
      <c r="B2155" s="59"/>
      <c r="C2155" s="60"/>
      <c r="D2155" s="63"/>
      <c r="E2155" s="63"/>
      <c r="F2155" s="60" t="s">
        <v>139</v>
      </c>
      <c r="G2155" s="61" t="s">
        <v>321</v>
      </c>
      <c r="H2155" s="62"/>
      <c r="I2155" s="65">
        <v>1378865.7876923101</v>
      </c>
      <c r="J2155" s="65">
        <v>665042.91630857135</v>
      </c>
      <c r="K2155" s="62"/>
      <c r="L2155" s="65">
        <v>1932610.8646153871</v>
      </c>
      <c r="M2155" s="65">
        <v>995526.3326832708</v>
      </c>
      <c r="N2155" s="64">
        <v>937084.53193211625</v>
      </c>
      <c r="P2155">
        <f t="shared" si="112"/>
        <v>190</v>
      </c>
      <c r="Q2155" t="str">
        <f t="shared" si="113"/>
        <v>SNPD</v>
      </c>
      <c r="R2155" t="str">
        <f>IF(ISERROR(MATCH(P2155&amp;"."&amp;Q2155,R$5:R2154,0)),P2155&amp;"."&amp;Q2155,P2155&amp;"."&amp;Q2155&amp;COUNTIFS(P$5:P2154,P2155,Q$5:Q2154,Q2155))</f>
        <v>190.SNPD</v>
      </c>
      <c r="S2155" s="55">
        <f t="shared" si="114"/>
        <v>937084.53193211625</v>
      </c>
    </row>
    <row r="2156" spans="1:19" hidden="1">
      <c r="A2156" s="5">
        <v>2221</v>
      </c>
      <c r="B2156" s="59"/>
      <c r="C2156" s="60"/>
      <c r="D2156" s="63"/>
      <c r="E2156" s="63"/>
      <c r="F2156" s="60" t="s">
        <v>13</v>
      </c>
      <c r="G2156" s="61" t="s">
        <v>15</v>
      </c>
      <c r="H2156" s="62"/>
      <c r="I2156" s="65">
        <v>0</v>
      </c>
      <c r="J2156" s="65">
        <v>0</v>
      </c>
      <c r="K2156" s="62"/>
      <c r="L2156" s="65">
        <v>0</v>
      </c>
      <c r="M2156" s="65">
        <v>0</v>
      </c>
      <c r="N2156" s="64">
        <v>0</v>
      </c>
      <c r="P2156">
        <f t="shared" si="112"/>
        <v>190</v>
      </c>
      <c r="Q2156" t="str">
        <f t="shared" si="113"/>
        <v>SG</v>
      </c>
      <c r="R2156" t="str">
        <f>IF(ISERROR(MATCH(P2156&amp;"."&amp;Q2156,R$5:R2155,0)),P2156&amp;"."&amp;Q2156,P2156&amp;"."&amp;Q2156&amp;COUNTIFS(P$5:P2155,P2156,Q$5:Q2155,Q2156))</f>
        <v>190.SG3</v>
      </c>
      <c r="S2156" s="55">
        <f t="shared" si="114"/>
        <v>0</v>
      </c>
    </row>
    <row r="2157" spans="1:19" hidden="1">
      <c r="A2157" s="5">
        <v>2222</v>
      </c>
      <c r="B2157" s="59"/>
      <c r="C2157" s="60" t="s">
        <v>141</v>
      </c>
      <c r="D2157" s="63"/>
      <c r="E2157" s="63"/>
      <c r="F2157" s="60"/>
      <c r="G2157" s="61"/>
      <c r="H2157" s="62" t="s">
        <v>659</v>
      </c>
      <c r="I2157" s="65">
        <v>276861275.8030774</v>
      </c>
      <c r="J2157" s="65">
        <v>93687186.432615355</v>
      </c>
      <c r="K2157" s="62"/>
      <c r="L2157" s="65">
        <v>316242940.1948126</v>
      </c>
      <c r="M2157" s="65">
        <v>118916850.23305042</v>
      </c>
      <c r="N2157" s="64">
        <v>197326089.96176213</v>
      </c>
      <c r="P2157">
        <f t="shared" si="112"/>
        <v>190</v>
      </c>
      <c r="Q2157" t="str">
        <f t="shared" si="113"/>
        <v>NA</v>
      </c>
      <c r="R2157" t="str">
        <f>IF(ISERROR(MATCH(P2157&amp;"."&amp;Q2157,R$5:R2156,0)),P2157&amp;"."&amp;Q2157,P2157&amp;"."&amp;Q2157&amp;COUNTIFS(P$5:P2156,P2157,Q$5:Q2156,Q2157))</f>
        <v>190.NA1</v>
      </c>
      <c r="S2157" s="55">
        <f t="shared" si="114"/>
        <v>197326089.96176213</v>
      </c>
    </row>
    <row r="2158" spans="1:19" hidden="1">
      <c r="A2158" s="5">
        <v>2223</v>
      </c>
      <c r="B2158" s="59"/>
      <c r="C2158" s="60"/>
      <c r="D2158" s="63"/>
      <c r="E2158" s="63"/>
      <c r="F2158" s="60"/>
      <c r="G2158" s="61"/>
      <c r="H2158" s="62"/>
      <c r="I2158" s="65"/>
      <c r="J2158" s="65"/>
      <c r="K2158" s="62"/>
      <c r="L2158" s="65"/>
      <c r="M2158" s="65"/>
      <c r="N2158" s="64"/>
      <c r="P2158">
        <f t="shared" si="112"/>
        <v>190</v>
      </c>
      <c r="Q2158" t="str">
        <f t="shared" si="113"/>
        <v>NA</v>
      </c>
      <c r="R2158" t="str">
        <f>IF(ISERROR(MATCH(P2158&amp;"."&amp;Q2158,R$5:R2157,0)),P2158&amp;"."&amp;Q2158,P2158&amp;"."&amp;Q2158&amp;COUNTIFS(P$5:P2157,P2158,Q$5:Q2157,Q2158))</f>
        <v>190.NA2</v>
      </c>
      <c r="S2158" s="55">
        <f t="shared" si="114"/>
        <v>0</v>
      </c>
    </row>
    <row r="2159" spans="1:19" hidden="1">
      <c r="A2159" s="5">
        <v>2224</v>
      </c>
      <c r="B2159" s="59"/>
      <c r="C2159" s="60">
        <v>281</v>
      </c>
      <c r="D2159" s="63" t="s">
        <v>658</v>
      </c>
      <c r="E2159" s="63"/>
      <c r="F2159" s="60"/>
      <c r="G2159" s="61"/>
      <c r="H2159" s="62"/>
      <c r="I2159" s="65"/>
      <c r="J2159" s="65"/>
      <c r="K2159" s="62"/>
      <c r="L2159" s="65"/>
      <c r="M2159" s="65"/>
      <c r="N2159" s="64"/>
      <c r="P2159">
        <f t="shared" si="112"/>
        <v>281</v>
      </c>
      <c r="Q2159" t="str">
        <f t="shared" si="113"/>
        <v>NA</v>
      </c>
      <c r="R2159" t="str">
        <f>IF(ISERROR(MATCH(P2159&amp;"."&amp;Q2159,R$5:R2158,0)),P2159&amp;"."&amp;Q2159,P2159&amp;"."&amp;Q2159&amp;COUNTIFS(P$5:P2158,P2159,Q$5:Q2158,Q2159))</f>
        <v>281.NA</v>
      </c>
      <c r="S2159" s="55">
        <f t="shared" si="114"/>
        <v>0</v>
      </c>
    </row>
    <row r="2160" spans="1:19" hidden="1">
      <c r="A2160" s="5">
        <v>2225</v>
      </c>
      <c r="B2160" s="59"/>
      <c r="C2160" s="60"/>
      <c r="D2160" s="63"/>
      <c r="E2160" s="63"/>
      <c r="F2160" s="60" t="s">
        <v>13</v>
      </c>
      <c r="G2160" s="61" t="s">
        <v>12</v>
      </c>
      <c r="H2160" s="62"/>
      <c r="I2160" s="65">
        <v>0</v>
      </c>
      <c r="J2160" s="65">
        <v>0</v>
      </c>
      <c r="K2160" s="62"/>
      <c r="L2160" s="65">
        <v>0</v>
      </c>
      <c r="M2160" s="65">
        <v>0</v>
      </c>
      <c r="N2160" s="64">
        <v>0</v>
      </c>
      <c r="P2160">
        <f t="shared" si="112"/>
        <v>281</v>
      </c>
      <c r="Q2160" t="str">
        <f t="shared" si="113"/>
        <v>S</v>
      </c>
      <c r="R2160" t="str">
        <f>IF(ISERROR(MATCH(P2160&amp;"."&amp;Q2160,R$5:R2159,0)),P2160&amp;"."&amp;Q2160,P2160&amp;"."&amp;Q2160&amp;COUNTIFS(P$5:P2159,P2160,Q$5:Q2159,Q2160))</f>
        <v>281.S</v>
      </c>
      <c r="S2160" s="55">
        <f t="shared" si="114"/>
        <v>0</v>
      </c>
    </row>
    <row r="2161" spans="1:19" hidden="1">
      <c r="A2161" s="5">
        <v>2226</v>
      </c>
      <c r="B2161" s="59"/>
      <c r="C2161" s="60"/>
      <c r="D2161" s="63"/>
      <c r="E2161" s="63"/>
      <c r="F2161" s="60" t="s">
        <v>134</v>
      </c>
      <c r="G2161" s="61" t="s">
        <v>15</v>
      </c>
      <c r="H2161" s="62"/>
      <c r="I2161" s="65">
        <v>-177382631.38999999</v>
      </c>
      <c r="J2161" s="65">
        <v>-78043919.932788879</v>
      </c>
      <c r="K2161" s="62"/>
      <c r="L2161" s="65">
        <v>-5.384594202041626E-3</v>
      </c>
      <c r="M2161" s="65">
        <v>-3.0155074685679745E-3</v>
      </c>
      <c r="N2161" s="64">
        <v>-2.3690867334736515E-3</v>
      </c>
      <c r="P2161">
        <f t="shared" si="112"/>
        <v>281</v>
      </c>
      <c r="Q2161" t="str">
        <f t="shared" si="113"/>
        <v>SG</v>
      </c>
      <c r="R2161" t="str">
        <f>IF(ISERROR(MATCH(P2161&amp;"."&amp;Q2161,R$5:R2160,0)),P2161&amp;"."&amp;Q2161,P2161&amp;"."&amp;Q2161&amp;COUNTIFS(P$5:P2160,P2161,Q$5:Q2160,Q2161))</f>
        <v>281.SG</v>
      </c>
      <c r="S2161" s="55">
        <f t="shared" si="114"/>
        <v>-2.3690867334736515E-3</v>
      </c>
    </row>
    <row r="2162" spans="1:19" hidden="1">
      <c r="A2162" s="5">
        <v>2227</v>
      </c>
      <c r="B2162" s="59"/>
      <c r="C2162" s="60"/>
      <c r="D2162" s="63"/>
      <c r="E2162" s="63"/>
      <c r="F2162" s="63" t="s">
        <v>18</v>
      </c>
      <c r="G2162" s="63" t="s">
        <v>15</v>
      </c>
      <c r="H2162" s="62"/>
      <c r="I2162" s="66">
        <v>0</v>
      </c>
      <c r="J2162" s="66">
        <v>0</v>
      </c>
      <c r="K2162" s="62"/>
      <c r="L2162" s="66">
        <v>0</v>
      </c>
      <c r="M2162" s="66">
        <v>0</v>
      </c>
      <c r="N2162" s="66">
        <v>0</v>
      </c>
      <c r="P2162">
        <f t="shared" si="112"/>
        <v>281</v>
      </c>
      <c r="Q2162" t="str">
        <f t="shared" si="113"/>
        <v>SG</v>
      </c>
      <c r="R2162" t="str">
        <f>IF(ISERROR(MATCH(P2162&amp;"."&amp;Q2162,R$5:R2161,0)),P2162&amp;"."&amp;Q2162,P2162&amp;"."&amp;Q2162&amp;COUNTIFS(P$5:P2161,P2162,Q$5:Q2161,Q2162))</f>
        <v>281.SG1</v>
      </c>
      <c r="S2162" s="55">
        <f t="shared" si="114"/>
        <v>0</v>
      </c>
    </row>
    <row r="2163" spans="1:19" hidden="1">
      <c r="A2163" s="5">
        <v>2228</v>
      </c>
      <c r="B2163" s="59"/>
      <c r="C2163" s="60"/>
      <c r="D2163" s="63"/>
      <c r="E2163" s="63"/>
      <c r="F2163" s="63"/>
      <c r="G2163" s="63"/>
      <c r="H2163" s="62" t="s">
        <v>659</v>
      </c>
      <c r="I2163" s="65">
        <v>-177382631.38999999</v>
      </c>
      <c r="J2163" s="65">
        <v>-78043919.932788879</v>
      </c>
      <c r="K2163" s="62"/>
      <c r="L2163" s="65">
        <v>-5.384594202041626E-3</v>
      </c>
      <c r="M2163" s="65">
        <v>-3.0155074685679745E-3</v>
      </c>
      <c r="N2163" s="65">
        <v>-2.3690867334736515E-3</v>
      </c>
      <c r="P2163">
        <f t="shared" si="112"/>
        <v>281</v>
      </c>
      <c r="Q2163" t="str">
        <f t="shared" si="113"/>
        <v>NA</v>
      </c>
      <c r="R2163" t="str">
        <f>IF(ISERROR(MATCH(P2163&amp;"."&amp;Q2163,R$5:R2162,0)),P2163&amp;"."&amp;Q2163,P2163&amp;"."&amp;Q2163&amp;COUNTIFS(P$5:P2162,P2163,Q$5:Q2162,Q2163))</f>
        <v>281.NA1</v>
      </c>
      <c r="S2163" s="55">
        <f t="shared" si="114"/>
        <v>-2.3690867334736515E-3</v>
      </c>
    </row>
    <row r="2164" spans="1:19" hidden="1">
      <c r="A2164" s="5">
        <v>2229</v>
      </c>
      <c r="B2164" s="59"/>
      <c r="C2164" s="60"/>
      <c r="D2164" s="61"/>
      <c r="E2164" s="63"/>
      <c r="F2164" s="63"/>
      <c r="G2164" s="63"/>
      <c r="H2164" s="62"/>
      <c r="I2164" s="65"/>
      <c r="J2164" s="65"/>
      <c r="K2164" s="62"/>
      <c r="L2164" s="65"/>
      <c r="M2164" s="65"/>
      <c r="N2164" s="65"/>
      <c r="P2164">
        <f t="shared" si="112"/>
        <v>281</v>
      </c>
      <c r="Q2164" t="str">
        <f t="shared" si="113"/>
        <v>NA</v>
      </c>
      <c r="R2164" t="str">
        <f>IF(ISERROR(MATCH(P2164&amp;"."&amp;Q2164,R$5:R2163,0)),P2164&amp;"."&amp;Q2164,P2164&amp;"."&amp;Q2164&amp;COUNTIFS(P$5:P2163,P2164,Q$5:Q2163,Q2164))</f>
        <v>281.NA2</v>
      </c>
      <c r="S2164" s="55">
        <f t="shared" si="114"/>
        <v>0</v>
      </c>
    </row>
    <row r="2165" spans="1:19" hidden="1">
      <c r="A2165" s="5">
        <v>2230</v>
      </c>
      <c r="B2165" s="59"/>
      <c r="C2165" s="60">
        <v>282</v>
      </c>
      <c r="D2165" s="63" t="s">
        <v>660</v>
      </c>
      <c r="E2165" s="63"/>
      <c r="F2165" s="60"/>
      <c r="G2165" s="61"/>
      <c r="H2165" s="62"/>
      <c r="I2165" s="65"/>
      <c r="J2165" s="65"/>
      <c r="K2165" s="62"/>
      <c r="L2165" s="65"/>
      <c r="M2165" s="65"/>
      <c r="N2165" s="64"/>
      <c r="P2165">
        <f t="shared" si="112"/>
        <v>282</v>
      </c>
      <c r="Q2165" t="str">
        <f t="shared" si="113"/>
        <v>NA</v>
      </c>
      <c r="R2165" t="str">
        <f>IF(ISERROR(MATCH(P2165&amp;"."&amp;Q2165,R$5:R2164,0)),P2165&amp;"."&amp;Q2165,P2165&amp;"."&amp;Q2165&amp;COUNTIFS(P$5:P2164,P2165,Q$5:Q2164,Q2165))</f>
        <v>282.NA</v>
      </c>
      <c r="S2165" s="55">
        <f t="shared" si="114"/>
        <v>0</v>
      </c>
    </row>
    <row r="2166" spans="1:19" hidden="1">
      <c r="A2166" s="5">
        <v>2231</v>
      </c>
      <c r="B2166" s="59"/>
      <c r="C2166" s="60"/>
      <c r="D2166" s="63"/>
      <c r="E2166" s="63"/>
      <c r="F2166" s="60" t="s">
        <v>140</v>
      </c>
      <c r="G2166" s="61" t="s">
        <v>12</v>
      </c>
      <c r="H2166" s="62"/>
      <c r="I2166" s="65">
        <v>-71261625.280000016</v>
      </c>
      <c r="J2166" s="65">
        <v>-2181173.4807692301</v>
      </c>
      <c r="K2166" s="62"/>
      <c r="L2166" s="65">
        <v>-2820047706.0615721</v>
      </c>
      <c r="M2166" s="65">
        <v>-1568473675.0423443</v>
      </c>
      <c r="N2166" s="64">
        <v>-1251574031.0192277</v>
      </c>
      <c r="P2166">
        <f t="shared" si="112"/>
        <v>282</v>
      </c>
      <c r="Q2166" t="str">
        <f t="shared" si="113"/>
        <v>S</v>
      </c>
      <c r="R2166" t="str">
        <f>IF(ISERROR(MATCH(P2166&amp;"."&amp;Q2166,R$5:R2165,0)),P2166&amp;"."&amp;Q2166,P2166&amp;"."&amp;Q2166&amp;COUNTIFS(P$5:P2165,P2166,Q$5:Q2165,Q2166))</f>
        <v>282.S</v>
      </c>
      <c r="S2166" s="55">
        <f t="shared" si="114"/>
        <v>-1251574031.0192277</v>
      </c>
    </row>
    <row r="2167" spans="1:19" hidden="1">
      <c r="A2167" s="5">
        <v>2232</v>
      </c>
      <c r="B2167" s="59"/>
      <c r="C2167" s="60"/>
      <c r="D2167" s="63"/>
      <c r="E2167" s="63"/>
      <c r="F2167" s="60" t="s">
        <v>661</v>
      </c>
      <c r="G2167" s="61" t="s">
        <v>662</v>
      </c>
      <c r="H2167" s="62"/>
      <c r="I2167" s="65">
        <v>-3886209062.5584602</v>
      </c>
      <c r="J2167" s="65">
        <v>-1712498963.1477036</v>
      </c>
      <c r="K2167" s="62"/>
      <c r="L2167" s="65">
        <v>1.2107701301574707</v>
      </c>
      <c r="M2167" s="65">
        <v>0.67723151730172237</v>
      </c>
      <c r="N2167" s="64">
        <v>0.53353861285574833</v>
      </c>
      <c r="P2167">
        <f t="shared" si="112"/>
        <v>282</v>
      </c>
      <c r="Q2167" t="str">
        <f t="shared" si="113"/>
        <v>DITBAL</v>
      </c>
      <c r="R2167" t="str">
        <f>IF(ISERROR(MATCH(P2167&amp;"."&amp;Q2167,R$5:R2166,0)),P2167&amp;"."&amp;Q2167,P2167&amp;"."&amp;Q2167&amp;COUNTIFS(P$5:P2166,P2167,Q$5:Q2166,Q2167))</f>
        <v>282.DITBAL</v>
      </c>
      <c r="S2167" s="55">
        <f t="shared" si="114"/>
        <v>0.53353861285574833</v>
      </c>
    </row>
    <row r="2168" spans="1:19" hidden="1">
      <c r="A2168" s="5">
        <v>2233</v>
      </c>
      <c r="B2168" s="59"/>
      <c r="C2168" s="60"/>
      <c r="D2168" s="63"/>
      <c r="E2168" s="63"/>
      <c r="F2168" s="60" t="s">
        <v>134</v>
      </c>
      <c r="G2168" s="61" t="s">
        <v>433</v>
      </c>
      <c r="H2168" s="62"/>
      <c r="I2168" s="65">
        <v>0</v>
      </c>
      <c r="J2168" s="65">
        <v>0</v>
      </c>
      <c r="K2168" s="62"/>
      <c r="L2168" s="65">
        <v>0</v>
      </c>
      <c r="M2168" s="65">
        <v>0</v>
      </c>
      <c r="N2168" s="64">
        <v>0</v>
      </c>
      <c r="P2168">
        <f t="shared" si="112"/>
        <v>282</v>
      </c>
      <c r="Q2168" t="str">
        <f t="shared" si="113"/>
        <v>SNP</v>
      </c>
      <c r="R2168" t="str">
        <f>IF(ISERROR(MATCH(P2168&amp;"."&amp;Q2168,R$5:R2167,0)),P2168&amp;"."&amp;Q2168,P2168&amp;"."&amp;Q2168&amp;COUNTIFS(P$5:P2167,P2168,Q$5:Q2167,Q2168))</f>
        <v>282.SNP</v>
      </c>
      <c r="S2168" s="55">
        <f t="shared" si="114"/>
        <v>0</v>
      </c>
    </row>
    <row r="2169" spans="1:19" hidden="1">
      <c r="A2169" s="5">
        <v>2234</v>
      </c>
      <c r="B2169" s="59"/>
      <c r="C2169" s="60"/>
      <c r="D2169" s="63"/>
      <c r="E2169" s="63"/>
      <c r="F2169" s="60" t="s">
        <v>361</v>
      </c>
      <c r="G2169" s="61" t="s">
        <v>136</v>
      </c>
      <c r="H2169" s="62"/>
      <c r="I2169" s="65">
        <v>-1044722.27769231</v>
      </c>
      <c r="J2169" s="65">
        <v>-453394.1172484514</v>
      </c>
      <c r="K2169" s="62"/>
      <c r="L2169" s="65">
        <v>-1078932.27769231</v>
      </c>
      <c r="M2169" s="65">
        <v>-607497.9934222406</v>
      </c>
      <c r="N2169" s="64">
        <v>-471434.28427006945</v>
      </c>
      <c r="P2169">
        <f t="shared" si="112"/>
        <v>282</v>
      </c>
      <c r="Q2169" t="str">
        <f t="shared" si="113"/>
        <v>SO</v>
      </c>
      <c r="R2169" t="str">
        <f>IF(ISERROR(MATCH(P2169&amp;"."&amp;Q2169,R$5:R2168,0)),P2169&amp;"."&amp;Q2169,P2169&amp;"."&amp;Q2169&amp;COUNTIFS(P$5:P2168,P2169,Q$5:Q2168,Q2169))</f>
        <v>282.SO</v>
      </c>
      <c r="S2169" s="55">
        <f t="shared" si="114"/>
        <v>-471434.28427006945</v>
      </c>
    </row>
    <row r="2170" spans="1:19" hidden="1">
      <c r="A2170" s="5">
        <v>2235</v>
      </c>
      <c r="B2170" s="59"/>
      <c r="C2170" s="60"/>
      <c r="D2170" s="63"/>
      <c r="E2170" s="63"/>
      <c r="F2170" s="60" t="s">
        <v>171</v>
      </c>
      <c r="G2170" s="61" t="s">
        <v>423</v>
      </c>
      <c r="H2170" s="62"/>
      <c r="I2170" s="65">
        <v>0</v>
      </c>
      <c r="J2170" s="65">
        <v>0</v>
      </c>
      <c r="K2170" s="62"/>
      <c r="L2170" s="65">
        <v>0</v>
      </c>
      <c r="M2170" s="65">
        <v>0</v>
      </c>
      <c r="N2170" s="64">
        <v>0</v>
      </c>
      <c r="P2170">
        <f t="shared" si="112"/>
        <v>282</v>
      </c>
      <c r="Q2170" t="str">
        <f t="shared" si="113"/>
        <v>GPS</v>
      </c>
      <c r="R2170" t="str">
        <f>IF(ISERROR(MATCH(P2170&amp;"."&amp;Q2170,R$5:R2169,0)),P2170&amp;"."&amp;Q2170,P2170&amp;"."&amp;Q2170&amp;COUNTIFS(P$5:P2169,P2170,Q$5:Q2169,Q2170))</f>
        <v>282.GPS</v>
      </c>
      <c r="S2170" s="55">
        <f t="shared" si="114"/>
        <v>0</v>
      </c>
    </row>
    <row r="2171" spans="1:19" hidden="1">
      <c r="A2171" s="5">
        <v>2236</v>
      </c>
      <c r="B2171" s="59"/>
      <c r="C2171" s="60"/>
      <c r="D2171" s="63"/>
      <c r="E2171" s="63"/>
      <c r="F2171" s="60" t="s">
        <v>139</v>
      </c>
      <c r="G2171" s="61" t="s">
        <v>451</v>
      </c>
      <c r="H2171" s="62"/>
      <c r="I2171" s="65">
        <v>0</v>
      </c>
      <c r="J2171" s="65">
        <v>0</v>
      </c>
      <c r="K2171" s="62"/>
      <c r="L2171" s="65">
        <v>0</v>
      </c>
      <c r="M2171" s="65">
        <v>0</v>
      </c>
      <c r="N2171" s="64">
        <v>0</v>
      </c>
      <c r="P2171">
        <f t="shared" si="112"/>
        <v>282</v>
      </c>
      <c r="Q2171" t="str">
        <f t="shared" si="113"/>
        <v>CIAC</v>
      </c>
      <c r="R2171" t="str">
        <f>IF(ISERROR(MATCH(P2171&amp;"."&amp;Q2171,R$5:R2170,0)),P2171&amp;"."&amp;Q2171,P2171&amp;"."&amp;Q2171&amp;COUNTIFS(P$5:P2170,P2171,Q$5:Q2170,Q2171))</f>
        <v>282.CIAC</v>
      </c>
      <c r="S2171" s="55">
        <f t="shared" si="114"/>
        <v>0</v>
      </c>
    </row>
    <row r="2172" spans="1:19" hidden="1">
      <c r="A2172" s="5">
        <v>2237</v>
      </c>
      <c r="B2172" s="59"/>
      <c r="C2172" s="60"/>
      <c r="D2172" s="63"/>
      <c r="E2172" s="63"/>
      <c r="F2172" s="60" t="s">
        <v>13</v>
      </c>
      <c r="G2172" s="61" t="s">
        <v>321</v>
      </c>
      <c r="H2172" s="62"/>
      <c r="I2172" s="65">
        <v>0</v>
      </c>
      <c r="J2172" s="65">
        <v>0</v>
      </c>
      <c r="K2172" s="62"/>
      <c r="L2172" s="65">
        <v>0</v>
      </c>
      <c r="M2172" s="65">
        <v>0</v>
      </c>
      <c r="N2172" s="64">
        <v>0</v>
      </c>
      <c r="P2172">
        <f t="shared" si="112"/>
        <v>282</v>
      </c>
      <c r="Q2172" t="str">
        <f t="shared" si="113"/>
        <v>SNPD</v>
      </c>
      <c r="R2172" t="str">
        <f>IF(ISERROR(MATCH(P2172&amp;"."&amp;Q2172,R$5:R2171,0)),P2172&amp;"."&amp;Q2172,P2172&amp;"."&amp;Q2172&amp;COUNTIFS(P$5:P2171,P2172,Q$5:Q2171,Q2172))</f>
        <v>282.SNPD</v>
      </c>
      <c r="S2172" s="55">
        <f t="shared" si="114"/>
        <v>0</v>
      </c>
    </row>
    <row r="2173" spans="1:19" hidden="1">
      <c r="A2173" s="5">
        <v>2238</v>
      </c>
      <c r="B2173" s="59"/>
      <c r="C2173" s="60"/>
      <c r="D2173" s="63"/>
      <c r="E2173" s="63"/>
      <c r="F2173" s="60" t="s">
        <v>140</v>
      </c>
      <c r="G2173" s="61" t="s">
        <v>452</v>
      </c>
      <c r="H2173" s="62"/>
      <c r="I2173" s="65">
        <v>0</v>
      </c>
      <c r="J2173" s="65">
        <v>0</v>
      </c>
      <c r="K2173" s="62"/>
      <c r="L2173" s="65">
        <v>0</v>
      </c>
      <c r="M2173" s="65">
        <v>0</v>
      </c>
      <c r="N2173" s="64">
        <v>0</v>
      </c>
      <c r="P2173">
        <f t="shared" si="112"/>
        <v>282</v>
      </c>
      <c r="Q2173" t="str">
        <f t="shared" si="113"/>
        <v>SCHMDEXP</v>
      </c>
      <c r="R2173" t="str">
        <f>IF(ISERROR(MATCH(P2173&amp;"."&amp;Q2173,R$5:R2172,0)),P2173&amp;"."&amp;Q2173,P2173&amp;"."&amp;Q2173&amp;COUNTIFS(P$5:P2172,P2173,Q$5:Q2172,Q2173))</f>
        <v>282.SCHMDEXP</v>
      </c>
      <c r="S2173" s="55">
        <f t="shared" si="114"/>
        <v>0</v>
      </c>
    </row>
    <row r="2174" spans="1:19" hidden="1">
      <c r="A2174" s="5">
        <v>2239</v>
      </c>
      <c r="B2174" s="59"/>
      <c r="C2174" s="60"/>
      <c r="D2174" s="63"/>
      <c r="E2174" s="63"/>
      <c r="F2174" s="60" t="s">
        <v>453</v>
      </c>
      <c r="G2174" s="61" t="s">
        <v>453</v>
      </c>
      <c r="H2174" s="62"/>
      <c r="I2174" s="65">
        <v>0</v>
      </c>
      <c r="J2174" s="65">
        <v>0</v>
      </c>
      <c r="K2174" s="62"/>
      <c r="L2174" s="65">
        <v>0</v>
      </c>
      <c r="M2174" s="65">
        <v>0</v>
      </c>
      <c r="N2174" s="64">
        <v>0</v>
      </c>
      <c r="P2174">
        <f t="shared" si="112"/>
        <v>282</v>
      </c>
      <c r="Q2174" t="str">
        <f t="shared" si="113"/>
        <v>TAXDEPR</v>
      </c>
      <c r="R2174" t="str">
        <f>IF(ISERROR(MATCH(P2174&amp;"."&amp;Q2174,R$5:R2173,0)),P2174&amp;"."&amp;Q2174,P2174&amp;"."&amp;Q2174&amp;COUNTIFS(P$5:P2173,P2174,Q$5:Q2173,Q2174))</f>
        <v>282.TAXDEPR</v>
      </c>
      <c r="S2174" s="55">
        <f t="shared" si="114"/>
        <v>0</v>
      </c>
    </row>
    <row r="2175" spans="1:19" hidden="1">
      <c r="A2175" s="5">
        <v>2240</v>
      </c>
      <c r="B2175" s="59"/>
      <c r="C2175" s="60"/>
      <c r="D2175" s="63"/>
      <c r="E2175" s="63"/>
      <c r="F2175" s="63" t="s">
        <v>13</v>
      </c>
      <c r="G2175" s="63" t="s">
        <v>17</v>
      </c>
      <c r="H2175" s="62"/>
      <c r="I2175" s="66">
        <v>0</v>
      </c>
      <c r="J2175" s="66">
        <v>0</v>
      </c>
      <c r="K2175" s="62"/>
      <c r="L2175" s="66">
        <v>0</v>
      </c>
      <c r="M2175" s="66">
        <v>0</v>
      </c>
      <c r="N2175" s="66">
        <v>0</v>
      </c>
      <c r="P2175">
        <f t="shared" si="112"/>
        <v>282</v>
      </c>
      <c r="Q2175" t="str">
        <f t="shared" si="113"/>
        <v>DGP</v>
      </c>
      <c r="R2175" t="str">
        <f>IF(ISERROR(MATCH(P2175&amp;"."&amp;Q2175,R$5:R2174,0)),P2175&amp;"."&amp;Q2175,P2175&amp;"."&amp;Q2175&amp;COUNTIFS(P$5:P2174,P2175,Q$5:Q2174,Q2175))</f>
        <v>282.DGP</v>
      </c>
      <c r="S2175" s="55">
        <f t="shared" si="114"/>
        <v>0</v>
      </c>
    </row>
    <row r="2176" spans="1:19" hidden="1">
      <c r="A2176" s="5">
        <v>2241</v>
      </c>
      <c r="B2176" s="59"/>
      <c r="C2176" s="60"/>
      <c r="D2176" s="63"/>
      <c r="E2176" s="63"/>
      <c r="F2176" s="63" t="s">
        <v>134</v>
      </c>
      <c r="G2176" s="63" t="s">
        <v>450</v>
      </c>
      <c r="H2176" s="62"/>
      <c r="I2176" s="65">
        <v>0</v>
      </c>
      <c r="J2176" s="65">
        <v>0</v>
      </c>
      <c r="K2176" s="62"/>
      <c r="L2176" s="65">
        <v>0</v>
      </c>
      <c r="M2176" s="65">
        <v>0</v>
      </c>
      <c r="N2176" s="65">
        <v>0</v>
      </c>
      <c r="P2176">
        <f t="shared" si="112"/>
        <v>282</v>
      </c>
      <c r="Q2176" t="str">
        <f t="shared" si="113"/>
        <v>IBT</v>
      </c>
      <c r="R2176" t="str">
        <f>IF(ISERROR(MATCH(P2176&amp;"."&amp;Q2176,R$5:R2175,0)),P2176&amp;"."&amp;Q2176,P2176&amp;"."&amp;Q2176&amp;COUNTIFS(P$5:P2175,P2176,Q$5:Q2175,Q2176))</f>
        <v>282.IBT</v>
      </c>
      <c r="S2176" s="55">
        <f t="shared" si="114"/>
        <v>0</v>
      </c>
    </row>
    <row r="2177" spans="1:19" ht="15.75" hidden="1" thickBot="1">
      <c r="A2177" s="5">
        <v>2242</v>
      </c>
      <c r="B2177" s="59"/>
      <c r="C2177" s="45"/>
      <c r="D2177" s="63"/>
      <c r="E2177" s="63"/>
      <c r="F2177" s="63" t="s">
        <v>134</v>
      </c>
      <c r="G2177" s="63" t="s">
        <v>15</v>
      </c>
      <c r="H2177" s="41"/>
      <c r="I2177" s="68">
        <v>0</v>
      </c>
      <c r="J2177" s="68">
        <v>0</v>
      </c>
      <c r="K2177" s="41"/>
      <c r="L2177" s="68">
        <v>0</v>
      </c>
      <c r="M2177" s="68">
        <v>0</v>
      </c>
      <c r="N2177" s="68">
        <v>0</v>
      </c>
      <c r="P2177">
        <f t="shared" si="112"/>
        <v>282</v>
      </c>
      <c r="Q2177" t="str">
        <f t="shared" si="113"/>
        <v>SG</v>
      </c>
      <c r="R2177" t="str">
        <f>IF(ISERROR(MATCH(P2177&amp;"."&amp;Q2177,R$5:R2176,0)),P2177&amp;"."&amp;Q2177,P2177&amp;"."&amp;Q2177&amp;COUNTIFS(P$5:P2176,P2177,Q$5:Q2176,Q2177))</f>
        <v>282.SG</v>
      </c>
      <c r="S2177" s="55">
        <f t="shared" si="114"/>
        <v>0</v>
      </c>
    </row>
    <row r="2178" spans="1:19" hidden="1">
      <c r="A2178" s="5">
        <v>2243</v>
      </c>
      <c r="B2178" s="59"/>
      <c r="C2178" s="60"/>
      <c r="D2178" s="61"/>
      <c r="E2178" s="63"/>
      <c r="F2178" s="63" t="s">
        <v>13</v>
      </c>
      <c r="G2178" s="63" t="s">
        <v>15</v>
      </c>
      <c r="H2178" s="62"/>
      <c r="I2178" s="65">
        <v>0</v>
      </c>
      <c r="J2178" s="65">
        <v>0</v>
      </c>
      <c r="K2178" s="62"/>
      <c r="L2178" s="65">
        <v>0</v>
      </c>
      <c r="M2178" s="65">
        <v>0</v>
      </c>
      <c r="N2178" s="65">
        <v>0</v>
      </c>
      <c r="P2178">
        <f t="shared" si="112"/>
        <v>282</v>
      </c>
      <c r="Q2178" t="str">
        <f t="shared" si="113"/>
        <v>SG</v>
      </c>
      <c r="R2178" t="str">
        <f>IF(ISERROR(MATCH(P2178&amp;"."&amp;Q2178,R$5:R2177,0)),P2178&amp;"."&amp;Q2178,P2178&amp;"."&amp;Q2178&amp;COUNTIFS(P$5:P2177,P2178,Q$5:Q2177,Q2178))</f>
        <v>282.SG1</v>
      </c>
      <c r="S2178" s="55">
        <f t="shared" si="114"/>
        <v>0</v>
      </c>
    </row>
    <row r="2179" spans="1:19" hidden="1">
      <c r="A2179" s="5">
        <v>2244</v>
      </c>
      <c r="B2179" s="59"/>
      <c r="C2179" s="60"/>
      <c r="D2179" s="63"/>
      <c r="E2179" s="63"/>
      <c r="F2179" s="60" t="s">
        <v>13</v>
      </c>
      <c r="G2179" s="61" t="s">
        <v>16</v>
      </c>
      <c r="H2179" s="62"/>
      <c r="I2179" s="65">
        <v>-6628458.8907692302</v>
      </c>
      <c r="J2179" s="65">
        <v>-2873848.5232540434</v>
      </c>
      <c r="K2179" s="62"/>
      <c r="L2179" s="65">
        <v>-2637200.5115902638</v>
      </c>
      <c r="M2179" s="65">
        <v>-1493810.3328697078</v>
      </c>
      <c r="N2179" s="64">
        <v>-1143390.178720556</v>
      </c>
      <c r="P2179">
        <f t="shared" si="112"/>
        <v>282</v>
      </c>
      <c r="Q2179" t="str">
        <f t="shared" si="113"/>
        <v>SE</v>
      </c>
      <c r="R2179" t="str">
        <f>IF(ISERROR(MATCH(P2179&amp;"."&amp;Q2179,R$5:R2178,0)),P2179&amp;"."&amp;Q2179,P2179&amp;"."&amp;Q2179&amp;COUNTIFS(P$5:P2178,P2179,Q$5:Q2178,Q2179))</f>
        <v>282.SE</v>
      </c>
      <c r="S2179" s="55">
        <f t="shared" si="114"/>
        <v>-1143390.178720556</v>
      </c>
    </row>
    <row r="2180" spans="1:19" hidden="1">
      <c r="A2180" s="5">
        <v>2245</v>
      </c>
      <c r="B2180" s="59"/>
      <c r="C2180" s="60"/>
      <c r="D2180" s="63"/>
      <c r="E2180" s="63"/>
      <c r="F2180" s="60" t="s">
        <v>13</v>
      </c>
      <c r="G2180" s="61" t="s">
        <v>15</v>
      </c>
      <c r="H2180" s="62"/>
      <c r="I2180" s="65">
        <v>-819785.543846154</v>
      </c>
      <c r="J2180" s="65">
        <v>-360685.1293423415</v>
      </c>
      <c r="K2180" s="62"/>
      <c r="L2180" s="65">
        <v>-165116488.96092364</v>
      </c>
      <c r="M2180" s="65">
        <v>-92469364.814269364</v>
      </c>
      <c r="N2180" s="64">
        <v>-72647124.146654278</v>
      </c>
      <c r="P2180">
        <f t="shared" si="112"/>
        <v>282</v>
      </c>
      <c r="Q2180" t="str">
        <f t="shared" si="113"/>
        <v>SG</v>
      </c>
      <c r="R2180" t="str">
        <f>IF(ISERROR(MATCH(P2180&amp;"."&amp;Q2180,R$5:R2179,0)),P2180&amp;"."&amp;Q2180,P2180&amp;"."&amp;Q2180&amp;COUNTIFS(P$5:P2179,P2180,Q$5:Q2179,Q2180))</f>
        <v>282.SG2</v>
      </c>
      <c r="S2180" s="55">
        <f t="shared" si="114"/>
        <v>-72647124.146654278</v>
      </c>
    </row>
    <row r="2181" spans="1:19" hidden="1">
      <c r="A2181" s="5">
        <v>2246</v>
      </c>
      <c r="B2181" s="59"/>
      <c r="C2181" s="60"/>
      <c r="D2181" s="63"/>
      <c r="E2181" s="63"/>
      <c r="F2181" s="60"/>
      <c r="G2181" s="61"/>
      <c r="H2181" s="62" t="s">
        <v>659</v>
      </c>
      <c r="I2181" s="65">
        <v>-3965963654.5507679</v>
      </c>
      <c r="J2181" s="65">
        <v>-1718368064.3983178</v>
      </c>
      <c r="K2181" s="62"/>
      <c r="L2181" s="65">
        <v>-2988880326.6010084</v>
      </c>
      <c r="M2181" s="65">
        <v>-1663044347.5056741</v>
      </c>
      <c r="N2181" s="64">
        <v>-1325835979.0953341</v>
      </c>
      <c r="P2181">
        <f t="shared" si="112"/>
        <v>282</v>
      </c>
      <c r="Q2181" t="str">
        <f t="shared" si="113"/>
        <v>NA</v>
      </c>
      <c r="R2181" t="str">
        <f>IF(ISERROR(MATCH(P2181&amp;"."&amp;Q2181,R$5:R2180,0)),P2181&amp;"."&amp;Q2181,P2181&amp;"."&amp;Q2181&amp;COUNTIFS(P$5:P2180,P2181,Q$5:Q2180,Q2181))</f>
        <v>282.NA1</v>
      </c>
      <c r="S2181" s="55">
        <f t="shared" si="114"/>
        <v>-1325835979.0953341</v>
      </c>
    </row>
    <row r="2182" spans="1:19" hidden="1">
      <c r="A2182" s="5">
        <v>2247</v>
      </c>
      <c r="B2182" s="59"/>
      <c r="C2182" s="60"/>
      <c r="D2182" s="63"/>
      <c r="E2182" s="63"/>
      <c r="F2182" s="60"/>
      <c r="G2182" s="61"/>
      <c r="H2182" s="62"/>
      <c r="I2182" s="65"/>
      <c r="J2182" s="65"/>
      <c r="K2182" s="62"/>
      <c r="L2182" s="65"/>
      <c r="M2182" s="65"/>
      <c r="N2182" s="64"/>
      <c r="P2182">
        <f t="shared" si="112"/>
        <v>282</v>
      </c>
      <c r="Q2182" t="str">
        <f t="shared" si="113"/>
        <v>NA</v>
      </c>
      <c r="R2182" t="str">
        <f>IF(ISERROR(MATCH(P2182&amp;"."&amp;Q2182,R$5:R2181,0)),P2182&amp;"."&amp;Q2182,P2182&amp;"."&amp;Q2182&amp;COUNTIFS(P$5:P2181,P2182,Q$5:Q2181,Q2182))</f>
        <v>282.NA2</v>
      </c>
      <c r="S2182" s="55">
        <f t="shared" si="114"/>
        <v>0</v>
      </c>
    </row>
    <row r="2183" spans="1:19" hidden="1">
      <c r="A2183" s="5">
        <v>2248</v>
      </c>
      <c r="B2183" s="59"/>
      <c r="C2183" s="60">
        <v>283</v>
      </c>
      <c r="D2183" s="63" t="s">
        <v>660</v>
      </c>
      <c r="E2183" s="63"/>
      <c r="F2183" s="60"/>
      <c r="G2183" s="61"/>
      <c r="H2183" s="62"/>
      <c r="I2183" s="65"/>
      <c r="J2183" s="65"/>
      <c r="K2183" s="62"/>
      <c r="L2183" s="65"/>
      <c r="M2183" s="65"/>
      <c r="N2183" s="64"/>
      <c r="P2183">
        <f t="shared" ref="P2183:P2246" si="115">IF(OR(C2183="",C2183=" ",C2183="  ",C2183="   "),P2182,C2183)</f>
        <v>283</v>
      </c>
      <c r="Q2183" t="str">
        <f t="shared" ref="Q2183:Q2246" si="116">IF(G2183="","NA",G2183)</f>
        <v>NA</v>
      </c>
      <c r="R2183" t="str">
        <f>IF(ISERROR(MATCH(P2183&amp;"."&amp;Q2183,R$5:R2182,0)),P2183&amp;"."&amp;Q2183,P2183&amp;"."&amp;Q2183&amp;COUNTIFS(P$5:P2182,P2183,Q$5:Q2182,Q2183))</f>
        <v>283.NA</v>
      </c>
      <c r="S2183" s="55">
        <f t="shared" si="114"/>
        <v>0</v>
      </c>
    </row>
    <row r="2184" spans="1:19" hidden="1">
      <c r="A2184" s="5">
        <v>2249</v>
      </c>
      <c r="B2184" s="59"/>
      <c r="C2184" s="60"/>
      <c r="D2184" s="63"/>
      <c r="E2184" s="63"/>
      <c r="F2184" s="60" t="s">
        <v>140</v>
      </c>
      <c r="G2184" s="61" t="s">
        <v>12</v>
      </c>
      <c r="H2184" s="62"/>
      <c r="I2184" s="65">
        <v>-33275212.72153841</v>
      </c>
      <c r="J2184" s="65">
        <v>-5181380.0546153802</v>
      </c>
      <c r="K2184" s="62"/>
      <c r="L2184" s="65">
        <v>-86565242.336923018</v>
      </c>
      <c r="M2184" s="65">
        <v>-84577293.12846148</v>
      </c>
      <c r="N2184" s="64">
        <v>-1987949.2084615338</v>
      </c>
      <c r="P2184">
        <f t="shared" si="115"/>
        <v>283</v>
      </c>
      <c r="Q2184" t="str">
        <f t="shared" si="116"/>
        <v>S</v>
      </c>
      <c r="R2184" t="str">
        <f>IF(ISERROR(MATCH(P2184&amp;"."&amp;Q2184,R$5:R2183,0)),P2184&amp;"."&amp;Q2184,P2184&amp;"."&amp;Q2184&amp;COUNTIFS(P$5:P2183,P2184,Q$5:Q2183,Q2184))</f>
        <v>283.S</v>
      </c>
      <c r="S2184" s="55">
        <f t="shared" ref="S2184:S2247" si="117">N2184</f>
        <v>-1987949.2084615338</v>
      </c>
    </row>
    <row r="2185" spans="1:19" hidden="1">
      <c r="A2185" s="5">
        <v>2250</v>
      </c>
      <c r="B2185" s="59"/>
      <c r="C2185" s="60"/>
      <c r="D2185" s="63"/>
      <c r="E2185" s="63"/>
      <c r="F2185" s="60" t="s">
        <v>13</v>
      </c>
      <c r="G2185" s="61" t="s">
        <v>15</v>
      </c>
      <c r="H2185" s="62"/>
      <c r="I2185" s="65">
        <v>-1766839.17</v>
      </c>
      <c r="J2185" s="65">
        <v>-777365.03082098719</v>
      </c>
      <c r="K2185" s="62"/>
      <c r="L2185" s="65">
        <v>-6796221.4776923079</v>
      </c>
      <c r="M2185" s="65">
        <v>-3806054.0599796157</v>
      </c>
      <c r="N2185" s="64">
        <v>-2990167.4177126922</v>
      </c>
      <c r="P2185">
        <f t="shared" si="115"/>
        <v>283</v>
      </c>
      <c r="Q2185" t="str">
        <f t="shared" si="116"/>
        <v>SG</v>
      </c>
      <c r="R2185" t="str">
        <f>IF(ISERROR(MATCH(P2185&amp;"."&amp;Q2185,R$5:R2184,0)),P2185&amp;"."&amp;Q2185,P2185&amp;"."&amp;Q2185&amp;COUNTIFS(P$5:P2184,P2185,Q$5:Q2184,Q2185))</f>
        <v>283.SG</v>
      </c>
      <c r="S2185" s="55">
        <f t="shared" si="117"/>
        <v>-2990167.4177126922</v>
      </c>
    </row>
    <row r="2186" spans="1:19" hidden="1">
      <c r="A2186" s="5">
        <v>2251</v>
      </c>
      <c r="B2186" s="59"/>
      <c r="C2186" s="60"/>
      <c r="D2186" s="63"/>
      <c r="E2186" s="63"/>
      <c r="F2186" s="60" t="s">
        <v>13</v>
      </c>
      <c r="G2186" s="61" t="s">
        <v>16</v>
      </c>
      <c r="H2186" s="62"/>
      <c r="I2186" s="65">
        <v>-42609508.305384599</v>
      </c>
      <c r="J2186" s="65">
        <v>-18473867.687485918</v>
      </c>
      <c r="K2186" s="62"/>
      <c r="L2186" s="65">
        <v>-0.53615383058786392</v>
      </c>
      <c r="M2186" s="65">
        <v>-0.30369785255989745</v>
      </c>
      <c r="N2186" s="64">
        <v>-0.2324559780279665</v>
      </c>
      <c r="P2186">
        <f t="shared" si="115"/>
        <v>283</v>
      </c>
      <c r="Q2186" t="str">
        <f t="shared" si="116"/>
        <v>SE</v>
      </c>
      <c r="R2186" t="str">
        <f>IF(ISERROR(MATCH(P2186&amp;"."&amp;Q2186,R$5:R2185,0)),P2186&amp;"."&amp;Q2186,P2186&amp;"."&amp;Q2186&amp;COUNTIFS(P$5:P2185,P2186,Q$5:Q2185,Q2186))</f>
        <v>283.SE</v>
      </c>
      <c r="S2186" s="55">
        <f t="shared" si="117"/>
        <v>-0.2324559780279665</v>
      </c>
    </row>
    <row r="2187" spans="1:19" ht="15.75" hidden="1" thickBot="1">
      <c r="A2187" s="5">
        <v>2252</v>
      </c>
      <c r="B2187" s="59"/>
      <c r="C2187" s="45"/>
      <c r="D2187" s="63"/>
      <c r="E2187" s="63"/>
      <c r="F2187" s="63" t="s">
        <v>361</v>
      </c>
      <c r="G2187" s="63" t="s">
        <v>136</v>
      </c>
      <c r="H2187" s="41"/>
      <c r="I2187" s="92">
        <v>-131281232.70384599</v>
      </c>
      <c r="J2187" s="92">
        <v>-56974125.931848034</v>
      </c>
      <c r="K2187" s="41"/>
      <c r="L2187" s="92">
        <v>-93247894.261556268</v>
      </c>
      <c r="M2187" s="92">
        <v>-52503674.07295192</v>
      </c>
      <c r="N2187" s="92">
        <v>-40744220.188604347</v>
      </c>
      <c r="P2187">
        <f t="shared" si="115"/>
        <v>283</v>
      </c>
      <c r="Q2187" t="str">
        <f t="shared" si="116"/>
        <v>SO</v>
      </c>
      <c r="R2187" t="str">
        <f>IF(ISERROR(MATCH(P2187&amp;"."&amp;Q2187,R$5:R2186,0)),P2187&amp;"."&amp;Q2187,P2187&amp;"."&amp;Q2187&amp;COUNTIFS(P$5:P2186,P2187,Q$5:Q2186,Q2187))</f>
        <v>283.SO</v>
      </c>
      <c r="S2187" s="55">
        <f t="shared" si="117"/>
        <v>-40744220.188604347</v>
      </c>
    </row>
    <row r="2188" spans="1:19" hidden="1">
      <c r="A2188" s="5">
        <v>2253</v>
      </c>
      <c r="B2188" s="59"/>
      <c r="C2188" s="60"/>
      <c r="D2188" s="63"/>
      <c r="E2188" s="63"/>
      <c r="F2188" s="63" t="s">
        <v>140</v>
      </c>
      <c r="G2188" s="63" t="s">
        <v>423</v>
      </c>
      <c r="H2188" s="62"/>
      <c r="I2188" s="65">
        <v>-6821897.0630769199</v>
      </c>
      <c r="J2188" s="65">
        <v>-2960603.0836307216</v>
      </c>
      <c r="K2188" s="62"/>
      <c r="L2188" s="65">
        <v>-6821149.2169230739</v>
      </c>
      <c r="M2188" s="65">
        <v>-3840680.7802409567</v>
      </c>
      <c r="N2188" s="65">
        <v>-2980468.4366821172</v>
      </c>
      <c r="P2188">
        <f t="shared" si="115"/>
        <v>283</v>
      </c>
      <c r="Q2188" t="str">
        <f t="shared" si="116"/>
        <v>GPS</v>
      </c>
      <c r="R2188" t="str">
        <f>IF(ISERROR(MATCH(P2188&amp;"."&amp;Q2188,R$5:R2187,0)),P2188&amp;"."&amp;Q2188,P2188&amp;"."&amp;Q2188&amp;COUNTIFS(P$5:P2187,P2188,Q$5:Q2187,Q2188))</f>
        <v>283.GPS</v>
      </c>
      <c r="S2188" s="55">
        <f t="shared" si="117"/>
        <v>-2980468.4366821172</v>
      </c>
    </row>
    <row r="2189" spans="1:19" ht="15.75" hidden="1" thickBot="1">
      <c r="A2189" s="5">
        <v>2254</v>
      </c>
      <c r="B2189" s="59"/>
      <c r="C2189" s="45"/>
      <c r="D2189" s="63"/>
      <c r="E2189" s="63"/>
      <c r="F2189" s="63" t="s">
        <v>171</v>
      </c>
      <c r="G2189" s="63" t="s">
        <v>433</v>
      </c>
      <c r="H2189" s="41"/>
      <c r="I2189" s="68">
        <v>-1048063.10384615</v>
      </c>
      <c r="J2189" s="68">
        <v>-469916.8586918962</v>
      </c>
      <c r="K2189" s="41"/>
      <c r="L2189" s="68">
        <v>-764588.94999999611</v>
      </c>
      <c r="M2189" s="68">
        <v>-425498.69415619562</v>
      </c>
      <c r="N2189" s="68">
        <v>-339090.25584380049</v>
      </c>
      <c r="P2189">
        <f t="shared" si="115"/>
        <v>283</v>
      </c>
      <c r="Q2189" t="str">
        <f t="shared" si="116"/>
        <v>SNP</v>
      </c>
      <c r="R2189" t="str">
        <f>IF(ISERROR(MATCH(P2189&amp;"."&amp;Q2189,R$5:R2188,0)),P2189&amp;"."&amp;Q2189,P2189&amp;"."&amp;Q2189&amp;COUNTIFS(P$5:P2188,P2189,Q$5:Q2188,Q2189))</f>
        <v>283.SNP</v>
      </c>
      <c r="S2189" s="55">
        <f t="shared" si="117"/>
        <v>-339090.25584380049</v>
      </c>
    </row>
    <row r="2190" spans="1:19" hidden="1">
      <c r="A2190" s="5">
        <v>2255</v>
      </c>
      <c r="B2190" s="59"/>
      <c r="C2190" s="60"/>
      <c r="D2190" s="63"/>
      <c r="E2190" s="63"/>
      <c r="F2190" s="63" t="s">
        <v>13</v>
      </c>
      <c r="G2190" s="63" t="s">
        <v>447</v>
      </c>
      <c r="H2190" s="62"/>
      <c r="I2190" s="69">
        <v>0</v>
      </c>
      <c r="J2190" s="69">
        <v>0</v>
      </c>
      <c r="K2190" s="62"/>
      <c r="L2190" s="69">
        <v>0</v>
      </c>
      <c r="M2190" s="65">
        <v>0</v>
      </c>
      <c r="N2190" s="65">
        <v>0</v>
      </c>
      <c r="P2190">
        <f t="shared" si="115"/>
        <v>283</v>
      </c>
      <c r="Q2190" t="str">
        <f t="shared" si="116"/>
        <v>TROJD</v>
      </c>
      <c r="R2190" t="str">
        <f>IF(ISERROR(MATCH(P2190&amp;"."&amp;Q2190,R$5:R2189,0)),P2190&amp;"."&amp;Q2190,P2190&amp;"."&amp;Q2190&amp;COUNTIFS(P$5:P2189,P2190,Q$5:Q2189,Q2190))</f>
        <v>283.TROJD</v>
      </c>
      <c r="S2190" s="55">
        <f t="shared" si="117"/>
        <v>0</v>
      </c>
    </row>
    <row r="2191" spans="1:19" hidden="1">
      <c r="A2191" s="5">
        <v>2256</v>
      </c>
      <c r="B2191" s="59"/>
      <c r="C2191" s="60"/>
      <c r="D2191" s="63"/>
      <c r="E2191" s="63"/>
      <c r="F2191" s="63" t="s">
        <v>13</v>
      </c>
      <c r="G2191" s="63" t="s">
        <v>15</v>
      </c>
      <c r="H2191" s="62"/>
      <c r="I2191" s="69">
        <v>0</v>
      </c>
      <c r="J2191" s="69">
        <v>0</v>
      </c>
      <c r="K2191" s="62"/>
      <c r="L2191" s="69">
        <v>0</v>
      </c>
      <c r="M2191" s="65">
        <v>0</v>
      </c>
      <c r="N2191" s="65">
        <v>0</v>
      </c>
      <c r="P2191">
        <f t="shared" si="115"/>
        <v>283</v>
      </c>
      <c r="Q2191" t="str">
        <f t="shared" si="116"/>
        <v>SG</v>
      </c>
      <c r="R2191" t="str">
        <f>IF(ISERROR(MATCH(P2191&amp;"."&amp;Q2191,R$5:R2190,0)),P2191&amp;"."&amp;Q2191,P2191&amp;"."&amp;Q2191&amp;COUNTIFS(P$5:P2190,P2191,Q$5:Q2190,Q2191))</f>
        <v>283.SG1</v>
      </c>
      <c r="S2191" s="55">
        <f t="shared" si="117"/>
        <v>0</v>
      </c>
    </row>
    <row r="2192" spans="1:19" hidden="1">
      <c r="A2192" s="5">
        <v>2257</v>
      </c>
      <c r="B2192" s="59"/>
      <c r="C2192" s="60"/>
      <c r="D2192" s="63"/>
      <c r="E2192" s="63"/>
      <c r="F2192" s="63" t="s">
        <v>13</v>
      </c>
      <c r="G2192" s="63" t="s">
        <v>15</v>
      </c>
      <c r="H2192" s="62"/>
      <c r="I2192" s="69">
        <v>0</v>
      </c>
      <c r="J2192" s="69">
        <v>0</v>
      </c>
      <c r="K2192" s="62"/>
      <c r="L2192" s="69">
        <v>0</v>
      </c>
      <c r="M2192" s="65">
        <v>0</v>
      </c>
      <c r="N2192" s="65">
        <v>0</v>
      </c>
      <c r="P2192">
        <f t="shared" si="115"/>
        <v>283</v>
      </c>
      <c r="Q2192" t="str">
        <f t="shared" si="116"/>
        <v>SG</v>
      </c>
      <c r="R2192" t="str">
        <f>IF(ISERROR(MATCH(P2192&amp;"."&amp;Q2192,R$5:R2191,0)),P2192&amp;"."&amp;Q2192,P2192&amp;"."&amp;Q2192&amp;COUNTIFS(P$5:P2191,P2192,Q$5:Q2191,Q2192))</f>
        <v>283.SG2</v>
      </c>
      <c r="S2192" s="55">
        <f t="shared" si="117"/>
        <v>0</v>
      </c>
    </row>
    <row r="2193" spans="1:19" hidden="1">
      <c r="A2193" s="5">
        <v>2258</v>
      </c>
      <c r="B2193" s="59"/>
      <c r="C2193" s="60"/>
      <c r="D2193" s="61"/>
      <c r="E2193" s="63"/>
      <c r="F2193" s="63" t="s">
        <v>13</v>
      </c>
      <c r="G2193" s="63" t="s">
        <v>15</v>
      </c>
      <c r="H2193" s="62"/>
      <c r="I2193" s="65">
        <v>0</v>
      </c>
      <c r="J2193" s="65">
        <v>0</v>
      </c>
      <c r="K2193" s="62"/>
      <c r="L2193" s="65">
        <v>0</v>
      </c>
      <c r="M2193" s="65">
        <v>0</v>
      </c>
      <c r="N2193" s="65">
        <v>0</v>
      </c>
      <c r="P2193">
        <f t="shared" si="115"/>
        <v>283</v>
      </c>
      <c r="Q2193" t="str">
        <f t="shared" si="116"/>
        <v>SG</v>
      </c>
      <c r="R2193" t="str">
        <f>IF(ISERROR(MATCH(P2193&amp;"."&amp;Q2193,R$5:R2192,0)),P2193&amp;"."&amp;Q2193,P2193&amp;"."&amp;Q2193&amp;COUNTIFS(P$5:P2192,P2193,Q$5:Q2192,Q2193))</f>
        <v>283.SG3</v>
      </c>
      <c r="S2193" s="55">
        <f t="shared" si="117"/>
        <v>0</v>
      </c>
    </row>
    <row r="2194" spans="1:19" hidden="1">
      <c r="A2194" s="5">
        <v>2259</v>
      </c>
      <c r="B2194" s="59"/>
      <c r="C2194" s="60"/>
      <c r="D2194" s="63"/>
      <c r="E2194" s="63"/>
      <c r="F2194" s="60"/>
      <c r="G2194" s="61"/>
      <c r="H2194" s="62" t="s">
        <v>659</v>
      </c>
      <c r="I2194" s="65">
        <v>-216802753.06769207</v>
      </c>
      <c r="J2194" s="65">
        <v>-84837258.647092953</v>
      </c>
      <c r="K2194" s="62"/>
      <c r="L2194" s="65">
        <v>-194195096.77924851</v>
      </c>
      <c r="M2194" s="65">
        <v>-145153201.03948802</v>
      </c>
      <c r="N2194" s="64">
        <v>-49041895.739760473</v>
      </c>
      <c r="P2194">
        <f t="shared" si="115"/>
        <v>283</v>
      </c>
      <c r="Q2194" t="str">
        <f t="shared" si="116"/>
        <v>NA</v>
      </c>
      <c r="R2194" t="str">
        <f>IF(ISERROR(MATCH(P2194&amp;"."&amp;Q2194,R$5:R2193,0)),P2194&amp;"."&amp;Q2194,P2194&amp;"."&amp;Q2194&amp;COUNTIFS(P$5:P2193,P2194,Q$5:Q2193,Q2194))</f>
        <v>283.NA1</v>
      </c>
      <c r="S2194" s="55">
        <f t="shared" si="117"/>
        <v>-49041895.739760473</v>
      </c>
    </row>
    <row r="2195" spans="1:19" hidden="1">
      <c r="A2195" s="5">
        <v>2260</v>
      </c>
      <c r="B2195" s="59"/>
      <c r="C2195" s="60"/>
      <c r="D2195" s="63"/>
      <c r="E2195" s="63"/>
      <c r="F2195" s="60"/>
      <c r="G2195" s="61"/>
      <c r="H2195" s="62"/>
      <c r="I2195" s="65"/>
      <c r="J2195" s="65"/>
      <c r="K2195" s="62"/>
      <c r="L2195" s="65"/>
      <c r="M2195" s="65"/>
      <c r="N2195" s="64"/>
      <c r="P2195">
        <f t="shared" si="115"/>
        <v>283</v>
      </c>
      <c r="Q2195" t="str">
        <f t="shared" si="116"/>
        <v>NA</v>
      </c>
      <c r="R2195" t="str">
        <f>IF(ISERROR(MATCH(P2195&amp;"."&amp;Q2195,R$5:R2194,0)),P2195&amp;"."&amp;Q2195,P2195&amp;"."&amp;Q2195&amp;COUNTIFS(P$5:P2194,P2195,Q$5:Q2194,Q2195))</f>
        <v>283.NA2</v>
      </c>
      <c r="S2195" s="55">
        <f t="shared" si="117"/>
        <v>0</v>
      </c>
    </row>
    <row r="2196" spans="1:19" hidden="1">
      <c r="A2196" s="5">
        <v>2261</v>
      </c>
      <c r="B2196" s="59"/>
      <c r="C2196" s="60" t="s">
        <v>663</v>
      </c>
      <c r="D2196" s="63"/>
      <c r="E2196" s="63"/>
      <c r="F2196" s="60"/>
      <c r="G2196" s="61"/>
      <c r="H2196" s="62" t="s">
        <v>659</v>
      </c>
      <c r="I2196" s="65">
        <v>-4083287763.2053823</v>
      </c>
      <c r="J2196" s="65">
        <v>-1787562056.5455847</v>
      </c>
      <c r="K2196" s="62"/>
      <c r="L2196" s="65">
        <v>-2866832483.1908288</v>
      </c>
      <c r="M2196" s="65">
        <v>-1689280698.3151276</v>
      </c>
      <c r="N2196" s="64">
        <v>-1177551784.8757017</v>
      </c>
      <c r="P2196" t="str">
        <f t="shared" si="115"/>
        <v>Total Accum Deferred Income Tax</v>
      </c>
      <c r="Q2196" t="str">
        <f t="shared" si="116"/>
        <v>NA</v>
      </c>
      <c r="R2196" t="str">
        <f>IF(ISERROR(MATCH(P2196&amp;"."&amp;Q2196,R$5:R2195,0)),P2196&amp;"."&amp;Q2196,P2196&amp;"."&amp;Q2196&amp;COUNTIFS(P$5:P2195,P2196,Q$5:Q2195,Q2196))</f>
        <v>Total Accum Deferred Income Tax.NA</v>
      </c>
      <c r="S2196" s="55">
        <f t="shared" si="117"/>
        <v>-1177551784.8757017</v>
      </c>
    </row>
    <row r="2197" spans="1:19" hidden="1">
      <c r="A2197" s="5">
        <v>2262</v>
      </c>
      <c r="B2197" s="59"/>
      <c r="C2197" s="60">
        <v>255</v>
      </c>
      <c r="D2197" s="63" t="s">
        <v>664</v>
      </c>
      <c r="E2197" s="63"/>
      <c r="F2197" s="60"/>
      <c r="G2197" s="61"/>
      <c r="H2197" s="62"/>
      <c r="I2197" s="65"/>
      <c r="J2197" s="65"/>
      <c r="K2197" s="62"/>
      <c r="L2197" s="65"/>
      <c r="M2197" s="65"/>
      <c r="N2197" s="64"/>
      <c r="P2197">
        <f t="shared" si="115"/>
        <v>255</v>
      </c>
      <c r="Q2197" t="str">
        <f t="shared" si="116"/>
        <v>NA</v>
      </c>
      <c r="R2197" t="str">
        <f>IF(ISERROR(MATCH(P2197&amp;"."&amp;Q2197,R$5:R2196,0)),P2197&amp;"."&amp;Q2197,P2197&amp;"."&amp;Q2197&amp;COUNTIFS(P$5:P2196,P2197,Q$5:Q2196,Q2197))</f>
        <v>255.NA</v>
      </c>
      <c r="S2197" s="55">
        <f t="shared" si="117"/>
        <v>0</v>
      </c>
    </row>
    <row r="2198" spans="1:19" hidden="1">
      <c r="A2198" s="5">
        <v>2263</v>
      </c>
      <c r="B2198" s="59"/>
      <c r="C2198" s="60"/>
      <c r="D2198" s="63"/>
      <c r="E2198" s="63"/>
      <c r="F2198" s="60" t="s">
        <v>171</v>
      </c>
      <c r="G2198" s="61" t="s">
        <v>12</v>
      </c>
      <c r="H2198" s="62"/>
      <c r="I2198" s="65">
        <v>-38401.198461538501</v>
      </c>
      <c r="J2198" s="65">
        <v>0</v>
      </c>
      <c r="K2198" s="62"/>
      <c r="L2198" s="65">
        <v>-28186.97769230773</v>
      </c>
      <c r="M2198" s="65">
        <v>-28186.97769230773</v>
      </c>
      <c r="N2198" s="64">
        <v>0</v>
      </c>
      <c r="P2198">
        <f t="shared" si="115"/>
        <v>255</v>
      </c>
      <c r="Q2198" t="str">
        <f t="shared" si="116"/>
        <v>S</v>
      </c>
      <c r="R2198" t="str">
        <f>IF(ISERROR(MATCH(P2198&amp;"."&amp;Q2198,R$5:R2197,0)),P2198&amp;"."&amp;Q2198,P2198&amp;"."&amp;Q2198&amp;COUNTIFS(P$5:P2197,P2198,Q$5:Q2197,Q2198))</f>
        <v>255.S</v>
      </c>
      <c r="S2198" s="55">
        <f t="shared" si="117"/>
        <v>0</v>
      </c>
    </row>
    <row r="2199" spans="1:19" hidden="1">
      <c r="A2199" s="5">
        <v>2264</v>
      </c>
      <c r="B2199" s="59"/>
      <c r="C2199" s="60"/>
      <c r="D2199" s="63"/>
      <c r="E2199" s="63"/>
      <c r="F2199" s="60" t="s">
        <v>171</v>
      </c>
      <c r="G2199" s="61" t="s">
        <v>665</v>
      </c>
      <c r="H2199" s="62"/>
      <c r="I2199" s="65">
        <v>0</v>
      </c>
      <c r="J2199" s="65">
        <v>0</v>
      </c>
      <c r="K2199" s="62"/>
      <c r="L2199" s="65">
        <v>0</v>
      </c>
      <c r="M2199" s="65">
        <v>0</v>
      </c>
      <c r="N2199" s="64">
        <v>0</v>
      </c>
      <c r="P2199">
        <f t="shared" si="115"/>
        <v>255</v>
      </c>
      <c r="Q2199" t="str">
        <f t="shared" si="116"/>
        <v>ITC84</v>
      </c>
      <c r="R2199" t="str">
        <f>IF(ISERROR(MATCH(P2199&amp;"."&amp;Q2199,R$5:R2198,0)),P2199&amp;"."&amp;Q2199,P2199&amp;"."&amp;Q2199&amp;COUNTIFS(P$5:P2198,P2199,Q$5:Q2198,Q2199))</f>
        <v>255.ITC84</v>
      </c>
      <c r="S2199" s="55">
        <f t="shared" si="117"/>
        <v>0</v>
      </c>
    </row>
    <row r="2200" spans="1:19" hidden="1">
      <c r="A2200" s="5">
        <v>2265</v>
      </c>
      <c r="B2200" s="59"/>
      <c r="C2200" s="60"/>
      <c r="D2200" s="63"/>
      <c r="E2200" s="63"/>
      <c r="F2200" s="63" t="s">
        <v>171</v>
      </c>
      <c r="G2200" s="63" t="s">
        <v>666</v>
      </c>
      <c r="H2200" s="62"/>
      <c r="I2200" s="66">
        <v>0</v>
      </c>
      <c r="J2200" s="66">
        <v>0</v>
      </c>
      <c r="K2200" s="62"/>
      <c r="L2200" s="66">
        <v>0</v>
      </c>
      <c r="M2200" s="66">
        <v>0</v>
      </c>
      <c r="N2200" s="66">
        <v>0</v>
      </c>
      <c r="P2200">
        <f t="shared" si="115"/>
        <v>255</v>
      </c>
      <c r="Q2200" t="str">
        <f t="shared" si="116"/>
        <v>ITC85</v>
      </c>
      <c r="R2200" t="str">
        <f>IF(ISERROR(MATCH(P2200&amp;"."&amp;Q2200,R$5:R2199,0)),P2200&amp;"."&amp;Q2200,P2200&amp;"."&amp;Q2200&amp;COUNTIFS(P$5:P2199,P2200,Q$5:Q2199,Q2200))</f>
        <v>255.ITC85</v>
      </c>
      <c r="S2200" s="55">
        <f t="shared" si="117"/>
        <v>0</v>
      </c>
    </row>
    <row r="2201" spans="1:19" hidden="1">
      <c r="A2201" s="5">
        <v>2266</v>
      </c>
      <c r="B2201" s="59"/>
      <c r="C2201" s="60"/>
      <c r="D2201" s="63"/>
      <c r="E2201" s="63"/>
      <c r="F2201" s="63" t="s">
        <v>171</v>
      </c>
      <c r="G2201" s="63" t="s">
        <v>667</v>
      </c>
      <c r="H2201" s="62"/>
      <c r="I2201" s="65">
        <v>0</v>
      </c>
      <c r="J2201" s="65">
        <v>0</v>
      </c>
      <c r="K2201" s="62"/>
      <c r="L2201" s="65">
        <v>0</v>
      </c>
      <c r="M2201" s="65">
        <v>0</v>
      </c>
      <c r="N2201" s="65">
        <v>0</v>
      </c>
      <c r="P2201">
        <f t="shared" si="115"/>
        <v>255</v>
      </c>
      <c r="Q2201" t="str">
        <f t="shared" si="116"/>
        <v>ITC86</v>
      </c>
      <c r="R2201" t="str">
        <f>IF(ISERROR(MATCH(P2201&amp;"."&amp;Q2201,R$5:R2200,0)),P2201&amp;"."&amp;Q2201,P2201&amp;"."&amp;Q2201&amp;COUNTIFS(P$5:P2200,P2201,Q$5:Q2200,Q2201))</f>
        <v>255.ITC86</v>
      </c>
      <c r="S2201" s="55">
        <f t="shared" si="117"/>
        <v>0</v>
      </c>
    </row>
    <row r="2202" spans="1:19" hidden="1">
      <c r="A2202" s="5">
        <v>2267</v>
      </c>
      <c r="B2202" s="59"/>
      <c r="C2202" s="60"/>
      <c r="D2202" s="61"/>
      <c r="E2202" s="63"/>
      <c r="F2202" s="63" t="s">
        <v>171</v>
      </c>
      <c r="G2202" s="63" t="s">
        <v>668</v>
      </c>
      <c r="H2202" s="62"/>
      <c r="I2202" s="65">
        <v>0</v>
      </c>
      <c r="J2202" s="65">
        <v>0</v>
      </c>
      <c r="K2202" s="62"/>
      <c r="L2202" s="65">
        <v>0</v>
      </c>
      <c r="M2202" s="65">
        <v>0</v>
      </c>
      <c r="N2202" s="65">
        <v>0</v>
      </c>
      <c r="P2202">
        <f t="shared" si="115"/>
        <v>255</v>
      </c>
      <c r="Q2202" t="str">
        <f t="shared" si="116"/>
        <v>ITC88</v>
      </c>
      <c r="R2202" t="str">
        <f>IF(ISERROR(MATCH(P2202&amp;"."&amp;Q2202,R$5:R2201,0)),P2202&amp;"."&amp;Q2202,P2202&amp;"."&amp;Q2202&amp;COUNTIFS(P$5:P2201,P2202,Q$5:Q2201,Q2202))</f>
        <v>255.ITC88</v>
      </c>
      <c r="S2202" s="55">
        <f t="shared" si="117"/>
        <v>0</v>
      </c>
    </row>
    <row r="2203" spans="1:19" hidden="1">
      <c r="A2203" s="5">
        <v>2268</v>
      </c>
      <c r="B2203" s="59"/>
      <c r="C2203" s="60"/>
      <c r="D2203" s="63"/>
      <c r="E2203" s="63"/>
      <c r="F2203" s="60" t="s">
        <v>171</v>
      </c>
      <c r="G2203" s="61" t="s">
        <v>669</v>
      </c>
      <c r="H2203" s="62"/>
      <c r="I2203" s="65">
        <v>0</v>
      </c>
      <c r="J2203" s="65">
        <v>0</v>
      </c>
      <c r="K2203" s="62"/>
      <c r="L2203" s="65">
        <v>0</v>
      </c>
      <c r="M2203" s="65">
        <v>0</v>
      </c>
      <c r="N2203" s="64">
        <v>0</v>
      </c>
      <c r="P2203">
        <f t="shared" si="115"/>
        <v>255</v>
      </c>
      <c r="Q2203" t="str">
        <f t="shared" si="116"/>
        <v>ITC89</v>
      </c>
      <c r="R2203" t="str">
        <f>IF(ISERROR(MATCH(P2203&amp;"."&amp;Q2203,R$5:R2202,0)),P2203&amp;"."&amp;Q2203,P2203&amp;"."&amp;Q2203&amp;COUNTIFS(P$5:P2202,P2203,Q$5:Q2202,Q2203))</f>
        <v>255.ITC89</v>
      </c>
      <c r="S2203" s="55">
        <f t="shared" si="117"/>
        <v>0</v>
      </c>
    </row>
    <row r="2204" spans="1:19" hidden="1">
      <c r="A2204" s="5">
        <v>2269</v>
      </c>
      <c r="B2204" s="59"/>
      <c r="C2204" s="60"/>
      <c r="D2204" s="63"/>
      <c r="E2204" s="63"/>
      <c r="F2204" s="60" t="s">
        <v>171</v>
      </c>
      <c r="G2204" s="61" t="s">
        <v>670</v>
      </c>
      <c r="H2204" s="62"/>
      <c r="I2204" s="65">
        <v>-42534</v>
      </c>
      <c r="J2204" s="65">
        <v>-19963.545570000002</v>
      </c>
      <c r="K2204" s="62"/>
      <c r="L2204" s="65">
        <v>0</v>
      </c>
      <c r="M2204" s="65">
        <v>0</v>
      </c>
      <c r="N2204" s="64">
        <v>0</v>
      </c>
      <c r="P2204">
        <f t="shared" si="115"/>
        <v>255</v>
      </c>
      <c r="Q2204" t="str">
        <f t="shared" si="116"/>
        <v>ITC90</v>
      </c>
      <c r="R2204" t="str">
        <f>IF(ISERROR(MATCH(P2204&amp;"."&amp;Q2204,R$5:R2203,0)),P2204&amp;"."&amp;Q2204,P2204&amp;"."&amp;Q2204&amp;COUNTIFS(P$5:P2203,P2204,Q$5:Q2203,Q2204))</f>
        <v>255.ITC90</v>
      </c>
      <c r="S2204" s="55">
        <f t="shared" si="117"/>
        <v>0</v>
      </c>
    </row>
    <row r="2205" spans="1:19" hidden="1">
      <c r="A2205" s="5">
        <v>2270</v>
      </c>
      <c r="B2205" s="59"/>
      <c r="C2205" s="60"/>
      <c r="D2205" s="63"/>
      <c r="E2205" s="63"/>
      <c r="F2205" s="60" t="s">
        <v>171</v>
      </c>
      <c r="G2205" s="61" t="s">
        <v>15</v>
      </c>
      <c r="H2205" s="62"/>
      <c r="I2205" s="65">
        <v>-216527.75153846201</v>
      </c>
      <c r="J2205" s="65">
        <v>-95266.793438983805</v>
      </c>
      <c r="K2205" s="62"/>
      <c r="L2205" s="65">
        <v>-193140.71974359022</v>
      </c>
      <c r="M2205" s="65">
        <v>-108163.63518174882</v>
      </c>
      <c r="N2205" s="64">
        <v>-84977.084561841402</v>
      </c>
      <c r="P2205">
        <f t="shared" si="115"/>
        <v>255</v>
      </c>
      <c r="Q2205" t="str">
        <f t="shared" si="116"/>
        <v>SG</v>
      </c>
      <c r="R2205" t="str">
        <f>IF(ISERROR(MATCH(P2205&amp;"."&amp;Q2205,R$5:R2204,0)),P2205&amp;"."&amp;Q2205,P2205&amp;"."&amp;Q2205&amp;COUNTIFS(P$5:P2204,P2205,Q$5:Q2204,Q2205))</f>
        <v>255.SG</v>
      </c>
      <c r="S2205" s="55">
        <f t="shared" si="117"/>
        <v>-84977.084561841402</v>
      </c>
    </row>
    <row r="2206" spans="1:19" hidden="1">
      <c r="A2206" s="5">
        <v>2271</v>
      </c>
      <c r="B2206" s="59"/>
      <c r="C2206" s="60" t="s">
        <v>671</v>
      </c>
      <c r="D2206" s="63"/>
      <c r="E2206" s="63"/>
      <c r="F2206" s="63"/>
      <c r="G2206" s="63"/>
      <c r="H2206" s="62" t="s">
        <v>659</v>
      </c>
      <c r="I2206" s="66">
        <v>-297462.95000000054</v>
      </c>
      <c r="J2206" s="66">
        <v>-115230.33900898381</v>
      </c>
      <c r="K2206" s="62"/>
      <c r="L2206" s="66">
        <v>-221327.69743589795</v>
      </c>
      <c r="M2206" s="66">
        <v>-136350.61287405656</v>
      </c>
      <c r="N2206" s="66">
        <v>-84977.084561841402</v>
      </c>
      <c r="P2206" t="str">
        <f t="shared" si="115"/>
        <v>Total Accumulated ITC</v>
      </c>
      <c r="Q2206" t="str">
        <f t="shared" si="116"/>
        <v>NA</v>
      </c>
      <c r="R2206" t="str">
        <f>IF(ISERROR(MATCH(P2206&amp;"."&amp;Q2206,R$5:R2205,0)),P2206&amp;"."&amp;Q2206,P2206&amp;"."&amp;Q2206&amp;COUNTIFS(P$5:P2205,P2206,Q$5:Q2205,Q2206))</f>
        <v>Total Accumulated ITC.NA</v>
      </c>
      <c r="S2206" s="55">
        <f t="shared" si="117"/>
        <v>-84977.084561841402</v>
      </c>
    </row>
    <row r="2207" spans="1:19" hidden="1">
      <c r="A2207" s="5">
        <v>2272</v>
      </c>
      <c r="B2207" s="59"/>
      <c r="C2207" s="60"/>
      <c r="D2207" s="63"/>
      <c r="E2207" s="63"/>
      <c r="F2207" s="63"/>
      <c r="G2207" s="63"/>
      <c r="H2207" s="62"/>
      <c r="I2207" s="65"/>
      <c r="J2207" s="65"/>
      <c r="K2207" s="62"/>
      <c r="L2207" s="65"/>
      <c r="M2207" s="65"/>
      <c r="N2207" s="65"/>
      <c r="P2207" t="str">
        <f t="shared" si="115"/>
        <v>Total Accumulated ITC</v>
      </c>
      <c r="Q2207" t="str">
        <f t="shared" si="116"/>
        <v>NA</v>
      </c>
      <c r="R2207" t="str">
        <f>IF(ISERROR(MATCH(P2207&amp;"."&amp;Q2207,R$5:R2206,0)),P2207&amp;"."&amp;Q2207,P2207&amp;"."&amp;Q2207&amp;COUNTIFS(P$5:P2206,P2207,Q$5:Q2206,Q2207))</f>
        <v>Total Accumulated ITC.NA1</v>
      </c>
      <c r="S2207" s="55">
        <f t="shared" si="117"/>
        <v>0</v>
      </c>
    </row>
    <row r="2208" spans="1:19" hidden="1">
      <c r="A2208" s="5">
        <v>2273</v>
      </c>
      <c r="B2208" s="59"/>
      <c r="C2208" s="60" t="s">
        <v>672</v>
      </c>
      <c r="D2208" s="63"/>
      <c r="E2208" s="63"/>
      <c r="F2208" s="63"/>
      <c r="G2208" s="63"/>
      <c r="H2208" s="62" t="s">
        <v>141</v>
      </c>
      <c r="I2208" s="65">
        <v>-5047577197.1776896</v>
      </c>
      <c r="J2208" s="65">
        <v>-2059918730.9939258</v>
      </c>
      <c r="K2208" s="62"/>
      <c r="L2208" s="65">
        <v>-4338096982.1654854</v>
      </c>
      <c r="M2208" s="65">
        <v>-2326699784.4067006</v>
      </c>
      <c r="N2208" s="65">
        <v>-2011397197.758785</v>
      </c>
      <c r="P2208" t="str">
        <f t="shared" si="115"/>
        <v>Total Rate Base Deductions</v>
      </c>
      <c r="Q2208" t="str">
        <f t="shared" si="116"/>
        <v>NA</v>
      </c>
      <c r="R2208" t="str">
        <f>IF(ISERROR(MATCH(P2208&amp;"."&amp;Q2208,R$5:R2207,0)),P2208&amp;"."&amp;Q2208,P2208&amp;"."&amp;Q2208&amp;COUNTIFS(P$5:P2207,P2208,Q$5:Q2207,Q2208))</f>
        <v>Total Rate Base Deductions.NA</v>
      </c>
      <c r="S2208" s="55">
        <f t="shared" si="117"/>
        <v>-2011397197.758785</v>
      </c>
    </row>
    <row r="2209" spans="1:19" hidden="1">
      <c r="A2209" s="5">
        <v>2274</v>
      </c>
      <c r="B2209" s="59"/>
      <c r="C2209" s="60"/>
      <c r="D2209" s="61"/>
      <c r="E2209" s="63"/>
      <c r="F2209" s="63"/>
      <c r="G2209" s="63"/>
      <c r="H2209" s="62"/>
      <c r="I2209" s="65"/>
      <c r="J2209" s="65"/>
      <c r="K2209" s="62"/>
      <c r="L2209" s="65"/>
      <c r="M2209" s="65"/>
      <c r="N2209" s="65"/>
      <c r="P2209" t="str">
        <f t="shared" si="115"/>
        <v>Total Rate Base Deductions</v>
      </c>
      <c r="Q2209" t="str">
        <f t="shared" si="116"/>
        <v>NA</v>
      </c>
      <c r="R2209" t="str">
        <f>IF(ISERROR(MATCH(P2209&amp;"."&amp;Q2209,R$5:R2208,0)),P2209&amp;"."&amp;Q2209,P2209&amp;"."&amp;Q2209&amp;COUNTIFS(P$5:P2208,P2209,Q$5:Q2208,Q2209))</f>
        <v>Total Rate Base Deductions.NA1</v>
      </c>
      <c r="S2209" s="55">
        <f t="shared" si="117"/>
        <v>0</v>
      </c>
    </row>
    <row r="2210" spans="1:19" hidden="1">
      <c r="A2210" s="5">
        <v>2275</v>
      </c>
      <c r="B2210" s="59"/>
      <c r="C2210" s="60"/>
      <c r="D2210" s="63"/>
      <c r="E2210" s="63"/>
      <c r="F2210" s="60"/>
      <c r="G2210" s="61"/>
      <c r="H2210" s="62"/>
      <c r="I2210" s="65"/>
      <c r="J2210" s="65"/>
      <c r="K2210" s="62"/>
      <c r="L2210" s="65"/>
      <c r="M2210" s="65"/>
      <c r="N2210" s="64"/>
      <c r="P2210" t="str">
        <f t="shared" si="115"/>
        <v>Total Rate Base Deductions</v>
      </c>
      <c r="Q2210" t="str">
        <f t="shared" si="116"/>
        <v>NA</v>
      </c>
      <c r="R2210" t="str">
        <f>IF(ISERROR(MATCH(P2210&amp;"."&amp;Q2210,R$5:R2209,0)),P2210&amp;"."&amp;Q2210,P2210&amp;"."&amp;Q2210&amp;COUNTIFS(P$5:P2209,P2210,Q$5:Q2209,Q2210))</f>
        <v>Total Rate Base Deductions.NA2</v>
      </c>
      <c r="S2210" s="55">
        <f t="shared" si="117"/>
        <v>0</v>
      </c>
    </row>
    <row r="2211" spans="1:19" hidden="1">
      <c r="A2211" s="5">
        <v>2276</v>
      </c>
      <c r="B2211" s="59"/>
      <c r="C2211" s="60"/>
      <c r="D2211" s="63"/>
      <c r="E2211" s="63"/>
      <c r="F2211" s="60"/>
      <c r="G2211" s="61"/>
      <c r="H2211" s="62"/>
      <c r="I2211" s="65"/>
      <c r="J2211" s="65"/>
      <c r="K2211" s="62"/>
      <c r="L2211" s="65"/>
      <c r="M2211" s="65"/>
      <c r="N2211" s="64"/>
      <c r="P2211" t="str">
        <f t="shared" si="115"/>
        <v>Total Rate Base Deductions</v>
      </c>
      <c r="Q2211" t="str">
        <f t="shared" si="116"/>
        <v>NA</v>
      </c>
      <c r="R2211" t="str">
        <f>IF(ISERROR(MATCH(P2211&amp;"."&amp;Q2211,R$5:R2210,0)),P2211&amp;"."&amp;Q2211,P2211&amp;"."&amp;Q2211&amp;COUNTIFS(P$5:P2210,P2211,Q$5:Q2210,Q2211))</f>
        <v>Total Rate Base Deductions.NA3</v>
      </c>
      <c r="S2211" s="55">
        <f t="shared" si="117"/>
        <v>0</v>
      </c>
    </row>
    <row r="2212" spans="1:19" hidden="1">
      <c r="A2212" s="5">
        <v>2277</v>
      </c>
      <c r="B2212" s="59"/>
      <c r="C2212" s="60" t="s">
        <v>209</v>
      </c>
      <c r="D2212" s="63" t="s">
        <v>673</v>
      </c>
      <c r="E2212" s="70"/>
      <c r="F2212" s="60"/>
      <c r="G2212" s="61"/>
      <c r="H2212" s="62"/>
      <c r="I2212" s="65"/>
      <c r="J2212" s="65"/>
      <c r="K2212" s="62"/>
      <c r="L2212" s="65"/>
      <c r="M2212" s="65"/>
      <c r="N2212" s="64"/>
      <c r="P2212" t="str">
        <f t="shared" si="115"/>
        <v>108SP</v>
      </c>
      <c r="Q2212" t="str">
        <f t="shared" si="116"/>
        <v>NA</v>
      </c>
      <c r="R2212" t="str">
        <f>IF(ISERROR(MATCH(P2212&amp;"."&amp;Q2212,R$5:R2211,0)),P2212&amp;"."&amp;Q2212,P2212&amp;"."&amp;Q2212&amp;COUNTIFS(P$5:P2211,P2212,Q$5:Q2211,Q2212))</f>
        <v>108SP.NA</v>
      </c>
      <c r="S2212" s="55">
        <f t="shared" si="117"/>
        <v>0</v>
      </c>
    </row>
    <row r="2213" spans="1:19" hidden="1">
      <c r="A2213" s="5">
        <v>2278</v>
      </c>
      <c r="B2213" s="59"/>
      <c r="C2213" s="60"/>
      <c r="D2213" s="63"/>
      <c r="E2213" s="63"/>
      <c r="F2213" s="60" t="s">
        <v>13</v>
      </c>
      <c r="G2213" s="61" t="s">
        <v>12</v>
      </c>
      <c r="H2213" s="62"/>
      <c r="I2213" s="65">
        <v>10846025.003846152</v>
      </c>
      <c r="J2213" s="65">
        <v>8871391.2638461497</v>
      </c>
      <c r="K2213" s="62"/>
      <c r="L2213" s="65">
        <v>-220924578.7759845</v>
      </c>
      <c r="M2213" s="65">
        <v>1974633.7399999797</v>
      </c>
      <c r="N2213" s="64">
        <v>-222899212.51598448</v>
      </c>
      <c r="P2213" t="str">
        <f t="shared" si="115"/>
        <v>108SP</v>
      </c>
      <c r="Q2213" t="str">
        <f t="shared" si="116"/>
        <v>S</v>
      </c>
      <c r="R2213" t="str">
        <f>IF(ISERROR(MATCH(P2213&amp;"."&amp;Q2213,R$5:R2212,0)),P2213&amp;"."&amp;Q2213,P2213&amp;"."&amp;Q2213&amp;COUNTIFS(P$5:P2212,P2213,Q$5:Q2212,Q2213))</f>
        <v>108SP.S</v>
      </c>
      <c r="S2213" s="55">
        <f t="shared" si="117"/>
        <v>-222899212.51598448</v>
      </c>
    </row>
    <row r="2214" spans="1:19" hidden="1">
      <c r="A2214" s="5">
        <v>2279</v>
      </c>
      <c r="B2214" s="59"/>
      <c r="C2214" s="60"/>
      <c r="D2214" s="63"/>
      <c r="E2214" s="63"/>
      <c r="F2214" s="60" t="s">
        <v>13</v>
      </c>
      <c r="G2214" s="61" t="s">
        <v>15</v>
      </c>
      <c r="H2214" s="62"/>
      <c r="I2214" s="65">
        <v>-765397082.425385</v>
      </c>
      <c r="J2214" s="65">
        <v>-336755567.04456758</v>
      </c>
      <c r="K2214" s="62"/>
      <c r="L2214" s="65">
        <v>-825600764.35045004</v>
      </c>
      <c r="M2214" s="65">
        <v>-462357083.47534341</v>
      </c>
      <c r="N2214" s="64">
        <v>-363243680.87510663</v>
      </c>
      <c r="P2214" t="str">
        <f t="shared" si="115"/>
        <v>108SP</v>
      </c>
      <c r="Q2214" t="str">
        <f t="shared" si="116"/>
        <v>SG</v>
      </c>
      <c r="R2214" t="str">
        <f>IF(ISERROR(MATCH(P2214&amp;"."&amp;Q2214,R$5:R2213,0)),P2214&amp;"."&amp;Q2214,P2214&amp;"."&amp;Q2214&amp;COUNTIFS(P$5:P2213,P2214,Q$5:Q2213,Q2214))</f>
        <v>108SP.SG</v>
      </c>
      <c r="S2214" s="55">
        <f t="shared" si="117"/>
        <v>-363243680.87510663</v>
      </c>
    </row>
    <row r="2215" spans="1:19" hidden="1">
      <c r="A2215" s="5">
        <v>2280</v>
      </c>
      <c r="B2215" s="59"/>
      <c r="C2215" s="60"/>
      <c r="D2215" s="63"/>
      <c r="E2215" s="63"/>
      <c r="F2215" s="63" t="s">
        <v>13</v>
      </c>
      <c r="G2215" s="63" t="s">
        <v>15</v>
      </c>
      <c r="H2215" s="62"/>
      <c r="I2215" s="66">
        <v>-736317492.68846202</v>
      </c>
      <c r="J2215" s="66">
        <v>-323961275.09319276</v>
      </c>
      <c r="K2215" s="62"/>
      <c r="L2215" s="66">
        <v>-779379518.66864383</v>
      </c>
      <c r="M2215" s="66">
        <v>-436472029.49910241</v>
      </c>
      <c r="N2215" s="66">
        <v>-342907489.16954142</v>
      </c>
      <c r="P2215" t="str">
        <f t="shared" si="115"/>
        <v>108SP</v>
      </c>
      <c r="Q2215" t="str">
        <f t="shared" si="116"/>
        <v>SG</v>
      </c>
      <c r="R2215" t="str">
        <f>IF(ISERROR(MATCH(P2215&amp;"."&amp;Q2215,R$5:R2214,0)),P2215&amp;"."&amp;Q2215,P2215&amp;"."&amp;Q2215&amp;COUNTIFS(P$5:P2214,P2215,Q$5:Q2214,Q2215))</f>
        <v>108SP.SG1</v>
      </c>
      <c r="S2215" s="55">
        <f t="shared" si="117"/>
        <v>-342907489.16954142</v>
      </c>
    </row>
    <row r="2216" spans="1:19" hidden="1">
      <c r="A2216" s="5">
        <v>2281</v>
      </c>
      <c r="B2216" s="59"/>
      <c r="C2216" s="60"/>
      <c r="D2216" s="63"/>
      <c r="E2216" s="63"/>
      <c r="F2216" s="63" t="s">
        <v>13</v>
      </c>
      <c r="G2216" s="63" t="s">
        <v>15</v>
      </c>
      <c r="H2216" s="62"/>
      <c r="I2216" s="65">
        <v>-1490892214.28615</v>
      </c>
      <c r="J2216" s="65">
        <v>-655955274.13472664</v>
      </c>
      <c r="K2216" s="62"/>
      <c r="L2216" s="65">
        <v>-1482970429.5409868</v>
      </c>
      <c r="M2216" s="65">
        <v>-830500542.5015558</v>
      </c>
      <c r="N2216" s="65">
        <v>-652469887.03943098</v>
      </c>
      <c r="P2216" t="str">
        <f t="shared" si="115"/>
        <v>108SP</v>
      </c>
      <c r="Q2216" t="str">
        <f t="shared" si="116"/>
        <v>SG</v>
      </c>
      <c r="R2216" t="str">
        <f>IF(ISERROR(MATCH(P2216&amp;"."&amp;Q2216,R$5:R2215,0)),P2216&amp;"."&amp;Q2216,P2216&amp;"."&amp;Q2216&amp;COUNTIFS(P$5:P2215,P2216,Q$5:Q2215,Q2216))</f>
        <v>108SP.SG2</v>
      </c>
      <c r="S2216" s="55">
        <f t="shared" si="117"/>
        <v>-652469887.03943098</v>
      </c>
    </row>
    <row r="2217" spans="1:19" hidden="1">
      <c r="A2217" s="5">
        <v>2282</v>
      </c>
      <c r="B2217" s="59"/>
      <c r="C2217" s="60"/>
      <c r="D2217" s="61"/>
      <c r="E2217" s="63"/>
      <c r="F2217" s="63" t="s">
        <v>13</v>
      </c>
      <c r="G2217" s="63" t="s">
        <v>15</v>
      </c>
      <c r="H2217" s="62"/>
      <c r="I2217" s="65">
        <v>0</v>
      </c>
      <c r="J2217" s="65">
        <v>0</v>
      </c>
      <c r="K2217" s="62"/>
      <c r="L2217" s="65">
        <v>0</v>
      </c>
      <c r="M2217" s="65">
        <v>0</v>
      </c>
      <c r="N2217" s="65">
        <v>0</v>
      </c>
      <c r="P2217" t="str">
        <f t="shared" si="115"/>
        <v>108SP</v>
      </c>
      <c r="Q2217" t="str">
        <f t="shared" si="116"/>
        <v>SG</v>
      </c>
      <c r="R2217" t="str">
        <f>IF(ISERROR(MATCH(P2217&amp;"."&amp;Q2217,R$5:R2216,0)),P2217&amp;"."&amp;Q2217,P2217&amp;"."&amp;Q2217&amp;COUNTIFS(P$5:P2216,P2217,Q$5:Q2216,Q2217))</f>
        <v>108SP.SG3</v>
      </c>
      <c r="S2217" s="55">
        <f t="shared" si="117"/>
        <v>0</v>
      </c>
    </row>
    <row r="2218" spans="1:19" hidden="1">
      <c r="A2218" s="5">
        <v>2283</v>
      </c>
      <c r="B2218" s="59"/>
      <c r="C2218" s="60"/>
      <c r="D2218" s="63"/>
      <c r="E2218" s="63"/>
      <c r="F2218" s="60" t="s">
        <v>13</v>
      </c>
      <c r="G2218" s="61" t="s">
        <v>15</v>
      </c>
      <c r="H2218" s="62"/>
      <c r="I2218" s="65">
        <v>-246500340.44</v>
      </c>
      <c r="J2218" s="65">
        <v>-108453982.68113133</v>
      </c>
      <c r="K2218" s="62"/>
      <c r="L2218" s="65">
        <v>-266435549.31127819</v>
      </c>
      <c r="M2218" s="65">
        <v>-149210573.47934186</v>
      </c>
      <c r="N2218" s="64">
        <v>-117224975.83193633</v>
      </c>
      <c r="P2218" t="str">
        <f t="shared" si="115"/>
        <v>108SP</v>
      </c>
      <c r="Q2218" t="str">
        <f t="shared" si="116"/>
        <v>SG</v>
      </c>
      <c r="R2218" t="str">
        <f>IF(ISERROR(MATCH(P2218&amp;"."&amp;Q2218,R$5:R2217,0)),P2218&amp;"."&amp;Q2218,P2218&amp;"."&amp;Q2218&amp;COUNTIFS(P$5:P2217,P2218,Q$5:Q2217,Q2218))</f>
        <v>108SP.SG4</v>
      </c>
      <c r="S2218" s="55">
        <f t="shared" si="117"/>
        <v>-117224975.83193633</v>
      </c>
    </row>
    <row r="2219" spans="1:19" hidden="1">
      <c r="A2219" s="5">
        <v>2284</v>
      </c>
      <c r="B2219" s="59"/>
      <c r="C2219" s="60"/>
      <c r="D2219" s="63"/>
      <c r="E2219" s="63"/>
      <c r="F2219" s="60"/>
      <c r="G2219" s="61"/>
      <c r="H2219" s="62" t="s">
        <v>674</v>
      </c>
      <c r="I2219" s="65">
        <v>-3228261104.8361506</v>
      </c>
      <c r="J2219" s="65">
        <v>-1416254707.6897721</v>
      </c>
      <c r="K2219" s="62"/>
      <c r="L2219" s="65">
        <v>-3575310840.6473436</v>
      </c>
      <c r="M2219" s="65">
        <v>-1876565595.2153435</v>
      </c>
      <c r="N2219" s="64">
        <v>-1698745245.4319997</v>
      </c>
      <c r="P2219" t="str">
        <f t="shared" si="115"/>
        <v>108SP</v>
      </c>
      <c r="Q2219" t="str">
        <f t="shared" si="116"/>
        <v>NA</v>
      </c>
      <c r="R2219" t="str">
        <f>IF(ISERROR(MATCH(P2219&amp;"."&amp;Q2219,R$5:R2218,0)),P2219&amp;"."&amp;Q2219,P2219&amp;"."&amp;Q2219&amp;COUNTIFS(P$5:P2218,P2219,Q$5:Q2218,Q2219))</f>
        <v>108SP.NA1</v>
      </c>
      <c r="S2219" s="55">
        <f t="shared" si="117"/>
        <v>-1698745245.4319997</v>
      </c>
    </row>
    <row r="2220" spans="1:19" hidden="1">
      <c r="A2220" s="5">
        <v>2285</v>
      </c>
      <c r="B2220" s="59"/>
      <c r="C2220" s="60"/>
      <c r="D2220" s="63"/>
      <c r="E2220" s="63"/>
      <c r="F2220" s="60"/>
      <c r="G2220" s="61"/>
      <c r="H2220" s="62"/>
      <c r="I2220" s="65"/>
      <c r="J2220" s="65"/>
      <c r="K2220" s="62"/>
      <c r="L2220" s="65"/>
      <c r="M2220" s="65"/>
      <c r="N2220" s="64"/>
      <c r="P2220" t="str">
        <f t="shared" si="115"/>
        <v>108SP</v>
      </c>
      <c r="Q2220" t="str">
        <f t="shared" si="116"/>
        <v>NA</v>
      </c>
      <c r="R2220" t="str">
        <f>IF(ISERROR(MATCH(P2220&amp;"."&amp;Q2220,R$5:R2219,0)),P2220&amp;"."&amp;Q2220,P2220&amp;"."&amp;Q2220&amp;COUNTIFS(P$5:P2219,P2220,Q$5:Q2219,Q2220))</f>
        <v>108SP.NA2</v>
      </c>
      <c r="S2220" s="55">
        <f t="shared" si="117"/>
        <v>0</v>
      </c>
    </row>
    <row r="2221" spans="1:19" hidden="1">
      <c r="A2221" s="5">
        <v>2286</v>
      </c>
      <c r="B2221" s="59"/>
      <c r="C2221" s="60" t="s">
        <v>207</v>
      </c>
      <c r="D2221" s="63" t="s">
        <v>675</v>
      </c>
      <c r="E2221" s="63"/>
      <c r="F2221" s="60"/>
      <c r="G2221" s="61"/>
      <c r="H2221" s="62"/>
      <c r="I2221" s="65"/>
      <c r="J2221" s="65"/>
      <c r="K2221" s="62"/>
      <c r="L2221" s="65"/>
      <c r="M2221" s="65"/>
      <c r="N2221" s="64"/>
      <c r="P2221" t="str">
        <f t="shared" si="115"/>
        <v>108NP</v>
      </c>
      <c r="Q2221" t="str">
        <f t="shared" si="116"/>
        <v>NA</v>
      </c>
      <c r="R2221" t="str">
        <f>IF(ISERROR(MATCH(P2221&amp;"."&amp;Q2221,R$5:R2220,0)),P2221&amp;"."&amp;Q2221,P2221&amp;"."&amp;Q2221&amp;COUNTIFS(P$5:P2220,P2221,Q$5:Q2220,Q2221))</f>
        <v>108NP.NA</v>
      </c>
      <c r="S2221" s="55">
        <f t="shared" si="117"/>
        <v>0</v>
      </c>
    </row>
    <row r="2222" spans="1:19" hidden="1">
      <c r="A2222" s="5">
        <v>2287</v>
      </c>
      <c r="B2222" s="59"/>
      <c r="C2222" s="60"/>
      <c r="D2222" s="63"/>
      <c r="E2222" s="63"/>
      <c r="F2222" s="60" t="s">
        <v>13</v>
      </c>
      <c r="G2222" s="61" t="s">
        <v>15</v>
      </c>
      <c r="H2222" s="62"/>
      <c r="I2222" s="65">
        <v>0</v>
      </c>
      <c r="J2222" s="65">
        <v>0</v>
      </c>
      <c r="K2222" s="62"/>
      <c r="L2222" s="65">
        <v>0</v>
      </c>
      <c r="M2222" s="65">
        <v>0</v>
      </c>
      <c r="N2222" s="64">
        <v>0</v>
      </c>
      <c r="P2222" t="str">
        <f t="shared" si="115"/>
        <v>108NP</v>
      </c>
      <c r="Q2222" t="str">
        <f t="shared" si="116"/>
        <v>SG</v>
      </c>
      <c r="R2222" t="str">
        <f>IF(ISERROR(MATCH(P2222&amp;"."&amp;Q2222,R$5:R2221,0)),P2222&amp;"."&amp;Q2222,P2222&amp;"."&amp;Q2222&amp;COUNTIFS(P$5:P2221,P2222,Q$5:Q2221,Q2222))</f>
        <v>108NP.SG</v>
      </c>
      <c r="S2222" s="55">
        <f t="shared" si="117"/>
        <v>0</v>
      </c>
    </row>
    <row r="2223" spans="1:19" hidden="1">
      <c r="A2223" s="5">
        <v>2288</v>
      </c>
      <c r="B2223" s="59"/>
      <c r="C2223" s="60"/>
      <c r="D2223" s="63"/>
      <c r="E2223" s="63"/>
      <c r="F2223" s="63" t="s">
        <v>13</v>
      </c>
      <c r="G2223" s="63" t="s">
        <v>15</v>
      </c>
      <c r="H2223" s="62"/>
      <c r="I2223" s="66">
        <v>0</v>
      </c>
      <c r="J2223" s="66">
        <v>0</v>
      </c>
      <c r="K2223" s="62"/>
      <c r="L2223" s="66">
        <v>0</v>
      </c>
      <c r="M2223" s="66">
        <v>0</v>
      </c>
      <c r="N2223" s="66">
        <v>0</v>
      </c>
      <c r="P2223" t="str">
        <f t="shared" si="115"/>
        <v>108NP</v>
      </c>
      <c r="Q2223" t="str">
        <f t="shared" si="116"/>
        <v>SG</v>
      </c>
      <c r="R2223" t="str">
        <f>IF(ISERROR(MATCH(P2223&amp;"."&amp;Q2223,R$5:R2222,0)),P2223&amp;"."&amp;Q2223,P2223&amp;"."&amp;Q2223&amp;COUNTIFS(P$5:P2222,P2223,Q$5:Q2222,Q2223))</f>
        <v>108NP.SG1</v>
      </c>
      <c r="S2223" s="55">
        <f t="shared" si="117"/>
        <v>0</v>
      </c>
    </row>
    <row r="2224" spans="1:19" hidden="1">
      <c r="A2224" s="5">
        <v>2289</v>
      </c>
      <c r="B2224" s="59"/>
      <c r="C2224" s="60"/>
      <c r="D2224" s="63"/>
      <c r="E2224" s="63"/>
      <c r="F2224" s="63" t="s">
        <v>13</v>
      </c>
      <c r="G2224" s="63" t="s">
        <v>15</v>
      </c>
      <c r="H2224" s="62"/>
      <c r="I2224" s="65">
        <v>0</v>
      </c>
      <c r="J2224" s="65">
        <v>0</v>
      </c>
      <c r="K2224" s="62"/>
      <c r="L2224" s="65">
        <v>0</v>
      </c>
      <c r="M2224" s="65">
        <v>0</v>
      </c>
      <c r="N2224" s="65">
        <v>0</v>
      </c>
      <c r="P2224" t="str">
        <f t="shared" si="115"/>
        <v>108NP</v>
      </c>
      <c r="Q2224" t="str">
        <f t="shared" si="116"/>
        <v>SG</v>
      </c>
      <c r="R2224" t="str">
        <f>IF(ISERROR(MATCH(P2224&amp;"."&amp;Q2224,R$5:R2223,0)),P2224&amp;"."&amp;Q2224,P2224&amp;"."&amp;Q2224&amp;COUNTIFS(P$5:P2223,P2224,Q$5:Q2223,Q2224))</f>
        <v>108NP.SG2</v>
      </c>
      <c r="S2224" s="55">
        <f t="shared" si="117"/>
        <v>0</v>
      </c>
    </row>
    <row r="2225" spans="1:19" hidden="1">
      <c r="A2225" s="5">
        <v>2290</v>
      </c>
      <c r="B2225" s="59"/>
      <c r="C2225" s="60"/>
      <c r="D2225" s="61"/>
      <c r="E2225" s="63"/>
      <c r="F2225" s="63"/>
      <c r="G2225" s="63"/>
      <c r="H2225" s="62" t="s">
        <v>674</v>
      </c>
      <c r="I2225" s="65">
        <v>0</v>
      </c>
      <c r="J2225" s="65">
        <v>0</v>
      </c>
      <c r="K2225" s="62"/>
      <c r="L2225" s="65">
        <v>0</v>
      </c>
      <c r="M2225" s="65">
        <v>0</v>
      </c>
      <c r="N2225" s="65">
        <v>0</v>
      </c>
      <c r="P2225" t="str">
        <f t="shared" si="115"/>
        <v>108NP</v>
      </c>
      <c r="Q2225" t="str">
        <f t="shared" si="116"/>
        <v>NA</v>
      </c>
      <c r="R2225" t="str">
        <f>IF(ISERROR(MATCH(P2225&amp;"."&amp;Q2225,R$5:R2224,0)),P2225&amp;"."&amp;Q2225,P2225&amp;"."&amp;Q2225&amp;COUNTIFS(P$5:P2224,P2225,Q$5:Q2224,Q2225))</f>
        <v>108NP.NA1</v>
      </c>
      <c r="S2225" s="55">
        <f t="shared" si="117"/>
        <v>0</v>
      </c>
    </row>
    <row r="2226" spans="1:19" hidden="1">
      <c r="A2226" s="5">
        <v>2291</v>
      </c>
      <c r="B2226" s="59"/>
      <c r="C2226" s="60"/>
      <c r="D2226" s="63"/>
      <c r="E2226" s="63"/>
      <c r="F2226" s="60"/>
      <c r="G2226" s="61"/>
      <c r="H2226" s="62"/>
      <c r="I2226" s="65"/>
      <c r="J2226" s="65"/>
      <c r="K2226" s="62"/>
      <c r="L2226" s="65"/>
      <c r="M2226" s="65"/>
      <c r="N2226" s="64"/>
      <c r="P2226" t="str">
        <f t="shared" si="115"/>
        <v>108NP</v>
      </c>
      <c r="Q2226" t="str">
        <f t="shared" si="116"/>
        <v>NA</v>
      </c>
      <c r="R2226" t="str">
        <f>IF(ISERROR(MATCH(P2226&amp;"."&amp;Q2226,R$5:R2225,0)),P2226&amp;"."&amp;Q2226,P2226&amp;"."&amp;Q2226&amp;COUNTIFS(P$5:P2225,P2226,Q$5:Q2225,Q2226))</f>
        <v>108NP.NA2</v>
      </c>
      <c r="S2226" s="55">
        <f t="shared" si="117"/>
        <v>0</v>
      </c>
    </row>
    <row r="2227" spans="1:19" hidden="1">
      <c r="A2227" s="5">
        <v>2292</v>
      </c>
      <c r="B2227" s="59"/>
      <c r="C2227" s="60"/>
      <c r="D2227" s="63"/>
      <c r="E2227" s="63"/>
      <c r="F2227" s="60"/>
      <c r="G2227" s="61"/>
      <c r="H2227" s="62"/>
      <c r="I2227" s="65"/>
      <c r="J2227" s="65"/>
      <c r="K2227" s="62"/>
      <c r="L2227" s="65"/>
      <c r="M2227" s="65"/>
      <c r="N2227" s="64"/>
      <c r="P2227" t="str">
        <f t="shared" si="115"/>
        <v>108NP</v>
      </c>
      <c r="Q2227" t="str">
        <f t="shared" si="116"/>
        <v>NA</v>
      </c>
      <c r="R2227" t="str">
        <f>IF(ISERROR(MATCH(P2227&amp;"."&amp;Q2227,R$5:R2226,0)),P2227&amp;"."&amp;Q2227,P2227&amp;"."&amp;Q2227&amp;COUNTIFS(P$5:P2226,P2227,Q$5:Q2226,Q2227))</f>
        <v>108NP.NA3</v>
      </c>
      <c r="S2227" s="55">
        <f t="shared" si="117"/>
        <v>0</v>
      </c>
    </row>
    <row r="2228" spans="1:19" hidden="1">
      <c r="A2228" s="5">
        <v>2293</v>
      </c>
      <c r="B2228" s="59"/>
      <c r="C2228" s="60" t="s">
        <v>205</v>
      </c>
      <c r="D2228" s="63" t="s">
        <v>676</v>
      </c>
      <c r="E2228" s="63"/>
      <c r="F2228" s="63"/>
      <c r="G2228" s="63"/>
      <c r="H2228" s="62"/>
      <c r="I2228" s="66"/>
      <c r="J2228" s="66"/>
      <c r="K2228" s="62"/>
      <c r="L2228" s="66"/>
      <c r="M2228" s="66"/>
      <c r="N2228" s="66"/>
      <c r="P2228" t="str">
        <f t="shared" si="115"/>
        <v>108HP</v>
      </c>
      <c r="Q2228" t="str">
        <f t="shared" si="116"/>
        <v>NA</v>
      </c>
      <c r="R2228" t="str">
        <f>IF(ISERROR(MATCH(P2228&amp;"."&amp;Q2228,R$5:R2227,0)),P2228&amp;"."&amp;Q2228,P2228&amp;"."&amp;Q2228&amp;COUNTIFS(P$5:P2227,P2228,Q$5:Q2227,Q2228))</f>
        <v>108HP.NA</v>
      </c>
      <c r="S2228" s="55">
        <f t="shared" si="117"/>
        <v>0</v>
      </c>
    </row>
    <row r="2229" spans="1:19" hidden="1">
      <c r="A2229" s="5">
        <v>2294</v>
      </c>
      <c r="B2229" s="59"/>
      <c r="C2229" s="60"/>
      <c r="D2229" s="63"/>
      <c r="E2229" s="63"/>
      <c r="F2229" s="63" t="s">
        <v>13</v>
      </c>
      <c r="G2229" s="63" t="s">
        <v>12</v>
      </c>
      <c r="H2229" s="62"/>
      <c r="I2229" s="65">
        <v>3600960.9646153799</v>
      </c>
      <c r="J2229" s="65">
        <v>0</v>
      </c>
      <c r="K2229" s="62"/>
      <c r="L2229" s="65">
        <v>3600960.9646153799</v>
      </c>
      <c r="M2229" s="65">
        <v>3600960.9646153799</v>
      </c>
      <c r="N2229" s="65">
        <v>0</v>
      </c>
      <c r="P2229" t="str">
        <f t="shared" si="115"/>
        <v>108HP</v>
      </c>
      <c r="Q2229" t="str">
        <f t="shared" si="116"/>
        <v>S</v>
      </c>
      <c r="R2229" t="str">
        <f>IF(ISERROR(MATCH(P2229&amp;"."&amp;Q2229,R$5:R2228,0)),P2229&amp;"."&amp;Q2229,P2229&amp;"."&amp;Q2229&amp;COUNTIFS(P$5:P2228,P2229,Q$5:Q2228,Q2229))</f>
        <v>108HP.S</v>
      </c>
      <c r="S2229" s="55">
        <f t="shared" si="117"/>
        <v>0</v>
      </c>
    </row>
    <row r="2230" spans="1:19" ht="15.75" hidden="1" thickBot="1">
      <c r="A2230" s="5">
        <v>2295</v>
      </c>
      <c r="B2230" s="59"/>
      <c r="C2230" s="45"/>
      <c r="D2230" s="63"/>
      <c r="E2230" s="63"/>
      <c r="F2230" s="63" t="s">
        <v>13</v>
      </c>
      <c r="G2230" s="63" t="s">
        <v>15</v>
      </c>
      <c r="H2230" s="41"/>
      <c r="I2230" s="68">
        <v>-174168300.851538</v>
      </c>
      <c r="J2230" s="68">
        <v>-76629694.914164051</v>
      </c>
      <c r="K2230" s="41"/>
      <c r="L2230" s="68">
        <v>-149229814.23472258</v>
      </c>
      <c r="M2230" s="68">
        <v>-83572429.504008621</v>
      </c>
      <c r="N2230" s="68">
        <v>-65657384.730713964</v>
      </c>
      <c r="P2230" t="str">
        <f t="shared" si="115"/>
        <v>108HP</v>
      </c>
      <c r="Q2230" t="str">
        <f t="shared" si="116"/>
        <v>SG</v>
      </c>
      <c r="R2230" t="str">
        <f>IF(ISERROR(MATCH(P2230&amp;"."&amp;Q2230,R$5:R2229,0)),P2230&amp;"."&amp;Q2230,P2230&amp;"."&amp;Q2230&amp;COUNTIFS(P$5:P2229,P2230,Q$5:Q2229,Q2230))</f>
        <v>108HP.SG</v>
      </c>
      <c r="S2230" s="55">
        <f t="shared" si="117"/>
        <v>-65657384.730713964</v>
      </c>
    </row>
    <row r="2231" spans="1:19" hidden="1">
      <c r="A2231" s="5">
        <v>2296</v>
      </c>
      <c r="B2231" s="59"/>
      <c r="C2231" s="60"/>
      <c r="D2231" s="63"/>
      <c r="E2231" s="63"/>
      <c r="F2231" s="63" t="s">
        <v>13</v>
      </c>
      <c r="G2231" s="63" t="s">
        <v>15</v>
      </c>
      <c r="H2231" s="62"/>
      <c r="I2231" s="69">
        <v>-30652422.052307699</v>
      </c>
      <c r="J2231" s="69">
        <v>-13486298.819959987</v>
      </c>
      <c r="K2231" s="62"/>
      <c r="L2231" s="69">
        <v>-32759104.266253673</v>
      </c>
      <c r="M2231" s="65">
        <v>-18345917.978559911</v>
      </c>
      <c r="N2231" s="65">
        <v>-14413186.287693759</v>
      </c>
      <c r="P2231" t="str">
        <f t="shared" si="115"/>
        <v>108HP</v>
      </c>
      <c r="Q2231" t="str">
        <f t="shared" si="116"/>
        <v>SG</v>
      </c>
      <c r="R2231" t="str">
        <f>IF(ISERROR(MATCH(P2231&amp;"."&amp;Q2231,R$5:R2230,0)),P2231&amp;"."&amp;Q2231,P2231&amp;"."&amp;Q2231&amp;COUNTIFS(P$5:P2230,P2231,Q$5:Q2230,Q2231))</f>
        <v>108HP.SG1</v>
      </c>
      <c r="S2231" s="55">
        <f t="shared" si="117"/>
        <v>-14413186.287693759</v>
      </c>
    </row>
    <row r="2232" spans="1:19" hidden="1">
      <c r="A2232" s="5">
        <v>2297</v>
      </c>
      <c r="B2232" s="59"/>
      <c r="C2232" s="60"/>
      <c r="D2232" s="63"/>
      <c r="E2232" s="63"/>
      <c r="F2232" s="63" t="s">
        <v>13</v>
      </c>
      <c r="G2232" s="63" t="s">
        <v>15</v>
      </c>
      <c r="H2232" s="62"/>
      <c r="I2232" s="65">
        <v>-190913454.05615401</v>
      </c>
      <c r="J2232" s="65">
        <v>-83997143.382610932</v>
      </c>
      <c r="K2232" s="62"/>
      <c r="L2232" s="65">
        <v>-246225590.64039415</v>
      </c>
      <c r="M2232" s="65">
        <v>-137892490.99721283</v>
      </c>
      <c r="N2232" s="65">
        <v>-108333099.64318132</v>
      </c>
      <c r="P2232" t="str">
        <f t="shared" si="115"/>
        <v>108HP</v>
      </c>
      <c r="Q2232" t="str">
        <f t="shared" si="116"/>
        <v>SG</v>
      </c>
      <c r="R2232" t="str">
        <f>IF(ISERROR(MATCH(P2232&amp;"."&amp;Q2232,R$5:R2231,0)),P2232&amp;"."&amp;Q2232,P2232&amp;"."&amp;Q2232&amp;COUNTIFS(P$5:P2231,P2232,Q$5:Q2231,Q2232))</f>
        <v>108HP.SG2</v>
      </c>
      <c r="S2232" s="55">
        <f t="shared" si="117"/>
        <v>-108333099.64318132</v>
      </c>
    </row>
    <row r="2233" spans="1:19" hidden="1">
      <c r="A2233" s="5">
        <v>2298</v>
      </c>
      <c r="B2233" s="59"/>
      <c r="C2233" s="60"/>
      <c r="D2233" s="63"/>
      <c r="E2233" s="60"/>
      <c r="F2233" s="63" t="s">
        <v>13</v>
      </c>
      <c r="G2233" s="63" t="s">
        <v>15</v>
      </c>
      <c r="H2233" s="62"/>
      <c r="I2233" s="65">
        <v>-51878311.369230799</v>
      </c>
      <c r="J2233" s="65">
        <v>-22825159.075731196</v>
      </c>
      <c r="K2233" s="62"/>
      <c r="L2233" s="65">
        <v>-62474963.790061288</v>
      </c>
      <c r="M2233" s="65">
        <v>-34987542.763391919</v>
      </c>
      <c r="N2233" s="64">
        <v>-27487421.026669368</v>
      </c>
      <c r="P2233" t="str">
        <f t="shared" si="115"/>
        <v>108HP</v>
      </c>
      <c r="Q2233" t="str">
        <f t="shared" si="116"/>
        <v>SG</v>
      </c>
      <c r="R2233" t="str">
        <f>IF(ISERROR(MATCH(P2233&amp;"."&amp;Q2233,R$5:R2232,0)),P2233&amp;"."&amp;Q2233,P2233&amp;"."&amp;Q2233&amp;COUNTIFS(P$5:P2232,P2233,Q$5:Q2232,Q2233))</f>
        <v>108HP.SG3</v>
      </c>
      <c r="S2233" s="55">
        <f t="shared" si="117"/>
        <v>-27487421.026669368</v>
      </c>
    </row>
    <row r="2234" spans="1:19" hidden="1">
      <c r="A2234" s="5">
        <v>2299</v>
      </c>
      <c r="B2234" s="59"/>
      <c r="C2234" s="60"/>
      <c r="D2234" s="63"/>
      <c r="E2234" s="61"/>
      <c r="F2234" s="63"/>
      <c r="G2234" s="63"/>
      <c r="H2234" s="62" t="s">
        <v>674</v>
      </c>
      <c r="I2234" s="65">
        <v>-444011527.36461514</v>
      </c>
      <c r="J2234" s="65">
        <v>-196938296.19246617</v>
      </c>
      <c r="K2234" s="62"/>
      <c r="L2234" s="65">
        <v>-487088511.96681637</v>
      </c>
      <c r="M2234" s="65">
        <v>-271197420.2785579</v>
      </c>
      <c r="N2234" s="64">
        <v>-215891091.68825841</v>
      </c>
      <c r="P2234" t="str">
        <f t="shared" si="115"/>
        <v>108HP</v>
      </c>
      <c r="Q2234" t="str">
        <f t="shared" si="116"/>
        <v>NA</v>
      </c>
      <c r="R2234" t="str">
        <f>IF(ISERROR(MATCH(P2234&amp;"."&amp;Q2234,R$5:R2233,0)),P2234&amp;"."&amp;Q2234,P2234&amp;"."&amp;Q2234&amp;COUNTIFS(P$5:P2233,P2234,Q$5:Q2233,Q2234))</f>
        <v>108HP.NA1</v>
      </c>
      <c r="S2234" s="55">
        <f t="shared" si="117"/>
        <v>-215891091.68825841</v>
      </c>
    </row>
    <row r="2235" spans="1:19" hidden="1">
      <c r="A2235" s="5">
        <v>2300</v>
      </c>
      <c r="B2235" s="59"/>
      <c r="C2235" s="60"/>
      <c r="D2235" s="63"/>
      <c r="E2235" s="61"/>
      <c r="F2235" s="63"/>
      <c r="G2235" s="63"/>
      <c r="H2235" s="62"/>
      <c r="I2235" s="65"/>
      <c r="J2235" s="65"/>
      <c r="K2235" s="62"/>
      <c r="L2235" s="65"/>
      <c r="M2235" s="65"/>
      <c r="N2235" s="64"/>
      <c r="P2235" t="str">
        <f t="shared" si="115"/>
        <v>108HP</v>
      </c>
      <c r="Q2235" t="str">
        <f t="shared" si="116"/>
        <v>NA</v>
      </c>
      <c r="R2235" t="str">
        <f>IF(ISERROR(MATCH(P2235&amp;"."&amp;Q2235,R$5:R2234,0)),P2235&amp;"."&amp;Q2235,P2235&amp;"."&amp;Q2235&amp;COUNTIFS(P$5:P2234,P2235,Q$5:Q2234,Q2235))</f>
        <v>108HP.NA2</v>
      </c>
      <c r="S2235" s="55">
        <f t="shared" si="117"/>
        <v>0</v>
      </c>
    </row>
    <row r="2236" spans="1:19" hidden="1">
      <c r="A2236" s="5">
        <v>2301</v>
      </c>
      <c r="B2236" s="59"/>
      <c r="C2236" s="60" t="s">
        <v>208</v>
      </c>
      <c r="D2236" s="63" t="s">
        <v>677</v>
      </c>
      <c r="E2236" s="61"/>
      <c r="F2236" s="63"/>
      <c r="G2236" s="63"/>
      <c r="H2236" s="62"/>
      <c r="I2236" s="65"/>
      <c r="J2236" s="65"/>
      <c r="K2236" s="62"/>
      <c r="L2236" s="65"/>
      <c r="M2236" s="65"/>
      <c r="N2236" s="64"/>
      <c r="P2236" t="str">
        <f t="shared" si="115"/>
        <v>108OP</v>
      </c>
      <c r="Q2236" t="str">
        <f t="shared" si="116"/>
        <v>NA</v>
      </c>
      <c r="R2236" t="str">
        <f>IF(ISERROR(MATCH(P2236&amp;"."&amp;Q2236,R$5:R2235,0)),P2236&amp;"."&amp;Q2236,P2236&amp;"."&amp;Q2236&amp;COUNTIFS(P$5:P2235,P2236,Q$5:Q2235,Q2236))</f>
        <v>108OP.NA</v>
      </c>
      <c r="S2236" s="55">
        <f t="shared" si="117"/>
        <v>0</v>
      </c>
    </row>
    <row r="2237" spans="1:19" hidden="1">
      <c r="A2237" s="5">
        <v>2302</v>
      </c>
      <c r="B2237" s="59"/>
      <c r="C2237" s="60"/>
      <c r="D2237" s="63"/>
      <c r="E2237" s="61"/>
      <c r="F2237" s="63" t="s">
        <v>13</v>
      </c>
      <c r="G2237" s="63" t="s">
        <v>12</v>
      </c>
      <c r="H2237" s="62"/>
      <c r="I2237" s="65">
        <v>0</v>
      </c>
      <c r="J2237" s="65">
        <v>0</v>
      </c>
      <c r="K2237" s="62"/>
      <c r="L2237" s="65">
        <v>0</v>
      </c>
      <c r="M2237" s="65">
        <v>0</v>
      </c>
      <c r="N2237" s="64">
        <v>0</v>
      </c>
      <c r="P2237" t="str">
        <f t="shared" si="115"/>
        <v>108OP</v>
      </c>
      <c r="Q2237" t="str">
        <f t="shared" si="116"/>
        <v>S</v>
      </c>
      <c r="R2237" t="str">
        <f>IF(ISERROR(MATCH(P2237&amp;"."&amp;Q2237,R$5:R2236,0)),P2237&amp;"."&amp;Q2237,P2237&amp;"."&amp;Q2237&amp;COUNTIFS(P$5:P2236,P2237,Q$5:Q2236,Q2237))</f>
        <v>108OP.S</v>
      </c>
      <c r="S2237" s="55">
        <f t="shared" si="117"/>
        <v>0</v>
      </c>
    </row>
    <row r="2238" spans="1:19" hidden="1">
      <c r="A2238" s="5">
        <v>2303</v>
      </c>
      <c r="B2238" s="59"/>
      <c r="C2238" s="60"/>
      <c r="D2238" s="63"/>
      <c r="E2238" s="61"/>
      <c r="F2238" s="63" t="s">
        <v>13</v>
      </c>
      <c r="G2238" s="63" t="s">
        <v>15</v>
      </c>
      <c r="H2238" s="62"/>
      <c r="I2238" s="65">
        <v>0</v>
      </c>
      <c r="J2238" s="65">
        <v>0</v>
      </c>
      <c r="K2238" s="62"/>
      <c r="L2238" s="65">
        <v>0</v>
      </c>
      <c r="M2238" s="65">
        <v>0</v>
      </c>
      <c r="N2238" s="64">
        <v>0</v>
      </c>
      <c r="P2238" t="str">
        <f t="shared" si="115"/>
        <v>108OP</v>
      </c>
      <c r="Q2238" t="str">
        <f t="shared" si="116"/>
        <v>SG</v>
      </c>
      <c r="R2238" t="str">
        <f>IF(ISERROR(MATCH(P2238&amp;"."&amp;Q2238,R$5:R2237,0)),P2238&amp;"."&amp;Q2238,P2238&amp;"."&amp;Q2238&amp;COUNTIFS(P$5:P2237,P2238,Q$5:Q2237,Q2238))</f>
        <v>108OP.SG</v>
      </c>
      <c r="S2238" s="55">
        <f t="shared" si="117"/>
        <v>0</v>
      </c>
    </row>
    <row r="2239" spans="1:19" ht="15.75" hidden="1" thickBot="1">
      <c r="A2239" s="5">
        <v>2304</v>
      </c>
      <c r="B2239" s="59"/>
      <c r="C2239" s="60"/>
      <c r="D2239" s="63"/>
      <c r="E2239" s="63"/>
      <c r="F2239" s="63" t="s">
        <v>13</v>
      </c>
      <c r="G2239" s="63" t="s">
        <v>15</v>
      </c>
      <c r="H2239" s="62"/>
      <c r="I2239" s="81">
        <v>-592873211.07384598</v>
      </c>
      <c r="J2239" s="81">
        <v>-260849379.96895212</v>
      </c>
      <c r="K2239" s="62"/>
      <c r="L2239" s="81">
        <v>378272285.01337552</v>
      </c>
      <c r="M2239" s="81">
        <v>211841943.47971576</v>
      </c>
      <c r="N2239" s="81">
        <v>166430341.53365976</v>
      </c>
      <c r="P2239" t="str">
        <f t="shared" si="115"/>
        <v>108OP</v>
      </c>
      <c r="Q2239" t="str">
        <f t="shared" si="116"/>
        <v>SG</v>
      </c>
      <c r="R2239" t="str">
        <f>IF(ISERROR(MATCH(P2239&amp;"."&amp;Q2239,R$5:R2238,0)),P2239&amp;"."&amp;Q2239,P2239&amp;"."&amp;Q2239&amp;COUNTIFS(P$5:P2238,P2239,Q$5:Q2238,Q2239))</f>
        <v>108OP.SG1</v>
      </c>
      <c r="S2239" s="55">
        <f t="shared" si="117"/>
        <v>166430341.53365976</v>
      </c>
    </row>
    <row r="2240" spans="1:19" hidden="1">
      <c r="A2240" s="5">
        <v>2305</v>
      </c>
      <c r="B2240" s="59"/>
      <c r="C2240" s="60"/>
      <c r="D2240" s="63"/>
      <c r="E2240" s="63"/>
      <c r="F2240" s="63" t="s">
        <v>13</v>
      </c>
      <c r="G2240" s="63" t="s">
        <v>15</v>
      </c>
      <c r="H2240" s="62"/>
      <c r="I2240" s="77">
        <v>-418247158.10615402</v>
      </c>
      <c r="J2240" s="77">
        <v>-184018285.57603279</v>
      </c>
      <c r="K2240" s="62"/>
      <c r="L2240" s="77">
        <v>-498748648.02270705</v>
      </c>
      <c r="M2240" s="77">
        <v>-279311720.92418826</v>
      </c>
      <c r="N2240" s="77">
        <v>-219436927.09851876</v>
      </c>
      <c r="P2240" t="str">
        <f t="shared" si="115"/>
        <v>108OP</v>
      </c>
      <c r="Q2240" t="str">
        <f t="shared" si="116"/>
        <v>SG</v>
      </c>
      <c r="R2240" t="str">
        <f>IF(ISERROR(MATCH(P2240&amp;"."&amp;Q2240,R$5:R2239,0)),P2240&amp;"."&amp;Q2240,P2240&amp;"."&amp;Q2240&amp;COUNTIFS(P$5:P2239,P2240,Q$5:Q2239,Q2240))</f>
        <v>108OP.SG2</v>
      </c>
      <c r="S2240" s="55">
        <f t="shared" si="117"/>
        <v>-219436927.09851876</v>
      </c>
    </row>
    <row r="2241" spans="1:19" hidden="1">
      <c r="A2241" s="5">
        <v>2306</v>
      </c>
      <c r="B2241" s="59"/>
      <c r="C2241" s="60"/>
      <c r="D2241" s="63"/>
      <c r="E2241" s="63"/>
      <c r="F2241" s="63" t="s">
        <v>13</v>
      </c>
      <c r="G2241" s="63" t="s">
        <v>15</v>
      </c>
      <c r="H2241" s="62"/>
      <c r="I2241" s="65">
        <v>-36897464.376923099</v>
      </c>
      <c r="J2241" s="65">
        <v>-16233961.200092198</v>
      </c>
      <c r="K2241" s="62"/>
      <c r="L2241" s="65">
        <v>-42818300.782899745</v>
      </c>
      <c r="M2241" s="65">
        <v>-23979319.695673134</v>
      </c>
      <c r="N2241" s="65">
        <v>-18838981.087226611</v>
      </c>
      <c r="P2241" t="str">
        <f t="shared" si="115"/>
        <v>108OP</v>
      </c>
      <c r="Q2241" t="str">
        <f t="shared" si="116"/>
        <v>SG</v>
      </c>
      <c r="R2241" t="str">
        <f>IF(ISERROR(MATCH(P2241&amp;"."&amp;Q2241,R$5:R2240,0)),P2241&amp;"."&amp;Q2241,P2241&amp;"."&amp;Q2241&amp;COUNTIFS(P$5:P2240,P2241,Q$5:Q2240,Q2241))</f>
        <v>108OP.SG3</v>
      </c>
      <c r="S2241" s="55">
        <f t="shared" si="117"/>
        <v>-18838981.087226611</v>
      </c>
    </row>
    <row r="2242" spans="1:19" hidden="1">
      <c r="A2242" s="5">
        <v>2307</v>
      </c>
      <c r="B2242" s="59"/>
      <c r="C2242" s="60"/>
      <c r="D2242" s="61"/>
      <c r="E2242" s="63"/>
      <c r="F2242" s="63"/>
      <c r="G2242" s="63"/>
      <c r="H2242" s="62" t="s">
        <v>674</v>
      </c>
      <c r="I2242" s="65">
        <v>-1048017833.5569232</v>
      </c>
      <c r="J2242" s="65">
        <v>-461101626.74507713</v>
      </c>
      <c r="K2242" s="62"/>
      <c r="L2242" s="65">
        <v>-163294663.79223126</v>
      </c>
      <c r="M2242" s="65">
        <v>-91449097.14014563</v>
      </c>
      <c r="N2242" s="65">
        <v>-71845566.652085617</v>
      </c>
      <c r="P2242" t="str">
        <f t="shared" si="115"/>
        <v>108OP</v>
      </c>
      <c r="Q2242" t="str">
        <f t="shared" si="116"/>
        <v>NA</v>
      </c>
      <c r="R2242" t="str">
        <f>IF(ISERROR(MATCH(P2242&amp;"."&amp;Q2242,R$5:R2241,0)),P2242&amp;"."&amp;Q2242,P2242&amp;"."&amp;Q2242&amp;COUNTIFS(P$5:P2241,P2242,Q$5:Q2241,Q2242))</f>
        <v>108OP.NA1</v>
      </c>
      <c r="S2242" s="55">
        <f t="shared" si="117"/>
        <v>-71845566.652085617</v>
      </c>
    </row>
    <row r="2243" spans="1:19" hidden="1">
      <c r="A2243" s="5">
        <v>2308</v>
      </c>
      <c r="B2243" s="59"/>
      <c r="C2243" s="60"/>
      <c r="D2243" s="63"/>
      <c r="E2243" s="63"/>
      <c r="F2243" s="60"/>
      <c r="G2243" s="61"/>
      <c r="H2243" s="62"/>
      <c r="I2243" s="65"/>
      <c r="J2243" s="65"/>
      <c r="K2243" s="62"/>
      <c r="L2243" s="65"/>
      <c r="M2243" s="65"/>
      <c r="N2243" s="64"/>
      <c r="P2243" t="str">
        <f t="shared" si="115"/>
        <v>108OP</v>
      </c>
      <c r="Q2243" t="str">
        <f t="shared" si="116"/>
        <v>NA</v>
      </c>
      <c r="R2243" t="str">
        <f>IF(ISERROR(MATCH(P2243&amp;"."&amp;Q2243,R$5:R2242,0)),P2243&amp;"."&amp;Q2243,P2243&amp;"."&amp;Q2243&amp;COUNTIFS(P$5:P2242,P2243,Q$5:Q2242,Q2243))</f>
        <v>108OP.NA2</v>
      </c>
      <c r="S2243" s="55">
        <f t="shared" si="117"/>
        <v>0</v>
      </c>
    </row>
    <row r="2244" spans="1:19" hidden="1">
      <c r="A2244" s="5">
        <v>2309</v>
      </c>
      <c r="B2244" s="59"/>
      <c r="C2244" s="60" t="s">
        <v>202</v>
      </c>
      <c r="D2244" s="63" t="s">
        <v>678</v>
      </c>
      <c r="E2244" s="63"/>
      <c r="F2244" s="60"/>
      <c r="G2244" s="61"/>
      <c r="H2244" s="62"/>
      <c r="I2244" s="65"/>
      <c r="J2244" s="65"/>
      <c r="K2244" s="62"/>
      <c r="L2244" s="65"/>
      <c r="M2244" s="65"/>
      <c r="N2244" s="64"/>
      <c r="P2244" t="str">
        <f t="shared" si="115"/>
        <v>108EP</v>
      </c>
      <c r="Q2244" t="str">
        <f t="shared" si="116"/>
        <v>NA</v>
      </c>
      <c r="R2244" t="str">
        <f>IF(ISERROR(MATCH(P2244&amp;"."&amp;Q2244,R$5:R2243,0)),P2244&amp;"."&amp;Q2244,P2244&amp;"."&amp;Q2244&amp;COUNTIFS(P$5:P2243,P2244,Q$5:Q2243,Q2244))</f>
        <v>108EP.NA</v>
      </c>
      <c r="S2244" s="55">
        <f t="shared" si="117"/>
        <v>0</v>
      </c>
    </row>
    <row r="2245" spans="1:19" hidden="1">
      <c r="A2245" s="5">
        <v>2310</v>
      </c>
      <c r="B2245" s="59"/>
      <c r="C2245" s="60"/>
      <c r="D2245" s="63"/>
      <c r="E2245" s="63"/>
      <c r="F2245" s="60" t="s">
        <v>13</v>
      </c>
      <c r="G2245" s="61" t="s">
        <v>15</v>
      </c>
      <c r="H2245" s="62"/>
      <c r="I2245" s="65">
        <v>0</v>
      </c>
      <c r="J2245" s="65">
        <v>0</v>
      </c>
      <c r="K2245" s="62"/>
      <c r="L2245" s="65">
        <v>0</v>
      </c>
      <c r="M2245" s="65">
        <v>0</v>
      </c>
      <c r="N2245" s="64">
        <v>0</v>
      </c>
      <c r="P2245" t="str">
        <f t="shared" si="115"/>
        <v>108EP</v>
      </c>
      <c r="Q2245" t="str">
        <f t="shared" si="116"/>
        <v>SG</v>
      </c>
      <c r="R2245" t="str">
        <f>IF(ISERROR(MATCH(P2245&amp;"."&amp;Q2245,R$5:R2244,0)),P2245&amp;"."&amp;Q2245,P2245&amp;"."&amp;Q2245&amp;COUNTIFS(P$5:P2244,P2245,Q$5:Q2244,Q2245))</f>
        <v>108EP.SG</v>
      </c>
      <c r="S2245" s="55">
        <f t="shared" si="117"/>
        <v>0</v>
      </c>
    </row>
    <row r="2246" spans="1:19" ht="15.75" hidden="1" thickBot="1">
      <c r="A2246" s="5">
        <v>2311</v>
      </c>
      <c r="B2246" s="59"/>
      <c r="C2246" s="45"/>
      <c r="D2246" s="63"/>
      <c r="E2246" s="63"/>
      <c r="F2246" s="63" t="s">
        <v>13</v>
      </c>
      <c r="G2246" s="63" t="s">
        <v>15</v>
      </c>
      <c r="H2246" s="41"/>
      <c r="I2246" s="92">
        <v>0</v>
      </c>
      <c r="J2246" s="92">
        <v>0</v>
      </c>
      <c r="K2246" s="41"/>
      <c r="L2246" s="92">
        <v>0</v>
      </c>
      <c r="M2246" s="92">
        <v>0</v>
      </c>
      <c r="N2246" s="92">
        <v>0</v>
      </c>
      <c r="P2246" t="str">
        <f t="shared" si="115"/>
        <v>108EP</v>
      </c>
      <c r="Q2246" t="str">
        <f t="shared" si="116"/>
        <v>SG</v>
      </c>
      <c r="R2246" t="str">
        <f>IF(ISERROR(MATCH(P2246&amp;"."&amp;Q2246,R$5:R2245,0)),P2246&amp;"."&amp;Q2246,P2246&amp;"."&amp;Q2246&amp;COUNTIFS(P$5:P2245,P2246,Q$5:Q2245,Q2246))</f>
        <v>108EP.SG1</v>
      </c>
      <c r="S2246" s="55">
        <f t="shared" si="117"/>
        <v>0</v>
      </c>
    </row>
    <row r="2247" spans="1:19" hidden="1">
      <c r="A2247" s="5">
        <v>2312</v>
      </c>
      <c r="B2247" s="59"/>
      <c r="C2247" s="60"/>
      <c r="D2247" s="61"/>
      <c r="E2247" s="63"/>
      <c r="F2247" s="63"/>
      <c r="G2247" s="63"/>
      <c r="H2247" s="62"/>
      <c r="I2247" s="65">
        <v>0</v>
      </c>
      <c r="J2247" s="65">
        <v>0</v>
      </c>
      <c r="K2247" s="62"/>
      <c r="L2247" s="65">
        <v>0</v>
      </c>
      <c r="M2247" s="65">
        <v>0</v>
      </c>
      <c r="N2247" s="65">
        <v>0</v>
      </c>
      <c r="P2247" t="str">
        <f t="shared" ref="P2247:P2310" si="118">IF(OR(C2247="",C2247=" ",C2247="  ",C2247="   "),P2246,C2247)</f>
        <v>108EP</v>
      </c>
      <c r="Q2247" t="str">
        <f t="shared" ref="Q2247:Q2310" si="119">IF(G2247="","NA",G2247)</f>
        <v>NA</v>
      </c>
      <c r="R2247" t="str">
        <f>IF(ISERROR(MATCH(P2247&amp;"."&amp;Q2247,R$5:R2246,0)),P2247&amp;"."&amp;Q2247,P2247&amp;"."&amp;Q2247&amp;COUNTIFS(P$5:P2246,P2247,Q$5:Q2246,Q2247))</f>
        <v>108EP.NA1</v>
      </c>
      <c r="S2247" s="55">
        <f t="shared" si="117"/>
        <v>0</v>
      </c>
    </row>
    <row r="2248" spans="1:19" hidden="1">
      <c r="A2248" s="5">
        <v>2313</v>
      </c>
      <c r="B2248" s="59"/>
      <c r="C2248" s="60"/>
      <c r="D2248" s="63"/>
      <c r="E2248" s="63"/>
      <c r="F2248" s="60"/>
      <c r="G2248" s="61"/>
      <c r="H2248" s="62"/>
      <c r="I2248" s="65"/>
      <c r="J2248" s="65"/>
      <c r="K2248" s="62"/>
      <c r="L2248" s="65"/>
      <c r="M2248" s="65"/>
      <c r="N2248" s="64"/>
      <c r="P2248" t="str">
        <f t="shared" si="118"/>
        <v>108EP</v>
      </c>
      <c r="Q2248" t="str">
        <f t="shared" si="119"/>
        <v>NA</v>
      </c>
      <c r="R2248" t="str">
        <f>IF(ISERROR(MATCH(P2248&amp;"."&amp;Q2248,R$5:R2247,0)),P2248&amp;"."&amp;Q2248,P2248&amp;"."&amp;Q2248&amp;COUNTIFS(P$5:P2247,P2248,Q$5:Q2247,Q2248))</f>
        <v>108EP.NA2</v>
      </c>
      <c r="S2248" s="55">
        <f t="shared" ref="S2248:S2311" si="120">N2248</f>
        <v>0</v>
      </c>
    </row>
    <row r="2249" spans="1:19" hidden="1">
      <c r="A2249" s="5">
        <v>2314</v>
      </c>
      <c r="B2249" s="59"/>
      <c r="C2249" s="60" t="s">
        <v>679</v>
      </c>
      <c r="D2249" s="63"/>
      <c r="E2249" s="63"/>
      <c r="F2249" s="63"/>
      <c r="G2249" s="63"/>
      <c r="H2249" s="62" t="s">
        <v>674</v>
      </c>
      <c r="I2249" s="66">
        <v>-4720290465.7576895</v>
      </c>
      <c r="J2249" s="66">
        <v>-2074294630.6273158</v>
      </c>
      <c r="K2249" s="62"/>
      <c r="L2249" s="66">
        <v>-4225694016.4063911</v>
      </c>
      <c r="M2249" s="66">
        <v>-2239212112.6340466</v>
      </c>
      <c r="N2249" s="66">
        <v>-1986481903.7723436</v>
      </c>
      <c r="P2249" t="str">
        <f t="shared" si="118"/>
        <v>Total Production Plant Accum Depreciation</v>
      </c>
      <c r="Q2249" t="str">
        <f t="shared" si="119"/>
        <v>NA</v>
      </c>
      <c r="R2249" t="str">
        <f>IF(ISERROR(MATCH(P2249&amp;"."&amp;Q2249,R$5:R2248,0)),P2249&amp;"."&amp;Q2249,P2249&amp;"."&amp;Q2249&amp;COUNTIFS(P$5:P2248,P2249,Q$5:Q2248,Q2249))</f>
        <v>Total Production Plant Accum Depreciation.NA</v>
      </c>
      <c r="S2249" s="55">
        <f t="shared" si="120"/>
        <v>-1986481903.7723436</v>
      </c>
    </row>
    <row r="2250" spans="1:19" hidden="1">
      <c r="A2250" s="5">
        <v>2315</v>
      </c>
      <c r="B2250" s="59"/>
      <c r="C2250" s="60"/>
      <c r="D2250" s="63"/>
      <c r="E2250" s="63"/>
      <c r="F2250" s="63"/>
      <c r="G2250" s="63"/>
      <c r="H2250" s="62"/>
      <c r="I2250" s="65"/>
      <c r="J2250" s="65"/>
      <c r="K2250" s="62"/>
      <c r="L2250" s="65"/>
      <c r="M2250" s="65"/>
      <c r="N2250" s="65"/>
      <c r="P2250" t="str">
        <f t="shared" si="118"/>
        <v>Total Production Plant Accum Depreciation</v>
      </c>
      <c r="Q2250" t="str">
        <f t="shared" si="119"/>
        <v>NA</v>
      </c>
      <c r="R2250" t="str">
        <f>IF(ISERROR(MATCH(P2250&amp;"."&amp;Q2250,R$5:R2249,0)),P2250&amp;"."&amp;Q2250,P2250&amp;"."&amp;Q2250&amp;COUNTIFS(P$5:P2249,P2250,Q$5:Q2249,Q2250))</f>
        <v>Total Production Plant Accum Depreciation.NA1</v>
      </c>
      <c r="S2250" s="55">
        <f t="shared" si="120"/>
        <v>0</v>
      </c>
    </row>
    <row r="2251" spans="1:19" hidden="1">
      <c r="A2251" s="5">
        <v>2316</v>
      </c>
      <c r="B2251" s="59"/>
      <c r="C2251" s="60" t="s">
        <v>680</v>
      </c>
      <c r="D2251" s="61"/>
      <c r="E2251" s="63"/>
      <c r="F2251" s="63"/>
      <c r="G2251" s="63"/>
      <c r="H2251" s="62"/>
      <c r="I2251" s="65"/>
      <c r="J2251" s="65"/>
      <c r="K2251" s="62"/>
      <c r="L2251" s="65"/>
      <c r="M2251" s="65"/>
      <c r="N2251" s="65"/>
      <c r="P2251" t="str">
        <f t="shared" si="118"/>
        <v>Summary of Prod Plant Depreciation by Factor</v>
      </c>
      <c r="Q2251" t="str">
        <f t="shared" si="119"/>
        <v>NA</v>
      </c>
      <c r="R2251" t="str">
        <f>IF(ISERROR(MATCH(P2251&amp;"."&amp;Q2251,R$5:R2250,0)),P2251&amp;"."&amp;Q2251,P2251&amp;"."&amp;Q2251&amp;COUNTIFS(P$5:P2250,P2251,Q$5:Q2250,Q2251))</f>
        <v>Summary of Prod Plant Depreciation by Factor.NA</v>
      </c>
      <c r="S2251" s="55">
        <f t="shared" si="120"/>
        <v>0</v>
      </c>
    </row>
    <row r="2252" spans="1:19" hidden="1">
      <c r="A2252" s="5">
        <v>2317</v>
      </c>
      <c r="B2252" s="59"/>
      <c r="C2252" s="60"/>
      <c r="D2252" s="63"/>
      <c r="E2252" s="63" t="s">
        <v>12</v>
      </c>
      <c r="F2252" s="60"/>
      <c r="G2252" s="61"/>
      <c r="H2252" s="62"/>
      <c r="I2252" s="65">
        <v>14446985.968461532</v>
      </c>
      <c r="J2252" s="65">
        <v>8871391.2638461497</v>
      </c>
      <c r="K2252" s="62"/>
      <c r="L2252" s="65">
        <v>-217323617.81136912</v>
      </c>
      <c r="M2252" s="65">
        <v>5575594.7046153545</v>
      </c>
      <c r="N2252" s="64">
        <v>-222899212.51598448</v>
      </c>
      <c r="P2252" t="str">
        <f t="shared" si="118"/>
        <v>Summary of Prod Plant Depreciation by Factor</v>
      </c>
      <c r="Q2252" t="str">
        <f t="shared" si="119"/>
        <v>NA</v>
      </c>
      <c r="R2252" t="str">
        <f>IF(ISERROR(MATCH(P2252&amp;"."&amp;Q2252,R$5:R2251,0)),P2252&amp;"."&amp;Q2252,P2252&amp;"."&amp;Q2252&amp;COUNTIFS(P$5:P2251,P2252,Q$5:Q2251,Q2252))</f>
        <v>Summary of Prod Plant Depreciation by Factor.NA1</v>
      </c>
      <c r="S2252" s="55">
        <f t="shared" si="120"/>
        <v>-222899212.51598448</v>
      </c>
    </row>
    <row r="2253" spans="1:19" hidden="1">
      <c r="A2253" s="5">
        <v>2318</v>
      </c>
      <c r="B2253" s="59"/>
      <c r="C2253" s="60"/>
      <c r="D2253" s="63"/>
      <c r="E2253" s="63" t="s">
        <v>17</v>
      </c>
      <c r="F2253" s="60"/>
      <c r="G2253" s="63"/>
      <c r="H2253" s="62"/>
      <c r="I2253" s="66">
        <v>0</v>
      </c>
      <c r="J2253" s="66">
        <v>0</v>
      </c>
      <c r="K2253" s="62"/>
      <c r="L2253" s="66">
        <v>0</v>
      </c>
      <c r="M2253" s="66">
        <v>0</v>
      </c>
      <c r="N2253" s="66">
        <v>0</v>
      </c>
      <c r="P2253" t="str">
        <f t="shared" si="118"/>
        <v>Summary of Prod Plant Depreciation by Factor</v>
      </c>
      <c r="Q2253" t="str">
        <f t="shared" si="119"/>
        <v>NA</v>
      </c>
      <c r="R2253" t="str">
        <f>IF(ISERROR(MATCH(P2253&amp;"."&amp;Q2253,R$5:R2252,0)),P2253&amp;"."&amp;Q2253,P2253&amp;"."&amp;Q2253&amp;COUNTIFS(P$5:P2252,P2253,Q$5:Q2252,Q2253))</f>
        <v>Summary of Prod Plant Depreciation by Factor.NA2</v>
      </c>
      <c r="S2253" s="55">
        <f t="shared" si="120"/>
        <v>0</v>
      </c>
    </row>
    <row r="2254" spans="1:19" hidden="1">
      <c r="A2254" s="5">
        <v>2319</v>
      </c>
      <c r="B2254" s="59"/>
      <c r="C2254" s="60"/>
      <c r="D2254" s="63"/>
      <c r="E2254" s="63" t="s">
        <v>14</v>
      </c>
      <c r="F2254" s="63"/>
      <c r="G2254" s="63"/>
      <c r="H2254" s="62"/>
      <c r="I2254" s="65">
        <v>0</v>
      </c>
      <c r="J2254" s="65">
        <v>0</v>
      </c>
      <c r="K2254" s="62"/>
      <c r="L2254" s="65">
        <v>0</v>
      </c>
      <c r="M2254" s="65">
        <v>0</v>
      </c>
      <c r="N2254" s="65">
        <v>0</v>
      </c>
      <c r="P2254" t="str">
        <f t="shared" si="118"/>
        <v>Summary of Prod Plant Depreciation by Factor</v>
      </c>
      <c r="Q2254" t="str">
        <f t="shared" si="119"/>
        <v>NA</v>
      </c>
      <c r="R2254" t="str">
        <f>IF(ISERROR(MATCH(P2254&amp;"."&amp;Q2254,R$5:R2253,0)),P2254&amp;"."&amp;Q2254,P2254&amp;"."&amp;Q2254&amp;COUNTIFS(P$5:P2253,P2254,Q$5:Q2253,Q2254))</f>
        <v>Summary of Prod Plant Depreciation by Factor.NA3</v>
      </c>
      <c r="S2254" s="55">
        <f t="shared" si="120"/>
        <v>0</v>
      </c>
    </row>
    <row r="2255" spans="1:19" hidden="1">
      <c r="A2255" s="5">
        <v>2320</v>
      </c>
      <c r="B2255" s="59"/>
      <c r="C2255" s="60"/>
      <c r="D2255" s="61"/>
      <c r="E2255" s="63" t="s">
        <v>15</v>
      </c>
      <c r="F2255" s="63"/>
      <c r="G2255" s="63"/>
      <c r="H2255" s="62"/>
      <c r="I2255" s="65">
        <v>-4734737451.7261505</v>
      </c>
      <c r="J2255" s="65">
        <v>-2083166021.8911622</v>
      </c>
      <c r="K2255" s="62"/>
      <c r="L2255" s="65">
        <v>-4008370398.5950222</v>
      </c>
      <c r="M2255" s="65">
        <v>-2244787707.3386626</v>
      </c>
      <c r="N2255" s="65">
        <v>-1763582691.2563596</v>
      </c>
      <c r="P2255" t="str">
        <f t="shared" si="118"/>
        <v>Summary of Prod Plant Depreciation by Factor</v>
      </c>
      <c r="Q2255" t="str">
        <f t="shared" si="119"/>
        <v>NA</v>
      </c>
      <c r="R2255" t="str">
        <f>IF(ISERROR(MATCH(P2255&amp;"."&amp;Q2255,R$5:R2254,0)),P2255&amp;"."&amp;Q2255,P2255&amp;"."&amp;Q2255&amp;COUNTIFS(P$5:P2254,P2255,Q$5:Q2254,Q2255))</f>
        <v>Summary of Prod Plant Depreciation by Factor.NA4</v>
      </c>
      <c r="S2255" s="55">
        <f t="shared" si="120"/>
        <v>-1763582691.2563596</v>
      </c>
    </row>
    <row r="2256" spans="1:19" hidden="1">
      <c r="A2256" s="5">
        <v>2321</v>
      </c>
      <c r="B2256" s="59"/>
      <c r="C2256" s="60"/>
      <c r="D2256" s="63"/>
      <c r="E2256" s="63" t="s">
        <v>301</v>
      </c>
      <c r="F2256" s="60"/>
      <c r="G2256" s="61"/>
      <c r="H2256" s="62"/>
      <c r="I2256" s="65">
        <v>0</v>
      </c>
      <c r="J2256" s="65">
        <v>0</v>
      </c>
      <c r="K2256" s="62"/>
      <c r="L2256" s="65">
        <v>0</v>
      </c>
      <c r="M2256" s="65">
        <v>0</v>
      </c>
      <c r="N2256" s="64">
        <v>0</v>
      </c>
      <c r="P2256" t="str">
        <f t="shared" si="118"/>
        <v>Summary of Prod Plant Depreciation by Factor</v>
      </c>
      <c r="Q2256" t="str">
        <f t="shared" si="119"/>
        <v>NA</v>
      </c>
      <c r="R2256" t="str">
        <f>IF(ISERROR(MATCH(P2256&amp;"."&amp;Q2256,R$5:R2255,0)),P2256&amp;"."&amp;Q2256,P2256&amp;"."&amp;Q2256&amp;COUNTIFS(P$5:P2255,P2256,Q$5:Q2255,Q2256))</f>
        <v>Summary of Prod Plant Depreciation by Factor.NA5</v>
      </c>
      <c r="S2256" s="55">
        <f t="shared" si="120"/>
        <v>0</v>
      </c>
    </row>
    <row r="2257" spans="1:19" hidden="1">
      <c r="A2257" s="5">
        <v>2322</v>
      </c>
      <c r="B2257" s="59"/>
      <c r="C2257" s="60"/>
      <c r="D2257" s="63"/>
      <c r="E2257" s="63" t="s">
        <v>298</v>
      </c>
      <c r="F2257" s="63"/>
      <c r="G2257" s="63"/>
      <c r="H2257" s="62"/>
      <c r="I2257" s="66">
        <v>0</v>
      </c>
      <c r="J2257" s="66">
        <v>0</v>
      </c>
      <c r="K2257" s="62"/>
      <c r="L2257" s="66">
        <v>0</v>
      </c>
      <c r="M2257" s="66">
        <v>0</v>
      </c>
      <c r="N2257" s="66">
        <v>0</v>
      </c>
      <c r="P2257" t="str">
        <f t="shared" si="118"/>
        <v>Summary of Prod Plant Depreciation by Factor</v>
      </c>
      <c r="Q2257" t="str">
        <f t="shared" si="119"/>
        <v>NA</v>
      </c>
      <c r="R2257" t="str">
        <f>IF(ISERROR(MATCH(P2257&amp;"."&amp;Q2257,R$5:R2256,0)),P2257&amp;"."&amp;Q2257,P2257&amp;"."&amp;Q2257&amp;COUNTIFS(P$5:P2256,P2257,Q$5:Q2256,Q2257))</f>
        <v>Summary of Prod Plant Depreciation by Factor.NA6</v>
      </c>
      <c r="S2257" s="55">
        <f t="shared" si="120"/>
        <v>0</v>
      </c>
    </row>
    <row r="2258" spans="1:19" hidden="1">
      <c r="A2258" s="5">
        <v>2323</v>
      </c>
      <c r="B2258" s="59"/>
      <c r="C2258" s="60" t="s">
        <v>681</v>
      </c>
      <c r="D2258" s="63"/>
      <c r="E2258" s="63"/>
      <c r="F2258" s="63"/>
      <c r="G2258" s="63"/>
      <c r="H2258" s="62"/>
      <c r="I2258" s="65">
        <v>-4720290465.7576885</v>
      </c>
      <c r="J2258" s="65">
        <v>-2074294630.627316</v>
      </c>
      <c r="K2258" s="62"/>
      <c r="L2258" s="65">
        <v>-4225694016.4063911</v>
      </c>
      <c r="M2258" s="65">
        <v>-2239212112.6340475</v>
      </c>
      <c r="N2258" s="65">
        <v>-1986481903.7723441</v>
      </c>
      <c r="P2258" t="str">
        <f t="shared" si="118"/>
        <v>Total of Prod Plant Depreciation by Factor</v>
      </c>
      <c r="Q2258" t="str">
        <f t="shared" si="119"/>
        <v>NA</v>
      </c>
      <c r="R2258" t="str">
        <f>IF(ISERROR(MATCH(P2258&amp;"."&amp;Q2258,R$5:R2257,0)),P2258&amp;"."&amp;Q2258,P2258&amp;"."&amp;Q2258&amp;COUNTIFS(P$5:P2257,P2258,Q$5:Q2257,Q2258))</f>
        <v>Total of Prod Plant Depreciation by Factor.NA</v>
      </c>
      <c r="S2258" s="55">
        <f t="shared" si="120"/>
        <v>-1986481903.7723441</v>
      </c>
    </row>
    <row r="2259" spans="1:19" hidden="1">
      <c r="A2259" s="5">
        <v>2324</v>
      </c>
      <c r="B2259" s="59"/>
      <c r="C2259" s="60"/>
      <c r="D2259" s="61"/>
      <c r="E2259" s="63"/>
      <c r="F2259" s="63"/>
      <c r="G2259" s="63"/>
      <c r="H2259" s="62"/>
      <c r="I2259" s="65"/>
      <c r="J2259" s="65"/>
      <c r="K2259" s="62"/>
      <c r="L2259" s="65"/>
      <c r="M2259" s="65"/>
      <c r="N2259" s="65"/>
      <c r="P2259" t="str">
        <f t="shared" si="118"/>
        <v>Total of Prod Plant Depreciation by Factor</v>
      </c>
      <c r="Q2259" t="str">
        <f t="shared" si="119"/>
        <v>NA</v>
      </c>
      <c r="R2259" t="str">
        <f>IF(ISERROR(MATCH(P2259&amp;"."&amp;Q2259,R$5:R2258,0)),P2259&amp;"."&amp;Q2259,P2259&amp;"."&amp;Q2259&amp;COUNTIFS(P$5:P2258,P2259,Q$5:Q2258,Q2259))</f>
        <v>Total of Prod Plant Depreciation by Factor.NA1</v>
      </c>
      <c r="S2259" s="55">
        <f t="shared" si="120"/>
        <v>0</v>
      </c>
    </row>
    <row r="2260" spans="1:19" hidden="1">
      <c r="A2260" s="5">
        <v>2325</v>
      </c>
      <c r="B2260" s="59"/>
      <c r="C2260" s="60"/>
      <c r="D2260" s="63"/>
      <c r="E2260" s="63"/>
      <c r="F2260" s="60"/>
      <c r="G2260" s="61"/>
      <c r="H2260" s="62"/>
      <c r="I2260" s="65"/>
      <c r="J2260" s="65"/>
      <c r="K2260" s="62"/>
      <c r="L2260" s="65"/>
      <c r="M2260" s="65"/>
      <c r="N2260" s="64"/>
      <c r="P2260" t="str">
        <f t="shared" si="118"/>
        <v>Total of Prod Plant Depreciation by Factor</v>
      </c>
      <c r="Q2260" t="str">
        <f t="shared" si="119"/>
        <v>NA</v>
      </c>
      <c r="R2260" t="str">
        <f>IF(ISERROR(MATCH(P2260&amp;"."&amp;Q2260,R$5:R2259,0)),P2260&amp;"."&amp;Q2260,P2260&amp;"."&amp;Q2260&amp;COUNTIFS(P$5:P2259,P2260,Q$5:Q2259,Q2260))</f>
        <v>Total of Prod Plant Depreciation by Factor.NA2</v>
      </c>
      <c r="S2260" s="55">
        <f t="shared" si="120"/>
        <v>0</v>
      </c>
    </row>
    <row r="2261" spans="1:19" hidden="1">
      <c r="A2261" s="5">
        <v>2326</v>
      </c>
      <c r="B2261" s="59"/>
      <c r="C2261" s="60" t="s">
        <v>210</v>
      </c>
      <c r="D2261" s="63" t="s">
        <v>682</v>
      </c>
      <c r="E2261" s="63"/>
      <c r="F2261" s="63"/>
      <c r="G2261" s="63"/>
      <c r="H2261" s="62"/>
      <c r="I2261" s="66"/>
      <c r="J2261" s="66"/>
      <c r="K2261" s="62"/>
      <c r="L2261" s="66"/>
      <c r="M2261" s="66"/>
      <c r="N2261" s="66"/>
      <c r="P2261" t="str">
        <f t="shared" si="118"/>
        <v>108TP</v>
      </c>
      <c r="Q2261" t="str">
        <f t="shared" si="119"/>
        <v>NA</v>
      </c>
      <c r="R2261" t="str">
        <f>IF(ISERROR(MATCH(P2261&amp;"."&amp;Q2261,R$5:R2260,0)),P2261&amp;"."&amp;Q2261,P2261&amp;"."&amp;Q2261&amp;COUNTIFS(P$5:P2260,P2261,Q$5:Q2260,Q2261))</f>
        <v>108TP.NA</v>
      </c>
      <c r="S2261" s="55">
        <f t="shared" si="120"/>
        <v>0</v>
      </c>
    </row>
    <row r="2262" spans="1:19" hidden="1">
      <c r="A2262" s="5">
        <v>2327</v>
      </c>
      <c r="B2262" s="59"/>
      <c r="C2262" s="60"/>
      <c r="D2262" s="63"/>
      <c r="E2262" s="63"/>
      <c r="F2262" s="63" t="s">
        <v>18</v>
      </c>
      <c r="G2262" s="63" t="s">
        <v>15</v>
      </c>
      <c r="H2262" s="62"/>
      <c r="I2262" s="65">
        <v>-354052614.400769</v>
      </c>
      <c r="J2262" s="65">
        <v>-155774292.40823594</v>
      </c>
      <c r="K2262" s="62"/>
      <c r="L2262" s="65">
        <v>-369846223.05621445</v>
      </c>
      <c r="M2262" s="65">
        <v>-207123137.97478065</v>
      </c>
      <c r="N2262" s="65">
        <v>-162723085.0814338</v>
      </c>
      <c r="P2262" t="str">
        <f t="shared" si="118"/>
        <v>108TP</v>
      </c>
      <c r="Q2262" t="str">
        <f t="shared" si="119"/>
        <v>SG</v>
      </c>
      <c r="R2262" t="str">
        <f>IF(ISERROR(MATCH(P2262&amp;"."&amp;Q2262,R$5:R2261,0)),P2262&amp;"."&amp;Q2262,P2262&amp;"."&amp;Q2262&amp;COUNTIFS(P$5:P2261,P2262,Q$5:Q2261,Q2262))</f>
        <v>108TP.SG</v>
      </c>
      <c r="S2262" s="55">
        <f t="shared" si="120"/>
        <v>-162723085.0814338</v>
      </c>
    </row>
    <row r="2263" spans="1:19" hidden="1">
      <c r="A2263" s="5">
        <v>2328</v>
      </c>
      <c r="B2263" s="59"/>
      <c r="C2263" s="60"/>
      <c r="D2263" s="61"/>
      <c r="E2263" s="63"/>
      <c r="F2263" s="63" t="s">
        <v>18</v>
      </c>
      <c r="G2263" s="63" t="s">
        <v>15</v>
      </c>
      <c r="H2263" s="62"/>
      <c r="I2263" s="65">
        <v>-421321085.62692302</v>
      </c>
      <c r="J2263" s="65">
        <v>-185370736.77957052</v>
      </c>
      <c r="K2263" s="62"/>
      <c r="L2263" s="65">
        <v>-439311440.97120583</v>
      </c>
      <c r="M2263" s="65">
        <v>-246025397.93504554</v>
      </c>
      <c r="N2263" s="65">
        <v>-193286043.03616029</v>
      </c>
      <c r="P2263" t="str">
        <f t="shared" si="118"/>
        <v>108TP</v>
      </c>
      <c r="Q2263" t="str">
        <f t="shared" si="119"/>
        <v>SG</v>
      </c>
      <c r="R2263" t="str">
        <f>IF(ISERROR(MATCH(P2263&amp;"."&amp;Q2263,R$5:R2262,0)),P2263&amp;"."&amp;Q2263,P2263&amp;"."&amp;Q2263&amp;COUNTIFS(P$5:P2262,P2263,Q$5:Q2262,Q2263))</f>
        <v>108TP.SG1</v>
      </c>
      <c r="S2263" s="55">
        <f t="shared" si="120"/>
        <v>-193286043.03616029</v>
      </c>
    </row>
    <row r="2264" spans="1:19" hidden="1">
      <c r="A2264" s="5">
        <v>2329</v>
      </c>
      <c r="B2264" s="59"/>
      <c r="C2264" s="60"/>
      <c r="D2264" s="63"/>
      <c r="E2264" s="63"/>
      <c r="F2264" s="60" t="s">
        <v>18</v>
      </c>
      <c r="G2264" s="61" t="s">
        <v>15</v>
      </c>
      <c r="H2264" s="62"/>
      <c r="I2264" s="65">
        <v>-1040008905.12462</v>
      </c>
      <c r="J2264" s="65">
        <v>-457577898.60765958</v>
      </c>
      <c r="K2264" s="62"/>
      <c r="L2264" s="65">
        <v>-1204477603.444047</v>
      </c>
      <c r="M2264" s="65">
        <v>-674537592.36512661</v>
      </c>
      <c r="N2264" s="64">
        <v>-529940011.07892036</v>
      </c>
      <c r="P2264" t="str">
        <f t="shared" si="118"/>
        <v>108TP</v>
      </c>
      <c r="Q2264" t="str">
        <f t="shared" si="119"/>
        <v>SG</v>
      </c>
      <c r="R2264" t="str">
        <f>IF(ISERROR(MATCH(P2264&amp;"."&amp;Q2264,R$5:R2263,0)),P2264&amp;"."&amp;Q2264,P2264&amp;"."&amp;Q2264&amp;COUNTIFS(P$5:P2263,P2264,Q$5:Q2263,Q2264))</f>
        <v>108TP.SG2</v>
      </c>
      <c r="S2264" s="55">
        <f t="shared" si="120"/>
        <v>-529940011.07892036</v>
      </c>
    </row>
    <row r="2265" spans="1:19" hidden="1">
      <c r="A2265" s="5">
        <v>2330</v>
      </c>
      <c r="B2265" s="59"/>
      <c r="C2265" s="60" t="s">
        <v>683</v>
      </c>
      <c r="D2265" s="63"/>
      <c r="E2265" s="63"/>
      <c r="F2265" s="63"/>
      <c r="G2265" s="63"/>
      <c r="H2265" s="62" t="s">
        <v>674</v>
      </c>
      <c r="I2265" s="66">
        <v>-1815382605.152312</v>
      </c>
      <c r="J2265" s="66">
        <v>-798722927.79546607</v>
      </c>
      <c r="K2265" s="62"/>
      <c r="L2265" s="66">
        <v>-2013635267.4714673</v>
      </c>
      <c r="M2265" s="66">
        <v>-1127686128.2749529</v>
      </c>
      <c r="N2265" s="66">
        <v>-885949139.19651449</v>
      </c>
      <c r="P2265" t="str">
        <f t="shared" si="118"/>
        <v>Total Trans Plant Accum Depreciation</v>
      </c>
      <c r="Q2265" t="str">
        <f t="shared" si="119"/>
        <v>NA</v>
      </c>
      <c r="R2265" t="str">
        <f>IF(ISERROR(MATCH(P2265&amp;"."&amp;Q2265,R$5:R2264,0)),P2265&amp;"."&amp;Q2265,P2265&amp;"."&amp;Q2265&amp;COUNTIFS(P$5:P2264,P2265,Q$5:Q2264,Q2265))</f>
        <v>Total Trans Plant Accum Depreciation.NA</v>
      </c>
      <c r="S2265" s="55">
        <f t="shared" si="120"/>
        <v>-885949139.19651449</v>
      </c>
    </row>
    <row r="2266" spans="1:19" hidden="1">
      <c r="A2266" s="5">
        <v>2331</v>
      </c>
      <c r="B2266" s="59"/>
      <c r="C2266" s="60">
        <v>108360</v>
      </c>
      <c r="D2266" s="63" t="s">
        <v>500</v>
      </c>
      <c r="E2266" s="63"/>
      <c r="F2266" s="63"/>
      <c r="G2266" s="63"/>
      <c r="H2266" s="62"/>
      <c r="I2266" s="65"/>
      <c r="J2266" s="65"/>
      <c r="K2266" s="62"/>
      <c r="L2266" s="65"/>
      <c r="M2266" s="65"/>
      <c r="N2266" s="65"/>
      <c r="P2266">
        <f t="shared" si="118"/>
        <v>108360</v>
      </c>
      <c r="Q2266" t="str">
        <f t="shared" si="119"/>
        <v>NA</v>
      </c>
      <c r="R2266" t="str">
        <f>IF(ISERROR(MATCH(P2266&amp;"."&amp;Q2266,R$5:R2265,0)),P2266&amp;"."&amp;Q2266,P2266&amp;"."&amp;Q2266&amp;COUNTIFS(P$5:P2265,P2266,Q$5:Q2265,Q2266))</f>
        <v>108360.NA</v>
      </c>
      <c r="S2266" s="55">
        <f t="shared" si="120"/>
        <v>0</v>
      </c>
    </row>
    <row r="2267" spans="1:19" hidden="1">
      <c r="A2267" s="5">
        <v>2332</v>
      </c>
      <c r="B2267" s="59"/>
      <c r="C2267" s="60"/>
      <c r="D2267" s="61"/>
      <c r="E2267" s="63"/>
      <c r="F2267" s="63" t="s">
        <v>139</v>
      </c>
      <c r="G2267" s="63" t="s">
        <v>12</v>
      </c>
      <c r="H2267" s="62"/>
      <c r="I2267" s="65">
        <v>-10259439.323846156</v>
      </c>
      <c r="J2267" s="65">
        <v>-3261422.22538462</v>
      </c>
      <c r="K2267" s="62"/>
      <c r="L2267" s="65">
        <v>-12379200.922732484</v>
      </c>
      <c r="M2267" s="65">
        <v>-8188056.5617536083</v>
      </c>
      <c r="N2267" s="65">
        <v>-4191144.3609788753</v>
      </c>
      <c r="P2267">
        <f t="shared" si="118"/>
        <v>108360</v>
      </c>
      <c r="Q2267" t="str">
        <f t="shared" si="119"/>
        <v>S</v>
      </c>
      <c r="R2267" t="str">
        <f>IF(ISERROR(MATCH(P2267&amp;"."&amp;Q2267,R$5:R2266,0)),P2267&amp;"."&amp;Q2267,P2267&amp;"."&amp;Q2267&amp;COUNTIFS(P$5:P2266,P2267,Q$5:Q2266,Q2267))</f>
        <v>108360.S</v>
      </c>
      <c r="S2267" s="55">
        <f t="shared" si="120"/>
        <v>-4191144.3609788753</v>
      </c>
    </row>
    <row r="2268" spans="1:19" hidden="1">
      <c r="A2268" s="5">
        <v>2333</v>
      </c>
      <c r="B2268" s="59"/>
      <c r="C2268" s="60"/>
      <c r="D2268" s="63"/>
      <c r="E2268" s="63"/>
      <c r="F2268" s="60"/>
      <c r="G2268" s="61"/>
      <c r="H2268" s="62" t="s">
        <v>674</v>
      </c>
      <c r="I2268" s="65">
        <v>-10259439.323846156</v>
      </c>
      <c r="J2268" s="65">
        <v>-3261422.22538462</v>
      </c>
      <c r="K2268" s="62"/>
      <c r="L2268" s="65">
        <v>-12379200.922732484</v>
      </c>
      <c r="M2268" s="65">
        <v>-8188056.5617536083</v>
      </c>
      <c r="N2268" s="64">
        <v>-4191144.3609788753</v>
      </c>
      <c r="P2268">
        <f t="shared" si="118"/>
        <v>108360</v>
      </c>
      <c r="Q2268" t="str">
        <f t="shared" si="119"/>
        <v>NA</v>
      </c>
      <c r="R2268" t="str">
        <f>IF(ISERROR(MATCH(P2268&amp;"."&amp;Q2268,R$5:R2267,0)),P2268&amp;"."&amp;Q2268,P2268&amp;"."&amp;Q2268&amp;COUNTIFS(P$5:P2267,P2268,Q$5:Q2267,Q2268))</f>
        <v>108360.NA1</v>
      </c>
      <c r="S2268" s="55">
        <f t="shared" si="120"/>
        <v>-4191144.3609788753</v>
      </c>
    </row>
    <row r="2269" spans="1:19" hidden="1">
      <c r="A2269" s="5">
        <v>2334</v>
      </c>
      <c r="B2269" s="59"/>
      <c r="C2269" s="60"/>
      <c r="D2269" s="63"/>
      <c r="E2269" s="63"/>
      <c r="F2269" s="63"/>
      <c r="G2269" s="63"/>
      <c r="H2269" s="62"/>
      <c r="I2269" s="66"/>
      <c r="J2269" s="66"/>
      <c r="K2269" s="62"/>
      <c r="L2269" s="66"/>
      <c r="M2269" s="66"/>
      <c r="N2269" s="66"/>
      <c r="P2269">
        <f t="shared" si="118"/>
        <v>108360</v>
      </c>
      <c r="Q2269" t="str">
        <f t="shared" si="119"/>
        <v>NA</v>
      </c>
      <c r="R2269" t="str">
        <f>IF(ISERROR(MATCH(P2269&amp;"."&amp;Q2269,R$5:R2268,0)),P2269&amp;"."&amp;Q2269,P2269&amp;"."&amp;Q2269&amp;COUNTIFS(P$5:P2268,P2269,Q$5:Q2268,Q2269))</f>
        <v>108360.NA2</v>
      </c>
      <c r="S2269" s="55">
        <f t="shared" si="120"/>
        <v>0</v>
      </c>
    </row>
    <row r="2270" spans="1:19" hidden="1">
      <c r="A2270" s="5">
        <v>2335</v>
      </c>
      <c r="B2270" s="59"/>
      <c r="C2270" s="60">
        <v>108361</v>
      </c>
      <c r="D2270" s="63" t="s">
        <v>502</v>
      </c>
      <c r="E2270" s="63"/>
      <c r="F2270" s="63"/>
      <c r="G2270" s="63"/>
      <c r="H2270" s="62"/>
      <c r="I2270" s="65"/>
      <c r="J2270" s="65"/>
      <c r="K2270" s="62"/>
      <c r="L2270" s="65"/>
      <c r="M2270" s="65"/>
      <c r="N2270" s="65"/>
      <c r="P2270">
        <f t="shared" si="118"/>
        <v>108361</v>
      </c>
      <c r="Q2270" t="str">
        <f t="shared" si="119"/>
        <v>NA</v>
      </c>
      <c r="R2270" t="str">
        <f>IF(ISERROR(MATCH(P2270&amp;"."&amp;Q2270,R$5:R2269,0)),P2270&amp;"."&amp;Q2270,P2270&amp;"."&amp;Q2270&amp;COUNTIFS(P$5:P2269,P2270,Q$5:Q2269,Q2270))</f>
        <v>108361.NA</v>
      </c>
      <c r="S2270" s="55">
        <f t="shared" si="120"/>
        <v>0</v>
      </c>
    </row>
    <row r="2271" spans="1:19" hidden="1">
      <c r="A2271" s="5">
        <v>2336</v>
      </c>
      <c r="B2271" s="59"/>
      <c r="C2271" s="60"/>
      <c r="D2271" s="61"/>
      <c r="E2271" s="63"/>
      <c r="F2271" s="63" t="s">
        <v>139</v>
      </c>
      <c r="G2271" s="63" t="s">
        <v>12</v>
      </c>
      <c r="H2271" s="62"/>
      <c r="I2271" s="65">
        <v>-28140794.727692265</v>
      </c>
      <c r="J2271" s="65">
        <v>-12356248.128461501</v>
      </c>
      <c r="K2271" s="62"/>
      <c r="L2271" s="65">
        <v>-32189322.685116749</v>
      </c>
      <c r="M2271" s="65">
        <v>-18057400.320190519</v>
      </c>
      <c r="N2271" s="65">
        <v>-14131922.364926232</v>
      </c>
      <c r="P2271">
        <f t="shared" si="118"/>
        <v>108361</v>
      </c>
      <c r="Q2271" t="str">
        <f t="shared" si="119"/>
        <v>S</v>
      </c>
      <c r="R2271" t="str">
        <f>IF(ISERROR(MATCH(P2271&amp;"."&amp;Q2271,R$5:R2270,0)),P2271&amp;"."&amp;Q2271,P2271&amp;"."&amp;Q2271&amp;COUNTIFS(P$5:P2270,P2271,Q$5:Q2270,Q2271))</f>
        <v>108361.S</v>
      </c>
      <c r="S2271" s="55">
        <f t="shared" si="120"/>
        <v>-14131922.364926232</v>
      </c>
    </row>
    <row r="2272" spans="1:19" hidden="1">
      <c r="A2272" s="5">
        <v>2337</v>
      </c>
      <c r="B2272" s="59"/>
      <c r="C2272" s="60"/>
      <c r="D2272" s="63"/>
      <c r="E2272" s="63"/>
      <c r="F2272" s="60" t="s">
        <v>141</v>
      </c>
      <c r="G2272" s="61"/>
      <c r="H2272" s="62" t="s">
        <v>674</v>
      </c>
      <c r="I2272" s="65">
        <v>-28140794.727692265</v>
      </c>
      <c r="J2272" s="65">
        <v>-12356248.128461501</v>
      </c>
      <c r="K2272" s="62"/>
      <c r="L2272" s="65">
        <v>-32189322.685116749</v>
      </c>
      <c r="M2272" s="65">
        <v>-18057400.320190519</v>
      </c>
      <c r="N2272" s="64">
        <v>-14131922.364926232</v>
      </c>
      <c r="P2272">
        <f t="shared" si="118"/>
        <v>108361</v>
      </c>
      <c r="Q2272" t="str">
        <f t="shared" si="119"/>
        <v>NA</v>
      </c>
      <c r="R2272" t="str">
        <f>IF(ISERROR(MATCH(P2272&amp;"."&amp;Q2272,R$5:R2271,0)),P2272&amp;"."&amp;Q2272,P2272&amp;"."&amp;Q2272&amp;COUNTIFS(P$5:P2271,P2272,Q$5:Q2271,Q2272))</f>
        <v>108361.NA1</v>
      </c>
      <c r="S2272" s="55">
        <f t="shared" si="120"/>
        <v>-14131922.364926232</v>
      </c>
    </row>
    <row r="2273" spans="1:19" hidden="1">
      <c r="A2273" s="5">
        <v>2338</v>
      </c>
      <c r="B2273" s="59"/>
      <c r="C2273" s="60"/>
      <c r="D2273" s="63"/>
      <c r="E2273" s="63"/>
      <c r="F2273" s="63"/>
      <c r="G2273" s="63"/>
      <c r="H2273" s="62"/>
      <c r="I2273" s="66"/>
      <c r="J2273" s="66"/>
      <c r="K2273" s="62"/>
      <c r="L2273" s="66"/>
      <c r="M2273" s="66"/>
      <c r="N2273" s="66"/>
      <c r="P2273">
        <f t="shared" si="118"/>
        <v>108361</v>
      </c>
      <c r="Q2273" t="str">
        <f t="shared" si="119"/>
        <v>NA</v>
      </c>
      <c r="R2273" t="str">
        <f>IF(ISERROR(MATCH(P2273&amp;"."&amp;Q2273,R$5:R2272,0)),P2273&amp;"."&amp;Q2273,P2273&amp;"."&amp;Q2273&amp;COUNTIFS(P$5:P2272,P2273,Q$5:Q2272,Q2273))</f>
        <v>108361.NA2</v>
      </c>
      <c r="S2273" s="55">
        <f t="shared" si="120"/>
        <v>0</v>
      </c>
    </row>
    <row r="2274" spans="1:19" hidden="1">
      <c r="A2274" s="5">
        <v>2339</v>
      </c>
      <c r="B2274" s="59"/>
      <c r="C2274" s="60">
        <v>108362</v>
      </c>
      <c r="D2274" s="63" t="s">
        <v>380</v>
      </c>
      <c r="E2274" s="63"/>
      <c r="F2274" s="63"/>
      <c r="G2274" s="63"/>
      <c r="H2274" s="62"/>
      <c r="I2274" s="65"/>
      <c r="J2274" s="65"/>
      <c r="K2274" s="62"/>
      <c r="L2274" s="65"/>
      <c r="M2274" s="65"/>
      <c r="N2274" s="65"/>
      <c r="P2274">
        <f t="shared" si="118"/>
        <v>108362</v>
      </c>
      <c r="Q2274" t="str">
        <f t="shared" si="119"/>
        <v>NA</v>
      </c>
      <c r="R2274" t="str">
        <f>IF(ISERROR(MATCH(P2274&amp;"."&amp;Q2274,R$5:R2273,0)),P2274&amp;"."&amp;Q2274,P2274&amp;"."&amp;Q2274&amp;COUNTIFS(P$5:P2273,P2274,Q$5:Q2273,Q2274))</f>
        <v>108362.NA</v>
      </c>
      <c r="S2274" s="55">
        <f t="shared" si="120"/>
        <v>0</v>
      </c>
    </row>
    <row r="2275" spans="1:19" hidden="1">
      <c r="A2275" s="5">
        <v>2340</v>
      </c>
      <c r="B2275" s="59"/>
      <c r="C2275" s="60"/>
      <c r="D2275" s="61"/>
      <c r="E2275" s="63"/>
      <c r="F2275" s="63" t="s">
        <v>139</v>
      </c>
      <c r="G2275" s="63" t="s">
        <v>12</v>
      </c>
      <c r="H2275" s="62"/>
      <c r="I2275" s="65">
        <v>-292674477.64307666</v>
      </c>
      <c r="J2275" s="65">
        <v>-119864354.024615</v>
      </c>
      <c r="K2275" s="62"/>
      <c r="L2275" s="65">
        <v>-326706339.64979047</v>
      </c>
      <c r="M2275" s="65">
        <v>-191915696.06518254</v>
      </c>
      <c r="N2275" s="65">
        <v>-134790643.58460793</v>
      </c>
      <c r="P2275">
        <f t="shared" si="118"/>
        <v>108362</v>
      </c>
      <c r="Q2275" t="str">
        <f t="shared" si="119"/>
        <v>S</v>
      </c>
      <c r="R2275" t="str">
        <f>IF(ISERROR(MATCH(P2275&amp;"."&amp;Q2275,R$5:R2274,0)),P2275&amp;"."&amp;Q2275,P2275&amp;"."&amp;Q2275&amp;COUNTIFS(P$5:P2274,P2275,Q$5:Q2274,Q2275))</f>
        <v>108362.S</v>
      </c>
      <c r="S2275" s="55">
        <f t="shared" si="120"/>
        <v>-134790643.58460793</v>
      </c>
    </row>
    <row r="2276" spans="1:19" hidden="1">
      <c r="A2276" s="5">
        <v>2341</v>
      </c>
      <c r="B2276" s="59"/>
      <c r="C2276" s="60"/>
      <c r="D2276" s="63"/>
      <c r="E2276" s="63"/>
      <c r="F2276" s="60"/>
      <c r="G2276" s="61"/>
      <c r="H2276" s="62" t="s">
        <v>674</v>
      </c>
      <c r="I2276" s="65">
        <v>-292674477.64307666</v>
      </c>
      <c r="J2276" s="65">
        <v>-119864354.024615</v>
      </c>
      <c r="K2276" s="62"/>
      <c r="L2276" s="65">
        <v>-326706339.64979047</v>
      </c>
      <c r="M2276" s="65">
        <v>-191915696.06518254</v>
      </c>
      <c r="N2276" s="64">
        <v>-134790643.58460793</v>
      </c>
      <c r="P2276">
        <f t="shared" si="118"/>
        <v>108362</v>
      </c>
      <c r="Q2276" t="str">
        <f t="shared" si="119"/>
        <v>NA</v>
      </c>
      <c r="R2276" t="str">
        <f>IF(ISERROR(MATCH(P2276&amp;"."&amp;Q2276,R$5:R2275,0)),P2276&amp;"."&amp;Q2276,P2276&amp;"."&amp;Q2276&amp;COUNTIFS(P$5:P2275,P2276,Q$5:Q2275,Q2276))</f>
        <v>108362.NA1</v>
      </c>
      <c r="S2276" s="55">
        <f t="shared" si="120"/>
        <v>-134790643.58460793</v>
      </c>
    </row>
    <row r="2277" spans="1:19" hidden="1">
      <c r="A2277" s="5">
        <v>2342</v>
      </c>
      <c r="B2277" s="59"/>
      <c r="C2277" s="60"/>
      <c r="D2277" s="63"/>
      <c r="E2277" s="63"/>
      <c r="F2277" s="63"/>
      <c r="G2277" s="63"/>
      <c r="H2277" s="62"/>
      <c r="I2277" s="66"/>
      <c r="J2277" s="66"/>
      <c r="K2277" s="62"/>
      <c r="L2277" s="66"/>
      <c r="M2277" s="66"/>
      <c r="N2277" s="66"/>
      <c r="P2277">
        <f t="shared" si="118"/>
        <v>108362</v>
      </c>
      <c r="Q2277" t="str">
        <f t="shared" si="119"/>
        <v>NA</v>
      </c>
      <c r="R2277" t="str">
        <f>IF(ISERROR(MATCH(P2277&amp;"."&amp;Q2277,R$5:R2276,0)),P2277&amp;"."&amp;Q2277,P2277&amp;"."&amp;Q2277&amp;COUNTIFS(P$5:P2276,P2277,Q$5:Q2276,Q2277))</f>
        <v>108362.NA2</v>
      </c>
      <c r="S2277" s="55">
        <f t="shared" si="120"/>
        <v>0</v>
      </c>
    </row>
    <row r="2278" spans="1:19" hidden="1">
      <c r="A2278" s="5">
        <v>2343</v>
      </c>
      <c r="B2278" s="59"/>
      <c r="C2278" s="60">
        <v>108363</v>
      </c>
      <c r="D2278" s="63" t="s">
        <v>381</v>
      </c>
      <c r="E2278" s="63"/>
      <c r="F2278" s="63"/>
      <c r="G2278" s="63"/>
      <c r="H2278" s="62"/>
      <c r="I2278" s="65"/>
      <c r="J2278" s="65"/>
      <c r="K2278" s="62"/>
      <c r="L2278" s="65"/>
      <c r="M2278" s="65"/>
      <c r="N2278" s="65"/>
      <c r="P2278">
        <f t="shared" si="118"/>
        <v>108363</v>
      </c>
      <c r="Q2278" t="str">
        <f t="shared" si="119"/>
        <v>NA</v>
      </c>
      <c r="R2278" t="str">
        <f>IF(ISERROR(MATCH(P2278&amp;"."&amp;Q2278,R$5:R2277,0)),P2278&amp;"."&amp;Q2278,P2278&amp;"."&amp;Q2278&amp;COUNTIFS(P$5:P2277,P2278,Q$5:Q2277,Q2278))</f>
        <v>108363.NA</v>
      </c>
      <c r="S2278" s="55">
        <f t="shared" si="120"/>
        <v>0</v>
      </c>
    </row>
    <row r="2279" spans="1:19" hidden="1">
      <c r="A2279" s="5">
        <v>2344</v>
      </c>
      <c r="B2279" s="59"/>
      <c r="C2279" s="60"/>
      <c r="D2279" s="61"/>
      <c r="E2279" s="63"/>
      <c r="F2279" s="63" t="s">
        <v>139</v>
      </c>
      <c r="G2279" s="63" t="s">
        <v>12</v>
      </c>
      <c r="H2279" s="62"/>
      <c r="I2279" s="65">
        <v>0</v>
      </c>
      <c r="J2279" s="65">
        <v>0</v>
      </c>
      <c r="K2279" s="62"/>
      <c r="L2279" s="65">
        <v>0</v>
      </c>
      <c r="M2279" s="65">
        <v>0</v>
      </c>
      <c r="N2279" s="65">
        <v>0</v>
      </c>
      <c r="P2279">
        <f t="shared" si="118"/>
        <v>108363</v>
      </c>
      <c r="Q2279" t="str">
        <f t="shared" si="119"/>
        <v>S</v>
      </c>
      <c r="R2279" t="str">
        <f>IF(ISERROR(MATCH(P2279&amp;"."&amp;Q2279,R$5:R2278,0)),P2279&amp;"."&amp;Q2279,P2279&amp;"."&amp;Q2279&amp;COUNTIFS(P$5:P2278,P2279,Q$5:Q2278,Q2279))</f>
        <v>108363.S</v>
      </c>
      <c r="S2279" s="55">
        <f t="shared" si="120"/>
        <v>0</v>
      </c>
    </row>
    <row r="2280" spans="1:19" hidden="1">
      <c r="A2280" s="5">
        <v>2345</v>
      </c>
      <c r="B2280" s="59"/>
      <c r="C2280" s="60"/>
      <c r="D2280" s="63"/>
      <c r="E2280" s="63"/>
      <c r="F2280" s="60"/>
      <c r="G2280" s="61"/>
      <c r="H2280" s="62" t="s">
        <v>674</v>
      </c>
      <c r="I2280" s="65">
        <v>0</v>
      </c>
      <c r="J2280" s="65">
        <v>0</v>
      </c>
      <c r="K2280" s="62"/>
      <c r="L2280" s="65">
        <v>0</v>
      </c>
      <c r="M2280" s="65">
        <v>0</v>
      </c>
      <c r="N2280" s="64">
        <v>0</v>
      </c>
      <c r="P2280">
        <f t="shared" si="118"/>
        <v>108363</v>
      </c>
      <c r="Q2280" t="str">
        <f t="shared" si="119"/>
        <v>NA</v>
      </c>
      <c r="R2280" t="str">
        <f>IF(ISERROR(MATCH(P2280&amp;"."&amp;Q2280,R$5:R2279,0)),P2280&amp;"."&amp;Q2280,P2280&amp;"."&amp;Q2280&amp;COUNTIFS(P$5:P2279,P2280,Q$5:Q2279,Q2280))</f>
        <v>108363.NA1</v>
      </c>
      <c r="S2280" s="55">
        <f t="shared" si="120"/>
        <v>0</v>
      </c>
    </row>
    <row r="2281" spans="1:19" hidden="1">
      <c r="A2281" s="5">
        <v>2346</v>
      </c>
      <c r="B2281" s="59"/>
      <c r="C2281" s="60"/>
      <c r="D2281" s="63"/>
      <c r="E2281" s="63"/>
      <c r="F2281" s="60"/>
      <c r="G2281" s="63"/>
      <c r="H2281" s="62"/>
      <c r="I2281" s="66"/>
      <c r="J2281" s="66"/>
      <c r="K2281" s="62"/>
      <c r="L2281" s="66"/>
      <c r="M2281" s="66"/>
      <c r="N2281" s="66"/>
      <c r="P2281">
        <f t="shared" si="118"/>
        <v>108363</v>
      </c>
      <c r="Q2281" t="str">
        <f t="shared" si="119"/>
        <v>NA</v>
      </c>
      <c r="R2281" t="str">
        <f>IF(ISERROR(MATCH(P2281&amp;"."&amp;Q2281,R$5:R2280,0)),P2281&amp;"."&amp;Q2281,P2281&amp;"."&amp;Q2281&amp;COUNTIFS(P$5:P2280,P2281,Q$5:Q2280,Q2281))</f>
        <v>108363.NA2</v>
      </c>
      <c r="S2281" s="55">
        <f t="shared" si="120"/>
        <v>0</v>
      </c>
    </row>
    <row r="2282" spans="1:19" hidden="1">
      <c r="A2282" s="5">
        <v>2347</v>
      </c>
      <c r="B2282" s="59"/>
      <c r="C2282" s="60">
        <v>108364</v>
      </c>
      <c r="D2282" s="63" t="s">
        <v>549</v>
      </c>
      <c r="E2282" s="63"/>
      <c r="F2282" s="63"/>
      <c r="G2282" s="63"/>
      <c r="H2282" s="62"/>
      <c r="I2282" s="65"/>
      <c r="J2282" s="65"/>
      <c r="K2282" s="62"/>
      <c r="L2282" s="65"/>
      <c r="M2282" s="65"/>
      <c r="N2282" s="65"/>
      <c r="P2282">
        <f t="shared" si="118"/>
        <v>108364</v>
      </c>
      <c r="Q2282" t="str">
        <f t="shared" si="119"/>
        <v>NA</v>
      </c>
      <c r="R2282" t="str">
        <f>IF(ISERROR(MATCH(P2282&amp;"."&amp;Q2282,R$5:R2281,0)),P2282&amp;"."&amp;Q2282,P2282&amp;"."&amp;Q2282&amp;COUNTIFS(P$5:P2281,P2282,Q$5:Q2281,Q2282))</f>
        <v>108364.NA</v>
      </c>
      <c r="S2282" s="55">
        <f t="shared" si="120"/>
        <v>0</v>
      </c>
    </row>
    <row r="2283" spans="1:19" hidden="1">
      <c r="A2283" s="5">
        <v>2348</v>
      </c>
      <c r="B2283" s="59"/>
      <c r="C2283" s="60"/>
      <c r="D2283" s="61"/>
      <c r="E2283" s="63"/>
      <c r="F2283" s="63" t="s">
        <v>139</v>
      </c>
      <c r="G2283" s="63" t="s">
        <v>12</v>
      </c>
      <c r="H2283" s="62"/>
      <c r="I2283" s="65">
        <v>-661645539.64846182</v>
      </c>
      <c r="J2283" s="65">
        <v>-158107264.66384599</v>
      </c>
      <c r="K2283" s="62"/>
      <c r="L2283" s="65">
        <v>-702684872.33946311</v>
      </c>
      <c r="M2283" s="65">
        <v>-526577858.99968743</v>
      </c>
      <c r="N2283" s="65">
        <v>-176107013.33977571</v>
      </c>
      <c r="P2283">
        <f t="shared" si="118"/>
        <v>108364</v>
      </c>
      <c r="Q2283" t="str">
        <f t="shared" si="119"/>
        <v>S</v>
      </c>
      <c r="R2283" t="str">
        <f>IF(ISERROR(MATCH(P2283&amp;"."&amp;Q2283,R$5:R2282,0)),P2283&amp;"."&amp;Q2283,P2283&amp;"."&amp;Q2283&amp;COUNTIFS(P$5:P2282,P2283,Q$5:Q2282,Q2283))</f>
        <v>108364.S</v>
      </c>
      <c r="S2283" s="55">
        <f t="shared" si="120"/>
        <v>-176107013.33977571</v>
      </c>
    </row>
    <row r="2284" spans="1:19" hidden="1">
      <c r="A2284" s="5">
        <v>2349</v>
      </c>
      <c r="B2284" s="59"/>
      <c r="C2284" s="60"/>
      <c r="D2284" s="63"/>
      <c r="E2284" s="63"/>
      <c r="F2284" s="60"/>
      <c r="G2284" s="61"/>
      <c r="H2284" s="62" t="s">
        <v>674</v>
      </c>
      <c r="I2284" s="65">
        <v>-661645539.64846182</v>
      </c>
      <c r="J2284" s="65">
        <v>-158107264.66384599</v>
      </c>
      <c r="K2284" s="62"/>
      <c r="L2284" s="65">
        <v>-702684872.33946311</v>
      </c>
      <c r="M2284" s="65">
        <v>-526577858.99968743</v>
      </c>
      <c r="N2284" s="64">
        <v>-176107013.33977571</v>
      </c>
      <c r="P2284">
        <f t="shared" si="118"/>
        <v>108364</v>
      </c>
      <c r="Q2284" t="str">
        <f t="shared" si="119"/>
        <v>NA</v>
      </c>
      <c r="R2284" t="str">
        <f>IF(ISERROR(MATCH(P2284&amp;"."&amp;Q2284,R$5:R2283,0)),P2284&amp;"."&amp;Q2284,P2284&amp;"."&amp;Q2284&amp;COUNTIFS(P$5:P2283,P2284,Q$5:Q2283,Q2284))</f>
        <v>108364.NA1</v>
      </c>
      <c r="S2284" s="55">
        <f t="shared" si="120"/>
        <v>-176107013.33977571</v>
      </c>
    </row>
    <row r="2285" spans="1:19" hidden="1">
      <c r="A2285" s="5">
        <v>2350</v>
      </c>
      <c r="B2285" s="59"/>
      <c r="C2285" s="60"/>
      <c r="D2285" s="63"/>
      <c r="E2285" s="63"/>
      <c r="F2285" s="60"/>
      <c r="G2285" s="63"/>
      <c r="H2285" s="62"/>
      <c r="I2285" s="66"/>
      <c r="J2285" s="66"/>
      <c r="K2285" s="62"/>
      <c r="L2285" s="66"/>
      <c r="M2285" s="66"/>
      <c r="N2285" s="66"/>
      <c r="P2285">
        <f t="shared" si="118"/>
        <v>108364</v>
      </c>
      <c r="Q2285" t="str">
        <f t="shared" si="119"/>
        <v>NA</v>
      </c>
      <c r="R2285" t="str">
        <f>IF(ISERROR(MATCH(P2285&amp;"."&amp;Q2285,R$5:R2284,0)),P2285&amp;"."&amp;Q2285,P2285&amp;"."&amp;Q2285&amp;COUNTIFS(P$5:P2284,P2285,Q$5:Q2284,Q2285))</f>
        <v>108364.NA2</v>
      </c>
      <c r="S2285" s="55">
        <f t="shared" si="120"/>
        <v>0</v>
      </c>
    </row>
    <row r="2286" spans="1:19" hidden="1">
      <c r="A2286" s="5">
        <v>2351</v>
      </c>
      <c r="B2286" s="59"/>
      <c r="C2286" s="60">
        <v>108365</v>
      </c>
      <c r="D2286" s="63" t="s">
        <v>550</v>
      </c>
      <c r="E2286" s="63"/>
      <c r="F2286" s="63"/>
      <c r="G2286" s="63"/>
      <c r="H2286" s="62"/>
      <c r="I2286" s="65"/>
      <c r="J2286" s="65"/>
      <c r="K2286" s="62"/>
      <c r="L2286" s="65"/>
      <c r="M2286" s="65"/>
      <c r="N2286" s="65"/>
      <c r="P2286">
        <f t="shared" si="118"/>
        <v>108365</v>
      </c>
      <c r="Q2286" t="str">
        <f t="shared" si="119"/>
        <v>NA</v>
      </c>
      <c r="R2286" t="str">
        <f>IF(ISERROR(MATCH(P2286&amp;"."&amp;Q2286,R$5:R2285,0)),P2286&amp;"."&amp;Q2286,P2286&amp;"."&amp;Q2286&amp;COUNTIFS(P$5:P2285,P2286,Q$5:Q2285,Q2286))</f>
        <v>108365.NA</v>
      </c>
      <c r="S2286" s="55">
        <f t="shared" si="120"/>
        <v>0</v>
      </c>
    </row>
    <row r="2287" spans="1:19" hidden="1">
      <c r="A2287" s="5">
        <v>2352</v>
      </c>
      <c r="B2287" s="59"/>
      <c r="C2287" s="60"/>
      <c r="D2287" s="61"/>
      <c r="E2287" s="63"/>
      <c r="F2287" s="63" t="s">
        <v>139</v>
      </c>
      <c r="G2287" s="63" t="s">
        <v>12</v>
      </c>
      <c r="H2287" s="62"/>
      <c r="I2287" s="65">
        <v>-336071638.77384645</v>
      </c>
      <c r="J2287" s="65">
        <v>-87096717.004615396</v>
      </c>
      <c r="K2287" s="62"/>
      <c r="L2287" s="65">
        <v>-362158634.67747533</v>
      </c>
      <c r="M2287" s="65">
        <v>-263620226.51499447</v>
      </c>
      <c r="N2287" s="65">
        <v>-98538408.162480861</v>
      </c>
      <c r="P2287">
        <f t="shared" si="118"/>
        <v>108365</v>
      </c>
      <c r="Q2287" t="str">
        <f t="shared" si="119"/>
        <v>S</v>
      </c>
      <c r="R2287" t="str">
        <f>IF(ISERROR(MATCH(P2287&amp;"."&amp;Q2287,R$5:R2286,0)),P2287&amp;"."&amp;Q2287,P2287&amp;"."&amp;Q2287&amp;COUNTIFS(P$5:P2286,P2287,Q$5:Q2286,Q2287))</f>
        <v>108365.S</v>
      </c>
      <c r="S2287" s="55">
        <f t="shared" si="120"/>
        <v>-98538408.162480861</v>
      </c>
    </row>
    <row r="2288" spans="1:19" hidden="1">
      <c r="A2288" s="5">
        <v>2353</v>
      </c>
      <c r="B2288" s="59"/>
      <c r="C2288" s="60"/>
      <c r="D2288" s="63"/>
      <c r="E2288" s="63"/>
      <c r="F2288" s="60"/>
      <c r="G2288" s="61"/>
      <c r="H2288" s="62" t="s">
        <v>674</v>
      </c>
      <c r="I2288" s="65">
        <v>-336071638.77384645</v>
      </c>
      <c r="J2288" s="65">
        <v>-87096717.004615396</v>
      </c>
      <c r="K2288" s="62"/>
      <c r="L2288" s="65">
        <v>-362158634.67747533</v>
      </c>
      <c r="M2288" s="65">
        <v>-263620226.51499447</v>
      </c>
      <c r="N2288" s="64">
        <v>-98538408.162480861</v>
      </c>
      <c r="P2288">
        <f t="shared" si="118"/>
        <v>108365</v>
      </c>
      <c r="Q2288" t="str">
        <f t="shared" si="119"/>
        <v>NA</v>
      </c>
      <c r="R2288" t="str">
        <f>IF(ISERROR(MATCH(P2288&amp;"."&amp;Q2288,R$5:R2287,0)),P2288&amp;"."&amp;Q2288,P2288&amp;"."&amp;Q2288&amp;COUNTIFS(P$5:P2287,P2288,Q$5:Q2287,Q2288))</f>
        <v>108365.NA1</v>
      </c>
      <c r="S2288" s="55">
        <f t="shared" si="120"/>
        <v>-98538408.162480861</v>
      </c>
    </row>
    <row r="2289" spans="1:19" hidden="1">
      <c r="A2289" s="5">
        <v>2354</v>
      </c>
      <c r="B2289" s="59"/>
      <c r="C2289" s="60"/>
      <c r="D2289" s="63"/>
      <c r="E2289" s="63"/>
      <c r="F2289" s="63"/>
      <c r="G2289" s="63"/>
      <c r="H2289" s="62"/>
      <c r="I2289" s="66"/>
      <c r="J2289" s="66"/>
      <c r="K2289" s="62"/>
      <c r="L2289" s="66"/>
      <c r="M2289" s="66"/>
      <c r="N2289" s="66"/>
      <c r="P2289">
        <f t="shared" si="118"/>
        <v>108365</v>
      </c>
      <c r="Q2289" t="str">
        <f t="shared" si="119"/>
        <v>NA</v>
      </c>
      <c r="R2289" t="str">
        <f>IF(ISERROR(MATCH(P2289&amp;"."&amp;Q2289,R$5:R2288,0)),P2289&amp;"."&amp;Q2289,P2289&amp;"."&amp;Q2289&amp;COUNTIFS(P$5:P2288,P2289,Q$5:Q2288,Q2289))</f>
        <v>108365.NA2</v>
      </c>
      <c r="S2289" s="55">
        <f t="shared" si="120"/>
        <v>0</v>
      </c>
    </row>
    <row r="2290" spans="1:19" hidden="1">
      <c r="A2290" s="5">
        <v>2355</v>
      </c>
      <c r="B2290" s="59"/>
      <c r="C2290" s="60">
        <v>108366</v>
      </c>
      <c r="D2290" s="63" t="s">
        <v>541</v>
      </c>
      <c r="E2290" s="63"/>
      <c r="F2290" s="63"/>
      <c r="G2290" s="63"/>
      <c r="H2290" s="62"/>
      <c r="I2290" s="69"/>
      <c r="J2290" s="69"/>
      <c r="K2290" s="62"/>
      <c r="L2290" s="69"/>
      <c r="M2290" s="65"/>
      <c r="N2290" s="65"/>
      <c r="P2290">
        <f t="shared" si="118"/>
        <v>108366</v>
      </c>
      <c r="Q2290" t="str">
        <f t="shared" si="119"/>
        <v>NA</v>
      </c>
      <c r="R2290" t="str">
        <f>IF(ISERROR(MATCH(P2290&amp;"."&amp;Q2290,R$5:R2289,0)),P2290&amp;"."&amp;Q2290,P2290&amp;"."&amp;Q2290&amp;COUNTIFS(P$5:P2289,P2290,Q$5:Q2289,Q2290))</f>
        <v>108366.NA</v>
      </c>
      <c r="S2290" s="55">
        <f t="shared" si="120"/>
        <v>0</v>
      </c>
    </row>
    <row r="2291" spans="1:19" hidden="1">
      <c r="A2291" s="5">
        <v>2356</v>
      </c>
      <c r="B2291" s="59"/>
      <c r="C2291" s="60"/>
      <c r="D2291" s="63"/>
      <c r="E2291" s="70"/>
      <c r="F2291" s="63" t="s">
        <v>139</v>
      </c>
      <c r="G2291" s="63" t="s">
        <v>12</v>
      </c>
      <c r="H2291" s="62"/>
      <c r="I2291" s="69">
        <v>-171275137.85153845</v>
      </c>
      <c r="J2291" s="69">
        <v>-83102263.770769194</v>
      </c>
      <c r="K2291" s="62"/>
      <c r="L2291" s="69">
        <v>-184232630.11786664</v>
      </c>
      <c r="M2291" s="69">
        <v>-95447242.646712542</v>
      </c>
      <c r="N2291" s="69">
        <v>-88785387.471154094</v>
      </c>
      <c r="P2291">
        <f t="shared" si="118"/>
        <v>108366</v>
      </c>
      <c r="Q2291" t="str">
        <f t="shared" si="119"/>
        <v>S</v>
      </c>
      <c r="R2291" t="str">
        <f>IF(ISERROR(MATCH(P2291&amp;"."&amp;Q2291,R$5:R2290,0)),P2291&amp;"."&amp;Q2291,P2291&amp;"."&amp;Q2291&amp;COUNTIFS(P$5:P2290,P2291,Q$5:Q2290,Q2291))</f>
        <v>108366.S</v>
      </c>
      <c r="S2291" s="55">
        <f t="shared" si="120"/>
        <v>-88785387.471154094</v>
      </c>
    </row>
    <row r="2292" spans="1:19" hidden="1">
      <c r="A2292" s="5">
        <v>2357</v>
      </c>
      <c r="B2292" s="59"/>
      <c r="C2292" s="71"/>
      <c r="D2292" s="72"/>
      <c r="E2292" s="73"/>
      <c r="F2292" s="63"/>
      <c r="G2292" s="72"/>
      <c r="H2292" s="74" t="s">
        <v>674</v>
      </c>
      <c r="I2292" s="75">
        <v>-171275137.85153845</v>
      </c>
      <c r="J2292" s="75">
        <v>-83102263.770769194</v>
      </c>
      <c r="K2292" s="62"/>
      <c r="L2292" s="75">
        <v>-184232630.11786664</v>
      </c>
      <c r="M2292" s="75">
        <v>-95447242.646712542</v>
      </c>
      <c r="N2292" s="75">
        <v>-88785387.471154094</v>
      </c>
      <c r="P2292">
        <f t="shared" si="118"/>
        <v>108366</v>
      </c>
      <c r="Q2292" t="str">
        <f t="shared" si="119"/>
        <v>NA</v>
      </c>
      <c r="R2292" t="str">
        <f>IF(ISERROR(MATCH(P2292&amp;"."&amp;Q2292,R$5:R2291,0)),P2292&amp;"."&amp;Q2292,P2292&amp;"."&amp;Q2292&amp;COUNTIFS(P$5:P2291,P2292,Q$5:Q2291,Q2292))</f>
        <v>108366.NA1</v>
      </c>
      <c r="S2292" s="55">
        <f t="shared" si="120"/>
        <v>-88785387.471154094</v>
      </c>
    </row>
    <row r="2293" spans="1:19" hidden="1">
      <c r="A2293" s="5">
        <v>2358</v>
      </c>
      <c r="B2293" s="59"/>
      <c r="C2293" s="60"/>
      <c r="D2293" s="61"/>
      <c r="E2293" s="63"/>
      <c r="F2293" s="63"/>
      <c r="G2293" s="63"/>
      <c r="H2293" s="62"/>
      <c r="I2293" s="65"/>
      <c r="J2293" s="65"/>
      <c r="K2293" s="62"/>
      <c r="L2293" s="65"/>
      <c r="M2293" s="65"/>
      <c r="N2293" s="65"/>
      <c r="P2293">
        <f t="shared" si="118"/>
        <v>108366</v>
      </c>
      <c r="Q2293" t="str">
        <f t="shared" si="119"/>
        <v>NA</v>
      </c>
      <c r="R2293" t="str">
        <f>IF(ISERROR(MATCH(P2293&amp;"."&amp;Q2293,R$5:R2292,0)),P2293&amp;"."&amp;Q2293,P2293&amp;"."&amp;Q2293&amp;COUNTIFS(P$5:P2292,P2293,Q$5:Q2292,Q2293))</f>
        <v>108366.NA2</v>
      </c>
      <c r="S2293" s="55">
        <f t="shared" si="120"/>
        <v>0</v>
      </c>
    </row>
    <row r="2294" spans="1:19" hidden="1">
      <c r="A2294" s="5">
        <v>2359</v>
      </c>
      <c r="B2294" s="59"/>
      <c r="C2294" s="60">
        <v>108367</v>
      </c>
      <c r="D2294" s="63" t="s">
        <v>542</v>
      </c>
      <c r="E2294" s="63"/>
      <c r="F2294" s="60"/>
      <c r="G2294" s="61"/>
      <c r="H2294" s="62"/>
      <c r="I2294" s="65"/>
      <c r="J2294" s="65"/>
      <c r="K2294" s="62"/>
      <c r="L2294" s="65"/>
      <c r="M2294" s="65"/>
      <c r="N2294" s="64"/>
      <c r="P2294">
        <f t="shared" si="118"/>
        <v>108367</v>
      </c>
      <c r="Q2294" t="str">
        <f t="shared" si="119"/>
        <v>NA</v>
      </c>
      <c r="R2294" t="str">
        <f>IF(ISERROR(MATCH(P2294&amp;"."&amp;Q2294,R$5:R2293,0)),P2294&amp;"."&amp;Q2294,P2294&amp;"."&amp;Q2294&amp;COUNTIFS(P$5:P2293,P2294,Q$5:Q2293,Q2294))</f>
        <v>108367.NA</v>
      </c>
      <c r="S2294" s="55">
        <f t="shared" si="120"/>
        <v>0</v>
      </c>
    </row>
    <row r="2295" spans="1:19" hidden="1">
      <c r="A2295" s="5">
        <v>2360</v>
      </c>
      <c r="B2295" s="59"/>
      <c r="C2295" s="60"/>
      <c r="D2295" s="63"/>
      <c r="E2295" s="63"/>
      <c r="F2295" s="63" t="s">
        <v>139</v>
      </c>
      <c r="G2295" s="63" t="s">
        <v>12</v>
      </c>
      <c r="H2295" s="62"/>
      <c r="I2295" s="66">
        <v>-403880530.83384591</v>
      </c>
      <c r="J2295" s="66">
        <v>-231959086.51076901</v>
      </c>
      <c r="K2295" s="62"/>
      <c r="L2295" s="66">
        <v>-434174984.6867739</v>
      </c>
      <c r="M2295" s="66">
        <v>-188928826.48473394</v>
      </c>
      <c r="N2295" s="66">
        <v>-245246158.20203996</v>
      </c>
      <c r="P2295">
        <f t="shared" si="118"/>
        <v>108367</v>
      </c>
      <c r="Q2295" t="str">
        <f t="shared" si="119"/>
        <v>S</v>
      </c>
      <c r="R2295" t="str">
        <f>IF(ISERROR(MATCH(P2295&amp;"."&amp;Q2295,R$5:R2294,0)),P2295&amp;"."&amp;Q2295,P2295&amp;"."&amp;Q2295&amp;COUNTIFS(P$5:P2294,P2295,Q$5:Q2294,Q2295))</f>
        <v>108367.S</v>
      </c>
      <c r="S2295" s="55">
        <f t="shared" si="120"/>
        <v>-245246158.20203996</v>
      </c>
    </row>
    <row r="2296" spans="1:19" hidden="1">
      <c r="A2296" s="5">
        <v>2361</v>
      </c>
      <c r="B2296" s="59"/>
      <c r="C2296" s="60"/>
      <c r="D2296" s="63"/>
      <c r="E2296" s="63"/>
      <c r="F2296" s="63"/>
      <c r="G2296" s="63"/>
      <c r="H2296" s="62" t="s">
        <v>674</v>
      </c>
      <c r="I2296" s="65">
        <v>-403880530.83384591</v>
      </c>
      <c r="J2296" s="65">
        <v>-231959086.51076901</v>
      </c>
      <c r="K2296" s="62"/>
      <c r="L2296" s="65">
        <v>-434174984.6867739</v>
      </c>
      <c r="M2296" s="65">
        <v>-188928826.48473394</v>
      </c>
      <c r="N2296" s="65">
        <v>-245246158.20203996</v>
      </c>
      <c r="P2296">
        <f t="shared" si="118"/>
        <v>108367</v>
      </c>
      <c r="Q2296" t="str">
        <f t="shared" si="119"/>
        <v>NA</v>
      </c>
      <c r="R2296" t="str">
        <f>IF(ISERROR(MATCH(P2296&amp;"."&amp;Q2296,R$5:R2295,0)),P2296&amp;"."&amp;Q2296,P2296&amp;"."&amp;Q2296&amp;COUNTIFS(P$5:P2295,P2296,Q$5:Q2295,Q2296))</f>
        <v>108367.NA1</v>
      </c>
      <c r="S2296" s="55">
        <f t="shared" si="120"/>
        <v>-245246158.20203996</v>
      </c>
    </row>
    <row r="2297" spans="1:19" hidden="1">
      <c r="A2297" s="5">
        <v>2362</v>
      </c>
      <c r="B2297" s="59"/>
      <c r="C2297" s="60"/>
      <c r="D2297" s="61"/>
      <c r="E2297" s="63"/>
      <c r="F2297" s="63"/>
      <c r="G2297" s="63"/>
      <c r="H2297" s="62"/>
      <c r="I2297" s="65"/>
      <c r="J2297" s="65"/>
      <c r="K2297" s="62"/>
      <c r="L2297" s="65"/>
      <c r="M2297" s="65"/>
      <c r="N2297" s="65"/>
      <c r="P2297">
        <f t="shared" si="118"/>
        <v>108367</v>
      </c>
      <c r="Q2297" t="str">
        <f t="shared" si="119"/>
        <v>NA</v>
      </c>
      <c r="R2297" t="str">
        <f>IF(ISERROR(MATCH(P2297&amp;"."&amp;Q2297,R$5:R2296,0)),P2297&amp;"."&amp;Q2297,P2297&amp;"."&amp;Q2297&amp;COUNTIFS(P$5:P2296,P2297,Q$5:Q2296,Q2297))</f>
        <v>108367.NA2</v>
      </c>
      <c r="S2297" s="55">
        <f t="shared" si="120"/>
        <v>0</v>
      </c>
    </row>
    <row r="2298" spans="1:19" hidden="1">
      <c r="A2298" s="5">
        <v>2363</v>
      </c>
      <c r="B2298" s="59"/>
      <c r="C2298" s="60">
        <v>108368</v>
      </c>
      <c r="D2298" s="63" t="s">
        <v>551</v>
      </c>
      <c r="E2298" s="63"/>
      <c r="F2298" s="60"/>
      <c r="G2298" s="61"/>
      <c r="H2298" s="62"/>
      <c r="I2298" s="65"/>
      <c r="J2298" s="65"/>
      <c r="K2298" s="62"/>
      <c r="L2298" s="65"/>
      <c r="M2298" s="65"/>
      <c r="N2298" s="64"/>
      <c r="P2298">
        <f t="shared" si="118"/>
        <v>108368</v>
      </c>
      <c r="Q2298" t="str">
        <f t="shared" si="119"/>
        <v>NA</v>
      </c>
      <c r="R2298" t="str">
        <f>IF(ISERROR(MATCH(P2298&amp;"."&amp;Q2298,R$5:R2297,0)),P2298&amp;"."&amp;Q2298,P2298&amp;"."&amp;Q2298&amp;COUNTIFS(P$5:P2297,P2298,Q$5:Q2297,Q2298))</f>
        <v>108368.NA</v>
      </c>
      <c r="S2298" s="55">
        <f t="shared" si="120"/>
        <v>0</v>
      </c>
    </row>
    <row r="2299" spans="1:19" hidden="1">
      <c r="A2299" s="5">
        <v>2364</v>
      </c>
      <c r="B2299" s="59"/>
      <c r="C2299" s="60"/>
      <c r="D2299" s="63"/>
      <c r="E2299" s="63"/>
      <c r="F2299" s="63" t="s">
        <v>139</v>
      </c>
      <c r="G2299" s="63" t="s">
        <v>12</v>
      </c>
      <c r="H2299" s="62"/>
      <c r="I2299" s="66">
        <v>-545413447.02615452</v>
      </c>
      <c r="J2299" s="66">
        <v>-134556729.40923101</v>
      </c>
      <c r="K2299" s="62"/>
      <c r="L2299" s="66">
        <v>-592012720.64483368</v>
      </c>
      <c r="M2299" s="66">
        <v>-437017666.3746084</v>
      </c>
      <c r="N2299" s="66">
        <v>-154995054.27022529</v>
      </c>
      <c r="P2299">
        <f t="shared" si="118"/>
        <v>108368</v>
      </c>
      <c r="Q2299" t="str">
        <f t="shared" si="119"/>
        <v>S</v>
      </c>
      <c r="R2299" t="str">
        <f>IF(ISERROR(MATCH(P2299&amp;"."&amp;Q2299,R$5:R2298,0)),P2299&amp;"."&amp;Q2299,P2299&amp;"."&amp;Q2299&amp;COUNTIFS(P$5:P2298,P2299,Q$5:Q2298,Q2299))</f>
        <v>108368.S</v>
      </c>
      <c r="S2299" s="55">
        <f t="shared" si="120"/>
        <v>-154995054.27022529</v>
      </c>
    </row>
    <row r="2300" spans="1:19" hidden="1">
      <c r="A2300" s="5">
        <v>2365</v>
      </c>
      <c r="B2300" s="59"/>
      <c r="C2300" s="60"/>
      <c r="D2300" s="63"/>
      <c r="E2300" s="63"/>
      <c r="F2300" s="63" t="s">
        <v>141</v>
      </c>
      <c r="G2300" s="63"/>
      <c r="H2300" s="62" t="s">
        <v>674</v>
      </c>
      <c r="I2300" s="65">
        <v>-545413447.02615452</v>
      </c>
      <c r="J2300" s="65">
        <v>-134556729.40923101</v>
      </c>
      <c r="K2300" s="62"/>
      <c r="L2300" s="65">
        <v>-592012720.64483368</v>
      </c>
      <c r="M2300" s="65">
        <v>-437017666.3746084</v>
      </c>
      <c r="N2300" s="65">
        <v>-154995054.27022529</v>
      </c>
      <c r="P2300">
        <f t="shared" si="118"/>
        <v>108368</v>
      </c>
      <c r="Q2300" t="str">
        <f t="shared" si="119"/>
        <v>NA</v>
      </c>
      <c r="R2300" t="str">
        <f>IF(ISERROR(MATCH(P2300&amp;"."&amp;Q2300,R$5:R2299,0)),P2300&amp;"."&amp;Q2300,P2300&amp;"."&amp;Q2300&amp;COUNTIFS(P$5:P2299,P2300,Q$5:Q2299,Q2300))</f>
        <v>108368.NA1</v>
      </c>
      <c r="S2300" s="55">
        <f t="shared" si="120"/>
        <v>-154995054.27022529</v>
      </c>
    </row>
    <row r="2301" spans="1:19" hidden="1">
      <c r="A2301" s="5">
        <v>2366</v>
      </c>
      <c r="B2301" s="59"/>
      <c r="C2301" s="60"/>
      <c r="D2301" s="61"/>
      <c r="E2301" s="63"/>
      <c r="F2301" s="63"/>
      <c r="G2301" s="63"/>
      <c r="H2301" s="62"/>
      <c r="I2301" s="65"/>
      <c r="J2301" s="65"/>
      <c r="K2301" s="62"/>
      <c r="L2301" s="65"/>
      <c r="M2301" s="65"/>
      <c r="N2301" s="65"/>
      <c r="P2301">
        <f t="shared" si="118"/>
        <v>108368</v>
      </c>
      <c r="Q2301" t="str">
        <f t="shared" si="119"/>
        <v>NA</v>
      </c>
      <c r="R2301" t="str">
        <f>IF(ISERROR(MATCH(P2301&amp;"."&amp;Q2301,R$5:R2300,0)),P2301&amp;"."&amp;Q2301,P2301&amp;"."&amp;Q2301&amp;COUNTIFS(P$5:P2300,P2301,Q$5:Q2300,Q2301))</f>
        <v>108368.NA2</v>
      </c>
      <c r="S2301" s="55">
        <f t="shared" si="120"/>
        <v>0</v>
      </c>
    </row>
    <row r="2302" spans="1:19" hidden="1">
      <c r="A2302" s="5">
        <v>2367</v>
      </c>
      <c r="B2302" s="59"/>
      <c r="C2302" s="60">
        <v>108369</v>
      </c>
      <c r="D2302" s="63" t="s">
        <v>387</v>
      </c>
      <c r="E2302" s="63"/>
      <c r="F2302" s="60"/>
      <c r="G2302" s="61"/>
      <c r="H2302" s="62"/>
      <c r="I2302" s="65"/>
      <c r="J2302" s="65"/>
      <c r="K2302" s="62"/>
      <c r="L2302" s="65"/>
      <c r="M2302" s="65"/>
      <c r="N2302" s="64"/>
      <c r="P2302">
        <f t="shared" si="118"/>
        <v>108369</v>
      </c>
      <c r="Q2302" t="str">
        <f t="shared" si="119"/>
        <v>NA</v>
      </c>
      <c r="R2302" t="str">
        <f>IF(ISERROR(MATCH(P2302&amp;"."&amp;Q2302,R$5:R2301,0)),P2302&amp;"."&amp;Q2302,P2302&amp;"."&amp;Q2302&amp;COUNTIFS(P$5:P2301,P2302,Q$5:Q2301,Q2302))</f>
        <v>108369.NA</v>
      </c>
      <c r="S2302" s="55">
        <f t="shared" si="120"/>
        <v>0</v>
      </c>
    </row>
    <row r="2303" spans="1:19" hidden="1">
      <c r="A2303" s="5">
        <v>2368</v>
      </c>
      <c r="B2303" s="59"/>
      <c r="C2303" s="60"/>
      <c r="D2303" s="63"/>
      <c r="E2303" s="63"/>
      <c r="F2303" s="63" t="s">
        <v>139</v>
      </c>
      <c r="G2303" s="63" t="s">
        <v>12</v>
      </c>
      <c r="H2303" s="62"/>
      <c r="I2303" s="66">
        <v>-326302278.32846171</v>
      </c>
      <c r="J2303" s="66">
        <v>-111082559.216923</v>
      </c>
      <c r="K2303" s="62"/>
      <c r="L2303" s="66">
        <v>-354202251.13243592</v>
      </c>
      <c r="M2303" s="66">
        <v>-230882833.62354252</v>
      </c>
      <c r="N2303" s="66">
        <v>-123319417.5088934</v>
      </c>
      <c r="P2303">
        <f t="shared" si="118"/>
        <v>108369</v>
      </c>
      <c r="Q2303" t="str">
        <f t="shared" si="119"/>
        <v>S</v>
      </c>
      <c r="R2303" t="str">
        <f>IF(ISERROR(MATCH(P2303&amp;"."&amp;Q2303,R$5:R2302,0)),P2303&amp;"."&amp;Q2303,P2303&amp;"."&amp;Q2303&amp;COUNTIFS(P$5:P2302,P2303,Q$5:Q2302,Q2303))</f>
        <v>108369.S</v>
      </c>
      <c r="S2303" s="55">
        <f t="shared" si="120"/>
        <v>-123319417.5088934</v>
      </c>
    </row>
    <row r="2304" spans="1:19" hidden="1">
      <c r="A2304" s="5">
        <v>2369</v>
      </c>
      <c r="B2304" s="59"/>
      <c r="C2304" s="60"/>
      <c r="D2304" s="63"/>
      <c r="E2304" s="63"/>
      <c r="F2304" s="63" t="s">
        <v>141</v>
      </c>
      <c r="G2304" s="63"/>
      <c r="H2304" s="62" t="s">
        <v>674</v>
      </c>
      <c r="I2304" s="65">
        <v>-326302278.32846171</v>
      </c>
      <c r="J2304" s="65">
        <v>-111082559.216923</v>
      </c>
      <c r="K2304" s="62"/>
      <c r="L2304" s="65">
        <v>-354202251.13243592</v>
      </c>
      <c r="M2304" s="65">
        <v>-230882833.62354252</v>
      </c>
      <c r="N2304" s="65">
        <v>-123319417.5088934</v>
      </c>
      <c r="P2304">
        <f t="shared" si="118"/>
        <v>108369</v>
      </c>
      <c r="Q2304" t="str">
        <f t="shared" si="119"/>
        <v>NA</v>
      </c>
      <c r="R2304" t="str">
        <f>IF(ISERROR(MATCH(P2304&amp;"."&amp;Q2304,R$5:R2303,0)),P2304&amp;"."&amp;Q2304,P2304&amp;"."&amp;Q2304&amp;COUNTIFS(P$5:P2303,P2304,Q$5:Q2303,Q2304))</f>
        <v>108369.NA1</v>
      </c>
      <c r="S2304" s="55">
        <f t="shared" si="120"/>
        <v>-123319417.5088934</v>
      </c>
    </row>
    <row r="2305" spans="1:19" hidden="1">
      <c r="A2305" s="5">
        <v>2370</v>
      </c>
      <c r="B2305" s="59"/>
      <c r="C2305" s="60"/>
      <c r="D2305" s="61"/>
      <c r="E2305" s="63"/>
      <c r="F2305" s="63"/>
      <c r="G2305" s="63"/>
      <c r="H2305" s="62"/>
      <c r="I2305" s="65"/>
      <c r="J2305" s="65"/>
      <c r="K2305" s="62"/>
      <c r="L2305" s="65"/>
      <c r="M2305" s="65"/>
      <c r="N2305" s="65"/>
      <c r="P2305">
        <f t="shared" si="118"/>
        <v>108369</v>
      </c>
      <c r="Q2305" t="str">
        <f t="shared" si="119"/>
        <v>NA</v>
      </c>
      <c r="R2305" t="str">
        <f>IF(ISERROR(MATCH(P2305&amp;"."&amp;Q2305,R$5:R2304,0)),P2305&amp;"."&amp;Q2305,P2305&amp;"."&amp;Q2305&amp;COUNTIFS(P$5:P2304,P2305,Q$5:Q2304,Q2305))</f>
        <v>108369.NA2</v>
      </c>
      <c r="S2305" s="55">
        <f t="shared" si="120"/>
        <v>0</v>
      </c>
    </row>
    <row r="2306" spans="1:19" hidden="1">
      <c r="A2306" s="5">
        <v>2371</v>
      </c>
      <c r="B2306" s="59"/>
      <c r="C2306" s="60">
        <v>108370</v>
      </c>
      <c r="D2306" s="63" t="s">
        <v>388</v>
      </c>
      <c r="E2306" s="63"/>
      <c r="F2306" s="60"/>
      <c r="G2306" s="61"/>
      <c r="H2306" s="62"/>
      <c r="I2306" s="65"/>
      <c r="J2306" s="65"/>
      <c r="K2306" s="62"/>
      <c r="L2306" s="65"/>
      <c r="M2306" s="65"/>
      <c r="N2306" s="64"/>
      <c r="P2306">
        <f t="shared" si="118"/>
        <v>108370</v>
      </c>
      <c r="Q2306" t="str">
        <f t="shared" si="119"/>
        <v>NA</v>
      </c>
      <c r="R2306" t="str">
        <f>IF(ISERROR(MATCH(P2306&amp;"."&amp;Q2306,R$5:R2305,0)),P2306&amp;"."&amp;Q2306,P2306&amp;"."&amp;Q2306&amp;COUNTIFS(P$5:P2305,P2306,Q$5:Q2305,Q2306))</f>
        <v>108370.NA</v>
      </c>
      <c r="S2306" s="55">
        <f t="shared" si="120"/>
        <v>0</v>
      </c>
    </row>
    <row r="2307" spans="1:19" hidden="1">
      <c r="A2307" s="5">
        <v>2372</v>
      </c>
      <c r="B2307" s="59"/>
      <c r="C2307" s="60"/>
      <c r="D2307" s="63"/>
      <c r="E2307" s="63"/>
      <c r="F2307" s="63" t="s">
        <v>139</v>
      </c>
      <c r="G2307" s="63" t="s">
        <v>12</v>
      </c>
      <c r="H2307" s="62"/>
      <c r="I2307" s="66">
        <v>-79103554.28692311</v>
      </c>
      <c r="J2307" s="66">
        <v>-45132468.580769204</v>
      </c>
      <c r="K2307" s="62"/>
      <c r="L2307" s="66">
        <v>-86970021.112625286</v>
      </c>
      <c r="M2307" s="66">
        <v>-38387339.856706388</v>
      </c>
      <c r="N2307" s="66">
        <v>-48582681.255918898</v>
      </c>
      <c r="P2307">
        <f t="shared" si="118"/>
        <v>108370</v>
      </c>
      <c r="Q2307" t="str">
        <f t="shared" si="119"/>
        <v>S</v>
      </c>
      <c r="R2307" t="str">
        <f>IF(ISERROR(MATCH(P2307&amp;"."&amp;Q2307,R$5:R2306,0)),P2307&amp;"."&amp;Q2307,P2307&amp;"."&amp;Q2307&amp;COUNTIFS(P$5:P2306,P2307,Q$5:Q2306,Q2307))</f>
        <v>108370.S</v>
      </c>
      <c r="S2307" s="55">
        <f t="shared" si="120"/>
        <v>-48582681.255918898</v>
      </c>
    </row>
    <row r="2308" spans="1:19" hidden="1">
      <c r="A2308" s="5">
        <v>2373</v>
      </c>
      <c r="B2308" s="59"/>
      <c r="C2308" s="60"/>
      <c r="D2308" s="63"/>
      <c r="E2308" s="63"/>
      <c r="F2308" s="63"/>
      <c r="G2308" s="63"/>
      <c r="H2308" s="62" t="s">
        <v>674</v>
      </c>
      <c r="I2308" s="65">
        <v>-79103554.28692311</v>
      </c>
      <c r="J2308" s="65">
        <v>-45132468.580769204</v>
      </c>
      <c r="K2308" s="62"/>
      <c r="L2308" s="65">
        <v>-86970021.112625286</v>
      </c>
      <c r="M2308" s="65">
        <v>-38387339.856706388</v>
      </c>
      <c r="N2308" s="65">
        <v>-48582681.255918898</v>
      </c>
      <c r="P2308">
        <f t="shared" si="118"/>
        <v>108370</v>
      </c>
      <c r="Q2308" t="str">
        <f t="shared" si="119"/>
        <v>NA</v>
      </c>
      <c r="R2308" t="str">
        <f>IF(ISERROR(MATCH(P2308&amp;"."&amp;Q2308,R$5:R2307,0)),P2308&amp;"."&amp;Q2308,P2308&amp;"."&amp;Q2308&amp;COUNTIFS(P$5:P2307,P2308,Q$5:Q2307,Q2308))</f>
        <v>108370.NA1</v>
      </c>
      <c r="S2308" s="55">
        <f t="shared" si="120"/>
        <v>-48582681.255918898</v>
      </c>
    </row>
    <row r="2309" spans="1:19" hidden="1">
      <c r="A2309" s="5">
        <v>2374</v>
      </c>
      <c r="B2309" s="59"/>
      <c r="C2309" s="60"/>
      <c r="D2309" s="61"/>
      <c r="E2309" s="63"/>
      <c r="F2309" s="63"/>
      <c r="G2309" s="63"/>
      <c r="H2309" s="62"/>
      <c r="I2309" s="65"/>
      <c r="J2309" s="65"/>
      <c r="K2309" s="62"/>
      <c r="L2309" s="65"/>
      <c r="M2309" s="65"/>
      <c r="N2309" s="65"/>
      <c r="P2309">
        <f t="shared" si="118"/>
        <v>108370</v>
      </c>
      <c r="Q2309" t="str">
        <f t="shared" si="119"/>
        <v>NA</v>
      </c>
      <c r="R2309" t="str">
        <f>IF(ISERROR(MATCH(P2309&amp;"."&amp;Q2309,R$5:R2308,0)),P2309&amp;"."&amp;Q2309,P2309&amp;"."&amp;Q2309&amp;COUNTIFS(P$5:P2308,P2309,Q$5:Q2308,Q2309))</f>
        <v>108370.NA2</v>
      </c>
      <c r="S2309" s="55">
        <f t="shared" si="120"/>
        <v>0</v>
      </c>
    </row>
    <row r="2310" spans="1:19" hidden="1">
      <c r="A2310" s="5">
        <v>2375</v>
      </c>
      <c r="B2310" s="59"/>
      <c r="C2310" s="60"/>
      <c r="D2310" s="63"/>
      <c r="E2310" s="63"/>
      <c r="F2310" s="60"/>
      <c r="G2310" s="61"/>
      <c r="H2310" s="62"/>
      <c r="I2310" s="65"/>
      <c r="J2310" s="65"/>
      <c r="K2310" s="62"/>
      <c r="L2310" s="65"/>
      <c r="M2310" s="65"/>
      <c r="N2310" s="64"/>
      <c r="P2310">
        <f t="shared" si="118"/>
        <v>108370</v>
      </c>
      <c r="Q2310" t="str">
        <f t="shared" si="119"/>
        <v>NA</v>
      </c>
      <c r="R2310" t="str">
        <f>IF(ISERROR(MATCH(P2310&amp;"."&amp;Q2310,R$5:R2309,0)),P2310&amp;"."&amp;Q2310,P2310&amp;"."&amp;Q2310&amp;COUNTIFS(P$5:P2309,P2310,Q$5:Q2309,Q2310))</f>
        <v>108370.NA3</v>
      </c>
      <c r="S2310" s="55">
        <f t="shared" si="120"/>
        <v>0</v>
      </c>
    </row>
    <row r="2311" spans="1:19" hidden="1">
      <c r="A2311" s="5">
        <v>2376</v>
      </c>
      <c r="B2311" s="59"/>
      <c r="C2311" s="60"/>
      <c r="D2311" s="63"/>
      <c r="E2311" s="63"/>
      <c r="F2311" s="63"/>
      <c r="G2311" s="63"/>
      <c r="H2311" s="62"/>
      <c r="I2311" s="66"/>
      <c r="J2311" s="66"/>
      <c r="K2311" s="62"/>
      <c r="L2311" s="66"/>
      <c r="M2311" s="66"/>
      <c r="N2311" s="66"/>
      <c r="P2311">
        <f t="shared" ref="P2311:P2374" si="121">IF(OR(C2311="",C2311=" ",C2311="  ",C2311="   "),P2310,C2311)</f>
        <v>108370</v>
      </c>
      <c r="Q2311" t="str">
        <f t="shared" ref="Q2311:Q2374" si="122">IF(G2311="","NA",G2311)</f>
        <v>NA</v>
      </c>
      <c r="R2311" t="str">
        <f>IF(ISERROR(MATCH(P2311&amp;"."&amp;Q2311,R$5:R2310,0)),P2311&amp;"."&amp;Q2311,P2311&amp;"."&amp;Q2311&amp;COUNTIFS(P$5:P2310,P2311,Q$5:Q2310,Q2311))</f>
        <v>108370.NA4</v>
      </c>
      <c r="S2311" s="55">
        <f t="shared" si="120"/>
        <v>0</v>
      </c>
    </row>
    <row r="2312" spans="1:19" hidden="1">
      <c r="A2312" s="5">
        <v>2377</v>
      </c>
      <c r="B2312" s="59"/>
      <c r="C2312" s="60">
        <v>108371</v>
      </c>
      <c r="D2312" s="63" t="s">
        <v>552</v>
      </c>
      <c r="E2312" s="63"/>
      <c r="F2312" s="63"/>
      <c r="G2312" s="63"/>
      <c r="H2312" s="62"/>
      <c r="I2312" s="65"/>
      <c r="J2312" s="65"/>
      <c r="K2312" s="62"/>
      <c r="L2312" s="65"/>
      <c r="M2312" s="65"/>
      <c r="N2312" s="65"/>
      <c r="P2312">
        <f t="shared" si="121"/>
        <v>108371</v>
      </c>
      <c r="Q2312" t="str">
        <f t="shared" si="122"/>
        <v>NA</v>
      </c>
      <c r="R2312" t="str">
        <f>IF(ISERROR(MATCH(P2312&amp;"."&amp;Q2312,R$5:R2311,0)),P2312&amp;"."&amp;Q2312,P2312&amp;"."&amp;Q2312&amp;COUNTIFS(P$5:P2311,P2312,Q$5:Q2311,Q2312))</f>
        <v>108371.NA</v>
      </c>
      <c r="S2312" s="55">
        <f t="shared" ref="S2312:S2375" si="123">N2312</f>
        <v>0</v>
      </c>
    </row>
    <row r="2313" spans="1:19" hidden="1">
      <c r="A2313" s="5">
        <v>2378</v>
      </c>
      <c r="B2313" s="59"/>
      <c r="C2313" s="60"/>
      <c r="D2313" s="61"/>
      <c r="E2313" s="63"/>
      <c r="F2313" s="63" t="s">
        <v>139</v>
      </c>
      <c r="G2313" s="63" t="s">
        <v>12</v>
      </c>
      <c r="H2313" s="62"/>
      <c r="I2313" s="65">
        <v>-7268642.8961538393</v>
      </c>
      <c r="J2313" s="65">
        <v>-3373352.97230769</v>
      </c>
      <c r="K2313" s="62"/>
      <c r="L2313" s="65">
        <v>-7561366.8314308869</v>
      </c>
      <c r="M2313" s="65">
        <v>-4059625.8732344471</v>
      </c>
      <c r="N2313" s="65">
        <v>-3501740.9581964398</v>
      </c>
      <c r="P2313">
        <f t="shared" si="121"/>
        <v>108371</v>
      </c>
      <c r="Q2313" t="str">
        <f t="shared" si="122"/>
        <v>S</v>
      </c>
      <c r="R2313" t="str">
        <f>IF(ISERROR(MATCH(P2313&amp;"."&amp;Q2313,R$5:R2312,0)),P2313&amp;"."&amp;Q2313,P2313&amp;"."&amp;Q2313&amp;COUNTIFS(P$5:P2312,P2313,Q$5:Q2312,Q2313))</f>
        <v>108371.S</v>
      </c>
      <c r="S2313" s="55">
        <f t="shared" si="123"/>
        <v>-3501740.9581964398</v>
      </c>
    </row>
    <row r="2314" spans="1:19" hidden="1">
      <c r="A2314" s="5">
        <v>2379</v>
      </c>
      <c r="B2314" s="59"/>
      <c r="C2314" s="60"/>
      <c r="D2314" s="63"/>
      <c r="E2314" s="63"/>
      <c r="F2314" s="60"/>
      <c r="G2314" s="61"/>
      <c r="H2314" s="62" t="s">
        <v>674</v>
      </c>
      <c r="I2314" s="65">
        <v>-7268642.8961538393</v>
      </c>
      <c r="J2314" s="65">
        <v>-3373352.97230769</v>
      </c>
      <c r="K2314" s="62"/>
      <c r="L2314" s="65">
        <v>-7561366.8314308869</v>
      </c>
      <c r="M2314" s="65">
        <v>-4059625.8732344471</v>
      </c>
      <c r="N2314" s="64">
        <v>-3501740.9581964398</v>
      </c>
      <c r="P2314">
        <f t="shared" si="121"/>
        <v>108371</v>
      </c>
      <c r="Q2314" t="str">
        <f t="shared" si="122"/>
        <v>NA</v>
      </c>
      <c r="R2314" t="str">
        <f>IF(ISERROR(MATCH(P2314&amp;"."&amp;Q2314,R$5:R2313,0)),P2314&amp;"."&amp;Q2314,P2314&amp;"."&amp;Q2314&amp;COUNTIFS(P$5:P2313,P2314,Q$5:Q2313,Q2314))</f>
        <v>108371.NA1</v>
      </c>
      <c r="S2314" s="55">
        <f t="shared" si="123"/>
        <v>-3501740.9581964398</v>
      </c>
    </row>
    <row r="2315" spans="1:19" hidden="1">
      <c r="A2315" s="5">
        <v>2380</v>
      </c>
      <c r="B2315" s="59"/>
      <c r="C2315" s="60"/>
      <c r="D2315" s="63"/>
      <c r="E2315" s="63"/>
      <c r="F2315" s="63"/>
      <c r="G2315" s="63"/>
      <c r="H2315" s="62"/>
      <c r="I2315" s="66"/>
      <c r="J2315" s="66"/>
      <c r="K2315" s="62"/>
      <c r="L2315" s="66"/>
      <c r="M2315" s="66"/>
      <c r="N2315" s="66"/>
      <c r="P2315">
        <f t="shared" si="121"/>
        <v>108371</v>
      </c>
      <c r="Q2315" t="str">
        <f t="shared" si="122"/>
        <v>NA</v>
      </c>
      <c r="R2315" t="str">
        <f>IF(ISERROR(MATCH(P2315&amp;"."&amp;Q2315,R$5:R2314,0)),P2315&amp;"."&amp;Q2315,P2315&amp;"."&amp;Q2315&amp;COUNTIFS(P$5:P2314,P2315,Q$5:Q2314,Q2315))</f>
        <v>108371.NA2</v>
      </c>
      <c r="S2315" s="55">
        <f t="shared" si="123"/>
        <v>0</v>
      </c>
    </row>
    <row r="2316" spans="1:19" hidden="1">
      <c r="A2316" s="5">
        <v>2381</v>
      </c>
      <c r="B2316" s="59"/>
      <c r="C2316" s="60">
        <v>108372</v>
      </c>
      <c r="D2316" s="63" t="s">
        <v>390</v>
      </c>
      <c r="E2316" s="63"/>
      <c r="F2316" s="63"/>
      <c r="G2316" s="63"/>
      <c r="H2316" s="62"/>
      <c r="I2316" s="65"/>
      <c r="J2316" s="65"/>
      <c r="K2316" s="62"/>
      <c r="L2316" s="65"/>
      <c r="M2316" s="65"/>
      <c r="N2316" s="65"/>
      <c r="P2316">
        <f t="shared" si="121"/>
        <v>108372</v>
      </c>
      <c r="Q2316" t="str">
        <f t="shared" si="122"/>
        <v>NA</v>
      </c>
      <c r="R2316" t="str">
        <f>IF(ISERROR(MATCH(P2316&amp;"."&amp;Q2316,R$5:R2315,0)),P2316&amp;"."&amp;Q2316,P2316&amp;"."&amp;Q2316&amp;COUNTIFS(P$5:P2315,P2316,Q$5:Q2315,Q2316))</f>
        <v>108372.NA</v>
      </c>
      <c r="S2316" s="55">
        <f t="shared" si="123"/>
        <v>0</v>
      </c>
    </row>
    <row r="2317" spans="1:19" hidden="1">
      <c r="A2317" s="5">
        <v>2382</v>
      </c>
      <c r="B2317" s="59"/>
      <c r="C2317" s="60"/>
      <c r="D2317" s="63"/>
      <c r="E2317" s="63"/>
      <c r="F2317" s="63" t="s">
        <v>139</v>
      </c>
      <c r="G2317" s="63" t="s">
        <v>12</v>
      </c>
      <c r="H2317" s="62"/>
      <c r="I2317" s="65">
        <v>0</v>
      </c>
      <c r="J2317" s="65">
        <v>0</v>
      </c>
      <c r="K2317" s="62"/>
      <c r="L2317" s="65">
        <v>0</v>
      </c>
      <c r="M2317" s="65">
        <v>0</v>
      </c>
      <c r="N2317" s="65">
        <v>0</v>
      </c>
      <c r="P2317">
        <f t="shared" si="121"/>
        <v>108372</v>
      </c>
      <c r="Q2317" t="str">
        <f t="shared" si="122"/>
        <v>S</v>
      </c>
      <c r="R2317" t="str">
        <f>IF(ISERROR(MATCH(P2317&amp;"."&amp;Q2317,R$5:R2316,0)),P2317&amp;"."&amp;Q2317,P2317&amp;"."&amp;Q2317&amp;COUNTIFS(P$5:P2316,P2317,Q$5:Q2316,Q2317))</f>
        <v>108372.S</v>
      </c>
      <c r="S2317" s="55">
        <f t="shared" si="123"/>
        <v>0</v>
      </c>
    </row>
    <row r="2318" spans="1:19" ht="15.75" hidden="1" thickBot="1">
      <c r="A2318" s="5">
        <v>2383</v>
      </c>
      <c r="B2318" s="59"/>
      <c r="C2318" s="45"/>
      <c r="D2318" s="63"/>
      <c r="E2318" s="63"/>
      <c r="F2318" s="63"/>
      <c r="G2318" s="63"/>
      <c r="H2318" s="41" t="s">
        <v>674</v>
      </c>
      <c r="I2318" s="68">
        <v>0</v>
      </c>
      <c r="J2318" s="68">
        <v>0</v>
      </c>
      <c r="K2318" s="41"/>
      <c r="L2318" s="68">
        <v>0</v>
      </c>
      <c r="M2318" s="68">
        <v>0</v>
      </c>
      <c r="N2318" s="68">
        <v>0</v>
      </c>
      <c r="P2318">
        <f t="shared" si="121"/>
        <v>108372</v>
      </c>
      <c r="Q2318" t="str">
        <f t="shared" si="122"/>
        <v>NA</v>
      </c>
      <c r="R2318" t="str">
        <f>IF(ISERROR(MATCH(P2318&amp;"."&amp;Q2318,R$5:R2317,0)),P2318&amp;"."&amp;Q2318,P2318&amp;"."&amp;Q2318&amp;COUNTIFS(P$5:P2317,P2318,Q$5:Q2317,Q2318))</f>
        <v>108372.NA1</v>
      </c>
      <c r="S2318" s="55">
        <f t="shared" si="123"/>
        <v>0</v>
      </c>
    </row>
    <row r="2319" spans="1:19" hidden="1">
      <c r="A2319" s="5">
        <v>2384</v>
      </c>
      <c r="B2319" s="59"/>
      <c r="C2319" s="60"/>
      <c r="D2319" s="63"/>
      <c r="E2319" s="63"/>
      <c r="F2319" s="63"/>
      <c r="G2319" s="63"/>
      <c r="H2319" s="62"/>
      <c r="I2319" s="65"/>
      <c r="J2319" s="65"/>
      <c r="K2319" s="62"/>
      <c r="L2319" s="65"/>
      <c r="M2319" s="65"/>
      <c r="N2319" s="65"/>
      <c r="P2319">
        <f t="shared" si="121"/>
        <v>108372</v>
      </c>
      <c r="Q2319" t="str">
        <f t="shared" si="122"/>
        <v>NA</v>
      </c>
      <c r="R2319" t="str">
        <f>IF(ISERROR(MATCH(P2319&amp;"."&amp;Q2319,R$5:R2318,0)),P2319&amp;"."&amp;Q2319,P2319&amp;"."&amp;Q2319&amp;COUNTIFS(P$5:P2318,P2319,Q$5:Q2318,Q2319))</f>
        <v>108372.NA2</v>
      </c>
      <c r="S2319" s="55">
        <f t="shared" si="123"/>
        <v>0</v>
      </c>
    </row>
    <row r="2320" spans="1:19" hidden="1">
      <c r="A2320" s="5">
        <v>2385</v>
      </c>
      <c r="B2320" s="59"/>
      <c r="C2320" s="60">
        <v>108373</v>
      </c>
      <c r="D2320" s="63" t="s">
        <v>553</v>
      </c>
      <c r="E2320" s="63"/>
      <c r="F2320" s="63"/>
      <c r="G2320" s="63"/>
      <c r="H2320" s="62"/>
      <c r="I2320" s="65"/>
      <c r="J2320" s="65"/>
      <c r="K2320" s="62"/>
      <c r="L2320" s="65"/>
      <c r="M2320" s="65"/>
      <c r="N2320" s="65"/>
      <c r="P2320">
        <f t="shared" si="121"/>
        <v>108373</v>
      </c>
      <c r="Q2320" t="str">
        <f t="shared" si="122"/>
        <v>NA</v>
      </c>
      <c r="R2320" t="str">
        <f>IF(ISERROR(MATCH(P2320&amp;"."&amp;Q2320,R$5:R2319,0)),P2320&amp;"."&amp;Q2320,P2320&amp;"."&amp;Q2320&amp;COUNTIFS(P$5:P2319,P2320,Q$5:Q2319,Q2320))</f>
        <v>108373.NA</v>
      </c>
      <c r="S2320" s="55">
        <f t="shared" si="123"/>
        <v>0</v>
      </c>
    </row>
    <row r="2321" spans="1:19" hidden="1">
      <c r="A2321" s="5">
        <v>2386</v>
      </c>
      <c r="B2321" s="59"/>
      <c r="C2321" s="60"/>
      <c r="D2321" s="63"/>
      <c r="E2321" s="60"/>
      <c r="F2321" s="63" t="s">
        <v>139</v>
      </c>
      <c r="G2321" s="63" t="s">
        <v>12</v>
      </c>
      <c r="H2321" s="62"/>
      <c r="I2321" s="65">
        <v>-31646082.121538419</v>
      </c>
      <c r="J2321" s="65">
        <v>-12413319.2723077</v>
      </c>
      <c r="K2321" s="62"/>
      <c r="L2321" s="65">
        <v>-33729007.123763822</v>
      </c>
      <c r="M2321" s="65">
        <v>-20402122.155026354</v>
      </c>
      <c r="N2321" s="64">
        <v>-13326884.968737466</v>
      </c>
      <c r="P2321">
        <f t="shared" si="121"/>
        <v>108373</v>
      </c>
      <c r="Q2321" t="str">
        <f t="shared" si="122"/>
        <v>S</v>
      </c>
      <c r="R2321" t="str">
        <f>IF(ISERROR(MATCH(P2321&amp;"."&amp;Q2321,R$5:R2320,0)),P2321&amp;"."&amp;Q2321,P2321&amp;"."&amp;Q2321&amp;COUNTIFS(P$5:P2320,P2321,Q$5:Q2320,Q2321))</f>
        <v>108373.S</v>
      </c>
      <c r="S2321" s="55">
        <f t="shared" si="123"/>
        <v>-13326884.968737466</v>
      </c>
    </row>
    <row r="2322" spans="1:19" hidden="1">
      <c r="A2322" s="5">
        <v>2387</v>
      </c>
      <c r="B2322" s="59"/>
      <c r="C2322" s="60"/>
      <c r="D2322" s="63"/>
      <c r="E2322" s="63"/>
      <c r="F2322" s="63"/>
      <c r="G2322" s="63"/>
      <c r="H2322" s="62" t="s">
        <v>674</v>
      </c>
      <c r="I2322" s="65">
        <v>-31646082.121538419</v>
      </c>
      <c r="J2322" s="65">
        <v>-12413319.2723077</v>
      </c>
      <c r="K2322" s="62"/>
      <c r="L2322" s="65">
        <v>-33729007.123763822</v>
      </c>
      <c r="M2322" s="65">
        <v>-20402122.155026354</v>
      </c>
      <c r="N2322" s="65">
        <v>-13326884.968737466</v>
      </c>
      <c r="P2322">
        <f t="shared" si="121"/>
        <v>108373</v>
      </c>
      <c r="Q2322" t="str">
        <f t="shared" si="122"/>
        <v>NA</v>
      </c>
      <c r="R2322" t="str">
        <f>IF(ISERROR(MATCH(P2322&amp;"."&amp;Q2322,R$5:R2321,0)),P2322&amp;"."&amp;Q2322,P2322&amp;"."&amp;Q2322&amp;COUNTIFS(P$5:P2321,P2322,Q$5:Q2321,Q2322))</f>
        <v>108373.NA1</v>
      </c>
      <c r="S2322" s="55">
        <f t="shared" si="123"/>
        <v>-13326884.968737466</v>
      </c>
    </row>
    <row r="2323" spans="1:19" ht="15.75" hidden="1" thickBot="1">
      <c r="A2323" s="5">
        <v>2388</v>
      </c>
      <c r="B2323" s="59"/>
      <c r="C2323" s="60"/>
      <c r="D2323" s="63"/>
      <c r="E2323" s="63"/>
      <c r="F2323" s="63"/>
      <c r="G2323" s="63"/>
      <c r="H2323" s="62"/>
      <c r="I2323" s="81"/>
      <c r="J2323" s="81"/>
      <c r="K2323" s="62"/>
      <c r="L2323" s="81"/>
      <c r="M2323" s="81"/>
      <c r="N2323" s="81"/>
      <c r="P2323">
        <f t="shared" si="121"/>
        <v>108373</v>
      </c>
      <c r="Q2323" t="str">
        <f t="shared" si="122"/>
        <v>NA</v>
      </c>
      <c r="R2323" t="str">
        <f>IF(ISERROR(MATCH(P2323&amp;"."&amp;Q2323,R$5:R2322,0)),P2323&amp;"."&amp;Q2323,P2323&amp;"."&amp;Q2323&amp;COUNTIFS(P$5:P2322,P2323,Q$5:Q2322,Q2323))</f>
        <v>108373.NA2</v>
      </c>
      <c r="S2323" s="55">
        <f t="shared" si="123"/>
        <v>0</v>
      </c>
    </row>
    <row r="2324" spans="1:19" hidden="1">
      <c r="A2324" s="5">
        <v>2389</v>
      </c>
      <c r="B2324" s="59"/>
      <c r="C2324" s="60" t="s">
        <v>199</v>
      </c>
      <c r="D2324" s="61" t="s">
        <v>554</v>
      </c>
      <c r="E2324" s="63"/>
      <c r="F2324" s="63"/>
      <c r="G2324" s="63"/>
      <c r="H2324" s="62"/>
      <c r="I2324" s="65"/>
      <c r="J2324" s="65"/>
      <c r="K2324" s="62"/>
      <c r="L2324" s="65"/>
      <c r="M2324" s="65"/>
      <c r="N2324" s="65"/>
      <c r="P2324" t="str">
        <f t="shared" si="121"/>
        <v>108D00</v>
      </c>
      <c r="Q2324" t="str">
        <f t="shared" si="122"/>
        <v>NA</v>
      </c>
      <c r="R2324" t="str">
        <f>IF(ISERROR(MATCH(P2324&amp;"."&amp;Q2324,R$5:R2323,0)),P2324&amp;"."&amp;Q2324,P2324&amp;"."&amp;Q2324&amp;COUNTIFS(P$5:P2323,P2324,Q$5:Q2323,Q2324))</f>
        <v>108D00.NA</v>
      </c>
      <c r="S2324" s="55">
        <f t="shared" si="123"/>
        <v>0</v>
      </c>
    </row>
    <row r="2325" spans="1:19" hidden="1">
      <c r="A2325" s="5">
        <v>2390</v>
      </c>
      <c r="B2325" s="59"/>
      <c r="C2325" s="60"/>
      <c r="D2325" s="63"/>
      <c r="E2325" s="63"/>
      <c r="F2325" s="60" t="s">
        <v>139</v>
      </c>
      <c r="G2325" s="61" t="s">
        <v>12</v>
      </c>
      <c r="H2325" s="62"/>
      <c r="I2325" s="65">
        <v>0</v>
      </c>
      <c r="J2325" s="65">
        <v>0</v>
      </c>
      <c r="K2325" s="62"/>
      <c r="L2325" s="65">
        <v>0</v>
      </c>
      <c r="M2325" s="65">
        <v>0</v>
      </c>
      <c r="N2325" s="64">
        <v>0</v>
      </c>
      <c r="P2325" t="str">
        <f t="shared" si="121"/>
        <v>108D00</v>
      </c>
      <c r="Q2325" t="str">
        <f t="shared" si="122"/>
        <v>S</v>
      </c>
      <c r="R2325" t="str">
        <f>IF(ISERROR(MATCH(P2325&amp;"."&amp;Q2325,R$5:R2324,0)),P2325&amp;"."&amp;Q2325,P2325&amp;"."&amp;Q2325&amp;COUNTIFS(P$5:P2324,P2325,Q$5:Q2324,Q2325))</f>
        <v>108D00.S</v>
      </c>
      <c r="S2325" s="55">
        <f t="shared" si="123"/>
        <v>0</v>
      </c>
    </row>
    <row r="2326" spans="1:19" hidden="1">
      <c r="A2326" s="5">
        <v>2391</v>
      </c>
      <c r="B2326" s="59"/>
      <c r="C2326" s="60"/>
      <c r="D2326" s="63"/>
      <c r="E2326" s="63"/>
      <c r="F2326" s="60"/>
      <c r="G2326" s="61"/>
      <c r="H2326" s="62" t="s">
        <v>674</v>
      </c>
      <c r="I2326" s="65">
        <v>0</v>
      </c>
      <c r="J2326" s="65">
        <v>0</v>
      </c>
      <c r="K2326" s="62"/>
      <c r="L2326" s="65">
        <v>0</v>
      </c>
      <c r="M2326" s="65">
        <v>0</v>
      </c>
      <c r="N2326" s="64">
        <v>0</v>
      </c>
      <c r="P2326" t="str">
        <f t="shared" si="121"/>
        <v>108D00</v>
      </c>
      <c r="Q2326" t="str">
        <f t="shared" si="122"/>
        <v>NA</v>
      </c>
      <c r="R2326" t="str">
        <f>IF(ISERROR(MATCH(P2326&amp;"."&amp;Q2326,R$5:R2325,0)),P2326&amp;"."&amp;Q2326,P2326&amp;"."&amp;Q2326&amp;COUNTIFS(P$5:P2325,P2326,Q$5:Q2325,Q2326))</f>
        <v>108D00.NA1</v>
      </c>
      <c r="S2326" s="55">
        <f t="shared" si="123"/>
        <v>0</v>
      </c>
    </row>
    <row r="2327" spans="1:19" hidden="1">
      <c r="A2327" s="5">
        <v>2392</v>
      </c>
      <c r="B2327" s="59"/>
      <c r="C2327" s="60"/>
      <c r="D2327" s="63"/>
      <c r="E2327" s="63"/>
      <c r="F2327" s="60"/>
      <c r="G2327" s="61"/>
      <c r="H2327" s="62"/>
      <c r="I2327" s="65"/>
      <c r="J2327" s="65"/>
      <c r="K2327" s="62"/>
      <c r="L2327" s="65"/>
      <c r="M2327" s="65"/>
      <c r="N2327" s="64"/>
      <c r="P2327" t="str">
        <f t="shared" si="121"/>
        <v>108D00</v>
      </c>
      <c r="Q2327" t="str">
        <f t="shared" si="122"/>
        <v>NA</v>
      </c>
      <c r="R2327" t="str">
        <f>IF(ISERROR(MATCH(P2327&amp;"."&amp;Q2327,R$5:R2326,0)),P2327&amp;"."&amp;Q2327,P2327&amp;"."&amp;Q2327&amp;COUNTIFS(P$5:P2326,P2327,Q$5:Q2326,Q2327))</f>
        <v>108D00.NA2</v>
      </c>
      <c r="S2327" s="55">
        <f t="shared" si="123"/>
        <v>0</v>
      </c>
    </row>
    <row r="2328" spans="1:19" hidden="1">
      <c r="A2328" s="5">
        <v>2393</v>
      </c>
      <c r="B2328" s="59"/>
      <c r="C2328" s="60" t="s">
        <v>201</v>
      </c>
      <c r="D2328" s="63" t="s">
        <v>555</v>
      </c>
      <c r="E2328" s="63"/>
      <c r="F2328" s="60"/>
      <c r="G2328" s="61"/>
      <c r="H2328" s="62"/>
      <c r="I2328" s="65"/>
      <c r="J2328" s="65"/>
      <c r="K2328" s="62"/>
      <c r="L2328" s="65"/>
      <c r="M2328" s="65"/>
      <c r="N2328" s="64"/>
      <c r="P2328" t="str">
        <f t="shared" si="121"/>
        <v>108DS</v>
      </c>
      <c r="Q2328" t="str">
        <f t="shared" si="122"/>
        <v>NA</v>
      </c>
      <c r="R2328" t="str">
        <f>IF(ISERROR(MATCH(P2328&amp;"."&amp;Q2328,R$5:R2327,0)),P2328&amp;"."&amp;Q2328,P2328&amp;"."&amp;Q2328&amp;COUNTIFS(P$5:P2327,P2328,Q$5:Q2327,Q2328))</f>
        <v>108DS.NA</v>
      </c>
      <c r="S2328" s="55">
        <f t="shared" si="123"/>
        <v>0</v>
      </c>
    </row>
    <row r="2329" spans="1:19" hidden="1">
      <c r="A2329" s="5">
        <v>2394</v>
      </c>
      <c r="B2329" s="59"/>
      <c r="C2329" s="60"/>
      <c r="D2329" s="63"/>
      <c r="E2329" s="63"/>
      <c r="F2329" s="60" t="s">
        <v>139</v>
      </c>
      <c r="G2329" s="61" t="s">
        <v>12</v>
      </c>
      <c r="H2329" s="62"/>
      <c r="I2329" s="65">
        <v>0</v>
      </c>
      <c r="J2329" s="65">
        <v>0</v>
      </c>
      <c r="K2329" s="62"/>
      <c r="L2329" s="65">
        <v>0</v>
      </c>
      <c r="M2329" s="65">
        <v>0</v>
      </c>
      <c r="N2329" s="64">
        <v>0</v>
      </c>
      <c r="P2329" t="str">
        <f t="shared" si="121"/>
        <v>108DS</v>
      </c>
      <c r="Q2329" t="str">
        <f t="shared" si="122"/>
        <v>S</v>
      </c>
      <c r="R2329" t="str">
        <f>IF(ISERROR(MATCH(P2329&amp;"."&amp;Q2329,R$5:R2328,0)),P2329&amp;"."&amp;Q2329,P2329&amp;"."&amp;Q2329&amp;COUNTIFS(P$5:P2328,P2329,Q$5:Q2328,Q2329))</f>
        <v>108DS.S</v>
      </c>
      <c r="S2329" s="55">
        <f t="shared" si="123"/>
        <v>0</v>
      </c>
    </row>
    <row r="2330" spans="1:19" hidden="1">
      <c r="A2330" s="5">
        <v>2395</v>
      </c>
      <c r="B2330" s="59"/>
      <c r="C2330" s="60"/>
      <c r="D2330" s="63"/>
      <c r="E2330" s="63"/>
      <c r="F2330" s="60"/>
      <c r="G2330" s="61"/>
      <c r="H2330" s="62" t="s">
        <v>674</v>
      </c>
      <c r="I2330" s="65">
        <v>0</v>
      </c>
      <c r="J2330" s="65">
        <v>0</v>
      </c>
      <c r="K2330" s="62"/>
      <c r="L2330" s="65">
        <v>0</v>
      </c>
      <c r="M2330" s="65">
        <v>0</v>
      </c>
      <c r="N2330" s="64">
        <v>0</v>
      </c>
      <c r="P2330" t="str">
        <f t="shared" si="121"/>
        <v>108DS</v>
      </c>
      <c r="Q2330" t="str">
        <f t="shared" si="122"/>
        <v>NA</v>
      </c>
      <c r="R2330" t="str">
        <f>IF(ISERROR(MATCH(P2330&amp;"."&amp;Q2330,R$5:R2329,0)),P2330&amp;"."&amp;Q2330,P2330&amp;"."&amp;Q2330&amp;COUNTIFS(P$5:P2329,P2330,Q$5:Q2329,Q2330))</f>
        <v>108DS.NA1</v>
      </c>
      <c r="S2330" s="55">
        <f t="shared" si="123"/>
        <v>0</v>
      </c>
    </row>
    <row r="2331" spans="1:19" hidden="1">
      <c r="A2331" s="5">
        <v>2396</v>
      </c>
      <c r="B2331" s="59"/>
      <c r="C2331" s="60"/>
      <c r="D2331" s="63"/>
      <c r="E2331" s="63"/>
      <c r="F2331" s="60"/>
      <c r="G2331" s="61"/>
      <c r="H2331" s="62"/>
      <c r="I2331" s="65"/>
      <c r="J2331" s="65"/>
      <c r="K2331" s="62"/>
      <c r="L2331" s="65"/>
      <c r="M2331" s="65"/>
      <c r="N2331" s="64"/>
      <c r="P2331" t="str">
        <f t="shared" si="121"/>
        <v>108DS</v>
      </c>
      <c r="Q2331" t="str">
        <f t="shared" si="122"/>
        <v>NA</v>
      </c>
      <c r="R2331" t="str">
        <f>IF(ISERROR(MATCH(P2331&amp;"."&amp;Q2331,R$5:R2330,0)),P2331&amp;"."&amp;Q2331,P2331&amp;"."&amp;Q2331&amp;COUNTIFS(P$5:P2330,P2331,Q$5:Q2330,Q2331))</f>
        <v>108DS.NA2</v>
      </c>
      <c r="S2331" s="55">
        <f t="shared" si="123"/>
        <v>0</v>
      </c>
    </row>
    <row r="2332" spans="1:19" hidden="1">
      <c r="A2332" s="5">
        <v>2397</v>
      </c>
      <c r="B2332" s="59"/>
      <c r="C2332" s="60" t="s">
        <v>200</v>
      </c>
      <c r="D2332" s="63" t="s">
        <v>555</v>
      </c>
      <c r="E2332" s="63"/>
      <c r="F2332" s="60"/>
      <c r="G2332" s="61"/>
      <c r="H2332" s="62"/>
      <c r="I2332" s="65"/>
      <c r="J2332" s="65"/>
      <c r="K2332" s="62"/>
      <c r="L2332" s="65"/>
      <c r="M2332" s="65"/>
      <c r="N2332" s="64"/>
      <c r="P2332" t="str">
        <f t="shared" si="121"/>
        <v>108DP</v>
      </c>
      <c r="Q2332" t="str">
        <f t="shared" si="122"/>
        <v>NA</v>
      </c>
      <c r="R2332" t="str">
        <f>IF(ISERROR(MATCH(P2332&amp;"."&amp;Q2332,R$5:R2331,0)),P2332&amp;"."&amp;Q2332,P2332&amp;"."&amp;Q2332&amp;COUNTIFS(P$5:P2331,P2332,Q$5:Q2331,Q2332))</f>
        <v>108DP.NA</v>
      </c>
      <c r="S2332" s="55">
        <f t="shared" si="123"/>
        <v>0</v>
      </c>
    </row>
    <row r="2333" spans="1:19" hidden="1">
      <c r="A2333" s="5">
        <v>2398</v>
      </c>
      <c r="B2333" s="59"/>
      <c r="C2333" s="60"/>
      <c r="D2333" s="63"/>
      <c r="E2333" s="63"/>
      <c r="F2333" s="60" t="s">
        <v>139</v>
      </c>
      <c r="G2333" s="61" t="s">
        <v>12</v>
      </c>
      <c r="H2333" s="62"/>
      <c r="I2333" s="65">
        <v>6041092.4961538399</v>
      </c>
      <c r="J2333" s="65">
        <v>3413437.2723076898</v>
      </c>
      <c r="K2333" s="62"/>
      <c r="L2333" s="65">
        <v>6041092.4961538399</v>
      </c>
      <c r="M2333" s="65">
        <v>2627655.2238461501</v>
      </c>
      <c r="N2333" s="64">
        <v>3413437.2723076898</v>
      </c>
      <c r="P2333" t="str">
        <f t="shared" si="121"/>
        <v>108DP</v>
      </c>
      <c r="Q2333" t="str">
        <f t="shared" si="122"/>
        <v>S</v>
      </c>
      <c r="R2333" t="str">
        <f>IF(ISERROR(MATCH(P2333&amp;"."&amp;Q2333,R$5:R2332,0)),P2333&amp;"."&amp;Q2333,P2333&amp;"."&amp;Q2333&amp;COUNTIFS(P$5:P2332,P2333,Q$5:Q2332,Q2333))</f>
        <v>108DP.S</v>
      </c>
      <c r="S2333" s="55">
        <f t="shared" si="123"/>
        <v>3413437.2723076898</v>
      </c>
    </row>
    <row r="2334" spans="1:19" hidden="1">
      <c r="A2334" s="5">
        <v>2399</v>
      </c>
      <c r="B2334" s="59"/>
      <c r="C2334" s="60"/>
      <c r="D2334" s="63"/>
      <c r="E2334" s="63"/>
      <c r="F2334" s="63"/>
      <c r="G2334" s="63"/>
      <c r="H2334" s="62" t="s">
        <v>674</v>
      </c>
      <c r="I2334" s="66">
        <v>6041092.4961538399</v>
      </c>
      <c r="J2334" s="66">
        <v>3413437.2723076898</v>
      </c>
      <c r="K2334" s="62"/>
      <c r="L2334" s="66">
        <v>6041092.4961538399</v>
      </c>
      <c r="M2334" s="66">
        <v>2627655.2238461501</v>
      </c>
      <c r="N2334" s="66">
        <v>3413437.2723076898</v>
      </c>
      <c r="P2334" t="str">
        <f t="shared" si="121"/>
        <v>108DP</v>
      </c>
      <c r="Q2334" t="str">
        <f t="shared" si="122"/>
        <v>NA</v>
      </c>
      <c r="R2334" t="str">
        <f>IF(ISERROR(MATCH(P2334&amp;"."&amp;Q2334,R$5:R2333,0)),P2334&amp;"."&amp;Q2334,P2334&amp;"."&amp;Q2334&amp;COUNTIFS(P$5:P2333,P2334,Q$5:Q2333,Q2334))</f>
        <v>108DP.NA1</v>
      </c>
      <c r="S2334" s="55">
        <f t="shared" si="123"/>
        <v>3413437.2723076898</v>
      </c>
    </row>
    <row r="2335" spans="1:19" hidden="1">
      <c r="A2335" s="5">
        <v>2400</v>
      </c>
      <c r="B2335" s="59"/>
      <c r="C2335" s="60"/>
      <c r="D2335" s="63"/>
      <c r="E2335" s="63"/>
      <c r="F2335" s="63"/>
      <c r="G2335" s="63"/>
      <c r="H2335" s="62"/>
      <c r="I2335" s="65"/>
      <c r="J2335" s="65"/>
      <c r="K2335" s="62"/>
      <c r="L2335" s="65"/>
      <c r="M2335" s="65"/>
      <c r="N2335" s="65"/>
      <c r="P2335" t="str">
        <f t="shared" si="121"/>
        <v>108DP</v>
      </c>
      <c r="Q2335" t="str">
        <f t="shared" si="122"/>
        <v>NA</v>
      </c>
      <c r="R2335" t="str">
        <f>IF(ISERROR(MATCH(P2335&amp;"."&amp;Q2335,R$5:R2334,0)),P2335&amp;"."&amp;Q2335,P2335&amp;"."&amp;Q2335&amp;COUNTIFS(P$5:P2334,P2335,Q$5:Q2334,Q2335))</f>
        <v>108DP.NA2</v>
      </c>
      <c r="S2335" s="55">
        <f t="shared" si="123"/>
        <v>0</v>
      </c>
    </row>
    <row r="2336" spans="1:19" hidden="1">
      <c r="A2336" s="5">
        <v>2401</v>
      </c>
      <c r="B2336" s="59"/>
      <c r="C2336" s="60"/>
      <c r="D2336" s="63"/>
      <c r="E2336" s="63"/>
      <c r="F2336" s="63"/>
      <c r="G2336" s="63"/>
      <c r="H2336" s="62"/>
      <c r="I2336" s="65"/>
      <c r="J2336" s="65"/>
      <c r="K2336" s="62"/>
      <c r="L2336" s="65"/>
      <c r="M2336" s="65"/>
      <c r="N2336" s="65"/>
      <c r="P2336" t="str">
        <f t="shared" si="121"/>
        <v>108DP</v>
      </c>
      <c r="Q2336" t="str">
        <f t="shared" si="122"/>
        <v>NA</v>
      </c>
      <c r="R2336" t="str">
        <f>IF(ISERROR(MATCH(P2336&amp;"."&amp;Q2336,R$5:R2335,0)),P2336&amp;"."&amp;Q2336,P2336&amp;"."&amp;Q2336&amp;COUNTIFS(P$5:P2335,P2336,Q$5:Q2335,Q2336))</f>
        <v>108DP.NA3</v>
      </c>
      <c r="S2336" s="55">
        <f t="shared" si="123"/>
        <v>0</v>
      </c>
    </row>
    <row r="2337" spans="1:19" hidden="1">
      <c r="A2337" s="5">
        <v>2402</v>
      </c>
      <c r="B2337" s="59"/>
      <c r="C2337" s="60" t="s">
        <v>684</v>
      </c>
      <c r="D2337" s="61"/>
      <c r="E2337" s="63"/>
      <c r="F2337" s="63"/>
      <c r="G2337" s="63"/>
      <c r="H2337" s="62" t="s">
        <v>674</v>
      </c>
      <c r="I2337" s="65">
        <v>-2887640470.9653854</v>
      </c>
      <c r="J2337" s="65">
        <v>-998892348.50769162</v>
      </c>
      <c r="K2337" s="62"/>
      <c r="L2337" s="65">
        <v>-3122960259.428154</v>
      </c>
      <c r="M2337" s="65">
        <v>-2020857240.2525272</v>
      </c>
      <c r="N2337" s="65">
        <v>-1102103019.1756272</v>
      </c>
      <c r="P2337" t="str">
        <f t="shared" si="121"/>
        <v>Total Distribution Plant Accum Depreciation</v>
      </c>
      <c r="Q2337" t="str">
        <f t="shared" si="122"/>
        <v>NA</v>
      </c>
      <c r="R2337" t="str">
        <f>IF(ISERROR(MATCH(P2337&amp;"."&amp;Q2337,R$5:R2336,0)),P2337&amp;"."&amp;Q2337,P2337&amp;"."&amp;Q2337&amp;COUNTIFS(P$5:P2336,P2337,Q$5:Q2336,Q2337))</f>
        <v>Total Distribution Plant Accum Depreciation.NA</v>
      </c>
      <c r="S2337" s="55">
        <f t="shared" si="123"/>
        <v>-1102103019.1756272</v>
      </c>
    </row>
    <row r="2338" spans="1:19" hidden="1">
      <c r="A2338" s="5">
        <v>2403</v>
      </c>
      <c r="B2338" s="59"/>
      <c r="C2338" s="60"/>
      <c r="D2338" s="63"/>
      <c r="E2338" s="63"/>
      <c r="F2338" s="60"/>
      <c r="G2338" s="61"/>
      <c r="H2338" s="62"/>
      <c r="I2338" s="65"/>
      <c r="J2338" s="65"/>
      <c r="K2338" s="62"/>
      <c r="L2338" s="65"/>
      <c r="M2338" s="65"/>
      <c r="N2338" s="64"/>
      <c r="P2338" t="str">
        <f t="shared" si="121"/>
        <v>Total Distribution Plant Accum Depreciation</v>
      </c>
      <c r="Q2338" t="str">
        <f t="shared" si="122"/>
        <v>NA</v>
      </c>
      <c r="R2338" t="str">
        <f>IF(ISERROR(MATCH(P2338&amp;"."&amp;Q2338,R$5:R2337,0)),P2338&amp;"."&amp;Q2338,P2338&amp;"."&amp;Q2338&amp;COUNTIFS(P$5:P2337,P2338,Q$5:Q2337,Q2338))</f>
        <v>Total Distribution Plant Accum Depreciation.NA1</v>
      </c>
      <c r="S2338" s="55">
        <f t="shared" si="123"/>
        <v>0</v>
      </c>
    </row>
    <row r="2339" spans="1:19" hidden="1">
      <c r="A2339" s="5">
        <v>2404</v>
      </c>
      <c r="B2339" s="59"/>
      <c r="C2339" s="60" t="s">
        <v>685</v>
      </c>
      <c r="D2339" s="63"/>
      <c r="E2339" s="63"/>
      <c r="F2339" s="60"/>
      <c r="G2339" s="61"/>
      <c r="H2339" s="62"/>
      <c r="I2339" s="65"/>
      <c r="J2339" s="65"/>
      <c r="K2339" s="62"/>
      <c r="L2339" s="65"/>
      <c r="M2339" s="65"/>
      <c r="N2339" s="64"/>
      <c r="P2339" t="str">
        <f t="shared" si="121"/>
        <v>Summary of Distribution Plant Depr by Factor</v>
      </c>
      <c r="Q2339" t="str">
        <f t="shared" si="122"/>
        <v>NA</v>
      </c>
      <c r="R2339" t="str">
        <f>IF(ISERROR(MATCH(P2339&amp;"."&amp;Q2339,R$5:R2338,0)),P2339&amp;"."&amp;Q2339,P2339&amp;"."&amp;Q2339&amp;COUNTIFS(P$5:P2338,P2339,Q$5:Q2338,Q2339))</f>
        <v>Summary of Distribution Plant Depr by Factor.NA</v>
      </c>
      <c r="S2339" s="55">
        <f t="shared" si="123"/>
        <v>0</v>
      </c>
    </row>
    <row r="2340" spans="1:19" hidden="1">
      <c r="A2340" s="5">
        <v>2405</v>
      </c>
      <c r="B2340" s="59"/>
      <c r="C2340" s="60"/>
      <c r="D2340" s="63"/>
      <c r="E2340" s="63" t="s">
        <v>12</v>
      </c>
      <c r="F2340" s="63"/>
      <c r="G2340" s="63"/>
      <c r="H2340" s="62"/>
      <c r="I2340" s="104">
        <v>-2887640470.9653854</v>
      </c>
      <c r="J2340" s="104">
        <v>-998892348.50769162</v>
      </c>
      <c r="K2340" s="62"/>
      <c r="L2340" s="104">
        <v>-3122960259.428154</v>
      </c>
      <c r="M2340" s="104">
        <v>-2020857240.2525268</v>
      </c>
      <c r="N2340" s="104">
        <v>-1102103019.1756272</v>
      </c>
      <c r="P2340" t="str">
        <f t="shared" si="121"/>
        <v>Summary of Distribution Plant Depr by Factor</v>
      </c>
      <c r="Q2340" t="str">
        <f t="shared" si="122"/>
        <v>NA</v>
      </c>
      <c r="R2340" t="str">
        <f>IF(ISERROR(MATCH(P2340&amp;"."&amp;Q2340,R$5:R2339,0)),P2340&amp;"."&amp;Q2340,P2340&amp;"."&amp;Q2340&amp;COUNTIFS(P$5:P2339,P2340,Q$5:Q2339,Q2340))</f>
        <v>Summary of Distribution Plant Depr by Factor.NA1</v>
      </c>
      <c r="S2340" s="55">
        <f t="shared" si="123"/>
        <v>-1102103019.1756272</v>
      </c>
    </row>
    <row r="2341" spans="1:19" hidden="1">
      <c r="A2341" s="5">
        <v>2406</v>
      </c>
      <c r="B2341" s="59"/>
      <c r="C2341" s="60"/>
      <c r="D2341" s="61"/>
      <c r="E2341" s="63"/>
      <c r="F2341" s="63"/>
      <c r="G2341" s="63"/>
      <c r="H2341" s="62"/>
      <c r="I2341" s="65"/>
      <c r="J2341" s="65"/>
      <c r="K2341" s="62"/>
      <c r="L2341" s="65"/>
      <c r="M2341" s="65"/>
      <c r="N2341" s="65"/>
      <c r="P2341" t="str">
        <f t="shared" si="121"/>
        <v>Summary of Distribution Plant Depr by Factor</v>
      </c>
      <c r="Q2341" t="str">
        <f t="shared" si="122"/>
        <v>NA</v>
      </c>
      <c r="R2341" t="str">
        <f>IF(ISERROR(MATCH(P2341&amp;"."&amp;Q2341,R$5:R2340,0)),P2341&amp;"."&amp;Q2341,P2341&amp;"."&amp;Q2341&amp;COUNTIFS(P$5:P2340,P2341,Q$5:Q2340,Q2341))</f>
        <v>Summary of Distribution Plant Depr by Factor.NA2</v>
      </c>
      <c r="S2341" s="55">
        <f t="shared" si="123"/>
        <v>0</v>
      </c>
    </row>
    <row r="2342" spans="1:19" hidden="1">
      <c r="A2342" s="5">
        <v>2407</v>
      </c>
      <c r="B2342" s="59"/>
      <c r="C2342" s="60" t="s">
        <v>686</v>
      </c>
      <c r="D2342" s="63"/>
      <c r="E2342" s="63"/>
      <c r="F2342" s="60"/>
      <c r="G2342" s="61"/>
      <c r="H2342" s="62"/>
      <c r="I2342" s="65">
        <v>-2887640470.9653854</v>
      </c>
      <c r="J2342" s="65">
        <v>-998892348.50769162</v>
      </c>
      <c r="K2342" s="62"/>
      <c r="L2342" s="65">
        <v>-3122960259.428154</v>
      </c>
      <c r="M2342" s="65">
        <v>-2020857240.2525268</v>
      </c>
      <c r="N2342" s="64">
        <v>-1102103019.1756272</v>
      </c>
      <c r="P2342" t="str">
        <f t="shared" si="121"/>
        <v>Total Distribution Depreciation by Factor</v>
      </c>
      <c r="Q2342" t="str">
        <f t="shared" si="122"/>
        <v>NA</v>
      </c>
      <c r="R2342" t="str">
        <f>IF(ISERROR(MATCH(P2342&amp;"."&amp;Q2342,R$5:R2341,0)),P2342&amp;"."&amp;Q2342,P2342&amp;"."&amp;Q2342&amp;COUNTIFS(P$5:P2341,P2342,Q$5:Q2341,Q2342))</f>
        <v>Total Distribution Depreciation by Factor.NA</v>
      </c>
      <c r="S2342" s="55">
        <f t="shared" si="123"/>
        <v>-1102103019.1756272</v>
      </c>
    </row>
    <row r="2343" spans="1:19" hidden="1">
      <c r="A2343" s="5">
        <v>2408</v>
      </c>
      <c r="B2343" s="59"/>
      <c r="C2343" s="60" t="s">
        <v>204</v>
      </c>
      <c r="D2343" s="63" t="s">
        <v>687</v>
      </c>
      <c r="E2343" s="63"/>
      <c r="F2343" s="63"/>
      <c r="G2343" s="63"/>
      <c r="H2343" s="62"/>
      <c r="I2343" s="66"/>
      <c r="J2343" s="66"/>
      <c r="K2343" s="62"/>
      <c r="L2343" s="66"/>
      <c r="M2343" s="66"/>
      <c r="N2343" s="66"/>
      <c r="P2343" t="str">
        <f t="shared" si="121"/>
        <v>108GP</v>
      </c>
      <c r="Q2343" t="str">
        <f t="shared" si="122"/>
        <v>NA</v>
      </c>
      <c r="R2343" t="str">
        <f>IF(ISERROR(MATCH(P2343&amp;"."&amp;Q2343,R$5:R2342,0)),P2343&amp;"."&amp;Q2343,P2343&amp;"."&amp;Q2343&amp;COUNTIFS(P$5:P2342,P2343,Q$5:Q2342,Q2343))</f>
        <v>108GP.NA</v>
      </c>
      <c r="S2343" s="55">
        <f t="shared" si="123"/>
        <v>0</v>
      </c>
    </row>
    <row r="2344" spans="1:19" hidden="1">
      <c r="A2344" s="5">
        <v>2409</v>
      </c>
      <c r="B2344" s="59"/>
      <c r="C2344" s="60"/>
      <c r="D2344" s="63"/>
      <c r="E2344" s="63"/>
      <c r="F2344" s="63" t="s">
        <v>393</v>
      </c>
      <c r="G2344" s="63" t="s">
        <v>12</v>
      </c>
      <c r="H2344" s="62"/>
      <c r="I2344" s="65">
        <v>-247853687.23461521</v>
      </c>
      <c r="J2344" s="65">
        <v>-85203160.883076906</v>
      </c>
      <c r="K2344" s="62"/>
      <c r="L2344" s="65">
        <v>-272660990.09437376</v>
      </c>
      <c r="M2344" s="65">
        <v>-176640857.07273185</v>
      </c>
      <c r="N2344" s="65">
        <v>-96020133.02164191</v>
      </c>
      <c r="P2344" t="str">
        <f t="shared" si="121"/>
        <v>108GP</v>
      </c>
      <c r="Q2344" t="str">
        <f t="shared" si="122"/>
        <v>S</v>
      </c>
      <c r="R2344" t="str">
        <f>IF(ISERROR(MATCH(P2344&amp;"."&amp;Q2344,R$5:R2343,0)),P2344&amp;"."&amp;Q2344,P2344&amp;"."&amp;Q2344&amp;COUNTIFS(P$5:P2343,P2344,Q$5:Q2343,Q2344))</f>
        <v>108GP.S</v>
      </c>
      <c r="S2344" s="55">
        <f t="shared" si="123"/>
        <v>-96020133.02164191</v>
      </c>
    </row>
    <row r="2345" spans="1:19" hidden="1">
      <c r="A2345" s="5">
        <v>2410</v>
      </c>
      <c r="B2345" s="59"/>
      <c r="C2345" s="60"/>
      <c r="D2345" s="61"/>
      <c r="E2345" s="63"/>
      <c r="F2345" s="63" t="s">
        <v>394</v>
      </c>
      <c r="G2345" s="63" t="s">
        <v>15</v>
      </c>
      <c r="H2345" s="62"/>
      <c r="I2345" s="65">
        <v>-864020.43538461498</v>
      </c>
      <c r="J2345" s="65">
        <v>-380147.3749207881</v>
      </c>
      <c r="K2345" s="62"/>
      <c r="L2345" s="65">
        <v>-733304.29991970875</v>
      </c>
      <c r="M2345" s="65">
        <v>-410668.75425866997</v>
      </c>
      <c r="N2345" s="65">
        <v>-322635.54566103878</v>
      </c>
      <c r="P2345" t="str">
        <f t="shared" si="121"/>
        <v>108GP</v>
      </c>
      <c r="Q2345" t="str">
        <f t="shared" si="122"/>
        <v>SG</v>
      </c>
      <c r="R2345" t="str">
        <f>IF(ISERROR(MATCH(P2345&amp;"."&amp;Q2345,R$5:R2344,0)),P2345&amp;"."&amp;Q2345,P2345&amp;"."&amp;Q2345&amp;COUNTIFS(P$5:P2344,P2345,Q$5:Q2344,Q2345))</f>
        <v>108GP.SG</v>
      </c>
      <c r="S2345" s="55">
        <f t="shared" si="123"/>
        <v>-322635.54566103878</v>
      </c>
    </row>
    <row r="2346" spans="1:19" hidden="1">
      <c r="A2346" s="5">
        <v>2411</v>
      </c>
      <c r="B2346" s="59"/>
      <c r="C2346" s="60"/>
      <c r="D2346" s="63"/>
      <c r="E2346" s="63"/>
      <c r="F2346" s="60" t="s">
        <v>395</v>
      </c>
      <c r="G2346" s="61" t="s">
        <v>15</v>
      </c>
      <c r="H2346" s="62"/>
      <c r="I2346" s="65">
        <v>-2957864.63076923</v>
      </c>
      <c r="J2346" s="65">
        <v>-1301386.4356778045</v>
      </c>
      <c r="K2346" s="62"/>
      <c r="L2346" s="65">
        <v>-3023369.3264794224</v>
      </c>
      <c r="M2346" s="65">
        <v>-1693162.4635299759</v>
      </c>
      <c r="N2346" s="64">
        <v>-1330206.8629494465</v>
      </c>
      <c r="P2346" t="str">
        <f t="shared" si="121"/>
        <v>108GP</v>
      </c>
      <c r="Q2346" t="str">
        <f t="shared" si="122"/>
        <v>SG</v>
      </c>
      <c r="R2346" t="str">
        <f>IF(ISERROR(MATCH(P2346&amp;"."&amp;Q2346,R$5:R2345,0)),P2346&amp;"."&amp;Q2346,P2346&amp;"."&amp;Q2346&amp;COUNTIFS(P$5:P2345,P2346,Q$5:Q2345,Q2346))</f>
        <v>108GP.SG1</v>
      </c>
      <c r="S2346" s="55">
        <f t="shared" si="123"/>
        <v>-1330206.8629494465</v>
      </c>
    </row>
    <row r="2347" spans="1:19" hidden="1">
      <c r="A2347" s="5">
        <v>2412</v>
      </c>
      <c r="B2347" s="59"/>
      <c r="C2347" s="60"/>
      <c r="D2347" s="63"/>
      <c r="E2347" s="63"/>
      <c r="F2347" s="63" t="s">
        <v>396</v>
      </c>
      <c r="G2347" s="63" t="s">
        <v>15</v>
      </c>
      <c r="H2347" s="62"/>
      <c r="I2347" s="104">
        <v>-113340150.119231</v>
      </c>
      <c r="J2347" s="104">
        <v>-49866830.431822114</v>
      </c>
      <c r="K2347" s="62"/>
      <c r="L2347" s="104">
        <v>-130423333.79235813</v>
      </c>
      <c r="M2347" s="104">
        <v>-73040329.943019435</v>
      </c>
      <c r="N2347" s="104">
        <v>-57383003.849338695</v>
      </c>
      <c r="P2347" t="str">
        <f t="shared" si="121"/>
        <v>108GP</v>
      </c>
      <c r="Q2347" t="str">
        <f t="shared" si="122"/>
        <v>SG</v>
      </c>
      <c r="R2347" t="str">
        <f>IF(ISERROR(MATCH(P2347&amp;"."&amp;Q2347,R$5:R2346,0)),P2347&amp;"."&amp;Q2347,P2347&amp;"."&amp;Q2347&amp;COUNTIFS(P$5:P2346,P2347,Q$5:Q2346,Q2347))</f>
        <v>108GP.SG2</v>
      </c>
      <c r="S2347" s="55">
        <f t="shared" si="123"/>
        <v>-57383003.849338695</v>
      </c>
    </row>
    <row r="2348" spans="1:19" hidden="1">
      <c r="A2348" s="5">
        <v>2413</v>
      </c>
      <c r="B2348" s="59"/>
      <c r="C2348" s="60"/>
      <c r="D2348" s="63"/>
      <c r="E2348" s="63"/>
      <c r="F2348" s="63" t="s">
        <v>149</v>
      </c>
      <c r="G2348" s="63" t="s">
        <v>155</v>
      </c>
      <c r="H2348" s="62"/>
      <c r="I2348" s="65">
        <v>-6399766.5161538497</v>
      </c>
      <c r="J2348" s="65">
        <v>-3059689.6923964513</v>
      </c>
      <c r="K2348" s="62"/>
      <c r="L2348" s="65">
        <v>-5443176.2461547349</v>
      </c>
      <c r="M2348" s="65">
        <v>-2840826.5803944473</v>
      </c>
      <c r="N2348" s="65">
        <v>-2602349.6657602875</v>
      </c>
      <c r="P2348" t="str">
        <f t="shared" si="121"/>
        <v>108GP</v>
      </c>
      <c r="Q2348" t="str">
        <f t="shared" si="122"/>
        <v>CN</v>
      </c>
      <c r="R2348" t="str">
        <f>IF(ISERROR(MATCH(P2348&amp;"."&amp;Q2348,R$5:R2347,0)),P2348&amp;"."&amp;Q2348,P2348&amp;"."&amp;Q2348&amp;COUNTIFS(P$5:P2347,P2348,Q$5:Q2347,Q2348))</f>
        <v>108GP.CN</v>
      </c>
      <c r="S2348" s="55">
        <f t="shared" si="123"/>
        <v>-2602349.6657602875</v>
      </c>
    </row>
    <row r="2349" spans="1:19" hidden="1">
      <c r="A2349" s="5">
        <v>2414</v>
      </c>
      <c r="B2349" s="59"/>
      <c r="C2349" s="60"/>
      <c r="D2349" s="61"/>
      <c r="E2349" s="63"/>
      <c r="F2349" s="63" t="s">
        <v>171</v>
      </c>
      <c r="G2349" s="63" t="s">
        <v>136</v>
      </c>
      <c r="H2349" s="62"/>
      <c r="I2349" s="65">
        <v>-107174971.899231</v>
      </c>
      <c r="J2349" s="65">
        <v>-46512362.962830216</v>
      </c>
      <c r="K2349" s="62"/>
      <c r="L2349" s="65">
        <v>-110515880.02447455</v>
      </c>
      <c r="M2349" s="65">
        <v>-62226496.272556446</v>
      </c>
      <c r="N2349" s="64">
        <v>-48289383.7519181</v>
      </c>
      <c r="P2349" t="str">
        <f t="shared" si="121"/>
        <v>108GP</v>
      </c>
      <c r="Q2349" t="str">
        <f t="shared" si="122"/>
        <v>SO</v>
      </c>
      <c r="R2349" t="str">
        <f>IF(ISERROR(MATCH(P2349&amp;"."&amp;Q2349,R$5:R2348,0)),P2349&amp;"."&amp;Q2349,P2349&amp;"."&amp;Q2349&amp;COUNTIFS(P$5:P2348,P2349,Q$5:Q2348,Q2349))</f>
        <v>108GP.SO</v>
      </c>
      <c r="S2349" s="55">
        <f t="shared" si="123"/>
        <v>-48289383.7519181</v>
      </c>
    </row>
    <row r="2350" spans="1:19" hidden="1">
      <c r="A2350" s="5">
        <v>2415</v>
      </c>
      <c r="B2350" s="59"/>
      <c r="C2350" s="60"/>
      <c r="D2350" s="63"/>
      <c r="E2350" s="63"/>
      <c r="F2350" s="63" t="s">
        <v>13</v>
      </c>
      <c r="G2350" s="63" t="s">
        <v>16</v>
      </c>
      <c r="H2350" s="62"/>
      <c r="I2350" s="66">
        <v>-1606020.59</v>
      </c>
      <c r="J2350" s="66">
        <v>-696309.65160160558</v>
      </c>
      <c r="K2350" s="62"/>
      <c r="L2350" s="66">
        <v>-1815595.1690518083</v>
      </c>
      <c r="M2350" s="66">
        <v>-1028421.9238993144</v>
      </c>
      <c r="N2350" s="66">
        <v>-787173.24515249394</v>
      </c>
      <c r="P2350" t="str">
        <f t="shared" si="121"/>
        <v>108GP</v>
      </c>
      <c r="Q2350" t="str">
        <f t="shared" si="122"/>
        <v>SE</v>
      </c>
      <c r="R2350" t="str">
        <f>IF(ISERROR(MATCH(P2350&amp;"."&amp;Q2350,R$5:R2349,0)),P2350&amp;"."&amp;Q2350,P2350&amp;"."&amp;Q2350&amp;COUNTIFS(P$5:P2349,P2350,Q$5:Q2349,Q2350))</f>
        <v>108GP.SE</v>
      </c>
      <c r="S2350" s="55">
        <f t="shared" si="123"/>
        <v>-787173.24515249394</v>
      </c>
    </row>
    <row r="2351" spans="1:19" hidden="1">
      <c r="A2351" s="5">
        <v>2416</v>
      </c>
      <c r="B2351" s="59"/>
      <c r="C2351" s="60"/>
      <c r="D2351" s="63"/>
      <c r="E2351" s="63"/>
      <c r="F2351" s="63" t="s">
        <v>396</v>
      </c>
      <c r="G2351" s="63" t="s">
        <v>15</v>
      </c>
      <c r="H2351" s="62"/>
      <c r="I2351" s="65">
        <v>-110882.07461538501</v>
      </c>
      <c r="J2351" s="65">
        <v>-48785.338707927658</v>
      </c>
      <c r="K2351" s="62"/>
      <c r="L2351" s="65">
        <v>-132826.26049250265</v>
      </c>
      <c r="M2351" s="65">
        <v>-74386.029013148014</v>
      </c>
      <c r="N2351" s="65">
        <v>-58440.231479354632</v>
      </c>
      <c r="P2351" t="str">
        <f t="shared" si="121"/>
        <v>108GP</v>
      </c>
      <c r="Q2351" t="str">
        <f t="shared" si="122"/>
        <v>SG</v>
      </c>
      <c r="R2351" t="str">
        <f>IF(ISERROR(MATCH(P2351&amp;"."&amp;Q2351,R$5:R2350,0)),P2351&amp;"."&amp;Q2351,P2351&amp;"."&amp;Q2351&amp;COUNTIFS(P$5:P2350,P2351,Q$5:Q2350,Q2351))</f>
        <v>108GP.SG3</v>
      </c>
      <c r="S2351" s="55">
        <f t="shared" si="123"/>
        <v>-58440.231479354632</v>
      </c>
    </row>
    <row r="2352" spans="1:19" hidden="1">
      <c r="A2352" s="5">
        <v>2417</v>
      </c>
      <c r="B2352" s="59"/>
      <c r="C2352" s="60"/>
      <c r="D2352" s="61"/>
      <c r="E2352" s="63"/>
      <c r="F2352" s="63" t="s">
        <v>396</v>
      </c>
      <c r="G2352" s="63" t="s">
        <v>15</v>
      </c>
      <c r="H2352" s="62"/>
      <c r="I2352" s="65">
        <v>-2711120.7046153801</v>
      </c>
      <c r="J2352" s="65">
        <v>-1192825.2813767716</v>
      </c>
      <c r="K2352" s="62"/>
      <c r="L2352" s="65">
        <v>-2912077.7831710884</v>
      </c>
      <c r="M2352" s="65">
        <v>-1630836.414910102</v>
      </c>
      <c r="N2352" s="65">
        <v>-1281241.3682609864</v>
      </c>
      <c r="P2352" t="str">
        <f t="shared" si="121"/>
        <v>108GP</v>
      </c>
      <c r="Q2352" t="str">
        <f t="shared" si="122"/>
        <v>SG</v>
      </c>
      <c r="R2352" t="str">
        <f>IF(ISERROR(MATCH(P2352&amp;"."&amp;Q2352,R$5:R2351,0)),P2352&amp;"."&amp;Q2352,P2352&amp;"."&amp;Q2352&amp;COUNTIFS(P$5:P2351,P2352,Q$5:Q2351,Q2352))</f>
        <v>108GP.SG4</v>
      </c>
      <c r="S2352" s="55">
        <f t="shared" si="123"/>
        <v>-1281241.3682609864</v>
      </c>
    </row>
    <row r="2353" spans="1:19" hidden="1">
      <c r="A2353" s="5">
        <v>2418</v>
      </c>
      <c r="B2353" s="59"/>
      <c r="C2353" s="60"/>
      <c r="D2353" s="63"/>
      <c r="E2353" s="63"/>
      <c r="F2353" s="60"/>
      <c r="G2353" s="61"/>
      <c r="H2353" s="62" t="s">
        <v>674</v>
      </c>
      <c r="I2353" s="65">
        <v>-483018484.20461559</v>
      </c>
      <c r="J2353" s="65">
        <v>-188261498.0524106</v>
      </c>
      <c r="K2353" s="62"/>
      <c r="L2353" s="65">
        <v>-527660552.99647576</v>
      </c>
      <c r="M2353" s="65">
        <v>-319585985.45431334</v>
      </c>
      <c r="N2353" s="64">
        <v>-208074567.5421623</v>
      </c>
      <c r="P2353" t="str">
        <f t="shared" si="121"/>
        <v>108GP</v>
      </c>
      <c r="Q2353" t="str">
        <f t="shared" si="122"/>
        <v>NA</v>
      </c>
      <c r="R2353" t="str">
        <f>IF(ISERROR(MATCH(P2353&amp;"."&amp;Q2353,R$5:R2352,0)),P2353&amp;"."&amp;Q2353,P2353&amp;"."&amp;Q2353&amp;COUNTIFS(P$5:P2352,P2353,Q$5:Q2352,Q2353))</f>
        <v>108GP.NA1</v>
      </c>
      <c r="S2353" s="55">
        <f t="shared" si="123"/>
        <v>-208074567.5421623</v>
      </c>
    </row>
    <row r="2354" spans="1:19" hidden="1">
      <c r="A2354" s="5">
        <v>2419</v>
      </c>
      <c r="B2354" s="59"/>
      <c r="C2354" s="60"/>
      <c r="D2354" s="63"/>
      <c r="E2354" s="63"/>
      <c r="F2354" s="60"/>
      <c r="G2354" s="61"/>
      <c r="H2354" s="62"/>
      <c r="I2354" s="65"/>
      <c r="J2354" s="65"/>
      <c r="K2354" s="62"/>
      <c r="L2354" s="65"/>
      <c r="M2354" s="65"/>
      <c r="N2354" s="64"/>
      <c r="P2354" t="str">
        <f t="shared" si="121"/>
        <v>108GP</v>
      </c>
      <c r="Q2354" t="str">
        <f t="shared" si="122"/>
        <v>NA</v>
      </c>
      <c r="R2354" t="str">
        <f>IF(ISERROR(MATCH(P2354&amp;"."&amp;Q2354,R$5:R2353,0)),P2354&amp;"."&amp;Q2354,P2354&amp;"."&amp;Q2354&amp;COUNTIFS(P$5:P2353,P2354,Q$5:Q2353,Q2354))</f>
        <v>108GP.NA2</v>
      </c>
      <c r="S2354" s="55">
        <f t="shared" si="123"/>
        <v>0</v>
      </c>
    </row>
    <row r="2355" spans="1:19" hidden="1">
      <c r="A2355" s="5">
        <v>2420</v>
      </c>
      <c r="B2355" s="59"/>
      <c r="C2355" s="60"/>
      <c r="D2355" s="63"/>
      <c r="E2355" s="63"/>
      <c r="F2355" s="63"/>
      <c r="G2355" s="63"/>
      <c r="H2355" s="62"/>
      <c r="I2355" s="104"/>
      <c r="J2355" s="104"/>
      <c r="K2355" s="62"/>
      <c r="L2355" s="104"/>
      <c r="M2355" s="104"/>
      <c r="N2355" s="104"/>
      <c r="P2355" t="str">
        <f t="shared" si="121"/>
        <v>108GP</v>
      </c>
      <c r="Q2355" t="str">
        <f t="shared" si="122"/>
        <v>NA</v>
      </c>
      <c r="R2355" t="str">
        <f>IF(ISERROR(MATCH(P2355&amp;"."&amp;Q2355,R$5:R2354,0)),P2355&amp;"."&amp;Q2355,P2355&amp;"."&amp;Q2355&amp;COUNTIFS(P$5:P2354,P2355,Q$5:Q2354,Q2355))</f>
        <v>108GP.NA3</v>
      </c>
      <c r="S2355" s="55">
        <f t="shared" si="123"/>
        <v>0</v>
      </c>
    </row>
    <row r="2356" spans="1:19" hidden="1">
      <c r="A2356" s="5">
        <v>2421</v>
      </c>
      <c r="B2356" s="59"/>
      <c r="C2356" s="60" t="s">
        <v>206</v>
      </c>
      <c r="D2356" s="63" t="s">
        <v>688</v>
      </c>
      <c r="E2356" s="63"/>
      <c r="F2356" s="63"/>
      <c r="G2356" s="63"/>
      <c r="H2356" s="62"/>
      <c r="I2356" s="65"/>
      <c r="J2356" s="65"/>
      <c r="K2356" s="62"/>
      <c r="L2356" s="65"/>
      <c r="M2356" s="65"/>
      <c r="N2356" s="65"/>
      <c r="P2356" t="str">
        <f t="shared" si="121"/>
        <v>108MP</v>
      </c>
      <c r="Q2356" t="str">
        <f t="shared" si="122"/>
        <v>NA</v>
      </c>
      <c r="R2356" t="str">
        <f>IF(ISERROR(MATCH(P2356&amp;"."&amp;Q2356,R$5:R2355,0)),P2356&amp;"."&amp;Q2356,P2356&amp;"."&amp;Q2356&amp;COUNTIFS(P$5:P2355,P2356,Q$5:Q2355,Q2356))</f>
        <v>108MP.NA</v>
      </c>
      <c r="S2356" s="55">
        <f t="shared" si="123"/>
        <v>0</v>
      </c>
    </row>
    <row r="2357" spans="1:19" hidden="1">
      <c r="A2357" s="5">
        <v>2422</v>
      </c>
      <c r="B2357" s="59"/>
      <c r="C2357" s="60"/>
      <c r="D2357" s="61"/>
      <c r="E2357" s="63"/>
      <c r="F2357" s="63" t="s">
        <v>13</v>
      </c>
      <c r="G2357" s="63" t="s">
        <v>12</v>
      </c>
      <c r="H2357" s="62"/>
      <c r="I2357" s="65">
        <v>0</v>
      </c>
      <c r="J2357" s="65">
        <v>0</v>
      </c>
      <c r="K2357" s="62"/>
      <c r="L2357" s="65">
        <v>0</v>
      </c>
      <c r="M2357" s="65">
        <v>0</v>
      </c>
      <c r="N2357" s="64">
        <v>0</v>
      </c>
      <c r="P2357" t="str">
        <f t="shared" si="121"/>
        <v>108MP</v>
      </c>
      <c r="Q2357" t="str">
        <f t="shared" si="122"/>
        <v>S</v>
      </c>
      <c r="R2357" t="str">
        <f>IF(ISERROR(MATCH(P2357&amp;"."&amp;Q2357,R$5:R2356,0)),P2357&amp;"."&amp;Q2357,P2357&amp;"."&amp;Q2357&amp;COUNTIFS(P$5:P2356,P2357,Q$5:Q2356,Q2357))</f>
        <v>108MP.S</v>
      </c>
      <c r="S2357" s="55">
        <f t="shared" si="123"/>
        <v>0</v>
      </c>
    </row>
    <row r="2358" spans="1:19" hidden="1">
      <c r="A2358" s="5">
        <v>2423</v>
      </c>
      <c r="B2358" s="59"/>
      <c r="C2358" s="60"/>
      <c r="D2358" s="63"/>
      <c r="E2358" s="63"/>
      <c r="F2358" s="63" t="s">
        <v>13</v>
      </c>
      <c r="G2358" s="63" t="s">
        <v>16</v>
      </c>
      <c r="H2358" s="62"/>
      <c r="I2358" s="66">
        <v>0</v>
      </c>
      <c r="J2358" s="66">
        <v>0</v>
      </c>
      <c r="K2358" s="62"/>
      <c r="L2358" s="66">
        <v>0</v>
      </c>
      <c r="M2358" s="66">
        <v>0</v>
      </c>
      <c r="N2358" s="66">
        <v>0</v>
      </c>
      <c r="P2358" t="str">
        <f t="shared" si="121"/>
        <v>108MP</v>
      </c>
      <c r="Q2358" t="str">
        <f t="shared" si="122"/>
        <v>SE</v>
      </c>
      <c r="R2358" t="str">
        <f>IF(ISERROR(MATCH(P2358&amp;"."&amp;Q2358,R$5:R2357,0)),P2358&amp;"."&amp;Q2358,P2358&amp;"."&amp;Q2358&amp;COUNTIFS(P$5:P2357,P2358,Q$5:Q2357,Q2358))</f>
        <v>108MP.SE</v>
      </c>
      <c r="S2358" s="55">
        <f t="shared" si="123"/>
        <v>0</v>
      </c>
    </row>
    <row r="2359" spans="1:19" hidden="1">
      <c r="A2359" s="5">
        <v>2424</v>
      </c>
      <c r="B2359" s="59"/>
      <c r="C2359" s="60"/>
      <c r="D2359" s="63"/>
      <c r="E2359" s="63"/>
      <c r="F2359" s="63"/>
      <c r="G2359" s="63"/>
      <c r="H2359" s="62" t="s">
        <v>674</v>
      </c>
      <c r="I2359" s="65">
        <v>0</v>
      </c>
      <c r="J2359" s="65">
        <v>0</v>
      </c>
      <c r="K2359" s="62"/>
      <c r="L2359" s="65">
        <v>0</v>
      </c>
      <c r="M2359" s="65">
        <v>0</v>
      </c>
      <c r="N2359" s="65">
        <v>0</v>
      </c>
      <c r="P2359" t="str">
        <f t="shared" si="121"/>
        <v>108MP</v>
      </c>
      <c r="Q2359" t="str">
        <f t="shared" si="122"/>
        <v>NA</v>
      </c>
      <c r="R2359" t="str">
        <f>IF(ISERROR(MATCH(P2359&amp;"."&amp;Q2359,R$5:R2358,0)),P2359&amp;"."&amp;Q2359,P2359&amp;"."&amp;Q2359&amp;COUNTIFS(P$5:P2358,P2359,Q$5:Q2358,Q2359))</f>
        <v>108MP.NA1</v>
      </c>
      <c r="S2359" s="55">
        <f t="shared" si="123"/>
        <v>0</v>
      </c>
    </row>
    <row r="2360" spans="1:19" hidden="1">
      <c r="A2360" s="5">
        <v>2425</v>
      </c>
      <c r="B2360" s="59"/>
      <c r="C2360" s="60" t="s">
        <v>206</v>
      </c>
      <c r="D2360" s="63" t="s">
        <v>689</v>
      </c>
      <c r="E2360" s="63"/>
      <c r="F2360" s="63"/>
      <c r="G2360" s="63"/>
      <c r="H2360" s="62"/>
      <c r="I2360" s="65"/>
      <c r="J2360" s="65"/>
      <c r="K2360" s="62"/>
      <c r="L2360" s="65"/>
      <c r="M2360" s="65"/>
      <c r="N2360" s="65"/>
      <c r="P2360" t="str">
        <f t="shared" si="121"/>
        <v>108MP</v>
      </c>
      <c r="Q2360" t="str">
        <f t="shared" si="122"/>
        <v>NA</v>
      </c>
      <c r="R2360" t="str">
        <f>IF(ISERROR(MATCH(P2360&amp;"."&amp;Q2360,R$5:R2359,0)),P2360&amp;"."&amp;Q2360,P2360&amp;"."&amp;Q2360&amp;COUNTIFS(P$5:P2359,P2360,Q$5:Q2359,Q2360))</f>
        <v>108MP.NA2</v>
      </c>
      <c r="S2360" s="55">
        <f t="shared" si="123"/>
        <v>0</v>
      </c>
    </row>
    <row r="2361" spans="1:19" ht="15.75" hidden="1" thickBot="1">
      <c r="A2361" s="5">
        <v>2426</v>
      </c>
      <c r="B2361" s="59"/>
      <c r="C2361" s="45"/>
      <c r="D2361" s="63"/>
      <c r="E2361" s="63"/>
      <c r="F2361" s="63" t="s">
        <v>13</v>
      </c>
      <c r="G2361" s="63" t="s">
        <v>12</v>
      </c>
      <c r="H2361" s="41"/>
      <c r="I2361" s="68">
        <v>0</v>
      </c>
      <c r="J2361" s="68">
        <v>0</v>
      </c>
      <c r="K2361" s="41"/>
      <c r="L2361" s="68">
        <v>0</v>
      </c>
      <c r="M2361" s="68">
        <v>0</v>
      </c>
      <c r="N2361" s="68">
        <v>0</v>
      </c>
      <c r="P2361" t="str">
        <f t="shared" si="121"/>
        <v>108MP</v>
      </c>
      <c r="Q2361" t="str">
        <f t="shared" si="122"/>
        <v>S</v>
      </c>
      <c r="R2361" t="str">
        <f>IF(ISERROR(MATCH(P2361&amp;"."&amp;Q2361,R$5:R2360,0)),P2361&amp;"."&amp;Q2361,P2361&amp;"."&amp;Q2361&amp;COUNTIFS(P$5:P2360,P2361,Q$5:Q2360,Q2361))</f>
        <v>108MP.S1</v>
      </c>
      <c r="S2361" s="55">
        <f t="shared" si="123"/>
        <v>0</v>
      </c>
    </row>
    <row r="2362" spans="1:19" hidden="1">
      <c r="A2362" s="5">
        <v>2427</v>
      </c>
      <c r="B2362" s="59"/>
      <c r="C2362" s="60"/>
      <c r="D2362" s="63"/>
      <c r="E2362" s="63"/>
      <c r="F2362" s="63"/>
      <c r="G2362" s="63"/>
      <c r="H2362" s="62" t="s">
        <v>674</v>
      </c>
      <c r="I2362" s="69">
        <v>0</v>
      </c>
      <c r="J2362" s="69">
        <v>0</v>
      </c>
      <c r="K2362" s="62"/>
      <c r="L2362" s="69">
        <v>0</v>
      </c>
      <c r="M2362" s="65">
        <v>0</v>
      </c>
      <c r="N2362" s="65">
        <v>0</v>
      </c>
      <c r="P2362" t="str">
        <f t="shared" si="121"/>
        <v>108MP</v>
      </c>
      <c r="Q2362" t="str">
        <f t="shared" si="122"/>
        <v>NA</v>
      </c>
      <c r="R2362" t="str">
        <f>IF(ISERROR(MATCH(P2362&amp;"."&amp;Q2362,R$5:R2361,0)),P2362&amp;"."&amp;Q2362,P2362&amp;"."&amp;Q2362&amp;COUNTIFS(P$5:P2361,P2362,Q$5:Q2361,Q2362))</f>
        <v>108MP.NA3</v>
      </c>
      <c r="S2362" s="55">
        <f t="shared" si="123"/>
        <v>0</v>
      </c>
    </row>
    <row r="2363" spans="1:19" hidden="1">
      <c r="A2363" s="5">
        <v>2428</v>
      </c>
      <c r="B2363" s="59"/>
      <c r="C2363" s="60"/>
      <c r="D2363" s="63"/>
      <c r="E2363" s="70"/>
      <c r="F2363" s="63"/>
      <c r="G2363" s="63"/>
      <c r="H2363" s="62"/>
      <c r="I2363" s="69"/>
      <c r="J2363" s="69"/>
      <c r="K2363" s="62"/>
      <c r="L2363" s="69"/>
      <c r="M2363" s="69"/>
      <c r="N2363" s="69"/>
      <c r="P2363" t="str">
        <f t="shared" si="121"/>
        <v>108MP</v>
      </c>
      <c r="Q2363" t="str">
        <f t="shared" si="122"/>
        <v>NA</v>
      </c>
      <c r="R2363" t="str">
        <f>IF(ISERROR(MATCH(P2363&amp;"."&amp;Q2363,R$5:R2362,0)),P2363&amp;"."&amp;Q2363,P2363&amp;"."&amp;Q2363&amp;COUNTIFS(P$5:P2362,P2363,Q$5:Q2362,Q2363))</f>
        <v>108MP.NA4</v>
      </c>
      <c r="S2363" s="55">
        <f t="shared" si="123"/>
        <v>0</v>
      </c>
    </row>
    <row r="2364" spans="1:19" hidden="1">
      <c r="A2364" s="5">
        <v>2429</v>
      </c>
      <c r="B2364" s="59"/>
      <c r="C2364" s="71">
        <v>1081390</v>
      </c>
      <c r="D2364" s="72" t="s">
        <v>690</v>
      </c>
      <c r="E2364" s="73"/>
      <c r="F2364" s="63"/>
      <c r="G2364" s="72"/>
      <c r="H2364" s="74"/>
      <c r="I2364" s="75"/>
      <c r="J2364" s="75"/>
      <c r="K2364" s="62"/>
      <c r="L2364" s="75"/>
      <c r="M2364" s="75"/>
      <c r="N2364" s="75"/>
      <c r="P2364">
        <f t="shared" si="121"/>
        <v>1081390</v>
      </c>
      <c r="Q2364" t="str">
        <f t="shared" si="122"/>
        <v>NA</v>
      </c>
      <c r="R2364" t="str">
        <f>IF(ISERROR(MATCH(P2364&amp;"."&amp;Q2364,R$5:R2363,0)),P2364&amp;"."&amp;Q2364,P2364&amp;"."&amp;Q2364&amp;COUNTIFS(P$5:P2363,P2364,Q$5:Q2363,Q2364))</f>
        <v>1081390.NA</v>
      </c>
      <c r="S2364" s="55">
        <f t="shared" si="123"/>
        <v>0</v>
      </c>
    </row>
    <row r="2365" spans="1:19" hidden="1">
      <c r="A2365" s="5">
        <v>2430</v>
      </c>
      <c r="B2365" s="59"/>
      <c r="C2365" s="60"/>
      <c r="D2365" s="63"/>
      <c r="E2365" s="63"/>
      <c r="F2365" s="63" t="s">
        <v>171</v>
      </c>
      <c r="G2365" s="63" t="s">
        <v>136</v>
      </c>
      <c r="H2365" s="62" t="s">
        <v>674</v>
      </c>
      <c r="I2365" s="65">
        <v>0</v>
      </c>
      <c r="J2365" s="65">
        <v>0</v>
      </c>
      <c r="K2365" s="62"/>
      <c r="L2365" s="65">
        <v>0</v>
      </c>
      <c r="M2365" s="65">
        <v>0</v>
      </c>
      <c r="N2365" s="65">
        <v>0</v>
      </c>
      <c r="P2365">
        <f t="shared" si="121"/>
        <v>1081390</v>
      </c>
      <c r="Q2365" t="str">
        <f t="shared" si="122"/>
        <v>SO</v>
      </c>
      <c r="R2365" t="str">
        <f>IF(ISERROR(MATCH(P2365&amp;"."&amp;Q2365,R$5:R2364,0)),P2365&amp;"."&amp;Q2365,P2365&amp;"."&amp;Q2365&amp;COUNTIFS(P$5:P2364,P2365,Q$5:Q2364,Q2365))</f>
        <v>1081390.SO</v>
      </c>
      <c r="S2365" s="55">
        <f t="shared" si="123"/>
        <v>0</v>
      </c>
    </row>
    <row r="2366" spans="1:19" hidden="1">
      <c r="A2366" s="5">
        <v>2431</v>
      </c>
      <c r="B2366" s="59"/>
      <c r="C2366" s="60"/>
      <c r="D2366" s="63"/>
      <c r="E2366" s="60"/>
      <c r="F2366" s="63"/>
      <c r="G2366" s="63"/>
      <c r="H2366" s="62"/>
      <c r="I2366" s="65">
        <v>0</v>
      </c>
      <c r="J2366" s="65">
        <v>0</v>
      </c>
      <c r="K2366" s="62"/>
      <c r="L2366" s="65">
        <v>0</v>
      </c>
      <c r="M2366" s="65">
        <v>0</v>
      </c>
      <c r="N2366" s="64">
        <v>0</v>
      </c>
      <c r="P2366">
        <f t="shared" si="121"/>
        <v>1081390</v>
      </c>
      <c r="Q2366" t="str">
        <f t="shared" si="122"/>
        <v>NA</v>
      </c>
      <c r="R2366" t="str">
        <f>IF(ISERROR(MATCH(P2366&amp;"."&amp;Q2366,R$5:R2365,0)),P2366&amp;"."&amp;Q2366,P2366&amp;"."&amp;Q2366&amp;COUNTIFS(P$5:P2365,P2366,Q$5:Q2365,Q2366))</f>
        <v>1081390.NA1</v>
      </c>
      <c r="S2366" s="55">
        <f t="shared" si="123"/>
        <v>0</v>
      </c>
    </row>
    <row r="2367" spans="1:19" hidden="1">
      <c r="A2367" s="5">
        <v>2432</v>
      </c>
      <c r="B2367" s="59"/>
      <c r="C2367" s="60"/>
      <c r="D2367" s="63"/>
      <c r="E2367" s="61"/>
      <c r="F2367" s="63"/>
      <c r="G2367" s="63"/>
      <c r="H2367" s="62"/>
      <c r="I2367" s="65"/>
      <c r="J2367" s="65"/>
      <c r="K2367" s="62"/>
      <c r="L2367" s="65"/>
      <c r="M2367" s="65"/>
      <c r="N2367" s="64"/>
      <c r="P2367">
        <f t="shared" si="121"/>
        <v>1081390</v>
      </c>
      <c r="Q2367" t="str">
        <f t="shared" si="122"/>
        <v>NA</v>
      </c>
      <c r="R2367" t="str">
        <f>IF(ISERROR(MATCH(P2367&amp;"."&amp;Q2367,R$5:R2366,0)),P2367&amp;"."&amp;Q2367,P2367&amp;"."&amp;Q2367&amp;COUNTIFS(P$5:P2366,P2367,Q$5:Q2366,Q2367))</f>
        <v>1081390.NA2</v>
      </c>
      <c r="S2367" s="55">
        <f t="shared" si="123"/>
        <v>0</v>
      </c>
    </row>
    <row r="2368" spans="1:19" hidden="1">
      <c r="A2368" s="5">
        <v>2433</v>
      </c>
      <c r="B2368" s="59"/>
      <c r="C2368" s="60"/>
      <c r="D2368" s="63" t="s">
        <v>569</v>
      </c>
      <c r="E2368" s="61"/>
      <c r="F2368" s="63"/>
      <c r="G2368" s="63"/>
      <c r="H2368" s="62"/>
      <c r="I2368" s="65">
        <v>0</v>
      </c>
      <c r="J2368" s="65">
        <v>0</v>
      </c>
      <c r="K2368" s="62"/>
      <c r="L2368" s="65">
        <v>0</v>
      </c>
      <c r="M2368" s="65">
        <v>0</v>
      </c>
      <c r="N2368" s="64">
        <v>0</v>
      </c>
      <c r="P2368">
        <f t="shared" si="121"/>
        <v>1081390</v>
      </c>
      <c r="Q2368" t="str">
        <f t="shared" si="122"/>
        <v>NA</v>
      </c>
      <c r="R2368" t="str">
        <f>IF(ISERROR(MATCH(P2368&amp;"."&amp;Q2368,R$5:R2367,0)),P2368&amp;"."&amp;Q2368,P2368&amp;"."&amp;Q2368&amp;COUNTIFS(P$5:P2367,P2368,Q$5:Q2367,Q2368))</f>
        <v>1081390.NA3</v>
      </c>
      <c r="S2368" s="55">
        <f t="shared" si="123"/>
        <v>0</v>
      </c>
    </row>
    <row r="2369" spans="1:19" hidden="1">
      <c r="A2369" s="5">
        <v>2434</v>
      </c>
      <c r="B2369" s="59"/>
      <c r="C2369" s="60"/>
      <c r="D2369" s="63"/>
      <c r="E2369" s="70"/>
      <c r="F2369" s="63"/>
      <c r="G2369" s="63"/>
      <c r="H2369" s="62" t="s">
        <v>674</v>
      </c>
      <c r="I2369" s="65">
        <v>0</v>
      </c>
      <c r="J2369" s="65">
        <v>0</v>
      </c>
      <c r="K2369" s="62"/>
      <c r="L2369" s="65">
        <v>0</v>
      </c>
      <c r="M2369" s="65">
        <v>0</v>
      </c>
      <c r="N2369" s="64">
        <v>0</v>
      </c>
      <c r="P2369">
        <f t="shared" si="121"/>
        <v>1081390</v>
      </c>
      <c r="Q2369" t="str">
        <f t="shared" si="122"/>
        <v>NA</v>
      </c>
      <c r="R2369" t="str">
        <f>IF(ISERROR(MATCH(P2369&amp;"."&amp;Q2369,R$5:R2368,0)),P2369&amp;"."&amp;Q2369,P2369&amp;"."&amp;Q2369&amp;COUNTIFS(P$5:P2368,P2369,Q$5:Q2368,Q2369))</f>
        <v>1081390.NA4</v>
      </c>
      <c r="S2369" s="55">
        <f t="shared" si="123"/>
        <v>0</v>
      </c>
    </row>
    <row r="2370" spans="1:19" hidden="1">
      <c r="A2370" s="5">
        <v>2435</v>
      </c>
      <c r="B2370" s="59"/>
      <c r="C2370" s="60"/>
      <c r="D2370" s="63"/>
      <c r="E2370" s="70"/>
      <c r="F2370" s="63"/>
      <c r="G2370" s="63"/>
      <c r="H2370" s="62"/>
      <c r="I2370" s="65"/>
      <c r="J2370" s="65"/>
      <c r="K2370" s="62"/>
      <c r="L2370" s="65"/>
      <c r="M2370" s="65"/>
      <c r="N2370" s="64"/>
      <c r="P2370">
        <f t="shared" si="121"/>
        <v>1081390</v>
      </c>
      <c r="Q2370" t="str">
        <f t="shared" si="122"/>
        <v>NA</v>
      </c>
      <c r="R2370" t="str">
        <f>IF(ISERROR(MATCH(P2370&amp;"."&amp;Q2370,R$5:R2369,0)),P2370&amp;"."&amp;Q2370,P2370&amp;"."&amp;Q2370&amp;COUNTIFS(P$5:P2369,P2370,Q$5:Q2369,Q2370))</f>
        <v>1081390.NA5</v>
      </c>
      <c r="S2370" s="55">
        <f t="shared" si="123"/>
        <v>0</v>
      </c>
    </row>
    <row r="2371" spans="1:19" hidden="1">
      <c r="A2371" s="5">
        <v>2436</v>
      </c>
      <c r="B2371" s="59"/>
      <c r="C2371" s="60">
        <v>1081399</v>
      </c>
      <c r="D2371" s="63" t="s">
        <v>690</v>
      </c>
      <c r="E2371" s="70"/>
      <c r="F2371" s="63"/>
      <c r="G2371" s="63"/>
      <c r="H2371" s="62"/>
      <c r="I2371" s="65"/>
      <c r="J2371" s="65"/>
      <c r="K2371" s="62"/>
      <c r="L2371" s="65"/>
      <c r="M2371" s="65"/>
      <c r="N2371" s="64"/>
      <c r="P2371">
        <f t="shared" si="121"/>
        <v>1081399</v>
      </c>
      <c r="Q2371" t="str">
        <f t="shared" si="122"/>
        <v>NA</v>
      </c>
      <c r="R2371" t="str">
        <f>IF(ISERROR(MATCH(P2371&amp;"."&amp;Q2371,R$5:R2370,0)),P2371&amp;"."&amp;Q2371,P2371&amp;"."&amp;Q2371&amp;COUNTIFS(P$5:P2370,P2371,Q$5:Q2370,Q2371))</f>
        <v>1081399.NA</v>
      </c>
      <c r="S2371" s="55">
        <f t="shared" si="123"/>
        <v>0</v>
      </c>
    </row>
    <row r="2372" spans="1:19" hidden="1">
      <c r="A2372" s="5">
        <v>2437</v>
      </c>
      <c r="B2372" s="59"/>
      <c r="C2372" s="60"/>
      <c r="D2372" s="63"/>
      <c r="E2372" s="61"/>
      <c r="F2372" s="63" t="s">
        <v>13</v>
      </c>
      <c r="G2372" s="63" t="s">
        <v>12</v>
      </c>
      <c r="H2372" s="62"/>
      <c r="I2372" s="65">
        <v>0</v>
      </c>
      <c r="J2372" s="65">
        <v>0</v>
      </c>
      <c r="K2372" s="62"/>
      <c r="L2372" s="65">
        <v>0</v>
      </c>
      <c r="M2372" s="65">
        <v>0</v>
      </c>
      <c r="N2372" s="64">
        <v>0</v>
      </c>
      <c r="P2372">
        <f t="shared" si="121"/>
        <v>1081399</v>
      </c>
      <c r="Q2372" t="str">
        <f t="shared" si="122"/>
        <v>S</v>
      </c>
      <c r="R2372" t="str">
        <f>IF(ISERROR(MATCH(P2372&amp;"."&amp;Q2372,R$5:R2371,0)),P2372&amp;"."&amp;Q2372,P2372&amp;"."&amp;Q2372&amp;COUNTIFS(P$5:P2371,P2372,Q$5:Q2371,Q2372))</f>
        <v>1081399.S</v>
      </c>
      <c r="S2372" s="55">
        <f t="shared" si="123"/>
        <v>0</v>
      </c>
    </row>
    <row r="2373" spans="1:19" hidden="1">
      <c r="A2373" s="5">
        <v>2438</v>
      </c>
      <c r="B2373" s="59"/>
      <c r="C2373" s="60"/>
      <c r="D2373" s="63"/>
      <c r="E2373" s="61"/>
      <c r="F2373" s="63" t="s">
        <v>13</v>
      </c>
      <c r="G2373" s="63" t="s">
        <v>16</v>
      </c>
      <c r="H2373" s="62" t="s">
        <v>674</v>
      </c>
      <c r="I2373" s="65">
        <v>0</v>
      </c>
      <c r="J2373" s="65">
        <v>0</v>
      </c>
      <c r="K2373" s="62"/>
      <c r="L2373" s="65">
        <v>0</v>
      </c>
      <c r="M2373" s="65">
        <v>0</v>
      </c>
      <c r="N2373" s="64">
        <v>0</v>
      </c>
      <c r="P2373">
        <f t="shared" si="121"/>
        <v>1081399</v>
      </c>
      <c r="Q2373" t="str">
        <f t="shared" si="122"/>
        <v>SE</v>
      </c>
      <c r="R2373" t="str">
        <f>IF(ISERROR(MATCH(P2373&amp;"."&amp;Q2373,R$5:R2372,0)),P2373&amp;"."&amp;Q2373,P2373&amp;"."&amp;Q2373&amp;COUNTIFS(P$5:P2372,P2373,Q$5:Q2372,Q2373))</f>
        <v>1081399.SE</v>
      </c>
      <c r="S2373" s="55">
        <f t="shared" si="123"/>
        <v>0</v>
      </c>
    </row>
    <row r="2374" spans="1:19" hidden="1">
      <c r="A2374" s="5">
        <v>2439</v>
      </c>
      <c r="B2374" s="59"/>
      <c r="C2374" s="60"/>
      <c r="D2374" s="63"/>
      <c r="E2374" s="61"/>
      <c r="F2374" s="63"/>
      <c r="G2374" s="63"/>
      <c r="H2374" s="62"/>
      <c r="I2374" s="65">
        <v>0</v>
      </c>
      <c r="J2374" s="65">
        <v>0</v>
      </c>
      <c r="K2374" s="62"/>
      <c r="L2374" s="65">
        <v>0</v>
      </c>
      <c r="M2374" s="65">
        <v>0</v>
      </c>
      <c r="N2374" s="64">
        <v>0</v>
      </c>
      <c r="P2374">
        <f t="shared" si="121"/>
        <v>1081399</v>
      </c>
      <c r="Q2374" t="str">
        <f t="shared" si="122"/>
        <v>NA</v>
      </c>
      <c r="R2374" t="str">
        <f>IF(ISERROR(MATCH(P2374&amp;"."&amp;Q2374,R$5:R2373,0)),P2374&amp;"."&amp;Q2374,P2374&amp;"."&amp;Q2374&amp;COUNTIFS(P$5:P2373,P2374,Q$5:Q2373,Q2374))</f>
        <v>1081399.NA1</v>
      </c>
      <c r="S2374" s="55">
        <f t="shared" si="123"/>
        <v>0</v>
      </c>
    </row>
    <row r="2375" spans="1:19" hidden="1">
      <c r="A2375" s="5">
        <v>2440</v>
      </c>
      <c r="B2375" s="59"/>
      <c r="C2375" s="60"/>
      <c r="D2375" s="63"/>
      <c r="E2375" s="61"/>
      <c r="F2375" s="63"/>
      <c r="G2375" s="63"/>
      <c r="H2375" s="62"/>
      <c r="I2375" s="65"/>
      <c r="J2375" s="65"/>
      <c r="K2375" s="62"/>
      <c r="L2375" s="65"/>
      <c r="M2375" s="65"/>
      <c r="N2375" s="64"/>
      <c r="P2375">
        <f t="shared" ref="P2375:P2438" si="124">IF(OR(C2375="",C2375=" ",C2375="  ",C2375="   "),P2374,C2375)</f>
        <v>1081399</v>
      </c>
      <c r="Q2375" t="str">
        <f t="shared" ref="Q2375:Q2438" si="125">IF(G2375="","NA",G2375)</f>
        <v>NA</v>
      </c>
      <c r="R2375" t="str">
        <f>IF(ISERROR(MATCH(P2375&amp;"."&amp;Q2375,R$5:R2374,0)),P2375&amp;"."&amp;Q2375,P2375&amp;"."&amp;Q2375&amp;COUNTIFS(P$5:P2374,P2375,Q$5:Q2374,Q2375))</f>
        <v>1081399.NA2</v>
      </c>
      <c r="S2375" s="55">
        <f t="shared" si="123"/>
        <v>0</v>
      </c>
    </row>
    <row r="2376" spans="1:19" hidden="1">
      <c r="A2376" s="5">
        <v>2441</v>
      </c>
      <c r="B2376" s="59"/>
      <c r="C2376" s="60"/>
      <c r="D2376" s="63" t="s">
        <v>569</v>
      </c>
      <c r="E2376" s="61"/>
      <c r="F2376" s="63"/>
      <c r="G2376" s="63"/>
      <c r="H2376" s="62"/>
      <c r="I2376" s="65">
        <v>0</v>
      </c>
      <c r="J2376" s="65">
        <v>0</v>
      </c>
      <c r="K2376" s="62"/>
      <c r="L2376" s="65">
        <v>0</v>
      </c>
      <c r="M2376" s="65">
        <v>0</v>
      </c>
      <c r="N2376" s="64">
        <v>0</v>
      </c>
      <c r="P2376">
        <f t="shared" si="124"/>
        <v>1081399</v>
      </c>
      <c r="Q2376" t="str">
        <f t="shared" si="125"/>
        <v>NA</v>
      </c>
      <c r="R2376" t="str">
        <f>IF(ISERROR(MATCH(P2376&amp;"."&amp;Q2376,R$5:R2375,0)),P2376&amp;"."&amp;Q2376,P2376&amp;"."&amp;Q2376&amp;COUNTIFS(P$5:P2375,P2376,Q$5:Q2375,Q2376))</f>
        <v>1081399.NA3</v>
      </c>
      <c r="S2376" s="55">
        <f t="shared" ref="S2376:S2439" si="126">N2376</f>
        <v>0</v>
      </c>
    </row>
    <row r="2377" spans="1:19" ht="15.75" hidden="1" thickBot="1">
      <c r="A2377" s="5">
        <v>2442</v>
      </c>
      <c r="B2377" s="59"/>
      <c r="C2377" s="60"/>
      <c r="D2377" s="63"/>
      <c r="E2377" s="63"/>
      <c r="F2377" s="63"/>
      <c r="G2377" s="63"/>
      <c r="H2377" s="62" t="s">
        <v>674</v>
      </c>
      <c r="I2377" s="81">
        <v>0</v>
      </c>
      <c r="J2377" s="81">
        <v>0</v>
      </c>
      <c r="K2377" s="62"/>
      <c r="L2377" s="81">
        <v>0</v>
      </c>
      <c r="M2377" s="81">
        <v>0</v>
      </c>
      <c r="N2377" s="81">
        <v>0</v>
      </c>
      <c r="P2377">
        <f t="shared" si="124"/>
        <v>1081399</v>
      </c>
      <c r="Q2377" t="str">
        <f t="shared" si="125"/>
        <v>NA</v>
      </c>
      <c r="R2377" t="str">
        <f>IF(ISERROR(MATCH(P2377&amp;"."&amp;Q2377,R$5:R2376,0)),P2377&amp;"."&amp;Q2377,P2377&amp;"."&amp;Q2377&amp;COUNTIFS(P$5:P2376,P2377,Q$5:Q2376,Q2377))</f>
        <v>1081399.NA4</v>
      </c>
      <c r="S2377" s="55">
        <f t="shared" si="126"/>
        <v>0</v>
      </c>
    </row>
    <row r="2378" spans="1:19" hidden="1">
      <c r="A2378" s="5">
        <v>2443</v>
      </c>
      <c r="B2378" s="59"/>
      <c r="C2378" s="60"/>
      <c r="D2378" s="63"/>
      <c r="E2378" s="63"/>
      <c r="F2378" s="63"/>
      <c r="G2378" s="63"/>
      <c r="H2378" s="62"/>
      <c r="I2378" s="65"/>
      <c r="J2378" s="65"/>
      <c r="K2378" s="62"/>
      <c r="L2378" s="65"/>
      <c r="M2378" s="65"/>
      <c r="N2378" s="65"/>
      <c r="P2378">
        <f t="shared" si="124"/>
        <v>1081399</v>
      </c>
      <c r="Q2378" t="str">
        <f t="shared" si="125"/>
        <v>NA</v>
      </c>
      <c r="R2378" t="str">
        <f>IF(ISERROR(MATCH(P2378&amp;"."&amp;Q2378,R$5:R2377,0)),P2378&amp;"."&amp;Q2378,P2378&amp;"."&amp;Q2378&amp;COUNTIFS(P$5:P2377,P2378,Q$5:Q2377,Q2378))</f>
        <v>1081399.NA5</v>
      </c>
      <c r="S2378" s="55">
        <f t="shared" si="126"/>
        <v>0</v>
      </c>
    </row>
    <row r="2379" spans="1:19" hidden="1">
      <c r="A2379" s="5">
        <v>2444</v>
      </c>
      <c r="B2379" s="59"/>
      <c r="C2379" s="60"/>
      <c r="D2379" s="63"/>
      <c r="E2379" s="63"/>
      <c r="F2379" s="63"/>
      <c r="G2379" s="63"/>
      <c r="H2379" s="62"/>
      <c r="I2379" s="65"/>
      <c r="J2379" s="65"/>
      <c r="K2379" s="62"/>
      <c r="L2379" s="65"/>
      <c r="M2379" s="65"/>
      <c r="N2379" s="65"/>
      <c r="P2379">
        <f t="shared" si="124"/>
        <v>1081399</v>
      </c>
      <c r="Q2379" t="str">
        <f t="shared" si="125"/>
        <v>NA</v>
      </c>
      <c r="R2379" t="str">
        <f>IF(ISERROR(MATCH(P2379&amp;"."&amp;Q2379,R$5:R2378,0)),P2379&amp;"."&amp;Q2379,P2379&amp;"."&amp;Q2379&amp;COUNTIFS(P$5:P2378,P2379,Q$5:Q2378,Q2379))</f>
        <v>1081399.NA6</v>
      </c>
      <c r="S2379" s="55">
        <f t="shared" si="126"/>
        <v>0</v>
      </c>
    </row>
    <row r="2380" spans="1:19" ht="15.75" hidden="1" thickBot="1">
      <c r="A2380" s="5">
        <v>2445</v>
      </c>
      <c r="B2380" s="59"/>
      <c r="C2380" s="45" t="s">
        <v>691</v>
      </c>
      <c r="D2380" s="63"/>
      <c r="E2380" s="63"/>
      <c r="F2380" s="63"/>
      <c r="G2380" s="63"/>
      <c r="H2380" s="41" t="s">
        <v>674</v>
      </c>
      <c r="I2380" s="68">
        <v>-483018484.20461559</v>
      </c>
      <c r="J2380" s="68">
        <v>-188261498.0524106</v>
      </c>
      <c r="K2380" s="41"/>
      <c r="L2380" s="68">
        <v>-527660552.99647576</v>
      </c>
      <c r="M2380" s="68">
        <v>-319585985.45431334</v>
      </c>
      <c r="N2380" s="68">
        <v>-208074567.5421623</v>
      </c>
      <c r="P2380" t="str">
        <f t="shared" si="124"/>
        <v>Total General Plant Accum Depreciation</v>
      </c>
      <c r="Q2380" t="str">
        <f t="shared" si="125"/>
        <v>NA</v>
      </c>
      <c r="R2380" t="str">
        <f>IF(ISERROR(MATCH(P2380&amp;"."&amp;Q2380,R$5:R2379,0)),P2380&amp;"."&amp;Q2380,P2380&amp;"."&amp;Q2380&amp;COUNTIFS(P$5:P2379,P2380,Q$5:Q2379,Q2380))</f>
        <v>Total General Plant Accum Depreciation.NA</v>
      </c>
      <c r="S2380" s="55">
        <f t="shared" si="126"/>
        <v>-208074567.5421623</v>
      </c>
    </row>
    <row r="2381" spans="1:19" hidden="1">
      <c r="A2381" s="5">
        <v>2446</v>
      </c>
      <c r="B2381" s="59"/>
      <c r="C2381" s="60"/>
      <c r="D2381" s="61"/>
      <c r="E2381" s="63"/>
      <c r="F2381" s="63"/>
      <c r="G2381" s="63"/>
      <c r="H2381" s="62"/>
      <c r="I2381" s="65"/>
      <c r="J2381" s="65"/>
      <c r="K2381" s="62"/>
      <c r="L2381" s="65"/>
      <c r="M2381" s="65"/>
      <c r="N2381" s="65"/>
      <c r="P2381" t="str">
        <f t="shared" si="124"/>
        <v>Total General Plant Accum Depreciation</v>
      </c>
      <c r="Q2381" t="str">
        <f t="shared" si="125"/>
        <v>NA</v>
      </c>
      <c r="R2381" t="str">
        <f>IF(ISERROR(MATCH(P2381&amp;"."&amp;Q2381,R$5:R2380,0)),P2381&amp;"."&amp;Q2381,P2381&amp;"."&amp;Q2381&amp;COUNTIFS(P$5:P2380,P2381,Q$5:Q2380,Q2381))</f>
        <v>Total General Plant Accum Depreciation.NA1</v>
      </c>
      <c r="S2381" s="55">
        <f t="shared" si="126"/>
        <v>0</v>
      </c>
    </row>
    <row r="2382" spans="1:19" hidden="1">
      <c r="A2382" s="5">
        <v>2447</v>
      </c>
      <c r="B2382" s="59"/>
      <c r="C2382" s="60"/>
      <c r="D2382" s="63"/>
      <c r="E2382" s="63"/>
      <c r="F2382" s="60"/>
      <c r="G2382" s="61"/>
      <c r="H2382" s="62"/>
      <c r="I2382" s="65"/>
      <c r="J2382" s="65"/>
      <c r="K2382" s="62"/>
      <c r="L2382" s="65"/>
      <c r="M2382" s="65"/>
      <c r="N2382" s="64"/>
      <c r="P2382" t="str">
        <f t="shared" si="124"/>
        <v>Total General Plant Accum Depreciation</v>
      </c>
      <c r="Q2382" t="str">
        <f t="shared" si="125"/>
        <v>NA</v>
      </c>
      <c r="R2382" t="str">
        <f>IF(ISERROR(MATCH(P2382&amp;"."&amp;Q2382,R$5:R2381,0)),P2382&amp;"."&amp;Q2382,P2382&amp;"."&amp;Q2382&amp;COUNTIFS(P$5:P2381,P2382,Q$5:Q2381,Q2382))</f>
        <v>Total General Plant Accum Depreciation.NA2</v>
      </c>
      <c r="S2382" s="55">
        <f t="shared" si="126"/>
        <v>0</v>
      </c>
    </row>
    <row r="2383" spans="1:19" hidden="1">
      <c r="A2383" s="5">
        <v>2448</v>
      </c>
      <c r="B2383" s="59"/>
      <c r="C2383" s="60"/>
      <c r="D2383" s="63"/>
      <c r="E2383" s="63"/>
      <c r="F2383" s="60"/>
      <c r="G2383" s="61"/>
      <c r="H2383" s="62"/>
      <c r="I2383" s="65"/>
      <c r="J2383" s="65"/>
      <c r="K2383" s="62"/>
      <c r="L2383" s="65"/>
      <c r="M2383" s="65"/>
      <c r="N2383" s="64"/>
      <c r="P2383" t="str">
        <f t="shared" si="124"/>
        <v>Total General Plant Accum Depreciation</v>
      </c>
      <c r="Q2383" t="str">
        <f t="shared" si="125"/>
        <v>NA</v>
      </c>
      <c r="R2383" t="str">
        <f>IF(ISERROR(MATCH(P2383&amp;"."&amp;Q2383,R$5:R2382,0)),P2383&amp;"."&amp;Q2383,P2383&amp;"."&amp;Q2383&amp;COUNTIFS(P$5:P2382,P2383,Q$5:Q2382,Q2383))</f>
        <v>Total General Plant Accum Depreciation.NA3</v>
      </c>
      <c r="S2383" s="55">
        <f t="shared" si="126"/>
        <v>0</v>
      </c>
    </row>
    <row r="2384" spans="1:19" ht="15.75" hidden="1" thickBot="1">
      <c r="A2384" s="5">
        <v>2449</v>
      </c>
      <c r="B2384" s="59"/>
      <c r="C2384" s="60" t="s">
        <v>692</v>
      </c>
      <c r="D2384" s="63"/>
      <c r="E2384" s="63"/>
      <c r="F2384" s="63"/>
      <c r="G2384" s="63"/>
      <c r="H2384" s="62"/>
      <c r="I2384" s="81"/>
      <c r="J2384" s="81"/>
      <c r="K2384" s="62"/>
      <c r="L2384" s="81"/>
      <c r="M2384" s="81"/>
      <c r="N2384" s="81"/>
      <c r="P2384" t="str">
        <f t="shared" si="124"/>
        <v>Summary of General Depreciation by Factor</v>
      </c>
      <c r="Q2384" t="str">
        <f t="shared" si="125"/>
        <v>NA</v>
      </c>
      <c r="R2384" t="str">
        <f>IF(ISERROR(MATCH(P2384&amp;"."&amp;Q2384,R$5:R2383,0)),P2384&amp;"."&amp;Q2384,P2384&amp;"."&amp;Q2384&amp;COUNTIFS(P$5:P2383,P2384,Q$5:Q2383,Q2384))</f>
        <v>Summary of General Depreciation by Factor.NA</v>
      </c>
      <c r="S2384" s="55">
        <f t="shared" si="126"/>
        <v>0</v>
      </c>
    </row>
    <row r="2385" spans="1:19" hidden="1">
      <c r="A2385" s="5">
        <v>2450</v>
      </c>
      <c r="B2385" s="59"/>
      <c r="C2385" s="60"/>
      <c r="D2385" s="63"/>
      <c r="E2385" s="63" t="s">
        <v>12</v>
      </c>
      <c r="F2385" s="63"/>
      <c r="G2385" s="63"/>
      <c r="H2385" s="62"/>
      <c r="I2385" s="65">
        <v>-247853687.23461521</v>
      </c>
      <c r="J2385" s="65">
        <v>-85203160.883076906</v>
      </c>
      <c r="K2385" s="62"/>
      <c r="L2385" s="65">
        <v>-272660990.09437376</v>
      </c>
      <c r="M2385" s="65">
        <v>-176640857.07273185</v>
      </c>
      <c r="N2385" s="65">
        <v>-96020133.02164191</v>
      </c>
      <c r="P2385" t="str">
        <f t="shared" si="124"/>
        <v>Summary of General Depreciation by Factor</v>
      </c>
      <c r="Q2385" t="str">
        <f t="shared" si="125"/>
        <v>NA</v>
      </c>
      <c r="R2385" t="str">
        <f>IF(ISERROR(MATCH(P2385&amp;"."&amp;Q2385,R$5:R2384,0)),P2385&amp;"."&amp;Q2385,P2385&amp;"."&amp;Q2385&amp;COUNTIFS(P$5:P2384,P2385,Q$5:Q2384,Q2385))</f>
        <v>Summary of General Depreciation by Factor.NA1</v>
      </c>
      <c r="S2385" s="55">
        <f t="shared" si="126"/>
        <v>-96020133.02164191</v>
      </c>
    </row>
    <row r="2386" spans="1:19" hidden="1">
      <c r="A2386" s="5">
        <v>2451</v>
      </c>
      <c r="B2386" s="59"/>
      <c r="C2386" s="60"/>
      <c r="D2386" s="63"/>
      <c r="E2386" s="63" t="s">
        <v>17</v>
      </c>
      <c r="F2386" s="63"/>
      <c r="G2386" s="63"/>
      <c r="H2386" s="62"/>
      <c r="I2386" s="65">
        <v>0</v>
      </c>
      <c r="J2386" s="65">
        <v>0</v>
      </c>
      <c r="K2386" s="62"/>
      <c r="L2386" s="65">
        <v>0</v>
      </c>
      <c r="M2386" s="65">
        <v>0</v>
      </c>
      <c r="N2386" s="65">
        <v>0</v>
      </c>
      <c r="P2386" t="str">
        <f t="shared" si="124"/>
        <v>Summary of General Depreciation by Factor</v>
      </c>
      <c r="Q2386" t="str">
        <f t="shared" si="125"/>
        <v>NA</v>
      </c>
      <c r="R2386" t="str">
        <f>IF(ISERROR(MATCH(P2386&amp;"."&amp;Q2386,R$5:R2385,0)),P2386&amp;"."&amp;Q2386,P2386&amp;"."&amp;Q2386&amp;COUNTIFS(P$5:P2385,P2386,Q$5:Q2385,Q2386))</f>
        <v>Summary of General Depreciation by Factor.NA2</v>
      </c>
      <c r="S2386" s="55">
        <f t="shared" si="126"/>
        <v>0</v>
      </c>
    </row>
    <row r="2387" spans="1:19" hidden="1">
      <c r="A2387" s="5">
        <v>2452</v>
      </c>
      <c r="B2387" s="59"/>
      <c r="C2387" s="60"/>
      <c r="D2387" s="61"/>
      <c r="E2387" s="63" t="s">
        <v>14</v>
      </c>
      <c r="F2387" s="63"/>
      <c r="G2387" s="63"/>
      <c r="H2387" s="62"/>
      <c r="I2387" s="65">
        <v>0</v>
      </c>
      <c r="J2387" s="65">
        <v>0</v>
      </c>
      <c r="K2387" s="62"/>
      <c r="L2387" s="65">
        <v>0</v>
      </c>
      <c r="M2387" s="65">
        <v>0</v>
      </c>
      <c r="N2387" s="65">
        <v>0</v>
      </c>
      <c r="P2387" t="str">
        <f t="shared" si="124"/>
        <v>Summary of General Depreciation by Factor</v>
      </c>
      <c r="Q2387" t="str">
        <f t="shared" si="125"/>
        <v>NA</v>
      </c>
      <c r="R2387" t="str">
        <f>IF(ISERROR(MATCH(P2387&amp;"."&amp;Q2387,R$5:R2386,0)),P2387&amp;"."&amp;Q2387,P2387&amp;"."&amp;Q2387&amp;COUNTIFS(P$5:P2386,P2387,Q$5:Q2386,Q2387))</f>
        <v>Summary of General Depreciation by Factor.NA3</v>
      </c>
      <c r="S2387" s="55">
        <f t="shared" si="126"/>
        <v>0</v>
      </c>
    </row>
    <row r="2388" spans="1:19" hidden="1">
      <c r="A2388" s="5">
        <v>2453</v>
      </c>
      <c r="B2388" s="59"/>
      <c r="C2388" s="60"/>
      <c r="D2388" s="63"/>
      <c r="E2388" s="63" t="s">
        <v>16</v>
      </c>
      <c r="F2388" s="60"/>
      <c r="G2388" s="61"/>
      <c r="H2388" s="62"/>
      <c r="I2388" s="65">
        <v>-1606020.59</v>
      </c>
      <c r="J2388" s="65">
        <v>-696309.65160160558</v>
      </c>
      <c r="K2388" s="62"/>
      <c r="L2388" s="65">
        <v>-1815595.1690518083</v>
      </c>
      <c r="M2388" s="65">
        <v>-1028421.9238993144</v>
      </c>
      <c r="N2388" s="64">
        <v>-787173.24515249394</v>
      </c>
      <c r="P2388" t="str">
        <f t="shared" si="124"/>
        <v>Summary of General Depreciation by Factor</v>
      </c>
      <c r="Q2388" t="str">
        <f t="shared" si="125"/>
        <v>NA</v>
      </c>
      <c r="R2388" t="str">
        <f>IF(ISERROR(MATCH(P2388&amp;"."&amp;Q2388,R$5:R2387,0)),P2388&amp;"."&amp;Q2388,P2388&amp;"."&amp;Q2388&amp;COUNTIFS(P$5:P2387,P2388,Q$5:Q2387,Q2388))</f>
        <v>Summary of General Depreciation by Factor.NA4</v>
      </c>
      <c r="S2388" s="55">
        <f t="shared" si="126"/>
        <v>-787173.24515249394</v>
      </c>
    </row>
    <row r="2389" spans="1:19" hidden="1">
      <c r="A2389" s="5">
        <v>2454</v>
      </c>
      <c r="B2389" s="59"/>
      <c r="C2389" s="60"/>
      <c r="D2389" s="63"/>
      <c r="E2389" s="63" t="s">
        <v>136</v>
      </c>
      <c r="F2389" s="60"/>
      <c r="G2389" s="61"/>
      <c r="H2389" s="62"/>
      <c r="I2389" s="65">
        <v>-107174971.899231</v>
      </c>
      <c r="J2389" s="65">
        <v>-46512362.962830216</v>
      </c>
      <c r="K2389" s="62"/>
      <c r="L2389" s="65">
        <v>-110515880.02447455</v>
      </c>
      <c r="M2389" s="65">
        <v>-62226496.272556446</v>
      </c>
      <c r="N2389" s="64">
        <v>-48289383.7519181</v>
      </c>
      <c r="P2389" t="str">
        <f t="shared" si="124"/>
        <v>Summary of General Depreciation by Factor</v>
      </c>
      <c r="Q2389" t="str">
        <f t="shared" si="125"/>
        <v>NA</v>
      </c>
      <c r="R2389" t="str">
        <f>IF(ISERROR(MATCH(P2389&amp;"."&amp;Q2389,R$5:R2388,0)),P2389&amp;"."&amp;Q2389,P2389&amp;"."&amp;Q2389&amp;COUNTIFS(P$5:P2388,P2389,Q$5:Q2388,Q2389))</f>
        <v>Summary of General Depreciation by Factor.NA5</v>
      </c>
      <c r="S2389" s="55">
        <f t="shared" si="126"/>
        <v>-48289383.7519181</v>
      </c>
    </row>
    <row r="2390" spans="1:19" hidden="1">
      <c r="A2390" s="5">
        <v>2455</v>
      </c>
      <c r="B2390" s="59"/>
      <c r="C2390" s="60"/>
      <c r="D2390" s="63"/>
      <c r="E2390" s="63" t="s">
        <v>155</v>
      </c>
      <c r="F2390" s="60"/>
      <c r="G2390" s="61"/>
      <c r="H2390" s="62"/>
      <c r="I2390" s="65">
        <v>-6399766.5161538497</v>
      </c>
      <c r="J2390" s="65">
        <v>-3059689.6923964513</v>
      </c>
      <c r="K2390" s="62"/>
      <c r="L2390" s="65">
        <v>-5443176.2461547349</v>
      </c>
      <c r="M2390" s="65">
        <v>-2840826.5803944473</v>
      </c>
      <c r="N2390" s="64">
        <v>-2602349.6657602875</v>
      </c>
      <c r="P2390" t="str">
        <f t="shared" si="124"/>
        <v>Summary of General Depreciation by Factor</v>
      </c>
      <c r="Q2390" t="str">
        <f t="shared" si="125"/>
        <v>NA</v>
      </c>
      <c r="R2390" t="str">
        <f>IF(ISERROR(MATCH(P2390&amp;"."&amp;Q2390,R$5:R2389,0)),P2390&amp;"."&amp;Q2390,P2390&amp;"."&amp;Q2390&amp;COUNTIFS(P$5:P2389,P2390,Q$5:Q2389,Q2390))</f>
        <v>Summary of General Depreciation by Factor.NA6</v>
      </c>
      <c r="S2390" s="55">
        <f t="shared" si="126"/>
        <v>-2602349.6657602875</v>
      </c>
    </row>
    <row r="2391" spans="1:19" hidden="1">
      <c r="A2391" s="5">
        <v>2456</v>
      </c>
      <c r="B2391" s="59"/>
      <c r="C2391" s="60"/>
      <c r="D2391" s="63"/>
      <c r="E2391" s="63" t="s">
        <v>15</v>
      </c>
      <c r="F2391" s="60"/>
      <c r="G2391" s="61"/>
      <c r="H2391" s="62"/>
      <c r="I2391" s="65">
        <v>-119984037.96461561</v>
      </c>
      <c r="J2391" s="65">
        <v>-52789974.862505406</v>
      </c>
      <c r="K2391" s="62"/>
      <c r="L2391" s="65">
        <v>-137224911.46242085</v>
      </c>
      <c r="M2391" s="65">
        <v>-76849383.604731321</v>
      </c>
      <c r="N2391" s="64">
        <v>-60375527.857689522</v>
      </c>
      <c r="P2391" t="str">
        <f t="shared" si="124"/>
        <v>Summary of General Depreciation by Factor</v>
      </c>
      <c r="Q2391" t="str">
        <f t="shared" si="125"/>
        <v>NA</v>
      </c>
      <c r="R2391" t="str">
        <f>IF(ISERROR(MATCH(P2391&amp;"."&amp;Q2391,R$5:R2390,0)),P2391&amp;"."&amp;Q2391,P2391&amp;"."&amp;Q2391&amp;COUNTIFS(P$5:P2390,P2391,Q$5:Q2390,Q2391))</f>
        <v>Summary of General Depreciation by Factor.NA7</v>
      </c>
      <c r="S2391" s="55">
        <f t="shared" si="126"/>
        <v>-60375527.857689522</v>
      </c>
    </row>
    <row r="2392" spans="1:19" hidden="1">
      <c r="A2392" s="5">
        <v>2457</v>
      </c>
      <c r="B2392" s="59"/>
      <c r="C2392" s="60"/>
      <c r="D2392" s="63"/>
      <c r="E2392" s="63" t="s">
        <v>294</v>
      </c>
      <c r="F2392" s="60"/>
      <c r="G2392" s="61"/>
      <c r="H2392" s="62"/>
      <c r="I2392" s="65">
        <v>0</v>
      </c>
      <c r="J2392" s="65">
        <v>0</v>
      </c>
      <c r="K2392" s="62"/>
      <c r="L2392" s="65">
        <v>0</v>
      </c>
      <c r="M2392" s="65">
        <v>0</v>
      </c>
      <c r="N2392" s="64">
        <v>0</v>
      </c>
      <c r="P2392" t="str">
        <f t="shared" si="124"/>
        <v>Summary of General Depreciation by Factor</v>
      </c>
      <c r="Q2392" t="str">
        <f t="shared" si="125"/>
        <v>NA</v>
      </c>
      <c r="R2392" t="str">
        <f>IF(ISERROR(MATCH(P2392&amp;"."&amp;Q2392,R$5:R2391,0)),P2392&amp;"."&amp;Q2392,P2392&amp;"."&amp;Q2392&amp;COUNTIFS(P$5:P2391,P2392,Q$5:Q2391,Q2392))</f>
        <v>Summary of General Depreciation by Factor.NA8</v>
      </c>
      <c r="S2392" s="55">
        <f t="shared" si="126"/>
        <v>0</v>
      </c>
    </row>
    <row r="2393" spans="1:19" ht="15.75" hidden="1" thickBot="1">
      <c r="A2393" s="5">
        <v>2458</v>
      </c>
      <c r="B2393" s="59"/>
      <c r="C2393" s="60"/>
      <c r="D2393" s="63"/>
      <c r="E2393" s="63" t="s">
        <v>298</v>
      </c>
      <c r="F2393" s="63"/>
      <c r="G2393" s="63"/>
      <c r="H2393" s="62"/>
      <c r="I2393" s="81">
        <v>0</v>
      </c>
      <c r="J2393" s="81">
        <v>0</v>
      </c>
      <c r="K2393" s="62"/>
      <c r="L2393" s="81">
        <v>0</v>
      </c>
      <c r="M2393" s="81">
        <v>0</v>
      </c>
      <c r="N2393" s="81">
        <v>0</v>
      </c>
      <c r="P2393" t="str">
        <f t="shared" si="124"/>
        <v>Summary of General Depreciation by Factor</v>
      </c>
      <c r="Q2393" t="str">
        <f t="shared" si="125"/>
        <v>NA</v>
      </c>
      <c r="R2393" t="str">
        <f>IF(ISERROR(MATCH(P2393&amp;"."&amp;Q2393,R$5:R2392,0)),P2393&amp;"."&amp;Q2393,P2393&amp;"."&amp;Q2393&amp;COUNTIFS(P$5:P2392,P2393,Q$5:Q2392,Q2393))</f>
        <v>Summary of General Depreciation by Factor.NA9</v>
      </c>
      <c r="S2393" s="55">
        <f t="shared" si="126"/>
        <v>0</v>
      </c>
    </row>
    <row r="2394" spans="1:19" hidden="1">
      <c r="A2394" s="5">
        <v>2459</v>
      </c>
      <c r="B2394" s="59"/>
      <c r="C2394" s="60"/>
      <c r="D2394" s="63"/>
      <c r="E2394" s="63" t="s">
        <v>301</v>
      </c>
      <c r="F2394" s="63"/>
      <c r="G2394" s="63"/>
      <c r="H2394" s="62"/>
      <c r="I2394" s="65">
        <v>0</v>
      </c>
      <c r="J2394" s="65">
        <v>0</v>
      </c>
      <c r="K2394" s="62"/>
      <c r="L2394" s="65">
        <v>0</v>
      </c>
      <c r="M2394" s="65">
        <v>0</v>
      </c>
      <c r="N2394" s="65">
        <v>0</v>
      </c>
      <c r="P2394" t="str">
        <f t="shared" si="124"/>
        <v>Summary of General Depreciation by Factor</v>
      </c>
      <c r="Q2394" t="str">
        <f t="shared" si="125"/>
        <v>NA</v>
      </c>
      <c r="R2394" t="str">
        <f>IF(ISERROR(MATCH(P2394&amp;"."&amp;Q2394,R$5:R2393,0)),P2394&amp;"."&amp;Q2394,P2394&amp;"."&amp;Q2394&amp;COUNTIFS(P$5:P2393,P2394,Q$5:Q2393,Q2394))</f>
        <v>Summary of General Depreciation by Factor.NA10</v>
      </c>
      <c r="S2394" s="55">
        <f t="shared" si="126"/>
        <v>0</v>
      </c>
    </row>
    <row r="2395" spans="1:19" hidden="1">
      <c r="A2395" s="5">
        <v>2460</v>
      </c>
      <c r="B2395" s="59"/>
      <c r="C2395" s="60"/>
      <c r="D2395" s="63"/>
      <c r="E2395" s="63" t="s">
        <v>569</v>
      </c>
      <c r="F2395" s="63"/>
      <c r="G2395" s="63"/>
      <c r="H2395" s="62"/>
      <c r="I2395" s="65">
        <v>0</v>
      </c>
      <c r="J2395" s="65">
        <v>0</v>
      </c>
      <c r="K2395" s="62"/>
      <c r="L2395" s="65">
        <v>0</v>
      </c>
      <c r="M2395" s="65">
        <v>0</v>
      </c>
      <c r="N2395" s="65">
        <v>0</v>
      </c>
      <c r="P2395" t="str">
        <f t="shared" si="124"/>
        <v>Summary of General Depreciation by Factor</v>
      </c>
      <c r="Q2395" t="str">
        <f t="shared" si="125"/>
        <v>NA</v>
      </c>
      <c r="R2395" t="str">
        <f>IF(ISERROR(MATCH(P2395&amp;"."&amp;Q2395,R$5:R2394,0)),P2395&amp;"."&amp;Q2395,P2395&amp;"."&amp;Q2395&amp;COUNTIFS(P$5:P2394,P2395,Q$5:Q2394,Q2395))</f>
        <v>Summary of General Depreciation by Factor.NA11</v>
      </c>
      <c r="S2395" s="55">
        <f t="shared" si="126"/>
        <v>0</v>
      </c>
    </row>
    <row r="2396" spans="1:19" hidden="1">
      <c r="A2396" s="5">
        <v>2461</v>
      </c>
      <c r="B2396" s="59"/>
      <c r="C2396" s="60" t="s">
        <v>693</v>
      </c>
      <c r="D2396" s="61"/>
      <c r="E2396" s="63"/>
      <c r="F2396" s="63"/>
      <c r="G2396" s="63"/>
      <c r="H2396" s="62" t="s">
        <v>141</v>
      </c>
      <c r="I2396" s="65">
        <v>-483018484.20461571</v>
      </c>
      <c r="J2396" s="65">
        <v>-188261498.0524106</v>
      </c>
      <c r="K2396" s="62"/>
      <c r="L2396" s="65">
        <v>-527660552.9964757</v>
      </c>
      <c r="M2396" s="65">
        <v>-319585985.4543134</v>
      </c>
      <c r="N2396" s="65">
        <v>-208074567.5421623</v>
      </c>
      <c r="P2396" t="str">
        <f t="shared" si="124"/>
        <v>Total General Depreciation by Factor</v>
      </c>
      <c r="Q2396" t="str">
        <f t="shared" si="125"/>
        <v>NA</v>
      </c>
      <c r="R2396" t="str">
        <f>IF(ISERROR(MATCH(P2396&amp;"."&amp;Q2396,R$5:R2395,0)),P2396&amp;"."&amp;Q2396,P2396&amp;"."&amp;Q2396&amp;COUNTIFS(P$5:P2395,P2396,Q$5:Q2395,Q2396))</f>
        <v>Total General Depreciation by Factor.NA</v>
      </c>
      <c r="S2396" s="55">
        <f t="shared" si="126"/>
        <v>-208074567.5421623</v>
      </c>
    </row>
    <row r="2397" spans="1:19" hidden="1">
      <c r="A2397" s="5">
        <v>2462</v>
      </c>
      <c r="B2397" s="59"/>
      <c r="C2397" s="60"/>
      <c r="D2397" s="63"/>
      <c r="E2397" s="63"/>
      <c r="F2397" s="60"/>
      <c r="G2397" s="61"/>
      <c r="H2397" s="62"/>
      <c r="I2397" s="65"/>
      <c r="J2397" s="65"/>
      <c r="K2397" s="62"/>
      <c r="L2397" s="65"/>
      <c r="M2397" s="65"/>
      <c r="N2397" s="64"/>
      <c r="P2397" t="str">
        <f t="shared" si="124"/>
        <v>Total General Depreciation by Factor</v>
      </c>
      <c r="Q2397" t="str">
        <f t="shared" si="125"/>
        <v>NA</v>
      </c>
      <c r="R2397" t="str">
        <f>IF(ISERROR(MATCH(P2397&amp;"."&amp;Q2397,R$5:R2396,0)),P2397&amp;"."&amp;Q2397,P2397&amp;"."&amp;Q2397&amp;COUNTIFS(P$5:P2396,P2397,Q$5:Q2396,Q2397))</f>
        <v>Total General Depreciation by Factor.NA1</v>
      </c>
      <c r="S2397" s="55">
        <f t="shared" si="126"/>
        <v>0</v>
      </c>
    </row>
    <row r="2398" spans="1:19" hidden="1">
      <c r="A2398" s="5">
        <v>2463</v>
      </c>
      <c r="B2398" s="59"/>
      <c r="C2398" s="60"/>
      <c r="D2398" s="63"/>
      <c r="E2398" s="70"/>
      <c r="F2398" s="60"/>
      <c r="G2398" s="61"/>
      <c r="H2398" s="62"/>
      <c r="I2398" s="65"/>
      <c r="J2398" s="65"/>
      <c r="K2398" s="62"/>
      <c r="L2398" s="65"/>
      <c r="M2398" s="65"/>
      <c r="N2398" s="64"/>
      <c r="P2398" t="str">
        <f t="shared" si="124"/>
        <v>Total General Depreciation by Factor</v>
      </c>
      <c r="Q2398" t="str">
        <f t="shared" si="125"/>
        <v>NA</v>
      </c>
      <c r="R2398" t="str">
        <f>IF(ISERROR(MATCH(P2398&amp;"."&amp;Q2398,R$5:R2397,0)),P2398&amp;"."&amp;Q2398,P2398&amp;"."&amp;Q2398&amp;COUNTIFS(P$5:P2397,P2398,Q$5:Q2397,Q2398))</f>
        <v>Total General Depreciation by Factor.NA2</v>
      </c>
      <c r="S2398" s="55">
        <f t="shared" si="126"/>
        <v>0</v>
      </c>
    </row>
    <row r="2399" spans="1:19" hidden="1">
      <c r="A2399" s="5">
        <v>2464</v>
      </c>
      <c r="B2399" s="59"/>
      <c r="C2399" s="60" t="s">
        <v>694</v>
      </c>
      <c r="D2399" s="63"/>
      <c r="E2399" s="63"/>
      <c r="F2399" s="60"/>
      <c r="G2399" s="61"/>
      <c r="H2399" s="62" t="s">
        <v>674</v>
      </c>
      <c r="I2399" s="65">
        <v>-9906332026.0800018</v>
      </c>
      <c r="J2399" s="65">
        <v>-4060171404.9828844</v>
      </c>
      <c r="K2399" s="62"/>
      <c r="L2399" s="65">
        <v>-9889950096.3024883</v>
      </c>
      <c r="M2399" s="65">
        <v>-5707341466.61584</v>
      </c>
      <c r="N2399" s="64">
        <v>-4182608629.6866479</v>
      </c>
      <c r="P2399" t="str">
        <f t="shared" si="124"/>
        <v>Total Accum Depreciation - Plant In Service</v>
      </c>
      <c r="Q2399" t="str">
        <f t="shared" si="125"/>
        <v>NA</v>
      </c>
      <c r="R2399" t="str">
        <f>IF(ISERROR(MATCH(P2399&amp;"."&amp;Q2399,R$5:R2398,0)),P2399&amp;"."&amp;Q2399,P2399&amp;"."&amp;Q2399&amp;COUNTIFS(P$5:P2398,P2399,Q$5:Q2398,Q2399))</f>
        <v>Total Accum Depreciation - Plant In Service.NA</v>
      </c>
      <c r="S2399" s="55">
        <f t="shared" si="126"/>
        <v>-4182608629.6866479</v>
      </c>
    </row>
    <row r="2400" spans="1:19" hidden="1">
      <c r="A2400" s="5">
        <v>2465</v>
      </c>
      <c r="B2400" s="59"/>
      <c r="C2400" s="60" t="s">
        <v>215</v>
      </c>
      <c r="D2400" s="63" t="s">
        <v>695</v>
      </c>
      <c r="E2400" s="63"/>
      <c r="F2400" s="60"/>
      <c r="G2400" s="61"/>
      <c r="H2400" s="62"/>
      <c r="I2400" s="65"/>
      <c r="J2400" s="65"/>
      <c r="K2400" s="62"/>
      <c r="L2400" s="65"/>
      <c r="M2400" s="65"/>
      <c r="N2400" s="64"/>
      <c r="P2400" t="str">
        <f t="shared" si="124"/>
        <v>111SP</v>
      </c>
      <c r="Q2400" t="str">
        <f t="shared" si="125"/>
        <v>NA</v>
      </c>
      <c r="R2400" t="str">
        <f>IF(ISERROR(MATCH(P2400&amp;"."&amp;Q2400,R$5:R2399,0)),P2400&amp;"."&amp;Q2400,P2400&amp;"."&amp;Q2400&amp;COUNTIFS(P$5:P2399,P2400,Q$5:Q2399,Q2400))</f>
        <v>111SP.NA</v>
      </c>
      <c r="S2400" s="55">
        <f t="shared" si="126"/>
        <v>0</v>
      </c>
    </row>
    <row r="2401" spans="1:19" hidden="1">
      <c r="A2401" s="5">
        <v>2466</v>
      </c>
      <c r="B2401" s="59"/>
      <c r="C2401" s="60"/>
      <c r="D2401" s="63"/>
      <c r="E2401" s="63"/>
      <c r="F2401" s="63" t="s">
        <v>13</v>
      </c>
      <c r="G2401" s="63" t="s">
        <v>15</v>
      </c>
      <c r="H2401" s="62"/>
      <c r="I2401" s="66">
        <v>0</v>
      </c>
      <c r="J2401" s="66">
        <v>0</v>
      </c>
      <c r="K2401" s="62"/>
      <c r="L2401" s="66">
        <v>0</v>
      </c>
      <c r="M2401" s="66">
        <v>0</v>
      </c>
      <c r="N2401" s="66">
        <v>0</v>
      </c>
      <c r="P2401" t="str">
        <f t="shared" si="124"/>
        <v>111SP</v>
      </c>
      <c r="Q2401" t="str">
        <f t="shared" si="125"/>
        <v>SG</v>
      </c>
      <c r="R2401" t="str">
        <f>IF(ISERROR(MATCH(P2401&amp;"."&amp;Q2401,R$5:R2400,0)),P2401&amp;"."&amp;Q2401,P2401&amp;"."&amp;Q2401&amp;COUNTIFS(P$5:P2400,P2401,Q$5:Q2400,Q2401))</f>
        <v>111SP.SG</v>
      </c>
      <c r="S2401" s="55">
        <f t="shared" si="126"/>
        <v>0</v>
      </c>
    </row>
    <row r="2402" spans="1:19" hidden="1">
      <c r="A2402" s="5">
        <v>2467</v>
      </c>
      <c r="B2402" s="59"/>
      <c r="C2402" s="60"/>
      <c r="D2402" s="63"/>
      <c r="E2402" s="63"/>
      <c r="F2402" s="63" t="s">
        <v>13</v>
      </c>
      <c r="G2402" s="63" t="s">
        <v>15</v>
      </c>
      <c r="H2402" s="62"/>
      <c r="I2402" s="65">
        <v>0</v>
      </c>
      <c r="J2402" s="65">
        <v>0</v>
      </c>
      <c r="K2402" s="62"/>
      <c r="L2402" s="65">
        <v>0</v>
      </c>
      <c r="M2402" s="65">
        <v>0</v>
      </c>
      <c r="N2402" s="65">
        <v>0</v>
      </c>
      <c r="P2402" t="str">
        <f t="shared" si="124"/>
        <v>111SP</v>
      </c>
      <c r="Q2402" t="str">
        <f t="shared" si="125"/>
        <v>SG</v>
      </c>
      <c r="R2402" t="str">
        <f>IF(ISERROR(MATCH(P2402&amp;"."&amp;Q2402,R$5:R2401,0)),P2402&amp;"."&amp;Q2402,P2402&amp;"."&amp;Q2402&amp;COUNTIFS(P$5:P2401,P2402,Q$5:Q2401,Q2402))</f>
        <v>111SP.SG1</v>
      </c>
      <c r="S2402" s="55">
        <f t="shared" si="126"/>
        <v>0</v>
      </c>
    </row>
    <row r="2403" spans="1:19" hidden="1">
      <c r="A2403" s="5">
        <v>2468</v>
      </c>
      <c r="B2403" s="59"/>
      <c r="C2403" s="60"/>
      <c r="D2403" s="63"/>
      <c r="E2403" s="63"/>
      <c r="F2403" s="63"/>
      <c r="G2403" s="63"/>
      <c r="H2403" s="62" t="s">
        <v>696</v>
      </c>
      <c r="I2403" s="65">
        <v>0</v>
      </c>
      <c r="J2403" s="65">
        <v>0</v>
      </c>
      <c r="K2403" s="62"/>
      <c r="L2403" s="65">
        <v>0</v>
      </c>
      <c r="M2403" s="65">
        <v>0</v>
      </c>
      <c r="N2403" s="65">
        <v>0</v>
      </c>
      <c r="P2403" t="str">
        <f t="shared" si="124"/>
        <v>111SP</v>
      </c>
      <c r="Q2403" t="str">
        <f t="shared" si="125"/>
        <v>NA</v>
      </c>
      <c r="R2403" t="str">
        <f>IF(ISERROR(MATCH(P2403&amp;"."&amp;Q2403,R$5:R2402,0)),P2403&amp;"."&amp;Q2403,P2403&amp;"."&amp;Q2403&amp;COUNTIFS(P$5:P2402,P2403,Q$5:Q2402,Q2403))</f>
        <v>111SP.NA1</v>
      </c>
      <c r="S2403" s="55">
        <f t="shared" si="126"/>
        <v>0</v>
      </c>
    </row>
    <row r="2404" spans="1:19" hidden="1">
      <c r="A2404" s="5">
        <v>2469</v>
      </c>
      <c r="B2404" s="59"/>
      <c r="C2404" s="60"/>
      <c r="D2404" s="61"/>
      <c r="E2404" s="63"/>
      <c r="F2404" s="63"/>
      <c r="G2404" s="63"/>
      <c r="H2404" s="62"/>
      <c r="I2404" s="65"/>
      <c r="J2404" s="65"/>
      <c r="K2404" s="62"/>
      <c r="L2404" s="65"/>
      <c r="M2404" s="65"/>
      <c r="N2404" s="65"/>
      <c r="P2404" t="str">
        <f t="shared" si="124"/>
        <v>111SP</v>
      </c>
      <c r="Q2404" t="str">
        <f t="shared" si="125"/>
        <v>NA</v>
      </c>
      <c r="R2404" t="str">
        <f>IF(ISERROR(MATCH(P2404&amp;"."&amp;Q2404,R$5:R2403,0)),P2404&amp;"."&amp;Q2404,P2404&amp;"."&amp;Q2404&amp;COUNTIFS(P$5:P2403,P2404,Q$5:Q2403,Q2404))</f>
        <v>111SP.NA2</v>
      </c>
      <c r="S2404" s="55">
        <f t="shared" si="126"/>
        <v>0</v>
      </c>
    </row>
    <row r="2405" spans="1:19" hidden="1">
      <c r="A2405" s="5">
        <v>2470</v>
      </c>
      <c r="B2405" s="59"/>
      <c r="C2405" s="60"/>
      <c r="D2405" s="63"/>
      <c r="E2405" s="63"/>
      <c r="F2405" s="60"/>
      <c r="G2405" s="61"/>
      <c r="H2405" s="62"/>
      <c r="I2405" s="65"/>
      <c r="J2405" s="65"/>
      <c r="K2405" s="62"/>
      <c r="L2405" s="65"/>
      <c r="M2405" s="65"/>
      <c r="N2405" s="64"/>
      <c r="P2405" t="str">
        <f t="shared" si="124"/>
        <v>111SP</v>
      </c>
      <c r="Q2405" t="str">
        <f t="shared" si="125"/>
        <v>NA</v>
      </c>
      <c r="R2405" t="str">
        <f>IF(ISERROR(MATCH(P2405&amp;"."&amp;Q2405,R$5:R2404,0)),P2405&amp;"."&amp;Q2405,P2405&amp;"."&amp;Q2405&amp;COUNTIFS(P$5:P2404,P2405,Q$5:Q2404,Q2405))</f>
        <v>111SP.NA3</v>
      </c>
      <c r="S2405" s="55">
        <f t="shared" si="126"/>
        <v>0</v>
      </c>
    </row>
    <row r="2406" spans="1:19" hidden="1">
      <c r="A2406" s="5">
        <v>2471</v>
      </c>
      <c r="B2406" s="59"/>
      <c r="C2406" s="60" t="s">
        <v>211</v>
      </c>
      <c r="D2406" s="63" t="s">
        <v>697</v>
      </c>
      <c r="E2406" s="63"/>
      <c r="F2406" s="60"/>
      <c r="G2406" s="61"/>
      <c r="H2406" s="62"/>
      <c r="I2406" s="65"/>
      <c r="J2406" s="65"/>
      <c r="K2406" s="62"/>
      <c r="L2406" s="65"/>
      <c r="M2406" s="65"/>
      <c r="N2406" s="64"/>
      <c r="P2406" t="str">
        <f t="shared" si="124"/>
        <v>111GP</v>
      </c>
      <c r="Q2406" t="str">
        <f t="shared" si="125"/>
        <v>NA</v>
      </c>
      <c r="R2406" t="str">
        <f>IF(ISERROR(MATCH(P2406&amp;"."&amp;Q2406,R$5:R2405,0)),P2406&amp;"."&amp;Q2406,P2406&amp;"."&amp;Q2406&amp;COUNTIFS(P$5:P2405,P2406,Q$5:Q2405,Q2406))</f>
        <v>111GP.NA</v>
      </c>
      <c r="S2406" s="55">
        <f t="shared" si="126"/>
        <v>0</v>
      </c>
    </row>
    <row r="2407" spans="1:19" hidden="1">
      <c r="A2407" s="5">
        <v>2472</v>
      </c>
      <c r="B2407" s="59"/>
      <c r="C2407" s="60"/>
      <c r="D2407" s="63"/>
      <c r="E2407" s="63"/>
      <c r="F2407" s="60" t="s">
        <v>393</v>
      </c>
      <c r="G2407" s="61" t="s">
        <v>12</v>
      </c>
      <c r="H2407" s="62"/>
      <c r="I2407" s="65">
        <v>-11074062.179230772</v>
      </c>
      <c r="J2407" s="65">
        <v>-18348.266153846202</v>
      </c>
      <c r="K2407" s="62"/>
      <c r="L2407" s="65">
        <v>-11906485.569999995</v>
      </c>
      <c r="M2407" s="65">
        <v>-11867952.574999996</v>
      </c>
      <c r="N2407" s="64">
        <v>-38532.994999999988</v>
      </c>
      <c r="P2407" t="str">
        <f t="shared" si="124"/>
        <v>111GP</v>
      </c>
      <c r="Q2407" t="str">
        <f t="shared" si="125"/>
        <v>S</v>
      </c>
      <c r="R2407" t="str">
        <f>IF(ISERROR(MATCH(P2407&amp;"."&amp;Q2407,R$5:R2406,0)),P2407&amp;"."&amp;Q2407,P2407&amp;"."&amp;Q2407&amp;COUNTIFS(P$5:P2406,P2407,Q$5:Q2406,Q2407))</f>
        <v>111GP.S</v>
      </c>
      <c r="S2407" s="55">
        <f t="shared" si="126"/>
        <v>-38532.994999999988</v>
      </c>
    </row>
    <row r="2408" spans="1:19" hidden="1">
      <c r="A2408" s="5">
        <v>2473</v>
      </c>
      <c r="B2408" s="59"/>
      <c r="C2408" s="60"/>
      <c r="D2408" s="63"/>
      <c r="E2408" s="63"/>
      <c r="F2408" s="60" t="s">
        <v>149</v>
      </c>
      <c r="G2408" s="61" t="s">
        <v>155</v>
      </c>
      <c r="H2408" s="62"/>
      <c r="I2408" s="65">
        <v>0</v>
      </c>
      <c r="J2408" s="65">
        <v>0</v>
      </c>
      <c r="K2408" s="62"/>
      <c r="L2408" s="65">
        <v>0</v>
      </c>
      <c r="M2408" s="65">
        <v>0</v>
      </c>
      <c r="N2408" s="64">
        <v>0</v>
      </c>
      <c r="P2408" t="str">
        <f t="shared" si="124"/>
        <v>111GP</v>
      </c>
      <c r="Q2408" t="str">
        <f t="shared" si="125"/>
        <v>CN</v>
      </c>
      <c r="R2408" t="str">
        <f>IF(ISERROR(MATCH(P2408&amp;"."&amp;Q2408,R$5:R2407,0)),P2408&amp;"."&amp;Q2408,P2408&amp;"."&amp;Q2408&amp;COUNTIFS(P$5:P2407,P2408,Q$5:Q2407,Q2408))</f>
        <v>111GP.CN</v>
      </c>
      <c r="S2408" s="55">
        <f t="shared" si="126"/>
        <v>0</v>
      </c>
    </row>
    <row r="2409" spans="1:19" hidden="1">
      <c r="A2409" s="5">
        <v>2474</v>
      </c>
      <c r="B2409" s="59"/>
      <c r="C2409" s="60"/>
      <c r="D2409" s="63"/>
      <c r="E2409" s="63"/>
      <c r="F2409" s="60" t="s">
        <v>406</v>
      </c>
      <c r="G2409" s="61" t="s">
        <v>15</v>
      </c>
      <c r="H2409" s="62"/>
      <c r="I2409" s="65">
        <v>0</v>
      </c>
      <c r="J2409" s="65">
        <v>0</v>
      </c>
      <c r="K2409" s="62"/>
      <c r="L2409" s="65">
        <v>0</v>
      </c>
      <c r="M2409" s="65">
        <v>0</v>
      </c>
      <c r="N2409" s="64">
        <v>0</v>
      </c>
      <c r="P2409" t="str">
        <f t="shared" si="124"/>
        <v>111GP</v>
      </c>
      <c r="Q2409" t="str">
        <f t="shared" si="125"/>
        <v>SG</v>
      </c>
      <c r="R2409" t="str">
        <f>IF(ISERROR(MATCH(P2409&amp;"."&amp;Q2409,R$5:R2408,0)),P2409&amp;"."&amp;Q2409,P2409&amp;"."&amp;Q2409&amp;COUNTIFS(P$5:P2408,P2409,Q$5:Q2408,Q2409))</f>
        <v>111GP.SG</v>
      </c>
      <c r="S2409" s="55">
        <f t="shared" si="126"/>
        <v>0</v>
      </c>
    </row>
    <row r="2410" spans="1:19" hidden="1">
      <c r="A2410" s="5">
        <v>2475</v>
      </c>
      <c r="B2410" s="59"/>
      <c r="C2410" s="60"/>
      <c r="D2410" s="63"/>
      <c r="E2410" s="63"/>
      <c r="F2410" s="60" t="s">
        <v>171</v>
      </c>
      <c r="G2410" s="61" t="s">
        <v>136</v>
      </c>
      <c r="H2410" s="62"/>
      <c r="I2410" s="65">
        <v>-3442703.3638461502</v>
      </c>
      <c r="J2410" s="65">
        <v>-1494082.6724277183</v>
      </c>
      <c r="K2410" s="62"/>
      <c r="L2410" s="65">
        <v>-4011409.4800000009</v>
      </c>
      <c r="M2410" s="65">
        <v>-2258643.3460932346</v>
      </c>
      <c r="N2410" s="64">
        <v>-1752766.1339067663</v>
      </c>
      <c r="P2410" t="str">
        <f t="shared" si="124"/>
        <v>111GP</v>
      </c>
      <c r="Q2410" t="str">
        <f t="shared" si="125"/>
        <v>SO</v>
      </c>
      <c r="R2410" t="str">
        <f>IF(ISERROR(MATCH(P2410&amp;"."&amp;Q2410,R$5:R2409,0)),P2410&amp;"."&amp;Q2410,P2410&amp;"."&amp;Q2410&amp;COUNTIFS(P$5:P2409,P2410,Q$5:Q2409,Q2410))</f>
        <v>111GP.SO</v>
      </c>
      <c r="S2410" s="55">
        <f t="shared" si="126"/>
        <v>-1752766.1339067663</v>
      </c>
    </row>
    <row r="2411" spans="1:19" hidden="1">
      <c r="A2411" s="5">
        <v>2476</v>
      </c>
      <c r="B2411" s="59"/>
      <c r="C2411" s="60"/>
      <c r="D2411" s="63"/>
      <c r="E2411" s="63"/>
      <c r="F2411" s="60" t="s">
        <v>13</v>
      </c>
      <c r="G2411" s="61" t="s">
        <v>16</v>
      </c>
      <c r="H2411" s="62"/>
      <c r="I2411" s="65">
        <v>0</v>
      </c>
      <c r="J2411" s="65">
        <v>0</v>
      </c>
      <c r="K2411" s="62"/>
      <c r="L2411" s="65">
        <v>0</v>
      </c>
      <c r="M2411" s="65">
        <v>0</v>
      </c>
      <c r="N2411" s="64">
        <v>0</v>
      </c>
      <c r="P2411" t="str">
        <f t="shared" si="124"/>
        <v>111GP</v>
      </c>
      <c r="Q2411" t="str">
        <f t="shared" si="125"/>
        <v>SE</v>
      </c>
      <c r="R2411" t="str">
        <f>IF(ISERROR(MATCH(P2411&amp;"."&amp;Q2411,R$5:R2410,0)),P2411&amp;"."&amp;Q2411,P2411&amp;"."&amp;Q2411&amp;COUNTIFS(P$5:P2410,P2411,Q$5:Q2410,Q2411))</f>
        <v>111GP.SE</v>
      </c>
      <c r="S2411" s="55">
        <f t="shared" si="126"/>
        <v>0</v>
      </c>
    </row>
    <row r="2412" spans="1:19" hidden="1">
      <c r="A2412" s="5">
        <v>2477</v>
      </c>
      <c r="B2412" s="59"/>
      <c r="C2412" s="60"/>
      <c r="D2412" s="63"/>
      <c r="E2412" s="63"/>
      <c r="F2412" s="60"/>
      <c r="G2412" s="61"/>
      <c r="H2412" s="62" t="s">
        <v>696</v>
      </c>
      <c r="I2412" s="65">
        <v>-14516765.543076921</v>
      </c>
      <c r="J2412" s="65">
        <v>-1512430.9385815645</v>
      </c>
      <c r="K2412" s="62"/>
      <c r="L2412" s="65">
        <v>-15917895.049999995</v>
      </c>
      <c r="M2412" s="65">
        <v>-14126595.921093229</v>
      </c>
      <c r="N2412" s="64">
        <v>-1791299.1289067662</v>
      </c>
      <c r="P2412" t="str">
        <f t="shared" si="124"/>
        <v>111GP</v>
      </c>
      <c r="Q2412" t="str">
        <f t="shared" si="125"/>
        <v>NA</v>
      </c>
      <c r="R2412" t="str">
        <f>IF(ISERROR(MATCH(P2412&amp;"."&amp;Q2412,R$5:R2411,0)),P2412&amp;"."&amp;Q2412,P2412&amp;"."&amp;Q2412&amp;COUNTIFS(P$5:P2411,P2412,Q$5:Q2411,Q2412))</f>
        <v>111GP.NA1</v>
      </c>
      <c r="S2412" s="55">
        <f t="shared" si="126"/>
        <v>-1791299.1289067662</v>
      </c>
    </row>
    <row r="2413" spans="1:19" hidden="1">
      <c r="A2413" s="5">
        <v>2478</v>
      </c>
      <c r="B2413" s="59"/>
      <c r="C2413" s="60"/>
      <c r="D2413" s="63"/>
      <c r="E2413" s="63"/>
      <c r="F2413" s="60"/>
      <c r="G2413" s="61"/>
      <c r="H2413" s="62"/>
      <c r="I2413" s="65"/>
      <c r="J2413" s="65"/>
      <c r="K2413" s="62"/>
      <c r="L2413" s="65"/>
      <c r="M2413" s="65"/>
      <c r="N2413" s="64"/>
      <c r="P2413" t="str">
        <f t="shared" si="124"/>
        <v>111GP</v>
      </c>
      <c r="Q2413" t="str">
        <f t="shared" si="125"/>
        <v>NA</v>
      </c>
      <c r="R2413" t="str">
        <f>IF(ISERROR(MATCH(P2413&amp;"."&amp;Q2413,R$5:R2412,0)),P2413&amp;"."&amp;Q2413,P2413&amp;"."&amp;Q2413&amp;COUNTIFS(P$5:P2412,P2413,Q$5:Q2412,Q2413))</f>
        <v>111GP.NA2</v>
      </c>
      <c r="S2413" s="55">
        <f t="shared" si="126"/>
        <v>0</v>
      </c>
    </row>
    <row r="2414" spans="1:19" hidden="1">
      <c r="A2414" s="5">
        <v>2479</v>
      </c>
      <c r="B2414" s="59"/>
      <c r="C2414" s="60"/>
      <c r="D2414" s="63"/>
      <c r="E2414" s="63"/>
      <c r="F2414" s="60"/>
      <c r="G2414" s="61"/>
      <c r="H2414" s="62"/>
      <c r="I2414" s="65"/>
      <c r="J2414" s="65"/>
      <c r="K2414" s="62"/>
      <c r="L2414" s="65"/>
      <c r="M2414" s="65"/>
      <c r="N2414" s="64"/>
      <c r="P2414" t="str">
        <f t="shared" si="124"/>
        <v>111GP</v>
      </c>
      <c r="Q2414" t="str">
        <f t="shared" si="125"/>
        <v>NA</v>
      </c>
      <c r="R2414" t="str">
        <f>IF(ISERROR(MATCH(P2414&amp;"."&amp;Q2414,R$5:R2413,0)),P2414&amp;"."&amp;Q2414,P2414&amp;"."&amp;Q2414&amp;COUNTIFS(P$5:P2413,P2414,Q$5:Q2413,Q2414))</f>
        <v>111GP.NA3</v>
      </c>
      <c r="S2414" s="55">
        <f t="shared" si="126"/>
        <v>0</v>
      </c>
    </row>
    <row r="2415" spans="1:19" hidden="1">
      <c r="A2415" s="5">
        <v>2480</v>
      </c>
      <c r="B2415" s="59"/>
      <c r="C2415" s="60" t="s">
        <v>213</v>
      </c>
      <c r="D2415" s="63" t="s">
        <v>698</v>
      </c>
      <c r="E2415" s="63"/>
      <c r="F2415" s="60"/>
      <c r="G2415" s="61"/>
      <c r="H2415" s="62"/>
      <c r="I2415" s="65"/>
      <c r="J2415" s="65"/>
      <c r="K2415" s="62"/>
      <c r="L2415" s="65"/>
      <c r="M2415" s="65"/>
      <c r="N2415" s="64"/>
      <c r="P2415" t="str">
        <f t="shared" si="124"/>
        <v>111HP</v>
      </c>
      <c r="Q2415" t="str">
        <f t="shared" si="125"/>
        <v>NA</v>
      </c>
      <c r="R2415" t="str">
        <f>IF(ISERROR(MATCH(P2415&amp;"."&amp;Q2415,R$5:R2414,0)),P2415&amp;"."&amp;Q2415,P2415&amp;"."&amp;Q2415&amp;COUNTIFS(P$5:P2414,P2415,Q$5:Q2414,Q2415))</f>
        <v>111HP.NA</v>
      </c>
      <c r="S2415" s="55">
        <f t="shared" si="126"/>
        <v>0</v>
      </c>
    </row>
    <row r="2416" spans="1:19" hidden="1">
      <c r="A2416" s="5">
        <v>2481</v>
      </c>
      <c r="B2416" s="59"/>
      <c r="C2416" s="60"/>
      <c r="D2416" s="63"/>
      <c r="E2416" s="63"/>
      <c r="F2416" s="63" t="s">
        <v>13</v>
      </c>
      <c r="G2416" s="63" t="s">
        <v>15</v>
      </c>
      <c r="H2416" s="62"/>
      <c r="I2416" s="104">
        <v>0</v>
      </c>
      <c r="J2416" s="104">
        <v>0</v>
      </c>
      <c r="K2416" s="62"/>
      <c r="L2416" s="104">
        <v>0</v>
      </c>
      <c r="M2416" s="104">
        <v>0</v>
      </c>
      <c r="N2416" s="104">
        <v>0</v>
      </c>
      <c r="P2416" t="str">
        <f t="shared" si="124"/>
        <v>111HP</v>
      </c>
      <c r="Q2416" t="str">
        <f t="shared" si="125"/>
        <v>SG</v>
      </c>
      <c r="R2416" t="str">
        <f>IF(ISERROR(MATCH(P2416&amp;"."&amp;Q2416,R$5:R2415,0)),P2416&amp;"."&amp;Q2416,P2416&amp;"."&amp;Q2416&amp;COUNTIFS(P$5:P2415,P2416,Q$5:Q2415,Q2416))</f>
        <v>111HP.SG</v>
      </c>
      <c r="S2416" s="55">
        <f t="shared" si="126"/>
        <v>0</v>
      </c>
    </row>
    <row r="2417" spans="1:19" hidden="1">
      <c r="A2417" s="5">
        <v>2482</v>
      </c>
      <c r="B2417" s="59"/>
      <c r="C2417" s="60"/>
      <c r="D2417" s="61"/>
      <c r="E2417" s="63"/>
      <c r="F2417" s="63" t="s">
        <v>13</v>
      </c>
      <c r="G2417" s="63" t="s">
        <v>15</v>
      </c>
      <c r="H2417" s="62"/>
      <c r="I2417" s="65">
        <v>0</v>
      </c>
      <c r="J2417" s="65">
        <v>0</v>
      </c>
      <c r="K2417" s="62"/>
      <c r="L2417" s="65">
        <v>0</v>
      </c>
      <c r="M2417" s="65">
        <v>0</v>
      </c>
      <c r="N2417" s="65">
        <v>0</v>
      </c>
      <c r="P2417" t="str">
        <f t="shared" si="124"/>
        <v>111HP</v>
      </c>
      <c r="Q2417" t="str">
        <f t="shared" si="125"/>
        <v>SG</v>
      </c>
      <c r="R2417" t="str">
        <f>IF(ISERROR(MATCH(P2417&amp;"."&amp;Q2417,R$5:R2416,0)),P2417&amp;"."&amp;Q2417,P2417&amp;"."&amp;Q2417&amp;COUNTIFS(P$5:P2416,P2417,Q$5:Q2416,Q2417))</f>
        <v>111HP.SG1</v>
      </c>
      <c r="S2417" s="55">
        <f t="shared" si="126"/>
        <v>0</v>
      </c>
    </row>
    <row r="2418" spans="1:19" hidden="1">
      <c r="A2418" s="5">
        <v>2483</v>
      </c>
      <c r="B2418" s="59"/>
      <c r="C2418" s="60"/>
      <c r="D2418" s="63"/>
      <c r="E2418" s="63"/>
      <c r="F2418" s="60" t="s">
        <v>13</v>
      </c>
      <c r="G2418" s="61" t="s">
        <v>15</v>
      </c>
      <c r="H2418" s="62"/>
      <c r="I2418" s="65">
        <v>-2515843.4684615401</v>
      </c>
      <c r="J2418" s="65">
        <v>-1106908.183047235</v>
      </c>
      <c r="K2418" s="62"/>
      <c r="L2418" s="65">
        <v>-3139234.9100000043</v>
      </c>
      <c r="M2418" s="65">
        <v>-1758050.0891051446</v>
      </c>
      <c r="N2418" s="64">
        <v>-1381184.8208948597</v>
      </c>
      <c r="P2418" t="str">
        <f t="shared" si="124"/>
        <v>111HP</v>
      </c>
      <c r="Q2418" t="str">
        <f t="shared" si="125"/>
        <v>SG</v>
      </c>
      <c r="R2418" t="str">
        <f>IF(ISERROR(MATCH(P2418&amp;"."&amp;Q2418,R$5:R2417,0)),P2418&amp;"."&amp;Q2418,P2418&amp;"."&amp;Q2418&amp;COUNTIFS(P$5:P2417,P2418,Q$5:Q2417,Q2418))</f>
        <v>111HP.SG2</v>
      </c>
      <c r="S2418" s="55">
        <f t="shared" si="126"/>
        <v>-1381184.8208948597</v>
      </c>
    </row>
    <row r="2419" spans="1:19" ht="15.75" hidden="1" thickBot="1">
      <c r="A2419" s="5">
        <v>2484</v>
      </c>
      <c r="B2419" s="59"/>
      <c r="C2419" s="60"/>
      <c r="D2419" s="63"/>
      <c r="E2419" s="63"/>
      <c r="F2419" s="63" t="s">
        <v>13</v>
      </c>
      <c r="G2419" s="63" t="s">
        <v>15</v>
      </c>
      <c r="H2419" s="62"/>
      <c r="I2419" s="81">
        <v>0</v>
      </c>
      <c r="J2419" s="81">
        <v>0</v>
      </c>
      <c r="K2419" s="62"/>
      <c r="L2419" s="81">
        <v>0</v>
      </c>
      <c r="M2419" s="81">
        <v>0</v>
      </c>
      <c r="N2419" s="81">
        <v>0</v>
      </c>
      <c r="P2419" t="str">
        <f t="shared" si="124"/>
        <v>111HP</v>
      </c>
      <c r="Q2419" t="str">
        <f t="shared" si="125"/>
        <v>SG</v>
      </c>
      <c r="R2419" t="str">
        <f>IF(ISERROR(MATCH(P2419&amp;"."&amp;Q2419,R$5:R2418,0)),P2419&amp;"."&amp;Q2419,P2419&amp;"."&amp;Q2419&amp;COUNTIFS(P$5:P2418,P2419,Q$5:Q2418,Q2419))</f>
        <v>111HP.SG3</v>
      </c>
      <c r="S2419" s="55">
        <f t="shared" si="126"/>
        <v>0</v>
      </c>
    </row>
    <row r="2420" spans="1:19" hidden="1">
      <c r="A2420" s="5">
        <v>2485</v>
      </c>
      <c r="B2420" s="59"/>
      <c r="C2420" s="60"/>
      <c r="D2420" s="63"/>
      <c r="E2420" s="63"/>
      <c r="F2420" s="63"/>
      <c r="G2420" s="63"/>
      <c r="H2420" s="62" t="s">
        <v>696</v>
      </c>
      <c r="I2420" s="77">
        <v>-2515843.4684615401</v>
      </c>
      <c r="J2420" s="77">
        <v>-1106908.183047235</v>
      </c>
      <c r="K2420" s="62"/>
      <c r="L2420" s="77">
        <v>-3139234.9100000043</v>
      </c>
      <c r="M2420" s="65">
        <v>-1758050.0891051446</v>
      </c>
      <c r="N2420" s="65">
        <v>-1381184.8208948597</v>
      </c>
      <c r="P2420" t="str">
        <f t="shared" si="124"/>
        <v>111HP</v>
      </c>
      <c r="Q2420" t="str">
        <f t="shared" si="125"/>
        <v>NA</v>
      </c>
      <c r="R2420" t="str">
        <f>IF(ISERROR(MATCH(P2420&amp;"."&amp;Q2420,R$5:R2419,0)),P2420&amp;"."&amp;Q2420,P2420&amp;"."&amp;Q2420&amp;COUNTIFS(P$5:P2419,P2420,Q$5:Q2419,Q2420))</f>
        <v>111HP.NA1</v>
      </c>
      <c r="S2420" s="55">
        <f t="shared" si="126"/>
        <v>-1381184.8208948597</v>
      </c>
    </row>
    <row r="2421" spans="1:19" hidden="1">
      <c r="A2421" s="5">
        <v>2486</v>
      </c>
      <c r="B2421" s="59"/>
      <c r="C2421" s="60"/>
      <c r="D2421" s="70"/>
      <c r="E2421" s="63"/>
      <c r="F2421" s="63"/>
      <c r="G2421" s="63"/>
      <c r="H2421" s="62"/>
      <c r="I2421" s="77"/>
      <c r="J2421" s="77"/>
      <c r="K2421" s="62"/>
      <c r="L2421" s="77"/>
      <c r="M2421" s="65"/>
      <c r="N2421" s="65"/>
      <c r="P2421" t="str">
        <f t="shared" si="124"/>
        <v>111HP</v>
      </c>
      <c r="Q2421" t="str">
        <f t="shared" si="125"/>
        <v>NA</v>
      </c>
      <c r="R2421" t="str">
        <f>IF(ISERROR(MATCH(P2421&amp;"."&amp;Q2421,R$5:R2420,0)),P2421&amp;"."&amp;Q2421,P2421&amp;"."&amp;Q2421&amp;COUNTIFS(P$5:P2420,P2421,Q$5:Q2420,Q2421))</f>
        <v>111HP.NA2</v>
      </c>
      <c r="S2421" s="55">
        <f t="shared" si="126"/>
        <v>0</v>
      </c>
    </row>
    <row r="2422" spans="1:19" hidden="1">
      <c r="A2422" s="5">
        <v>2487</v>
      </c>
      <c r="B2422" s="59"/>
      <c r="C2422" s="60"/>
      <c r="D2422" s="70"/>
      <c r="E2422" s="63"/>
      <c r="F2422" s="60"/>
      <c r="G2422" s="61"/>
      <c r="H2422" s="62"/>
      <c r="I2422" s="65"/>
      <c r="J2422" s="65"/>
      <c r="K2422" s="62"/>
      <c r="L2422" s="65"/>
      <c r="M2422" s="65"/>
      <c r="N2422" s="64"/>
      <c r="P2422" t="str">
        <f t="shared" si="124"/>
        <v>111HP</v>
      </c>
      <c r="Q2422" t="str">
        <f t="shared" si="125"/>
        <v>NA</v>
      </c>
      <c r="R2422" t="str">
        <f>IF(ISERROR(MATCH(P2422&amp;"."&amp;Q2422,R$5:R2421,0)),P2422&amp;"."&amp;Q2422,P2422&amp;"."&amp;Q2422&amp;COUNTIFS(P$5:P2421,P2422,Q$5:Q2421,Q2422))</f>
        <v>111HP.NA3</v>
      </c>
      <c r="S2422" s="55">
        <f t="shared" si="126"/>
        <v>0</v>
      </c>
    </row>
    <row r="2423" spans="1:19" hidden="1">
      <c r="A2423" s="5">
        <v>2488</v>
      </c>
      <c r="B2423" s="59"/>
      <c r="C2423" s="60" t="s">
        <v>214</v>
      </c>
      <c r="D2423" s="70" t="s">
        <v>699</v>
      </c>
      <c r="E2423" s="63"/>
      <c r="F2423" s="60"/>
      <c r="G2423" s="61"/>
      <c r="H2423" s="62"/>
      <c r="I2423" s="65"/>
      <c r="J2423" s="65"/>
      <c r="K2423" s="62"/>
      <c r="L2423" s="65"/>
      <c r="M2423" s="65"/>
      <c r="N2423" s="64"/>
      <c r="P2423" t="str">
        <f t="shared" si="124"/>
        <v>111IP</v>
      </c>
      <c r="Q2423" t="str">
        <f t="shared" si="125"/>
        <v>NA</v>
      </c>
      <c r="R2423" t="str">
        <f>IF(ISERROR(MATCH(P2423&amp;"."&amp;Q2423,R$5:R2422,0)),P2423&amp;"."&amp;Q2423,P2423&amp;"."&amp;Q2423&amp;COUNTIFS(P$5:P2422,P2423,Q$5:Q2422,Q2423))</f>
        <v>111IP.NA</v>
      </c>
      <c r="S2423" s="55">
        <f t="shared" si="126"/>
        <v>0</v>
      </c>
    </row>
    <row r="2424" spans="1:19" hidden="1">
      <c r="A2424" s="5">
        <v>2489</v>
      </c>
      <c r="B2424" s="59"/>
      <c r="C2424" s="60"/>
      <c r="D2424" s="63"/>
      <c r="E2424" s="63"/>
      <c r="F2424" s="60" t="s">
        <v>405</v>
      </c>
      <c r="G2424" s="61" t="s">
        <v>12</v>
      </c>
      <c r="H2424" s="62"/>
      <c r="I2424" s="65">
        <v>29187452.408461515</v>
      </c>
      <c r="J2424" s="65">
        <v>30385088.1630769</v>
      </c>
      <c r="K2424" s="62"/>
      <c r="L2424" s="65">
        <v>-1349625.7695693457</v>
      </c>
      <c r="M2424" s="65">
        <v>-1247950.8588309111</v>
      </c>
      <c r="N2424" s="64">
        <v>-101674.91073843464</v>
      </c>
      <c r="P2424" t="str">
        <f t="shared" si="124"/>
        <v>111IP</v>
      </c>
      <c r="Q2424" t="str">
        <f t="shared" si="125"/>
        <v>S</v>
      </c>
      <c r="R2424" t="str">
        <f>IF(ISERROR(MATCH(P2424&amp;"."&amp;Q2424,R$5:R2423,0)),P2424&amp;"."&amp;Q2424,P2424&amp;"."&amp;Q2424&amp;COUNTIFS(P$5:P2423,P2424,Q$5:Q2423,Q2424))</f>
        <v>111IP.S</v>
      </c>
      <c r="S2424" s="55">
        <f t="shared" si="126"/>
        <v>-101674.91073843464</v>
      </c>
    </row>
    <row r="2425" spans="1:19" hidden="1">
      <c r="A2425" s="5">
        <v>2490</v>
      </c>
      <c r="B2425" s="59"/>
      <c r="C2425" s="60"/>
      <c r="D2425" s="63"/>
      <c r="E2425" s="63"/>
      <c r="F2425" s="63" t="s">
        <v>408</v>
      </c>
      <c r="G2425" s="63" t="s">
        <v>15</v>
      </c>
      <c r="H2425" s="62"/>
      <c r="I2425" s="66">
        <v>0</v>
      </c>
      <c r="J2425" s="66">
        <v>0</v>
      </c>
      <c r="K2425" s="62"/>
      <c r="L2425" s="66">
        <v>0</v>
      </c>
      <c r="M2425" s="66">
        <v>0</v>
      </c>
      <c r="N2425" s="66">
        <v>0</v>
      </c>
      <c r="P2425" t="str">
        <f t="shared" si="124"/>
        <v>111IP</v>
      </c>
      <c r="Q2425" t="str">
        <f t="shared" si="125"/>
        <v>SG</v>
      </c>
      <c r="R2425" t="str">
        <f>IF(ISERROR(MATCH(P2425&amp;"."&amp;Q2425,R$5:R2424,0)),P2425&amp;"."&amp;Q2425,P2425&amp;"."&amp;Q2425&amp;COUNTIFS(P$5:P2424,P2425,Q$5:Q2424,Q2425))</f>
        <v>111IP.SG</v>
      </c>
      <c r="S2425" s="55">
        <f t="shared" si="126"/>
        <v>0</v>
      </c>
    </row>
    <row r="2426" spans="1:19" hidden="1">
      <c r="A2426" s="5">
        <v>2491</v>
      </c>
      <c r="B2426" s="59"/>
      <c r="C2426" s="60"/>
      <c r="D2426" s="63"/>
      <c r="E2426" s="63"/>
      <c r="F2426" s="63" t="s">
        <v>407</v>
      </c>
      <c r="G2426" s="63" t="s">
        <v>15</v>
      </c>
      <c r="H2426" s="62"/>
      <c r="I2426" s="65">
        <v>-489826.88923076901</v>
      </c>
      <c r="J2426" s="65">
        <v>-215511.57644067006</v>
      </c>
      <c r="K2426" s="62"/>
      <c r="L2426" s="65">
        <v>-522295.05500000028</v>
      </c>
      <c r="M2426" s="65">
        <v>-292498.29793142993</v>
      </c>
      <c r="N2426" s="65">
        <v>-229796.75706857035</v>
      </c>
      <c r="P2426" t="str">
        <f t="shared" si="124"/>
        <v>111IP</v>
      </c>
      <c r="Q2426" t="str">
        <f t="shared" si="125"/>
        <v>SG</v>
      </c>
      <c r="R2426" t="str">
        <f>IF(ISERROR(MATCH(P2426&amp;"."&amp;Q2426,R$5:R2425,0)),P2426&amp;"."&amp;Q2426,P2426&amp;"."&amp;Q2426&amp;COUNTIFS(P$5:P2425,P2426,Q$5:Q2425,Q2426))</f>
        <v>111IP.SG1</v>
      </c>
      <c r="S2426" s="55">
        <f t="shared" si="126"/>
        <v>-229796.75706857035</v>
      </c>
    </row>
    <row r="2427" spans="1:19" hidden="1">
      <c r="A2427" s="5">
        <v>2492</v>
      </c>
      <c r="B2427" s="59"/>
      <c r="C2427" s="60"/>
      <c r="D2427" s="63"/>
      <c r="E2427" s="96"/>
      <c r="F2427" s="63" t="s">
        <v>13</v>
      </c>
      <c r="G2427" s="63" t="s">
        <v>16</v>
      </c>
      <c r="H2427" s="62"/>
      <c r="I2427" s="66">
        <v>0</v>
      </c>
      <c r="J2427" s="66">
        <v>0</v>
      </c>
      <c r="K2427" s="62"/>
      <c r="L2427" s="66">
        <v>1106268.8070000003</v>
      </c>
      <c r="M2427" s="66">
        <v>626632.58541214745</v>
      </c>
      <c r="N2427" s="66">
        <v>479636.22158785275</v>
      </c>
      <c r="P2427" t="str">
        <f t="shared" si="124"/>
        <v>111IP</v>
      </c>
      <c r="Q2427" t="str">
        <f t="shared" si="125"/>
        <v>SE</v>
      </c>
      <c r="R2427" t="str">
        <f>IF(ISERROR(MATCH(P2427&amp;"."&amp;Q2427,R$5:R2426,0)),P2427&amp;"."&amp;Q2427,P2427&amp;"."&amp;Q2427&amp;COUNTIFS(P$5:P2426,P2427,Q$5:Q2426,Q2427))</f>
        <v>111IP.SE</v>
      </c>
      <c r="S2427" s="55">
        <f t="shared" si="126"/>
        <v>479636.22158785275</v>
      </c>
    </row>
    <row r="2428" spans="1:19" hidden="1">
      <c r="A2428" s="5">
        <v>2493</v>
      </c>
      <c r="B2428" s="59"/>
      <c r="C2428" s="60"/>
      <c r="D2428" s="63"/>
      <c r="E2428" s="63"/>
      <c r="F2428" s="63" t="s">
        <v>406</v>
      </c>
      <c r="G2428" s="63" t="s">
        <v>15</v>
      </c>
      <c r="H2428" s="62"/>
      <c r="I2428" s="65">
        <v>-89975105.547692299</v>
      </c>
      <c r="J2428" s="65">
        <v>-39586795.382855028</v>
      </c>
      <c r="K2428" s="62"/>
      <c r="L2428" s="65">
        <v>-97227886.584914804</v>
      </c>
      <c r="M2428" s="65">
        <v>-54450049.000670083</v>
      </c>
      <c r="N2428" s="65">
        <v>-42777837.584244721</v>
      </c>
      <c r="P2428" t="str">
        <f t="shared" si="124"/>
        <v>111IP</v>
      </c>
      <c r="Q2428" t="str">
        <f t="shared" si="125"/>
        <v>SG</v>
      </c>
      <c r="R2428" t="str">
        <f>IF(ISERROR(MATCH(P2428&amp;"."&amp;Q2428,R$5:R2427,0)),P2428&amp;"."&amp;Q2428,P2428&amp;"."&amp;Q2428&amp;COUNTIFS(P$5:P2427,P2428,Q$5:Q2427,Q2428))</f>
        <v>111IP.SG2</v>
      </c>
      <c r="S2428" s="55">
        <f t="shared" si="126"/>
        <v>-42777837.584244721</v>
      </c>
    </row>
    <row r="2429" spans="1:19" ht="15.75" hidden="1" thickBot="1">
      <c r="A2429" s="5">
        <v>2494</v>
      </c>
      <c r="B2429" s="59"/>
      <c r="C2429" s="45"/>
      <c r="D2429" s="63"/>
      <c r="E2429" s="63"/>
      <c r="F2429" s="63" t="s">
        <v>406</v>
      </c>
      <c r="G2429" s="63" t="s">
        <v>15</v>
      </c>
      <c r="H2429" s="41"/>
      <c r="I2429" s="92">
        <v>-105415501.01307701</v>
      </c>
      <c r="J2429" s="92">
        <v>-46380183.089352958</v>
      </c>
      <c r="K2429" s="41"/>
      <c r="L2429" s="92">
        <v>-40268215.790579304</v>
      </c>
      <c r="M2429" s="92">
        <v>-22551208.30022021</v>
      </c>
      <c r="N2429" s="92">
        <v>-17717007.490359094</v>
      </c>
      <c r="P2429" t="str">
        <f t="shared" si="124"/>
        <v>111IP</v>
      </c>
      <c r="Q2429" t="str">
        <f t="shared" si="125"/>
        <v>SG</v>
      </c>
      <c r="R2429" t="str">
        <f>IF(ISERROR(MATCH(P2429&amp;"."&amp;Q2429,R$5:R2428,0)),P2429&amp;"."&amp;Q2429,P2429&amp;"."&amp;Q2429&amp;COUNTIFS(P$5:P2428,P2429,Q$5:Q2428,Q2429))</f>
        <v>111IP.SG3</v>
      </c>
      <c r="S2429" s="55">
        <f t="shared" si="126"/>
        <v>-17717007.490359094</v>
      </c>
    </row>
    <row r="2430" spans="1:19" hidden="1">
      <c r="A2430" s="5">
        <v>2495</v>
      </c>
      <c r="B2430" s="59"/>
      <c r="C2430" s="60"/>
      <c r="D2430" s="63"/>
      <c r="E2430" s="63"/>
      <c r="F2430" s="63" t="s">
        <v>406</v>
      </c>
      <c r="G2430" s="63" t="s">
        <v>15</v>
      </c>
      <c r="H2430" s="62"/>
      <c r="I2430" s="69">
        <v>-6044246.3376923101</v>
      </c>
      <c r="J2430" s="69">
        <v>-2659317.169536049</v>
      </c>
      <c r="K2430" s="62"/>
      <c r="L2430" s="69">
        <v>-6647361.2150000054</v>
      </c>
      <c r="M2430" s="65">
        <v>-3722688.5885850531</v>
      </c>
      <c r="N2430" s="65">
        <v>-2924672.6264149523</v>
      </c>
      <c r="P2430" t="str">
        <f t="shared" si="124"/>
        <v>111IP</v>
      </c>
      <c r="Q2430" t="str">
        <f t="shared" si="125"/>
        <v>SG</v>
      </c>
      <c r="R2430" t="str">
        <f>IF(ISERROR(MATCH(P2430&amp;"."&amp;Q2430,R$5:R2429,0)),P2430&amp;"."&amp;Q2430,P2430&amp;"."&amp;Q2430&amp;COUNTIFS(P$5:P2429,P2430,Q$5:Q2429,Q2430))</f>
        <v>111IP.SG4</v>
      </c>
      <c r="S2430" s="55">
        <f t="shared" si="126"/>
        <v>-2924672.6264149523</v>
      </c>
    </row>
    <row r="2431" spans="1:19" hidden="1">
      <c r="A2431" s="5">
        <v>2496</v>
      </c>
      <c r="B2431" s="59"/>
      <c r="C2431" s="60"/>
      <c r="D2431" s="63"/>
      <c r="E2431" s="63"/>
      <c r="F2431" s="63" t="s">
        <v>149</v>
      </c>
      <c r="G2431" s="63" t="s">
        <v>155</v>
      </c>
      <c r="H2431" s="62"/>
      <c r="I2431" s="69">
        <v>-137086578.09846199</v>
      </c>
      <c r="J2431" s="69">
        <v>-65540264.463560916</v>
      </c>
      <c r="K2431" s="62"/>
      <c r="L2431" s="69">
        <v>-159953716.79829255</v>
      </c>
      <c r="M2431" s="65">
        <v>-83480811.526997894</v>
      </c>
      <c r="N2431" s="65">
        <v>-76472905.271294653</v>
      </c>
      <c r="P2431" t="str">
        <f t="shared" si="124"/>
        <v>111IP</v>
      </c>
      <c r="Q2431" t="str">
        <f t="shared" si="125"/>
        <v>CN</v>
      </c>
      <c r="R2431" t="str">
        <f>IF(ISERROR(MATCH(P2431&amp;"."&amp;Q2431,R$5:R2430,0)),P2431&amp;"."&amp;Q2431,P2431&amp;"."&amp;Q2431&amp;COUNTIFS(P$5:P2430,P2431,Q$5:Q2430,Q2431))</f>
        <v>111IP.CN</v>
      </c>
      <c r="S2431" s="55">
        <f t="shared" si="126"/>
        <v>-76472905.271294653</v>
      </c>
    </row>
    <row r="2432" spans="1:19" hidden="1">
      <c r="A2432" s="5">
        <v>2497</v>
      </c>
      <c r="B2432" s="59"/>
      <c r="C2432" s="60"/>
      <c r="D2432" s="63"/>
      <c r="E2432" s="70"/>
      <c r="F2432" s="63" t="s">
        <v>13</v>
      </c>
      <c r="G2432" s="63" t="s">
        <v>15</v>
      </c>
      <c r="H2432" s="62"/>
      <c r="I2432" s="69">
        <v>0</v>
      </c>
      <c r="J2432" s="69">
        <v>0</v>
      </c>
      <c r="K2432" s="62"/>
      <c r="L2432" s="69">
        <v>0</v>
      </c>
      <c r="M2432" s="69">
        <v>0</v>
      </c>
      <c r="N2432" s="69">
        <v>0</v>
      </c>
      <c r="P2432" t="str">
        <f t="shared" si="124"/>
        <v>111IP</v>
      </c>
      <c r="Q2432" t="str">
        <f t="shared" si="125"/>
        <v>SG</v>
      </c>
      <c r="R2432" t="str">
        <f>IF(ISERROR(MATCH(P2432&amp;"."&amp;Q2432,R$5:R2431,0)),P2432&amp;"."&amp;Q2432,P2432&amp;"."&amp;Q2432&amp;COUNTIFS(P$5:P2431,P2432,Q$5:Q2431,Q2432))</f>
        <v>111IP.SG5</v>
      </c>
      <c r="S2432" s="55">
        <f t="shared" si="126"/>
        <v>0</v>
      </c>
    </row>
    <row r="2433" spans="1:19" hidden="1">
      <c r="A2433" s="5">
        <v>2498</v>
      </c>
      <c r="B2433" s="59"/>
      <c r="C2433" s="71"/>
      <c r="D2433" s="72"/>
      <c r="E2433" s="73"/>
      <c r="F2433" s="63" t="s">
        <v>13</v>
      </c>
      <c r="G2433" s="72" t="s">
        <v>15</v>
      </c>
      <c r="H2433" s="74"/>
      <c r="I2433" s="75">
        <v>-21944.873076923101</v>
      </c>
      <c r="J2433" s="75">
        <v>-9655.1951221485433</v>
      </c>
      <c r="K2433" s="62"/>
      <c r="L2433" s="75">
        <v>-26408.239999999994</v>
      </c>
      <c r="M2433" s="75">
        <v>-14789.275099234281</v>
      </c>
      <c r="N2433" s="75">
        <v>-11618.964900765714</v>
      </c>
      <c r="P2433" t="str">
        <f t="shared" si="124"/>
        <v>111IP</v>
      </c>
      <c r="Q2433" t="str">
        <f t="shared" si="125"/>
        <v>SG</v>
      </c>
      <c r="R2433" t="str">
        <f>IF(ISERROR(MATCH(P2433&amp;"."&amp;Q2433,R$5:R2432,0)),P2433&amp;"."&amp;Q2433,P2433&amp;"."&amp;Q2433&amp;COUNTIFS(P$5:P2432,P2433,Q$5:Q2432,Q2433))</f>
        <v>111IP.SG6</v>
      </c>
      <c r="S2433" s="55">
        <f t="shared" si="126"/>
        <v>-11618.964900765714</v>
      </c>
    </row>
    <row r="2434" spans="1:19" hidden="1">
      <c r="A2434" s="5">
        <v>2499</v>
      </c>
      <c r="B2434" s="59"/>
      <c r="C2434" s="60"/>
      <c r="D2434" s="63"/>
      <c r="E2434" s="63"/>
      <c r="F2434" s="63" t="s">
        <v>171</v>
      </c>
      <c r="G2434" s="63" t="s">
        <v>136</v>
      </c>
      <c r="H2434" s="62"/>
      <c r="I2434" s="65">
        <v>-291767034.92000002</v>
      </c>
      <c r="J2434" s="65">
        <v>-126622605.89671469</v>
      </c>
      <c r="K2434" s="62"/>
      <c r="L2434" s="65">
        <v>-305671413.48653603</v>
      </c>
      <c r="M2434" s="65">
        <v>-172109755.33773685</v>
      </c>
      <c r="N2434" s="65">
        <v>-133561658.14879917</v>
      </c>
      <c r="P2434" t="str">
        <f t="shared" si="124"/>
        <v>111IP</v>
      </c>
      <c r="Q2434" t="str">
        <f t="shared" si="125"/>
        <v>SO</v>
      </c>
      <c r="R2434" t="str">
        <f>IF(ISERROR(MATCH(P2434&amp;"."&amp;Q2434,R$5:R2433,0)),P2434&amp;"."&amp;Q2434,P2434&amp;"."&amp;Q2434&amp;COUNTIFS(P$5:P2433,P2434,Q$5:Q2433,Q2434))</f>
        <v>111IP.SO</v>
      </c>
      <c r="S2434" s="55">
        <f t="shared" si="126"/>
        <v>-133561658.14879917</v>
      </c>
    </row>
    <row r="2435" spans="1:19" hidden="1">
      <c r="A2435" s="5">
        <v>2500</v>
      </c>
      <c r="B2435" s="59"/>
      <c r="C2435" s="60"/>
      <c r="D2435" s="63"/>
      <c r="E2435" s="60"/>
      <c r="F2435" s="63"/>
      <c r="G2435" s="63"/>
      <c r="H2435" s="62" t="s">
        <v>696</v>
      </c>
      <c r="I2435" s="65">
        <v>-601612785.27076983</v>
      </c>
      <c r="J2435" s="65">
        <v>-250629244.61050555</v>
      </c>
      <c r="K2435" s="62"/>
      <c r="L2435" s="65">
        <v>-610560654.13289201</v>
      </c>
      <c r="M2435" s="65">
        <v>-337243118.60065949</v>
      </c>
      <c r="N2435" s="64">
        <v>-273317535.53223252</v>
      </c>
      <c r="P2435" t="str">
        <f t="shared" si="124"/>
        <v>111IP</v>
      </c>
      <c r="Q2435" t="str">
        <f t="shared" si="125"/>
        <v>NA</v>
      </c>
      <c r="R2435" t="str">
        <f>IF(ISERROR(MATCH(P2435&amp;"."&amp;Q2435,R$5:R2434,0)),P2435&amp;"."&amp;Q2435,P2435&amp;"."&amp;Q2435&amp;COUNTIFS(P$5:P2434,P2435,Q$5:Q2434,Q2435))</f>
        <v>111IP.NA1</v>
      </c>
      <c r="S2435" s="55">
        <f t="shared" si="126"/>
        <v>-273317535.53223252</v>
      </c>
    </row>
    <row r="2436" spans="1:19" hidden="1">
      <c r="A2436" s="5">
        <v>2501</v>
      </c>
      <c r="B2436" s="59"/>
      <c r="C2436" s="60" t="s">
        <v>214</v>
      </c>
      <c r="D2436" s="63" t="s">
        <v>581</v>
      </c>
      <c r="E2436" s="61"/>
      <c r="F2436" s="63"/>
      <c r="G2436" s="63"/>
      <c r="H2436" s="62"/>
      <c r="I2436" s="65"/>
      <c r="J2436" s="65"/>
      <c r="K2436" s="62"/>
      <c r="L2436" s="65"/>
      <c r="M2436" s="65"/>
      <c r="N2436" s="64"/>
      <c r="P2436" t="str">
        <f t="shared" si="124"/>
        <v>111IP</v>
      </c>
      <c r="Q2436" t="str">
        <f t="shared" si="125"/>
        <v>NA</v>
      </c>
      <c r="R2436" t="str">
        <f>IF(ISERROR(MATCH(P2436&amp;"."&amp;Q2436,R$5:R2435,0)),P2436&amp;"."&amp;Q2436,P2436&amp;"."&amp;Q2436&amp;COUNTIFS(P$5:P2435,P2436,Q$5:Q2435,Q2436))</f>
        <v>111IP.NA2</v>
      </c>
      <c r="S2436" s="55">
        <f t="shared" si="126"/>
        <v>0</v>
      </c>
    </row>
    <row r="2437" spans="1:19" hidden="1">
      <c r="A2437" s="5">
        <v>2502</v>
      </c>
      <c r="B2437" s="59"/>
      <c r="C2437" s="60"/>
      <c r="D2437" s="63"/>
      <c r="E2437" s="61"/>
      <c r="F2437" s="63" t="s">
        <v>437</v>
      </c>
      <c r="G2437" s="63" t="s">
        <v>438</v>
      </c>
      <c r="H2437" s="62"/>
      <c r="I2437" s="65">
        <v>0</v>
      </c>
      <c r="J2437" s="65">
        <v>0</v>
      </c>
      <c r="K2437" s="62"/>
      <c r="L2437" s="65">
        <v>0</v>
      </c>
      <c r="M2437" s="65">
        <v>0</v>
      </c>
      <c r="N2437" s="64">
        <v>0</v>
      </c>
      <c r="P2437" t="str">
        <f t="shared" si="124"/>
        <v>111IP</v>
      </c>
      <c r="Q2437" t="str">
        <f t="shared" si="125"/>
        <v>OTH</v>
      </c>
      <c r="R2437" t="str">
        <f>IF(ISERROR(MATCH(P2437&amp;"."&amp;Q2437,R$5:R2436,0)),P2437&amp;"."&amp;Q2437,P2437&amp;"."&amp;Q2437&amp;COUNTIFS(P$5:P2436,P2437,Q$5:Q2436,Q2437))</f>
        <v>111IP.OTH</v>
      </c>
      <c r="S2437" s="55">
        <f t="shared" si="126"/>
        <v>0</v>
      </c>
    </row>
    <row r="2438" spans="1:19" hidden="1">
      <c r="A2438" s="5">
        <v>2503</v>
      </c>
      <c r="B2438" s="59"/>
      <c r="C2438" s="60"/>
      <c r="D2438" s="63"/>
      <c r="E2438" s="70"/>
      <c r="F2438" s="63"/>
      <c r="G2438" s="63"/>
      <c r="H2438" s="62" t="s">
        <v>141</v>
      </c>
      <c r="I2438" s="65">
        <v>-601612785.27076983</v>
      </c>
      <c r="J2438" s="65">
        <v>-250629244.61050555</v>
      </c>
      <c r="K2438" s="62"/>
      <c r="L2438" s="65">
        <v>-610560654.13289201</v>
      </c>
      <c r="M2438" s="65">
        <v>-337243118.60065949</v>
      </c>
      <c r="N2438" s="64">
        <v>-273317535.53223252</v>
      </c>
      <c r="P2438" t="str">
        <f t="shared" si="124"/>
        <v>111IP</v>
      </c>
      <c r="Q2438" t="str">
        <f t="shared" si="125"/>
        <v>NA</v>
      </c>
      <c r="R2438" t="str">
        <f>IF(ISERROR(MATCH(P2438&amp;"."&amp;Q2438,R$5:R2437,0)),P2438&amp;"."&amp;Q2438,P2438&amp;"."&amp;Q2438&amp;COUNTIFS(P$5:P2437,P2438,Q$5:Q2437,Q2438))</f>
        <v>111IP.NA3</v>
      </c>
      <c r="S2438" s="55">
        <f t="shared" si="126"/>
        <v>-273317535.53223252</v>
      </c>
    </row>
    <row r="2439" spans="1:19" hidden="1">
      <c r="A2439" s="5">
        <v>2504</v>
      </c>
      <c r="B2439" s="59"/>
      <c r="C2439" s="60"/>
      <c r="D2439" s="63"/>
      <c r="E2439" s="70"/>
      <c r="F2439" s="63"/>
      <c r="G2439" s="63"/>
      <c r="H2439" s="62"/>
      <c r="I2439" s="65"/>
      <c r="J2439" s="65"/>
      <c r="K2439" s="62"/>
      <c r="L2439" s="65"/>
      <c r="M2439" s="65"/>
      <c r="N2439" s="64"/>
      <c r="P2439" t="str">
        <f t="shared" ref="P2439:P2445" si="127">IF(OR(C2439="",C2439=" ",C2439="  ",C2439="   "),P2438,C2439)</f>
        <v>111IP</v>
      </c>
      <c r="Q2439" t="str">
        <f t="shared" ref="Q2439:Q2441" si="128">IF(G2439="","NA",G2439)</f>
        <v>NA</v>
      </c>
      <c r="R2439" t="str">
        <f>IF(ISERROR(MATCH(P2439&amp;"."&amp;Q2439,R$5:R2438,0)),P2439&amp;"."&amp;Q2439,P2439&amp;"."&amp;Q2439&amp;COUNTIFS(P$5:P2438,P2439,Q$5:Q2438,Q2439))</f>
        <v>111IP.NA4</v>
      </c>
      <c r="S2439" s="55">
        <f t="shared" si="126"/>
        <v>0</v>
      </c>
    </row>
    <row r="2440" spans="1:19" hidden="1">
      <c r="A2440" s="5">
        <v>2505</v>
      </c>
      <c r="B2440" s="59"/>
      <c r="C2440" s="60">
        <v>111390</v>
      </c>
      <c r="D2440" s="63" t="s">
        <v>700</v>
      </c>
      <c r="E2440" s="70"/>
      <c r="F2440" s="63"/>
      <c r="G2440" s="63"/>
      <c r="H2440" s="62"/>
      <c r="I2440" s="65"/>
      <c r="J2440" s="65"/>
      <c r="K2440" s="62"/>
      <c r="L2440" s="65"/>
      <c r="M2440" s="65"/>
      <c r="N2440" s="64"/>
      <c r="P2440">
        <f t="shared" si="127"/>
        <v>111390</v>
      </c>
      <c r="Q2440" t="str">
        <f t="shared" si="128"/>
        <v>NA</v>
      </c>
      <c r="R2440" t="str">
        <f>IF(ISERROR(MATCH(P2440&amp;"."&amp;Q2440,R$5:R2439,0)),P2440&amp;"."&amp;Q2440,P2440&amp;"."&amp;Q2440&amp;COUNTIFS(P$5:P2439,P2440,Q$5:Q2439,Q2440))</f>
        <v>111390.NA</v>
      </c>
      <c r="S2440" s="55">
        <f t="shared" ref="S2440:S2445" si="129">N2440</f>
        <v>0</v>
      </c>
    </row>
    <row r="2441" spans="1:19" hidden="1">
      <c r="A2441" s="5">
        <v>2506</v>
      </c>
      <c r="B2441" s="59"/>
      <c r="C2441" s="60"/>
      <c r="D2441" s="63"/>
      <c r="E2441" s="60"/>
      <c r="F2441" s="63" t="s">
        <v>393</v>
      </c>
      <c r="G2441" s="63" t="s">
        <v>12</v>
      </c>
      <c r="H2441" s="62"/>
      <c r="I2441" s="65">
        <v>0</v>
      </c>
      <c r="J2441" s="65">
        <v>0</v>
      </c>
      <c r="K2441" s="62"/>
      <c r="L2441" s="65">
        <v>0</v>
      </c>
      <c r="M2441" s="65">
        <v>0</v>
      </c>
      <c r="N2441" s="64">
        <v>0</v>
      </c>
      <c r="P2441">
        <f t="shared" si="127"/>
        <v>111390</v>
      </c>
      <c r="Q2441" t="str">
        <f t="shared" si="128"/>
        <v>S</v>
      </c>
      <c r="R2441" t="str">
        <f>IF(ISERROR(MATCH(P2441&amp;"."&amp;Q2441,R$5:R2440,0)),P2441&amp;"."&amp;Q2441,P2441&amp;"."&amp;Q2441&amp;COUNTIFS(P$5:P2440,P2441,Q$5:Q2440,Q2441))</f>
        <v>111390.S</v>
      </c>
      <c r="S2441" s="55">
        <f t="shared" si="129"/>
        <v>0</v>
      </c>
    </row>
    <row r="2442" spans="1:19" hidden="1">
      <c r="A2442">
        <v>2507</v>
      </c>
      <c r="C2442" s="60"/>
      <c r="D2442" s="63"/>
      <c r="E2442" s="60"/>
      <c r="F2442" s="63" t="s">
        <v>13</v>
      </c>
      <c r="G2442" s="63" t="s">
        <v>15</v>
      </c>
      <c r="H2442" s="62"/>
      <c r="I2442" s="65">
        <v>0</v>
      </c>
      <c r="J2442" s="65">
        <v>0</v>
      </c>
      <c r="K2442" s="62"/>
      <c r="L2442" s="65">
        <v>0</v>
      </c>
      <c r="M2442" s="65">
        <v>0</v>
      </c>
      <c r="N2442" s="64">
        <v>0</v>
      </c>
      <c r="P2442">
        <f t="shared" si="127"/>
        <v>111390</v>
      </c>
      <c r="Q2442" t="str">
        <f>IF(G2442="","NA",G2442)</f>
        <v>SG</v>
      </c>
      <c r="R2442" t="str">
        <f>IF(ISERROR(MATCH(P2442&amp;"."&amp;Q2442,R$5:R2441,0)),P2442&amp;"."&amp;Q2442,P2442&amp;"."&amp;Q2442&amp;COUNTIFS(P$5:P2441,P2442,Q$5:Q2441,Q2442))</f>
        <v>111390.SG</v>
      </c>
      <c r="S2442" s="55">
        <f t="shared" si="129"/>
        <v>0</v>
      </c>
    </row>
    <row r="2443" spans="1:19" hidden="1">
      <c r="A2443">
        <v>2508</v>
      </c>
      <c r="C2443" s="60"/>
      <c r="D2443" s="63"/>
      <c r="E2443" s="61"/>
      <c r="F2443" s="63" t="s">
        <v>171</v>
      </c>
      <c r="G2443" s="63" t="s">
        <v>136</v>
      </c>
      <c r="H2443" s="62"/>
      <c r="I2443" s="65">
        <v>0</v>
      </c>
      <c r="J2443" s="65">
        <v>0</v>
      </c>
      <c r="K2443" s="62"/>
      <c r="L2443" s="65">
        <v>0</v>
      </c>
      <c r="M2443" s="65">
        <v>0</v>
      </c>
      <c r="N2443" s="64">
        <v>0</v>
      </c>
      <c r="P2443">
        <f t="shared" si="127"/>
        <v>111390</v>
      </c>
      <c r="Q2443" t="str">
        <f>IF(G2443="","NA",G2443)</f>
        <v>SO</v>
      </c>
      <c r="R2443" t="str">
        <f>IF(ISERROR(MATCH(P2443&amp;"."&amp;Q2443,R$5:R2442,0)),P2443&amp;"."&amp;Q2443,P2443&amp;"."&amp;Q2443&amp;COUNTIFS(P$5:P2442,P2443,Q$5:Q2442,Q2443))</f>
        <v>111390.SO</v>
      </c>
      <c r="S2443" s="55">
        <f t="shared" si="129"/>
        <v>0</v>
      </c>
    </row>
    <row r="2444" spans="1:19" hidden="1">
      <c r="A2444">
        <v>2509</v>
      </c>
      <c r="C2444" s="60"/>
      <c r="D2444" s="63"/>
      <c r="E2444" s="61"/>
      <c r="F2444" s="63"/>
      <c r="G2444" s="63"/>
      <c r="H2444" s="62" t="s">
        <v>571</v>
      </c>
      <c r="I2444" s="65">
        <v>0</v>
      </c>
      <c r="J2444" s="65">
        <v>0</v>
      </c>
      <c r="K2444" s="62"/>
      <c r="L2444" s="65">
        <v>0</v>
      </c>
      <c r="M2444" s="65">
        <v>0</v>
      </c>
      <c r="N2444" s="65">
        <v>0</v>
      </c>
      <c r="P2444">
        <f t="shared" si="127"/>
        <v>111390</v>
      </c>
      <c r="Q2444" t="str">
        <f>IF(G2444="","NA",G2444)</f>
        <v>NA</v>
      </c>
      <c r="R2444" t="str">
        <f>IF(ISERROR(MATCH(P2444&amp;"."&amp;Q2444,R$5:R2443,0)),P2444&amp;"."&amp;Q2444,P2444&amp;"."&amp;Q2444&amp;COUNTIFS(P$5:P2443,P2444,Q$5:Q2443,Q2444))</f>
        <v>111390.NA1</v>
      </c>
      <c r="S2444" s="55">
        <f t="shared" si="129"/>
        <v>0</v>
      </c>
    </row>
    <row r="2445" spans="1:19" ht="15.75" hidden="1" thickBot="1">
      <c r="A2445">
        <v>2510</v>
      </c>
      <c r="C2445" s="60"/>
      <c r="D2445" s="63"/>
      <c r="E2445" s="63"/>
      <c r="F2445" s="63"/>
      <c r="G2445" s="63"/>
      <c r="H2445" s="62"/>
      <c r="I2445" s="81"/>
      <c r="J2445" s="81"/>
      <c r="K2445" s="62"/>
      <c r="L2445" s="81"/>
      <c r="M2445" s="81"/>
      <c r="N2445" s="81"/>
      <c r="P2445">
        <f t="shared" si="127"/>
        <v>111390</v>
      </c>
      <c r="Q2445" t="str">
        <f>IF(G2445="","NA",G2445)</f>
        <v>NA</v>
      </c>
      <c r="R2445" t="str">
        <f>IF(ISERROR(MATCH(P2445&amp;"."&amp;Q2445,R$5:R2444,0)),P2445&amp;"."&amp;Q2445,P2445&amp;"."&amp;Q2445&amp;COUNTIFS(P$5:P2444,P2445,Q$5:Q2444,Q2445))</f>
        <v>111390.NA2</v>
      </c>
      <c r="S2445" s="55">
        <f t="shared" si="129"/>
        <v>0</v>
      </c>
    </row>
    <row r="2446" spans="1:19" hidden="1">
      <c r="A2446">
        <v>2511</v>
      </c>
      <c r="E2446" t="s">
        <v>701</v>
      </c>
      <c r="I2446">
        <v>0</v>
      </c>
      <c r="J2446">
        <v>0</v>
      </c>
      <c r="L2446">
        <v>0</v>
      </c>
      <c r="M2446">
        <v>0</v>
      </c>
      <c r="N2446">
        <v>0</v>
      </c>
    </row>
    <row r="2447" spans="1:19" hidden="1">
      <c r="A2447">
        <v>2512</v>
      </c>
    </row>
    <row r="2448" spans="1:19" hidden="1">
      <c r="A2448">
        <v>2513</v>
      </c>
      <c r="C2448" t="s">
        <v>702</v>
      </c>
      <c r="H2448" t="s">
        <v>696</v>
      </c>
      <c r="I2448">
        <v>-618645394.28230834</v>
      </c>
      <c r="J2448">
        <v>-253248583.73213434</v>
      </c>
      <c r="L2448">
        <v>-629617784.09289205</v>
      </c>
      <c r="M2448">
        <v>-353127764.61085784</v>
      </c>
      <c r="N2448">
        <v>-276490019.48203415</v>
      </c>
    </row>
    <row r="2449" spans="1:14" hidden="1">
      <c r="A2449">
        <v>2514</v>
      </c>
      <c r="C2449" t="s">
        <v>141</v>
      </c>
    </row>
    <row r="2450" spans="1:14" hidden="1">
      <c r="A2450">
        <v>2515</v>
      </c>
    </row>
    <row r="2451" spans="1:14" hidden="1">
      <c r="A2451">
        <v>2516</v>
      </c>
    </row>
    <row r="2452" spans="1:14" hidden="1">
      <c r="A2452">
        <v>2517</v>
      </c>
    </row>
    <row r="2453" spans="1:14" hidden="1">
      <c r="A2453">
        <v>2518</v>
      </c>
      <c r="C2453" t="s">
        <v>703</v>
      </c>
    </row>
    <row r="2454" spans="1:14" hidden="1">
      <c r="A2454">
        <v>2519</v>
      </c>
      <c r="E2454" t="s">
        <v>12</v>
      </c>
      <c r="I2454">
        <v>18113390.229230743</v>
      </c>
      <c r="J2454">
        <v>30366739.896923054</v>
      </c>
      <c r="L2454">
        <v>-13256111.339569341</v>
      </c>
      <c r="M2454">
        <v>-13115903.433830908</v>
      </c>
      <c r="N2454">
        <v>-140207.90573843464</v>
      </c>
    </row>
    <row r="2455" spans="1:14" hidden="1">
      <c r="A2455">
        <v>2520</v>
      </c>
      <c r="E2455" t="s">
        <v>17</v>
      </c>
      <c r="I2455">
        <v>0</v>
      </c>
      <c r="J2455">
        <v>0</v>
      </c>
      <c r="L2455">
        <v>0</v>
      </c>
      <c r="M2455">
        <v>0</v>
      </c>
      <c r="N2455">
        <v>0</v>
      </c>
    </row>
    <row r="2456" spans="1:14" hidden="1">
      <c r="A2456">
        <v>2521</v>
      </c>
      <c r="E2456" t="s">
        <v>14</v>
      </c>
      <c r="I2456">
        <v>0</v>
      </c>
      <c r="J2456">
        <v>0</v>
      </c>
      <c r="L2456">
        <v>0</v>
      </c>
      <c r="M2456">
        <v>0</v>
      </c>
      <c r="N2456">
        <v>0</v>
      </c>
    </row>
    <row r="2457" spans="1:14" hidden="1">
      <c r="A2457">
        <v>2522</v>
      </c>
      <c r="E2457" t="s">
        <v>16</v>
      </c>
      <c r="I2457">
        <v>0</v>
      </c>
      <c r="J2457">
        <v>0</v>
      </c>
      <c r="L2457">
        <v>1106268.8070000003</v>
      </c>
      <c r="M2457">
        <v>626632.58541214745</v>
      </c>
      <c r="N2457">
        <v>479636.22158785275</v>
      </c>
    </row>
    <row r="2458" spans="1:14" hidden="1">
      <c r="A2458">
        <v>2523</v>
      </c>
      <c r="E2458" t="s">
        <v>136</v>
      </c>
      <c r="I2458">
        <v>-295209738.28384614</v>
      </c>
      <c r="J2458">
        <v>-128116688.5691424</v>
      </c>
      <c r="L2458">
        <v>-309682822.96653605</v>
      </c>
      <c r="M2458">
        <v>-174368398.68383011</v>
      </c>
      <c r="N2458">
        <v>-135314424.28270593</v>
      </c>
    </row>
    <row r="2459" spans="1:14" hidden="1">
      <c r="A2459">
        <v>2524</v>
      </c>
      <c r="E2459" t="s">
        <v>155</v>
      </c>
      <c r="I2459">
        <v>-137086578.09846199</v>
      </c>
      <c r="J2459">
        <v>-65540264.463560916</v>
      </c>
      <c r="L2459">
        <v>-159953716.79829255</v>
      </c>
      <c r="M2459">
        <v>-83480811.526997894</v>
      </c>
      <c r="N2459">
        <v>-76472905.271294653</v>
      </c>
    </row>
    <row r="2460" spans="1:14" hidden="1">
      <c r="A2460">
        <v>2525</v>
      </c>
      <c r="E2460" t="s">
        <v>298</v>
      </c>
      <c r="I2460">
        <v>0</v>
      </c>
      <c r="J2460">
        <v>0</v>
      </c>
      <c r="L2460">
        <v>0</v>
      </c>
      <c r="M2460">
        <v>0</v>
      </c>
      <c r="N2460">
        <v>0</v>
      </c>
    </row>
    <row r="2461" spans="1:14" hidden="1">
      <c r="A2461">
        <v>2526</v>
      </c>
      <c r="E2461" t="s">
        <v>301</v>
      </c>
      <c r="I2461">
        <v>0</v>
      </c>
      <c r="J2461">
        <v>0</v>
      </c>
      <c r="L2461">
        <v>0</v>
      </c>
      <c r="M2461">
        <v>0</v>
      </c>
      <c r="N2461">
        <v>0</v>
      </c>
    </row>
    <row r="2462" spans="1:14" hidden="1">
      <c r="A2462">
        <v>2527</v>
      </c>
      <c r="E2462" t="s">
        <v>15</v>
      </c>
      <c r="I2462">
        <v>-204462468.12923086</v>
      </c>
      <c r="J2462">
        <v>-89958370.596354097</v>
      </c>
      <c r="L2462">
        <v>-147831401.79549411</v>
      </c>
      <c r="M2462">
        <v>-82789283.551611155</v>
      </c>
      <c r="N2462">
        <v>-65042118.243882962</v>
      </c>
    </row>
    <row r="2463" spans="1:14" hidden="1">
      <c r="A2463">
        <v>2528</v>
      </c>
      <c r="E2463" t="s">
        <v>704</v>
      </c>
      <c r="I2463">
        <v>0</v>
      </c>
      <c r="J2463">
        <v>0</v>
      </c>
      <c r="L2463">
        <v>0</v>
      </c>
      <c r="M2463">
        <v>0</v>
      </c>
      <c r="N2463">
        <v>0</v>
      </c>
    </row>
    <row r="2464" spans="1:14" hidden="1">
      <c r="A2464">
        <v>2529</v>
      </c>
      <c r="C2464" t="s">
        <v>705</v>
      </c>
      <c r="H2464" t="s">
        <v>141</v>
      </c>
      <c r="I2464">
        <v>-618645394.28230822</v>
      </c>
      <c r="J2464">
        <v>-253248583.73213437</v>
      </c>
      <c r="L2464">
        <v>-629617784.09289205</v>
      </c>
      <c r="M2464">
        <v>-353127764.61085796</v>
      </c>
      <c r="N2464">
        <v>-276490019.48203415</v>
      </c>
    </row>
    <row r="2466" spans="9:14">
      <c r="I2466" s="55">
        <f>-I46+I170+I185+I385+I386+I448+I543+I544</f>
        <v>1650205173.3299999</v>
      </c>
      <c r="J2466" s="55">
        <f t="shared" ref="J2466:N2466" si="130">-J46+J170+J185+J385+J386+J448+J543+J544</f>
        <v>722232809.94693792</v>
      </c>
      <c r="K2466" s="55">
        <f t="shared" si="130"/>
        <v>0</v>
      </c>
      <c r="L2466" s="106">
        <f t="shared" si="130"/>
        <v>1422907773.0559571</v>
      </c>
      <c r="M2466" s="55">
        <f t="shared" si="130"/>
        <v>802113835.79687977</v>
      </c>
      <c r="N2466" s="106">
        <f t="shared" si="130"/>
        <v>620793937.25907719</v>
      </c>
    </row>
  </sheetData>
  <autoFilter ref="B1:B2464">
    <filterColumn colId="0">
      <customFilters>
        <customFilter operator="notEqual" val=" "/>
      </custom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S2234"/>
  <sheetViews>
    <sheetView zoomScale="85" zoomScaleNormal="85" workbookViewId="0">
      <pane xSplit="1" ySplit="10" topLeftCell="B415" activePane="bottomRight" state="frozen"/>
      <selection pane="topRight" activeCell="B1" sqref="B1"/>
      <selection pane="bottomLeft" activeCell="A11" sqref="A11"/>
      <selection pane="bottomRight" activeCell="G2230" sqref="G2230"/>
    </sheetView>
  </sheetViews>
  <sheetFormatPr defaultColWidth="9.140625" defaultRowHeight="12.75"/>
  <cols>
    <col min="1" max="1" width="35.42578125" style="111" bestFit="1" customWidth="1"/>
    <col min="2" max="2" width="35.42578125" style="111" customWidth="1"/>
    <col min="3" max="3" width="16.7109375" style="110" customWidth="1"/>
    <col min="4" max="4" width="20.28515625" style="2" customWidth="1"/>
    <col min="5" max="5" width="22.140625" style="2" bestFit="1" customWidth="1"/>
    <col min="6" max="6" width="15.140625" style="2" bestFit="1" customWidth="1"/>
    <col min="7" max="7" width="21.5703125" style="2" customWidth="1"/>
    <col min="8" max="8" width="15.28515625" style="2" bestFit="1" customWidth="1"/>
    <col min="9" max="9" width="14.5703125" style="2" bestFit="1" customWidth="1"/>
    <col min="10" max="10" width="14.5703125" style="2" hidden="1" customWidth="1"/>
    <col min="11" max="11" width="13.42578125" style="2" hidden="1" customWidth="1"/>
    <col min="12" max="12" width="11.5703125" style="2" hidden="1" customWidth="1"/>
    <col min="13" max="13" width="16.7109375" style="109" bestFit="1" customWidth="1"/>
    <col min="14" max="14" width="7.28515625" style="108" customWidth="1"/>
    <col min="15" max="16" width="19" style="2" bestFit="1" customWidth="1"/>
    <col min="17" max="17" width="18.5703125" style="2" bestFit="1" customWidth="1"/>
    <col min="18" max="18" width="15.7109375" style="2" bestFit="1" customWidth="1"/>
    <col min="19" max="19" width="7.7109375" style="108" customWidth="1"/>
    <col min="20" max="21" width="19" style="2" bestFit="1" customWidth="1"/>
    <col min="22" max="22" width="18.5703125" style="2" bestFit="1" customWidth="1"/>
    <col min="23" max="23" width="14.5703125" style="2" bestFit="1" customWidth="1"/>
    <col min="24" max="24" width="11.5703125" style="2" customWidth="1"/>
    <col min="25" max="25" width="12.85546875" style="2" bestFit="1" customWidth="1"/>
    <col min="26" max="26" width="14" style="2" bestFit="1" customWidth="1"/>
    <col min="27" max="29" width="12.85546875" style="2" bestFit="1" customWidth="1"/>
    <col min="30" max="30" width="14" style="2" bestFit="1" customWidth="1"/>
    <col min="31" max="32" width="14.5703125" style="2" bestFit="1" customWidth="1"/>
    <col min="33" max="33" width="11.85546875" style="2" bestFit="1" customWidth="1"/>
    <col min="34" max="34" width="4" style="2" customWidth="1"/>
    <col min="35" max="35" width="39.42578125" style="2" bestFit="1" customWidth="1"/>
    <col min="36" max="36" width="11.140625" style="2" bestFit="1" customWidth="1"/>
    <col min="37" max="37" width="43.85546875" style="2" bestFit="1" customWidth="1"/>
    <col min="38" max="39" width="9.140625" style="107"/>
    <col min="40" max="40" width="19" style="107" bestFit="1" customWidth="1"/>
    <col min="41" max="41" width="19.28515625" style="107" bestFit="1" customWidth="1"/>
    <col min="42" max="42" width="18.28515625" style="107" bestFit="1" customWidth="1"/>
    <col min="43" max="43" width="18.140625" style="107" bestFit="1" customWidth="1"/>
    <col min="44" max="44" width="17.7109375" style="107" bestFit="1" customWidth="1"/>
    <col min="45" max="45" width="19.5703125" style="107" bestFit="1" customWidth="1"/>
    <col min="46" max="46" width="20" style="107" customWidth="1"/>
    <col min="47" max="16384" width="9.140625" style="107"/>
  </cols>
  <sheetData>
    <row r="1" spans="1:37">
      <c r="A1" s="256"/>
      <c r="B1" s="256"/>
      <c r="C1" s="255"/>
      <c r="D1" s="182"/>
      <c r="E1" s="252"/>
      <c r="F1" s="254"/>
      <c r="G1" s="252"/>
      <c r="H1" s="248"/>
      <c r="I1" s="252"/>
      <c r="J1" s="252"/>
      <c r="K1" s="252"/>
      <c r="L1" s="252"/>
      <c r="M1" s="249"/>
      <c r="N1" s="248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D1" s="121"/>
      <c r="AE1" s="121"/>
      <c r="AF1" s="121"/>
      <c r="AG1" s="121"/>
      <c r="AH1" s="121"/>
      <c r="AI1" s="121"/>
      <c r="AJ1" s="121"/>
      <c r="AK1" s="121"/>
    </row>
    <row r="2" spans="1:37" hidden="1">
      <c r="A2" s="253"/>
      <c r="B2" s="253"/>
      <c r="C2" s="248"/>
      <c r="D2" s="251"/>
      <c r="E2" s="252"/>
      <c r="F2" s="251"/>
      <c r="G2" s="250" t="str">
        <f>[4]Inputs!$C$4</f>
        <v>Rocky Mountain Power</v>
      </c>
      <c r="H2" s="249"/>
      <c r="I2" s="248"/>
      <c r="J2" s="248"/>
      <c r="K2" s="248"/>
      <c r="L2" s="248"/>
      <c r="M2" s="247"/>
      <c r="N2" s="247"/>
      <c r="O2" s="247"/>
      <c r="P2" s="247"/>
      <c r="Q2" s="247"/>
      <c r="R2" s="247"/>
      <c r="S2" s="247"/>
      <c r="T2" s="219"/>
      <c r="U2" s="219"/>
      <c r="V2" s="219"/>
      <c r="W2" s="219"/>
      <c r="X2" s="219"/>
      <c r="Y2" s="219"/>
      <c r="Z2" s="219"/>
      <c r="AD2" s="121"/>
      <c r="AE2" s="121"/>
      <c r="AF2" s="121"/>
      <c r="AG2" s="121"/>
      <c r="AH2" s="121"/>
      <c r="AI2" s="121"/>
      <c r="AJ2" s="121"/>
      <c r="AK2" s="121"/>
    </row>
    <row r="3" spans="1:37" hidden="1">
      <c r="A3" s="253"/>
      <c r="B3" s="253"/>
      <c r="C3" s="248"/>
      <c r="D3" s="251"/>
      <c r="E3" s="252"/>
      <c r="F3" s="251"/>
      <c r="G3" s="250" t="s">
        <v>19</v>
      </c>
      <c r="H3" s="249"/>
      <c r="I3" s="248"/>
      <c r="J3" s="248"/>
      <c r="K3" s="248"/>
      <c r="L3" s="248"/>
      <c r="M3" s="247"/>
      <c r="N3" s="247"/>
      <c r="O3" s="247"/>
      <c r="P3" s="247"/>
      <c r="Q3" s="247"/>
      <c r="R3" s="247"/>
      <c r="S3" s="247"/>
      <c r="T3" s="219"/>
      <c r="U3" s="219"/>
      <c r="V3" s="219"/>
      <c r="W3" s="219"/>
      <c r="X3" s="219"/>
      <c r="Y3" s="219"/>
      <c r="Z3" s="219"/>
    </row>
    <row r="4" spans="1:37" hidden="1">
      <c r="A4" s="253"/>
      <c r="B4" s="253"/>
      <c r="C4" s="248"/>
      <c r="D4" s="251"/>
      <c r="E4" s="252"/>
      <c r="F4" s="251"/>
      <c r="G4" s="250" t="str">
        <f>[4]Inputs!$C$5</f>
        <v>State of Utah</v>
      </c>
      <c r="H4" s="249"/>
      <c r="I4" s="248"/>
      <c r="J4" s="248"/>
      <c r="K4" s="248"/>
      <c r="L4" s="248"/>
      <c r="M4" s="247"/>
      <c r="N4" s="247"/>
      <c r="O4" s="247"/>
      <c r="P4" s="247"/>
      <c r="Q4" s="247"/>
      <c r="R4" s="247"/>
      <c r="S4" s="247"/>
      <c r="T4" s="219"/>
      <c r="U4" s="219"/>
      <c r="V4" s="219"/>
      <c r="W4" s="219"/>
      <c r="X4" s="219"/>
      <c r="Y4" s="219"/>
      <c r="Z4" s="219"/>
    </row>
    <row r="5" spans="1:37" hidden="1">
      <c r="A5" s="253"/>
      <c r="B5" s="253"/>
      <c r="C5" s="248"/>
      <c r="D5" s="251"/>
      <c r="E5" s="252"/>
      <c r="F5" s="251"/>
      <c r="G5" s="250" t="str">
        <f>[4]Inputs!$C$7</f>
        <v>2020 Protocol (Non Wgt)</v>
      </c>
      <c r="H5" s="249"/>
      <c r="I5" s="248"/>
      <c r="J5" s="248"/>
      <c r="K5" s="248"/>
      <c r="L5" s="248"/>
      <c r="M5" s="247"/>
      <c r="N5" s="247"/>
      <c r="O5" s="247"/>
      <c r="P5" s="247"/>
      <c r="Q5" s="247"/>
      <c r="R5" s="247"/>
      <c r="S5" s="247"/>
      <c r="T5" s="219"/>
      <c r="U5" s="219"/>
      <c r="V5" s="219"/>
      <c r="W5" s="219"/>
      <c r="X5" s="219"/>
      <c r="Y5" s="219"/>
      <c r="Z5" s="219"/>
    </row>
    <row r="6" spans="1:37" hidden="1">
      <c r="A6" s="253"/>
      <c r="B6" s="253"/>
      <c r="C6" s="248"/>
      <c r="D6" s="251"/>
      <c r="E6" s="252"/>
      <c r="F6" s="251"/>
      <c r="G6" s="250" t="str">
        <f>[4]Inputs!$C$6</f>
        <v>12 Months Ended Dec 2021</v>
      </c>
      <c r="H6" s="249"/>
      <c r="I6" s="248"/>
      <c r="J6" s="248"/>
      <c r="K6" s="248"/>
      <c r="L6" s="248"/>
      <c r="M6" s="247"/>
      <c r="N6" s="247"/>
      <c r="O6" s="247"/>
      <c r="P6" s="247"/>
      <c r="Q6" s="247"/>
      <c r="R6" s="247"/>
      <c r="S6" s="247"/>
      <c r="T6" s="219"/>
      <c r="U6" s="219"/>
      <c r="V6" s="219"/>
      <c r="W6" s="219"/>
      <c r="X6" s="219"/>
      <c r="Y6" s="219"/>
      <c r="Z6" s="219"/>
    </row>
    <row r="7" spans="1:37" hidden="1">
      <c r="A7" s="2"/>
      <c r="B7" s="2"/>
      <c r="C7" s="227"/>
      <c r="J7" s="244"/>
      <c r="K7" s="108"/>
      <c r="M7" s="2"/>
      <c r="S7" s="2"/>
    </row>
    <row r="8" spans="1:37">
      <c r="A8" s="2"/>
      <c r="B8" s="2" t="s">
        <v>883</v>
      </c>
      <c r="C8" s="227"/>
      <c r="E8" s="121" t="s">
        <v>20</v>
      </c>
      <c r="F8" s="121" t="str">
        <f>[4]Inputs!$C$5</f>
        <v>State of Utah</v>
      </c>
      <c r="G8" s="121" t="s">
        <v>21</v>
      </c>
      <c r="H8" s="121" t="s">
        <v>22</v>
      </c>
      <c r="I8" s="121" t="s">
        <v>23</v>
      </c>
      <c r="J8" s="121" t="s">
        <v>24</v>
      </c>
      <c r="K8" s="121" t="s">
        <v>25</v>
      </c>
      <c r="L8" s="121" t="s">
        <v>26</v>
      </c>
      <c r="M8" s="244"/>
      <c r="N8" s="243"/>
      <c r="O8" s="246" t="s">
        <v>22</v>
      </c>
      <c r="P8" s="246"/>
      <c r="Q8" s="246"/>
      <c r="R8" s="246"/>
      <c r="S8" s="243"/>
      <c r="T8" s="246" t="s">
        <v>23</v>
      </c>
      <c r="U8" s="246"/>
      <c r="V8" s="246"/>
      <c r="W8" s="246"/>
      <c r="X8" s="121"/>
      <c r="Y8" s="246" t="s">
        <v>24</v>
      </c>
      <c r="Z8" s="246"/>
      <c r="AA8" s="246"/>
      <c r="AB8" s="246"/>
      <c r="AC8" s="246"/>
      <c r="AD8" s="121" t="s">
        <v>27</v>
      </c>
      <c r="AE8" s="229" t="s">
        <v>28</v>
      </c>
      <c r="AF8" s="121" t="s">
        <v>23</v>
      </c>
      <c r="AG8" s="121" t="s">
        <v>24</v>
      </c>
      <c r="AH8" s="121"/>
      <c r="AI8" s="121"/>
      <c r="AJ8" s="121"/>
      <c r="AK8" s="121"/>
    </row>
    <row r="9" spans="1:37">
      <c r="A9" s="2"/>
      <c r="B9" s="2" t="s">
        <v>883</v>
      </c>
      <c r="C9" s="227"/>
      <c r="E9" s="4" t="s">
        <v>29</v>
      </c>
      <c r="F9" s="4" t="s">
        <v>29</v>
      </c>
      <c r="G9" s="4" t="s">
        <v>30</v>
      </c>
      <c r="H9" s="4" t="s">
        <v>31</v>
      </c>
      <c r="I9" s="4" t="s">
        <v>31</v>
      </c>
      <c r="J9" s="4" t="s">
        <v>31</v>
      </c>
      <c r="K9" s="4" t="s">
        <v>31</v>
      </c>
      <c r="L9" s="4" t="s">
        <v>31</v>
      </c>
      <c r="M9" s="244"/>
      <c r="N9" s="243"/>
      <c r="O9" s="4" t="s">
        <v>32</v>
      </c>
      <c r="P9" s="4" t="s">
        <v>33</v>
      </c>
      <c r="Q9" s="4" t="s">
        <v>34</v>
      </c>
      <c r="R9" s="4" t="s">
        <v>35</v>
      </c>
      <c r="S9" s="243"/>
      <c r="T9" s="4" t="s">
        <v>32</v>
      </c>
      <c r="U9" s="4" t="s">
        <v>33</v>
      </c>
      <c r="V9" s="4" t="s">
        <v>34</v>
      </c>
      <c r="W9" s="4" t="s">
        <v>35</v>
      </c>
      <c r="X9" s="121"/>
      <c r="Y9" s="4" t="s">
        <v>36</v>
      </c>
      <c r="Z9" s="4" t="s">
        <v>37</v>
      </c>
      <c r="AA9" s="4" t="s">
        <v>38</v>
      </c>
      <c r="AB9" s="4" t="s">
        <v>39</v>
      </c>
      <c r="AC9" s="4" t="s">
        <v>40</v>
      </c>
      <c r="AD9" s="216" t="s">
        <v>41</v>
      </c>
      <c r="AE9" s="245" t="s">
        <v>41</v>
      </c>
      <c r="AF9" s="216" t="s">
        <v>41</v>
      </c>
      <c r="AG9" s="216" t="s">
        <v>41</v>
      </c>
      <c r="AH9" s="121"/>
      <c r="AI9" s="121"/>
      <c r="AJ9" s="121"/>
      <c r="AK9" s="121"/>
    </row>
    <row r="10" spans="1:37" hidden="1">
      <c r="A10" s="2"/>
      <c r="B10" s="2"/>
      <c r="C10" s="227"/>
      <c r="E10" s="121"/>
      <c r="F10" s="121"/>
      <c r="G10" s="121"/>
      <c r="H10" s="121"/>
      <c r="I10" s="121"/>
      <c r="J10" s="121"/>
      <c r="K10" s="121"/>
      <c r="L10" s="121"/>
      <c r="M10" s="244"/>
      <c r="N10" s="243"/>
      <c r="O10" s="121"/>
      <c r="P10" s="121"/>
      <c r="Q10" s="121"/>
      <c r="R10" s="121"/>
      <c r="S10" s="243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16" t="e">
        <f>MAX(AD15:AD82,ABS(MIN(AD15:AD82)))</f>
        <v>#VALUE!</v>
      </c>
      <c r="AE10" s="116" t="e">
        <f>MAX(AE15:AE82,ABS(MIN(AE15:AE82)))</f>
        <v>#VALUE!</v>
      </c>
      <c r="AF10" s="116" t="e">
        <f>MAX(AF15:AF82,ABS(MIN(AF15:AF82)))</f>
        <v>#VALUE!</v>
      </c>
      <c r="AG10" s="116" t="e">
        <f>MAX(AG15:AG82,ABS(MIN(AG15:AG82)))</f>
        <v>#VALUE!</v>
      </c>
      <c r="AH10" s="116"/>
      <c r="AI10" s="116"/>
      <c r="AJ10" s="116"/>
      <c r="AK10" s="116"/>
    </row>
    <row r="11" spans="1:37" hidden="1">
      <c r="A11" s="240" t="s">
        <v>480</v>
      </c>
      <c r="B11" s="240"/>
      <c r="C11" s="227"/>
      <c r="E11" s="226"/>
      <c r="F11" s="226"/>
      <c r="G11" s="226"/>
      <c r="H11" s="225"/>
      <c r="I11" s="226"/>
      <c r="J11" s="226"/>
      <c r="K11" s="226"/>
      <c r="L11" s="226"/>
      <c r="M11" s="244"/>
      <c r="N11" s="243"/>
      <c r="O11" s="121"/>
      <c r="P11" s="121"/>
      <c r="Q11" s="121"/>
      <c r="R11" s="121"/>
      <c r="S11" s="243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242"/>
      <c r="AF11" s="121"/>
      <c r="AG11" s="121"/>
      <c r="AH11" s="121"/>
      <c r="AI11" s="121"/>
      <c r="AJ11" s="121"/>
      <c r="AK11" s="121"/>
    </row>
    <row r="12" spans="1:37" hidden="1">
      <c r="A12" s="2" t="s">
        <v>882</v>
      </c>
      <c r="B12" s="2"/>
      <c r="C12" s="2"/>
      <c r="E12" s="116" t="e">
        <f>'[4]P+T+D+R+M'!H137+'[4]P+T+D+R+M'!H153+'[4]P+T+D+R+M'!H155</f>
        <v>#VALUE!</v>
      </c>
      <c r="F12" s="116" t="e">
        <f>G118</f>
        <v>#VALUE!</v>
      </c>
      <c r="G12" s="228" t="e">
        <f>ROUND(E12-F12,0)</f>
        <v>#VALUE!</v>
      </c>
      <c r="H12" s="116">
        <f>H118</f>
        <v>0.2</v>
      </c>
      <c r="I12" s="116">
        <f>I118</f>
        <v>0.2</v>
      </c>
      <c r="J12" s="116">
        <f>J118</f>
        <v>0.2</v>
      </c>
      <c r="K12" s="116">
        <f>K118</f>
        <v>0.2</v>
      </c>
      <c r="L12" s="116">
        <f>L118</f>
        <v>0.2</v>
      </c>
      <c r="AE12" s="209"/>
      <c r="AF12" s="165"/>
      <c r="AG12" s="165"/>
      <c r="AH12" s="165"/>
      <c r="AI12" s="165"/>
      <c r="AJ12" s="165"/>
      <c r="AK12" s="165"/>
    </row>
    <row r="13" spans="1:37" hidden="1">
      <c r="A13" s="2" t="s">
        <v>881</v>
      </c>
      <c r="B13" s="2"/>
      <c r="C13" s="2"/>
      <c r="E13" s="2">
        <f>'[4]P+T+D+R+M'!H148+'[4]P+T+D+R+M'!H141</f>
        <v>112212860.70110953</v>
      </c>
      <c r="F13" s="116" t="e">
        <f>G124+G131</f>
        <v>#VALUE!</v>
      </c>
      <c r="G13" s="228" t="e">
        <f>ROUND(E13-F13,0)</f>
        <v>#VALUE!</v>
      </c>
      <c r="H13" s="135" t="e">
        <f>H124+H131</f>
        <v>#VALUE!</v>
      </c>
      <c r="I13" s="135" t="e">
        <f>I124+I131</f>
        <v>#VALUE!</v>
      </c>
      <c r="J13" s="135" t="e">
        <f>J124+J131</f>
        <v>#VALUE!</v>
      </c>
      <c r="K13" s="135" t="e">
        <f>K124+K131</f>
        <v>#VALUE!</v>
      </c>
      <c r="L13" s="135" t="e">
        <f>L124+L131</f>
        <v>#VALUE!</v>
      </c>
      <c r="AE13" s="209"/>
      <c r="AF13" s="165"/>
      <c r="AG13" s="165"/>
      <c r="AH13" s="165"/>
      <c r="AI13" s="165"/>
      <c r="AJ13" s="165"/>
      <c r="AK13" s="165"/>
    </row>
    <row r="14" spans="1:37" hidden="1">
      <c r="A14" s="2" t="s">
        <v>880</v>
      </c>
      <c r="B14" s="2"/>
      <c r="C14" s="2"/>
      <c r="E14" s="141" t="e">
        <f>'[4]P+T+D+R+M'!H184</f>
        <v>#VALUE!</v>
      </c>
      <c r="F14" s="139" t="e">
        <f>G174</f>
        <v>#VALUE!</v>
      </c>
      <c r="G14" s="228" t="e">
        <f>ROUND(E14-F14,0)</f>
        <v>#VALUE!</v>
      </c>
      <c r="H14" s="139" t="e">
        <f>H174</f>
        <v>#VALUE!</v>
      </c>
      <c r="I14" s="139" t="e">
        <f>I174</f>
        <v>#VALUE!</v>
      </c>
      <c r="J14" s="139" t="e">
        <f>J174</f>
        <v>#VALUE!</v>
      </c>
      <c r="K14" s="139" t="e">
        <f>K174</f>
        <v>#VALUE!</v>
      </c>
      <c r="L14" s="139" t="e">
        <f>L174</f>
        <v>#VALUE!</v>
      </c>
      <c r="AE14" s="209"/>
      <c r="AF14" s="165"/>
      <c r="AG14" s="165"/>
      <c r="AH14" s="165"/>
      <c r="AI14" s="165"/>
      <c r="AJ14" s="165"/>
      <c r="AK14" s="165"/>
    </row>
    <row r="15" spans="1:37" hidden="1">
      <c r="A15" s="2" t="s">
        <v>879</v>
      </c>
      <c r="B15" s="2"/>
      <c r="C15" s="2"/>
      <c r="E15" s="2" t="e">
        <f>SUM(E12:E14)</f>
        <v>#VALUE!</v>
      </c>
      <c r="F15" s="2" t="e">
        <f>SUM(F12:F14)</f>
        <v>#VALUE!</v>
      </c>
      <c r="G15" s="228"/>
      <c r="H15" s="2" t="e">
        <f>SUM(H12:H14)</f>
        <v>#VALUE!</v>
      </c>
      <c r="I15" s="2" t="e">
        <f>SUM(I12:I14)</f>
        <v>#VALUE!</v>
      </c>
      <c r="J15" s="2" t="e">
        <f>SUM(J12:J14)</f>
        <v>#VALUE!</v>
      </c>
      <c r="K15" s="2" t="e">
        <f>SUM(K12:K14)</f>
        <v>#VALUE!</v>
      </c>
      <c r="L15" s="2" t="e">
        <f>SUM(L12:L14)</f>
        <v>#VALUE!</v>
      </c>
      <c r="O15" s="116" t="e">
        <f>O176</f>
        <v>#VALUE!</v>
      </c>
      <c r="P15" s="116" t="e">
        <f>P176</f>
        <v>#VALUE!</v>
      </c>
      <c r="Q15" s="116" t="e">
        <f>Q176</f>
        <v>#VALUE!</v>
      </c>
      <c r="R15" s="116" t="e">
        <f>R176</f>
        <v>#VALUE!</v>
      </c>
      <c r="S15" s="116"/>
      <c r="T15" s="116" t="e">
        <f>T176</f>
        <v>#VALUE!</v>
      </c>
      <c r="U15" s="116" t="e">
        <f>U176</f>
        <v>#VALUE!</v>
      </c>
      <c r="V15" s="116" t="e">
        <f>V176</f>
        <v>#VALUE!</v>
      </c>
      <c r="W15" s="116" t="e">
        <f>W176</f>
        <v>#VALUE!</v>
      </c>
      <c r="X15" s="116"/>
      <c r="Y15" s="116" t="e">
        <f>Y176</f>
        <v>#VALUE!</v>
      </c>
      <c r="Z15" s="116" t="e">
        <f>Z176</f>
        <v>#VALUE!</v>
      </c>
      <c r="AA15" s="116" t="e">
        <f>AA176</f>
        <v>#VALUE!</v>
      </c>
      <c r="AB15" s="116" t="e">
        <f>AB176</f>
        <v>#VALUE!</v>
      </c>
      <c r="AC15" s="116" t="e">
        <f>AC176</f>
        <v>#VALUE!</v>
      </c>
      <c r="AD15" s="116" t="e">
        <f>ROUND(SUM(-F15,H15:L15),0)</f>
        <v>#VALUE!</v>
      </c>
      <c r="AE15" s="135" t="e">
        <f>ROUND(H15-O15-P15-Q15-R15,0)</f>
        <v>#VALUE!</v>
      </c>
      <c r="AF15" s="116" t="e">
        <f>ROUND(I15-T15-U15-V15-W15,0)</f>
        <v>#VALUE!</v>
      </c>
      <c r="AG15" s="116" t="e">
        <f>ROUND(J15-Y15-Z15-AA15-AC15-AB15,0)</f>
        <v>#VALUE!</v>
      </c>
      <c r="AH15" s="116"/>
      <c r="AI15" s="116"/>
      <c r="AJ15" s="116"/>
      <c r="AK15" s="116"/>
    </row>
    <row r="16" spans="1:37" hidden="1">
      <c r="A16" s="2"/>
      <c r="B16" s="2"/>
      <c r="C16" s="2"/>
      <c r="G16" s="228"/>
      <c r="H16" s="196"/>
      <c r="AE16" s="209"/>
      <c r="AF16" s="165"/>
      <c r="AG16" s="165"/>
      <c r="AH16" s="165"/>
      <c r="AI16" s="165"/>
      <c r="AJ16" s="165"/>
      <c r="AK16" s="165"/>
    </row>
    <row r="17" spans="1:37" hidden="1">
      <c r="A17" s="240" t="s">
        <v>878</v>
      </c>
      <c r="B17" s="240"/>
      <c r="C17" s="2"/>
      <c r="G17" s="228"/>
      <c r="AE17" s="209"/>
      <c r="AF17" s="165"/>
      <c r="AG17" s="165"/>
      <c r="AH17" s="165"/>
      <c r="AI17" s="165"/>
      <c r="AJ17" s="165"/>
      <c r="AK17" s="165"/>
    </row>
    <row r="18" spans="1:37" hidden="1">
      <c r="A18" s="2" t="s">
        <v>877</v>
      </c>
      <c r="B18" s="2"/>
      <c r="C18" s="2"/>
      <c r="E18" s="116">
        <f>'[4]P+T+D+R+M'!H15</f>
        <v>1146681175.4993041</v>
      </c>
      <c r="F18" s="116" t="e">
        <f>G807</f>
        <v>#VALUE!</v>
      </c>
      <c r="G18" s="228" t="e">
        <f t="shared" ref="G18:G27" si="0">ROUND(E18-F18,0)</f>
        <v>#VALUE!</v>
      </c>
      <c r="H18" s="116" t="e">
        <f>H807</f>
        <v>#VALUE!</v>
      </c>
      <c r="I18" s="116" t="e">
        <f>I807</f>
        <v>#VALUE!</v>
      </c>
      <c r="J18" s="116" t="e">
        <f>J807</f>
        <v>#VALUE!</v>
      </c>
      <c r="K18" s="116" t="e">
        <f>K807</f>
        <v>#VALUE!</v>
      </c>
      <c r="L18" s="116" t="e">
        <f>L807</f>
        <v>#VALUE!</v>
      </c>
      <c r="O18" s="116" t="e">
        <f>O807</f>
        <v>#VALUE!</v>
      </c>
      <c r="P18" s="116" t="e">
        <f>P807</f>
        <v>#VALUE!</v>
      </c>
      <c r="Q18" s="116" t="e">
        <f>Q807</f>
        <v>#VALUE!</v>
      </c>
      <c r="R18" s="116" t="e">
        <f>R807</f>
        <v>#VALUE!</v>
      </c>
      <c r="S18" s="237"/>
      <c r="T18" s="116" t="e">
        <f>T807</f>
        <v>#VALUE!</v>
      </c>
      <c r="U18" s="116" t="e">
        <f>U807</f>
        <v>#VALUE!</v>
      </c>
      <c r="V18" s="116" t="e">
        <f>V807</f>
        <v>#VALUE!</v>
      </c>
      <c r="W18" s="116" t="e">
        <f>W807</f>
        <v>#VALUE!</v>
      </c>
      <c r="Y18" s="116" t="e">
        <f>Y807</f>
        <v>#VALUE!</v>
      </c>
      <c r="Z18" s="116" t="e">
        <f>Z807</f>
        <v>#VALUE!</v>
      </c>
      <c r="AA18" s="116" t="e">
        <f>AA807</f>
        <v>#VALUE!</v>
      </c>
      <c r="AB18" s="116" t="e">
        <f>AB807</f>
        <v>#VALUE!</v>
      </c>
      <c r="AC18" s="116" t="e">
        <f>AC807</f>
        <v>#VALUE!</v>
      </c>
      <c r="AD18" s="116" t="e">
        <f t="shared" ref="AD18:AD27" si="1">ROUND(SUM(-F18,H18:L18),0)</f>
        <v>#VALUE!</v>
      </c>
      <c r="AE18" s="135" t="e">
        <f t="shared" ref="AE18:AE27" si="2">ROUND(H18-O18-P18-Q18-R18,0)</f>
        <v>#VALUE!</v>
      </c>
      <c r="AF18" s="116" t="e">
        <f t="shared" ref="AF18:AF27" si="3">ROUND(I18-T18-U18-V18-W18,0)</f>
        <v>#VALUE!</v>
      </c>
      <c r="AG18" s="116" t="e">
        <f t="shared" ref="AG18:AG27" si="4">ROUND(J18-Y18-Z18-AA18-AC18-AB18,0)</f>
        <v>#VALUE!</v>
      </c>
      <c r="AH18" s="116"/>
      <c r="AI18" s="116"/>
      <c r="AJ18" s="116"/>
      <c r="AK18" s="116"/>
    </row>
    <row r="19" spans="1:37" hidden="1">
      <c r="A19" s="2" t="s">
        <v>876</v>
      </c>
      <c r="B19" s="2"/>
      <c r="C19" s="2"/>
      <c r="E19" s="116">
        <f>'[4]P+T+D+R+M'!H16</f>
        <v>433070424.04389387</v>
      </c>
      <c r="F19" s="116" t="e">
        <f>G882</f>
        <v>#VALUE!</v>
      </c>
      <c r="G19" s="228" t="e">
        <f t="shared" si="0"/>
        <v>#VALUE!</v>
      </c>
      <c r="H19" s="116" t="e">
        <f>H882</f>
        <v>#VALUE!</v>
      </c>
      <c r="I19" s="116" t="e">
        <f>I882</f>
        <v>#VALUE!</v>
      </c>
      <c r="J19" s="116" t="e">
        <f>J882</f>
        <v>#VALUE!</v>
      </c>
      <c r="K19" s="116" t="e">
        <f>K882</f>
        <v>#VALUE!</v>
      </c>
      <c r="L19" s="116" t="e">
        <f>L882</f>
        <v>#VALUE!</v>
      </c>
      <c r="O19" s="116" t="e">
        <f>O882</f>
        <v>#VALUE!</v>
      </c>
      <c r="P19" s="116" t="e">
        <f>P882</f>
        <v>#VALUE!</v>
      </c>
      <c r="Q19" s="116" t="e">
        <f>Q882</f>
        <v>#VALUE!</v>
      </c>
      <c r="R19" s="116" t="e">
        <f>R882</f>
        <v>#VALUE!</v>
      </c>
      <c r="S19" s="237"/>
      <c r="T19" s="116" t="e">
        <f>T882</f>
        <v>#VALUE!</v>
      </c>
      <c r="U19" s="116" t="e">
        <f>U882</f>
        <v>#VALUE!</v>
      </c>
      <c r="V19" s="116" t="e">
        <f>V882</f>
        <v>#VALUE!</v>
      </c>
      <c r="W19" s="116" t="e">
        <f>W882</f>
        <v>#VALUE!</v>
      </c>
      <c r="Y19" s="116" t="e">
        <f>Y882</f>
        <v>#VALUE!</v>
      </c>
      <c r="Z19" s="116" t="e">
        <f>Z882</f>
        <v>#VALUE!</v>
      </c>
      <c r="AA19" s="116" t="e">
        <f>AA882</f>
        <v>#VALUE!</v>
      </c>
      <c r="AB19" s="116" t="e">
        <f>AB882</f>
        <v>#VALUE!</v>
      </c>
      <c r="AC19" s="116" t="e">
        <f>AC882</f>
        <v>#VALUE!</v>
      </c>
      <c r="AD19" s="116" t="e">
        <f t="shared" si="1"/>
        <v>#VALUE!</v>
      </c>
      <c r="AE19" s="135" t="e">
        <f t="shared" si="2"/>
        <v>#VALUE!</v>
      </c>
      <c r="AF19" s="116" t="e">
        <f t="shared" si="3"/>
        <v>#VALUE!</v>
      </c>
      <c r="AG19" s="116" t="e">
        <f t="shared" si="4"/>
        <v>#VALUE!</v>
      </c>
      <c r="AH19" s="116"/>
      <c r="AI19" s="116"/>
      <c r="AJ19" s="116"/>
      <c r="AK19" s="116"/>
    </row>
    <row r="20" spans="1:37" hidden="1">
      <c r="A20" s="2" t="s">
        <v>875</v>
      </c>
      <c r="B20" s="2"/>
      <c r="C20" s="2"/>
      <c r="E20" s="116">
        <f>'[4]P+T+D+R+M'!H17</f>
        <v>7341100.8115204154</v>
      </c>
      <c r="F20" s="116" t="e">
        <f>G945</f>
        <v>#VALUE!</v>
      </c>
      <c r="G20" s="228" t="e">
        <f t="shared" si="0"/>
        <v>#VALUE!</v>
      </c>
      <c r="H20" s="116" t="e">
        <f>H945</f>
        <v>#VALUE!</v>
      </c>
      <c r="I20" s="116" t="e">
        <f>I945</f>
        <v>#VALUE!</v>
      </c>
      <c r="J20" s="116" t="e">
        <f>J945</f>
        <v>#VALUE!</v>
      </c>
      <c r="K20" s="116" t="e">
        <f>K945</f>
        <v>#VALUE!</v>
      </c>
      <c r="L20" s="116" t="e">
        <f>L945</f>
        <v>#VALUE!</v>
      </c>
      <c r="O20" s="116" t="e">
        <f>O945</f>
        <v>#VALUE!</v>
      </c>
      <c r="P20" s="116" t="e">
        <f>P945</f>
        <v>#VALUE!</v>
      </c>
      <c r="Q20" s="116" t="e">
        <f>Q945</f>
        <v>#VALUE!</v>
      </c>
      <c r="R20" s="116" t="e">
        <f>R945</f>
        <v>#VALUE!</v>
      </c>
      <c r="S20" s="237"/>
      <c r="T20" s="116" t="e">
        <f>T945</f>
        <v>#VALUE!</v>
      </c>
      <c r="U20" s="116" t="e">
        <f>U945</f>
        <v>#VALUE!</v>
      </c>
      <c r="V20" s="116" t="e">
        <f>V945</f>
        <v>#VALUE!</v>
      </c>
      <c r="W20" s="116" t="e">
        <f>W945</f>
        <v>#VALUE!</v>
      </c>
      <c r="Y20" s="116" t="e">
        <f>Y945</f>
        <v>#VALUE!</v>
      </c>
      <c r="Z20" s="116" t="e">
        <f>Z945</f>
        <v>#VALUE!</v>
      </c>
      <c r="AA20" s="116" t="e">
        <f>AA945</f>
        <v>#VALUE!</v>
      </c>
      <c r="AB20" s="116" t="e">
        <f>AB945</f>
        <v>#VALUE!</v>
      </c>
      <c r="AC20" s="116" t="e">
        <f>AC945</f>
        <v>#VALUE!</v>
      </c>
      <c r="AD20" s="116" t="e">
        <f t="shared" si="1"/>
        <v>#VALUE!</v>
      </c>
      <c r="AE20" s="135" t="e">
        <f t="shared" si="2"/>
        <v>#VALUE!</v>
      </c>
      <c r="AF20" s="116" t="e">
        <f t="shared" si="3"/>
        <v>#VALUE!</v>
      </c>
      <c r="AG20" s="116" t="e">
        <f t="shared" si="4"/>
        <v>#VALUE!</v>
      </c>
      <c r="AH20" s="116"/>
      <c r="AI20" s="116"/>
      <c r="AJ20" s="116"/>
      <c r="AK20" s="116"/>
    </row>
    <row r="21" spans="1:37" hidden="1">
      <c r="A21" s="2" t="s">
        <v>874</v>
      </c>
      <c r="B21" s="2"/>
      <c r="C21" s="2"/>
      <c r="E21" s="116">
        <f>'[4]P+T+D+R+M'!H18</f>
        <v>86016982.977037191</v>
      </c>
      <c r="F21" s="116" t="e">
        <f>G956</f>
        <v>#VALUE!</v>
      </c>
      <c r="G21" s="228" t="e">
        <f t="shared" si="0"/>
        <v>#VALUE!</v>
      </c>
      <c r="H21" s="116" t="e">
        <f>H956</f>
        <v>#VALUE!</v>
      </c>
      <c r="I21" s="116" t="e">
        <f>I956</f>
        <v>#VALUE!</v>
      </c>
      <c r="J21" s="116" t="e">
        <f>J956</f>
        <v>#VALUE!</v>
      </c>
      <c r="K21" s="116" t="e">
        <f>K956</f>
        <v>#VALUE!</v>
      </c>
      <c r="L21" s="116" t="e">
        <f>L956</f>
        <v>#VALUE!</v>
      </c>
      <c r="O21" s="116" t="e">
        <f>O956</f>
        <v>#VALUE!</v>
      </c>
      <c r="P21" s="116" t="e">
        <f>P956</f>
        <v>#VALUE!</v>
      </c>
      <c r="Q21" s="116" t="e">
        <f>Q956</f>
        <v>#VALUE!</v>
      </c>
      <c r="R21" s="116" t="e">
        <f>R956</f>
        <v>#VALUE!</v>
      </c>
      <c r="S21" s="237"/>
      <c r="T21" s="116" t="e">
        <f>T956</f>
        <v>#VALUE!</v>
      </c>
      <c r="U21" s="116" t="e">
        <f>U956</f>
        <v>#VALUE!</v>
      </c>
      <c r="V21" s="116" t="e">
        <f>V956</f>
        <v>#VALUE!</v>
      </c>
      <c r="W21" s="116" t="e">
        <f>W956</f>
        <v>#VALUE!</v>
      </c>
      <c r="Y21" s="116" t="e">
        <f>Y956</f>
        <v>#VALUE!</v>
      </c>
      <c r="Z21" s="116" t="e">
        <f>Z956</f>
        <v>#VALUE!</v>
      </c>
      <c r="AA21" s="116" t="e">
        <f>AA956</f>
        <v>#VALUE!</v>
      </c>
      <c r="AB21" s="116" t="e">
        <f>AB956</f>
        <v>#VALUE!</v>
      </c>
      <c r="AC21" s="116" t="e">
        <f>AC956</f>
        <v>#VALUE!</v>
      </c>
      <c r="AD21" s="116" t="e">
        <f t="shared" si="1"/>
        <v>#VALUE!</v>
      </c>
      <c r="AE21" s="135" t="e">
        <f t="shared" si="2"/>
        <v>#VALUE!</v>
      </c>
      <c r="AF21" s="116" t="e">
        <f t="shared" si="3"/>
        <v>#VALUE!</v>
      </c>
      <c r="AG21" s="116" t="e">
        <f t="shared" si="4"/>
        <v>#VALUE!</v>
      </c>
      <c r="AH21" s="116"/>
      <c r="AI21" s="116"/>
      <c r="AJ21" s="116"/>
      <c r="AK21" s="116"/>
    </row>
    <row r="22" spans="1:37" hidden="1">
      <c r="A22" s="2" t="s">
        <v>873</v>
      </c>
      <c r="B22" s="2"/>
      <c r="C22" s="2"/>
      <c r="E22" s="116">
        <f>'[4]P+T+D+R+M'!H19</f>
        <v>-70674667.589960188</v>
      </c>
      <c r="F22" s="116" t="e">
        <f>G1184</f>
        <v>#VALUE!</v>
      </c>
      <c r="G22" s="228" t="e">
        <f t="shared" si="0"/>
        <v>#VALUE!</v>
      </c>
      <c r="H22" s="116" t="e">
        <f>H1184</f>
        <v>#VALUE!</v>
      </c>
      <c r="I22" s="116" t="e">
        <f>I1184</f>
        <v>#VALUE!</v>
      </c>
      <c r="J22" s="116" t="e">
        <f>J1184</f>
        <v>#VALUE!</v>
      </c>
      <c r="K22" s="116" t="e">
        <f>K1184</f>
        <v>#VALUE!</v>
      </c>
      <c r="L22" s="116" t="e">
        <f>L1184</f>
        <v>#VALUE!</v>
      </c>
      <c r="O22" s="116" t="e">
        <f>O1184</f>
        <v>#VALUE!</v>
      </c>
      <c r="P22" s="116" t="e">
        <f>P1184</f>
        <v>#VALUE!</v>
      </c>
      <c r="Q22" s="116" t="e">
        <f>Q1184</f>
        <v>#VALUE!</v>
      </c>
      <c r="R22" s="116" t="e">
        <f>R1184</f>
        <v>#VALUE!</v>
      </c>
      <c r="S22" s="237"/>
      <c r="T22" s="116" t="e">
        <f>T1184</f>
        <v>#VALUE!</v>
      </c>
      <c r="U22" s="116" t="e">
        <f>U1184</f>
        <v>#VALUE!</v>
      </c>
      <c r="V22" s="116" t="e">
        <f>V1184</f>
        <v>#VALUE!</v>
      </c>
      <c r="W22" s="116" t="e">
        <f>W1184</f>
        <v>#VALUE!</v>
      </c>
      <c r="Y22" s="116" t="e">
        <f>Y1184</f>
        <v>#VALUE!</v>
      </c>
      <c r="Z22" s="116" t="e">
        <f>Z1184</f>
        <v>#VALUE!</v>
      </c>
      <c r="AA22" s="116" t="e">
        <f>AA1184</f>
        <v>#VALUE!</v>
      </c>
      <c r="AB22" s="116" t="e">
        <f>AB1184</f>
        <v>#VALUE!</v>
      </c>
      <c r="AC22" s="116" t="e">
        <f>AC1184</f>
        <v>#VALUE!</v>
      </c>
      <c r="AD22" s="116" t="e">
        <f t="shared" si="1"/>
        <v>#VALUE!</v>
      </c>
      <c r="AE22" s="135" t="e">
        <f t="shared" si="2"/>
        <v>#VALUE!</v>
      </c>
      <c r="AF22" s="116" t="e">
        <f t="shared" si="3"/>
        <v>#VALUE!</v>
      </c>
      <c r="AG22" s="116" t="e">
        <f t="shared" si="4"/>
        <v>#VALUE!</v>
      </c>
      <c r="AH22" s="116"/>
      <c r="AI22" s="116"/>
      <c r="AJ22" s="116"/>
      <c r="AK22" s="116"/>
    </row>
    <row r="23" spans="1:37" hidden="1">
      <c r="A23" s="2" t="s">
        <v>872</v>
      </c>
      <c r="B23" s="2"/>
      <c r="C23" s="2"/>
      <c r="E23" s="116">
        <f>'[4]P+T+D+R+M'!H20</f>
        <v>3273601.4050274198</v>
      </c>
      <c r="F23" s="116" t="e">
        <f>G1166</f>
        <v>#VALUE!</v>
      </c>
      <c r="G23" s="228" t="e">
        <f t="shared" si="0"/>
        <v>#VALUE!</v>
      </c>
      <c r="H23" s="116" t="e">
        <f>H1166</f>
        <v>#VALUE!</v>
      </c>
      <c r="I23" s="116" t="e">
        <f>I1166</f>
        <v>#VALUE!</v>
      </c>
      <c r="J23" s="116" t="e">
        <f>J1166</f>
        <v>#VALUE!</v>
      </c>
      <c r="K23" s="116" t="e">
        <f>K1166</f>
        <v>#VALUE!</v>
      </c>
      <c r="L23" s="116" t="e">
        <f>L1166</f>
        <v>#VALUE!</v>
      </c>
      <c r="O23" s="116">
        <f>O1166</f>
        <v>0</v>
      </c>
      <c r="P23" s="116">
        <f>P1166</f>
        <v>0</v>
      </c>
      <c r="Q23" s="116" t="e">
        <f>Q1166</f>
        <v>#VALUE!</v>
      </c>
      <c r="R23" s="116" t="e">
        <f>R1166</f>
        <v>#VALUE!</v>
      </c>
      <c r="S23" s="237"/>
      <c r="T23" s="116">
        <f>T1166</f>
        <v>0</v>
      </c>
      <c r="U23" s="116">
        <f>U1166</f>
        <v>0</v>
      </c>
      <c r="V23" s="116" t="e">
        <f>V1166</f>
        <v>#VALUE!</v>
      </c>
      <c r="W23" s="116" t="e">
        <f>W1166</f>
        <v>#VALUE!</v>
      </c>
      <c r="Y23" s="116" t="e">
        <f>Y1166</f>
        <v>#VALUE!</v>
      </c>
      <c r="Z23" s="116" t="e">
        <f>Z1166</f>
        <v>#VALUE!</v>
      </c>
      <c r="AA23" s="116" t="e">
        <f>AA1166</f>
        <v>#VALUE!</v>
      </c>
      <c r="AB23" s="116" t="e">
        <f>AB1166</f>
        <v>#VALUE!</v>
      </c>
      <c r="AC23" s="116" t="e">
        <f>AC1166</f>
        <v>#VALUE!</v>
      </c>
      <c r="AD23" s="116" t="e">
        <f t="shared" si="1"/>
        <v>#VALUE!</v>
      </c>
      <c r="AE23" s="135" t="e">
        <f t="shared" si="2"/>
        <v>#VALUE!</v>
      </c>
      <c r="AF23" s="116" t="e">
        <f t="shared" si="3"/>
        <v>#VALUE!</v>
      </c>
      <c r="AG23" s="116" t="e">
        <f t="shared" si="4"/>
        <v>#VALUE!</v>
      </c>
      <c r="AH23" s="116"/>
      <c r="AI23" s="116"/>
      <c r="AJ23" s="116"/>
      <c r="AK23" s="116"/>
    </row>
    <row r="24" spans="1:37" hidden="1">
      <c r="A24" s="2" t="s">
        <v>871</v>
      </c>
      <c r="B24" s="2"/>
      <c r="C24" s="2"/>
      <c r="E24" s="116">
        <f>'[4]P+T+D+R+M'!H21</f>
        <v>52040814.812553838</v>
      </c>
      <c r="F24" s="116" t="e">
        <f>G1070</f>
        <v>#VALUE!</v>
      </c>
      <c r="G24" s="228" t="e">
        <f t="shared" si="0"/>
        <v>#VALUE!</v>
      </c>
      <c r="H24" s="116" t="e">
        <f>H1070</f>
        <v>#VALUE!</v>
      </c>
      <c r="I24" s="116" t="e">
        <f>I1070</f>
        <v>#VALUE!</v>
      </c>
      <c r="J24" s="116" t="e">
        <f>J1070</f>
        <v>#VALUE!</v>
      </c>
      <c r="K24" s="116" t="e">
        <f>K1070</f>
        <v>#VALUE!</v>
      </c>
      <c r="L24" s="116" t="e">
        <f>L1070</f>
        <v>#VALUE!</v>
      </c>
      <c r="O24" s="116" t="e">
        <f>O1070</f>
        <v>#VALUE!</v>
      </c>
      <c r="P24" s="116" t="e">
        <f>P1070</f>
        <v>#VALUE!</v>
      </c>
      <c r="Q24" s="116" t="e">
        <f>Q1070</f>
        <v>#VALUE!</v>
      </c>
      <c r="R24" s="116" t="e">
        <f>R1070</f>
        <v>#VALUE!</v>
      </c>
      <c r="S24" s="237"/>
      <c r="T24" s="116" t="e">
        <f>T1070</f>
        <v>#VALUE!</v>
      </c>
      <c r="U24" s="116" t="e">
        <f>U1070</f>
        <v>#VALUE!</v>
      </c>
      <c r="V24" s="116" t="e">
        <f>V1070</f>
        <v>#VALUE!</v>
      </c>
      <c r="W24" s="116" t="e">
        <f>W1070</f>
        <v>#VALUE!</v>
      </c>
      <c r="Y24" s="116" t="e">
        <f>Y1070</f>
        <v>#VALUE!</v>
      </c>
      <c r="Z24" s="116" t="e">
        <f>Z1070</f>
        <v>#VALUE!</v>
      </c>
      <c r="AA24" s="116" t="e">
        <f>AA1070</f>
        <v>#VALUE!</v>
      </c>
      <c r="AB24" s="116" t="e">
        <f>AB1070</f>
        <v>#VALUE!</v>
      </c>
      <c r="AC24" s="116" t="e">
        <f>AC1070</f>
        <v>#VALUE!</v>
      </c>
      <c r="AD24" s="116" t="e">
        <f t="shared" si="1"/>
        <v>#VALUE!</v>
      </c>
      <c r="AE24" s="135" t="e">
        <f t="shared" si="2"/>
        <v>#VALUE!</v>
      </c>
      <c r="AF24" s="116" t="e">
        <f t="shared" si="3"/>
        <v>#VALUE!</v>
      </c>
      <c r="AG24" s="116" t="e">
        <f t="shared" si="4"/>
        <v>#VALUE!</v>
      </c>
      <c r="AH24" s="116"/>
      <c r="AI24" s="116"/>
      <c r="AJ24" s="116"/>
      <c r="AK24" s="116"/>
    </row>
    <row r="25" spans="1:37" hidden="1">
      <c r="A25" s="2" t="s">
        <v>870</v>
      </c>
      <c r="B25" s="2"/>
      <c r="C25" s="2"/>
      <c r="E25" s="116">
        <f>'[4]P+T+D+R+M'!H22</f>
        <v>-1117293.7135367221</v>
      </c>
      <c r="F25" s="116" t="e">
        <f>G968</f>
        <v>#VALUE!</v>
      </c>
      <c r="G25" s="228" t="e">
        <f t="shared" si="0"/>
        <v>#VALUE!</v>
      </c>
      <c r="H25" s="116" t="e">
        <f>H968</f>
        <v>#VALUE!</v>
      </c>
      <c r="I25" s="116" t="e">
        <f>I968</f>
        <v>#VALUE!</v>
      </c>
      <c r="J25" s="116" t="e">
        <f>J968</f>
        <v>#VALUE!</v>
      </c>
      <c r="K25" s="116" t="e">
        <f>K968</f>
        <v>#VALUE!</v>
      </c>
      <c r="L25" s="116" t="e">
        <f>L968</f>
        <v>#VALUE!</v>
      </c>
      <c r="O25" s="116" t="e">
        <f>O968</f>
        <v>#VALUE!</v>
      </c>
      <c r="P25" s="116" t="e">
        <f>P968</f>
        <v>#VALUE!</v>
      </c>
      <c r="Q25" s="116" t="e">
        <f>Q968</f>
        <v>#VALUE!</v>
      </c>
      <c r="R25" s="116" t="e">
        <f>R968</f>
        <v>#VALUE!</v>
      </c>
      <c r="S25" s="237"/>
      <c r="T25" s="116" t="e">
        <f>T968</f>
        <v>#VALUE!</v>
      </c>
      <c r="U25" s="116" t="e">
        <f>U968</f>
        <v>#VALUE!</v>
      </c>
      <c r="V25" s="116" t="e">
        <f>V968</f>
        <v>#VALUE!</v>
      </c>
      <c r="W25" s="116" t="e">
        <f>W968</f>
        <v>#VALUE!</v>
      </c>
      <c r="Y25" s="116" t="e">
        <f>Y968</f>
        <v>#VALUE!</v>
      </c>
      <c r="Z25" s="116" t="e">
        <f>Z968</f>
        <v>#VALUE!</v>
      </c>
      <c r="AA25" s="116" t="e">
        <f>AA968</f>
        <v>#VALUE!</v>
      </c>
      <c r="AB25" s="116" t="e">
        <f>AB968</f>
        <v>#VALUE!</v>
      </c>
      <c r="AC25" s="116" t="e">
        <f>AC968</f>
        <v>#VALUE!</v>
      </c>
      <c r="AD25" s="116" t="e">
        <f t="shared" si="1"/>
        <v>#VALUE!</v>
      </c>
      <c r="AE25" s="135" t="e">
        <f t="shared" si="2"/>
        <v>#VALUE!</v>
      </c>
      <c r="AF25" s="116" t="e">
        <f t="shared" si="3"/>
        <v>#VALUE!</v>
      </c>
      <c r="AG25" s="116" t="e">
        <f t="shared" si="4"/>
        <v>#VALUE!</v>
      </c>
      <c r="AH25" s="116"/>
      <c r="AI25" s="116"/>
      <c r="AJ25" s="116"/>
      <c r="AK25" s="116"/>
    </row>
    <row r="26" spans="1:37" hidden="1">
      <c r="A26" s="2" t="s">
        <v>869</v>
      </c>
      <c r="B26" s="2"/>
      <c r="C26" s="2"/>
      <c r="E26" s="139">
        <f>'[4]P+T+D+R+M'!H23</f>
        <v>212019.94862787085</v>
      </c>
      <c r="F26" s="139" t="e">
        <f>G228</f>
        <v>#VALUE!</v>
      </c>
      <c r="G26" s="228" t="e">
        <f t="shared" si="0"/>
        <v>#VALUE!</v>
      </c>
      <c r="H26" s="139" t="e">
        <f>H228</f>
        <v>#VALUE!</v>
      </c>
      <c r="I26" s="139" t="e">
        <f>I228</f>
        <v>#VALUE!</v>
      </c>
      <c r="J26" s="139" t="e">
        <f>J228</f>
        <v>#VALUE!</v>
      </c>
      <c r="K26" s="139" t="e">
        <f>K228</f>
        <v>#VALUE!</v>
      </c>
      <c r="L26" s="139" t="e">
        <f>L228</f>
        <v>#VALUE!</v>
      </c>
      <c r="O26" s="116" t="e">
        <f>O228</f>
        <v>#VALUE!</v>
      </c>
      <c r="P26" s="116" t="e">
        <f>P228</f>
        <v>#VALUE!</v>
      </c>
      <c r="Q26" s="116" t="e">
        <f>Q228</f>
        <v>#VALUE!</v>
      </c>
      <c r="R26" s="116" t="e">
        <f>R228</f>
        <v>#VALUE!</v>
      </c>
      <c r="S26" s="237"/>
      <c r="T26" s="116" t="e">
        <f>T228</f>
        <v>#VALUE!</v>
      </c>
      <c r="U26" s="116" t="e">
        <f>U228</f>
        <v>#VALUE!</v>
      </c>
      <c r="V26" s="116" t="e">
        <f>V228</f>
        <v>#VALUE!</v>
      </c>
      <c r="W26" s="116" t="e">
        <f>W228</f>
        <v>#VALUE!</v>
      </c>
      <c r="Y26" s="116" t="e">
        <f>Y228</f>
        <v>#VALUE!</v>
      </c>
      <c r="Z26" s="116" t="e">
        <f>Z228</f>
        <v>#VALUE!</v>
      </c>
      <c r="AA26" s="116" t="e">
        <f>AA228</f>
        <v>#VALUE!</v>
      </c>
      <c r="AB26" s="116" t="e">
        <f>AB228</f>
        <v>#VALUE!</v>
      </c>
      <c r="AC26" s="116" t="e">
        <f>AC228</f>
        <v>#VALUE!</v>
      </c>
      <c r="AD26" s="116" t="e">
        <f t="shared" si="1"/>
        <v>#VALUE!</v>
      </c>
      <c r="AE26" s="135" t="e">
        <f t="shared" si="2"/>
        <v>#VALUE!</v>
      </c>
      <c r="AF26" s="116" t="e">
        <f t="shared" si="3"/>
        <v>#VALUE!</v>
      </c>
      <c r="AG26" s="116" t="e">
        <f t="shared" si="4"/>
        <v>#VALUE!</v>
      </c>
      <c r="AH26" s="116"/>
      <c r="AI26" s="116"/>
      <c r="AJ26" s="116"/>
      <c r="AK26" s="116"/>
    </row>
    <row r="27" spans="1:37" hidden="1">
      <c r="A27" s="2" t="s">
        <v>499</v>
      </c>
      <c r="B27" s="2"/>
      <c r="C27" s="2"/>
      <c r="E27" s="116">
        <f>SUM(E18:E26)</f>
        <v>1656844158.1944678</v>
      </c>
      <c r="F27" s="116" t="e">
        <f>SUM(F18:F26)</f>
        <v>#VALUE!</v>
      </c>
      <c r="G27" s="228" t="e">
        <f t="shared" si="0"/>
        <v>#VALUE!</v>
      </c>
      <c r="H27" s="116" t="e">
        <f>SUM(H18:H26)</f>
        <v>#VALUE!</v>
      </c>
      <c r="I27" s="116" t="e">
        <f>SUM(I18:I26)</f>
        <v>#VALUE!</v>
      </c>
      <c r="J27" s="116" t="e">
        <f>SUM(J18:J26)</f>
        <v>#VALUE!</v>
      </c>
      <c r="K27" s="116" t="e">
        <f>SUM(K18:K26)</f>
        <v>#VALUE!</v>
      </c>
      <c r="L27" s="116" t="e">
        <f>SUM(L18:L26)</f>
        <v>#VALUE!</v>
      </c>
      <c r="O27" s="116" t="e">
        <f>SUM(O18:O26)</f>
        <v>#VALUE!</v>
      </c>
      <c r="P27" s="116" t="e">
        <f>SUM(P18:P26)</f>
        <v>#VALUE!</v>
      </c>
      <c r="Q27" s="116" t="e">
        <f>SUM(Q18:Q26)</f>
        <v>#VALUE!</v>
      </c>
      <c r="R27" s="116" t="e">
        <f>SUM(R18:R26)</f>
        <v>#VALUE!</v>
      </c>
      <c r="S27" s="237"/>
      <c r="T27" s="116" t="e">
        <f>SUM(T18:T26)</f>
        <v>#VALUE!</v>
      </c>
      <c r="U27" s="116" t="e">
        <f>SUM(U18:U26)</f>
        <v>#VALUE!</v>
      </c>
      <c r="V27" s="116" t="e">
        <f>SUM(V18:V26)</f>
        <v>#VALUE!</v>
      </c>
      <c r="W27" s="116" t="e">
        <f>SUM(W18:W26)</f>
        <v>#VALUE!</v>
      </c>
      <c r="Y27" s="116" t="e">
        <f>SUM(Y18:Y26)</f>
        <v>#VALUE!</v>
      </c>
      <c r="Z27" s="116" t="e">
        <f>SUM(Z18:Z26)</f>
        <v>#VALUE!</v>
      </c>
      <c r="AA27" s="116" t="e">
        <f>SUM(AA18:AA26)</f>
        <v>#VALUE!</v>
      </c>
      <c r="AB27" s="116" t="e">
        <f>SUM(AB18:AB26)</f>
        <v>#VALUE!</v>
      </c>
      <c r="AC27" s="116" t="e">
        <f>SUM(AC18:AC26)</f>
        <v>#VALUE!</v>
      </c>
      <c r="AD27" s="116" t="e">
        <f t="shared" si="1"/>
        <v>#VALUE!</v>
      </c>
      <c r="AE27" s="135" t="e">
        <f t="shared" si="2"/>
        <v>#VALUE!</v>
      </c>
      <c r="AF27" s="116" t="e">
        <f t="shared" si="3"/>
        <v>#VALUE!</v>
      </c>
      <c r="AG27" s="116" t="e">
        <f t="shared" si="4"/>
        <v>#VALUE!</v>
      </c>
      <c r="AH27" s="116"/>
      <c r="AI27" s="116"/>
      <c r="AJ27" s="116"/>
      <c r="AK27" s="116"/>
    </row>
    <row r="28" spans="1:37" hidden="1">
      <c r="A28" s="2"/>
      <c r="B28" s="2"/>
      <c r="C28" s="2"/>
      <c r="G28" s="228"/>
      <c r="AE28" s="209"/>
      <c r="AF28" s="165"/>
      <c r="AG28" s="165"/>
      <c r="AH28" s="165"/>
      <c r="AI28" s="165"/>
      <c r="AJ28" s="165"/>
      <c r="AK28" s="165"/>
    </row>
    <row r="29" spans="1:37" ht="13.5" hidden="1" thickBot="1">
      <c r="A29" s="2" t="s">
        <v>868</v>
      </c>
      <c r="B29" s="2"/>
      <c r="C29" s="2"/>
      <c r="E29" s="154" t="e">
        <f>E15-E27</f>
        <v>#VALUE!</v>
      </c>
      <c r="F29" s="154" t="e">
        <f>F15-F27</f>
        <v>#VALUE!</v>
      </c>
      <c r="G29" s="228" t="e">
        <f>ROUND(E29-F29,0)</f>
        <v>#VALUE!</v>
      </c>
      <c r="H29" s="154" t="e">
        <f>H15-H27</f>
        <v>#VALUE!</v>
      </c>
      <c r="I29" s="154" t="e">
        <f>I15-I27</f>
        <v>#VALUE!</v>
      </c>
      <c r="J29" s="154" t="e">
        <f>J15-J27</f>
        <v>#VALUE!</v>
      </c>
      <c r="K29" s="154" t="e">
        <f>K15-K27</f>
        <v>#VALUE!</v>
      </c>
      <c r="L29" s="154" t="e">
        <f>L15-L27</f>
        <v>#VALUE!</v>
      </c>
      <c r="O29" s="116" t="e">
        <f>O15-O27</f>
        <v>#VALUE!</v>
      </c>
      <c r="P29" s="116" t="e">
        <f>P15-P27</f>
        <v>#VALUE!</v>
      </c>
      <c r="Q29" s="116" t="e">
        <f>Q15-Q27</f>
        <v>#VALUE!</v>
      </c>
      <c r="R29" s="116" t="e">
        <f>R15-R27</f>
        <v>#VALUE!</v>
      </c>
      <c r="S29" s="237"/>
      <c r="T29" s="116" t="e">
        <f>T15-T27</f>
        <v>#VALUE!</v>
      </c>
      <c r="U29" s="116" t="e">
        <f>U15-U27</f>
        <v>#VALUE!</v>
      </c>
      <c r="V29" s="116" t="e">
        <f>V15-V27</f>
        <v>#VALUE!</v>
      </c>
      <c r="W29" s="116" t="e">
        <f>W15-W27</f>
        <v>#VALUE!</v>
      </c>
      <c r="Y29" s="116" t="e">
        <f>Y15-Y27</f>
        <v>#VALUE!</v>
      </c>
      <c r="Z29" s="116" t="e">
        <f>Z15-Z27</f>
        <v>#VALUE!</v>
      </c>
      <c r="AA29" s="116" t="e">
        <f>AA15-AA27</f>
        <v>#VALUE!</v>
      </c>
      <c r="AB29" s="116" t="e">
        <f>AB15-AB27</f>
        <v>#VALUE!</v>
      </c>
      <c r="AC29" s="116" t="e">
        <f>AC15-AC27</f>
        <v>#VALUE!</v>
      </c>
      <c r="AD29" s="116" t="e">
        <f>ROUND(SUM(-F29,H29:L29),0)</f>
        <v>#VALUE!</v>
      </c>
      <c r="AE29" s="135" t="e">
        <f>ROUND(H29-O29-P29-Q29-R29,0)</f>
        <v>#VALUE!</v>
      </c>
      <c r="AF29" s="116" t="e">
        <f>ROUND(I29-T29-U29-V29-W29,0)</f>
        <v>#VALUE!</v>
      </c>
      <c r="AG29" s="116" t="e">
        <f>ROUND(J29-Y29-Z29-AA29-AC29-AB29,0)</f>
        <v>#VALUE!</v>
      </c>
      <c r="AH29" s="116"/>
      <c r="AI29" s="116"/>
      <c r="AJ29" s="116"/>
      <c r="AK29" s="116"/>
    </row>
    <row r="30" spans="1:37" hidden="1">
      <c r="A30" s="2"/>
      <c r="B30" s="2"/>
      <c r="C30" s="2"/>
      <c r="G30" s="238"/>
      <c r="AE30" s="209"/>
      <c r="AF30" s="165"/>
      <c r="AG30" s="165"/>
      <c r="AH30" s="165"/>
      <c r="AI30" s="165"/>
      <c r="AJ30" s="165"/>
      <c r="AK30" s="165"/>
    </row>
    <row r="31" spans="1:37" hidden="1">
      <c r="A31" s="2"/>
      <c r="B31" s="2"/>
      <c r="C31" s="2"/>
      <c r="G31" s="238"/>
      <c r="H31" s="233"/>
      <c r="I31" s="233"/>
      <c r="J31" s="233"/>
      <c r="K31" s="233"/>
      <c r="L31" s="233"/>
      <c r="AE31" s="209"/>
      <c r="AF31" s="165"/>
      <c r="AG31" s="165"/>
      <c r="AH31" s="165"/>
      <c r="AI31" s="165"/>
      <c r="AJ31" s="165"/>
      <c r="AK31" s="165"/>
    </row>
    <row r="32" spans="1:37" hidden="1">
      <c r="A32" s="240" t="s">
        <v>867</v>
      </c>
      <c r="B32" s="240"/>
      <c r="C32" s="2"/>
      <c r="G32" s="238"/>
      <c r="AE32" s="209"/>
      <c r="AF32" s="165"/>
      <c r="AG32" s="165"/>
      <c r="AH32" s="165"/>
      <c r="AI32" s="165"/>
      <c r="AJ32" s="165"/>
      <c r="AK32" s="165"/>
    </row>
    <row r="33" spans="1:37" hidden="1">
      <c r="A33" s="2" t="s">
        <v>866</v>
      </c>
      <c r="B33" s="2"/>
      <c r="C33" s="2"/>
      <c r="E33" s="116" t="e">
        <f>'[4]P+T+D+R+M'!H31</f>
        <v>#DIV/0!</v>
      </c>
      <c r="F33" s="116" t="e">
        <f>G1711</f>
        <v>#VALUE!</v>
      </c>
      <c r="G33" s="228" t="e">
        <f t="shared" ref="G33:G44" si="5">ROUND(E33-F33,0)</f>
        <v>#DIV/0!</v>
      </c>
      <c r="H33" s="116" t="e">
        <f>H1711</f>
        <v>#VALUE!</v>
      </c>
      <c r="I33" s="116" t="e">
        <f>I1711</f>
        <v>#VALUE!</v>
      </c>
      <c r="J33" s="116" t="e">
        <f>J1711</f>
        <v>#VALUE!</v>
      </c>
      <c r="K33" s="116" t="e">
        <f>K1711</f>
        <v>#VALUE!</v>
      </c>
      <c r="L33" s="116" t="e">
        <f>L1711</f>
        <v>#VALUE!</v>
      </c>
      <c r="O33" s="116" t="e">
        <f>O1711</f>
        <v>#VALUE!</v>
      </c>
      <c r="P33" s="116" t="e">
        <f>P1711</f>
        <v>#VALUE!</v>
      </c>
      <c r="Q33" s="116" t="e">
        <f>Q1711</f>
        <v>#VALUE!</v>
      </c>
      <c r="R33" s="116" t="e">
        <f>R1711</f>
        <v>#VALUE!</v>
      </c>
      <c r="S33" s="237"/>
      <c r="T33" s="116" t="e">
        <f>T1711</f>
        <v>#VALUE!</v>
      </c>
      <c r="U33" s="116" t="e">
        <f>U1711</f>
        <v>#VALUE!</v>
      </c>
      <c r="V33" s="116" t="e">
        <f>V1711</f>
        <v>#VALUE!</v>
      </c>
      <c r="W33" s="116" t="e">
        <f>W1711</f>
        <v>#VALUE!</v>
      </c>
      <c r="Y33" s="116" t="e">
        <f>Y1711</f>
        <v>#VALUE!</v>
      </c>
      <c r="Z33" s="116" t="e">
        <f>Z1711</f>
        <v>#VALUE!</v>
      </c>
      <c r="AA33" s="116" t="e">
        <f>AA1711</f>
        <v>#VALUE!</v>
      </c>
      <c r="AB33" s="116" t="e">
        <f>AB1711</f>
        <v>#VALUE!</v>
      </c>
      <c r="AC33" s="116" t="e">
        <f>AC1711</f>
        <v>#VALUE!</v>
      </c>
      <c r="AD33" s="116" t="e">
        <f t="shared" ref="AD33:AD44" si="6">ROUND(SUM(-F33,H33:L33),0)</f>
        <v>#VALUE!</v>
      </c>
      <c r="AE33" s="135" t="e">
        <f t="shared" ref="AE33:AE44" si="7">ROUND(H33-O33-P33-Q33-R33,0)</f>
        <v>#VALUE!</v>
      </c>
      <c r="AF33" s="116" t="e">
        <f t="shared" ref="AF33:AF44" si="8">ROUND(I33-T33-U33-V33-W33,0)</f>
        <v>#VALUE!</v>
      </c>
      <c r="AG33" s="116" t="e">
        <f t="shared" ref="AG33:AG44" si="9">ROUND(J33-Y33-Z33-AA33-AC33-AB33,0)</f>
        <v>#VALUE!</v>
      </c>
      <c r="AH33" s="116"/>
      <c r="AI33" s="116"/>
      <c r="AJ33" s="116"/>
      <c r="AK33" s="116"/>
    </row>
    <row r="34" spans="1:37" hidden="1">
      <c r="A34" s="2" t="s">
        <v>865</v>
      </c>
      <c r="B34" s="2"/>
      <c r="C34" s="2"/>
      <c r="E34" s="116">
        <f>'[4]P+T+D+R+M'!H32</f>
        <v>6357563.9663493531</v>
      </c>
      <c r="F34" s="116" t="e">
        <f>G1720</f>
        <v>#VALUE!</v>
      </c>
      <c r="G34" s="228" t="e">
        <f t="shared" si="5"/>
        <v>#VALUE!</v>
      </c>
      <c r="H34" s="116" t="e">
        <f>H1720</f>
        <v>#VALUE!</v>
      </c>
      <c r="I34" s="116" t="e">
        <f>I1720</f>
        <v>#VALUE!</v>
      </c>
      <c r="J34" s="116" t="e">
        <f>J1720</f>
        <v>#VALUE!</v>
      </c>
      <c r="K34" s="116" t="e">
        <f>K1720</f>
        <v>#VALUE!</v>
      </c>
      <c r="L34" s="116" t="e">
        <f>L1720</f>
        <v>#VALUE!</v>
      </c>
      <c r="O34" s="116" t="e">
        <f>O1720</f>
        <v>#VALUE!</v>
      </c>
      <c r="P34" s="116" t="e">
        <f>P1720</f>
        <v>#VALUE!</v>
      </c>
      <c r="Q34" s="116" t="e">
        <f>Q1720</f>
        <v>#VALUE!</v>
      </c>
      <c r="R34" s="116" t="e">
        <f>R1720</f>
        <v>#VALUE!</v>
      </c>
      <c r="S34" s="237"/>
      <c r="T34" s="116" t="e">
        <f>T1720</f>
        <v>#VALUE!</v>
      </c>
      <c r="U34" s="116" t="e">
        <f>U1720</f>
        <v>#VALUE!</v>
      </c>
      <c r="V34" s="116" t="e">
        <f>V1720</f>
        <v>#VALUE!</v>
      </c>
      <c r="W34" s="116" t="e">
        <f>W1720</f>
        <v>#VALUE!</v>
      </c>
      <c r="Y34" s="116" t="e">
        <f>Y1720</f>
        <v>#VALUE!</v>
      </c>
      <c r="Z34" s="116" t="e">
        <f>Z1720</f>
        <v>#VALUE!</v>
      </c>
      <c r="AA34" s="116" t="e">
        <f>AA1720</f>
        <v>#VALUE!</v>
      </c>
      <c r="AB34" s="116" t="e">
        <f>AB1720</f>
        <v>#VALUE!</v>
      </c>
      <c r="AC34" s="116" t="e">
        <f>AC1720</f>
        <v>#VALUE!</v>
      </c>
      <c r="AD34" s="116" t="e">
        <f t="shared" si="6"/>
        <v>#VALUE!</v>
      </c>
      <c r="AE34" s="135" t="e">
        <f t="shared" si="7"/>
        <v>#VALUE!</v>
      </c>
      <c r="AF34" s="116" t="e">
        <f t="shared" si="8"/>
        <v>#VALUE!</v>
      </c>
      <c r="AG34" s="116" t="e">
        <f t="shared" si="9"/>
        <v>#VALUE!</v>
      </c>
      <c r="AH34" s="116"/>
      <c r="AI34" s="116"/>
      <c r="AJ34" s="116"/>
      <c r="AK34" s="116"/>
    </row>
    <row r="35" spans="1:37" hidden="1">
      <c r="A35" s="2" t="s">
        <v>864</v>
      </c>
      <c r="B35" s="2"/>
      <c r="C35" s="2"/>
      <c r="E35" s="116">
        <f>'[4]P+T+D+R+M'!H38</f>
        <v>259347662.0860596</v>
      </c>
      <c r="F35" s="116" t="e">
        <f>G1827+G1838</f>
        <v>#VALUE!</v>
      </c>
      <c r="G35" s="228" t="e">
        <f t="shared" si="5"/>
        <v>#VALUE!</v>
      </c>
      <c r="H35" s="116" t="e">
        <f>H1827+H1838</f>
        <v>#VALUE!</v>
      </c>
      <c r="I35" s="116" t="e">
        <f>I1827+I1838</f>
        <v>#VALUE!</v>
      </c>
      <c r="J35" s="116" t="e">
        <f>J1827+J1838</f>
        <v>#VALUE!</v>
      </c>
      <c r="K35" s="116" t="e">
        <f>K1827+K1838</f>
        <v>#VALUE!</v>
      </c>
      <c r="L35" s="116" t="e">
        <f>L1827+L1838</f>
        <v>#VALUE!</v>
      </c>
      <c r="O35" s="116" t="e">
        <f>O1827+O1838</f>
        <v>#VALUE!</v>
      </c>
      <c r="P35" s="116" t="e">
        <f>P1827+P1838</f>
        <v>#VALUE!</v>
      </c>
      <c r="Q35" s="116" t="e">
        <f>Q1827+Q1838</f>
        <v>#VALUE!</v>
      </c>
      <c r="R35" s="116" t="e">
        <f>R1827+R1838</f>
        <v>#VALUE!</v>
      </c>
      <c r="S35" s="237"/>
      <c r="T35" s="116" t="e">
        <f>T1827+T1838</f>
        <v>#VALUE!</v>
      </c>
      <c r="U35" s="116" t="e">
        <f>U1827+U1838</f>
        <v>#VALUE!</v>
      </c>
      <c r="V35" s="116" t="e">
        <f>V1827+V1838</f>
        <v>#VALUE!</v>
      </c>
      <c r="W35" s="116" t="e">
        <f>W1827+W1838</f>
        <v>#VALUE!</v>
      </c>
      <c r="Y35" s="116" t="e">
        <f>Y1827+Y1838</f>
        <v>#VALUE!</v>
      </c>
      <c r="Z35" s="116" t="e">
        <f>Z1827+Z1838</f>
        <v>#VALUE!</v>
      </c>
      <c r="AA35" s="116" t="e">
        <f>AA1827+AA1838</f>
        <v>#VALUE!</v>
      </c>
      <c r="AB35" s="116" t="e">
        <f>AB1827+AB1838</f>
        <v>#VALUE!</v>
      </c>
      <c r="AC35" s="116" t="e">
        <f>AC1827+AC1838</f>
        <v>#VALUE!</v>
      </c>
      <c r="AD35" s="116" t="e">
        <f t="shared" si="6"/>
        <v>#VALUE!</v>
      </c>
      <c r="AE35" s="135" t="e">
        <f t="shared" si="7"/>
        <v>#VALUE!</v>
      </c>
      <c r="AF35" s="116" t="e">
        <f t="shared" si="8"/>
        <v>#VALUE!</v>
      </c>
      <c r="AG35" s="116" t="e">
        <f t="shared" si="9"/>
        <v>#VALUE!</v>
      </c>
      <c r="AH35" s="116"/>
      <c r="AI35" s="116"/>
      <c r="AJ35" s="116"/>
      <c r="AK35" s="116"/>
    </row>
    <row r="36" spans="1:37" hidden="1">
      <c r="A36" s="2" t="s">
        <v>863</v>
      </c>
      <c r="B36" s="2"/>
      <c r="C36" s="2"/>
      <c r="E36" s="116">
        <f>'[4]P+T+D+R+M'!H33</f>
        <v>12824731.739600342</v>
      </c>
      <c r="F36" s="116" t="e">
        <f>G1726+G1732</f>
        <v>#VALUE!</v>
      </c>
      <c r="G36" s="228" t="e">
        <f t="shared" si="5"/>
        <v>#VALUE!</v>
      </c>
      <c r="H36" s="116" t="e">
        <f>H1726+H1732</f>
        <v>#VALUE!</v>
      </c>
      <c r="I36" s="116" t="e">
        <f>I1726+I1732</f>
        <v>#VALUE!</v>
      </c>
      <c r="J36" s="116" t="e">
        <f>J1726+J1732</f>
        <v>#VALUE!</v>
      </c>
      <c r="K36" s="116" t="e">
        <f>K1726+K1732</f>
        <v>#VALUE!</v>
      </c>
      <c r="L36" s="116" t="e">
        <f>L1726+L1732</f>
        <v>#VALUE!</v>
      </c>
      <c r="O36" s="116" t="e">
        <f>O1726+O1732</f>
        <v>#VALUE!</v>
      </c>
      <c r="P36" s="116" t="e">
        <f>P1726+P1732</f>
        <v>#VALUE!</v>
      </c>
      <c r="Q36" s="116" t="e">
        <f>Q1726+Q1732</f>
        <v>#VALUE!</v>
      </c>
      <c r="R36" s="116" t="e">
        <f>R1726+R1732</f>
        <v>#VALUE!</v>
      </c>
      <c r="S36" s="237"/>
      <c r="T36" s="116" t="e">
        <f>T1726+T1732</f>
        <v>#VALUE!</v>
      </c>
      <c r="U36" s="116" t="e">
        <f>U1726+U1732</f>
        <v>#VALUE!</v>
      </c>
      <c r="V36" s="116" t="e">
        <f>V1726+V1732</f>
        <v>#VALUE!</v>
      </c>
      <c r="W36" s="116" t="e">
        <f>W1726+W1732</f>
        <v>#VALUE!</v>
      </c>
      <c r="Y36" s="116" t="e">
        <f>Y1726+Y1732</f>
        <v>#VALUE!</v>
      </c>
      <c r="Z36" s="116" t="e">
        <f>Z1726+Z1732</f>
        <v>#VALUE!</v>
      </c>
      <c r="AA36" s="116" t="e">
        <f>AA1726+AA1732</f>
        <v>#VALUE!</v>
      </c>
      <c r="AB36" s="116" t="e">
        <f>AB1726+AB1732</f>
        <v>#VALUE!</v>
      </c>
      <c r="AC36" s="116" t="e">
        <f>AC1726+AC1732</f>
        <v>#VALUE!</v>
      </c>
      <c r="AD36" s="116" t="e">
        <f t="shared" si="6"/>
        <v>#VALUE!</v>
      </c>
      <c r="AE36" s="135" t="e">
        <f t="shared" si="7"/>
        <v>#VALUE!</v>
      </c>
      <c r="AF36" s="116" t="e">
        <f t="shared" si="8"/>
        <v>#VALUE!</v>
      </c>
      <c r="AG36" s="116" t="e">
        <f t="shared" si="9"/>
        <v>#VALUE!</v>
      </c>
      <c r="AH36" s="116"/>
      <c r="AI36" s="116"/>
      <c r="AJ36" s="116"/>
      <c r="AK36" s="116"/>
    </row>
    <row r="37" spans="1:37" hidden="1">
      <c r="A37" s="2" t="s">
        <v>862</v>
      </c>
      <c r="B37" s="2"/>
      <c r="C37" s="2"/>
      <c r="E37" s="116">
        <f>'[4]P+T+D+R+M'!H34</f>
        <v>15224593.470853345</v>
      </c>
      <c r="F37" s="116" t="e">
        <f>G1734</f>
        <v>#VALUE!</v>
      </c>
      <c r="G37" s="228" t="e">
        <f t="shared" si="5"/>
        <v>#VALUE!</v>
      </c>
      <c r="H37" s="116" t="e">
        <f>H1734</f>
        <v>#VALUE!</v>
      </c>
      <c r="I37" s="116" t="e">
        <f>I1734</f>
        <v>#VALUE!</v>
      </c>
      <c r="J37" s="116" t="e">
        <f>J1734</f>
        <v>#VALUE!</v>
      </c>
      <c r="K37" s="116" t="e">
        <f>K1734</f>
        <v>#VALUE!</v>
      </c>
      <c r="L37" s="116" t="e">
        <f>L1734</f>
        <v>#VALUE!</v>
      </c>
      <c r="O37" s="116" t="e">
        <f>O1734</f>
        <v>#VALUE!</v>
      </c>
      <c r="P37" s="116" t="e">
        <f>P1734</f>
        <v>#VALUE!</v>
      </c>
      <c r="Q37" s="116" t="e">
        <f>Q1734</f>
        <v>#VALUE!</v>
      </c>
      <c r="R37" s="116" t="e">
        <f>R1734</f>
        <v>#VALUE!</v>
      </c>
      <c r="S37" s="237"/>
      <c r="T37" s="116" t="e">
        <f>T1734</f>
        <v>#VALUE!</v>
      </c>
      <c r="U37" s="116" t="e">
        <f>U1734</f>
        <v>#VALUE!</v>
      </c>
      <c r="V37" s="116" t="e">
        <f>V1734</f>
        <v>#VALUE!</v>
      </c>
      <c r="W37" s="116" t="e">
        <f>W1734</f>
        <v>#VALUE!</v>
      </c>
      <c r="Y37" s="116" t="e">
        <f>Y1734</f>
        <v>#VALUE!</v>
      </c>
      <c r="Z37" s="116" t="e">
        <f>Z1734</f>
        <v>#VALUE!</v>
      </c>
      <c r="AA37" s="116" t="e">
        <f>AA1734</f>
        <v>#VALUE!</v>
      </c>
      <c r="AB37" s="116" t="e">
        <f>AB1734</f>
        <v>#VALUE!</v>
      </c>
      <c r="AC37" s="116" t="e">
        <f>AC1734</f>
        <v>#VALUE!</v>
      </c>
      <c r="AD37" s="116" t="e">
        <f t="shared" si="6"/>
        <v>#VALUE!</v>
      </c>
      <c r="AE37" s="135" t="e">
        <f t="shared" si="7"/>
        <v>#VALUE!</v>
      </c>
      <c r="AF37" s="116" t="e">
        <f t="shared" si="8"/>
        <v>#VALUE!</v>
      </c>
      <c r="AG37" s="116" t="e">
        <f t="shared" si="9"/>
        <v>#VALUE!</v>
      </c>
      <c r="AH37" s="116"/>
      <c r="AI37" s="116"/>
      <c r="AJ37" s="116"/>
      <c r="AK37" s="116"/>
    </row>
    <row r="38" spans="1:37" hidden="1">
      <c r="A38" s="2" t="s">
        <v>861</v>
      </c>
      <c r="B38" s="2"/>
      <c r="C38" s="2"/>
      <c r="E38" s="116">
        <f>'[4]P+T+D+R+M'!H35</f>
        <v>16466050.790897198</v>
      </c>
      <c r="F38" s="116" t="e">
        <f>G1817</f>
        <v>#VALUE!</v>
      </c>
      <c r="G38" s="228" t="e">
        <f t="shared" si="5"/>
        <v>#VALUE!</v>
      </c>
      <c r="H38" s="116" t="e">
        <f>H1817</f>
        <v>#VALUE!</v>
      </c>
      <c r="I38" s="116" t="e">
        <f>I1817</f>
        <v>#VALUE!</v>
      </c>
      <c r="J38" s="116" t="e">
        <f>J1817</f>
        <v>#VALUE!</v>
      </c>
      <c r="K38" s="116" t="e">
        <f>K1817</f>
        <v>#VALUE!</v>
      </c>
      <c r="L38" s="116" t="e">
        <f>L1817</f>
        <v>#VALUE!</v>
      </c>
      <c r="O38" s="116" t="e">
        <f>O1817</f>
        <v>#VALUE!</v>
      </c>
      <c r="P38" s="116" t="e">
        <f>P1817</f>
        <v>#VALUE!</v>
      </c>
      <c r="Q38" s="116" t="e">
        <f>Q1817</f>
        <v>#VALUE!</v>
      </c>
      <c r="R38" s="116" t="e">
        <f>R1817</f>
        <v>#VALUE!</v>
      </c>
      <c r="S38" s="237"/>
      <c r="T38" s="116" t="e">
        <f>T1817</f>
        <v>#VALUE!</v>
      </c>
      <c r="U38" s="116" t="e">
        <f>U1817</f>
        <v>#VALUE!</v>
      </c>
      <c r="V38" s="116" t="e">
        <f>V1817</f>
        <v>#VALUE!</v>
      </c>
      <c r="W38" s="116" t="e">
        <f>W1817</f>
        <v>#VALUE!</v>
      </c>
      <c r="Y38" s="116" t="e">
        <f>Y1817</f>
        <v>#VALUE!</v>
      </c>
      <c r="Z38" s="116" t="e">
        <f>Z1817</f>
        <v>#VALUE!</v>
      </c>
      <c r="AA38" s="116" t="e">
        <f>AA1817</f>
        <v>#VALUE!</v>
      </c>
      <c r="AB38" s="116" t="e">
        <f>AB1817</f>
        <v>#VALUE!</v>
      </c>
      <c r="AC38" s="116" t="e">
        <f>AC1817</f>
        <v>#VALUE!</v>
      </c>
      <c r="AD38" s="116" t="e">
        <f t="shared" si="6"/>
        <v>#VALUE!</v>
      </c>
      <c r="AE38" s="135" t="e">
        <f t="shared" si="7"/>
        <v>#VALUE!</v>
      </c>
      <c r="AF38" s="116" t="e">
        <f t="shared" si="8"/>
        <v>#VALUE!</v>
      </c>
      <c r="AG38" s="116" t="e">
        <f t="shared" si="9"/>
        <v>#VALUE!</v>
      </c>
      <c r="AH38" s="116"/>
      <c r="AI38" s="116"/>
      <c r="AJ38" s="116"/>
      <c r="AK38" s="116"/>
    </row>
    <row r="39" spans="1:37" hidden="1">
      <c r="A39" s="2" t="s">
        <v>860</v>
      </c>
      <c r="B39" s="2"/>
      <c r="C39" s="2"/>
      <c r="E39" s="116">
        <f>'[4]P+T+D+R+M'!H36</f>
        <v>74344484.222343683</v>
      </c>
      <c r="F39" s="116" t="e">
        <f>G1781</f>
        <v>#VALUE!</v>
      </c>
      <c r="G39" s="228" t="e">
        <f t="shared" si="5"/>
        <v>#VALUE!</v>
      </c>
      <c r="H39" s="116" t="e">
        <f>H1781</f>
        <v>#VALUE!</v>
      </c>
      <c r="I39" s="116" t="e">
        <f>I1781</f>
        <v>#VALUE!</v>
      </c>
      <c r="J39" s="116" t="e">
        <f>J1781</f>
        <v>#VALUE!</v>
      </c>
      <c r="K39" s="116" t="e">
        <f>K1781</f>
        <v>#VALUE!</v>
      </c>
      <c r="L39" s="116" t="e">
        <f>L1781</f>
        <v>#VALUE!</v>
      </c>
      <c r="O39" s="116" t="e">
        <f>O1781</f>
        <v>#VALUE!</v>
      </c>
      <c r="P39" s="116" t="e">
        <f>P1781</f>
        <v>#VALUE!</v>
      </c>
      <c r="Q39" s="116" t="e">
        <f>Q1781</f>
        <v>#VALUE!</v>
      </c>
      <c r="R39" s="116" t="e">
        <f>R1781</f>
        <v>#VALUE!</v>
      </c>
      <c r="S39" s="237"/>
      <c r="T39" s="116" t="e">
        <f>T1781</f>
        <v>#VALUE!</v>
      </c>
      <c r="U39" s="116" t="e">
        <f>U1781</f>
        <v>#VALUE!</v>
      </c>
      <c r="V39" s="116" t="e">
        <f>V1781</f>
        <v>#VALUE!</v>
      </c>
      <c r="W39" s="116" t="e">
        <f>W1781</f>
        <v>#VALUE!</v>
      </c>
      <c r="Y39" s="116" t="e">
        <f>Y1781</f>
        <v>#VALUE!</v>
      </c>
      <c r="Z39" s="116" t="e">
        <f>Z1781</f>
        <v>#VALUE!</v>
      </c>
      <c r="AA39" s="116" t="e">
        <f>AA1781</f>
        <v>#VALUE!</v>
      </c>
      <c r="AB39" s="116" t="e">
        <f>AB1781</f>
        <v>#VALUE!</v>
      </c>
      <c r="AC39" s="116" t="e">
        <f>AC1781</f>
        <v>#VALUE!</v>
      </c>
      <c r="AD39" s="116" t="e">
        <f t="shared" si="6"/>
        <v>#VALUE!</v>
      </c>
      <c r="AE39" s="135" t="e">
        <f t="shared" si="7"/>
        <v>#VALUE!</v>
      </c>
      <c r="AF39" s="116" t="e">
        <f t="shared" si="8"/>
        <v>#VALUE!</v>
      </c>
      <c r="AG39" s="116" t="e">
        <f t="shared" si="9"/>
        <v>#VALUE!</v>
      </c>
      <c r="AH39" s="116"/>
      <c r="AI39" s="116"/>
      <c r="AJ39" s="116"/>
      <c r="AK39" s="116"/>
    </row>
    <row r="40" spans="1:37" hidden="1">
      <c r="A40" s="2" t="s">
        <v>859</v>
      </c>
      <c r="B40" s="2"/>
      <c r="C40" s="2"/>
      <c r="E40" s="116">
        <f>'[4]P+T+D+R+M'!H37</f>
        <v>101311137.83847035</v>
      </c>
      <c r="F40" s="116" t="e">
        <f>G1809</f>
        <v>#VALUE!</v>
      </c>
      <c r="G40" s="228" t="e">
        <f t="shared" si="5"/>
        <v>#VALUE!</v>
      </c>
      <c r="H40" s="116" t="e">
        <f>H1809</f>
        <v>#VALUE!</v>
      </c>
      <c r="I40" s="116" t="e">
        <f>I1809</f>
        <v>#VALUE!</v>
      </c>
      <c r="J40" s="116" t="e">
        <f>J1809</f>
        <v>#VALUE!</v>
      </c>
      <c r="K40" s="116" t="e">
        <f>K1809</f>
        <v>#VALUE!</v>
      </c>
      <c r="L40" s="116" t="e">
        <f>L1809</f>
        <v>#VALUE!</v>
      </c>
      <c r="O40" s="116" t="e">
        <f>O1809</f>
        <v>#VALUE!</v>
      </c>
      <c r="P40" s="116" t="e">
        <f>P1809</f>
        <v>#VALUE!</v>
      </c>
      <c r="Q40" s="116" t="e">
        <f>Q1809</f>
        <v>#VALUE!</v>
      </c>
      <c r="R40" s="116" t="e">
        <f>R1809</f>
        <v>#VALUE!</v>
      </c>
      <c r="S40" s="237"/>
      <c r="T40" s="116" t="e">
        <f>T1809</f>
        <v>#VALUE!</v>
      </c>
      <c r="U40" s="116" t="e">
        <f>U1809</f>
        <v>#VALUE!</v>
      </c>
      <c r="V40" s="116" t="e">
        <f>V1809</f>
        <v>#VALUE!</v>
      </c>
      <c r="W40" s="116" t="e">
        <f>W1809</f>
        <v>#VALUE!</v>
      </c>
      <c r="Y40" s="116" t="e">
        <f>Y1809</f>
        <v>#VALUE!</v>
      </c>
      <c r="Z40" s="116" t="e">
        <f>Z1809</f>
        <v>#VALUE!</v>
      </c>
      <c r="AA40" s="116" t="e">
        <f>AA1809</f>
        <v>#VALUE!</v>
      </c>
      <c r="AB40" s="116" t="e">
        <f>AB1809</f>
        <v>#VALUE!</v>
      </c>
      <c r="AC40" s="116" t="e">
        <f>AC1809</f>
        <v>#VALUE!</v>
      </c>
      <c r="AD40" s="116" t="e">
        <f t="shared" si="6"/>
        <v>#VALUE!</v>
      </c>
      <c r="AE40" s="135" t="e">
        <f t="shared" si="7"/>
        <v>#VALUE!</v>
      </c>
      <c r="AF40" s="116" t="e">
        <f t="shared" si="8"/>
        <v>#VALUE!</v>
      </c>
      <c r="AG40" s="116" t="e">
        <f t="shared" si="9"/>
        <v>#VALUE!</v>
      </c>
      <c r="AH40" s="116"/>
      <c r="AI40" s="116"/>
      <c r="AJ40" s="116"/>
      <c r="AK40" s="116"/>
    </row>
    <row r="41" spans="1:37" hidden="1">
      <c r="A41" s="2" t="s">
        <v>858</v>
      </c>
      <c r="B41" s="2"/>
      <c r="C41" s="2"/>
      <c r="E41" s="116">
        <f>'[4]P+T+D+R+M'!H39</f>
        <v>21850515.965180311</v>
      </c>
      <c r="F41" s="116" t="e">
        <f>G1859</f>
        <v>#VALUE!</v>
      </c>
      <c r="G41" s="228" t="e">
        <f t="shared" si="5"/>
        <v>#VALUE!</v>
      </c>
      <c r="H41" s="116" t="e">
        <f>H1859</f>
        <v>#VALUE!</v>
      </c>
      <c r="I41" s="116" t="e">
        <f>I1859</f>
        <v>#VALUE!</v>
      </c>
      <c r="J41" s="116" t="e">
        <f>J1859</f>
        <v>#VALUE!</v>
      </c>
      <c r="K41" s="116" t="e">
        <f>K1859</f>
        <v>#VALUE!</v>
      </c>
      <c r="L41" s="116" t="e">
        <f>L1859</f>
        <v>#VALUE!</v>
      </c>
      <c r="O41" s="116" t="e">
        <f>O1859</f>
        <v>#VALUE!</v>
      </c>
      <c r="P41" s="116" t="e">
        <f>P1859</f>
        <v>#VALUE!</v>
      </c>
      <c r="Q41" s="116" t="e">
        <f>Q1859</f>
        <v>#VALUE!</v>
      </c>
      <c r="R41" s="116" t="e">
        <f>R1859</f>
        <v>#VALUE!</v>
      </c>
      <c r="S41" s="237"/>
      <c r="T41" s="116" t="e">
        <f>T1859</f>
        <v>#VALUE!</v>
      </c>
      <c r="U41" s="116" t="e">
        <f>U1859</f>
        <v>#VALUE!</v>
      </c>
      <c r="V41" s="116" t="e">
        <f>V1859</f>
        <v>#VALUE!</v>
      </c>
      <c r="W41" s="116" t="e">
        <f>W1859</f>
        <v>#VALUE!</v>
      </c>
      <c r="Y41" s="116" t="e">
        <f>Y1859</f>
        <v>#VALUE!</v>
      </c>
      <c r="Z41" s="116" t="e">
        <f>Z1859</f>
        <v>#VALUE!</v>
      </c>
      <c r="AA41" s="116" t="e">
        <f>AA1859</f>
        <v>#VALUE!</v>
      </c>
      <c r="AB41" s="116" t="e">
        <f>AB1859</f>
        <v>#VALUE!</v>
      </c>
      <c r="AC41" s="116" t="e">
        <f>AC1859</f>
        <v>#VALUE!</v>
      </c>
      <c r="AD41" s="116" t="e">
        <f t="shared" si="6"/>
        <v>#VALUE!</v>
      </c>
      <c r="AE41" s="135" t="e">
        <f t="shared" si="7"/>
        <v>#VALUE!</v>
      </c>
      <c r="AF41" s="116" t="e">
        <f t="shared" si="8"/>
        <v>#VALUE!</v>
      </c>
      <c r="AG41" s="116" t="e">
        <f t="shared" si="9"/>
        <v>#VALUE!</v>
      </c>
      <c r="AH41" s="116"/>
      <c r="AI41" s="116"/>
      <c r="AJ41" s="116"/>
      <c r="AK41" s="116"/>
    </row>
    <row r="42" spans="1:37" hidden="1">
      <c r="A42" s="2" t="s">
        <v>857</v>
      </c>
      <c r="B42" s="2"/>
      <c r="C42" s="2"/>
      <c r="E42" s="116">
        <f>'[4]P+T+D+R+M'!H40</f>
        <v>-0.52870369694276398</v>
      </c>
      <c r="F42" s="116" t="e">
        <f>G1757</f>
        <v>#VALUE!</v>
      </c>
      <c r="G42" s="228" t="e">
        <f t="shared" si="5"/>
        <v>#VALUE!</v>
      </c>
      <c r="H42" s="116" t="e">
        <f>H1757</f>
        <v>#VALUE!</v>
      </c>
      <c r="I42" s="116" t="e">
        <f>I1757</f>
        <v>#VALUE!</v>
      </c>
      <c r="J42" s="116" t="e">
        <f>J1757</f>
        <v>#VALUE!</v>
      </c>
      <c r="K42" s="116" t="e">
        <f>K1757</f>
        <v>#VALUE!</v>
      </c>
      <c r="L42" s="116" t="e">
        <f>L1757</f>
        <v>#VALUE!</v>
      </c>
      <c r="O42" s="116" t="e">
        <f>O1757</f>
        <v>#VALUE!</v>
      </c>
      <c r="P42" s="116" t="e">
        <f>P1757</f>
        <v>#VALUE!</v>
      </c>
      <c r="Q42" s="116" t="e">
        <f>Q1757</f>
        <v>#VALUE!</v>
      </c>
      <c r="R42" s="116" t="e">
        <f>R1757</f>
        <v>#VALUE!</v>
      </c>
      <c r="S42" s="237"/>
      <c r="T42" s="116" t="e">
        <f>T1757</f>
        <v>#VALUE!</v>
      </c>
      <c r="U42" s="116" t="e">
        <f>U1757</f>
        <v>#VALUE!</v>
      </c>
      <c r="V42" s="116" t="e">
        <f>V1757</f>
        <v>#VALUE!</v>
      </c>
      <c r="W42" s="116" t="e">
        <f>W1757</f>
        <v>#VALUE!</v>
      </c>
      <c r="Y42" s="116" t="e">
        <f>Y1757</f>
        <v>#VALUE!</v>
      </c>
      <c r="Z42" s="116" t="e">
        <f>Z1757</f>
        <v>#VALUE!</v>
      </c>
      <c r="AA42" s="116" t="e">
        <f>AA1757</f>
        <v>#VALUE!</v>
      </c>
      <c r="AB42" s="116" t="e">
        <f>AB1757</f>
        <v>#VALUE!</v>
      </c>
      <c r="AC42" s="116" t="e">
        <f>AC1757</f>
        <v>#VALUE!</v>
      </c>
      <c r="AD42" s="116" t="e">
        <f t="shared" si="6"/>
        <v>#VALUE!</v>
      </c>
      <c r="AE42" s="135" t="e">
        <f t="shared" si="7"/>
        <v>#VALUE!</v>
      </c>
      <c r="AF42" s="116" t="e">
        <f t="shared" si="8"/>
        <v>#VALUE!</v>
      </c>
      <c r="AG42" s="116" t="e">
        <f t="shared" si="9"/>
        <v>#VALUE!</v>
      </c>
      <c r="AH42" s="116"/>
      <c r="AI42" s="116"/>
      <c r="AJ42" s="116"/>
      <c r="AK42" s="116"/>
    </row>
    <row r="43" spans="1:37" hidden="1">
      <c r="A43" s="2" t="s">
        <v>856</v>
      </c>
      <c r="B43" s="2"/>
      <c r="C43" s="2"/>
      <c r="E43" s="139">
        <f>'[4]P+T+D+R+M'!H41</f>
        <v>0</v>
      </c>
      <c r="F43" s="139" t="e">
        <f>G1883</f>
        <v>#VALUE!</v>
      </c>
      <c r="G43" s="228" t="e">
        <f t="shared" si="5"/>
        <v>#VALUE!</v>
      </c>
      <c r="H43" s="139" t="e">
        <f>H1883</f>
        <v>#VALUE!</v>
      </c>
      <c r="I43" s="139" t="e">
        <f>I1883</f>
        <v>#VALUE!</v>
      </c>
      <c r="J43" s="139" t="e">
        <f>J1883</f>
        <v>#VALUE!</v>
      </c>
      <c r="K43" s="139" t="e">
        <f>K1883</f>
        <v>#VALUE!</v>
      </c>
      <c r="L43" s="139" t="e">
        <f>L1883</f>
        <v>#VALUE!</v>
      </c>
      <c r="O43" s="135" t="e">
        <f>O1883</f>
        <v>#VALUE!</v>
      </c>
      <c r="P43" s="135" t="e">
        <f>P1883</f>
        <v>#VALUE!</v>
      </c>
      <c r="Q43" s="135" t="e">
        <f>Q1883</f>
        <v>#VALUE!</v>
      </c>
      <c r="R43" s="135" t="e">
        <f>R1883</f>
        <v>#VALUE!</v>
      </c>
      <c r="S43" s="237"/>
      <c r="T43" s="135" t="e">
        <f>T1883</f>
        <v>#VALUE!</v>
      </c>
      <c r="U43" s="135" t="e">
        <f>U1883</f>
        <v>#VALUE!</v>
      </c>
      <c r="V43" s="135" t="e">
        <f>V1883</f>
        <v>#VALUE!</v>
      </c>
      <c r="W43" s="135" t="e">
        <f>W1883</f>
        <v>#VALUE!</v>
      </c>
      <c r="Y43" s="135" t="e">
        <f>Y1883</f>
        <v>#VALUE!</v>
      </c>
      <c r="Z43" s="135" t="e">
        <f>Z1883</f>
        <v>#VALUE!</v>
      </c>
      <c r="AA43" s="135" t="e">
        <f>AA1883</f>
        <v>#VALUE!</v>
      </c>
      <c r="AB43" s="135" t="e">
        <f>AB1883</f>
        <v>#VALUE!</v>
      </c>
      <c r="AC43" s="135" t="e">
        <f>AC1883</f>
        <v>#VALUE!</v>
      </c>
      <c r="AD43" s="116" t="e">
        <f t="shared" si="6"/>
        <v>#VALUE!</v>
      </c>
      <c r="AE43" s="135" t="e">
        <f t="shared" si="7"/>
        <v>#VALUE!</v>
      </c>
      <c r="AF43" s="116" t="e">
        <f t="shared" si="8"/>
        <v>#VALUE!</v>
      </c>
      <c r="AG43" s="116" t="e">
        <f t="shared" si="9"/>
        <v>#VALUE!</v>
      </c>
      <c r="AH43" s="116"/>
      <c r="AI43" s="116"/>
      <c r="AJ43" s="116"/>
      <c r="AK43" s="116"/>
    </row>
    <row r="44" spans="1:37" hidden="1">
      <c r="A44" s="2" t="s">
        <v>642</v>
      </c>
      <c r="B44" s="2"/>
      <c r="C44" s="2"/>
      <c r="E44" s="116" t="e">
        <f>SUM(E33:E43)</f>
        <v>#DIV/0!</v>
      </c>
      <c r="F44" s="116" t="e">
        <f>SUM(F33:F43)</f>
        <v>#VALUE!</v>
      </c>
      <c r="G44" s="228" t="e">
        <f t="shared" si="5"/>
        <v>#DIV/0!</v>
      </c>
      <c r="H44" s="116" t="e">
        <f>SUM(H33:H43)</f>
        <v>#VALUE!</v>
      </c>
      <c r="I44" s="116" t="e">
        <f>SUM(I33:I43)</f>
        <v>#VALUE!</v>
      </c>
      <c r="J44" s="116" t="e">
        <f>SUM(J33:J43)</f>
        <v>#VALUE!</v>
      </c>
      <c r="K44" s="116" t="e">
        <f>SUM(K33:K43)</f>
        <v>#VALUE!</v>
      </c>
      <c r="L44" s="116" t="e">
        <f>SUM(L33:L43)</f>
        <v>#VALUE!</v>
      </c>
      <c r="O44" s="116" t="e">
        <f>SUM(O33:O43)</f>
        <v>#VALUE!</v>
      </c>
      <c r="P44" s="116" t="e">
        <f>SUM(P33:P43)</f>
        <v>#VALUE!</v>
      </c>
      <c r="Q44" s="116" t="e">
        <f>SUM(Q33:Q43)</f>
        <v>#VALUE!</v>
      </c>
      <c r="R44" s="116" t="e">
        <f>SUM(R33:R43)</f>
        <v>#VALUE!</v>
      </c>
      <c r="S44" s="237"/>
      <c r="T44" s="116" t="e">
        <f>SUM(T33:T43)</f>
        <v>#VALUE!</v>
      </c>
      <c r="U44" s="116" t="e">
        <f>SUM(U33:U43)</f>
        <v>#VALUE!</v>
      </c>
      <c r="V44" s="116" t="e">
        <f>SUM(V33:V43)</f>
        <v>#VALUE!</v>
      </c>
      <c r="W44" s="116" t="e">
        <f>SUM(W33:W43)</f>
        <v>#VALUE!</v>
      </c>
      <c r="Y44" s="116" t="e">
        <f>SUM(Y33:Y43)</f>
        <v>#VALUE!</v>
      </c>
      <c r="Z44" s="116" t="e">
        <f>SUM(Z33:Z43)</f>
        <v>#VALUE!</v>
      </c>
      <c r="AA44" s="116" t="e">
        <f>SUM(AA33:AA43)</f>
        <v>#VALUE!</v>
      </c>
      <c r="AB44" s="116" t="e">
        <f>SUM(AB33:AB43)</f>
        <v>#VALUE!</v>
      </c>
      <c r="AC44" s="116" t="e">
        <f>SUM(AC33:AC43)</f>
        <v>#VALUE!</v>
      </c>
      <c r="AD44" s="116" t="e">
        <f t="shared" si="6"/>
        <v>#VALUE!</v>
      </c>
      <c r="AE44" s="135" t="e">
        <f t="shared" si="7"/>
        <v>#VALUE!</v>
      </c>
      <c r="AF44" s="116" t="e">
        <f t="shared" si="8"/>
        <v>#VALUE!</v>
      </c>
      <c r="AG44" s="116" t="e">
        <f t="shared" si="9"/>
        <v>#VALUE!</v>
      </c>
      <c r="AH44" s="116"/>
      <c r="AI44" s="116"/>
      <c r="AJ44" s="116"/>
      <c r="AK44" s="116"/>
    </row>
    <row r="45" spans="1:37" hidden="1">
      <c r="A45" s="2"/>
      <c r="B45" s="2"/>
      <c r="C45" s="2"/>
      <c r="E45" s="116"/>
      <c r="F45" s="116"/>
      <c r="G45" s="241"/>
      <c r="H45" s="116"/>
      <c r="I45" s="116"/>
      <c r="J45" s="116"/>
      <c r="K45" s="116"/>
      <c r="L45" s="116"/>
      <c r="O45" s="116"/>
      <c r="P45" s="116"/>
      <c r="Q45" s="116"/>
      <c r="R45" s="116"/>
      <c r="S45" s="237"/>
      <c r="T45" s="116"/>
      <c r="U45" s="116"/>
      <c r="V45" s="116"/>
      <c r="W45" s="116"/>
      <c r="Y45" s="116"/>
      <c r="Z45" s="116"/>
      <c r="AA45" s="116"/>
      <c r="AB45" s="116"/>
      <c r="AC45" s="116"/>
      <c r="AD45" s="116"/>
      <c r="AE45" s="135"/>
      <c r="AF45" s="116"/>
      <c r="AG45" s="116"/>
      <c r="AH45" s="116"/>
      <c r="AI45" s="116"/>
      <c r="AJ45" s="116"/>
      <c r="AK45" s="116"/>
    </row>
    <row r="46" spans="1:37" hidden="1">
      <c r="A46" s="2"/>
      <c r="B46" s="2"/>
      <c r="C46" s="2"/>
      <c r="G46" s="238"/>
      <c r="AE46" s="209"/>
      <c r="AF46" s="165"/>
      <c r="AG46" s="165"/>
      <c r="AH46" s="165"/>
      <c r="AI46" s="165"/>
      <c r="AJ46" s="165"/>
      <c r="AK46" s="165"/>
    </row>
    <row r="47" spans="1:37" hidden="1">
      <c r="A47" s="240" t="s">
        <v>855</v>
      </c>
      <c r="B47" s="240"/>
      <c r="C47" s="2"/>
      <c r="G47" s="238"/>
      <c r="H47" s="239"/>
      <c r="I47" s="239"/>
      <c r="J47" s="239"/>
      <c r="K47" s="239"/>
      <c r="AE47" s="209"/>
      <c r="AF47" s="165"/>
      <c r="AG47" s="165"/>
      <c r="AH47" s="165"/>
      <c r="AI47" s="165"/>
      <c r="AJ47" s="165"/>
      <c r="AK47" s="165"/>
    </row>
    <row r="48" spans="1:37" hidden="1">
      <c r="A48" s="2" t="s">
        <v>854</v>
      </c>
      <c r="B48" s="2"/>
      <c r="C48" s="2"/>
      <c r="E48" s="116">
        <f>'[4]P+T+D+R+M'!H46</f>
        <v>-4170493279.7150683</v>
      </c>
      <c r="F48" s="116" t="e">
        <f>G2165</f>
        <v>#VALUE!</v>
      </c>
      <c r="G48" s="228" t="e">
        <f t="shared" ref="G48:G55" si="10">ROUND(E48-F48,0)</f>
        <v>#VALUE!</v>
      </c>
      <c r="H48" s="116" t="e">
        <f>H2165</f>
        <v>#VALUE!</v>
      </c>
      <c r="I48" s="116" t="e">
        <f>I2165</f>
        <v>#VALUE!</v>
      </c>
      <c r="J48" s="116" t="e">
        <f>J2165</f>
        <v>#VALUE!</v>
      </c>
      <c r="K48" s="116" t="e">
        <f>K2165</f>
        <v>#VALUE!</v>
      </c>
      <c r="L48" s="116" t="e">
        <f>L2165</f>
        <v>#VALUE!</v>
      </c>
      <c r="O48" s="116" t="e">
        <f>O2165</f>
        <v>#VALUE!</v>
      </c>
      <c r="P48" s="116" t="e">
        <f>P2165</f>
        <v>#VALUE!</v>
      </c>
      <c r="Q48" s="116" t="e">
        <f>Q2165</f>
        <v>#VALUE!</v>
      </c>
      <c r="R48" s="116" t="e">
        <f>R2165</f>
        <v>#VALUE!</v>
      </c>
      <c r="S48" s="237"/>
      <c r="T48" s="116" t="e">
        <f>T2165</f>
        <v>#VALUE!</v>
      </c>
      <c r="U48" s="116" t="e">
        <f>U2165</f>
        <v>#VALUE!</v>
      </c>
      <c r="V48" s="116" t="e">
        <f>V2165</f>
        <v>#VALUE!</v>
      </c>
      <c r="W48" s="116" t="e">
        <f>W2165</f>
        <v>#VALUE!</v>
      </c>
      <c r="Y48" s="116" t="e">
        <f>Y2165</f>
        <v>#VALUE!</v>
      </c>
      <c r="Z48" s="116" t="e">
        <f>Z2165</f>
        <v>#VALUE!</v>
      </c>
      <c r="AA48" s="116" t="e">
        <f>AA2165</f>
        <v>#VALUE!</v>
      </c>
      <c r="AB48" s="116" t="e">
        <f>AB2165</f>
        <v>#VALUE!</v>
      </c>
      <c r="AC48" s="116" t="e">
        <f>AC2165</f>
        <v>#VALUE!</v>
      </c>
      <c r="AD48" s="116" t="e">
        <f t="shared" ref="AD48:AD55" si="11">ROUND(SUM(-F48,H48:L48),0)</f>
        <v>#VALUE!</v>
      </c>
      <c r="AE48" s="135" t="e">
        <f t="shared" ref="AE48:AE55" si="12">ROUND(H48-O48-P48-Q48-R48,0)</f>
        <v>#VALUE!</v>
      </c>
      <c r="AF48" s="116" t="e">
        <f t="shared" ref="AF48:AF55" si="13">ROUND(I48-T48-U48-V48-W48,0)</f>
        <v>#VALUE!</v>
      </c>
      <c r="AG48" s="116" t="e">
        <f t="shared" ref="AG48:AG55" si="14">ROUND(J48-Y48-Z48-AA48-AC48-AB48,0)</f>
        <v>#VALUE!</v>
      </c>
      <c r="AH48" s="116"/>
      <c r="AI48" s="116"/>
      <c r="AJ48" s="116"/>
      <c r="AK48" s="116"/>
    </row>
    <row r="49" spans="1:37" hidden="1">
      <c r="A49" s="2" t="s">
        <v>853</v>
      </c>
      <c r="B49" s="2"/>
      <c r="C49" s="2"/>
      <c r="E49" s="116">
        <f>'[4]P+T+D+R+M'!H47</f>
        <v>-276490019.48203409</v>
      </c>
      <c r="F49" s="116" t="e">
        <f>G2216</f>
        <v>#VALUE!</v>
      </c>
      <c r="G49" s="228" t="e">
        <f t="shared" si="10"/>
        <v>#VALUE!</v>
      </c>
      <c r="H49" s="116" t="e">
        <f>H2216</f>
        <v>#VALUE!</v>
      </c>
      <c r="I49" s="116" t="e">
        <f>I2216</f>
        <v>#VALUE!</v>
      </c>
      <c r="J49" s="116" t="e">
        <f>J2216</f>
        <v>#VALUE!</v>
      </c>
      <c r="K49" s="116" t="e">
        <f>K2216</f>
        <v>#VALUE!</v>
      </c>
      <c r="L49" s="116" t="e">
        <f>L2216</f>
        <v>#VALUE!</v>
      </c>
      <c r="O49" s="116" t="e">
        <f>O2216</f>
        <v>#VALUE!</v>
      </c>
      <c r="P49" s="116" t="e">
        <f>P2216</f>
        <v>#VALUE!</v>
      </c>
      <c r="Q49" s="116" t="e">
        <f>Q2216</f>
        <v>#VALUE!</v>
      </c>
      <c r="R49" s="116" t="e">
        <f>R2216</f>
        <v>#VALUE!</v>
      </c>
      <c r="S49" s="237"/>
      <c r="T49" s="116" t="e">
        <f>T2216</f>
        <v>#VALUE!</v>
      </c>
      <c r="U49" s="116" t="e">
        <f>U2216</f>
        <v>#VALUE!</v>
      </c>
      <c r="V49" s="116" t="e">
        <f>V2216</f>
        <v>#VALUE!</v>
      </c>
      <c r="W49" s="116" t="e">
        <f>W2216</f>
        <v>#VALUE!</v>
      </c>
      <c r="Y49" s="116" t="e">
        <f>Y2216</f>
        <v>#VALUE!</v>
      </c>
      <c r="Z49" s="116" t="e">
        <f>Z2216</f>
        <v>#VALUE!</v>
      </c>
      <c r="AA49" s="116" t="e">
        <f>AA2216</f>
        <v>#VALUE!</v>
      </c>
      <c r="AB49" s="116" t="e">
        <f>AB2216</f>
        <v>#VALUE!</v>
      </c>
      <c r="AC49" s="116" t="e">
        <f>AC2216</f>
        <v>#VALUE!</v>
      </c>
      <c r="AD49" s="116" t="e">
        <f t="shared" si="11"/>
        <v>#VALUE!</v>
      </c>
      <c r="AE49" s="135" t="e">
        <f t="shared" si="12"/>
        <v>#VALUE!</v>
      </c>
      <c r="AF49" s="116" t="e">
        <f t="shared" si="13"/>
        <v>#VALUE!</v>
      </c>
      <c r="AG49" s="116" t="e">
        <f t="shared" si="14"/>
        <v>#VALUE!</v>
      </c>
      <c r="AH49" s="116"/>
      <c r="AI49" s="116"/>
      <c r="AJ49" s="116"/>
      <c r="AK49" s="116"/>
    </row>
    <row r="50" spans="1:37" hidden="1">
      <c r="A50" s="2" t="s">
        <v>852</v>
      </c>
      <c r="B50" s="2"/>
      <c r="C50" s="2"/>
      <c r="E50" s="116">
        <f>'[4]P+T+D+R+M'!H48</f>
        <v>-1177551784.8733327</v>
      </c>
      <c r="F50" s="116" t="e">
        <f>G1996</f>
        <v>#VALUE!</v>
      </c>
      <c r="G50" s="228" t="e">
        <f t="shared" si="10"/>
        <v>#VALUE!</v>
      </c>
      <c r="H50" s="116" t="e">
        <f>H1996</f>
        <v>#VALUE!</v>
      </c>
      <c r="I50" s="116" t="e">
        <f>I1996</f>
        <v>#VALUE!</v>
      </c>
      <c r="J50" s="116" t="e">
        <f>J1996</f>
        <v>#VALUE!</v>
      </c>
      <c r="K50" s="116" t="e">
        <f>K1996</f>
        <v>#VALUE!</v>
      </c>
      <c r="L50" s="116" t="e">
        <f>L1996</f>
        <v>#VALUE!</v>
      </c>
      <c r="O50" s="116" t="e">
        <f>O1996</f>
        <v>#VALUE!</v>
      </c>
      <c r="P50" s="116" t="e">
        <f>P1996</f>
        <v>#VALUE!</v>
      </c>
      <c r="Q50" s="116" t="e">
        <f>Q1996</f>
        <v>#VALUE!</v>
      </c>
      <c r="R50" s="116" t="e">
        <f>R1996</f>
        <v>#VALUE!</v>
      </c>
      <c r="S50" s="237"/>
      <c r="T50" s="116" t="e">
        <f>T1996</f>
        <v>#VALUE!</v>
      </c>
      <c r="U50" s="116" t="e">
        <f>U1996</f>
        <v>#VALUE!</v>
      </c>
      <c r="V50" s="116" t="e">
        <f>V1996</f>
        <v>#VALUE!</v>
      </c>
      <c r="W50" s="116" t="e">
        <f>W1996</f>
        <v>#VALUE!</v>
      </c>
      <c r="Y50" s="116" t="e">
        <f>Y1996</f>
        <v>#VALUE!</v>
      </c>
      <c r="Z50" s="116" t="e">
        <f>Z1996</f>
        <v>#VALUE!</v>
      </c>
      <c r="AA50" s="116" t="e">
        <f>AA1996</f>
        <v>#VALUE!</v>
      </c>
      <c r="AB50" s="116" t="e">
        <f>AB1996</f>
        <v>#VALUE!</v>
      </c>
      <c r="AC50" s="116" t="e">
        <f>AC1996</f>
        <v>#VALUE!</v>
      </c>
      <c r="AD50" s="116" t="e">
        <f t="shared" si="11"/>
        <v>#VALUE!</v>
      </c>
      <c r="AE50" s="135" t="e">
        <f t="shared" si="12"/>
        <v>#VALUE!</v>
      </c>
      <c r="AF50" s="116" t="e">
        <f t="shared" si="13"/>
        <v>#VALUE!</v>
      </c>
      <c r="AG50" s="116" t="e">
        <f t="shared" si="14"/>
        <v>#VALUE!</v>
      </c>
      <c r="AH50" s="116"/>
      <c r="AI50" s="116"/>
      <c r="AJ50" s="116"/>
      <c r="AK50" s="116"/>
    </row>
    <row r="51" spans="1:37" hidden="1">
      <c r="A51" s="2" t="s">
        <v>851</v>
      </c>
      <c r="B51" s="2"/>
      <c r="C51" s="2"/>
      <c r="E51" s="116">
        <f>'[4]P+T+D+R+M'!H49</f>
        <v>-84977.084561841402</v>
      </c>
      <c r="F51" s="116" t="e">
        <f>G2007</f>
        <v>#VALUE!</v>
      </c>
      <c r="G51" s="228" t="e">
        <f t="shared" si="10"/>
        <v>#VALUE!</v>
      </c>
      <c r="H51" s="116" t="e">
        <f>H2007</f>
        <v>#VALUE!</v>
      </c>
      <c r="I51" s="116" t="e">
        <f>I2007</f>
        <v>#VALUE!</v>
      </c>
      <c r="J51" s="116" t="e">
        <f>J2007</f>
        <v>#VALUE!</v>
      </c>
      <c r="K51" s="116" t="e">
        <f>K2007</f>
        <v>#VALUE!</v>
      </c>
      <c r="L51" s="116" t="e">
        <f>L2007</f>
        <v>#VALUE!</v>
      </c>
      <c r="O51" s="116" t="e">
        <f>O2007</f>
        <v>#VALUE!</v>
      </c>
      <c r="P51" s="116" t="e">
        <f>P2007</f>
        <v>#VALUE!</v>
      </c>
      <c r="Q51" s="116" t="e">
        <f>Q2007</f>
        <v>#VALUE!</v>
      </c>
      <c r="R51" s="116" t="e">
        <f>R2007</f>
        <v>#VALUE!</v>
      </c>
      <c r="S51" s="237"/>
      <c r="T51" s="116" t="e">
        <f>T2007</f>
        <v>#VALUE!</v>
      </c>
      <c r="U51" s="116" t="e">
        <f>U2007</f>
        <v>#VALUE!</v>
      </c>
      <c r="V51" s="116" t="e">
        <f>V2007</f>
        <v>#VALUE!</v>
      </c>
      <c r="W51" s="116" t="e">
        <f>W2007</f>
        <v>#VALUE!</v>
      </c>
      <c r="Y51" s="116" t="e">
        <f>Y2007</f>
        <v>#VALUE!</v>
      </c>
      <c r="Z51" s="116" t="e">
        <f>Z2007</f>
        <v>#VALUE!</v>
      </c>
      <c r="AA51" s="116" t="e">
        <f>AA2007</f>
        <v>#VALUE!</v>
      </c>
      <c r="AB51" s="116" t="e">
        <f>AB2007</f>
        <v>#VALUE!</v>
      </c>
      <c r="AC51" s="116" t="e">
        <f>AC2007</f>
        <v>#VALUE!</v>
      </c>
      <c r="AD51" s="116" t="e">
        <f t="shared" si="11"/>
        <v>#VALUE!</v>
      </c>
      <c r="AE51" s="135" t="e">
        <f t="shared" si="12"/>
        <v>#VALUE!</v>
      </c>
      <c r="AF51" s="116" t="e">
        <f t="shared" si="13"/>
        <v>#VALUE!</v>
      </c>
      <c r="AG51" s="116" t="e">
        <f t="shared" si="14"/>
        <v>#VALUE!</v>
      </c>
      <c r="AH51" s="116"/>
      <c r="AI51" s="116"/>
      <c r="AJ51" s="116"/>
      <c r="AK51" s="116"/>
    </row>
    <row r="52" spans="1:37" hidden="1">
      <c r="A52" s="2" t="s">
        <v>850</v>
      </c>
      <c r="B52" s="2"/>
      <c r="C52" s="2"/>
      <c r="E52" s="116">
        <f>'[4]P+T+D+R+M'!H50</f>
        <v>-38042159.690947056</v>
      </c>
      <c r="F52" s="116" t="e">
        <f>G1929</f>
        <v>#VALUE!</v>
      </c>
      <c r="G52" s="228" t="e">
        <f t="shared" si="10"/>
        <v>#VALUE!</v>
      </c>
      <c r="H52" s="116" t="e">
        <f>H1929</f>
        <v>#VALUE!</v>
      </c>
      <c r="I52" s="116" t="e">
        <f>I1929</f>
        <v>#VALUE!</v>
      </c>
      <c r="J52" s="116" t="e">
        <f>J1929</f>
        <v>#VALUE!</v>
      </c>
      <c r="K52" s="116" t="e">
        <f>K1929</f>
        <v>#VALUE!</v>
      </c>
      <c r="L52" s="116" t="e">
        <f>L1929</f>
        <v>#VALUE!</v>
      </c>
      <c r="O52" s="116" t="e">
        <f>O1929</f>
        <v>#VALUE!</v>
      </c>
      <c r="P52" s="116" t="e">
        <f>P1929</f>
        <v>#VALUE!</v>
      </c>
      <c r="Q52" s="116" t="e">
        <f>Q1929</f>
        <v>#VALUE!</v>
      </c>
      <c r="R52" s="116" t="e">
        <f>R1929</f>
        <v>#VALUE!</v>
      </c>
      <c r="S52" s="237"/>
      <c r="T52" s="116" t="e">
        <f>T1929</f>
        <v>#VALUE!</v>
      </c>
      <c r="U52" s="116" t="e">
        <f>U1929</f>
        <v>#VALUE!</v>
      </c>
      <c r="V52" s="116" t="e">
        <f>V1929</f>
        <v>#VALUE!</v>
      </c>
      <c r="W52" s="116" t="e">
        <f>W1929</f>
        <v>#VALUE!</v>
      </c>
      <c r="Y52" s="116" t="e">
        <f>Y1929</f>
        <v>#VALUE!</v>
      </c>
      <c r="Z52" s="116" t="e">
        <f>Z1929</f>
        <v>#VALUE!</v>
      </c>
      <c r="AA52" s="116" t="e">
        <f>AA1929</f>
        <v>#VALUE!</v>
      </c>
      <c r="AB52" s="116" t="e">
        <f>AB1929</f>
        <v>#VALUE!</v>
      </c>
      <c r="AC52" s="116" t="e">
        <f>AC1929</f>
        <v>#VALUE!</v>
      </c>
      <c r="AD52" s="116" t="e">
        <f t="shared" si="11"/>
        <v>#VALUE!</v>
      </c>
      <c r="AE52" s="135" t="e">
        <f t="shared" si="12"/>
        <v>#VALUE!</v>
      </c>
      <c r="AF52" s="116" t="e">
        <f t="shared" si="13"/>
        <v>#VALUE!</v>
      </c>
      <c r="AG52" s="116" t="e">
        <f t="shared" si="14"/>
        <v>#VALUE!</v>
      </c>
      <c r="AH52" s="116"/>
      <c r="AI52" s="116"/>
      <c r="AJ52" s="116"/>
      <c r="AK52" s="116"/>
    </row>
    <row r="53" spans="1:37" hidden="1">
      <c r="A53" s="2" t="s">
        <v>849</v>
      </c>
      <c r="B53" s="2"/>
      <c r="C53" s="2"/>
      <c r="E53" s="116">
        <f>'[4]P+T+D+R+M'!H51</f>
        <v>-16275584.48076923</v>
      </c>
      <c r="F53" s="116" t="e">
        <f>G1889</f>
        <v>#VALUE!</v>
      </c>
      <c r="G53" s="228" t="e">
        <f t="shared" si="10"/>
        <v>#VALUE!</v>
      </c>
      <c r="H53" s="116" t="e">
        <f>H1889</f>
        <v>#VALUE!</v>
      </c>
      <c r="I53" s="116" t="e">
        <f>I1889</f>
        <v>#VALUE!</v>
      </c>
      <c r="J53" s="116" t="e">
        <f>J1889</f>
        <v>#VALUE!</v>
      </c>
      <c r="K53" s="116" t="e">
        <f>K1889</f>
        <v>#VALUE!</v>
      </c>
      <c r="L53" s="116" t="e">
        <f>L1889</f>
        <v>#VALUE!</v>
      </c>
      <c r="O53" s="116" t="e">
        <f>O1889</f>
        <v>#VALUE!</v>
      </c>
      <c r="P53" s="116" t="e">
        <f>P1889</f>
        <v>#VALUE!</v>
      </c>
      <c r="Q53" s="116" t="e">
        <f>Q1889</f>
        <v>#VALUE!</v>
      </c>
      <c r="R53" s="116" t="e">
        <f>R1889</f>
        <v>#VALUE!</v>
      </c>
      <c r="S53" s="237"/>
      <c r="T53" s="116" t="e">
        <f>T1889</f>
        <v>#VALUE!</v>
      </c>
      <c r="U53" s="116" t="e">
        <f>U1889</f>
        <v>#VALUE!</v>
      </c>
      <c r="V53" s="116" t="e">
        <f>V1889</f>
        <v>#VALUE!</v>
      </c>
      <c r="W53" s="116" t="e">
        <f>W1889</f>
        <v>#VALUE!</v>
      </c>
      <c r="Y53" s="116" t="e">
        <f>Y1889</f>
        <v>#VALUE!</v>
      </c>
      <c r="Z53" s="116" t="e">
        <f>Z1889</f>
        <v>#VALUE!</v>
      </c>
      <c r="AA53" s="116" t="e">
        <f>AA1889</f>
        <v>#VALUE!</v>
      </c>
      <c r="AB53" s="116" t="e">
        <f>AB1889</f>
        <v>#VALUE!</v>
      </c>
      <c r="AC53" s="116" t="e">
        <f>AC1889</f>
        <v>#VALUE!</v>
      </c>
      <c r="AD53" s="116" t="e">
        <f t="shared" si="11"/>
        <v>#VALUE!</v>
      </c>
      <c r="AE53" s="135" t="e">
        <f t="shared" si="12"/>
        <v>#VALUE!</v>
      </c>
      <c r="AF53" s="116" t="e">
        <f t="shared" si="13"/>
        <v>#VALUE!</v>
      </c>
      <c r="AG53" s="116" t="e">
        <f t="shared" si="14"/>
        <v>#VALUE!</v>
      </c>
      <c r="AH53" s="116"/>
      <c r="AI53" s="116"/>
      <c r="AJ53" s="116"/>
      <c r="AK53" s="116"/>
    </row>
    <row r="54" spans="1:37" hidden="1">
      <c r="A54" s="2" t="s">
        <v>848</v>
      </c>
      <c r="B54" s="2"/>
      <c r="C54" s="2"/>
      <c r="E54" s="139">
        <f>'[4]P+T+D+R+M'!H52</f>
        <v>-788334069.90868449</v>
      </c>
      <c r="F54" s="139" t="e">
        <f>G1894+G1898+G1903+G1908+G1911+G1917+G1921+G1933+G1940</f>
        <v>#VALUE!</v>
      </c>
      <c r="G54" s="228" t="e">
        <f t="shared" si="10"/>
        <v>#VALUE!</v>
      </c>
      <c r="H54" s="139" t="e">
        <f>H1894+H1898+H1903+H1908+H1911+H1917+H1921+H1933+H1940</f>
        <v>#VALUE!</v>
      </c>
      <c r="I54" s="139" t="e">
        <f>I1894+I1898+I1903+I1908+I1911+I1917+I1921+I1933+I1940</f>
        <v>#VALUE!</v>
      </c>
      <c r="J54" s="139" t="e">
        <f>J1894+J1898+J1903+J1908+J1911+J1917+J1921+J1933+J1940</f>
        <v>#VALUE!</v>
      </c>
      <c r="K54" s="139" t="e">
        <f>K1894+K1898+K1903+K1908+K1911+K1917+K1921+K1933+K1940</f>
        <v>#VALUE!</v>
      </c>
      <c r="L54" s="139" t="e">
        <f>L1894+L1898+L1903+L1908+L1911+L1917+L1921+L1933+L1940</f>
        <v>#VALUE!</v>
      </c>
      <c r="N54" s="2"/>
      <c r="O54" s="116" t="e">
        <f>O1894+O1898+O1903+O1908+O1911+O1917+O1921+O1933+O1940</f>
        <v>#VALUE!</v>
      </c>
      <c r="P54" s="116" t="e">
        <f>P1894+P1898+P1903+P1908+P1911+P1917+P1921+P1933+P1940</f>
        <v>#VALUE!</v>
      </c>
      <c r="Q54" s="116" t="e">
        <f>Q1894+Q1898+Q1903+Q1908+Q1911+Q1917+Q1921+Q1933+Q1940</f>
        <v>#VALUE!</v>
      </c>
      <c r="R54" s="116" t="e">
        <f>R1894+R1898+R1903+R1908+R1911+R1917+R1921+R1933+R1940</f>
        <v>#VALUE!</v>
      </c>
      <c r="S54" s="116" t="s">
        <v>141</v>
      </c>
      <c r="T54" s="116" t="e">
        <f>T1894+T1898+T1903+T1908+T1911+T1917+T1921+T1933+T1940</f>
        <v>#VALUE!</v>
      </c>
      <c r="U54" s="116" t="e">
        <f>U1894+U1898+U1903+U1908+U1911+U1917+U1921+U1933+U1940</f>
        <v>#VALUE!</v>
      </c>
      <c r="V54" s="116" t="e">
        <f>V1894+V1898+V1903+V1908+V1911+V1917+V1921+V1933+V1940</f>
        <v>#VALUE!</v>
      </c>
      <c r="W54" s="116" t="e">
        <f>W1894+W1898+W1903+W1908+W1911+W1917+W1921+W1933+W1940</f>
        <v>#VALUE!</v>
      </c>
      <c r="X54" s="116" t="s">
        <v>141</v>
      </c>
      <c r="Y54" s="116" t="e">
        <f>Y1894+Y1898+Y1903+Y1908+Y1911+Y1917+Y1921+Y1933+Y1940</f>
        <v>#VALUE!</v>
      </c>
      <c r="Z54" s="116" t="e">
        <f>Z1894+Z1898+Z1903+Z1908+Z1911+Z1917+Z1921+Z1933+Z1940</f>
        <v>#VALUE!</v>
      </c>
      <c r="AA54" s="116" t="e">
        <f>AA1894+AA1898+AA1903+AA1908+AA1911+AA1917+AA1921+AA1933+AA1940</f>
        <v>#VALUE!</v>
      </c>
      <c r="AB54" s="116" t="e">
        <f>AB1894+AB1898+AB1903+AB1908+AB1911+AB1917+AB1921+AB1933+AB1940</f>
        <v>#VALUE!</v>
      </c>
      <c r="AC54" s="116" t="e">
        <f>AC1894+AC1898+AC1903+AC1908+AC1911+AC1917+AC1921+AC1933+AC1940</f>
        <v>#VALUE!</v>
      </c>
      <c r="AD54" s="116" t="e">
        <f t="shared" si="11"/>
        <v>#VALUE!</v>
      </c>
      <c r="AE54" s="135" t="e">
        <f t="shared" si="12"/>
        <v>#VALUE!</v>
      </c>
      <c r="AF54" s="116" t="e">
        <f t="shared" si="13"/>
        <v>#VALUE!</v>
      </c>
      <c r="AG54" s="116" t="e">
        <f t="shared" si="14"/>
        <v>#VALUE!</v>
      </c>
      <c r="AH54" s="116"/>
      <c r="AI54" s="116"/>
      <c r="AJ54" s="116"/>
      <c r="AK54" s="116"/>
    </row>
    <row r="55" spans="1:37" hidden="1">
      <c r="A55" s="2" t="s">
        <v>672</v>
      </c>
      <c r="B55" s="2"/>
      <c r="C55" s="2"/>
      <c r="E55" s="116">
        <f>SUM(E48:E54)</f>
        <v>-6467271875.2353992</v>
      </c>
      <c r="F55" s="116" t="e">
        <f>SUM(F48:F54)</f>
        <v>#VALUE!</v>
      </c>
      <c r="G55" s="228" t="e">
        <f t="shared" si="10"/>
        <v>#VALUE!</v>
      </c>
      <c r="H55" s="116" t="e">
        <f>SUM(H48:H54)</f>
        <v>#VALUE!</v>
      </c>
      <c r="I55" s="116" t="e">
        <f>SUM(I48:I54)</f>
        <v>#VALUE!</v>
      </c>
      <c r="J55" s="116" t="e">
        <f>SUM(J48:J54)</f>
        <v>#VALUE!</v>
      </c>
      <c r="K55" s="116" t="e">
        <f>SUM(K48:K54)</f>
        <v>#VALUE!</v>
      </c>
      <c r="L55" s="116" t="e">
        <f>SUM(L48:L54)</f>
        <v>#VALUE!</v>
      </c>
      <c r="O55" s="116" t="e">
        <f>SUM(O48:O54)</f>
        <v>#VALUE!</v>
      </c>
      <c r="P55" s="116" t="e">
        <f>SUM(P48:P54)</f>
        <v>#VALUE!</v>
      </c>
      <c r="Q55" s="116" t="e">
        <f>SUM(Q48:Q54)</f>
        <v>#VALUE!</v>
      </c>
      <c r="R55" s="116" t="e">
        <f>SUM(R48:R54)</f>
        <v>#VALUE!</v>
      </c>
      <c r="S55" s="237"/>
      <c r="T55" s="116" t="e">
        <f>SUM(T48:T54)</f>
        <v>#VALUE!</v>
      </c>
      <c r="U55" s="116" t="e">
        <f>SUM(U48:U54)</f>
        <v>#VALUE!</v>
      </c>
      <c r="V55" s="116" t="e">
        <f>SUM(V48:V54)</f>
        <v>#VALUE!</v>
      </c>
      <c r="W55" s="116" t="e">
        <f>SUM(W48:W54)</f>
        <v>#VALUE!</v>
      </c>
      <c r="Y55" s="116" t="e">
        <f>SUM(Y48:Y54)</f>
        <v>#VALUE!</v>
      </c>
      <c r="Z55" s="116" t="e">
        <f>SUM(Z48:Z54)</f>
        <v>#VALUE!</v>
      </c>
      <c r="AA55" s="116" t="e">
        <f>SUM(AA48:AA54)</f>
        <v>#VALUE!</v>
      </c>
      <c r="AB55" s="116" t="e">
        <f>SUM(AB48:AB54)</f>
        <v>#VALUE!</v>
      </c>
      <c r="AC55" s="116" t="e">
        <f>SUM(AC48:AC54)</f>
        <v>#VALUE!</v>
      </c>
      <c r="AD55" s="116" t="e">
        <f t="shared" si="11"/>
        <v>#VALUE!</v>
      </c>
      <c r="AE55" s="135" t="e">
        <f t="shared" si="12"/>
        <v>#VALUE!</v>
      </c>
      <c r="AF55" s="116" t="e">
        <f t="shared" si="13"/>
        <v>#VALUE!</v>
      </c>
      <c r="AG55" s="116" t="e">
        <f t="shared" si="14"/>
        <v>#VALUE!</v>
      </c>
      <c r="AH55" s="116"/>
      <c r="AI55" s="116"/>
      <c r="AJ55" s="116"/>
      <c r="AK55" s="116"/>
    </row>
    <row r="56" spans="1:37" hidden="1">
      <c r="A56" s="2"/>
      <c r="B56" s="2"/>
      <c r="C56" s="2"/>
      <c r="G56" s="238"/>
      <c r="S56" s="237"/>
      <c r="AE56" s="209"/>
      <c r="AF56" s="165"/>
      <c r="AG56" s="165"/>
      <c r="AH56" s="165"/>
      <c r="AI56" s="165"/>
      <c r="AJ56" s="165"/>
      <c r="AK56" s="165"/>
    </row>
    <row r="57" spans="1:37" ht="13.5" hidden="1" thickBot="1">
      <c r="A57" s="2" t="s">
        <v>845</v>
      </c>
      <c r="B57" s="2"/>
      <c r="C57" s="2"/>
      <c r="E57" s="154" t="e">
        <f>E44+E55</f>
        <v>#DIV/0!</v>
      </c>
      <c r="F57" s="154" t="e">
        <f>F44+F55</f>
        <v>#VALUE!</v>
      </c>
      <c r="G57" s="228" t="e">
        <f>ROUND(E57-F57,0)</f>
        <v>#DIV/0!</v>
      </c>
      <c r="H57" s="154" t="e">
        <f>H44+H55</f>
        <v>#VALUE!</v>
      </c>
      <c r="I57" s="154" t="e">
        <f>I44+I55</f>
        <v>#VALUE!</v>
      </c>
      <c r="J57" s="154" t="e">
        <f>J44+J55</f>
        <v>#VALUE!</v>
      </c>
      <c r="K57" s="154" t="e">
        <f>K44+K55</f>
        <v>#VALUE!</v>
      </c>
      <c r="L57" s="154" t="e">
        <f>L44+L55</f>
        <v>#VALUE!</v>
      </c>
      <c r="O57" s="116" t="e">
        <f>O44+O55</f>
        <v>#VALUE!</v>
      </c>
      <c r="P57" s="116" t="e">
        <f>P44+P55</f>
        <v>#VALUE!</v>
      </c>
      <c r="Q57" s="116" t="e">
        <f>Q44+Q55</f>
        <v>#VALUE!</v>
      </c>
      <c r="R57" s="116" t="e">
        <f>R44+R55</f>
        <v>#VALUE!</v>
      </c>
      <c r="S57" s="237"/>
      <c r="T57" s="116" t="e">
        <f>T44+T55</f>
        <v>#VALUE!</v>
      </c>
      <c r="U57" s="116" t="e">
        <f>U44+U55</f>
        <v>#VALUE!</v>
      </c>
      <c r="V57" s="116" t="e">
        <f>V44+V55</f>
        <v>#VALUE!</v>
      </c>
      <c r="W57" s="116" t="e">
        <f>W44+W55</f>
        <v>#VALUE!</v>
      </c>
      <c r="Y57" s="116" t="e">
        <f>Y44+Y55</f>
        <v>#VALUE!</v>
      </c>
      <c r="Z57" s="116" t="e">
        <f>Z44+Z55</f>
        <v>#VALUE!</v>
      </c>
      <c r="AA57" s="116" t="e">
        <f>AA44+AA55</f>
        <v>#VALUE!</v>
      </c>
      <c r="AB57" s="116" t="e">
        <f>AB44+AB55</f>
        <v>#VALUE!</v>
      </c>
      <c r="AC57" s="116" t="e">
        <f>AC44+AC55</f>
        <v>#VALUE!</v>
      </c>
      <c r="AD57" s="116" t="e">
        <f>ROUND(SUM(-F57,H57:L57),0)</f>
        <v>#VALUE!</v>
      </c>
      <c r="AE57" s="135" t="e">
        <f>ROUND(H57-O57-P57-Q57-R57,0)</f>
        <v>#VALUE!</v>
      </c>
      <c r="AF57" s="116" t="e">
        <f>ROUND(I57-T57-U57-V57-W57,0)</f>
        <v>#VALUE!</v>
      </c>
      <c r="AG57" s="116" t="e">
        <f>ROUND(J57-Y57-Z57-AA57-AC57-AB57,0)</f>
        <v>#VALUE!</v>
      </c>
      <c r="AH57" s="116"/>
      <c r="AI57" s="116"/>
      <c r="AJ57" s="116"/>
      <c r="AK57" s="116"/>
    </row>
    <row r="58" spans="1:37" hidden="1">
      <c r="A58" s="2"/>
      <c r="B58" s="2"/>
      <c r="C58" s="2"/>
      <c r="G58" s="121"/>
      <c r="AE58" s="209"/>
      <c r="AF58" s="165"/>
      <c r="AG58" s="165"/>
      <c r="AH58" s="165"/>
      <c r="AI58" s="165"/>
      <c r="AJ58" s="165"/>
      <c r="AK58" s="165"/>
    </row>
    <row r="59" spans="1:37" hidden="1">
      <c r="A59" s="2" t="s">
        <v>847</v>
      </c>
      <c r="B59" s="2"/>
      <c r="C59" s="2"/>
      <c r="E59" s="234">
        <f>'[4]P+T+D+R+M'!H59</f>
        <v>6.7805240282880597E-2</v>
      </c>
      <c r="F59" s="234" t="e">
        <f>F29/F57</f>
        <v>#VALUE!</v>
      </c>
      <c r="G59" s="235"/>
      <c r="H59" s="234" t="e">
        <f>H29/H57</f>
        <v>#VALUE!</v>
      </c>
      <c r="I59" s="234" t="e">
        <f>I29/I57</f>
        <v>#VALUE!</v>
      </c>
      <c r="J59" s="234" t="e">
        <f>J29/J57</f>
        <v>#VALUE!</v>
      </c>
      <c r="K59" s="234" t="e">
        <f>K29/K57</f>
        <v>#VALUE!</v>
      </c>
      <c r="L59" s="234" t="e">
        <f>L29/L57</f>
        <v>#VALUE!</v>
      </c>
      <c r="M59" s="231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E59" s="209"/>
      <c r="AF59" s="165"/>
      <c r="AG59" s="165"/>
      <c r="AH59" s="165"/>
      <c r="AI59" s="165"/>
      <c r="AJ59" s="165"/>
      <c r="AK59" s="165"/>
    </row>
    <row r="60" spans="1:37" hidden="1">
      <c r="A60" s="2"/>
      <c r="B60" s="2"/>
      <c r="C60" s="2"/>
      <c r="E60" s="234"/>
      <c r="F60" s="234"/>
      <c r="G60" s="235"/>
      <c r="H60" s="236"/>
      <c r="I60" s="236"/>
      <c r="J60" s="236"/>
      <c r="K60" s="236"/>
      <c r="L60" s="236"/>
      <c r="M60" s="231"/>
      <c r="O60" s="135"/>
      <c r="P60" s="135"/>
      <c r="Q60" s="135"/>
      <c r="R60" s="135"/>
      <c r="T60" s="116"/>
      <c r="U60" s="116"/>
      <c r="V60" s="116"/>
      <c r="W60" s="116"/>
      <c r="X60" s="230"/>
      <c r="Y60" s="116"/>
      <c r="Z60" s="116"/>
      <c r="AA60" s="116"/>
      <c r="AB60" s="116"/>
      <c r="AC60" s="116"/>
      <c r="AE60" s="209"/>
      <c r="AF60" s="165"/>
      <c r="AG60" s="165"/>
      <c r="AH60" s="165"/>
      <c r="AI60" s="165"/>
      <c r="AJ60" s="165"/>
      <c r="AK60" s="165"/>
    </row>
    <row r="61" spans="1:37" hidden="1">
      <c r="A61" s="2" t="s">
        <v>846</v>
      </c>
      <c r="B61" s="2"/>
      <c r="C61" s="2"/>
      <c r="E61" s="234">
        <f>'[4]P+T+D+R+M'!H61</f>
        <v>8.4811943884629412E-2</v>
      </c>
      <c r="F61" s="234" t="e">
        <f>(F59-[4]Inputs!$M$19-[4]Inputs!$M$20)/[4]Inputs!$K$21</f>
        <v>#VALUE!</v>
      </c>
      <c r="G61" s="235"/>
      <c r="H61" s="234" t="e">
        <f>(H59-[4]Inputs!$M$19-[4]Inputs!$M$20)/[4]Inputs!$K$21</f>
        <v>#VALUE!</v>
      </c>
      <c r="I61" s="234" t="e">
        <f>(I59-[4]Inputs!$M$19-[4]Inputs!$M$20)/[4]Inputs!$K$21</f>
        <v>#VALUE!</v>
      </c>
      <c r="J61" s="234" t="e">
        <f>(J59-[4]Inputs!$M$19-[4]Inputs!$M$20)/[4]Inputs!$K$21</f>
        <v>#VALUE!</v>
      </c>
      <c r="K61" s="234" t="e">
        <f>(K59-[4]Inputs!$M$19-[4]Inputs!$M$20)/[4]Inputs!$K$21</f>
        <v>#VALUE!</v>
      </c>
      <c r="L61" s="234" t="e">
        <f>(L59-[4]Inputs!$M$19-[4]Inputs!$M$20)/[4]Inputs!$K$21</f>
        <v>#VALUE!</v>
      </c>
      <c r="M61" s="231"/>
      <c r="O61" s="230"/>
      <c r="P61" s="230"/>
      <c r="Q61" s="230"/>
      <c r="R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E61" s="135"/>
      <c r="AF61" s="230"/>
      <c r="AG61" s="230"/>
      <c r="AH61" s="230"/>
      <c r="AI61" s="230"/>
      <c r="AJ61" s="230"/>
      <c r="AK61" s="230"/>
    </row>
    <row r="62" spans="1:37" hidden="1">
      <c r="A62" s="2"/>
      <c r="B62" s="2"/>
      <c r="C62" s="2"/>
      <c r="E62" s="230"/>
      <c r="G62" s="232"/>
      <c r="H62" s="230"/>
      <c r="I62" s="230"/>
      <c r="J62" s="230"/>
      <c r="K62" s="230"/>
      <c r="L62" s="230"/>
      <c r="M62" s="231"/>
      <c r="O62" s="230"/>
      <c r="P62" s="230"/>
      <c r="Q62" s="230"/>
      <c r="R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3"/>
      <c r="AE62" s="135"/>
      <c r="AF62" s="230"/>
      <c r="AG62" s="230"/>
      <c r="AH62" s="230"/>
      <c r="AI62" s="230"/>
      <c r="AJ62" s="230"/>
      <c r="AK62" s="230"/>
    </row>
    <row r="63" spans="1:37" hidden="1">
      <c r="A63" s="2"/>
      <c r="B63" s="2"/>
      <c r="C63" s="2"/>
      <c r="E63" s="230"/>
      <c r="G63" s="232"/>
      <c r="H63" s="230"/>
      <c r="I63" s="230"/>
      <c r="J63" s="230"/>
      <c r="K63" s="230"/>
      <c r="L63" s="230"/>
      <c r="M63" s="231"/>
      <c r="O63" s="230"/>
      <c r="P63" s="230"/>
      <c r="Q63" s="230"/>
      <c r="R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E63" s="135"/>
      <c r="AF63" s="230"/>
      <c r="AG63" s="230"/>
      <c r="AH63" s="230"/>
      <c r="AI63" s="230"/>
      <c r="AJ63" s="230"/>
      <c r="AK63" s="230"/>
    </row>
    <row r="64" spans="1:37" hidden="1">
      <c r="A64" s="2"/>
      <c r="B64" s="2"/>
      <c r="C64" s="2"/>
      <c r="G64" s="121"/>
      <c r="AE64" s="135"/>
    </row>
    <row r="65" spans="1:37" hidden="1">
      <c r="A65" s="150" t="s">
        <v>845</v>
      </c>
      <c r="B65" s="150"/>
      <c r="C65" s="150"/>
      <c r="E65" s="116" t="e">
        <f>'[4]P+T+D+R+M'!H79</f>
        <v>#DIV/0!</v>
      </c>
      <c r="F65" s="116" t="e">
        <f>F57</f>
        <v>#VALUE!</v>
      </c>
      <c r="G65" s="228" t="e">
        <f>ROUND(E65-F65,0)</f>
        <v>#DIV/0!</v>
      </c>
      <c r="H65" s="116" t="e">
        <f>H57</f>
        <v>#VALUE!</v>
      </c>
      <c r="I65" s="116" t="e">
        <f>I57</f>
        <v>#VALUE!</v>
      </c>
      <c r="J65" s="116" t="e">
        <f>J57</f>
        <v>#VALUE!</v>
      </c>
      <c r="K65" s="116" t="e">
        <f>K57</f>
        <v>#VALUE!</v>
      </c>
      <c r="L65" s="116" t="e">
        <f>L57</f>
        <v>#VALUE!</v>
      </c>
      <c r="N65" s="116"/>
      <c r="O65" s="116" t="e">
        <f>O57</f>
        <v>#VALUE!</v>
      </c>
      <c r="P65" s="116" t="e">
        <f>P57</f>
        <v>#VALUE!</v>
      </c>
      <c r="Q65" s="116" t="e">
        <f>Q57</f>
        <v>#VALUE!</v>
      </c>
      <c r="R65" s="116" t="e">
        <f>R57</f>
        <v>#VALUE!</v>
      </c>
      <c r="S65" s="2"/>
      <c r="T65" s="116" t="e">
        <f>T57</f>
        <v>#VALUE!</v>
      </c>
      <c r="U65" s="116" t="e">
        <f>U57</f>
        <v>#VALUE!</v>
      </c>
      <c r="V65" s="116" t="e">
        <f>V57</f>
        <v>#VALUE!</v>
      </c>
      <c r="W65" s="116" t="e">
        <f>W57</f>
        <v>#VALUE!</v>
      </c>
      <c r="X65" s="116"/>
      <c r="Y65" s="116" t="e">
        <f>Y57</f>
        <v>#VALUE!</v>
      </c>
      <c r="Z65" s="116" t="e">
        <f>Z57</f>
        <v>#VALUE!</v>
      </c>
      <c r="AA65" s="116" t="e">
        <f>AA57</f>
        <v>#VALUE!</v>
      </c>
      <c r="AB65" s="116" t="e">
        <f>AB57</f>
        <v>#VALUE!</v>
      </c>
      <c r="AC65" s="116" t="e">
        <f>AC57</f>
        <v>#VALUE!</v>
      </c>
      <c r="AD65" s="116" t="e">
        <f>ROUND(SUM(-F65,H65:L65),0)</f>
        <v>#VALUE!</v>
      </c>
      <c r="AE65" s="135" t="e">
        <f>ROUND(H65-O65-P65-Q65-R65,0)</f>
        <v>#VALUE!</v>
      </c>
      <c r="AF65" s="116" t="e">
        <f>ROUND(I65-T65-U65-V65-W65,0)</f>
        <v>#VALUE!</v>
      </c>
      <c r="AG65" s="116" t="e">
        <f>ROUND(J65-Y65-Z65-AA65-AC65-AB65,0)</f>
        <v>#VALUE!</v>
      </c>
      <c r="AH65" s="116"/>
      <c r="AI65" s="116"/>
      <c r="AJ65" s="116"/>
      <c r="AK65" s="116"/>
    </row>
    <row r="66" spans="1:37" hidden="1">
      <c r="A66" s="150"/>
      <c r="B66" s="150"/>
      <c r="C66" s="150"/>
      <c r="F66" s="165"/>
      <c r="G66" s="229"/>
      <c r="H66" s="165"/>
      <c r="I66" s="165"/>
      <c r="J66" s="165"/>
      <c r="K66" s="165"/>
      <c r="L66" s="165"/>
      <c r="AE66" s="135"/>
    </row>
    <row r="67" spans="1:37" hidden="1">
      <c r="A67" s="150" t="s">
        <v>844</v>
      </c>
      <c r="B67" s="150"/>
      <c r="C67" s="150"/>
      <c r="E67" s="116">
        <f>'[4]P+T+D+R+M'!H82</f>
        <v>528297642.3762911</v>
      </c>
      <c r="F67" s="116" t="e">
        <f>F29</f>
        <v>#VALUE!</v>
      </c>
      <c r="G67" s="228" t="e">
        <f>ROUND(E67-F67,0)</f>
        <v>#VALUE!</v>
      </c>
      <c r="H67" s="116" t="e">
        <f>H29</f>
        <v>#VALUE!</v>
      </c>
      <c r="I67" s="116" t="e">
        <f>I29</f>
        <v>#VALUE!</v>
      </c>
      <c r="J67" s="116" t="e">
        <f>J29</f>
        <v>#VALUE!</v>
      </c>
      <c r="K67" s="116" t="e">
        <f>K29</f>
        <v>#VALUE!</v>
      </c>
      <c r="L67" s="116" t="e">
        <f>L29</f>
        <v>#VALUE!</v>
      </c>
      <c r="N67" s="116"/>
      <c r="O67" s="116" t="e">
        <f>$H59*O65</f>
        <v>#VALUE!</v>
      </c>
      <c r="P67" s="116" t="e">
        <f>$H59*P65</f>
        <v>#VALUE!</v>
      </c>
      <c r="Q67" s="116" t="e">
        <f>$H59*Q65</f>
        <v>#VALUE!</v>
      </c>
      <c r="R67" s="116" t="e">
        <f>$H59*R65</f>
        <v>#VALUE!</v>
      </c>
      <c r="S67" s="116"/>
      <c r="T67" s="116" t="e">
        <f>$I59*T65</f>
        <v>#VALUE!</v>
      </c>
      <c r="U67" s="116" t="e">
        <f>$I59*U65</f>
        <v>#VALUE!</v>
      </c>
      <c r="V67" s="116" t="e">
        <f>$I59*V65</f>
        <v>#VALUE!</v>
      </c>
      <c r="W67" s="116" t="e">
        <f>$I59*W65</f>
        <v>#VALUE!</v>
      </c>
      <c r="X67" s="116"/>
      <c r="Y67" s="116" t="e">
        <f>$J59*Y65</f>
        <v>#VALUE!</v>
      </c>
      <c r="Z67" s="116" t="e">
        <f>$J59*Z65</f>
        <v>#VALUE!</v>
      </c>
      <c r="AA67" s="116" t="e">
        <f>$J59*AA65</f>
        <v>#VALUE!</v>
      </c>
      <c r="AB67" s="116" t="e">
        <f>$J59*AB65</f>
        <v>#VALUE!</v>
      </c>
      <c r="AC67" s="116" t="e">
        <f>$J59*AC65</f>
        <v>#VALUE!</v>
      </c>
      <c r="AD67" s="116" t="e">
        <f>ROUND(SUM(-F67,H67:L67),0)</f>
        <v>#VALUE!</v>
      </c>
      <c r="AE67" s="135" t="e">
        <f>ROUND(H67-O67-P67-Q67-R67,0)</f>
        <v>#VALUE!</v>
      </c>
      <c r="AF67" s="116" t="e">
        <f>ROUND(I67-T67-U67-V67-W67,0)</f>
        <v>#VALUE!</v>
      </c>
      <c r="AG67" s="116" t="e">
        <f>ROUND(J67-Y67-Z67-AA67-AC67-AB67,0)</f>
        <v>#VALUE!</v>
      </c>
      <c r="AH67" s="116"/>
      <c r="AI67" s="116"/>
      <c r="AJ67" s="116"/>
      <c r="AK67" s="116"/>
    </row>
    <row r="68" spans="1:37" hidden="1">
      <c r="A68" s="150" t="s">
        <v>843</v>
      </c>
      <c r="B68" s="150"/>
      <c r="C68" s="150"/>
      <c r="E68" s="116">
        <f>'[4]P+T+D+R+M'!H83</f>
        <v>1146681175.4993043</v>
      </c>
      <c r="F68" s="116" t="e">
        <f>F18</f>
        <v>#VALUE!</v>
      </c>
      <c r="G68" s="228" t="e">
        <f>ROUND(E68-F68,0)</f>
        <v>#VALUE!</v>
      </c>
      <c r="H68" s="116" t="e">
        <f>H18</f>
        <v>#VALUE!</v>
      </c>
      <c r="I68" s="116" t="e">
        <f>I18</f>
        <v>#VALUE!</v>
      </c>
      <c r="J68" s="116" t="e">
        <f>J18</f>
        <v>#VALUE!</v>
      </c>
      <c r="K68" s="116" t="e">
        <f>K18</f>
        <v>#VALUE!</v>
      </c>
      <c r="L68" s="116" t="e">
        <f>L18</f>
        <v>#VALUE!</v>
      </c>
      <c r="N68" s="116"/>
      <c r="O68" s="116" t="e">
        <f>O18</f>
        <v>#VALUE!</v>
      </c>
      <c r="P68" s="116" t="e">
        <f>P18</f>
        <v>#VALUE!</v>
      </c>
      <c r="Q68" s="116" t="e">
        <f>Q18</f>
        <v>#VALUE!</v>
      </c>
      <c r="R68" s="116" t="e">
        <f>R18</f>
        <v>#VALUE!</v>
      </c>
      <c r="S68" s="116"/>
      <c r="T68" s="116" t="e">
        <f>T18</f>
        <v>#VALUE!</v>
      </c>
      <c r="U68" s="116" t="e">
        <f>U18</f>
        <v>#VALUE!</v>
      </c>
      <c r="V68" s="116" t="e">
        <f>V18</f>
        <v>#VALUE!</v>
      </c>
      <c r="W68" s="116" t="e">
        <f>W18</f>
        <v>#VALUE!</v>
      </c>
      <c r="X68" s="116"/>
      <c r="Y68" s="116" t="e">
        <f>Y18</f>
        <v>#VALUE!</v>
      </c>
      <c r="Z68" s="116" t="e">
        <f>Z18</f>
        <v>#VALUE!</v>
      </c>
      <c r="AA68" s="116" t="e">
        <f>AA18</f>
        <v>#VALUE!</v>
      </c>
      <c r="AB68" s="116" t="e">
        <f>AB18</f>
        <v>#VALUE!</v>
      </c>
      <c r="AC68" s="116" t="e">
        <f>AC18</f>
        <v>#VALUE!</v>
      </c>
      <c r="AD68" s="116" t="e">
        <f>ROUND(SUM(-F68,H68:L68),0)</f>
        <v>#VALUE!</v>
      </c>
      <c r="AE68" s="135" t="e">
        <f>ROUND(H68-O68-P68-Q68-R68,0)</f>
        <v>#VALUE!</v>
      </c>
      <c r="AF68" s="116" t="e">
        <f>ROUND(I68-T68-U68-V68-W68,0)</f>
        <v>#VALUE!</v>
      </c>
      <c r="AG68" s="116" t="e">
        <f>ROUND(J68-Y68-Z68-AA68-AC68-AB68,0)</f>
        <v>#VALUE!</v>
      </c>
      <c r="AH68" s="116"/>
      <c r="AI68" s="116"/>
      <c r="AJ68" s="116"/>
      <c r="AK68" s="116"/>
    </row>
    <row r="69" spans="1:37" hidden="1">
      <c r="A69" s="150" t="s">
        <v>842</v>
      </c>
      <c r="B69" s="150"/>
      <c r="C69" s="150"/>
      <c r="E69" s="116"/>
      <c r="G69" s="229"/>
      <c r="AE69" s="135"/>
    </row>
    <row r="70" spans="1:37" hidden="1">
      <c r="A70" s="150" t="s">
        <v>841</v>
      </c>
      <c r="B70" s="150"/>
      <c r="C70" s="150"/>
      <c r="E70" s="116">
        <f>'[4]P+T+D+R+M'!H85</f>
        <v>433070424.04389369</v>
      </c>
      <c r="F70" s="116" t="e">
        <f>F19</f>
        <v>#VALUE!</v>
      </c>
      <c r="G70" s="228" t="e">
        <f>ROUND(E70-F70,0)</f>
        <v>#VALUE!</v>
      </c>
      <c r="H70" s="116" t="e">
        <f t="shared" ref="H70:L73" si="15">H19</f>
        <v>#VALUE!</v>
      </c>
      <c r="I70" s="116" t="e">
        <f t="shared" si="15"/>
        <v>#VALUE!</v>
      </c>
      <c r="J70" s="116" t="e">
        <f t="shared" si="15"/>
        <v>#VALUE!</v>
      </c>
      <c r="K70" s="116" t="e">
        <f t="shared" si="15"/>
        <v>#VALUE!</v>
      </c>
      <c r="L70" s="116" t="e">
        <f t="shared" si="15"/>
        <v>#VALUE!</v>
      </c>
      <c r="N70" s="116"/>
      <c r="O70" s="116" t="e">
        <f t="shared" ref="O70:R73" si="16">O19</f>
        <v>#VALUE!</v>
      </c>
      <c r="P70" s="116" t="e">
        <f t="shared" si="16"/>
        <v>#VALUE!</v>
      </c>
      <c r="Q70" s="116" t="e">
        <f t="shared" si="16"/>
        <v>#VALUE!</v>
      </c>
      <c r="R70" s="116" t="e">
        <f t="shared" si="16"/>
        <v>#VALUE!</v>
      </c>
      <c r="S70" s="116"/>
      <c r="T70" s="116" t="e">
        <f t="shared" ref="T70:W73" si="17">T19</f>
        <v>#VALUE!</v>
      </c>
      <c r="U70" s="116" t="e">
        <f t="shared" si="17"/>
        <v>#VALUE!</v>
      </c>
      <c r="V70" s="116" t="e">
        <f t="shared" si="17"/>
        <v>#VALUE!</v>
      </c>
      <c r="W70" s="116" t="e">
        <f t="shared" si="17"/>
        <v>#VALUE!</v>
      </c>
      <c r="X70" s="116"/>
      <c r="Y70" s="116" t="e">
        <f t="shared" ref="Y70:AC73" si="18">Y19</f>
        <v>#VALUE!</v>
      </c>
      <c r="Z70" s="116" t="e">
        <f t="shared" si="18"/>
        <v>#VALUE!</v>
      </c>
      <c r="AA70" s="116" t="e">
        <f t="shared" si="18"/>
        <v>#VALUE!</v>
      </c>
      <c r="AB70" s="116" t="e">
        <f t="shared" si="18"/>
        <v>#VALUE!</v>
      </c>
      <c r="AC70" s="116" t="e">
        <f t="shared" si="18"/>
        <v>#VALUE!</v>
      </c>
      <c r="AD70" s="116" t="e">
        <f>ROUND(SUM(-F70,H70:L70),0)</f>
        <v>#VALUE!</v>
      </c>
      <c r="AE70" s="135" t="e">
        <f>ROUND(H70-O70-P70-Q70-R70,0)</f>
        <v>#VALUE!</v>
      </c>
      <c r="AF70" s="116" t="e">
        <f>ROUND(I70-T70-U70-V70-W70,0)</f>
        <v>#VALUE!</v>
      </c>
      <c r="AG70" s="116" t="e">
        <f>ROUND(J70-Y70-Z70-AA70-AC70-AB70,0)</f>
        <v>#VALUE!</v>
      </c>
      <c r="AH70" s="116"/>
      <c r="AI70" s="116"/>
      <c r="AJ70" s="116"/>
      <c r="AK70" s="116"/>
    </row>
    <row r="71" spans="1:37" hidden="1">
      <c r="A71" s="150" t="s">
        <v>840</v>
      </c>
      <c r="B71" s="150"/>
      <c r="C71" s="150"/>
      <c r="E71" s="116">
        <f>'[4]P+T+D+R+M'!H86</f>
        <v>7341100.8115204135</v>
      </c>
      <c r="F71" s="116" t="e">
        <f>F20</f>
        <v>#VALUE!</v>
      </c>
      <c r="G71" s="228" t="e">
        <f>ROUND(E71-F71,0)</f>
        <v>#VALUE!</v>
      </c>
      <c r="H71" s="116" t="e">
        <f t="shared" si="15"/>
        <v>#VALUE!</v>
      </c>
      <c r="I71" s="116" t="e">
        <f t="shared" si="15"/>
        <v>#VALUE!</v>
      </c>
      <c r="J71" s="116" t="e">
        <f t="shared" si="15"/>
        <v>#VALUE!</v>
      </c>
      <c r="K71" s="116" t="e">
        <f t="shared" si="15"/>
        <v>#VALUE!</v>
      </c>
      <c r="L71" s="116" t="e">
        <f t="shared" si="15"/>
        <v>#VALUE!</v>
      </c>
      <c r="N71" s="116"/>
      <c r="O71" s="116" t="e">
        <f t="shared" si="16"/>
        <v>#VALUE!</v>
      </c>
      <c r="P71" s="116" t="e">
        <f t="shared" si="16"/>
        <v>#VALUE!</v>
      </c>
      <c r="Q71" s="116" t="e">
        <f t="shared" si="16"/>
        <v>#VALUE!</v>
      </c>
      <c r="R71" s="116" t="e">
        <f t="shared" si="16"/>
        <v>#VALUE!</v>
      </c>
      <c r="S71" s="116"/>
      <c r="T71" s="116" t="e">
        <f t="shared" si="17"/>
        <v>#VALUE!</v>
      </c>
      <c r="U71" s="116" t="e">
        <f t="shared" si="17"/>
        <v>#VALUE!</v>
      </c>
      <c r="V71" s="116" t="e">
        <f t="shared" si="17"/>
        <v>#VALUE!</v>
      </c>
      <c r="W71" s="116" t="e">
        <f t="shared" si="17"/>
        <v>#VALUE!</v>
      </c>
      <c r="X71" s="116"/>
      <c r="Y71" s="116" t="e">
        <f t="shared" si="18"/>
        <v>#VALUE!</v>
      </c>
      <c r="Z71" s="116" t="e">
        <f t="shared" si="18"/>
        <v>#VALUE!</v>
      </c>
      <c r="AA71" s="116" t="e">
        <f t="shared" si="18"/>
        <v>#VALUE!</v>
      </c>
      <c r="AB71" s="116" t="e">
        <f t="shared" si="18"/>
        <v>#VALUE!</v>
      </c>
      <c r="AC71" s="116" t="e">
        <f t="shared" si="18"/>
        <v>#VALUE!</v>
      </c>
      <c r="AD71" s="116" t="e">
        <f>ROUND(SUM(-F71,H71:L71),0)</f>
        <v>#VALUE!</v>
      </c>
      <c r="AE71" s="135" t="e">
        <f>ROUND(H71-O71-P71-Q71-R71,0)</f>
        <v>#VALUE!</v>
      </c>
      <c r="AF71" s="116" t="e">
        <f>ROUND(I71-T71-U71-V71-W71,0)</f>
        <v>#VALUE!</v>
      </c>
      <c r="AG71" s="116" t="e">
        <f>ROUND(J71-Y71-Z71-AA71-AC71-AB71,0)</f>
        <v>#VALUE!</v>
      </c>
      <c r="AH71" s="116"/>
      <c r="AI71" s="116"/>
      <c r="AJ71" s="116"/>
      <c r="AK71" s="116"/>
    </row>
    <row r="72" spans="1:37" hidden="1">
      <c r="A72" s="150" t="s">
        <v>422</v>
      </c>
      <c r="B72" s="150"/>
      <c r="C72" s="150"/>
      <c r="E72" s="116">
        <f>'[4]P+T+D+R+M'!H87</f>
        <v>86016982.977037191</v>
      </c>
      <c r="F72" s="116" t="e">
        <f>F21</f>
        <v>#VALUE!</v>
      </c>
      <c r="G72" s="228" t="e">
        <f>ROUND(E72-F72,0)</f>
        <v>#VALUE!</v>
      </c>
      <c r="H72" s="116" t="e">
        <f t="shared" si="15"/>
        <v>#VALUE!</v>
      </c>
      <c r="I72" s="116" t="e">
        <f t="shared" si="15"/>
        <v>#VALUE!</v>
      </c>
      <c r="J72" s="116" t="e">
        <f t="shared" si="15"/>
        <v>#VALUE!</v>
      </c>
      <c r="K72" s="116" t="e">
        <f t="shared" si="15"/>
        <v>#VALUE!</v>
      </c>
      <c r="L72" s="116" t="e">
        <f t="shared" si="15"/>
        <v>#VALUE!</v>
      </c>
      <c r="N72" s="116"/>
      <c r="O72" s="116" t="e">
        <f t="shared" si="16"/>
        <v>#VALUE!</v>
      </c>
      <c r="P72" s="116" t="e">
        <f t="shared" si="16"/>
        <v>#VALUE!</v>
      </c>
      <c r="Q72" s="116" t="e">
        <f t="shared" si="16"/>
        <v>#VALUE!</v>
      </c>
      <c r="R72" s="116" t="e">
        <f t="shared" si="16"/>
        <v>#VALUE!</v>
      </c>
      <c r="S72" s="116"/>
      <c r="T72" s="116" t="e">
        <f t="shared" si="17"/>
        <v>#VALUE!</v>
      </c>
      <c r="U72" s="116" t="e">
        <f t="shared" si="17"/>
        <v>#VALUE!</v>
      </c>
      <c r="V72" s="116" t="e">
        <f t="shared" si="17"/>
        <v>#VALUE!</v>
      </c>
      <c r="W72" s="116" t="e">
        <f t="shared" si="17"/>
        <v>#VALUE!</v>
      </c>
      <c r="X72" s="116"/>
      <c r="Y72" s="116" t="e">
        <f t="shared" si="18"/>
        <v>#VALUE!</v>
      </c>
      <c r="Z72" s="116" t="e">
        <f t="shared" si="18"/>
        <v>#VALUE!</v>
      </c>
      <c r="AA72" s="116" t="e">
        <f t="shared" si="18"/>
        <v>#VALUE!</v>
      </c>
      <c r="AB72" s="116" t="e">
        <f t="shared" si="18"/>
        <v>#VALUE!</v>
      </c>
      <c r="AC72" s="116" t="e">
        <f t="shared" si="18"/>
        <v>#VALUE!</v>
      </c>
      <c r="AD72" s="116" t="e">
        <f>ROUND(SUM(-F72,H72:L72),0)</f>
        <v>#VALUE!</v>
      </c>
      <c r="AE72" s="135" t="e">
        <f>ROUND(H72-O72-P72-Q72-R72,0)</f>
        <v>#VALUE!</v>
      </c>
      <c r="AF72" s="116" t="e">
        <f>ROUND(I72-T72-U72-V72-W72,0)</f>
        <v>#VALUE!</v>
      </c>
      <c r="AG72" s="116" t="e">
        <f>ROUND(J72-Y72-Z72-AA72-AC72-AB72,0)</f>
        <v>#VALUE!</v>
      </c>
      <c r="AH72" s="116"/>
      <c r="AI72" s="116"/>
      <c r="AJ72" s="116"/>
      <c r="AK72" s="116"/>
    </row>
    <row r="73" spans="1:37" hidden="1">
      <c r="A73" s="150" t="s">
        <v>839</v>
      </c>
      <c r="B73" s="150"/>
      <c r="C73" s="150"/>
      <c r="E73" s="116">
        <f>'[4]P+T+D+R+M'!H88</f>
        <v>-70674667.589960188</v>
      </c>
      <c r="F73" s="116" t="e">
        <f>F22</f>
        <v>#VALUE!</v>
      </c>
      <c r="G73" s="228" t="e">
        <f>ROUND(E73-F73,0)</f>
        <v>#VALUE!</v>
      </c>
      <c r="H73" s="116" t="e">
        <f t="shared" si="15"/>
        <v>#VALUE!</v>
      </c>
      <c r="I73" s="116" t="e">
        <f t="shared" si="15"/>
        <v>#VALUE!</v>
      </c>
      <c r="J73" s="116" t="e">
        <f t="shared" si="15"/>
        <v>#VALUE!</v>
      </c>
      <c r="K73" s="116" t="e">
        <f t="shared" si="15"/>
        <v>#VALUE!</v>
      </c>
      <c r="L73" s="116" t="e">
        <f t="shared" si="15"/>
        <v>#VALUE!</v>
      </c>
      <c r="N73" s="116"/>
      <c r="O73" s="116" t="e">
        <f t="shared" si="16"/>
        <v>#VALUE!</v>
      </c>
      <c r="P73" s="116" t="e">
        <f t="shared" si="16"/>
        <v>#VALUE!</v>
      </c>
      <c r="Q73" s="116" t="e">
        <f t="shared" si="16"/>
        <v>#VALUE!</v>
      </c>
      <c r="R73" s="116" t="e">
        <f t="shared" si="16"/>
        <v>#VALUE!</v>
      </c>
      <c r="S73" s="116"/>
      <c r="T73" s="116" t="e">
        <f t="shared" si="17"/>
        <v>#VALUE!</v>
      </c>
      <c r="U73" s="116" t="e">
        <f t="shared" si="17"/>
        <v>#VALUE!</v>
      </c>
      <c r="V73" s="116" t="e">
        <f t="shared" si="17"/>
        <v>#VALUE!</v>
      </c>
      <c r="W73" s="116" t="e">
        <f t="shared" si="17"/>
        <v>#VALUE!</v>
      </c>
      <c r="X73" s="116"/>
      <c r="Y73" s="116" t="e">
        <f t="shared" si="18"/>
        <v>#VALUE!</v>
      </c>
      <c r="Z73" s="116" t="e">
        <f t="shared" si="18"/>
        <v>#VALUE!</v>
      </c>
      <c r="AA73" s="116" t="e">
        <f t="shared" si="18"/>
        <v>#VALUE!</v>
      </c>
      <c r="AB73" s="116" t="e">
        <f t="shared" si="18"/>
        <v>#VALUE!</v>
      </c>
      <c r="AC73" s="116" t="e">
        <f t="shared" si="18"/>
        <v>#VALUE!</v>
      </c>
      <c r="AD73" s="116" t="e">
        <f>ROUND(SUM(-F73,H73:L73),0)</f>
        <v>#VALUE!</v>
      </c>
      <c r="AE73" s="135" t="e">
        <f>ROUND(H73-O73-P73-Q73-R73,0)</f>
        <v>#VALUE!</v>
      </c>
      <c r="AF73" s="116" t="e">
        <f>ROUND(I73-T73-U73-V73-W73,0)</f>
        <v>#VALUE!</v>
      </c>
      <c r="AG73" s="116" t="e">
        <f>ROUND(J73-Y73-Z73-AA73-AC73-AB73,0)</f>
        <v>#VALUE!</v>
      </c>
      <c r="AH73" s="116"/>
      <c r="AI73" s="116"/>
      <c r="AJ73" s="116"/>
      <c r="AK73" s="116"/>
    </row>
    <row r="74" spans="1:37" hidden="1">
      <c r="A74" s="150" t="s">
        <v>838</v>
      </c>
      <c r="B74" s="150"/>
      <c r="C74" s="150"/>
      <c r="E74" s="116"/>
      <c r="G74" s="229"/>
      <c r="AE74" s="135"/>
    </row>
    <row r="75" spans="1:37" hidden="1">
      <c r="A75" s="150" t="s">
        <v>477</v>
      </c>
      <c r="B75" s="150"/>
      <c r="C75" s="150"/>
      <c r="E75" s="116">
        <f>'[4]P+T+D+R+M'!H90</f>
        <v>3273601.4050274193</v>
      </c>
      <c r="F75" s="116" t="e">
        <f>F23</f>
        <v>#VALUE!</v>
      </c>
      <c r="G75" s="228" t="e">
        <f>ROUND(E75-F75,0)</f>
        <v>#VALUE!</v>
      </c>
      <c r="H75" s="116" t="e">
        <f>H23</f>
        <v>#VALUE!</v>
      </c>
      <c r="I75" s="116" t="e">
        <f>I23</f>
        <v>#VALUE!</v>
      </c>
      <c r="J75" s="116" t="e">
        <f>J23</f>
        <v>#VALUE!</v>
      </c>
      <c r="K75" s="116" t="e">
        <f>K23</f>
        <v>#VALUE!</v>
      </c>
      <c r="L75" s="116" t="e">
        <f>L23</f>
        <v>#VALUE!</v>
      </c>
      <c r="N75" s="116"/>
      <c r="O75" s="116">
        <f>O23</f>
        <v>0</v>
      </c>
      <c r="P75" s="116">
        <f>P23</f>
        <v>0</v>
      </c>
      <c r="Q75" s="116" t="e">
        <f>Q23</f>
        <v>#VALUE!</v>
      </c>
      <c r="R75" s="116" t="e">
        <f>R23</f>
        <v>#VALUE!</v>
      </c>
      <c r="S75" s="116"/>
      <c r="T75" s="116">
        <f>T23</f>
        <v>0</v>
      </c>
      <c r="U75" s="116">
        <f>U23</f>
        <v>0</v>
      </c>
      <c r="V75" s="116" t="e">
        <f>V23</f>
        <v>#VALUE!</v>
      </c>
      <c r="W75" s="116" t="e">
        <f>W23</f>
        <v>#VALUE!</v>
      </c>
      <c r="X75" s="116"/>
      <c r="Y75" s="116" t="e">
        <f>Y23</f>
        <v>#VALUE!</v>
      </c>
      <c r="Z75" s="116" t="e">
        <f>Z23</f>
        <v>#VALUE!</v>
      </c>
      <c r="AA75" s="116" t="e">
        <f>AA23</f>
        <v>#VALUE!</v>
      </c>
      <c r="AB75" s="116" t="e">
        <f>AB23</f>
        <v>#VALUE!</v>
      </c>
      <c r="AC75" s="116" t="e">
        <f>AC23</f>
        <v>#VALUE!</v>
      </c>
      <c r="AD75" s="116" t="e">
        <f>ROUND(SUM(-F75,H75:L75),0)</f>
        <v>#VALUE!</v>
      </c>
      <c r="AE75" s="135" t="e">
        <f>ROUND(H75-O75-P75-Q75-R75,0)</f>
        <v>#VALUE!</v>
      </c>
      <c r="AF75" s="116" t="e">
        <f>ROUND(I75-T75-U75-V75-W75,0)</f>
        <v>#VALUE!</v>
      </c>
      <c r="AG75" s="116" t="e">
        <f>ROUND(J75-Y75-Z75-AA75-AC75-AB75,0)</f>
        <v>#VALUE!</v>
      </c>
      <c r="AH75" s="116"/>
      <c r="AI75" s="116"/>
      <c r="AJ75" s="116"/>
      <c r="AK75" s="116"/>
    </row>
    <row r="76" spans="1:37" hidden="1">
      <c r="A76" s="150" t="s">
        <v>837</v>
      </c>
      <c r="B76" s="150"/>
      <c r="C76" s="150"/>
      <c r="E76" s="116"/>
      <c r="G76" s="229"/>
      <c r="AE76" s="135"/>
    </row>
    <row r="77" spans="1:37" hidden="1">
      <c r="A77" s="150" t="s">
        <v>836</v>
      </c>
      <c r="B77" s="150"/>
      <c r="C77" s="150"/>
      <c r="E77" s="116">
        <f>'[4]P+T+D+R+M'!H92</f>
        <v>52040814.812553845</v>
      </c>
      <c r="F77" s="116" t="e">
        <f>F24</f>
        <v>#VALUE!</v>
      </c>
      <c r="G77" s="228" t="e">
        <f>ROUND(E77-F77,0)</f>
        <v>#VALUE!</v>
      </c>
      <c r="H77" s="116" t="e">
        <f t="shared" ref="H77:L79" si="19">H24</f>
        <v>#VALUE!</v>
      </c>
      <c r="I77" s="116" t="e">
        <f t="shared" si="19"/>
        <v>#VALUE!</v>
      </c>
      <c r="J77" s="116" t="e">
        <f t="shared" si="19"/>
        <v>#VALUE!</v>
      </c>
      <c r="K77" s="116" t="e">
        <f t="shared" si="19"/>
        <v>#VALUE!</v>
      </c>
      <c r="L77" s="116" t="e">
        <f t="shared" si="19"/>
        <v>#VALUE!</v>
      </c>
      <c r="N77" s="116"/>
      <c r="O77" s="116" t="e">
        <f t="shared" ref="O77:R79" si="20">O24</f>
        <v>#VALUE!</v>
      </c>
      <c r="P77" s="116" t="e">
        <f t="shared" si="20"/>
        <v>#VALUE!</v>
      </c>
      <c r="Q77" s="116" t="e">
        <f t="shared" si="20"/>
        <v>#VALUE!</v>
      </c>
      <c r="R77" s="116" t="e">
        <f t="shared" si="20"/>
        <v>#VALUE!</v>
      </c>
      <c r="S77" s="116"/>
      <c r="T77" s="116" t="e">
        <f t="shared" ref="T77:W79" si="21">T24</f>
        <v>#VALUE!</v>
      </c>
      <c r="U77" s="116" t="e">
        <f t="shared" si="21"/>
        <v>#VALUE!</v>
      </c>
      <c r="V77" s="116" t="e">
        <f t="shared" si="21"/>
        <v>#VALUE!</v>
      </c>
      <c r="W77" s="116" t="e">
        <f t="shared" si="21"/>
        <v>#VALUE!</v>
      </c>
      <c r="X77" s="116"/>
      <c r="Y77" s="116" t="e">
        <f t="shared" ref="Y77:AC79" si="22">Y24</f>
        <v>#VALUE!</v>
      </c>
      <c r="Z77" s="116" t="e">
        <f t="shared" si="22"/>
        <v>#VALUE!</v>
      </c>
      <c r="AA77" s="116" t="e">
        <f t="shared" si="22"/>
        <v>#VALUE!</v>
      </c>
      <c r="AB77" s="116" t="e">
        <f t="shared" si="22"/>
        <v>#VALUE!</v>
      </c>
      <c r="AC77" s="116" t="e">
        <f t="shared" si="22"/>
        <v>#VALUE!</v>
      </c>
      <c r="AD77" s="116" t="e">
        <f>ROUND(SUM(-F77,H77:L77),0)</f>
        <v>#VALUE!</v>
      </c>
      <c r="AE77" s="135" t="e">
        <f>ROUND(H77-O77-P77-Q77-R77,0)</f>
        <v>#VALUE!</v>
      </c>
      <c r="AF77" s="116" t="e">
        <f>ROUND(I77-T77-U77-V77-W77,0)</f>
        <v>#VALUE!</v>
      </c>
      <c r="AG77" s="116" t="e">
        <f>ROUND(J77-Y77-Z77-AA77-AC77-AB77,0)</f>
        <v>#VALUE!</v>
      </c>
      <c r="AH77" s="116"/>
      <c r="AI77" s="116"/>
      <c r="AJ77" s="116"/>
      <c r="AK77" s="116"/>
    </row>
    <row r="78" spans="1:37" hidden="1">
      <c r="A78" s="150" t="s">
        <v>835</v>
      </c>
      <c r="B78" s="150"/>
      <c r="C78" s="150"/>
      <c r="E78" s="116">
        <f>'[4]P+T+D+R+M'!H93</f>
        <v>-1117293.7135367219</v>
      </c>
      <c r="F78" s="116" t="e">
        <f>F25</f>
        <v>#VALUE!</v>
      </c>
      <c r="G78" s="228" t="e">
        <f>ROUND(E78-F78,0)</f>
        <v>#VALUE!</v>
      </c>
      <c r="H78" s="116" t="e">
        <f t="shared" si="19"/>
        <v>#VALUE!</v>
      </c>
      <c r="I78" s="116" t="e">
        <f t="shared" si="19"/>
        <v>#VALUE!</v>
      </c>
      <c r="J78" s="116" t="e">
        <f t="shared" si="19"/>
        <v>#VALUE!</v>
      </c>
      <c r="K78" s="116" t="e">
        <f t="shared" si="19"/>
        <v>#VALUE!</v>
      </c>
      <c r="L78" s="116" t="e">
        <f t="shared" si="19"/>
        <v>#VALUE!</v>
      </c>
      <c r="N78" s="116"/>
      <c r="O78" s="116" t="e">
        <f t="shared" si="20"/>
        <v>#VALUE!</v>
      </c>
      <c r="P78" s="116" t="e">
        <f t="shared" si="20"/>
        <v>#VALUE!</v>
      </c>
      <c r="Q78" s="116" t="e">
        <f t="shared" si="20"/>
        <v>#VALUE!</v>
      </c>
      <c r="R78" s="116" t="e">
        <f t="shared" si="20"/>
        <v>#VALUE!</v>
      </c>
      <c r="S78" s="116"/>
      <c r="T78" s="116" t="e">
        <f t="shared" si="21"/>
        <v>#VALUE!</v>
      </c>
      <c r="U78" s="116" t="e">
        <f t="shared" si="21"/>
        <v>#VALUE!</v>
      </c>
      <c r="V78" s="116" t="e">
        <f t="shared" si="21"/>
        <v>#VALUE!</v>
      </c>
      <c r="W78" s="116" t="e">
        <f t="shared" si="21"/>
        <v>#VALUE!</v>
      </c>
      <c r="X78" s="116"/>
      <c r="Y78" s="116" t="e">
        <f t="shared" si="22"/>
        <v>#VALUE!</v>
      </c>
      <c r="Z78" s="116" t="e">
        <f t="shared" si="22"/>
        <v>#VALUE!</v>
      </c>
      <c r="AA78" s="116" t="e">
        <f t="shared" si="22"/>
        <v>#VALUE!</v>
      </c>
      <c r="AB78" s="116" t="e">
        <f t="shared" si="22"/>
        <v>#VALUE!</v>
      </c>
      <c r="AC78" s="116" t="e">
        <f t="shared" si="22"/>
        <v>#VALUE!</v>
      </c>
      <c r="AD78" s="116" t="e">
        <f>ROUND(SUM(-F78,H78:L78),0)</f>
        <v>#VALUE!</v>
      </c>
      <c r="AE78" s="135" t="e">
        <f>ROUND(H78-O78-P78-Q78-R78,0)</f>
        <v>#VALUE!</v>
      </c>
      <c r="AF78" s="116" t="e">
        <f>ROUND(I78-T78-U78-V78-W78,0)</f>
        <v>#VALUE!</v>
      </c>
      <c r="AG78" s="116" t="e">
        <f>ROUND(J78-Y78-Z78-AA78-AC78-AB78,0)</f>
        <v>#VALUE!</v>
      </c>
      <c r="AH78" s="116"/>
      <c r="AI78" s="116"/>
      <c r="AJ78" s="116"/>
      <c r="AK78" s="116"/>
    </row>
    <row r="79" spans="1:37" hidden="1">
      <c r="A79" s="150" t="s">
        <v>834</v>
      </c>
      <c r="B79" s="150"/>
      <c r="C79" s="150"/>
      <c r="E79" s="116">
        <f>'[4]P+T+D+R+M'!H94</f>
        <v>212019.94862787088</v>
      </c>
      <c r="F79" s="116" t="e">
        <f>F26</f>
        <v>#VALUE!</v>
      </c>
      <c r="G79" s="228" t="e">
        <f>ROUND(E79-F79,0)</f>
        <v>#VALUE!</v>
      </c>
      <c r="H79" s="116" t="e">
        <f t="shared" si="19"/>
        <v>#VALUE!</v>
      </c>
      <c r="I79" s="116" t="e">
        <f t="shared" si="19"/>
        <v>#VALUE!</v>
      </c>
      <c r="J79" s="116" t="e">
        <f t="shared" si="19"/>
        <v>#VALUE!</v>
      </c>
      <c r="K79" s="116" t="e">
        <f t="shared" si="19"/>
        <v>#VALUE!</v>
      </c>
      <c r="L79" s="116" t="e">
        <f t="shared" si="19"/>
        <v>#VALUE!</v>
      </c>
      <c r="N79" s="116"/>
      <c r="O79" s="116" t="e">
        <f t="shared" si="20"/>
        <v>#VALUE!</v>
      </c>
      <c r="P79" s="116" t="e">
        <f t="shared" si="20"/>
        <v>#VALUE!</v>
      </c>
      <c r="Q79" s="116" t="e">
        <f t="shared" si="20"/>
        <v>#VALUE!</v>
      </c>
      <c r="R79" s="116" t="e">
        <f t="shared" si="20"/>
        <v>#VALUE!</v>
      </c>
      <c r="S79" s="116"/>
      <c r="T79" s="116" t="e">
        <f t="shared" si="21"/>
        <v>#VALUE!</v>
      </c>
      <c r="U79" s="116" t="e">
        <f t="shared" si="21"/>
        <v>#VALUE!</v>
      </c>
      <c r="V79" s="116" t="e">
        <f t="shared" si="21"/>
        <v>#VALUE!</v>
      </c>
      <c r="W79" s="116" t="e">
        <f t="shared" si="21"/>
        <v>#VALUE!</v>
      </c>
      <c r="X79" s="116"/>
      <c r="Y79" s="116" t="e">
        <f t="shared" si="22"/>
        <v>#VALUE!</v>
      </c>
      <c r="Z79" s="116" t="e">
        <f t="shared" si="22"/>
        <v>#VALUE!</v>
      </c>
      <c r="AA79" s="116" t="e">
        <f t="shared" si="22"/>
        <v>#VALUE!</v>
      </c>
      <c r="AB79" s="116" t="e">
        <f t="shared" si="22"/>
        <v>#VALUE!</v>
      </c>
      <c r="AC79" s="116" t="e">
        <f t="shared" si="22"/>
        <v>#VALUE!</v>
      </c>
      <c r="AD79" s="116" t="e">
        <f>ROUND(SUM(-F79,H79:L79),0)</f>
        <v>#VALUE!</v>
      </c>
      <c r="AE79" s="135" t="e">
        <f>ROUND(H79-O79-P79-Q79-R79,0)</f>
        <v>#VALUE!</v>
      </c>
      <c r="AF79" s="116" t="e">
        <f>ROUND(I79-T79-U79-V79-W79,0)</f>
        <v>#VALUE!</v>
      </c>
      <c r="AG79" s="116" t="e">
        <f>ROUND(J79-Y79-Z79-AA79-AC79-AB79,0)</f>
        <v>#VALUE!</v>
      </c>
      <c r="AH79" s="116"/>
      <c r="AI79" s="116"/>
      <c r="AJ79" s="116"/>
      <c r="AK79" s="116"/>
    </row>
    <row r="80" spans="1:37" hidden="1">
      <c r="A80" s="150" t="s">
        <v>833</v>
      </c>
      <c r="B80" s="150"/>
      <c r="C80" s="150"/>
      <c r="E80" s="116" t="e">
        <f>'[4]P+T+D+R+M'!H97</f>
        <v>#VALUE!</v>
      </c>
      <c r="F80" s="116" t="e">
        <f>-(G100+G101+G115+G124+G131+G136+G174)-G137-G138-G139</f>
        <v>#VALUE!</v>
      </c>
      <c r="G80" s="228" t="e">
        <f>ROUND(E80-F80,0)</f>
        <v>#VALUE!</v>
      </c>
      <c r="H80" s="116" t="e">
        <f>-(H100+H101+H115+H123+H131+H136+H174)-H137-H138-H139</f>
        <v>#VALUE!</v>
      </c>
      <c r="I80" s="116" t="e">
        <f>-(I100+I101+I115+I123+I131+I136+I174)-I137-I138-I139</f>
        <v>#VALUE!</v>
      </c>
      <c r="J80" s="116" t="e">
        <f>-(J100+J101+J115+J123+J131+J136+J174)-J137-J138-J139</f>
        <v>#VALUE!</v>
      </c>
      <c r="K80" s="116" t="e">
        <f>-(K100+K101+K115+K123+K131+K136+K174)-K137-K138-K139</f>
        <v>#VALUE!</v>
      </c>
      <c r="L80" s="116" t="e">
        <f>-(L100+L101+L115+L123+L131+L136+L174)-L137-L138-L139</f>
        <v>#VALUE!</v>
      </c>
      <c r="N80" s="116"/>
      <c r="O80" s="116" t="e">
        <f>-(O100+O101+O115+O123+O131+O136+O174)-O137-O138-O139</f>
        <v>#VALUE!</v>
      </c>
      <c r="P80" s="116" t="e">
        <f>-(P100+P101+P115+P123+P131+P136+P174)-P137-P138-P139</f>
        <v>#VALUE!</v>
      </c>
      <c r="Q80" s="116" t="e">
        <f>-(Q100+Q101+Q115+Q123+Q131+Q136+Q174)-Q137-Q138-Q139</f>
        <v>#VALUE!</v>
      </c>
      <c r="R80" s="116" t="e">
        <f>-(R100+R101+R115+R123+R131+R136+R174)-R137-R138-R139</f>
        <v>#VALUE!</v>
      </c>
      <c r="S80" s="116"/>
      <c r="T80" s="116" t="e">
        <f>-(T100+T101+T115+T123+T131+T136+T174)-T137-T138-T139</f>
        <v>#VALUE!</v>
      </c>
      <c r="U80" s="116" t="e">
        <f>-(U100+U101+U115+U123+U131+U136+U174)-U137-U138-U139</f>
        <v>#VALUE!</v>
      </c>
      <c r="V80" s="116" t="e">
        <f>-(V100+V101+V115+V123+V131+V136+V174)-V137-V138-V139</f>
        <v>#VALUE!</v>
      </c>
      <c r="W80" s="116" t="e">
        <f>-(W100+W101+W115+W123+W131+W136+W174)-W137-W138-W139</f>
        <v>#VALUE!</v>
      </c>
      <c r="X80" s="116"/>
      <c r="Y80" s="116" t="e">
        <f>-(Y100+Y101+Y115+Y123+Y131+Y136+Y174)-Y137-Y138-Y139</f>
        <v>#VALUE!</v>
      </c>
      <c r="Z80" s="116" t="e">
        <f>-(Z100+Z101+Z115+Z123+Z131+Z136+Z174)-Z137-Z138-Z139</f>
        <v>#VALUE!</v>
      </c>
      <c r="AA80" s="116" t="e">
        <f>-(AA100+AA101+AA115+AA123+AA131+AA136+AA174)-AA137-AA138-AA139</f>
        <v>#VALUE!</v>
      </c>
      <c r="AB80" s="116" t="e">
        <f>-(AB100+AB101+AB115+AB123+AB131+AB136+AB174)-AB137-AB138-AB139</f>
        <v>#VALUE!</v>
      </c>
      <c r="AC80" s="116" t="e">
        <f>-(AC100+AC101+AC115+AC123+AC131+AC136+AC174)-AC137-AC138-AC139</f>
        <v>#VALUE!</v>
      </c>
      <c r="AD80" s="116" t="e">
        <f>ROUND(SUM(-F80,H80:L80),0)</f>
        <v>#VALUE!</v>
      </c>
      <c r="AE80" s="135" t="e">
        <f>ROUND(H80-O80-P80-Q80-R80,0)</f>
        <v>#VALUE!</v>
      </c>
      <c r="AF80" s="116" t="e">
        <f>ROUND(I80-T80-U80-V80-W80,0)</f>
        <v>#VALUE!</v>
      </c>
      <c r="AG80" s="116" t="e">
        <f>ROUND(J80-Y80-Z80-AA80-AC80-AB80,0)</f>
        <v>#VALUE!</v>
      </c>
      <c r="AH80" s="116"/>
      <c r="AI80" s="116"/>
      <c r="AJ80" s="116"/>
      <c r="AK80" s="116"/>
    </row>
    <row r="81" spans="1:45" hidden="1">
      <c r="A81" s="150"/>
      <c r="B81" s="150"/>
      <c r="C81" s="150"/>
      <c r="G81" s="229"/>
      <c r="AE81" s="135"/>
    </row>
    <row r="82" spans="1:45" hidden="1">
      <c r="A82" s="150" t="s">
        <v>832</v>
      </c>
      <c r="B82" s="150"/>
      <c r="C82" s="150"/>
      <c r="E82" s="116">
        <f>'[4]P+T+D+R+M'!H99</f>
        <v>1895285918.2844007</v>
      </c>
      <c r="F82" s="116" t="e">
        <f>SUM(F67:F80)</f>
        <v>#VALUE!</v>
      </c>
      <c r="G82" s="228" t="e">
        <f>ROUND(E82-F82,0)</f>
        <v>#VALUE!</v>
      </c>
      <c r="H82" s="116" t="e">
        <f>SUM(H67:H80)</f>
        <v>#VALUE!</v>
      </c>
      <c r="I82" s="116" t="e">
        <f>SUM(I67:I80)</f>
        <v>#VALUE!</v>
      </c>
      <c r="J82" s="116" t="e">
        <f>SUM(J67:J80)</f>
        <v>#VALUE!</v>
      </c>
      <c r="K82" s="116" t="e">
        <f>SUM(K67:K80)</f>
        <v>#VALUE!</v>
      </c>
      <c r="L82" s="116" t="e">
        <f>SUM(L67:L80)</f>
        <v>#VALUE!</v>
      </c>
      <c r="N82" s="116"/>
      <c r="O82" s="116" t="e">
        <f>SUM(O67:O80)</f>
        <v>#VALUE!</v>
      </c>
      <c r="P82" s="116" t="e">
        <f>SUM(P67:P80)</f>
        <v>#VALUE!</v>
      </c>
      <c r="Q82" s="116" t="e">
        <f>SUM(Q67:Q80)</f>
        <v>#VALUE!</v>
      </c>
      <c r="R82" s="116" t="e">
        <f>SUM(R67:R80)</f>
        <v>#VALUE!</v>
      </c>
      <c r="S82" s="116"/>
      <c r="T82" s="116" t="e">
        <f>SUM(T67:T80)</f>
        <v>#VALUE!</v>
      </c>
      <c r="U82" s="116" t="e">
        <f>SUM(U67:U80)</f>
        <v>#VALUE!</v>
      </c>
      <c r="V82" s="116" t="e">
        <f>SUM(V67:V80)</f>
        <v>#VALUE!</v>
      </c>
      <c r="W82" s="116" t="e">
        <f>SUM(W67:W80)</f>
        <v>#VALUE!</v>
      </c>
      <c r="X82" s="116"/>
      <c r="Y82" s="116" t="e">
        <f>SUM(Y67:Y80)</f>
        <v>#VALUE!</v>
      </c>
      <c r="Z82" s="116" t="e">
        <f>SUM(Z67:Z80)</f>
        <v>#VALUE!</v>
      </c>
      <c r="AA82" s="116" t="e">
        <f>SUM(AA67:AA80)</f>
        <v>#VALUE!</v>
      </c>
      <c r="AB82" s="116" t="e">
        <f>SUM(AB67:AB80)</f>
        <v>#VALUE!</v>
      </c>
      <c r="AC82" s="116" t="e">
        <f>SUM(AC67:AC80)</f>
        <v>#VALUE!</v>
      </c>
      <c r="AD82" s="116" t="e">
        <f>ROUND(SUM(-F82,H82:L82),0)</f>
        <v>#VALUE!</v>
      </c>
      <c r="AE82" s="135" t="e">
        <f>ROUND(H82-O82-P82-Q82-R82,0)</f>
        <v>#VALUE!</v>
      </c>
      <c r="AF82" s="116" t="e">
        <f>ROUND(I82-T82-U82-V82-W82,0)</f>
        <v>#VALUE!</v>
      </c>
      <c r="AG82" s="116" t="e">
        <f>ROUND(J82-Y82-Z82-AA82-AC82-AB82,0)</f>
        <v>#VALUE!</v>
      </c>
      <c r="AH82" s="116"/>
      <c r="AI82" s="116"/>
      <c r="AJ82" s="116"/>
      <c r="AK82" s="116"/>
    </row>
    <row r="83" spans="1:45" hidden="1">
      <c r="A83" s="150" t="s">
        <v>480</v>
      </c>
      <c r="B83" s="150"/>
      <c r="C83" s="150"/>
      <c r="E83" s="116">
        <f>'[4]P+T+D+R+M'!H100</f>
        <v>1895285918.2844</v>
      </c>
      <c r="AE83" s="135"/>
    </row>
    <row r="84" spans="1:45" hidden="1">
      <c r="A84" s="222"/>
      <c r="B84" s="222"/>
      <c r="F84" s="227"/>
      <c r="G84" s="226"/>
      <c r="H84" s="225"/>
      <c r="M84" s="2"/>
      <c r="N84" s="2"/>
      <c r="O84" s="109"/>
      <c r="P84" s="108"/>
      <c r="Q84" s="108"/>
      <c r="R84" s="108"/>
      <c r="S84" s="2"/>
      <c r="U84" s="108"/>
      <c r="V84" s="108"/>
      <c r="W84" s="108"/>
      <c r="AD84" s="224"/>
    </row>
    <row r="85" spans="1:45" hidden="1">
      <c r="A85" s="222"/>
      <c r="B85" s="222"/>
    </row>
    <row r="86" spans="1:45" hidden="1">
      <c r="A86" s="223"/>
      <c r="B86" s="223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8"/>
      <c r="N86" s="187"/>
      <c r="O86" s="185"/>
      <c r="P86" s="185"/>
      <c r="Q86" s="185"/>
      <c r="R86" s="185"/>
      <c r="S86" s="187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21"/>
    </row>
    <row r="87" spans="1:45" hidden="1">
      <c r="A87" s="222"/>
      <c r="B87" s="222"/>
    </row>
    <row r="88" spans="1:45" ht="15.75" hidden="1">
      <c r="A88" s="221" t="str">
        <f>[4]Inputs!$C$6</f>
        <v>12 Months Ended Dec 2021</v>
      </c>
      <c r="B88" s="221"/>
      <c r="C88" s="220"/>
      <c r="D88" s="219"/>
      <c r="E88" s="219"/>
      <c r="F88" s="219"/>
      <c r="H88" s="121"/>
      <c r="I88" s="121"/>
      <c r="J88" s="121"/>
      <c r="K88" s="121"/>
      <c r="L88" s="121"/>
      <c r="M88" s="121"/>
      <c r="N88" s="121" t="s">
        <v>45</v>
      </c>
      <c r="O88" s="121" t="s">
        <v>831</v>
      </c>
      <c r="P88" s="121" t="s">
        <v>830</v>
      </c>
      <c r="Q88" s="121"/>
      <c r="R88" s="121"/>
      <c r="S88" s="121" t="s">
        <v>45</v>
      </c>
      <c r="T88" s="121" t="s">
        <v>831</v>
      </c>
      <c r="U88" s="121" t="s">
        <v>830</v>
      </c>
      <c r="V88" s="121"/>
      <c r="W88" s="121"/>
    </row>
    <row r="89" spans="1:45" hidden="1">
      <c r="F89" s="121"/>
      <c r="M89" s="121"/>
      <c r="O89" s="121"/>
      <c r="P89" s="121"/>
      <c r="Q89" s="121"/>
      <c r="R89" s="121"/>
      <c r="T89" s="121"/>
      <c r="U89" s="121"/>
      <c r="V89" s="121"/>
      <c r="W89" s="121"/>
      <c r="AN89" s="218"/>
      <c r="AO89" s="218"/>
      <c r="AP89" s="218"/>
      <c r="AQ89" s="218"/>
      <c r="AR89" s="218"/>
    </row>
    <row r="90" spans="1:45" hidden="1">
      <c r="C90" s="1"/>
      <c r="E90" s="120"/>
      <c r="F90" s="121"/>
      <c r="G90" s="121"/>
      <c r="M90" s="121"/>
      <c r="N90" s="217"/>
      <c r="O90" s="121"/>
      <c r="P90" s="121"/>
      <c r="Q90" s="121"/>
      <c r="R90" s="121"/>
      <c r="S90" s="217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216"/>
      <c r="AE90" s="216"/>
      <c r="AF90" s="216"/>
      <c r="AG90" s="216"/>
      <c r="AH90" s="121"/>
      <c r="AI90" s="121"/>
      <c r="AJ90" s="121"/>
      <c r="AK90" s="121"/>
      <c r="AN90" s="184" t="s">
        <v>829</v>
      </c>
      <c r="AO90" s="184" t="s">
        <v>828</v>
      </c>
      <c r="AP90" s="184" t="s">
        <v>827</v>
      </c>
      <c r="AQ90" s="184" t="s">
        <v>826</v>
      </c>
      <c r="AR90" s="184" t="s">
        <v>26</v>
      </c>
    </row>
    <row r="91" spans="1:45" ht="38.25" hidden="1">
      <c r="C91" s="213" t="s">
        <v>825</v>
      </c>
      <c r="D91" s="213" t="s">
        <v>824</v>
      </c>
      <c r="E91" s="213" t="s">
        <v>823</v>
      </c>
      <c r="F91" s="213" t="s">
        <v>822</v>
      </c>
      <c r="G91" s="214" t="s">
        <v>821</v>
      </c>
      <c r="H91" s="213" t="s">
        <v>820</v>
      </c>
      <c r="I91" s="213" t="s">
        <v>819</v>
      </c>
      <c r="J91" s="213" t="s">
        <v>818</v>
      </c>
      <c r="K91" s="213" t="s">
        <v>817</v>
      </c>
      <c r="L91" s="213" t="s">
        <v>816</v>
      </c>
      <c r="M91" s="213" t="s">
        <v>815</v>
      </c>
      <c r="N91" s="213" t="s">
        <v>810</v>
      </c>
      <c r="O91" s="213" t="s">
        <v>814</v>
      </c>
      <c r="P91" s="213" t="s">
        <v>813</v>
      </c>
      <c r="Q91" s="213" t="s">
        <v>812</v>
      </c>
      <c r="R91" s="213" t="s">
        <v>811</v>
      </c>
      <c r="S91" s="213" t="s">
        <v>810</v>
      </c>
      <c r="T91" s="213" t="s">
        <v>809</v>
      </c>
      <c r="U91" s="213" t="s">
        <v>808</v>
      </c>
      <c r="V91" s="213" t="s">
        <v>807</v>
      </c>
      <c r="W91" s="213" t="s">
        <v>806</v>
      </c>
      <c r="X91" s="214" t="s">
        <v>805</v>
      </c>
      <c r="Y91" s="215" t="s">
        <v>804</v>
      </c>
      <c r="Z91" s="213" t="s">
        <v>803</v>
      </c>
      <c r="AA91" s="213" t="s">
        <v>802</v>
      </c>
      <c r="AB91" s="213" t="s">
        <v>801</v>
      </c>
      <c r="AC91" s="213" t="s">
        <v>800</v>
      </c>
      <c r="AD91" s="214" t="s">
        <v>799</v>
      </c>
      <c r="AE91" s="214" t="s">
        <v>798</v>
      </c>
      <c r="AF91" s="214" t="s">
        <v>797</v>
      </c>
      <c r="AG91" s="214" t="s">
        <v>796</v>
      </c>
      <c r="AH91" s="213"/>
      <c r="AI91" s="212" t="s">
        <v>116</v>
      </c>
      <c r="AJ91" s="212" t="s">
        <v>128</v>
      </c>
      <c r="AK91" s="212" t="s">
        <v>129</v>
      </c>
    </row>
    <row r="92" spans="1:45" ht="15" hidden="1">
      <c r="F92" s="138" t="str">
        <f>INDEX(FuncAllocOptions,ROW(A92)-ROW($A$92)+1,[4]Inputs!$S$11)</f>
        <v>2020 Protocol</v>
      </c>
      <c r="G92" s="119"/>
      <c r="M92" s="121"/>
      <c r="X92" s="189" t="str">
        <f>INDEX(DistFuncAllocOptions,ROW(A92)-ROW($A$92)+1,[4]Inputs!$S$11)</f>
        <v>Rolled-In</v>
      </c>
      <c r="AD92" s="119"/>
      <c r="AE92" s="119"/>
      <c r="AF92" s="119"/>
      <c r="AG92" s="119"/>
      <c r="AI92"/>
      <c r="AN92" s="211"/>
      <c r="AO92" s="211"/>
      <c r="AP92" s="211"/>
      <c r="AQ92" s="211"/>
      <c r="AR92" s="211"/>
      <c r="AS92" s="210" t="s">
        <v>795</v>
      </c>
    </row>
    <row r="93" spans="1:45" ht="15" hidden="1">
      <c r="A93" s="120">
        <f>ROW()</f>
        <v>93</v>
      </c>
      <c r="B93" s="120"/>
      <c r="C93" s="1">
        <v>440</v>
      </c>
      <c r="D93" s="2" t="s">
        <v>131</v>
      </c>
      <c r="F93" s="138"/>
      <c r="G93" s="119"/>
      <c r="H93" s="209"/>
      <c r="I93" s="209"/>
      <c r="J93" s="209"/>
      <c r="K93" s="209"/>
      <c r="L93" s="209"/>
      <c r="M93" s="121"/>
      <c r="X93" s="189"/>
      <c r="AD93" s="119"/>
      <c r="AE93" s="119"/>
      <c r="AF93" s="119"/>
      <c r="AG93" s="119"/>
      <c r="AI93">
        <f t="shared" ref="AI93:AI124" si="23">IF(OR(C93="",C93=" ",C93="  ",C93="   "),AI92,C93)</f>
        <v>440</v>
      </c>
      <c r="AJ93" t="str">
        <f t="shared" ref="AJ93:AJ156" si="24">IF(E93="","NA",E93)</f>
        <v>NA</v>
      </c>
      <c r="AK93" t="str">
        <f>IF(ISERROR(MATCH(AI93&amp;"."&amp;AJ93,AK$91:AK92,0)),AI93&amp;"."&amp;AJ93,AI93&amp;"."&amp;AJ93&amp;COUNTIFS(AI$91:AI92,AI93,AJ$91:AJ92,AJ93))</f>
        <v>440.NA</v>
      </c>
      <c r="AN93" s="208" t="e">
        <f>($F59-H59)*H57*(1/(1-[4]Inputs!$H$16))</f>
        <v>#VALUE!</v>
      </c>
      <c r="AO93" s="208" t="e">
        <f>($F59-I59)*I57*(1/(1-[4]Inputs!$H$16))</f>
        <v>#VALUE!</v>
      </c>
      <c r="AP93" s="208" t="e">
        <f>($F59-J59)*J57*(1/(1-[4]Inputs!$H$16))</f>
        <v>#VALUE!</v>
      </c>
      <c r="AQ93" s="208" t="e">
        <f>($F59-K59)*K57*(1/(1-[4]Inputs!$H$16))</f>
        <v>#VALUE!</v>
      </c>
      <c r="AR93" s="208" t="e">
        <f>($F59-L59)*L57*(1/(1-[4]Inputs!$H$16))</f>
        <v>#VALUE!</v>
      </c>
      <c r="AS93" s="207" t="e">
        <f>ABS(SUM(AN93:AR93))</f>
        <v>#VALUE!</v>
      </c>
    </row>
    <row r="94" spans="1:45" ht="15" hidden="1">
      <c r="A94" s="120">
        <f>ROW()</f>
        <v>94</v>
      </c>
      <c r="B94" s="120"/>
      <c r="C94" s="1"/>
      <c r="E94" s="121" t="s">
        <v>12</v>
      </c>
      <c r="F94" s="138"/>
      <c r="G94" s="117" t="e">
        <f>SUMIF(FERCJAMFactor,AK94,JAMValue)</f>
        <v>#VALUE!</v>
      </c>
      <c r="H94" s="116">
        <f>IFERROR(H27+H57*$F$59-H13-H14,1/5)</f>
        <v>0.2</v>
      </c>
      <c r="I94" s="116">
        <f>IFERROR(I27+I57*$F$59-I13-I14,1/5)</f>
        <v>0.2</v>
      </c>
      <c r="J94" s="116">
        <f>IFERROR(J27+J57*$F$59-J13-J14,1/5)</f>
        <v>0.2</v>
      </c>
      <c r="K94" s="116">
        <f>IFERROR(K27+K57*$F$59-K13-K14,1/5)</f>
        <v>0.2</v>
      </c>
      <c r="L94" s="116">
        <f>IFERROR(L27+L57*$F$59-L13-L14,1/5)</f>
        <v>0.2</v>
      </c>
      <c r="M94" s="121"/>
      <c r="N94" s="108">
        <v>0.75</v>
      </c>
      <c r="O94" s="116">
        <f>$H94*$N94*$M94</f>
        <v>0</v>
      </c>
      <c r="P94" s="116">
        <f>$H94*(1-$N94)*$M94</f>
        <v>0</v>
      </c>
      <c r="Q94" s="116">
        <f>$H94*$N94*(1-$M94)</f>
        <v>0.15000000000000002</v>
      </c>
      <c r="R94" s="116">
        <f>$H94*(1-$N94)*(1-$M94)</f>
        <v>0.05</v>
      </c>
      <c r="S94" s="108">
        <v>0.75</v>
      </c>
      <c r="T94" s="116">
        <f>$I94*$S94*$M94</f>
        <v>0</v>
      </c>
      <c r="U94" s="116">
        <f>$I94*(1-$S94)*$M94</f>
        <v>0</v>
      </c>
      <c r="V94" s="116">
        <f>$I94*$S94*(1-$M94)</f>
        <v>0.15000000000000002</v>
      </c>
      <c r="W94" s="116">
        <f>$I94*(1-$S94)*(1-$M94)</f>
        <v>0.05</v>
      </c>
      <c r="X94" s="189" t="str">
        <f>INDEX(DistFuncAllocOptions,ROW(A94)-ROW($A$92)+1,[4]Inputs!$S$11)</f>
        <v>DRB</v>
      </c>
      <c r="Y94" s="116">
        <f>INDEX(DistFuncFactorTbl,MATCH($X94,DistFuncFactors,0),MATCH(Y$91,DistFunctions,0))*$J94</f>
        <v>3.7536413527785459E-2</v>
      </c>
      <c r="Z94" s="116">
        <f>INDEX(DistFuncFactorTbl,MATCH($X94,DistFuncFactors,0),MATCH(Z$91,DistFunctions,0))*$J94</f>
        <v>9.4305089070887582E-2</v>
      </c>
      <c r="AA94" s="116">
        <f>INDEX(DistFuncFactorTbl,MATCH($X94,DistFuncFactors,0),MATCH(AA$91,DistFunctions,0))*$J94</f>
        <v>4.141285989242386E-2</v>
      </c>
      <c r="AB94" s="116">
        <f>INDEX(DistFuncFactorTbl,MATCH($X94,DistFuncFactors,0),MATCH(AB$91,DistFunctions,0))*$J94</f>
        <v>2.2024566608096208E-2</v>
      </c>
      <c r="AC94" s="116">
        <f>INDEX(DistFuncFactorTbl,MATCH($X94,DistFuncFactors,0),MATCH(AC$91,DistFunctions,0))*$J94</f>
        <v>4.7210709008069195E-3</v>
      </c>
      <c r="AD94" s="115"/>
      <c r="AE94" s="117">
        <f>ROUND(H94-O94-P94-Q94-R94,0)</f>
        <v>0</v>
      </c>
      <c r="AF94" s="117">
        <f>ROUND(I94-T94-U94-V94-W94,0)</f>
        <v>0</v>
      </c>
      <c r="AG94" s="117">
        <f>ROUND(J94-Y94-Z94-AA94-AC94-AB94,0)</f>
        <v>0</v>
      </c>
      <c r="AH94" s="116"/>
      <c r="AI94">
        <f t="shared" si="23"/>
        <v>440</v>
      </c>
      <c r="AJ94" t="str">
        <f t="shared" si="24"/>
        <v>S</v>
      </c>
      <c r="AK94" t="str">
        <f>IF(ISERROR(MATCH(AI94&amp;"."&amp;AJ94,AK$91:AK93,0)),AI94&amp;"."&amp;AJ94,AI94&amp;"."&amp;AJ94&amp;COUNTIFS(AI$91:AI93,AI94,AJ$91:AJ93,AJ94))</f>
        <v>440.S</v>
      </c>
      <c r="AN94" s="206" t="e">
        <f>AN93+H94</f>
        <v>#VALUE!</v>
      </c>
      <c r="AO94" s="206" t="e">
        <f>AO93+I94</f>
        <v>#VALUE!</v>
      </c>
      <c r="AP94" s="206" t="e">
        <f>AP93+J94</f>
        <v>#VALUE!</v>
      </c>
      <c r="AQ94" s="206" t="e">
        <f>AQ93+K94</f>
        <v>#VALUE!</v>
      </c>
      <c r="AR94" s="206" t="e">
        <f>AR93+L94</f>
        <v>#VALUE!</v>
      </c>
      <c r="AS94" s="205" t="e">
        <f>SUM(AN94:AR94)</f>
        <v>#VALUE!</v>
      </c>
    </row>
    <row r="95" spans="1:45" ht="15" hidden="1">
      <c r="A95" s="120">
        <f>ROW()</f>
        <v>95</v>
      </c>
      <c r="B95" s="120"/>
      <c r="C95" s="1"/>
      <c r="E95" s="121"/>
      <c r="F95" s="138"/>
      <c r="G95" s="133"/>
      <c r="H95" s="139"/>
      <c r="I95" s="139"/>
      <c r="J95" s="139"/>
      <c r="K95" s="139"/>
      <c r="L95" s="139"/>
      <c r="M95" s="121"/>
      <c r="O95" s="116"/>
      <c r="P95" s="116"/>
      <c r="Q95" s="116"/>
      <c r="R95" s="116"/>
      <c r="T95" s="116"/>
      <c r="U95" s="116"/>
      <c r="V95" s="116"/>
      <c r="W95" s="116"/>
      <c r="X95" s="3"/>
      <c r="Y95" s="116"/>
      <c r="Z95" s="116"/>
      <c r="AA95" s="116"/>
      <c r="AB95" s="116"/>
      <c r="AC95" s="116"/>
      <c r="AD95" s="115"/>
      <c r="AE95" s="117"/>
      <c r="AF95" s="117"/>
      <c r="AG95" s="117"/>
      <c r="AH95" s="116"/>
      <c r="AI95">
        <f t="shared" si="23"/>
        <v>440</v>
      </c>
      <c r="AJ95" t="str">
        <f t="shared" si="24"/>
        <v>NA</v>
      </c>
      <c r="AK95" t="str">
        <f>IF(ISERROR(MATCH(AI95&amp;"."&amp;AJ95,AK$91:AK94,0)),AI95&amp;"."&amp;AJ95,AI95&amp;"."&amp;AJ95&amp;COUNTIFS(AI$91:AI94,AI95,AJ$91:AJ94,AJ95))</f>
        <v>440.NA1</v>
      </c>
      <c r="AN95" s="204"/>
      <c r="AO95" s="204"/>
      <c r="AP95" s="204"/>
      <c r="AQ95" s="204"/>
      <c r="AR95" s="204"/>
      <c r="AS95" s="204"/>
    </row>
    <row r="96" spans="1:45" ht="15" hidden="1">
      <c r="A96" s="120">
        <f>ROW()</f>
        <v>96</v>
      </c>
      <c r="B96" s="120"/>
      <c r="C96" s="1"/>
      <c r="E96" s="121"/>
      <c r="F96" s="138"/>
      <c r="G96" s="117" t="e">
        <f t="shared" ref="G96:L96" si="25">SUM(G94:G95)</f>
        <v>#VALUE!</v>
      </c>
      <c r="H96" s="116">
        <f t="shared" si="25"/>
        <v>0.2</v>
      </c>
      <c r="I96" s="116">
        <f t="shared" si="25"/>
        <v>0.2</v>
      </c>
      <c r="J96" s="116">
        <f t="shared" si="25"/>
        <v>0.2</v>
      </c>
      <c r="K96" s="116">
        <f t="shared" si="25"/>
        <v>0.2</v>
      </c>
      <c r="L96" s="116">
        <f t="shared" si="25"/>
        <v>0.2</v>
      </c>
      <c r="O96" s="116">
        <f>SUM(O94)</f>
        <v>0</v>
      </c>
      <c r="P96" s="116">
        <f>SUM(P94)</f>
        <v>0</v>
      </c>
      <c r="Q96" s="116">
        <f>SUM(Q94)</f>
        <v>0.15000000000000002</v>
      </c>
      <c r="R96" s="116">
        <f>SUM(R94)</f>
        <v>0.05</v>
      </c>
      <c r="T96" s="116">
        <f>SUM(T94)</f>
        <v>0</v>
      </c>
      <c r="U96" s="116">
        <f>SUM(U94)</f>
        <v>0</v>
      </c>
      <c r="V96" s="116">
        <f>SUM(V94)</f>
        <v>0.15000000000000002</v>
      </c>
      <c r="W96" s="116">
        <f>SUM(W94)</f>
        <v>0.05</v>
      </c>
      <c r="X96" s="3"/>
      <c r="Y96" s="116">
        <f>SUM(Y94)</f>
        <v>3.7536413527785459E-2</v>
      </c>
      <c r="Z96" s="116">
        <f>SUM(Z94)</f>
        <v>9.4305089070887582E-2</v>
      </c>
      <c r="AA96" s="116">
        <f>SUM(AA94)</f>
        <v>4.141285989242386E-2</v>
      </c>
      <c r="AB96" s="116">
        <f>SUM(AB94)</f>
        <v>2.2024566608096208E-2</v>
      </c>
      <c r="AC96" s="116">
        <f>SUM(AC94)</f>
        <v>4.7210709008069195E-3</v>
      </c>
      <c r="AD96" s="115"/>
      <c r="AE96" s="117">
        <f>ROUND(H96-O96-P96-Q96-R96,0)</f>
        <v>0</v>
      </c>
      <c r="AF96" s="117">
        <f>ROUND(I96-T96-U96-V96-W96,0)</f>
        <v>0</v>
      </c>
      <c r="AG96" s="117">
        <f>ROUND(J96-Y96-Z96-AA96-AC96-AB96,0)</f>
        <v>0</v>
      </c>
      <c r="AH96" s="116"/>
      <c r="AI96">
        <f t="shared" si="23"/>
        <v>440</v>
      </c>
      <c r="AJ96" t="str">
        <f t="shared" si="24"/>
        <v>NA</v>
      </c>
      <c r="AK96" t="str">
        <f>IF(ISERROR(MATCH(AI96&amp;"."&amp;AJ96,AK$91:AK95,0)),AI96&amp;"."&amp;AJ96,AI96&amp;"."&amp;AJ96&amp;COUNTIFS(AI$91:AI95,AI96,AJ$91:AJ95,AJ96))</f>
        <v>440.NA2</v>
      </c>
    </row>
    <row r="97" spans="1:37" ht="15" hidden="1">
      <c r="A97" s="120">
        <f>ROW()</f>
        <v>97</v>
      </c>
      <c r="B97" s="120"/>
      <c r="C97" s="1"/>
      <c r="E97" s="121"/>
      <c r="F97" s="138"/>
      <c r="G97" s="119"/>
      <c r="X97" s="3"/>
      <c r="AD97" s="119"/>
      <c r="AE97" s="119"/>
      <c r="AF97" s="119"/>
      <c r="AG97" s="119"/>
      <c r="AI97">
        <f t="shared" si="23"/>
        <v>440</v>
      </c>
      <c r="AJ97" t="str">
        <f t="shared" si="24"/>
        <v>NA</v>
      </c>
      <c r="AK97" t="str">
        <f>IF(ISERROR(MATCH(AI97&amp;"."&amp;AJ97,AK$91:AK96,0)),AI97&amp;"."&amp;AJ97,AI97&amp;"."&amp;AJ97&amp;COUNTIFS(AI$91:AI96,AI97,AJ$91:AJ96,AJ97))</f>
        <v>440.NA3</v>
      </c>
    </row>
    <row r="98" spans="1:37" ht="15" hidden="1">
      <c r="A98" s="120">
        <f>ROW()</f>
        <v>98</v>
      </c>
      <c r="B98" s="120"/>
      <c r="C98" s="1">
        <v>442</v>
      </c>
      <c r="D98" s="2" t="s">
        <v>133</v>
      </c>
      <c r="E98" s="121"/>
      <c r="F98" s="138"/>
      <c r="G98" s="119"/>
      <c r="X98" s="3"/>
      <c r="AD98" s="119"/>
      <c r="AE98" s="119"/>
      <c r="AF98" s="119"/>
      <c r="AG98" s="119"/>
      <c r="AI98">
        <f t="shared" si="23"/>
        <v>442</v>
      </c>
      <c r="AJ98" t="str">
        <f t="shared" si="24"/>
        <v>NA</v>
      </c>
      <c r="AK98" t="str">
        <f>IF(ISERROR(MATCH(AI98&amp;"."&amp;AJ98,AK$91:AK97,0)),AI98&amp;"."&amp;AJ98,AI98&amp;"."&amp;AJ98&amp;COUNTIFS(AI$91:AI97,AI98,AJ$91:AJ97,AJ98))</f>
        <v>442.NA</v>
      </c>
    </row>
    <row r="99" spans="1:37" ht="15" hidden="1">
      <c r="A99" s="120">
        <f>ROW()</f>
        <v>99</v>
      </c>
      <c r="B99" s="120"/>
      <c r="C99" s="1"/>
      <c r="E99" s="121" t="s">
        <v>12</v>
      </c>
      <c r="F99" s="138"/>
      <c r="G99" s="117" t="e">
        <f>SUMIF(FERCJAMFactor,AK99,JAMValue)</f>
        <v>#VALUE!</v>
      </c>
      <c r="H99" s="116"/>
      <c r="I99" s="150"/>
      <c r="J99" s="116"/>
      <c r="K99" s="116"/>
      <c r="L99" s="116"/>
      <c r="N99" s="108">
        <v>0.75</v>
      </c>
      <c r="O99" s="116">
        <f>$H99*$N99*$M99</f>
        <v>0</v>
      </c>
      <c r="P99" s="116">
        <f>$H99*(1-$N99)*$M99</f>
        <v>0</v>
      </c>
      <c r="Q99" s="116">
        <f>$H99*$N99*(1-$M99)</f>
        <v>0</v>
      </c>
      <c r="R99" s="116">
        <f>$H99*(1-$N99)*(1-$M99)</f>
        <v>0</v>
      </c>
      <c r="S99" s="108">
        <v>0.75</v>
      </c>
      <c r="T99" s="116">
        <f>$I99*$S99*$M99</f>
        <v>0</v>
      </c>
      <c r="U99" s="116">
        <f>$I99*(1-$S99)*$M99</f>
        <v>0</v>
      </c>
      <c r="V99" s="116">
        <f>$I99*$S99*(1-$M99)</f>
        <v>0</v>
      </c>
      <c r="W99" s="116">
        <f>$I99*(1-$S99)*(1-$M99)</f>
        <v>0</v>
      </c>
      <c r="X99" s="189" t="str">
        <f>INDEX(DistFuncAllocOptions,ROW(A99)-ROW($A$92)+1,[4]Inputs!$S$11)</f>
        <v>DRB</v>
      </c>
      <c r="Y99" s="116">
        <f t="shared" ref="Y99:AC100" si="26">INDEX(DistFuncFactorTbl,MATCH($X99,DistFuncFactors,0),MATCH(Y$91,DistFunctions,0))*$J99</f>
        <v>0</v>
      </c>
      <c r="Z99" s="116">
        <f t="shared" si="26"/>
        <v>0</v>
      </c>
      <c r="AA99" s="116">
        <f t="shared" si="26"/>
        <v>0</v>
      </c>
      <c r="AB99" s="116">
        <f t="shared" si="26"/>
        <v>0</v>
      </c>
      <c r="AC99" s="116">
        <f t="shared" si="26"/>
        <v>0</v>
      </c>
      <c r="AD99" s="115"/>
      <c r="AE99" s="117"/>
      <c r="AF99" s="117"/>
      <c r="AG99" s="117"/>
      <c r="AH99" s="116"/>
      <c r="AI99">
        <f t="shared" si="23"/>
        <v>442</v>
      </c>
      <c r="AJ99" t="str">
        <f t="shared" si="24"/>
        <v>S</v>
      </c>
      <c r="AK99" t="str">
        <f>IF(ISERROR(MATCH(AI99&amp;"."&amp;AJ99,AK$91:AK98,0)),AI99&amp;"."&amp;AJ99,AI99&amp;"."&amp;AJ99&amp;COUNTIFS(AI$91:AI98,AI99,AJ$91:AJ98,AJ99))</f>
        <v>442.S</v>
      </c>
    </row>
    <row r="100" spans="1:37" ht="15" hidden="1">
      <c r="A100" s="120">
        <f>ROW()</f>
        <v>100</v>
      </c>
      <c r="B100" s="120"/>
      <c r="C100" s="1"/>
      <c r="E100" s="121" t="s">
        <v>16</v>
      </c>
      <c r="F100" s="138" t="str">
        <f>INDEX(FuncAllocOptions,ROW(A100)-ROW($A$92)+1,[4]Inputs!$S$11)</f>
        <v>P</v>
      </c>
      <c r="G100" s="117" t="e">
        <f>SUMIF(FERCJAMFactor,AK100,JAMValue)</f>
        <v>#VALUE!</v>
      </c>
      <c r="H100" s="116">
        <v>0</v>
      </c>
      <c r="I100" s="116">
        <v>0</v>
      </c>
      <c r="J100" s="116">
        <v>0</v>
      </c>
      <c r="K100" s="116">
        <v>0</v>
      </c>
      <c r="L100" s="116">
        <v>0</v>
      </c>
      <c r="N100" s="108">
        <v>0</v>
      </c>
      <c r="O100" s="116">
        <f>$H100*$N100*$M100</f>
        <v>0</v>
      </c>
      <c r="P100" s="116">
        <f>$H100*(1-$N100)*$M100</f>
        <v>0</v>
      </c>
      <c r="Q100" s="116">
        <f>$H100*$N100*(1-$M100)</f>
        <v>0</v>
      </c>
      <c r="R100" s="116">
        <f>$H100*(1-$N100)*(1-$M100)</f>
        <v>0</v>
      </c>
      <c r="S100" s="108">
        <v>0</v>
      </c>
      <c r="T100" s="116">
        <f>$I100*$S100*$M100</f>
        <v>0</v>
      </c>
      <c r="U100" s="116">
        <f>$I100*(1-$S100)*$M100</f>
        <v>0</v>
      </c>
      <c r="V100" s="116">
        <f>$I100*$S100*(1-$M100)</f>
        <v>0</v>
      </c>
      <c r="W100" s="116">
        <f>$I100*(1-$S100)*(1-$M100)</f>
        <v>0</v>
      </c>
      <c r="X100" s="189" t="str">
        <f>INDEX(DistFuncAllocOptions,ROW(A100)-ROW($A$92)+1,[4]Inputs!$S$11)</f>
        <v>DRB</v>
      </c>
      <c r="Y100" s="116">
        <f t="shared" si="26"/>
        <v>0</v>
      </c>
      <c r="Z100" s="116">
        <f t="shared" si="26"/>
        <v>0</v>
      </c>
      <c r="AA100" s="116">
        <f t="shared" si="26"/>
        <v>0</v>
      </c>
      <c r="AB100" s="116">
        <f t="shared" si="26"/>
        <v>0</v>
      </c>
      <c r="AC100" s="116">
        <f t="shared" si="26"/>
        <v>0</v>
      </c>
      <c r="AD100" s="117" t="e">
        <f>ROUND(SUM(-G100,H100:L100),0)</f>
        <v>#VALUE!</v>
      </c>
      <c r="AE100" s="117">
        <f>ROUND(H100-O100-P100-Q100-R100,0)</f>
        <v>0</v>
      </c>
      <c r="AF100" s="117">
        <f>ROUND(I100-T100-U100-V100-W100,0)</f>
        <v>0</v>
      </c>
      <c r="AG100" s="117">
        <f>ROUND(J100-Y100-Z100-AA100-AC100-AB100,0)</f>
        <v>0</v>
      </c>
      <c r="AH100" s="116"/>
      <c r="AI100">
        <f t="shared" si="23"/>
        <v>442</v>
      </c>
      <c r="AJ100" t="str">
        <f t="shared" si="24"/>
        <v>SE</v>
      </c>
      <c r="AK100" t="str">
        <f>IF(ISERROR(MATCH(AI100&amp;"."&amp;AJ100,AK$91:AK99,0)),AI100&amp;"."&amp;AJ100,AI100&amp;"."&amp;AJ100&amp;COUNTIFS(AI$91:AI99,AI100,AJ$91:AJ99,AJ100))</f>
        <v>442.SE</v>
      </c>
    </row>
    <row r="101" spans="1:37" ht="15" hidden="1">
      <c r="A101" s="120">
        <f>ROW()</f>
        <v>101</v>
      </c>
      <c r="B101" s="120"/>
      <c r="C101" s="1"/>
      <c r="E101" s="121" t="s">
        <v>15</v>
      </c>
      <c r="F101" s="138" t="str">
        <f>INDEX(FuncAllocOptions,ROW(A101)-ROW($A$92)+1,[4]Inputs!$S$11)</f>
        <v>PT</v>
      </c>
      <c r="G101" s="133" t="e">
        <f>SUMIF(FERCJAMFactor,AK101,JAMValue)</f>
        <v>#VALUE!</v>
      </c>
      <c r="H101" s="139">
        <v>0</v>
      </c>
      <c r="I101" s="139">
        <v>0</v>
      </c>
      <c r="J101" s="139">
        <v>0</v>
      </c>
      <c r="K101" s="139">
        <v>0</v>
      </c>
      <c r="L101" s="139">
        <v>0</v>
      </c>
      <c r="N101" s="108">
        <v>0.75</v>
      </c>
      <c r="O101" s="116">
        <f>$H101*$N101*$M101</f>
        <v>0</v>
      </c>
      <c r="P101" s="116">
        <f>$H101*(1-$N101)*$M101</f>
        <v>0</v>
      </c>
      <c r="Q101" s="116">
        <f>$H101*$N101*(1-$M101)</f>
        <v>0</v>
      </c>
      <c r="R101" s="116">
        <f>$H101*(1-$N101)*(1-$M101)</f>
        <v>0</v>
      </c>
      <c r="S101" s="108">
        <v>0.75</v>
      </c>
      <c r="T101" s="116">
        <f>$I101*$S101*$M101</f>
        <v>0</v>
      </c>
      <c r="U101" s="116">
        <f>$I101*(1-$S101)*$M101</f>
        <v>0</v>
      </c>
      <c r="V101" s="116">
        <f>$I101*$S101*(1-$M101)</f>
        <v>0</v>
      </c>
      <c r="W101" s="116">
        <f>$I101*(1-$S101)*(1-$M101)</f>
        <v>0</v>
      </c>
      <c r="X101" s="189" t="str">
        <f>INDEX(DistFuncAllocOptions,ROW(A101)-ROW($A$92)+1,[4]Inputs!$S$11)</f>
        <v>DRB</v>
      </c>
      <c r="Y101" s="116">
        <v>0</v>
      </c>
      <c r="Z101" s="116">
        <v>0</v>
      </c>
      <c r="AA101" s="116">
        <v>0</v>
      </c>
      <c r="AB101" s="116">
        <v>0</v>
      </c>
      <c r="AC101" s="116">
        <v>0</v>
      </c>
      <c r="AD101" s="117" t="e">
        <f>ROUND(SUM(-G101,H101:L101),0)</f>
        <v>#VALUE!</v>
      </c>
      <c r="AE101" s="117">
        <f>ROUND(H101-O101-P101-Q101-R101,0)</f>
        <v>0</v>
      </c>
      <c r="AF101" s="117">
        <f>ROUND(I101-T101-U101-V101-W101,0)</f>
        <v>0</v>
      </c>
      <c r="AG101" s="117">
        <f>ROUND(J101-Y101-Z101-AA101-AC101-AB101,0)</f>
        <v>0</v>
      </c>
      <c r="AH101" s="116"/>
      <c r="AI101">
        <f t="shared" si="23"/>
        <v>442</v>
      </c>
      <c r="AJ101" t="str">
        <f t="shared" si="24"/>
        <v>SG</v>
      </c>
      <c r="AK101" t="str">
        <f>IF(ISERROR(MATCH(AI101&amp;"."&amp;AJ101,AK$91:AK100,0)),AI101&amp;"."&amp;AJ101,AI101&amp;"."&amp;AJ101&amp;COUNTIFS(AI$91:AI100,AI101,AJ$91:AJ100,AJ101))</f>
        <v>442.SG</v>
      </c>
    </row>
    <row r="102" spans="1:37" ht="15" hidden="1">
      <c r="A102" s="120">
        <f>ROW()</f>
        <v>102</v>
      </c>
      <c r="B102" s="120"/>
      <c r="C102" s="1"/>
      <c r="E102" s="121"/>
      <c r="F102" s="138"/>
      <c r="G102" s="117" t="e">
        <f t="shared" ref="G102:L102" si="27">SUM(G99:G101)</f>
        <v>#VALUE!</v>
      </c>
      <c r="H102" s="116">
        <f t="shared" si="27"/>
        <v>0</v>
      </c>
      <c r="I102" s="116">
        <f t="shared" si="27"/>
        <v>0</v>
      </c>
      <c r="J102" s="116">
        <f t="shared" si="27"/>
        <v>0</v>
      </c>
      <c r="K102" s="116">
        <f t="shared" si="27"/>
        <v>0</v>
      </c>
      <c r="L102" s="116">
        <f t="shared" si="27"/>
        <v>0</v>
      </c>
      <c r="O102" s="116">
        <f>SUM(O99:O101)</f>
        <v>0</v>
      </c>
      <c r="P102" s="116">
        <f>SUM(P99:P101)</f>
        <v>0</v>
      </c>
      <c r="Q102" s="116">
        <f>SUM(Q99:Q101)</f>
        <v>0</v>
      </c>
      <c r="R102" s="116">
        <f>SUM(R99:R101)</f>
        <v>0</v>
      </c>
      <c r="T102" s="116">
        <f>SUM(T99:T101)</f>
        <v>0</v>
      </c>
      <c r="U102" s="116">
        <f>SUM(U99:U101)</f>
        <v>0</v>
      </c>
      <c r="V102" s="116">
        <f>SUM(V99:V101)</f>
        <v>0</v>
      </c>
      <c r="W102" s="116">
        <f>SUM(W99:W101)</f>
        <v>0</v>
      </c>
      <c r="X102" s="3"/>
      <c r="Y102" s="116">
        <f>SUM(Y99:Y101)</f>
        <v>0</v>
      </c>
      <c r="Z102" s="116">
        <f>SUM(Z99:Z101)</f>
        <v>0</v>
      </c>
      <c r="AA102" s="116">
        <f>SUM(AA99:AA101)</f>
        <v>0</v>
      </c>
      <c r="AB102" s="116">
        <f>SUM(AB99:AB101)</f>
        <v>0</v>
      </c>
      <c r="AC102" s="116">
        <f>SUM(AC99:AC101)</f>
        <v>0</v>
      </c>
      <c r="AD102" s="117"/>
      <c r="AE102" s="117"/>
      <c r="AF102" s="117"/>
      <c r="AG102" s="117"/>
      <c r="AH102" s="116"/>
      <c r="AI102">
        <f t="shared" si="23"/>
        <v>442</v>
      </c>
      <c r="AJ102" t="str">
        <f t="shared" si="24"/>
        <v>NA</v>
      </c>
      <c r="AK102" t="str">
        <f>IF(ISERROR(MATCH(AI102&amp;"."&amp;AJ102,AK$91:AK101,0)),AI102&amp;"."&amp;AJ102,AI102&amp;"."&amp;AJ102&amp;COUNTIFS(AI$91:AI101,AI102,AJ$91:AJ101,AJ102))</f>
        <v>442.NA1</v>
      </c>
    </row>
    <row r="103" spans="1:37" ht="15" hidden="1">
      <c r="A103" s="120">
        <f>ROW()</f>
        <v>103</v>
      </c>
      <c r="B103" s="120"/>
      <c r="C103" s="1"/>
      <c r="E103" s="121"/>
      <c r="F103" s="138"/>
      <c r="G103" s="119"/>
      <c r="X103" s="3"/>
      <c r="AD103" s="119"/>
      <c r="AE103" s="119"/>
      <c r="AF103" s="119"/>
      <c r="AG103" s="119"/>
      <c r="AI103">
        <f t="shared" si="23"/>
        <v>442</v>
      </c>
      <c r="AJ103" t="str">
        <f t="shared" si="24"/>
        <v>NA</v>
      </c>
      <c r="AK103" t="str">
        <f>IF(ISERROR(MATCH(AI103&amp;"."&amp;AJ103,AK$91:AK102,0)),AI103&amp;"."&amp;AJ103,AI103&amp;"."&amp;AJ103&amp;COUNTIFS(AI$91:AI102,AI103,AJ$91:AJ102,AJ103))</f>
        <v>442.NA2</v>
      </c>
    </row>
    <row r="104" spans="1:37" ht="15" hidden="1">
      <c r="A104" s="120">
        <f>ROW()</f>
        <v>104</v>
      </c>
      <c r="B104" s="120"/>
      <c r="C104" s="1">
        <v>444</v>
      </c>
      <c r="D104" s="2" t="s">
        <v>135</v>
      </c>
      <c r="E104" s="121"/>
      <c r="F104" s="138"/>
      <c r="G104" s="119"/>
      <c r="X104" s="3" t="str">
        <f>INDEX(DistFuncAllocOptions,ROW(A104)-ROW($A$92)+1,[4]Inputs!$S$11)</f>
        <v>DRB</v>
      </c>
      <c r="Y104" s="116">
        <f>INDEX(DistFuncFactorTbl,MATCH($X104,DistFuncFactors,0),MATCH(Y$91,DistFunctions,0))*$J104</f>
        <v>0</v>
      </c>
      <c r="Z104" s="116">
        <f>INDEX(DistFuncFactorTbl,MATCH($X104,DistFuncFactors,0),MATCH(Z$91,DistFunctions,0))*$J104</f>
        <v>0</v>
      </c>
      <c r="AA104" s="116">
        <f>INDEX(DistFuncFactorTbl,MATCH($X104,DistFuncFactors,0),MATCH(AA$91,DistFunctions,0))*$J104</f>
        <v>0</v>
      </c>
      <c r="AB104" s="116">
        <f>INDEX(DistFuncFactorTbl,MATCH($X104,DistFuncFactors,0),MATCH(AB$91,DistFunctions,0))*$J104</f>
        <v>0</v>
      </c>
      <c r="AC104" s="116">
        <f>INDEX(DistFuncFactorTbl,MATCH($X104,DistFuncFactors,0),MATCH(AC$91,DistFunctions,0))*$J104</f>
        <v>0</v>
      </c>
      <c r="AD104" s="119"/>
      <c r="AE104" s="119"/>
      <c r="AF104" s="119"/>
      <c r="AG104" s="119"/>
      <c r="AI104">
        <f t="shared" si="23"/>
        <v>444</v>
      </c>
      <c r="AJ104" t="str">
        <f t="shared" si="24"/>
        <v>NA</v>
      </c>
      <c r="AK104" t="str">
        <f>IF(ISERROR(MATCH(AI104&amp;"."&amp;AJ104,AK$91:AK103,0)),AI104&amp;"."&amp;AJ104,AI104&amp;"."&amp;AJ104&amp;COUNTIFS(AI$91:AI103,AI104,AJ$91:AJ103,AJ104))</f>
        <v>444.NA</v>
      </c>
    </row>
    <row r="105" spans="1:37" ht="15" hidden="1">
      <c r="A105" s="120">
        <f>ROW()</f>
        <v>105</v>
      </c>
      <c r="B105" s="120"/>
      <c r="C105" s="1"/>
      <c r="E105" s="121" t="s">
        <v>12</v>
      </c>
      <c r="F105" s="138"/>
      <c r="G105" s="133" t="e">
        <f>SUMIF(FERCJAMFactor,AK105,JAMValue)</f>
        <v>#VALUE!</v>
      </c>
      <c r="H105" s="139"/>
      <c r="I105" s="139"/>
      <c r="J105" s="139"/>
      <c r="K105" s="139"/>
      <c r="L105" s="139"/>
      <c r="N105" s="108">
        <v>0.75</v>
      </c>
      <c r="O105" s="116">
        <f>$H105*$N105*$M105</f>
        <v>0</v>
      </c>
      <c r="P105" s="116">
        <f>$H105*(1-$N105)*$M105</f>
        <v>0</v>
      </c>
      <c r="Q105" s="116">
        <f>$H105*$N105*(1-$M105)</f>
        <v>0</v>
      </c>
      <c r="R105" s="116">
        <f>$H105*(1-$N105)*(1-$M105)</f>
        <v>0</v>
      </c>
      <c r="S105" s="108">
        <v>0.75</v>
      </c>
      <c r="T105" s="116">
        <f>$I105*$S105*$M105</f>
        <v>0</v>
      </c>
      <c r="U105" s="116">
        <f>$I105*(1-$S105)*$M105</f>
        <v>0</v>
      </c>
      <c r="V105" s="116">
        <f>$I105*$S105*(1-$M105)</f>
        <v>0</v>
      </c>
      <c r="W105" s="116">
        <f>$I105*(1-$S105)*(1-$M105)</f>
        <v>0</v>
      </c>
      <c r="X105" s="3"/>
      <c r="Y105" s="116">
        <v>0</v>
      </c>
      <c r="Z105" s="116">
        <v>0</v>
      </c>
      <c r="AA105" s="116">
        <v>0</v>
      </c>
      <c r="AB105" s="116">
        <v>0</v>
      </c>
      <c r="AC105" s="116">
        <v>0</v>
      </c>
      <c r="AD105" s="115"/>
      <c r="AE105" s="117"/>
      <c r="AF105" s="117"/>
      <c r="AG105" s="117"/>
      <c r="AH105" s="116"/>
      <c r="AI105">
        <f t="shared" si="23"/>
        <v>444</v>
      </c>
      <c r="AJ105" t="str">
        <f t="shared" si="24"/>
        <v>S</v>
      </c>
      <c r="AK105" t="str">
        <f>IF(ISERROR(MATCH(AI105&amp;"."&amp;AJ105,AK$91:AK104,0)),AI105&amp;"."&amp;AJ105,AI105&amp;"."&amp;AJ105&amp;COUNTIFS(AI$91:AI104,AI105,AJ$91:AJ104,AJ105))</f>
        <v>444.S</v>
      </c>
    </row>
    <row r="106" spans="1:37" ht="15" hidden="1">
      <c r="A106" s="120">
        <f>ROW()</f>
        <v>106</v>
      </c>
      <c r="B106" s="120"/>
      <c r="C106" s="1"/>
      <c r="E106" s="121"/>
      <c r="F106" s="138"/>
      <c r="G106" s="117" t="e">
        <f t="shared" ref="G106:L106" si="28">SUM(G105)</f>
        <v>#VALUE!</v>
      </c>
      <c r="H106" s="116">
        <f t="shared" si="28"/>
        <v>0</v>
      </c>
      <c r="I106" s="116">
        <f t="shared" si="28"/>
        <v>0</v>
      </c>
      <c r="J106" s="116">
        <f t="shared" si="28"/>
        <v>0</v>
      </c>
      <c r="K106" s="116">
        <f t="shared" si="28"/>
        <v>0</v>
      </c>
      <c r="L106" s="116">
        <f t="shared" si="28"/>
        <v>0</v>
      </c>
      <c r="O106" s="116">
        <f>SUM(O105)</f>
        <v>0</v>
      </c>
      <c r="P106" s="116">
        <f>SUM(P105)</f>
        <v>0</v>
      </c>
      <c r="Q106" s="116"/>
      <c r="R106" s="116"/>
      <c r="T106" s="116">
        <f>SUM(T105)</f>
        <v>0</v>
      </c>
      <c r="U106" s="116">
        <f>SUM(U105)</f>
        <v>0</v>
      </c>
      <c r="V106" s="116">
        <f>SUM(V105)</f>
        <v>0</v>
      </c>
      <c r="W106" s="116">
        <f>SUM(W105)</f>
        <v>0</v>
      </c>
      <c r="X106" s="3"/>
      <c r="Y106" s="116">
        <f>SUM(Y105)</f>
        <v>0</v>
      </c>
      <c r="Z106" s="116">
        <f>SUM(Z105)</f>
        <v>0</v>
      </c>
      <c r="AA106" s="116">
        <f>SUM(AA105)</f>
        <v>0</v>
      </c>
      <c r="AB106" s="116">
        <f>SUM(AB105)</f>
        <v>0</v>
      </c>
      <c r="AC106" s="116">
        <f>SUM(AC105)</f>
        <v>0</v>
      </c>
      <c r="AD106" s="117"/>
      <c r="AE106" s="117"/>
      <c r="AF106" s="117"/>
      <c r="AG106" s="117"/>
      <c r="AH106" s="116"/>
      <c r="AI106">
        <f t="shared" si="23"/>
        <v>444</v>
      </c>
      <c r="AJ106" t="str">
        <f t="shared" si="24"/>
        <v>NA</v>
      </c>
      <c r="AK106" t="str">
        <f>IF(ISERROR(MATCH(AI106&amp;"."&amp;AJ106,AK$91:AK105,0)),AI106&amp;"."&amp;AJ106,AI106&amp;"."&amp;AJ106&amp;COUNTIFS(AI$91:AI105,AI106,AJ$91:AJ105,AJ106))</f>
        <v>444.NA1</v>
      </c>
    </row>
    <row r="107" spans="1:37" ht="15" hidden="1">
      <c r="A107" s="120">
        <f>ROW()</f>
        <v>107</v>
      </c>
      <c r="B107" s="120"/>
      <c r="C107" s="1"/>
      <c r="E107" s="121"/>
      <c r="F107" s="138"/>
      <c r="G107" s="119"/>
      <c r="X107" s="3"/>
      <c r="AD107" s="119"/>
      <c r="AE107" s="119"/>
      <c r="AF107" s="119"/>
      <c r="AG107" s="119"/>
      <c r="AI107">
        <f t="shared" si="23"/>
        <v>444</v>
      </c>
      <c r="AJ107" t="str">
        <f t="shared" si="24"/>
        <v>NA</v>
      </c>
      <c r="AK107" t="str">
        <f>IF(ISERROR(MATCH(AI107&amp;"."&amp;AJ107,AK$91:AK106,0)),AI107&amp;"."&amp;AJ107,AI107&amp;"."&amp;AJ107&amp;COUNTIFS(AI$91:AI106,AI107,AJ$91:AJ106,AJ107))</f>
        <v>444.NA2</v>
      </c>
    </row>
    <row r="108" spans="1:37" ht="15" hidden="1">
      <c r="A108" s="120">
        <f>ROW()</f>
        <v>108</v>
      </c>
      <c r="B108" s="120"/>
      <c r="C108" s="1">
        <v>445</v>
      </c>
      <c r="D108" s="2" t="s">
        <v>137</v>
      </c>
      <c r="E108" s="121"/>
      <c r="F108" s="138"/>
      <c r="G108" s="119"/>
      <c r="X108" s="3" t="str">
        <f>INDEX(DistFuncAllocOptions,ROW(A108)-ROW($A$92)+1,[4]Inputs!$S$11)</f>
        <v>DRB</v>
      </c>
      <c r="Y108" s="116">
        <f>INDEX(DistFuncFactorTbl,MATCH($X108,DistFuncFactors,0),MATCH(Y$91,DistFunctions,0))*$J108</f>
        <v>0</v>
      </c>
      <c r="Z108" s="116">
        <f>INDEX(DistFuncFactorTbl,MATCH($X108,DistFuncFactors,0),MATCH(Z$91,DistFunctions,0))*$J108</f>
        <v>0</v>
      </c>
      <c r="AA108" s="116">
        <f>INDEX(DistFuncFactorTbl,MATCH($X108,DistFuncFactors,0),MATCH(AA$91,DistFunctions,0))*$J108</f>
        <v>0</v>
      </c>
      <c r="AB108" s="116">
        <f>INDEX(DistFuncFactorTbl,MATCH($X108,DistFuncFactors,0),MATCH(AB$91,DistFunctions,0))*$J108</f>
        <v>0</v>
      </c>
      <c r="AC108" s="116">
        <f>INDEX(DistFuncFactorTbl,MATCH($X108,DistFuncFactors,0),MATCH(AC$91,DistFunctions,0))*$J108</f>
        <v>0</v>
      </c>
      <c r="AD108" s="119"/>
      <c r="AE108" s="119"/>
      <c r="AF108" s="119"/>
      <c r="AG108" s="119"/>
      <c r="AI108">
        <f t="shared" si="23"/>
        <v>445</v>
      </c>
      <c r="AJ108" t="str">
        <f t="shared" si="24"/>
        <v>NA</v>
      </c>
      <c r="AK108" t="str">
        <f>IF(ISERROR(MATCH(AI108&amp;"."&amp;AJ108,AK$91:AK107,0)),AI108&amp;"."&amp;AJ108,AI108&amp;"."&amp;AJ108&amp;COUNTIFS(AI$91:AI107,AI108,AJ$91:AJ107,AJ108))</f>
        <v>445.NA</v>
      </c>
    </row>
    <row r="109" spans="1:37" ht="15" hidden="1">
      <c r="A109" s="120">
        <f>ROW()</f>
        <v>109</v>
      </c>
      <c r="B109" s="120"/>
      <c r="C109" s="1"/>
      <c r="E109" s="121" t="s">
        <v>12</v>
      </c>
      <c r="F109" s="121"/>
      <c r="G109" s="117" t="e">
        <f>SUMIF(FERCJAMFactor,AK109,JAMValue)</f>
        <v>#VALUE!</v>
      </c>
      <c r="H109" s="116"/>
      <c r="I109" s="116"/>
      <c r="J109" s="116"/>
      <c r="K109" s="116"/>
      <c r="L109" s="116"/>
      <c r="N109" s="108">
        <v>0.75</v>
      </c>
      <c r="O109" s="116">
        <f>$H109*$N109*$M109</f>
        <v>0</v>
      </c>
      <c r="P109" s="116">
        <f>$H109*(1-$N109)*$M109</f>
        <v>0</v>
      </c>
      <c r="Q109" s="116">
        <f>$H109*$N109*(1-$M109)</f>
        <v>0</v>
      </c>
      <c r="R109" s="116">
        <f>$H109*(1-$N109)*(1-$M109)</f>
        <v>0</v>
      </c>
      <c r="S109" s="108">
        <v>0.75</v>
      </c>
      <c r="T109" s="116">
        <f>$I109*$S109*$M109</f>
        <v>0</v>
      </c>
      <c r="U109" s="116">
        <f>$I109*(1-$S109)*$M109</f>
        <v>0</v>
      </c>
      <c r="V109" s="116">
        <f>$I109*$S109*(1-$M109)</f>
        <v>0</v>
      </c>
      <c r="W109" s="116">
        <f>$I109*(1-$S109)*(1-$M109)</f>
        <v>0</v>
      </c>
      <c r="X109" s="3"/>
      <c r="Y109" s="116">
        <v>0</v>
      </c>
      <c r="Z109" s="116">
        <v>0</v>
      </c>
      <c r="AA109" s="116">
        <v>0</v>
      </c>
      <c r="AB109" s="116">
        <v>0</v>
      </c>
      <c r="AC109" s="116">
        <v>0</v>
      </c>
      <c r="AD109" s="115"/>
      <c r="AE109" s="117"/>
      <c r="AF109" s="117"/>
      <c r="AG109" s="117"/>
      <c r="AH109" s="116"/>
      <c r="AI109">
        <f t="shared" si="23"/>
        <v>445</v>
      </c>
      <c r="AJ109" t="str">
        <f t="shared" si="24"/>
        <v>S</v>
      </c>
      <c r="AK109" t="str">
        <f>IF(ISERROR(MATCH(AI109&amp;"."&amp;AJ109,AK$91:AK108,0)),AI109&amp;"."&amp;AJ109,AI109&amp;"."&amp;AJ109&amp;COUNTIFS(AI$91:AI108,AI109,AJ$91:AJ108,AJ109))</f>
        <v>445.S</v>
      </c>
    </row>
    <row r="110" spans="1:37" ht="15" hidden="1">
      <c r="A110" s="120">
        <f>ROW()</f>
        <v>110</v>
      </c>
      <c r="B110" s="120"/>
      <c r="C110" s="1"/>
      <c r="E110" s="121"/>
      <c r="F110" s="138"/>
      <c r="G110" s="113"/>
      <c r="H110" s="141"/>
      <c r="I110" s="141"/>
      <c r="J110" s="141"/>
      <c r="K110" s="141"/>
      <c r="L110" s="141"/>
      <c r="X110" s="3"/>
      <c r="AD110" s="119"/>
      <c r="AE110" s="119"/>
      <c r="AF110" s="119"/>
      <c r="AG110" s="119"/>
      <c r="AI110">
        <f t="shared" si="23"/>
        <v>445</v>
      </c>
      <c r="AJ110" t="str">
        <f t="shared" si="24"/>
        <v>NA</v>
      </c>
      <c r="AK110" t="str">
        <f>IF(ISERROR(MATCH(AI110&amp;"."&amp;AJ110,AK$91:AK109,0)),AI110&amp;"."&amp;AJ110,AI110&amp;"."&amp;AJ110&amp;COUNTIFS(AI$91:AI109,AI110,AJ$91:AJ109,AJ110))</f>
        <v>445.NA1</v>
      </c>
    </row>
    <row r="111" spans="1:37" ht="15" hidden="1">
      <c r="A111" s="120">
        <f>ROW()</f>
        <v>111</v>
      </c>
      <c r="B111" s="120"/>
      <c r="C111" s="1"/>
      <c r="E111" s="121"/>
      <c r="F111" s="138"/>
      <c r="G111" s="117" t="e">
        <f t="shared" ref="G111:L111" si="29">SUM(G109:G110)</f>
        <v>#VALUE!</v>
      </c>
      <c r="H111" s="116">
        <f t="shared" si="29"/>
        <v>0</v>
      </c>
      <c r="I111" s="116">
        <f t="shared" si="29"/>
        <v>0</v>
      </c>
      <c r="J111" s="116">
        <f t="shared" si="29"/>
        <v>0</v>
      </c>
      <c r="K111" s="116">
        <f t="shared" si="29"/>
        <v>0</v>
      </c>
      <c r="L111" s="116">
        <f t="shared" si="29"/>
        <v>0</v>
      </c>
      <c r="O111" s="116">
        <f>SUM(O109)</f>
        <v>0</v>
      </c>
      <c r="P111" s="116">
        <f>SUM(P109)</f>
        <v>0</v>
      </c>
      <c r="Q111" s="116">
        <f>SUM(Q109)</f>
        <v>0</v>
      </c>
      <c r="R111" s="116">
        <f>SUM(R109)</f>
        <v>0</v>
      </c>
      <c r="T111" s="116">
        <f>SUM(T109)</f>
        <v>0</v>
      </c>
      <c r="U111" s="116">
        <f>SUM(U109)</f>
        <v>0</v>
      </c>
      <c r="V111" s="116">
        <f>SUM(V109)</f>
        <v>0</v>
      </c>
      <c r="W111" s="116">
        <f>SUM(W109)</f>
        <v>0</v>
      </c>
      <c r="X111" s="3"/>
      <c r="Y111" s="116">
        <f>SUM(Y109)</f>
        <v>0</v>
      </c>
      <c r="Z111" s="116">
        <f>SUM(Z109)</f>
        <v>0</v>
      </c>
      <c r="AA111" s="116">
        <f>SUM(AA109)</f>
        <v>0</v>
      </c>
      <c r="AB111" s="116">
        <f>SUM(AB109)</f>
        <v>0</v>
      </c>
      <c r="AC111" s="116">
        <f>SUM(AC109)</f>
        <v>0</v>
      </c>
      <c r="AD111" s="115"/>
      <c r="AE111" s="117"/>
      <c r="AF111" s="117"/>
      <c r="AG111" s="117"/>
      <c r="AH111" s="116"/>
      <c r="AI111">
        <f t="shared" si="23"/>
        <v>445</v>
      </c>
      <c r="AJ111" t="str">
        <f t="shared" si="24"/>
        <v>NA</v>
      </c>
      <c r="AK111" t="str">
        <f>IF(ISERROR(MATCH(AI111&amp;"."&amp;AJ111,AK$91:AK110,0)),AI111&amp;"."&amp;AJ111,AI111&amp;"."&amp;AJ111&amp;COUNTIFS(AI$91:AI110,AI111,AJ$91:AJ110,AJ111))</f>
        <v>445.NA2</v>
      </c>
    </row>
    <row r="112" spans="1:37" ht="15" hidden="1">
      <c r="A112" s="120">
        <f>ROW()</f>
        <v>112</v>
      </c>
      <c r="B112" s="120"/>
      <c r="C112" s="1"/>
      <c r="E112" s="121"/>
      <c r="F112" s="138"/>
      <c r="G112" s="119"/>
      <c r="X112" s="3"/>
      <c r="AD112" s="119"/>
      <c r="AE112" s="119"/>
      <c r="AF112" s="119"/>
      <c r="AG112" s="119"/>
      <c r="AI112">
        <f t="shared" si="23"/>
        <v>445</v>
      </c>
      <c r="AJ112" t="str">
        <f t="shared" si="24"/>
        <v>NA</v>
      </c>
      <c r="AK112" t="str">
        <f>IF(ISERROR(MATCH(AI112&amp;"."&amp;AJ112,AK$91:AK111,0)),AI112&amp;"."&amp;AJ112,AI112&amp;"."&amp;AJ112&amp;COUNTIFS(AI$91:AI111,AI112,AJ$91:AJ111,AJ112))</f>
        <v>445.NA3</v>
      </c>
    </row>
    <row r="113" spans="1:37" ht="15" hidden="1">
      <c r="A113" s="120">
        <f>ROW()</f>
        <v>113</v>
      </c>
      <c r="B113" s="120"/>
      <c r="C113" s="1">
        <v>448</v>
      </c>
      <c r="D113" s="2" t="s">
        <v>138</v>
      </c>
      <c r="E113" s="121"/>
      <c r="F113" s="138"/>
      <c r="G113" s="119"/>
      <c r="X113" s="3"/>
      <c r="AD113" s="119"/>
      <c r="AE113" s="119"/>
      <c r="AF113" s="119"/>
      <c r="AG113" s="119"/>
      <c r="AI113">
        <f t="shared" si="23"/>
        <v>448</v>
      </c>
      <c r="AJ113" t="str">
        <f t="shared" si="24"/>
        <v>NA</v>
      </c>
      <c r="AK113" t="str">
        <f>IF(ISERROR(MATCH(AI113&amp;"."&amp;AJ113,AK$91:AK112,0)),AI113&amp;"."&amp;AJ113,AI113&amp;"."&amp;AJ113&amp;COUNTIFS(AI$91:AI112,AI113,AJ$91:AJ112,AJ113))</f>
        <v>448.NA</v>
      </c>
    </row>
    <row r="114" spans="1:37" ht="15" hidden="1">
      <c r="A114" s="120">
        <f>ROW()</f>
        <v>114</v>
      </c>
      <c r="B114" s="120"/>
      <c r="C114" s="1"/>
      <c r="E114" s="121" t="s">
        <v>12</v>
      </c>
      <c r="F114" s="138" t="str">
        <f>INDEX(FuncAllocOptions,ROW(A114)-ROW($A$92)+1,[4]Inputs!$S$11)</f>
        <v>DPW</v>
      </c>
      <c r="G114" s="117" t="e">
        <f>SUMIF(FERCJAMFactor,AK114,JAMValue)</f>
        <v>#VALUE!</v>
      </c>
      <c r="H114" s="135">
        <v>0</v>
      </c>
      <c r="I114" s="135">
        <v>0</v>
      </c>
      <c r="J114" s="135">
        <v>0</v>
      </c>
      <c r="K114" s="135">
        <v>0</v>
      </c>
      <c r="L114" s="135">
        <v>0</v>
      </c>
      <c r="N114" s="108">
        <v>0.75</v>
      </c>
      <c r="O114" s="116">
        <f>$H114*$N114*$M114</f>
        <v>0</v>
      </c>
      <c r="P114" s="116">
        <f>$H114*(1-$N114)*$M114</f>
        <v>0</v>
      </c>
      <c r="Q114" s="116">
        <f>$H114*$N114*(1-$M114)</f>
        <v>0</v>
      </c>
      <c r="R114" s="116">
        <f>$H114*(1-$N114)*(1-$M114)</f>
        <v>0</v>
      </c>
      <c r="S114" s="108">
        <v>0.75</v>
      </c>
      <c r="T114" s="116">
        <f>$I114*$S114*$M114</f>
        <v>0</v>
      </c>
      <c r="U114" s="116">
        <f>$I114*(1-$S114)*$M114</f>
        <v>0</v>
      </c>
      <c r="V114" s="116">
        <f>$I114*$S114*(1-$M114)</f>
        <v>0</v>
      </c>
      <c r="W114" s="116">
        <f>$I114*(1-$S114)*(1-$M114)</f>
        <v>0</v>
      </c>
      <c r="X114" s="3" t="str">
        <f>INDEX(DistFuncAllocOptions,ROW(A114)-ROW($A$92)+1,[4]Inputs!$S$11)</f>
        <v>DRB</v>
      </c>
      <c r="Y114" s="116">
        <f t="shared" ref="Y114:AC115" si="30">INDEX(DistFuncFactorTbl,MATCH($X114,DistFuncFactors,0),MATCH(Y$91,DistFunctions,0))*$J114</f>
        <v>0</v>
      </c>
      <c r="Z114" s="116">
        <f t="shared" si="30"/>
        <v>0</v>
      </c>
      <c r="AA114" s="116">
        <f t="shared" si="30"/>
        <v>0</v>
      </c>
      <c r="AB114" s="116">
        <f t="shared" si="30"/>
        <v>0</v>
      </c>
      <c r="AC114" s="116">
        <f t="shared" si="30"/>
        <v>0</v>
      </c>
      <c r="AD114" s="117" t="e">
        <f>ROUND(SUM(-G114,H114:L114),0)</f>
        <v>#VALUE!</v>
      </c>
      <c r="AE114" s="117">
        <f>ROUND(H114-O114-P114-Q114-R114,0)</f>
        <v>0</v>
      </c>
      <c r="AF114" s="117">
        <f>ROUND(I114-T114-U114-V114-W114,0)</f>
        <v>0</v>
      </c>
      <c r="AG114" s="117">
        <f>ROUND(J114-Y114-Z114-AA114-AC114-AB114,0)</f>
        <v>0</v>
      </c>
      <c r="AH114" s="116"/>
      <c r="AI114">
        <f t="shared" si="23"/>
        <v>448</v>
      </c>
      <c r="AJ114" t="str">
        <f t="shared" si="24"/>
        <v>S</v>
      </c>
      <c r="AK114" t="str">
        <f>IF(ISERROR(MATCH(AI114&amp;"."&amp;AJ114,AK$91:AK113,0)),AI114&amp;"."&amp;AJ114,AI114&amp;"."&amp;AJ114&amp;COUNTIFS(AI$91:AI113,AI114,AJ$91:AJ113,AJ114))</f>
        <v>448.S</v>
      </c>
    </row>
    <row r="115" spans="1:37" ht="15" hidden="1">
      <c r="A115" s="120">
        <f>ROW()</f>
        <v>115</v>
      </c>
      <c r="B115" s="120"/>
      <c r="C115" s="1"/>
      <c r="E115" s="121" t="s">
        <v>136</v>
      </c>
      <c r="F115" s="138" t="str">
        <f>INDEX(FuncAllocOptions,ROW(A115)-ROW($A$92)+1,[4]Inputs!$S$11)</f>
        <v>GP</v>
      </c>
      <c r="G115" s="133" t="e">
        <f>SUMIF(FERCJAMFactor,AK115,JAMValue)</f>
        <v>#VALUE!</v>
      </c>
      <c r="H115" s="137">
        <v>0</v>
      </c>
      <c r="I115" s="137">
        <v>0</v>
      </c>
      <c r="J115" s="137">
        <v>0</v>
      </c>
      <c r="K115" s="137">
        <v>0</v>
      </c>
      <c r="L115" s="137">
        <v>0</v>
      </c>
      <c r="N115" s="108">
        <v>0.75</v>
      </c>
      <c r="O115" s="116">
        <f>$H115*$N115*$M115</f>
        <v>0</v>
      </c>
      <c r="P115" s="116">
        <f>$H115*(1-$N115)*$M115</f>
        <v>0</v>
      </c>
      <c r="Q115" s="116">
        <f>$H115*$N115*(1-$M115)</f>
        <v>0</v>
      </c>
      <c r="R115" s="116">
        <f>$H115*(1-$N115)*(1-$M115)</f>
        <v>0</v>
      </c>
      <c r="S115" s="108">
        <v>0.75</v>
      </c>
      <c r="T115" s="116">
        <f>$I115*$S115*$M115</f>
        <v>0</v>
      </c>
      <c r="U115" s="116">
        <f>$I115*(1-$S115)*$M115</f>
        <v>0</v>
      </c>
      <c r="V115" s="116">
        <f>$I115*$S115*(1-$M115)</f>
        <v>0</v>
      </c>
      <c r="W115" s="116">
        <f>$I115*(1-$S115)*(1-$M115)</f>
        <v>0</v>
      </c>
      <c r="X115" s="3" t="str">
        <f>INDEX(DistFuncAllocOptions,ROW(A115)-ROW($A$92)+1,[4]Inputs!$S$11)</f>
        <v>DRB</v>
      </c>
      <c r="Y115" s="116">
        <f t="shared" si="30"/>
        <v>0</v>
      </c>
      <c r="Z115" s="116">
        <f t="shared" si="30"/>
        <v>0</v>
      </c>
      <c r="AA115" s="116">
        <f t="shared" si="30"/>
        <v>0</v>
      </c>
      <c r="AB115" s="116">
        <f t="shared" si="30"/>
        <v>0</v>
      </c>
      <c r="AC115" s="116">
        <f t="shared" si="30"/>
        <v>0</v>
      </c>
      <c r="AD115" s="117" t="e">
        <f>ROUND(SUM(-G115,H115:L115),0)</f>
        <v>#VALUE!</v>
      </c>
      <c r="AE115" s="117">
        <f>ROUND(H115-O115-P115-Q115-R115,0)</f>
        <v>0</v>
      </c>
      <c r="AF115" s="117">
        <f>ROUND(I115-T115-U115-V115-W115,0)</f>
        <v>0</v>
      </c>
      <c r="AG115" s="117">
        <f>ROUND(J115-Y115-Z115-AA115-AC115-AB115,0)</f>
        <v>0</v>
      </c>
      <c r="AH115" s="116"/>
      <c r="AI115">
        <f t="shared" si="23"/>
        <v>448</v>
      </c>
      <c r="AJ115" t="str">
        <f t="shared" si="24"/>
        <v>SO</v>
      </c>
      <c r="AK115" t="str">
        <f>IF(ISERROR(MATCH(AI115&amp;"."&amp;AJ115,AK$91:AK114,0)),AI115&amp;"."&amp;AJ115,AI115&amp;"."&amp;AJ115&amp;COUNTIFS(AI$91:AI114,AI115,AJ$91:AJ114,AJ115))</f>
        <v>448.SO</v>
      </c>
    </row>
    <row r="116" spans="1:37" ht="15" hidden="1">
      <c r="A116" s="120">
        <f>ROW()</f>
        <v>116</v>
      </c>
      <c r="B116" s="120"/>
      <c r="C116" s="1"/>
      <c r="E116" s="121"/>
      <c r="F116" s="138"/>
      <c r="G116" s="117" t="e">
        <f t="shared" ref="G116:L116" si="31">SUM(G114:G115)</f>
        <v>#VALUE!</v>
      </c>
      <c r="H116" s="116">
        <f t="shared" si="31"/>
        <v>0</v>
      </c>
      <c r="I116" s="116">
        <f t="shared" si="31"/>
        <v>0</v>
      </c>
      <c r="J116" s="116">
        <f t="shared" si="31"/>
        <v>0</v>
      </c>
      <c r="K116" s="116">
        <f t="shared" si="31"/>
        <v>0</v>
      </c>
      <c r="L116" s="116">
        <f t="shared" si="31"/>
        <v>0</v>
      </c>
      <c r="O116" s="116">
        <f>SUM(O114:O115)</f>
        <v>0</v>
      </c>
      <c r="P116" s="116">
        <f>SUM(P114:P115)</f>
        <v>0</v>
      </c>
      <c r="Q116" s="116">
        <f>SUM(Q114:Q115)</f>
        <v>0</v>
      </c>
      <c r="R116" s="116">
        <f>SUM(R114:R115)</f>
        <v>0</v>
      </c>
      <c r="T116" s="116">
        <f>SUM(T114:T115)</f>
        <v>0</v>
      </c>
      <c r="U116" s="116">
        <f>SUM(U114:U115)</f>
        <v>0</v>
      </c>
      <c r="V116" s="116">
        <f>SUM(V114:V115)</f>
        <v>0</v>
      </c>
      <c r="W116" s="116">
        <f>SUM(W114:W115)</f>
        <v>0</v>
      </c>
      <c r="X116" s="3"/>
      <c r="Y116" s="116">
        <f>SUM(Y114:Y115)</f>
        <v>0</v>
      </c>
      <c r="Z116" s="116">
        <f>SUM(Z114:Z115)</f>
        <v>0</v>
      </c>
      <c r="AA116" s="116">
        <f>SUM(AA114:AA115)</f>
        <v>0</v>
      </c>
      <c r="AB116" s="116">
        <f>SUM(AB114:AB115)</f>
        <v>0</v>
      </c>
      <c r="AC116" s="116">
        <f>SUM(AC114:AC115)</f>
        <v>0</v>
      </c>
      <c r="AD116" s="117" t="e">
        <f>ROUND(SUM(-G116,H116:L116),0)</f>
        <v>#VALUE!</v>
      </c>
      <c r="AE116" s="117">
        <f>ROUND(H116-O116-P116-Q116-R116,0)</f>
        <v>0</v>
      </c>
      <c r="AF116" s="117">
        <f>ROUND(I116-T116-U116-V116-W116,0)</f>
        <v>0</v>
      </c>
      <c r="AG116" s="117">
        <f>ROUND(J116-Y116-Z116-AA116-AC116-AB116,0)</f>
        <v>0</v>
      </c>
      <c r="AH116" s="116"/>
      <c r="AI116">
        <f t="shared" si="23"/>
        <v>448</v>
      </c>
      <c r="AJ116" t="str">
        <f t="shared" si="24"/>
        <v>NA</v>
      </c>
      <c r="AK116" t="str">
        <f>IF(ISERROR(MATCH(AI116&amp;"."&amp;AJ116,AK$91:AK115,0)),AI116&amp;"."&amp;AJ116,AI116&amp;"."&amp;AJ116&amp;COUNTIFS(AI$91:AI115,AI116,AJ$91:AJ115,AJ116))</f>
        <v>448.NA1</v>
      </c>
    </row>
    <row r="117" spans="1:37" s="202" customFormat="1" ht="15" hidden="1">
      <c r="A117" s="120">
        <f>ROW()</f>
        <v>117</v>
      </c>
      <c r="B117" s="120"/>
      <c r="C117" s="182"/>
      <c r="D117" s="182"/>
      <c r="E117" s="203"/>
      <c r="F117" s="138"/>
      <c r="G117" s="181"/>
      <c r="H117" s="182"/>
      <c r="I117" s="182"/>
      <c r="J117" s="182"/>
      <c r="K117" s="182"/>
      <c r="L117" s="182"/>
      <c r="M117" s="165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3"/>
      <c r="Y117" s="182"/>
      <c r="Z117" s="182"/>
      <c r="AA117" s="182"/>
      <c r="AB117" s="182"/>
      <c r="AC117" s="182"/>
      <c r="AD117" s="181"/>
      <c r="AE117" s="181"/>
      <c r="AF117" s="181"/>
      <c r="AG117" s="181"/>
      <c r="AH117" s="182"/>
      <c r="AI117">
        <f t="shared" si="23"/>
        <v>448</v>
      </c>
      <c r="AJ117" t="str">
        <f t="shared" si="24"/>
        <v>NA</v>
      </c>
      <c r="AK117" t="str">
        <f>IF(ISERROR(MATCH(AI117&amp;"."&amp;AJ117,AK$91:AK116,0)),AI117&amp;"."&amp;AJ117,AI117&amp;"."&amp;AJ117&amp;COUNTIFS(AI$91:AI116,AI117,AJ$91:AJ116,AJ117))</f>
        <v>448.NA2</v>
      </c>
    </row>
    <row r="118" spans="1:37" ht="15.75" hidden="1" thickBot="1">
      <c r="A118" s="120">
        <f>ROW()</f>
        <v>118</v>
      </c>
      <c r="B118" s="120"/>
      <c r="C118" s="110" t="s">
        <v>142</v>
      </c>
      <c r="E118" s="121"/>
      <c r="F118" s="138"/>
      <c r="G118" s="155" t="e">
        <f t="shared" ref="G118:L118" si="32">G96+G102+G106+G111+G116</f>
        <v>#VALUE!</v>
      </c>
      <c r="H118" s="154">
        <f t="shared" si="32"/>
        <v>0.2</v>
      </c>
      <c r="I118" s="154">
        <f t="shared" si="32"/>
        <v>0.2</v>
      </c>
      <c r="J118" s="154">
        <f t="shared" si="32"/>
        <v>0.2</v>
      </c>
      <c r="K118" s="154">
        <f t="shared" si="32"/>
        <v>0.2</v>
      </c>
      <c r="L118" s="154">
        <f t="shared" si="32"/>
        <v>0.2</v>
      </c>
      <c r="O118" s="116">
        <f>O96+O102+O106+O111+O116</f>
        <v>0</v>
      </c>
      <c r="P118" s="116">
        <f>P96+P102+P106+P111+P116</f>
        <v>0</v>
      </c>
      <c r="Q118" s="116">
        <f>Q96+Q102+Q106+Q111+Q116</f>
        <v>0.15000000000000002</v>
      </c>
      <c r="R118" s="116">
        <f>R96+R102+R106+R111+R116</f>
        <v>0.05</v>
      </c>
      <c r="S118" s="116"/>
      <c r="T118" s="116">
        <f>T96+T102+T106+T111+T116</f>
        <v>0</v>
      </c>
      <c r="U118" s="116">
        <f>U96+U102+U106+U111+U116</f>
        <v>0</v>
      </c>
      <c r="V118" s="116">
        <f>V96+V102+V106+V111+V116</f>
        <v>0.15000000000000002</v>
      </c>
      <c r="W118" s="116">
        <f>W96+W102+W106+W111+W116</f>
        <v>0.05</v>
      </c>
      <c r="X118" s="3"/>
      <c r="Y118" s="116">
        <f>Y96+Y102+Y106+Y111+Y116</f>
        <v>3.7536413527785459E-2</v>
      </c>
      <c r="Z118" s="116">
        <f>Z96+Z102+Z106+Z111+Z116</f>
        <v>9.4305089070887582E-2</v>
      </c>
      <c r="AA118" s="116">
        <f>AA96+AA102+AA106+AA111+AA116</f>
        <v>4.141285989242386E-2</v>
      </c>
      <c r="AB118" s="116">
        <f>AB96+AB102+AB106+AB111+AB116</f>
        <v>2.2024566608096208E-2</v>
      </c>
      <c r="AC118" s="116">
        <f>AC96+AC102+AC106+AC111+AC116</f>
        <v>4.7210709008069195E-3</v>
      </c>
      <c r="AD118" s="117" t="e">
        <f>ROUND(SUM(-G118,H118:L118),0)</f>
        <v>#VALUE!</v>
      </c>
      <c r="AE118" s="117">
        <f>ROUND(H118-O118-P118-Q118-R118,0)</f>
        <v>0</v>
      </c>
      <c r="AF118" s="117">
        <f>ROUND(I118-T118-U118-V118-W118,0)</f>
        <v>0</v>
      </c>
      <c r="AG118" s="117">
        <f>ROUND(J118-Y118-Z118-AA118-AC118-AB118,0)</f>
        <v>0</v>
      </c>
      <c r="AH118" s="116"/>
      <c r="AI118" t="str">
        <f t="shared" si="23"/>
        <v>Total Sales to Ultimate Customers</v>
      </c>
      <c r="AJ118" t="str">
        <f t="shared" si="24"/>
        <v>NA</v>
      </c>
      <c r="AK118" t="str">
        <f>IF(ISERROR(MATCH(AI118&amp;"."&amp;AJ118,AK$91:AK117,0)),AI118&amp;"."&amp;AJ118,AI118&amp;"."&amp;AJ118&amp;COUNTIFS(AI$91:AI117,AI118,AJ$91:AJ117,AJ118))</f>
        <v>Total Sales to Ultimate Customers.NA</v>
      </c>
    </row>
    <row r="119" spans="1:37" ht="15" hidden="1">
      <c r="A119" s="120">
        <f>ROW()</f>
        <v>119</v>
      </c>
      <c r="B119" s="120"/>
      <c r="E119" s="121"/>
      <c r="F119" s="138"/>
      <c r="G119" s="117"/>
      <c r="H119" s="116"/>
      <c r="I119" s="116"/>
      <c r="J119" s="116"/>
      <c r="K119" s="116"/>
      <c r="L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3"/>
      <c r="Y119" s="116"/>
      <c r="Z119" s="116"/>
      <c r="AA119" s="116"/>
      <c r="AB119" s="116"/>
      <c r="AC119" s="116"/>
      <c r="AD119" s="117"/>
      <c r="AE119" s="117"/>
      <c r="AF119" s="117"/>
      <c r="AG119" s="117"/>
      <c r="AH119" s="116"/>
      <c r="AI119" t="str">
        <f t="shared" si="23"/>
        <v>Total Sales to Ultimate Customers</v>
      </c>
      <c r="AJ119" t="str">
        <f t="shared" si="24"/>
        <v>NA</v>
      </c>
      <c r="AK119" t="str">
        <f>IF(ISERROR(MATCH(AI119&amp;"."&amp;AJ119,AK$91:AK118,0)),AI119&amp;"."&amp;AJ119,AI119&amp;"."&amp;AJ119&amp;COUNTIFS(AI$91:AI118,AI119,AJ$91:AJ118,AJ119))</f>
        <v>Total Sales to Ultimate Customers.NA1</v>
      </c>
    </row>
    <row r="120" spans="1:37" ht="15" hidden="1">
      <c r="A120" s="120">
        <f>ROW()</f>
        <v>120</v>
      </c>
      <c r="B120" s="120"/>
      <c r="E120" s="121"/>
      <c r="F120" s="138"/>
      <c r="G120" s="117"/>
      <c r="H120" s="116"/>
      <c r="I120" s="116"/>
      <c r="J120" s="116"/>
      <c r="K120" s="116"/>
      <c r="L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3"/>
      <c r="Y120" s="116"/>
      <c r="Z120" s="116"/>
      <c r="AA120" s="116"/>
      <c r="AB120" s="116"/>
      <c r="AC120" s="116"/>
      <c r="AD120" s="117"/>
      <c r="AE120" s="117"/>
      <c r="AF120" s="117"/>
      <c r="AG120" s="117"/>
      <c r="AH120" s="116"/>
      <c r="AI120" t="str">
        <f t="shared" si="23"/>
        <v>Total Sales to Ultimate Customers</v>
      </c>
      <c r="AJ120" t="str">
        <f t="shared" si="24"/>
        <v>NA</v>
      </c>
      <c r="AK120" t="str">
        <f>IF(ISERROR(MATCH(AI120&amp;"."&amp;AJ120,AK$91:AK119,0)),AI120&amp;"."&amp;AJ120,AI120&amp;"."&amp;AJ120&amp;COUNTIFS(AI$91:AI119,AI120,AJ$91:AJ119,AJ120))</f>
        <v>Total Sales to Ultimate Customers.NA2</v>
      </c>
    </row>
    <row r="121" spans="1:37" ht="15" hidden="1">
      <c r="A121" s="120">
        <f>ROW()</f>
        <v>121</v>
      </c>
      <c r="B121" s="120"/>
      <c r="E121" s="121"/>
      <c r="F121" s="138"/>
      <c r="G121" s="117"/>
      <c r="H121" s="116"/>
      <c r="I121" s="116"/>
      <c r="J121" s="116"/>
      <c r="K121" s="116"/>
      <c r="L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3"/>
      <c r="Y121" s="116"/>
      <c r="Z121" s="116"/>
      <c r="AA121" s="116"/>
      <c r="AB121" s="116"/>
      <c r="AC121" s="116"/>
      <c r="AD121" s="117"/>
      <c r="AE121" s="117"/>
      <c r="AF121" s="117"/>
      <c r="AG121" s="117"/>
      <c r="AH121" s="116"/>
      <c r="AI121" t="str">
        <f t="shared" si="23"/>
        <v>Total Sales to Ultimate Customers</v>
      </c>
      <c r="AJ121" t="str">
        <f t="shared" si="24"/>
        <v>NA</v>
      </c>
      <c r="AK121" t="str">
        <f>IF(ISERROR(MATCH(AI121&amp;"."&amp;AJ121,AK$91:AK120,0)),AI121&amp;"."&amp;AJ121,AI121&amp;"."&amp;AJ121&amp;COUNTIFS(AI$91:AI120,AI121,AJ$91:AJ120,AJ121))</f>
        <v>Total Sales to Ultimate Customers.NA3</v>
      </c>
    </row>
    <row r="122" spans="1:37" ht="15" hidden="1">
      <c r="A122" s="120">
        <f>ROW()</f>
        <v>122</v>
      </c>
      <c r="B122" s="120"/>
      <c r="C122" s="1">
        <v>447</v>
      </c>
      <c r="D122" s="2" t="s">
        <v>1</v>
      </c>
      <c r="E122" s="121"/>
      <c r="F122" s="138"/>
      <c r="G122" s="119"/>
      <c r="X122" s="3"/>
      <c r="AD122" s="119"/>
      <c r="AE122" s="119"/>
      <c r="AF122" s="119"/>
      <c r="AG122" s="119"/>
      <c r="AI122">
        <f t="shared" si="23"/>
        <v>447</v>
      </c>
      <c r="AJ122" t="str">
        <f t="shared" si="24"/>
        <v>NA</v>
      </c>
      <c r="AK122" t="str">
        <f>IF(ISERROR(MATCH(AI122&amp;"."&amp;AJ122,AK$91:AK121,0)),AI122&amp;"."&amp;AJ122,AI122&amp;"."&amp;AJ122&amp;COUNTIFS(AI$91:AI121,AI122,AJ$91:AJ121,AJ122))</f>
        <v>447.NA</v>
      </c>
    </row>
    <row r="123" spans="1:37" ht="15" hidden="1">
      <c r="A123" s="120">
        <f>ROW()</f>
        <v>123</v>
      </c>
      <c r="B123" s="120"/>
      <c r="C123" s="1"/>
      <c r="E123" s="121" t="s">
        <v>12</v>
      </c>
      <c r="F123" s="138" t="str">
        <f>INDEX(FuncAllocOptions,ROW(A123)-ROW($A$92)+1,[4]Inputs!$S$11)</f>
        <v>P</v>
      </c>
      <c r="G123" s="117" t="e">
        <f>SUMIF(FERCJAMFactor,AK123,JAMValue)</f>
        <v>#VALUE!</v>
      </c>
      <c r="H123" s="116" t="e">
        <f>INDEX(FuncFactorTbl,MATCH($F123,FuncFactors,0),MATCH(H$8,Functions,0))*$G123</f>
        <v>#VALUE!</v>
      </c>
      <c r="I123" s="116" t="e">
        <f>INDEX(FuncFactorTbl,MATCH($F123,FuncFactors,0),MATCH(I$8,Functions,0))*$G123</f>
        <v>#VALUE!</v>
      </c>
      <c r="J123" s="116" t="e">
        <f>INDEX(FuncFactorTbl,MATCH($F123,FuncFactors,0),MATCH(J$8,Functions,0))*$G123</f>
        <v>#VALUE!</v>
      </c>
      <c r="K123" s="116" t="e">
        <f>INDEX(FuncFactorTbl,MATCH($F123,FuncFactors,0),MATCH(K$8,Functions,0))*$G123</f>
        <v>#VALUE!</v>
      </c>
      <c r="L123" s="116" t="e">
        <f>INDEX(FuncFactorTbl,MATCH($F123,FuncFactors,0),MATCH(L$8,Functions,0))*$G123</f>
        <v>#VALUE!</v>
      </c>
      <c r="N123" s="156">
        <v>0.75</v>
      </c>
      <c r="O123" s="116" t="e">
        <f>$H123*$N123*$M123</f>
        <v>#VALUE!</v>
      </c>
      <c r="P123" s="116" t="e">
        <f>$H123*(1-$N123)*$M123</f>
        <v>#VALUE!</v>
      </c>
      <c r="Q123" s="116" t="e">
        <f>$H123*$N123*(1-$M123)</f>
        <v>#VALUE!</v>
      </c>
      <c r="R123" s="116" t="e">
        <f>$H123*(1-$N123)*(1-$M123)</f>
        <v>#VALUE!</v>
      </c>
      <c r="S123" s="156">
        <v>0.75</v>
      </c>
      <c r="T123" s="116" t="e">
        <f>$I123*$S123*$M123</f>
        <v>#VALUE!</v>
      </c>
      <c r="U123" s="116" t="e">
        <f>$I123*(1-$S123)*$M123</f>
        <v>#VALUE!</v>
      </c>
      <c r="V123" s="116" t="e">
        <f>$I123*$S123*(1-$M123)</f>
        <v>#VALUE!</v>
      </c>
      <c r="W123" s="116" t="e">
        <f>$I123*(1-$S123)*(1-$M123)</f>
        <v>#VALUE!</v>
      </c>
      <c r="X123" s="3" t="str">
        <f>INDEX(DistFuncAllocOptions,ROW(A123)-ROW($A$92)+1,[4]Inputs!$S$11)</f>
        <v>DRB</v>
      </c>
      <c r="Y123" s="116" t="e">
        <f>INDEX(DistFuncFactorTbl,MATCH($X123,DistFuncFactors,0),MATCH(Y$91,DistFunctions,0))*$J123</f>
        <v>#VALUE!</v>
      </c>
      <c r="Z123" s="116" t="e">
        <f>INDEX(DistFuncFactorTbl,MATCH($X123,DistFuncFactors,0),MATCH(Z$91,DistFunctions,0))*$J123</f>
        <v>#VALUE!</v>
      </c>
      <c r="AA123" s="116" t="e">
        <f>INDEX(DistFuncFactorTbl,MATCH($X123,DistFuncFactors,0),MATCH(AA$91,DistFunctions,0))*$J123</f>
        <v>#VALUE!</v>
      </c>
      <c r="AB123" s="116" t="e">
        <f>INDEX(DistFuncFactorTbl,MATCH($X123,DistFuncFactors,0),MATCH(AB$91,DistFunctions,0))*$J123</f>
        <v>#VALUE!</v>
      </c>
      <c r="AC123" s="116" t="e">
        <f>INDEX(DistFuncFactorTbl,MATCH($X123,DistFuncFactors,0),MATCH(AC$91,DistFunctions,0))*$J123</f>
        <v>#VALUE!</v>
      </c>
      <c r="AD123" s="117" t="e">
        <f>ROUND(SUM(-G123,H123:L123),0)</f>
        <v>#VALUE!</v>
      </c>
      <c r="AE123" s="117" t="e">
        <f>ROUND(H123-O123-P123-Q123-R123,0)</f>
        <v>#VALUE!</v>
      </c>
      <c r="AF123" s="117" t="e">
        <f>ROUND(I123-T123-U123-V123-W123,0)</f>
        <v>#VALUE!</v>
      </c>
      <c r="AG123" s="117" t="e">
        <f>ROUND(J123-Y123-Z123-AA123-AC123-AB123,0)</f>
        <v>#VALUE!</v>
      </c>
      <c r="AH123" s="116"/>
      <c r="AI123">
        <f t="shared" si="23"/>
        <v>447</v>
      </c>
      <c r="AJ123" t="str">
        <f t="shared" si="24"/>
        <v>S</v>
      </c>
      <c r="AK123" t="str">
        <f>IF(ISERROR(MATCH(AI123&amp;"."&amp;AJ123,AK$91:AK122,0)),AI123&amp;"."&amp;AJ123,AI123&amp;"."&amp;AJ123&amp;COUNTIFS(AI$91:AI122,AI123,AJ$91:AJ122,AJ123))</f>
        <v>447.S</v>
      </c>
    </row>
    <row r="124" spans="1:37" ht="15" hidden="1">
      <c r="A124" s="120">
        <f>ROW()</f>
        <v>124</v>
      </c>
      <c r="B124" s="120"/>
      <c r="C124" s="1"/>
      <c r="E124" s="121"/>
      <c r="F124" s="138"/>
      <c r="G124" s="117" t="e">
        <f t="shared" ref="G124:L124" si="33">SUM(G123:G123)</f>
        <v>#VALUE!</v>
      </c>
      <c r="H124" s="116" t="e">
        <f t="shared" si="33"/>
        <v>#VALUE!</v>
      </c>
      <c r="I124" s="116" t="e">
        <f t="shared" si="33"/>
        <v>#VALUE!</v>
      </c>
      <c r="J124" s="116" t="e">
        <f t="shared" si="33"/>
        <v>#VALUE!</v>
      </c>
      <c r="K124" s="116" t="e">
        <f t="shared" si="33"/>
        <v>#VALUE!</v>
      </c>
      <c r="L124" s="116" t="e">
        <f t="shared" si="33"/>
        <v>#VALUE!</v>
      </c>
      <c r="O124" s="116" t="e">
        <f>SUM(O123:O123)</f>
        <v>#VALUE!</v>
      </c>
      <c r="P124" s="116" t="e">
        <f>SUM(P123:P123)</f>
        <v>#VALUE!</v>
      </c>
      <c r="Q124" s="116" t="e">
        <f>SUM(Q123:Q123)</f>
        <v>#VALUE!</v>
      </c>
      <c r="R124" s="116" t="e">
        <f>SUM(R123:R123)</f>
        <v>#VALUE!</v>
      </c>
      <c r="T124" s="116" t="e">
        <f>SUM(T123:T123)</f>
        <v>#VALUE!</v>
      </c>
      <c r="U124" s="116" t="e">
        <f>SUM(U123:U123)</f>
        <v>#VALUE!</v>
      </c>
      <c r="V124" s="116" t="e">
        <f>SUM(V123:V123)</f>
        <v>#VALUE!</v>
      </c>
      <c r="W124" s="116" t="e">
        <f>SUM(W123:W123)</f>
        <v>#VALUE!</v>
      </c>
      <c r="X124" s="3"/>
      <c r="Y124" s="116" t="e">
        <f>SUM(Y123:Y123)</f>
        <v>#VALUE!</v>
      </c>
      <c r="Z124" s="116" t="e">
        <f>SUM(Z123:Z123)</f>
        <v>#VALUE!</v>
      </c>
      <c r="AA124" s="116" t="e">
        <f>SUM(AA123:AA123)</f>
        <v>#VALUE!</v>
      </c>
      <c r="AB124" s="116" t="e">
        <f>SUM(AB123:AB123)</f>
        <v>#VALUE!</v>
      </c>
      <c r="AC124" s="116" t="e">
        <f>SUM(AC123:AC123)</f>
        <v>#VALUE!</v>
      </c>
      <c r="AD124" s="117" t="e">
        <f>ROUND(SUM(-G124,H124:L124),0)</f>
        <v>#VALUE!</v>
      </c>
      <c r="AE124" s="117" t="e">
        <f>ROUND(H124-O124-P124-Q124-R124,0)</f>
        <v>#VALUE!</v>
      </c>
      <c r="AF124" s="117" t="e">
        <f>ROUND(I124-T124-U124-V124-W124,0)</f>
        <v>#VALUE!</v>
      </c>
      <c r="AG124" s="117" t="e">
        <f>ROUND(J124-Y124-Z124-AA124-AC124-AB124,0)</f>
        <v>#VALUE!</v>
      </c>
      <c r="AH124" s="116"/>
      <c r="AI124">
        <f t="shared" si="23"/>
        <v>447</v>
      </c>
      <c r="AJ124" t="str">
        <f t="shared" si="24"/>
        <v>NA</v>
      </c>
      <c r="AK124" t="str">
        <f>IF(ISERROR(MATCH(AI124&amp;"."&amp;AJ124,AK$91:AK123,0)),AI124&amp;"."&amp;AJ124,AI124&amp;"."&amp;AJ124&amp;COUNTIFS(AI$91:AI123,AI124,AJ$91:AJ123,AJ124))</f>
        <v>447.NA1</v>
      </c>
    </row>
    <row r="125" spans="1:37" ht="15" hidden="1">
      <c r="A125" s="120">
        <f>ROW()</f>
        <v>125</v>
      </c>
      <c r="B125" s="120"/>
      <c r="E125" s="121"/>
      <c r="F125" s="138"/>
      <c r="G125" s="119"/>
      <c r="X125" s="3"/>
      <c r="AD125" s="119"/>
      <c r="AE125" s="119"/>
      <c r="AF125" s="119"/>
      <c r="AG125" s="119"/>
      <c r="AI125">
        <f t="shared" ref="AI125:AI156" si="34">IF(OR(C125="",C125=" ",C125="  ",C125="   "),AI124,C125)</f>
        <v>447</v>
      </c>
      <c r="AJ125" t="str">
        <f t="shared" si="24"/>
        <v>NA</v>
      </c>
      <c r="AK125" t="str">
        <f>IF(ISERROR(MATCH(AI125&amp;"."&amp;AJ125,AK$91:AK124,0)),AI125&amp;"."&amp;AJ125,AI125&amp;"."&amp;AJ125&amp;COUNTIFS(AI$91:AI124,AI125,AJ$91:AJ124,AJ125))</f>
        <v>447.NA2</v>
      </c>
    </row>
    <row r="126" spans="1:37" ht="15">
      <c r="A126" s="120">
        <f>ROW()</f>
        <v>126</v>
      </c>
      <c r="B126" s="120" t="s">
        <v>105</v>
      </c>
      <c r="C126" s="1" t="s">
        <v>0</v>
      </c>
      <c r="D126" s="2" t="s">
        <v>1</v>
      </c>
      <c r="E126" s="121"/>
      <c r="F126" s="138"/>
      <c r="G126" s="119"/>
      <c r="X126" s="3"/>
      <c r="AD126" s="119"/>
      <c r="AE126" s="119"/>
      <c r="AF126" s="119"/>
      <c r="AG126" s="119"/>
      <c r="AI126" t="str">
        <f t="shared" si="34"/>
        <v>447NPC</v>
      </c>
      <c r="AJ126" t="str">
        <f t="shared" si="24"/>
        <v>NA</v>
      </c>
      <c r="AK126" t="str">
        <f>IF(ISERROR(MATCH(AI126&amp;"."&amp;AJ126,AK$91:AK125,0)),AI126&amp;"."&amp;AJ126,AI126&amp;"."&amp;AJ126&amp;COUNTIFS(AI$91:AI125,AI126,AJ$91:AJ125,AJ126))</f>
        <v>447NPC.NA</v>
      </c>
    </row>
    <row r="127" spans="1:37" ht="15">
      <c r="A127" s="120">
        <f>ROW()</f>
        <v>127</v>
      </c>
      <c r="B127" s="120" t="s">
        <v>105</v>
      </c>
      <c r="C127" s="1"/>
      <c r="E127" s="121" t="s">
        <v>12</v>
      </c>
      <c r="F127" s="138" t="str">
        <f>INDEX(FuncAllocOptions,ROW(A127)-ROW($A$92)+1,[4]Inputs!$S$11)</f>
        <v>P</v>
      </c>
      <c r="G127" s="117" t="e">
        <f>SUMIF(FERCJAMFactor,AK127,JAMValue)</f>
        <v>#VALUE!</v>
      </c>
      <c r="H127" s="116" t="e">
        <f t="shared" ref="H127:L130" si="35">INDEX(FuncFactorTbl,MATCH($F127,FuncFactors,0),MATCH(H$8,Functions,0))*$G127</f>
        <v>#VALUE!</v>
      </c>
      <c r="I127" s="116" t="e">
        <f t="shared" si="35"/>
        <v>#VALUE!</v>
      </c>
      <c r="J127" s="116" t="e">
        <f t="shared" si="35"/>
        <v>#VALUE!</v>
      </c>
      <c r="K127" s="116" t="e">
        <f t="shared" si="35"/>
        <v>#VALUE!</v>
      </c>
      <c r="L127" s="116" t="e">
        <f t="shared" si="35"/>
        <v>#VALUE!</v>
      </c>
      <c r="M127" s="164">
        <v>1</v>
      </c>
      <c r="N127" s="156">
        <v>0.5</v>
      </c>
      <c r="O127" s="116" t="e">
        <f>$H127*$N127*$M127</f>
        <v>#VALUE!</v>
      </c>
      <c r="P127" s="116" t="e">
        <f>$H127*(1-$N127)*$M127</f>
        <v>#VALUE!</v>
      </c>
      <c r="Q127" s="116" t="e">
        <f>$H127*$N127*(1-$M127)</f>
        <v>#VALUE!</v>
      </c>
      <c r="R127" s="116" t="e">
        <f>$H127*(1-$N127)*(1-$M127)</f>
        <v>#VALUE!</v>
      </c>
      <c r="S127" s="156">
        <v>0.5</v>
      </c>
      <c r="T127" s="116" t="e">
        <f>$I127*$S127*$M127</f>
        <v>#VALUE!</v>
      </c>
      <c r="U127" s="116" t="e">
        <f>$I127*(1-$S127)*$M127</f>
        <v>#VALUE!</v>
      </c>
      <c r="V127" s="116" t="e">
        <f>$I127*$S127*(1-$M127)</f>
        <v>#VALUE!</v>
      </c>
      <c r="W127" s="116" t="e">
        <f>$I127*(1-$S127)*(1-$M127)</f>
        <v>#VALUE!</v>
      </c>
      <c r="X127" s="3" t="str">
        <f>INDEX(DistFuncAllocOptions,ROW(A127)-ROW($A$92)+1,[4]Inputs!$S$11)</f>
        <v>DRB</v>
      </c>
      <c r="Y127" s="116" t="e">
        <f t="shared" ref="Y127:AC130" si="36">INDEX(DistFuncFactorTbl,MATCH($X127,DistFuncFactors,0),MATCH(Y$91,DistFunctions,0))*$J127</f>
        <v>#VALUE!</v>
      </c>
      <c r="Z127" s="116" t="e">
        <f t="shared" si="36"/>
        <v>#VALUE!</v>
      </c>
      <c r="AA127" s="116" t="e">
        <f t="shared" si="36"/>
        <v>#VALUE!</v>
      </c>
      <c r="AB127" s="116" t="e">
        <f t="shared" si="36"/>
        <v>#VALUE!</v>
      </c>
      <c r="AC127" s="116" t="e">
        <f t="shared" si="36"/>
        <v>#VALUE!</v>
      </c>
      <c r="AD127" s="117" t="e">
        <f>ROUND(SUM(-G127,H127:L127),0)</f>
        <v>#VALUE!</v>
      </c>
      <c r="AE127" s="117" t="e">
        <f>ROUND(H127-O127-P127-Q127-R127,0)</f>
        <v>#VALUE!</v>
      </c>
      <c r="AF127" s="117" t="e">
        <f>ROUND(I127-T127-U127-V127-W127,0)</f>
        <v>#VALUE!</v>
      </c>
      <c r="AG127" s="117" t="e">
        <f>ROUND(J127-Y127-Z127-AA127-AC127-AB127,0)</f>
        <v>#VALUE!</v>
      </c>
      <c r="AH127" s="116"/>
      <c r="AI127" t="str">
        <f t="shared" si="34"/>
        <v>447NPC</v>
      </c>
      <c r="AJ127" t="str">
        <f t="shared" si="24"/>
        <v>S</v>
      </c>
      <c r="AK127" t="str">
        <f>IF(ISERROR(MATCH(AI127&amp;"."&amp;AJ127,AK$91:AK126,0)),AI127&amp;"."&amp;AJ127,AI127&amp;"."&amp;AJ127&amp;COUNTIFS(AI$91:AI126,AI127,AJ$91:AJ126,AJ127))</f>
        <v>447NPC.S</v>
      </c>
    </row>
    <row r="128" spans="1:37" ht="15">
      <c r="A128" s="120">
        <f>ROW()</f>
        <v>128</v>
      </c>
      <c r="B128" s="120" t="s">
        <v>105</v>
      </c>
      <c r="C128" s="1"/>
      <c r="E128" s="121" t="s">
        <v>14</v>
      </c>
      <c r="F128" s="138" t="str">
        <f>INDEX(FuncAllocOptions,ROW(A128)-ROW($A$92)+1,[4]Inputs!$S$11)</f>
        <v>P</v>
      </c>
      <c r="G128" s="117" t="e">
        <f>SUMIF(FERCJAMFactor,AK128,JAMValue)</f>
        <v>#VALUE!</v>
      </c>
      <c r="H128" s="116" t="e">
        <f t="shared" si="35"/>
        <v>#VALUE!</v>
      </c>
      <c r="I128" s="116" t="e">
        <f t="shared" si="35"/>
        <v>#VALUE!</v>
      </c>
      <c r="J128" s="116" t="e">
        <f t="shared" si="35"/>
        <v>#VALUE!</v>
      </c>
      <c r="K128" s="116" t="e">
        <f t="shared" si="35"/>
        <v>#VALUE!</v>
      </c>
      <c r="L128" s="116" t="e">
        <f t="shared" si="35"/>
        <v>#VALUE!</v>
      </c>
      <c r="M128" s="164">
        <v>1</v>
      </c>
      <c r="N128" s="156">
        <v>0.75</v>
      </c>
      <c r="O128" s="116" t="e">
        <f>$H128*$N128*$M128</f>
        <v>#VALUE!</v>
      </c>
      <c r="P128" s="116" t="e">
        <f>$H128*(1-$N128)*$M128</f>
        <v>#VALUE!</v>
      </c>
      <c r="Q128" s="116" t="e">
        <f>$H128*$N128*(1-$M128)</f>
        <v>#VALUE!</v>
      </c>
      <c r="R128" s="116" t="e">
        <f>$H128*(1-$N128)*(1-$M128)</f>
        <v>#VALUE!</v>
      </c>
      <c r="S128" s="156">
        <v>0.75</v>
      </c>
      <c r="T128" s="116" t="e">
        <f>$I128*$S128*$M128</f>
        <v>#VALUE!</v>
      </c>
      <c r="U128" s="116" t="e">
        <f>$I128*(1-$S128)*$M128</f>
        <v>#VALUE!</v>
      </c>
      <c r="V128" s="116" t="e">
        <f>$I128*$S128*(1-$M128)</f>
        <v>#VALUE!</v>
      </c>
      <c r="W128" s="116" t="e">
        <f>$I128*(1-$S128)*(1-$M128)</f>
        <v>#VALUE!</v>
      </c>
      <c r="X128" s="3" t="str">
        <f>INDEX(DistFuncAllocOptions,ROW(A128)-ROW($A$92)+1,[4]Inputs!$S$11)</f>
        <v>DRB</v>
      </c>
      <c r="Y128" s="116" t="e">
        <f t="shared" si="36"/>
        <v>#VALUE!</v>
      </c>
      <c r="Z128" s="116" t="e">
        <f t="shared" si="36"/>
        <v>#VALUE!</v>
      </c>
      <c r="AA128" s="116" t="e">
        <f t="shared" si="36"/>
        <v>#VALUE!</v>
      </c>
      <c r="AB128" s="116" t="e">
        <f t="shared" si="36"/>
        <v>#VALUE!</v>
      </c>
      <c r="AC128" s="116" t="e">
        <f t="shared" si="36"/>
        <v>#VALUE!</v>
      </c>
      <c r="AD128" s="117" t="e">
        <f>ROUND(SUM(-G128,H128:L128),0)</f>
        <v>#VALUE!</v>
      </c>
      <c r="AE128" s="117" t="e">
        <f>ROUND(H128-O128-P128-Q128-R128,0)</f>
        <v>#VALUE!</v>
      </c>
      <c r="AF128" s="117" t="e">
        <f>ROUND(I128-T128-U128-V128-W128,0)</f>
        <v>#VALUE!</v>
      </c>
      <c r="AG128" s="117" t="e">
        <f>ROUND(J128-Y128-Z128-AA128-AC128-AB128,0)</f>
        <v>#VALUE!</v>
      </c>
      <c r="AH128" s="116"/>
      <c r="AI128" t="str">
        <f t="shared" si="34"/>
        <v>447NPC</v>
      </c>
      <c r="AJ128" t="str">
        <f t="shared" si="24"/>
        <v>DGU</v>
      </c>
      <c r="AK128" t="str">
        <f>IF(ISERROR(MATCH(AI128&amp;"."&amp;AJ128,AK$91:AK127,0)),AI128&amp;"."&amp;AJ128,AI128&amp;"."&amp;AJ128&amp;COUNTIFS(AI$91:AI127,AI128,AJ$91:AJ127,AJ128))</f>
        <v>447NPC.DGU</v>
      </c>
    </row>
    <row r="129" spans="1:38" ht="15">
      <c r="A129" s="120">
        <f>ROW()</f>
        <v>129</v>
      </c>
      <c r="B129" s="120" t="s">
        <v>105</v>
      </c>
      <c r="C129" s="1"/>
      <c r="E129" s="121" t="s">
        <v>15</v>
      </c>
      <c r="F129" s="138" t="str">
        <f>INDEX(FuncAllocOptions,ROW(A129)-ROW($A$92)+1,[4]Inputs!$S$11)</f>
        <v>P</v>
      </c>
      <c r="G129" s="117" t="e">
        <f>SUMIF(FERCJAMFactor,AK129,JAMValue)</f>
        <v>#VALUE!</v>
      </c>
      <c r="H129" s="116" t="e">
        <f t="shared" si="35"/>
        <v>#VALUE!</v>
      </c>
      <c r="I129" s="116" t="e">
        <f t="shared" si="35"/>
        <v>#VALUE!</v>
      </c>
      <c r="J129" s="116" t="e">
        <f t="shared" si="35"/>
        <v>#VALUE!</v>
      </c>
      <c r="K129" s="116" t="e">
        <f t="shared" si="35"/>
        <v>#VALUE!</v>
      </c>
      <c r="L129" s="116" t="e">
        <f t="shared" si="35"/>
        <v>#VALUE!</v>
      </c>
      <c r="M129" s="164">
        <v>1</v>
      </c>
      <c r="N129" s="156">
        <v>0.75</v>
      </c>
      <c r="O129" s="116" t="e">
        <f>$H129*$N129*$M129</f>
        <v>#VALUE!</v>
      </c>
      <c r="P129" s="116" t="e">
        <f>$H129*(1-$N129)*$M129</f>
        <v>#VALUE!</v>
      </c>
      <c r="Q129" s="116" t="e">
        <f>$H129*$N129*(1-$M129)</f>
        <v>#VALUE!</v>
      </c>
      <c r="R129" s="116" t="e">
        <f>$H129*(1-$N129)*(1-$M129)</f>
        <v>#VALUE!</v>
      </c>
      <c r="S129" s="156">
        <v>0.75</v>
      </c>
      <c r="T129" s="116" t="e">
        <f>$I129*$S129*$M129</f>
        <v>#VALUE!</v>
      </c>
      <c r="U129" s="116" t="e">
        <f>$I129*(1-$S129)*$M129</f>
        <v>#VALUE!</v>
      </c>
      <c r="V129" s="116" t="e">
        <f>$I129*$S129*(1-$M129)</f>
        <v>#VALUE!</v>
      </c>
      <c r="W129" s="116" t="e">
        <f>$I129*(1-$S129)*(1-$M129)</f>
        <v>#VALUE!</v>
      </c>
      <c r="X129" s="3" t="str">
        <f>INDEX(DistFuncAllocOptions,ROW(A129)-ROW($A$92)+1,[4]Inputs!$S$11)</f>
        <v>DRB</v>
      </c>
      <c r="Y129" s="116" t="e">
        <f t="shared" si="36"/>
        <v>#VALUE!</v>
      </c>
      <c r="Z129" s="116" t="e">
        <f t="shared" si="36"/>
        <v>#VALUE!</v>
      </c>
      <c r="AA129" s="116" t="e">
        <f t="shared" si="36"/>
        <v>#VALUE!</v>
      </c>
      <c r="AB129" s="116" t="e">
        <f t="shared" si="36"/>
        <v>#VALUE!</v>
      </c>
      <c r="AC129" s="116" t="e">
        <f t="shared" si="36"/>
        <v>#VALUE!</v>
      </c>
      <c r="AD129" s="117" t="e">
        <f>ROUND(SUM(-G129,H129:L129),0)</f>
        <v>#VALUE!</v>
      </c>
      <c r="AE129" s="117" t="e">
        <f>ROUND(H129-O129-P129-Q129-R129,0)</f>
        <v>#VALUE!</v>
      </c>
      <c r="AF129" s="117" t="e">
        <f>ROUND(I129-T129-U129-V129-W129,0)</f>
        <v>#VALUE!</v>
      </c>
      <c r="AG129" s="117" t="e">
        <f>ROUND(J129-Y129-Z129-AA129-AC129-AB129,0)</f>
        <v>#VALUE!</v>
      </c>
      <c r="AH129" s="116"/>
      <c r="AI129" t="str">
        <f t="shared" si="34"/>
        <v>447NPC</v>
      </c>
      <c r="AJ129" t="str">
        <f t="shared" si="24"/>
        <v>SG</v>
      </c>
      <c r="AK129" t="str">
        <f>IF(ISERROR(MATCH(AI129&amp;"."&amp;AJ129,AK$91:AK128,0)),AI129&amp;"."&amp;AJ129,AI129&amp;"."&amp;AJ129&amp;COUNTIFS(AI$91:AI128,AI129,AJ$91:AJ128,AJ129))</f>
        <v>447NPC.SG</v>
      </c>
    </row>
    <row r="130" spans="1:38" ht="15">
      <c r="A130" s="120">
        <f>ROW()</f>
        <v>130</v>
      </c>
      <c r="B130" s="120" t="s">
        <v>105</v>
      </c>
      <c r="C130" s="1"/>
      <c r="E130" s="121" t="s">
        <v>16</v>
      </c>
      <c r="F130" s="138" t="str">
        <f>INDEX(FuncAllocOptions,ROW(A130)-ROW($A$92)+1,[4]Inputs!$S$11)</f>
        <v>P</v>
      </c>
      <c r="G130" s="201" t="e">
        <f>SUMIF(FERCJAMFactor,AK130,JAMValue)</f>
        <v>#VALUE!</v>
      </c>
      <c r="H130" s="139" t="e">
        <f t="shared" si="35"/>
        <v>#VALUE!</v>
      </c>
      <c r="I130" s="139" t="e">
        <f t="shared" si="35"/>
        <v>#VALUE!</v>
      </c>
      <c r="J130" s="139" t="e">
        <f t="shared" si="35"/>
        <v>#VALUE!</v>
      </c>
      <c r="K130" s="139" t="e">
        <f t="shared" si="35"/>
        <v>#VALUE!</v>
      </c>
      <c r="L130" s="139" t="e">
        <f t="shared" si="35"/>
        <v>#VALUE!</v>
      </c>
      <c r="M130" s="164">
        <v>1</v>
      </c>
      <c r="N130" s="108">
        <v>0</v>
      </c>
      <c r="O130" s="116" t="e">
        <f>$H130*$N130*$M130</f>
        <v>#VALUE!</v>
      </c>
      <c r="P130" s="116" t="e">
        <f>$H130*(1-$N130)*$M130</f>
        <v>#VALUE!</v>
      </c>
      <c r="Q130" s="116" t="e">
        <f>$H130*$N130*(1-$M130)</f>
        <v>#VALUE!</v>
      </c>
      <c r="R130" s="116" t="e">
        <f>$H130*(1-$N130)*(1-$M130)</f>
        <v>#VALUE!</v>
      </c>
      <c r="S130" s="156">
        <v>0</v>
      </c>
      <c r="T130" s="116" t="e">
        <f>$I130*$S130*$M130</f>
        <v>#VALUE!</v>
      </c>
      <c r="U130" s="116" t="e">
        <f>$I130*(1-$S130)*$M130</f>
        <v>#VALUE!</v>
      </c>
      <c r="V130" s="116" t="e">
        <f>$I130*$S130*(1-$M130)</f>
        <v>#VALUE!</v>
      </c>
      <c r="W130" s="116" t="e">
        <f>$I130*(1-$S130)*(1-$M130)</f>
        <v>#VALUE!</v>
      </c>
      <c r="X130" s="3" t="str">
        <f>INDEX(DistFuncAllocOptions,ROW(A130)-ROW($A$92)+1,[4]Inputs!$S$11)</f>
        <v>DRB</v>
      </c>
      <c r="Y130" s="116" t="e">
        <f t="shared" si="36"/>
        <v>#VALUE!</v>
      </c>
      <c r="Z130" s="116" t="e">
        <f t="shared" si="36"/>
        <v>#VALUE!</v>
      </c>
      <c r="AA130" s="116" t="e">
        <f t="shared" si="36"/>
        <v>#VALUE!</v>
      </c>
      <c r="AB130" s="116" t="e">
        <f t="shared" si="36"/>
        <v>#VALUE!</v>
      </c>
      <c r="AC130" s="116" t="e">
        <f t="shared" si="36"/>
        <v>#VALUE!</v>
      </c>
      <c r="AD130" s="117" t="e">
        <f>ROUND(SUM(-G130,H130:L130),0)</f>
        <v>#VALUE!</v>
      </c>
      <c r="AE130" s="117" t="e">
        <f>ROUND(H130-O130-P130-Q130-R130,0)</f>
        <v>#VALUE!</v>
      </c>
      <c r="AF130" s="117" t="e">
        <f>ROUND(I130-T130-U130-V130-W130,0)</f>
        <v>#VALUE!</v>
      </c>
      <c r="AG130" s="117" t="e">
        <f>ROUND(J130-Y130-Z130-AA130-AC130-AB130,0)</f>
        <v>#VALUE!</v>
      </c>
      <c r="AH130" s="116"/>
      <c r="AI130" t="str">
        <f t="shared" si="34"/>
        <v>447NPC</v>
      </c>
      <c r="AJ130" t="str">
        <f t="shared" si="24"/>
        <v>SE</v>
      </c>
      <c r="AK130" t="str">
        <f>IF(ISERROR(MATCH(AI130&amp;"."&amp;AJ130,AK$91:AK129,0)),AI130&amp;"."&amp;AJ130,AI130&amp;"."&amp;AJ130&amp;COUNTIFS(AI$91:AI129,AI130,AJ$91:AJ129,AJ130))</f>
        <v>447NPC.SE</v>
      </c>
    </row>
    <row r="131" spans="1:38" ht="15">
      <c r="A131" s="120">
        <f>ROW()</f>
        <v>131</v>
      </c>
      <c r="B131" s="120" t="s">
        <v>105</v>
      </c>
      <c r="C131" s="1"/>
      <c r="E131" s="121"/>
      <c r="F131" s="138"/>
      <c r="G131" s="117" t="e">
        <f t="shared" ref="G131:L131" si="37">SUM(G127:G130)</f>
        <v>#VALUE!</v>
      </c>
      <c r="H131" s="116" t="e">
        <f t="shared" si="37"/>
        <v>#VALUE!</v>
      </c>
      <c r="I131" s="116" t="e">
        <f t="shared" si="37"/>
        <v>#VALUE!</v>
      </c>
      <c r="J131" s="116" t="e">
        <f t="shared" si="37"/>
        <v>#VALUE!</v>
      </c>
      <c r="K131" s="116" t="e">
        <f t="shared" si="37"/>
        <v>#VALUE!</v>
      </c>
      <c r="L131" s="116" t="e">
        <f t="shared" si="37"/>
        <v>#VALUE!</v>
      </c>
      <c r="O131" s="116" t="e">
        <f>SUM(O127:O130)</f>
        <v>#VALUE!</v>
      </c>
      <c r="P131" s="116" t="e">
        <f>SUM(P127:P130)</f>
        <v>#VALUE!</v>
      </c>
      <c r="Q131" s="116" t="e">
        <f>SUM(Q127:Q130)</f>
        <v>#VALUE!</v>
      </c>
      <c r="R131" s="116" t="e">
        <f>SUM(R127:R130)</f>
        <v>#VALUE!</v>
      </c>
      <c r="T131" s="116" t="e">
        <f>SUM(T127:T130)</f>
        <v>#VALUE!</v>
      </c>
      <c r="U131" s="116" t="e">
        <f>SUM(U127:U130)</f>
        <v>#VALUE!</v>
      </c>
      <c r="V131" s="116" t="e">
        <f>SUM(V127:V130)</f>
        <v>#VALUE!</v>
      </c>
      <c r="W131" s="116" t="e">
        <f>SUM(W127:W130)</f>
        <v>#VALUE!</v>
      </c>
      <c r="X131" s="3"/>
      <c r="Y131" s="116" t="e">
        <f>SUM(Y127:Y130)</f>
        <v>#VALUE!</v>
      </c>
      <c r="Z131" s="116" t="e">
        <f>SUM(Z127:Z130)</f>
        <v>#VALUE!</v>
      </c>
      <c r="AA131" s="116" t="e">
        <f>SUM(AA127:AA130)</f>
        <v>#VALUE!</v>
      </c>
      <c r="AB131" s="116" t="e">
        <f>SUM(AB127:AB130)</f>
        <v>#VALUE!</v>
      </c>
      <c r="AC131" s="116" t="e">
        <f>SUM(AC127:AC130)</f>
        <v>#VALUE!</v>
      </c>
      <c r="AD131" s="117" t="e">
        <f>ROUND(SUM(-G131,H131:L131),0)</f>
        <v>#VALUE!</v>
      </c>
      <c r="AE131" s="117" t="e">
        <f>ROUND(H131-O131-P131-Q131-R131,0)</f>
        <v>#VALUE!</v>
      </c>
      <c r="AF131" s="117" t="e">
        <f>ROUND(I131-T131-U131-V131-W131,0)</f>
        <v>#VALUE!</v>
      </c>
      <c r="AG131" s="117" t="e">
        <f>ROUND(J131-Y131-Z131-AA131-AC131-AB131,0)</f>
        <v>#VALUE!</v>
      </c>
      <c r="AH131" s="116"/>
      <c r="AI131" t="str">
        <f t="shared" si="34"/>
        <v>447NPC</v>
      </c>
      <c r="AJ131" t="str">
        <f t="shared" si="24"/>
        <v>NA</v>
      </c>
      <c r="AK131" t="str">
        <f>IF(ISERROR(MATCH(AI131&amp;"."&amp;AJ131,AK$91:AK130,0)),AI131&amp;"."&amp;AJ131,AI131&amp;"."&amp;AJ131&amp;COUNTIFS(AI$91:AI130,AI131,AJ$91:AJ130,AJ131))</f>
        <v>447NPC.NA1</v>
      </c>
    </row>
    <row r="132" spans="1:38" ht="15" hidden="1">
      <c r="A132" s="120">
        <f>ROW()</f>
        <v>132</v>
      </c>
      <c r="B132" s="120"/>
      <c r="C132" s="1"/>
      <c r="E132" s="121"/>
      <c r="F132" s="138"/>
      <c r="G132" s="119"/>
      <c r="X132" s="3"/>
      <c r="AD132" s="119"/>
      <c r="AE132" s="119"/>
      <c r="AF132" s="119"/>
      <c r="AG132" s="119"/>
      <c r="AI132" t="str">
        <f t="shared" si="34"/>
        <v>447NPC</v>
      </c>
      <c r="AJ132" t="str">
        <f t="shared" si="24"/>
        <v>NA</v>
      </c>
      <c r="AK132" t="str">
        <f>IF(ISERROR(MATCH(AI132&amp;"."&amp;AJ132,AK$91:AK131,0)),AI132&amp;"."&amp;AJ132,AI132&amp;"."&amp;AJ132&amp;COUNTIFS(AI$91:AI131,AI132,AJ$91:AJ131,AJ132))</f>
        <v>447NPC.NA2</v>
      </c>
    </row>
    <row r="133" spans="1:38" ht="15" hidden="1">
      <c r="A133" s="120">
        <f>ROW()</f>
        <v>133</v>
      </c>
      <c r="B133" s="120"/>
      <c r="C133" s="1">
        <v>449</v>
      </c>
      <c r="D133" s="2" t="s">
        <v>146</v>
      </c>
      <c r="E133" s="121"/>
      <c r="F133" s="138"/>
      <c r="G133" s="119"/>
      <c r="X133" s="3"/>
      <c r="AD133" s="119"/>
      <c r="AE133" s="119"/>
      <c r="AF133" s="119"/>
      <c r="AG133" s="119"/>
      <c r="AI133">
        <f t="shared" si="34"/>
        <v>449</v>
      </c>
      <c r="AJ133" t="str">
        <f t="shared" si="24"/>
        <v>NA</v>
      </c>
      <c r="AK133" t="str">
        <f>IF(ISERROR(MATCH(AI133&amp;"."&amp;AJ133,AK$91:AK132,0)),AI133&amp;"."&amp;AJ133,AI133&amp;"."&amp;AJ133&amp;COUNTIFS(AI$91:AI132,AI133,AJ$91:AJ132,AJ133))</f>
        <v>449.NA</v>
      </c>
    </row>
    <row r="134" spans="1:38" ht="15" hidden="1">
      <c r="A134" s="120">
        <f>ROW()</f>
        <v>134</v>
      </c>
      <c r="B134" s="120"/>
      <c r="E134" s="121" t="s">
        <v>12</v>
      </c>
      <c r="F134" s="138" t="str">
        <f>INDEX(FuncAllocOptions,ROW(A134)-ROW($A$92)+1,[4]Inputs!$S$11)</f>
        <v>P</v>
      </c>
      <c r="G134" s="117" t="e">
        <f>SUMIF(FERCJAMFactor,AK134,JAMValue)</f>
        <v>#VALUE!</v>
      </c>
      <c r="H134" s="116" t="e">
        <f t="shared" ref="H134:L135" si="38">INDEX(FuncFactorTbl,MATCH($F134,FuncFactors,0),MATCH(H$8,Functions,0))*$G134</f>
        <v>#VALUE!</v>
      </c>
      <c r="I134" s="116" t="e">
        <f t="shared" si="38"/>
        <v>#VALUE!</v>
      </c>
      <c r="J134" s="116" t="e">
        <f t="shared" si="38"/>
        <v>#VALUE!</v>
      </c>
      <c r="K134" s="116" t="e">
        <f t="shared" si="38"/>
        <v>#VALUE!</v>
      </c>
      <c r="L134" s="116" t="e">
        <f t="shared" si="38"/>
        <v>#VALUE!</v>
      </c>
      <c r="N134" s="108">
        <v>0.75</v>
      </c>
      <c r="O134" s="116" t="e">
        <f>$H134*$N134*$M134</f>
        <v>#VALUE!</v>
      </c>
      <c r="P134" s="116" t="e">
        <f>$H134*(1-$N134)*$M134</f>
        <v>#VALUE!</v>
      </c>
      <c r="Q134" s="116" t="e">
        <f>$H134*$N134*(1-$M134)</f>
        <v>#VALUE!</v>
      </c>
      <c r="R134" s="116" t="e">
        <f>$H134*(1-$N134)*(1-$M134)</f>
        <v>#VALUE!</v>
      </c>
      <c r="S134" s="108">
        <v>0.75</v>
      </c>
      <c r="T134" s="116" t="e">
        <f>$I134*$S134*$M134</f>
        <v>#VALUE!</v>
      </c>
      <c r="U134" s="116" t="e">
        <f>$I134*(1-$S134)*$M134</f>
        <v>#VALUE!</v>
      </c>
      <c r="V134" s="116" t="e">
        <f>$I134*$S134*(1-$M134)</f>
        <v>#VALUE!</v>
      </c>
      <c r="W134" s="116" t="e">
        <f>$I134*(1-$S134)*(1-$M134)</f>
        <v>#VALUE!</v>
      </c>
      <c r="X134" s="3" t="str">
        <f>INDEX(DistFuncAllocOptions,ROW(A134)-ROW($A$92)+1,[4]Inputs!$S$11)</f>
        <v>DRB</v>
      </c>
      <c r="Y134" s="116" t="e">
        <f t="shared" ref="Y134:AC135" si="39">INDEX(DistFuncFactorTbl,MATCH($X134,DistFuncFactors,0),MATCH(Y$91,DistFunctions,0))*$J134</f>
        <v>#VALUE!</v>
      </c>
      <c r="Z134" s="116" t="e">
        <f t="shared" si="39"/>
        <v>#VALUE!</v>
      </c>
      <c r="AA134" s="116" t="e">
        <f t="shared" si="39"/>
        <v>#VALUE!</v>
      </c>
      <c r="AB134" s="116" t="e">
        <f t="shared" si="39"/>
        <v>#VALUE!</v>
      </c>
      <c r="AC134" s="116" t="e">
        <f t="shared" si="39"/>
        <v>#VALUE!</v>
      </c>
      <c r="AD134" s="117" t="e">
        <f>ROUND(SUM(-G134,H134:L134),0)</f>
        <v>#VALUE!</v>
      </c>
      <c r="AE134" s="117" t="e">
        <f>ROUND(H134-O134-P134-Q134-R134,0)</f>
        <v>#VALUE!</v>
      </c>
      <c r="AF134" s="117" t="e">
        <f>ROUND(I134-T134-U134-V134-W134,0)</f>
        <v>#VALUE!</v>
      </c>
      <c r="AG134" s="117" t="e">
        <f>ROUND(J134-Y134-Z134-AA134-AC134-AB134,0)</f>
        <v>#VALUE!</v>
      </c>
      <c r="AH134" s="116"/>
      <c r="AI134">
        <f t="shared" si="34"/>
        <v>449</v>
      </c>
      <c r="AJ134" t="str">
        <f t="shared" si="24"/>
        <v>S</v>
      </c>
      <c r="AK134" t="str">
        <f>IF(ISERROR(MATCH(AI134&amp;"."&amp;AJ134,AK$91:AK133,0)),AI134&amp;"."&amp;AJ134,AI134&amp;"."&amp;AJ134&amp;COUNTIFS(AI$91:AI133,AI134,AJ$91:AJ133,AJ134))</f>
        <v>449.S</v>
      </c>
    </row>
    <row r="135" spans="1:38" ht="15" hidden="1">
      <c r="A135" s="120">
        <f>ROW()</f>
        <v>135</v>
      </c>
      <c r="B135" s="120"/>
      <c r="E135" s="121" t="s">
        <v>15</v>
      </c>
      <c r="F135" s="138" t="str">
        <f>INDEX(FuncAllocOptions,ROW(A135)-ROW($A$92)+1,[4]Inputs!$S$11)</f>
        <v>P</v>
      </c>
      <c r="G135" s="117" t="e">
        <f>SUMIF(FERCJAMFactor,AK135,JAMValue)</f>
        <v>#VALUE!</v>
      </c>
      <c r="H135" s="116" t="e">
        <f t="shared" si="38"/>
        <v>#VALUE!</v>
      </c>
      <c r="I135" s="116" t="e">
        <f t="shared" si="38"/>
        <v>#VALUE!</v>
      </c>
      <c r="J135" s="116" t="e">
        <f t="shared" si="38"/>
        <v>#VALUE!</v>
      </c>
      <c r="K135" s="116" t="e">
        <f t="shared" si="38"/>
        <v>#VALUE!</v>
      </c>
      <c r="L135" s="116" t="e">
        <f t="shared" si="38"/>
        <v>#VALUE!</v>
      </c>
      <c r="N135" s="108">
        <v>0.75</v>
      </c>
      <c r="O135" s="116" t="e">
        <f>$H135*$N135*$M135</f>
        <v>#VALUE!</v>
      </c>
      <c r="P135" s="116" t="e">
        <f>$H135*(1-$N135)*$M135</f>
        <v>#VALUE!</v>
      </c>
      <c r="Q135" s="116" t="e">
        <f>$H135*$N135*(1-$M135)</f>
        <v>#VALUE!</v>
      </c>
      <c r="R135" s="116" t="e">
        <f>$H135*(1-$N135)*(1-$M135)</f>
        <v>#VALUE!</v>
      </c>
      <c r="S135" s="108">
        <v>0.75</v>
      </c>
      <c r="T135" s="116" t="e">
        <f>$I135*$S135*$M135</f>
        <v>#VALUE!</v>
      </c>
      <c r="U135" s="116" t="e">
        <f>$I135*(1-$S135)*$M135</f>
        <v>#VALUE!</v>
      </c>
      <c r="V135" s="116" t="e">
        <f>$I135*$S135*(1-$M135)</f>
        <v>#VALUE!</v>
      </c>
      <c r="W135" s="116" t="e">
        <f>$I135*(1-$S135)*(1-$M135)</f>
        <v>#VALUE!</v>
      </c>
      <c r="X135" s="3" t="str">
        <f>INDEX(DistFuncAllocOptions,ROW(A135)-ROW($A$92)+1,[4]Inputs!$S$11)</f>
        <v>DRB</v>
      </c>
      <c r="Y135" s="116" t="e">
        <f t="shared" si="39"/>
        <v>#VALUE!</v>
      </c>
      <c r="Z135" s="116" t="e">
        <f t="shared" si="39"/>
        <v>#VALUE!</v>
      </c>
      <c r="AA135" s="116" t="e">
        <f t="shared" si="39"/>
        <v>#VALUE!</v>
      </c>
      <c r="AB135" s="116" t="e">
        <f t="shared" si="39"/>
        <v>#VALUE!</v>
      </c>
      <c r="AC135" s="116" t="e">
        <f t="shared" si="39"/>
        <v>#VALUE!</v>
      </c>
      <c r="AD135" s="117" t="e">
        <f>ROUND(SUM(-G135,H135:L135),0)</f>
        <v>#VALUE!</v>
      </c>
      <c r="AE135" s="117" t="e">
        <f>ROUND(H135-O135-P135-Q135-R135,0)</f>
        <v>#VALUE!</v>
      </c>
      <c r="AF135" s="117" t="e">
        <f>ROUND(I135-T135-U135-V135-W135,0)</f>
        <v>#VALUE!</v>
      </c>
      <c r="AG135" s="117" t="e">
        <f>ROUND(J135-Y135-Z135-AA135-AC135-AB135,0)</f>
        <v>#VALUE!</v>
      </c>
      <c r="AH135" s="116"/>
      <c r="AI135">
        <f t="shared" si="34"/>
        <v>449</v>
      </c>
      <c r="AJ135" t="str">
        <f t="shared" si="24"/>
        <v>SG</v>
      </c>
      <c r="AK135" t="str">
        <f>IF(ISERROR(MATCH(AI135&amp;"."&amp;AJ135,AK$91:AK134,0)),AI135&amp;"."&amp;AJ135,AI135&amp;"."&amp;AJ135&amp;COUNTIFS(AI$91:AI134,AI135,AJ$91:AJ134,AJ135))</f>
        <v>449.SG</v>
      </c>
    </row>
    <row r="136" spans="1:38" ht="15" hidden="1">
      <c r="A136" s="120">
        <f>ROW()</f>
        <v>136</v>
      </c>
      <c r="B136" s="120"/>
      <c r="E136" s="121"/>
      <c r="F136" s="138"/>
      <c r="G136" s="117" t="e">
        <f t="shared" ref="G136:L136" si="40">SUM(G134:G135)</f>
        <v>#VALUE!</v>
      </c>
      <c r="H136" s="116" t="e">
        <f t="shared" si="40"/>
        <v>#VALUE!</v>
      </c>
      <c r="I136" s="116" t="e">
        <f t="shared" si="40"/>
        <v>#VALUE!</v>
      </c>
      <c r="J136" s="116" t="e">
        <f t="shared" si="40"/>
        <v>#VALUE!</v>
      </c>
      <c r="K136" s="116" t="e">
        <f t="shared" si="40"/>
        <v>#VALUE!</v>
      </c>
      <c r="L136" s="116" t="e">
        <f t="shared" si="40"/>
        <v>#VALUE!</v>
      </c>
      <c r="O136" s="116" t="e">
        <f>SUM(O134:O135)</f>
        <v>#VALUE!</v>
      </c>
      <c r="P136" s="116" t="e">
        <f>SUM(P134:P135)</f>
        <v>#VALUE!</v>
      </c>
      <c r="Q136" s="116" t="e">
        <f>SUM(Q134:Q135)</f>
        <v>#VALUE!</v>
      </c>
      <c r="R136" s="116" t="e">
        <f>SUM(R134:R135)</f>
        <v>#VALUE!</v>
      </c>
      <c r="T136" s="116" t="e">
        <f>SUM(T134:T135)</f>
        <v>#VALUE!</v>
      </c>
      <c r="U136" s="116" t="e">
        <f>SUM(U134:U135)</f>
        <v>#VALUE!</v>
      </c>
      <c r="V136" s="116" t="e">
        <f>SUM(V134:V135)</f>
        <v>#VALUE!</v>
      </c>
      <c r="W136" s="116" t="e">
        <f>SUM(W134:W135)</f>
        <v>#VALUE!</v>
      </c>
      <c r="X136" s="3"/>
      <c r="Y136" s="116" t="e">
        <f>SUM(Y134:Y135)</f>
        <v>#VALUE!</v>
      </c>
      <c r="Z136" s="116" t="e">
        <f>SUM(Z134:Z135)</f>
        <v>#VALUE!</v>
      </c>
      <c r="AA136" s="116" t="e">
        <f>SUM(AA134:AA135)</f>
        <v>#VALUE!</v>
      </c>
      <c r="AB136" s="116" t="e">
        <f>SUM(AB134:AB135)</f>
        <v>#VALUE!</v>
      </c>
      <c r="AC136" s="116" t="e">
        <f>SUM(AC134:AC135)</f>
        <v>#VALUE!</v>
      </c>
      <c r="AD136" s="117" t="e">
        <f>ROUND(SUM(-G136,H136:L136),0)</f>
        <v>#VALUE!</v>
      </c>
      <c r="AE136" s="117" t="e">
        <f>ROUND(H136-O136-P136-Q136-R136,0)</f>
        <v>#VALUE!</v>
      </c>
      <c r="AF136" s="117" t="e">
        <f>ROUND(I136-T136-U136-V136-W136,0)</f>
        <v>#VALUE!</v>
      </c>
      <c r="AG136" s="117" t="e">
        <f>ROUND(J136-Y136-Z136-AA136-AC136-AB136,0)</f>
        <v>#VALUE!</v>
      </c>
      <c r="AH136" s="116"/>
      <c r="AI136">
        <f t="shared" si="34"/>
        <v>449</v>
      </c>
      <c r="AJ136" t="str">
        <f t="shared" si="24"/>
        <v>NA</v>
      </c>
      <c r="AK136" t="str">
        <f>IF(ISERROR(MATCH(AI136&amp;"."&amp;AJ136,AK$91:AK135,0)),AI136&amp;"."&amp;AJ136,AI136&amp;"."&amp;AJ136&amp;COUNTIFS(AI$91:AI135,AI136,AJ$91:AJ135,AJ136))</f>
        <v>449.NA1</v>
      </c>
    </row>
    <row r="137" spans="1:38" ht="15" hidden="1">
      <c r="A137" s="120">
        <f>ROW()</f>
        <v>137</v>
      </c>
      <c r="B137" s="120"/>
      <c r="C137" s="110" t="s">
        <v>141</v>
      </c>
      <c r="D137" s="2" t="s">
        <v>794</v>
      </c>
      <c r="E137" s="121"/>
      <c r="F137" s="138" t="str">
        <f>INDEX(FuncAllocOptions,ROW(A137)-ROW($A$92)+1,[4]Inputs!$S$11)</f>
        <v>REVREQ</v>
      </c>
      <c r="G137" s="119">
        <f>[4]Revenues!$F$172</f>
        <v>101601243.09654436</v>
      </c>
      <c r="H137" s="116">
        <f>INDEX(FuncFactorTbl,MATCH($F137,FuncFactors,0),MATCH(H$8,Functions,0))*$G137</f>
        <v>61270623.87431366</v>
      </c>
      <c r="I137" s="116">
        <f>INDEX(FuncFactorTbl,MATCH($F137,FuncFactors,0),MATCH(I$8,Functions,0))*$G137</f>
        <v>19145995.637477797</v>
      </c>
      <c r="J137" s="116">
        <f>INDEX(FuncFactorTbl,MATCH($F137,FuncFactors,0),MATCH(J$8,Functions,0))*$G137</f>
        <v>18425366.899191406</v>
      </c>
      <c r="K137" s="116">
        <f>INDEX(FuncFactorTbl,MATCH($F137,FuncFactors,0),MATCH(K$8,Functions,0))*$G137</f>
        <v>2315293.8776947977</v>
      </c>
      <c r="L137" s="116">
        <f>INDEX(FuncFactorTbl,MATCH($F137,FuncFactors,0),MATCH(L$8,Functions,0))*$G137</f>
        <v>443962.80786670686</v>
      </c>
      <c r="N137" s="108">
        <v>0.5</v>
      </c>
      <c r="O137" s="116">
        <f>$H137*$N137*$M137</f>
        <v>0</v>
      </c>
      <c r="P137" s="116">
        <f>$H137*(1-$N137)*$M137</f>
        <v>0</v>
      </c>
      <c r="Q137" s="116">
        <f>$H137*$N137*(1-$M137)</f>
        <v>30635311.93715683</v>
      </c>
      <c r="R137" s="116">
        <f>$H137*(1-$N137)*(1-$M137)</f>
        <v>30635311.93715683</v>
      </c>
      <c r="S137" s="108">
        <v>0.5</v>
      </c>
      <c r="T137" s="116">
        <f>$I137*$S137*$M137</f>
        <v>0</v>
      </c>
      <c r="U137" s="116">
        <f>$I137*(1-$S137)*$M137</f>
        <v>0</v>
      </c>
      <c r="V137" s="116">
        <f>$I137*$S137*(1-$M137)</f>
        <v>9572997.8187388983</v>
      </c>
      <c r="W137" s="116">
        <f>$I137*(1-$S137)*(1-$M137)</f>
        <v>9572997.8187388983</v>
      </c>
      <c r="X137" s="3" t="str">
        <f>INDEX(DistFuncAllocOptions,ROW(A137)-ROW($A$92)+1,[4]Inputs!$S$11)</f>
        <v>DRB</v>
      </c>
      <c r="Y137" s="116">
        <f>INDEX(DistFuncFactorTbl,MATCH($X137,DistFuncFactors,0),MATCH(Y$91,DistFunctions,0))*$J137</f>
        <v>3458110.9566460932</v>
      </c>
      <c r="Z137" s="116">
        <f>INDEX(DistFuncFactorTbl,MATCH($X137,DistFuncFactors,0),MATCH(Z$91,DistFunctions,0))*$J137</f>
        <v>8688029.3329601455</v>
      </c>
      <c r="AA137" s="116">
        <f>INDEX(DistFuncFactorTbl,MATCH($X137,DistFuncFactors,0),MATCH(AA$91,DistFunctions,0))*$J137</f>
        <v>3815235.6893135896</v>
      </c>
      <c r="AB137" s="116">
        <f>INDEX(DistFuncFactorTbl,MATCH($X137,DistFuncFactors,0),MATCH(AB$91,DistFunctions,0))*$J137</f>
        <v>2029053.6027492611</v>
      </c>
      <c r="AC137" s="116">
        <f>INDEX(DistFuncFactorTbl,MATCH($X137,DistFuncFactors,0),MATCH(AC$91,DistFunctions,0))*$J137</f>
        <v>434937.31752231781</v>
      </c>
      <c r="AD137" s="117">
        <f>ROUND(SUM(-G137,H137:L137),0)</f>
        <v>0</v>
      </c>
      <c r="AE137" s="117">
        <f>ROUND(H137-O137-P137-Q137-R137,0)</f>
        <v>0</v>
      </c>
      <c r="AF137" s="117">
        <f>ROUND(I137-T137-U137-V137-W137,0)</f>
        <v>0</v>
      </c>
      <c r="AG137" s="117">
        <f>ROUND(J137-Y137-Z137-AA137-AC137-AB137,0)</f>
        <v>0</v>
      </c>
      <c r="AH137" s="116"/>
      <c r="AI137">
        <f t="shared" si="34"/>
        <v>449</v>
      </c>
      <c r="AJ137" t="str">
        <f t="shared" si="24"/>
        <v>NA</v>
      </c>
      <c r="AK137" t="str">
        <f>IF(ISERROR(MATCH(AI137&amp;"."&amp;AJ137,AK$91:AK136,0)),AI137&amp;"."&amp;AJ137,AI137&amp;"."&amp;AJ137&amp;COUNTIFS(AI$91:AI136,AI137,AJ$91:AJ136,AJ137))</f>
        <v>449.NA2</v>
      </c>
    </row>
    <row r="138" spans="1:38" ht="15" hidden="1">
      <c r="A138" s="120">
        <f>ROW()</f>
        <v>138</v>
      </c>
      <c r="B138" s="120"/>
      <c r="E138" s="121"/>
      <c r="F138" s="138"/>
      <c r="G138" s="119"/>
      <c r="H138" s="116"/>
      <c r="I138" s="116"/>
      <c r="J138" s="116"/>
      <c r="K138" s="116"/>
      <c r="L138" s="116"/>
      <c r="O138" s="116"/>
      <c r="P138" s="116"/>
      <c r="Q138" s="116"/>
      <c r="R138" s="116"/>
      <c r="T138" s="116"/>
      <c r="U138" s="116"/>
      <c r="V138" s="116"/>
      <c r="W138" s="116"/>
      <c r="X138" s="3"/>
      <c r="Y138" s="116"/>
      <c r="Z138" s="116"/>
      <c r="AA138" s="116"/>
      <c r="AB138" s="116"/>
      <c r="AC138" s="116"/>
      <c r="AD138" s="117"/>
      <c r="AE138" s="117"/>
      <c r="AF138" s="117"/>
      <c r="AG138" s="117"/>
      <c r="AH138" s="116"/>
      <c r="AI138">
        <f t="shared" si="34"/>
        <v>449</v>
      </c>
      <c r="AJ138" t="str">
        <f t="shared" si="24"/>
        <v>NA</v>
      </c>
      <c r="AK138" t="str">
        <f>IF(ISERROR(MATCH(AI138&amp;"."&amp;AJ138,AK$91:AK137,0)),AI138&amp;"."&amp;AJ138,AI138&amp;"."&amp;AJ138&amp;COUNTIFS(AI$91:AI137,AI138,AJ$91:AJ137,AJ138))</f>
        <v>449.NA3</v>
      </c>
    </row>
    <row r="139" spans="1:38" ht="15" hidden="1">
      <c r="A139" s="120">
        <f>ROW()</f>
        <v>139</v>
      </c>
      <c r="B139" s="120"/>
      <c r="D139" s="2" t="s">
        <v>793</v>
      </c>
      <c r="E139" s="121"/>
      <c r="F139" s="138" t="str">
        <f>INDEX(FuncAllocOptions,ROW(A139)-ROW($A$92)+1,[4]Inputs!$S$11)</f>
        <v>DPW</v>
      </c>
      <c r="G139" s="117">
        <f>[4]Revenues!$K$81</f>
        <v>4808786.92</v>
      </c>
      <c r="H139" s="116">
        <f>INDEX(FuncFactorTbl,MATCH($F139,FuncFactors,0),MATCH(H$8,Functions,0))*$G139</f>
        <v>0</v>
      </c>
      <c r="I139" s="116">
        <f>INDEX(FuncFactorTbl,MATCH($F139,FuncFactors,0),MATCH(I$8,Functions,0))*$G139</f>
        <v>0</v>
      </c>
      <c r="J139" s="116">
        <f>INDEX(FuncFactorTbl,MATCH($F139,FuncFactors,0),MATCH(J$8,Functions,0))*$G139</f>
        <v>4808786.92</v>
      </c>
      <c r="K139" s="116">
        <f>INDEX(FuncFactorTbl,MATCH($F139,FuncFactors,0),MATCH(K$8,Functions,0))*$G139</f>
        <v>0</v>
      </c>
      <c r="L139" s="116">
        <f>INDEX(FuncFactorTbl,MATCH($F139,FuncFactors,0),MATCH(L$8,Functions,0))*$G139</f>
        <v>0</v>
      </c>
      <c r="N139" s="108">
        <v>0.5</v>
      </c>
      <c r="O139" s="116">
        <f>$H139*$N139*$M139</f>
        <v>0</v>
      </c>
      <c r="P139" s="116">
        <f>$H139*(1-$N139)*$M139</f>
        <v>0</v>
      </c>
      <c r="Q139" s="116">
        <f>$H139*$N139*(1-$M139)</f>
        <v>0</v>
      </c>
      <c r="R139" s="116">
        <f>$H139*(1-$N139)*(1-$M139)</f>
        <v>0</v>
      </c>
      <c r="S139" s="108">
        <v>0.5</v>
      </c>
      <c r="T139" s="116">
        <f>$I139*$S139*$M139</f>
        <v>0</v>
      </c>
      <c r="U139" s="116">
        <f>$I139*(1-$S139)*$M139</f>
        <v>0</v>
      </c>
      <c r="V139" s="116">
        <f>$I139*$S139*(1-$M139)</f>
        <v>0</v>
      </c>
      <c r="W139" s="116">
        <f>$I139*(1-$S139)*(1-$M139)</f>
        <v>0</v>
      </c>
      <c r="X139" s="3" t="str">
        <f>INDEX(DistFuncAllocOptions,ROW(A139)-ROW($A$92)+1,[4]Inputs!$S$11)</f>
        <v>DRB</v>
      </c>
      <c r="Y139" s="116">
        <f>INDEX(DistFuncFactorTbl,MATCH($X139,DistFuncFactors,0),MATCH(Y$91,DistFunctions,0))*$J139</f>
        <v>902523.07198062877</v>
      </c>
      <c r="Z139" s="116">
        <f>INDEX(DistFuncFactorTbl,MATCH($X139,DistFuncFactors,0),MATCH(Z$91,DistFunctions,0))*$J139</f>
        <v>2267465.3940675957</v>
      </c>
      <c r="AA139" s="116">
        <f>INDEX(DistFuncFactorTbl,MATCH($X139,DistFuncFactors,0),MATCH(AA$91,DistFunctions,0))*$J139</f>
        <v>995728.09485240234</v>
      </c>
      <c r="AB139" s="116">
        <f>INDEX(DistFuncFactorTbl,MATCH($X139,DistFuncFactors,0),MATCH(AB$91,DistFunctions,0))*$J139</f>
        <v>529557.23911840899</v>
      </c>
      <c r="AC139" s="116">
        <f>INDEX(DistFuncFactorTbl,MATCH($X139,DistFuncFactors,0),MATCH(AC$91,DistFunctions,0))*$J139</f>
        <v>113513.11998096466</v>
      </c>
      <c r="AD139" s="117">
        <f>ROUND(SUM(-G139,H139:L139),0)</f>
        <v>0</v>
      </c>
      <c r="AE139" s="117">
        <f>ROUND(H139-O139-P139-Q139-R139,0)</f>
        <v>0</v>
      </c>
      <c r="AF139" s="117">
        <f>ROUND(I139-T139-U139-V139-W139,0)</f>
        <v>0</v>
      </c>
      <c r="AG139" s="117">
        <f>ROUND(J139-Y139-Z139-AA139-AC139-AB139,0)</f>
        <v>0</v>
      </c>
      <c r="AH139" s="116"/>
      <c r="AI139">
        <f t="shared" si="34"/>
        <v>449</v>
      </c>
      <c r="AJ139" t="str">
        <f t="shared" si="24"/>
        <v>NA</v>
      </c>
      <c r="AK139" t="str">
        <f>IF(ISERROR(MATCH(AI139&amp;"."&amp;AJ139,AK$91:AK138,0)),AI139&amp;"."&amp;AJ139,AI139&amp;"."&amp;AJ139&amp;COUNTIFS(AI$91:AI138,AI139,AJ$91:AJ138,AJ139))</f>
        <v>449.NA4</v>
      </c>
    </row>
    <row r="140" spans="1:38" ht="15" hidden="1">
      <c r="A140" s="120">
        <f>ROW()</f>
        <v>140</v>
      </c>
      <c r="B140" s="120"/>
      <c r="E140" s="121"/>
      <c r="F140" s="138"/>
      <c r="G140" s="119"/>
      <c r="H140" s="156"/>
      <c r="I140" s="156"/>
      <c r="J140" s="156"/>
      <c r="K140" s="156"/>
      <c r="L140" s="156"/>
      <c r="O140" s="116"/>
      <c r="P140" s="116"/>
      <c r="Q140" s="116"/>
      <c r="R140" s="116"/>
      <c r="T140" s="116"/>
      <c r="U140" s="116"/>
      <c r="V140" s="116"/>
      <c r="W140" s="116"/>
      <c r="X140" s="200"/>
      <c r="Y140" s="156"/>
      <c r="Z140" s="156"/>
      <c r="AA140" s="156"/>
      <c r="AB140" s="156"/>
      <c r="AC140" s="156"/>
      <c r="AD140" s="117"/>
      <c r="AE140" s="117"/>
      <c r="AF140" s="117"/>
      <c r="AG140" s="117"/>
      <c r="AH140" s="116"/>
      <c r="AI140">
        <f t="shared" si="34"/>
        <v>449</v>
      </c>
      <c r="AJ140" t="str">
        <f t="shared" si="24"/>
        <v>NA</v>
      </c>
      <c r="AK140" t="str">
        <f>IF(ISERROR(MATCH(AI140&amp;"."&amp;AJ140,AK$91:AK139,0)),AI140&amp;"."&amp;AJ140,AI140&amp;"."&amp;AJ140&amp;COUNTIFS(AI$91:AI139,AI140,AJ$91:AJ139,AJ140))</f>
        <v>449.NA5</v>
      </c>
    </row>
    <row r="141" spans="1:38" ht="15.75" hidden="1" thickBot="1">
      <c r="A141" s="120">
        <f>ROW()</f>
        <v>141</v>
      </c>
      <c r="B141" s="120"/>
      <c r="C141" s="110" t="s">
        <v>147</v>
      </c>
      <c r="E141" s="121"/>
      <c r="F141" s="138"/>
      <c r="G141" s="155" t="e">
        <f t="shared" ref="G141:L141" si="41">G118+G124+G131+G136</f>
        <v>#VALUE!</v>
      </c>
      <c r="H141" s="154" t="e">
        <f t="shared" si="41"/>
        <v>#VALUE!</v>
      </c>
      <c r="I141" s="154" t="e">
        <f t="shared" si="41"/>
        <v>#VALUE!</v>
      </c>
      <c r="J141" s="154" t="e">
        <f t="shared" si="41"/>
        <v>#VALUE!</v>
      </c>
      <c r="K141" s="154" t="e">
        <f t="shared" si="41"/>
        <v>#VALUE!</v>
      </c>
      <c r="L141" s="154" t="e">
        <f t="shared" si="41"/>
        <v>#VALUE!</v>
      </c>
      <c r="O141" s="116" t="e">
        <f>O118+O124+O131+O136</f>
        <v>#VALUE!</v>
      </c>
      <c r="P141" s="116" t="e">
        <f>P118+P124+P131+P136</f>
        <v>#VALUE!</v>
      </c>
      <c r="Q141" s="116" t="e">
        <f>Q118+Q124+Q131+Q136</f>
        <v>#VALUE!</v>
      </c>
      <c r="R141" s="116" t="e">
        <f>R118+R124+R131+R136</f>
        <v>#VALUE!</v>
      </c>
      <c r="S141" s="116"/>
      <c r="T141" s="116" t="e">
        <f>T118+T124+T131+T136</f>
        <v>#VALUE!</v>
      </c>
      <c r="U141" s="116" t="e">
        <f>U118+U124+U131+U136</f>
        <v>#VALUE!</v>
      </c>
      <c r="V141" s="116" t="e">
        <f>V118+V124+V131+V136</f>
        <v>#VALUE!</v>
      </c>
      <c r="W141" s="116" t="e">
        <f>W118+W124+W131+W136</f>
        <v>#VALUE!</v>
      </c>
      <c r="X141" s="3"/>
      <c r="Y141" s="199" t="e">
        <f>Y118+Y124+Y131+Y136</f>
        <v>#VALUE!</v>
      </c>
      <c r="Z141" s="154" t="e">
        <f>Z118+Z124+Z131+Z136</f>
        <v>#VALUE!</v>
      </c>
      <c r="AA141" s="154" t="e">
        <f>AA118+AA124+AA131+AA136</f>
        <v>#VALUE!</v>
      </c>
      <c r="AB141" s="154" t="e">
        <f>AB118+AB124+AB131+AB136</f>
        <v>#VALUE!</v>
      </c>
      <c r="AC141" s="198" t="e">
        <f>AC118+AC124+AC131+AC136</f>
        <v>#VALUE!</v>
      </c>
      <c r="AD141" s="117" t="e">
        <f>ROUND(SUM(-G141,H141:L141),0)</f>
        <v>#VALUE!</v>
      </c>
      <c r="AE141" s="117" t="e">
        <f>ROUND(H141-O141-P141-Q141-R141,0)</f>
        <v>#VALUE!</v>
      </c>
      <c r="AF141" s="117" t="e">
        <f>ROUND(I141-T141-U141-V141-W141,0)</f>
        <v>#VALUE!</v>
      </c>
      <c r="AG141" s="117" t="e">
        <f>ROUND(J141-Y141-Z141-AA141-AC141-AB141,0)</f>
        <v>#VALUE!</v>
      </c>
      <c r="AH141" s="116"/>
      <c r="AI141" t="str">
        <f t="shared" si="34"/>
        <v>Total Sales from Electricity</v>
      </c>
      <c r="AJ141" t="str">
        <f t="shared" si="24"/>
        <v>NA</v>
      </c>
      <c r="AK141" t="str">
        <f>IF(ISERROR(MATCH(AI141&amp;"."&amp;AJ141,AK$91:AK140,0)),AI141&amp;"."&amp;AJ141,AI141&amp;"."&amp;AJ141&amp;COUNTIFS(AI$91:AI140,AI141,AJ$91:AJ140,AJ141))</f>
        <v>Total Sales from Electricity.NA</v>
      </c>
    </row>
    <row r="142" spans="1:38" ht="15" hidden="1">
      <c r="A142" s="120">
        <f>ROW()</f>
        <v>142</v>
      </c>
      <c r="B142" s="120"/>
      <c r="E142" s="121"/>
      <c r="F142" s="138"/>
      <c r="G142" s="119"/>
      <c r="X142" s="3"/>
      <c r="AD142" s="119"/>
      <c r="AE142" s="119"/>
      <c r="AF142" s="119"/>
      <c r="AG142" s="119"/>
      <c r="AI142" t="str">
        <f t="shared" si="34"/>
        <v>Total Sales from Electricity</v>
      </c>
      <c r="AJ142" t="str">
        <f t="shared" si="24"/>
        <v>NA</v>
      </c>
      <c r="AK142" t="str">
        <f>IF(ISERROR(MATCH(AI142&amp;"."&amp;AJ142,AK$91:AK141,0)),AI142&amp;"."&amp;AJ142,AI142&amp;"."&amp;AJ142&amp;COUNTIFS(AI$91:AI141,AI142,AJ$91:AJ141,AJ142))</f>
        <v>Total Sales from Electricity.NA1</v>
      </c>
    </row>
    <row r="143" spans="1:38" ht="15" hidden="1">
      <c r="A143" s="120">
        <f>ROW()</f>
        <v>143</v>
      </c>
      <c r="B143" s="120"/>
      <c r="C143" s="110" t="s">
        <v>792</v>
      </c>
      <c r="E143" s="121"/>
      <c r="F143" s="138"/>
      <c r="G143" s="119"/>
      <c r="X143" s="3"/>
      <c r="AD143" s="119"/>
      <c r="AE143" s="119"/>
      <c r="AF143" s="119"/>
      <c r="AG143" s="119"/>
      <c r="AI143" t="str">
        <f t="shared" si="34"/>
        <v>Other Electric Operating Revenues</v>
      </c>
      <c r="AJ143" t="str">
        <f t="shared" si="24"/>
        <v>NA</v>
      </c>
      <c r="AK143" t="str">
        <f>IF(ISERROR(MATCH(AI143&amp;"."&amp;AJ143,AK$91:AK142,0)),AI143&amp;"."&amp;AJ143,AI143&amp;"."&amp;AJ143&amp;COUNTIFS(AI$91:AI142,AI143,AJ$91:AJ142,AJ143))</f>
        <v>Other Electric Operating Revenues.NA</v>
      </c>
      <c r="AL143" s="197"/>
    </row>
    <row r="144" spans="1:38" ht="15" hidden="1">
      <c r="A144" s="120">
        <f>ROW()</f>
        <v>144</v>
      </c>
      <c r="B144" s="120"/>
      <c r="C144" s="1">
        <v>450</v>
      </c>
      <c r="D144" s="2" t="s">
        <v>148</v>
      </c>
      <c r="E144" s="121"/>
      <c r="F144" s="138"/>
      <c r="G144" s="119"/>
      <c r="X144" s="3"/>
      <c r="Y144" s="196"/>
      <c r="Z144" s="196"/>
      <c r="AA144" s="196"/>
      <c r="AB144" s="196"/>
      <c r="AC144" s="196"/>
      <c r="AD144" s="119"/>
      <c r="AE144" s="119"/>
      <c r="AF144" s="119"/>
      <c r="AG144" s="119"/>
      <c r="AI144">
        <f t="shared" si="34"/>
        <v>450</v>
      </c>
      <c r="AJ144" t="str">
        <f t="shared" si="24"/>
        <v>NA</v>
      </c>
      <c r="AK144" t="str">
        <f>IF(ISERROR(MATCH(AI144&amp;"."&amp;AJ144,AK$91:AK143,0)),AI144&amp;"."&amp;AJ144,AI144&amp;"."&amp;AJ144&amp;COUNTIFS(AI$91:AI143,AI144,AJ$91:AJ143,AJ144))</f>
        <v>450.NA</v>
      </c>
    </row>
    <row r="145" spans="1:37" ht="15" hidden="1">
      <c r="A145" s="120">
        <f>ROW()</f>
        <v>145</v>
      </c>
      <c r="B145" s="120"/>
      <c r="C145" s="1"/>
      <c r="E145" s="121" t="s">
        <v>12</v>
      </c>
      <c r="F145" s="138" t="str">
        <f>INDEX(FuncAllocOptions,ROW(A145)-ROW($A$92)+1,[4]Inputs!$S$11)</f>
        <v>CUST</v>
      </c>
      <c r="G145" s="117" t="e">
        <f>SUMIF(FERCJAMFactor,AK145,JAMValue)</f>
        <v>#VALUE!</v>
      </c>
      <c r="H145" s="116" t="e">
        <f t="shared" ref="H145:L146" si="42">INDEX(FuncFactorTbl,MATCH($F145,FuncFactors,0),MATCH(H$8,Functions,0))*$G145</f>
        <v>#VALUE!</v>
      </c>
      <c r="I145" s="116" t="e">
        <f t="shared" si="42"/>
        <v>#VALUE!</v>
      </c>
      <c r="J145" s="116" t="e">
        <f t="shared" si="42"/>
        <v>#VALUE!</v>
      </c>
      <c r="K145" s="116" t="e">
        <f t="shared" si="42"/>
        <v>#VALUE!</v>
      </c>
      <c r="L145" s="116" t="e">
        <f t="shared" si="42"/>
        <v>#VALUE!</v>
      </c>
      <c r="N145" s="108">
        <v>0.75</v>
      </c>
      <c r="O145" s="116" t="e">
        <f>$H145*$N145*$M145</f>
        <v>#VALUE!</v>
      </c>
      <c r="P145" s="116" t="e">
        <f>$H145*(1-$N145)*$M145</f>
        <v>#VALUE!</v>
      </c>
      <c r="Q145" s="116" t="e">
        <f>$H145*$N145*(1-$M145)</f>
        <v>#VALUE!</v>
      </c>
      <c r="R145" s="116" t="e">
        <f>$H145*(1-$N145)*(1-$M145)</f>
        <v>#VALUE!</v>
      </c>
      <c r="S145" s="108">
        <v>0.75</v>
      </c>
      <c r="T145" s="116" t="e">
        <f>$I145*$S145*$M145</f>
        <v>#VALUE!</v>
      </c>
      <c r="U145" s="116" t="e">
        <f>$I145*(1-$S145)*$M145</f>
        <v>#VALUE!</v>
      </c>
      <c r="V145" s="116" t="e">
        <f>$I145*$S145*(1-$M145)</f>
        <v>#VALUE!</v>
      </c>
      <c r="W145" s="116" t="e">
        <f>$I145*(1-$S145)*(1-$M145)</f>
        <v>#VALUE!</v>
      </c>
      <c r="X145" s="3" t="str">
        <f>INDEX(DistFuncAllocOptions,ROW(A145)-ROW($A$92)+1,[4]Inputs!$S$11)</f>
        <v>CUST</v>
      </c>
      <c r="Y145" s="116" t="e">
        <f t="shared" ref="Y145:AC146" si="43">INDEX(DistFuncFactorTbl,MATCH($X145,DistFuncFactors,0),MATCH(Y$91,DistFunctions,0))*$J145</f>
        <v>#VALUE!</v>
      </c>
      <c r="Z145" s="116" t="e">
        <f t="shared" si="43"/>
        <v>#VALUE!</v>
      </c>
      <c r="AA145" s="116" t="e">
        <f t="shared" si="43"/>
        <v>#VALUE!</v>
      </c>
      <c r="AB145" s="116" t="e">
        <f t="shared" si="43"/>
        <v>#VALUE!</v>
      </c>
      <c r="AC145" s="116" t="e">
        <f t="shared" si="43"/>
        <v>#VALUE!</v>
      </c>
      <c r="AD145" s="117" t="e">
        <f>ROUND(SUM(-G145,H145:L145),0)</f>
        <v>#VALUE!</v>
      </c>
      <c r="AE145" s="117" t="e">
        <f>ROUND(H145-O145-P145-Q145-R145,0)</f>
        <v>#VALUE!</v>
      </c>
      <c r="AF145" s="117" t="e">
        <f>ROUND(I145-T145-U145-V145-W145,0)</f>
        <v>#VALUE!</v>
      </c>
      <c r="AG145" s="117" t="e">
        <f>ROUND(J145-Y145-Z145-AA145-AC145-AB145,0)</f>
        <v>#VALUE!</v>
      </c>
      <c r="AH145" s="116"/>
      <c r="AI145">
        <f t="shared" si="34"/>
        <v>450</v>
      </c>
      <c r="AJ145" t="str">
        <f t="shared" si="24"/>
        <v>S</v>
      </c>
      <c r="AK145" t="str">
        <f>IF(ISERROR(MATCH(AI145&amp;"."&amp;AJ145,AK$91:AK144,0)),AI145&amp;"."&amp;AJ145,AI145&amp;"."&amp;AJ145&amp;COUNTIFS(AI$91:AI144,AI145,AJ$91:AJ144,AJ145))</f>
        <v>450.S</v>
      </c>
    </row>
    <row r="146" spans="1:37" ht="15" hidden="1">
      <c r="A146" s="120">
        <f>ROW()</f>
        <v>146</v>
      </c>
      <c r="B146" s="120"/>
      <c r="C146" s="1"/>
      <c r="E146" s="121" t="s">
        <v>136</v>
      </c>
      <c r="F146" s="138" t="str">
        <f>INDEX(FuncAllocOptions,ROW(A146)-ROW($A$92)+1,[4]Inputs!$S$11)</f>
        <v>CUST</v>
      </c>
      <c r="G146" s="133" t="e">
        <f>SUMIF(FERCJAMFactor,AK146,JAMValue)</f>
        <v>#VALUE!</v>
      </c>
      <c r="H146" s="139" t="e">
        <f t="shared" si="42"/>
        <v>#VALUE!</v>
      </c>
      <c r="I146" s="139" t="e">
        <f t="shared" si="42"/>
        <v>#VALUE!</v>
      </c>
      <c r="J146" s="139" t="e">
        <f t="shared" si="42"/>
        <v>#VALUE!</v>
      </c>
      <c r="K146" s="139" t="e">
        <f t="shared" si="42"/>
        <v>#VALUE!</v>
      </c>
      <c r="L146" s="139" t="e">
        <f t="shared" si="42"/>
        <v>#VALUE!</v>
      </c>
      <c r="N146" s="108">
        <v>0.75</v>
      </c>
      <c r="O146" s="116" t="e">
        <f>$H146*$N146*$M146</f>
        <v>#VALUE!</v>
      </c>
      <c r="P146" s="116" t="e">
        <f>$H146*(1-$N146)*$M146</f>
        <v>#VALUE!</v>
      </c>
      <c r="Q146" s="116" t="e">
        <f>$H146*$N146*(1-$M146)</f>
        <v>#VALUE!</v>
      </c>
      <c r="R146" s="116" t="e">
        <f>$H146*(1-$N146)*(1-$M146)</f>
        <v>#VALUE!</v>
      </c>
      <c r="S146" s="108">
        <v>0.75</v>
      </c>
      <c r="T146" s="116" t="e">
        <f>$I146*$S146*$M146</f>
        <v>#VALUE!</v>
      </c>
      <c r="U146" s="116" t="e">
        <f>$I146*(1-$S146)*$M146</f>
        <v>#VALUE!</v>
      </c>
      <c r="V146" s="116" t="e">
        <f>$I146*$S146*(1-$M146)</f>
        <v>#VALUE!</v>
      </c>
      <c r="W146" s="116" t="e">
        <f>$I146*(1-$S146)*(1-$M146)</f>
        <v>#VALUE!</v>
      </c>
      <c r="X146" s="3" t="str">
        <f>INDEX(DistFuncAllocOptions,ROW(A146)-ROW($A$92)+1,[4]Inputs!$S$11)</f>
        <v>CUST</v>
      </c>
      <c r="Y146" s="116" t="e">
        <f t="shared" si="43"/>
        <v>#VALUE!</v>
      </c>
      <c r="Z146" s="116" t="e">
        <f t="shared" si="43"/>
        <v>#VALUE!</v>
      </c>
      <c r="AA146" s="116" t="e">
        <f t="shared" si="43"/>
        <v>#VALUE!</v>
      </c>
      <c r="AB146" s="116" t="e">
        <f t="shared" si="43"/>
        <v>#VALUE!</v>
      </c>
      <c r="AC146" s="116" t="e">
        <f t="shared" si="43"/>
        <v>#VALUE!</v>
      </c>
      <c r="AD146" s="117" t="e">
        <f>ROUND(SUM(-G146,H146:L146),0)</f>
        <v>#VALUE!</v>
      </c>
      <c r="AE146" s="117" t="e">
        <f>ROUND(H146-O146-P146-Q146-R146,0)</f>
        <v>#VALUE!</v>
      </c>
      <c r="AF146" s="117" t="e">
        <f>ROUND(I146-T146-U146-V146-W146,0)</f>
        <v>#VALUE!</v>
      </c>
      <c r="AG146" s="117" t="e">
        <f>ROUND(J146-Y146-Z146-AA146-AC146-AB146,0)</f>
        <v>#VALUE!</v>
      </c>
      <c r="AH146" s="116"/>
      <c r="AI146">
        <f t="shared" si="34"/>
        <v>450</v>
      </c>
      <c r="AJ146" t="str">
        <f t="shared" si="24"/>
        <v>SO</v>
      </c>
      <c r="AK146" t="str">
        <f>IF(ISERROR(MATCH(AI146&amp;"."&amp;AJ146,AK$91:AK145,0)),AI146&amp;"."&amp;AJ146,AI146&amp;"."&amp;AJ146&amp;COUNTIFS(AI$91:AI145,AI146,AJ$91:AJ145,AJ146))</f>
        <v>450.SO</v>
      </c>
    </row>
    <row r="147" spans="1:37" ht="15" hidden="1">
      <c r="A147" s="120">
        <f>ROW()</f>
        <v>147</v>
      </c>
      <c r="B147" s="120"/>
      <c r="C147" s="1"/>
      <c r="E147" s="121"/>
      <c r="F147" s="138"/>
      <c r="G147" s="117" t="e">
        <f t="shared" ref="G147:L147" si="44">SUM(G145:G146)</f>
        <v>#VALUE!</v>
      </c>
      <c r="H147" s="116" t="e">
        <f t="shared" si="44"/>
        <v>#VALUE!</v>
      </c>
      <c r="I147" s="116" t="e">
        <f t="shared" si="44"/>
        <v>#VALUE!</v>
      </c>
      <c r="J147" s="116" t="e">
        <f t="shared" si="44"/>
        <v>#VALUE!</v>
      </c>
      <c r="K147" s="116" t="e">
        <f t="shared" si="44"/>
        <v>#VALUE!</v>
      </c>
      <c r="L147" s="116" t="e">
        <f t="shared" si="44"/>
        <v>#VALUE!</v>
      </c>
      <c r="O147" s="116" t="e">
        <f>SUM(O145:O146)</f>
        <v>#VALUE!</v>
      </c>
      <c r="P147" s="116" t="e">
        <f>SUM(P145:P146)</f>
        <v>#VALUE!</v>
      </c>
      <c r="Q147" s="116" t="e">
        <f>SUM(Q145:Q146)</f>
        <v>#VALUE!</v>
      </c>
      <c r="R147" s="116" t="e">
        <f>SUM(R145:R146)</f>
        <v>#VALUE!</v>
      </c>
      <c r="T147" s="116" t="e">
        <f>SUM(T145:T146)</f>
        <v>#VALUE!</v>
      </c>
      <c r="U147" s="116" t="e">
        <f>SUM(U145:U146)</f>
        <v>#VALUE!</v>
      </c>
      <c r="V147" s="116"/>
      <c r="W147" s="116"/>
      <c r="X147" s="3"/>
      <c r="Y147" s="116" t="e">
        <f>SUM(Y145:Y146)</f>
        <v>#VALUE!</v>
      </c>
      <c r="Z147" s="116" t="e">
        <f>SUM(Z145:Z146)</f>
        <v>#VALUE!</v>
      </c>
      <c r="AA147" s="116" t="e">
        <f>SUM(AA145:AA146)</f>
        <v>#VALUE!</v>
      </c>
      <c r="AB147" s="116" t="e">
        <f>SUM(AB145:AB146)</f>
        <v>#VALUE!</v>
      </c>
      <c r="AC147" s="116" t="e">
        <f>SUM(AC145:AC146)</f>
        <v>#VALUE!</v>
      </c>
      <c r="AD147" s="117" t="e">
        <f>ROUND(SUM(-G147,H147:L147),0)</f>
        <v>#VALUE!</v>
      </c>
      <c r="AE147" s="117" t="e">
        <f>ROUND(H147-O147-P147-Q147-R147,0)</f>
        <v>#VALUE!</v>
      </c>
      <c r="AF147" s="117" t="e">
        <f>ROUND(I147-T147-U147-V147-W147,0)</f>
        <v>#VALUE!</v>
      </c>
      <c r="AG147" s="117" t="e">
        <f>ROUND(J147-Y147-Z147-AA147-AC147-AB147,0)</f>
        <v>#VALUE!</v>
      </c>
      <c r="AH147" s="116"/>
      <c r="AI147">
        <f t="shared" si="34"/>
        <v>450</v>
      </c>
      <c r="AJ147" t="str">
        <f t="shared" si="24"/>
        <v>NA</v>
      </c>
      <c r="AK147" t="str">
        <f>IF(ISERROR(MATCH(AI147&amp;"."&amp;AJ147,AK$91:AK146,0)),AI147&amp;"."&amp;AJ147,AI147&amp;"."&amp;AJ147&amp;COUNTIFS(AI$91:AI146,AI147,AJ$91:AJ146,AJ147))</f>
        <v>450.NA1</v>
      </c>
    </row>
    <row r="148" spans="1:37" ht="15" hidden="1">
      <c r="A148" s="120">
        <f>ROW()</f>
        <v>148</v>
      </c>
      <c r="B148" s="120"/>
      <c r="C148" s="1"/>
      <c r="E148" s="121"/>
      <c r="F148" s="138"/>
      <c r="G148" s="119"/>
      <c r="X148" s="3"/>
      <c r="AD148" s="119"/>
      <c r="AE148" s="119"/>
      <c r="AF148" s="119"/>
      <c r="AG148" s="119"/>
      <c r="AI148">
        <f t="shared" si="34"/>
        <v>450</v>
      </c>
      <c r="AJ148" t="str">
        <f t="shared" si="24"/>
        <v>NA</v>
      </c>
      <c r="AK148" t="str">
        <f>IF(ISERROR(MATCH(AI148&amp;"."&amp;AJ148,AK$91:AK147,0)),AI148&amp;"."&amp;AJ148,AI148&amp;"."&amp;AJ148&amp;COUNTIFS(AI$91:AI147,AI148,AJ$91:AJ147,AJ148))</f>
        <v>450.NA2</v>
      </c>
    </row>
    <row r="149" spans="1:37" ht="15" hidden="1">
      <c r="A149" s="120">
        <f>ROW()</f>
        <v>149</v>
      </c>
      <c r="B149" s="120"/>
      <c r="C149" s="1">
        <v>451</v>
      </c>
      <c r="D149" s="2" t="s">
        <v>150</v>
      </c>
      <c r="E149" s="121"/>
      <c r="F149" s="138"/>
      <c r="G149" s="119"/>
      <c r="X149" s="3"/>
      <c r="AD149" s="119"/>
      <c r="AE149" s="119"/>
      <c r="AF149" s="119"/>
      <c r="AG149" s="119"/>
      <c r="AI149">
        <f t="shared" si="34"/>
        <v>451</v>
      </c>
      <c r="AJ149" t="str">
        <f t="shared" si="24"/>
        <v>NA</v>
      </c>
      <c r="AK149" t="str">
        <f>IF(ISERROR(MATCH(AI149&amp;"."&amp;AJ149,AK$91:AK148,0)),AI149&amp;"."&amp;AJ149,AI149&amp;"."&amp;AJ149&amp;COUNTIFS(AI$91:AI148,AI149,AJ$91:AJ148,AJ149))</f>
        <v>451.NA</v>
      </c>
    </row>
    <row r="150" spans="1:37" ht="15" hidden="1">
      <c r="A150" s="120">
        <f>ROW()</f>
        <v>150</v>
      </c>
      <c r="B150" s="120"/>
      <c r="C150" s="1"/>
      <c r="E150" s="121" t="s">
        <v>12</v>
      </c>
      <c r="F150" s="138" t="str">
        <f>INDEX(FuncAllocOptions,ROW(A150)-ROW($A$92)+1,[4]Inputs!$S$11)</f>
        <v>CUST</v>
      </c>
      <c r="G150" s="117" t="e">
        <f>SUMIF(FERCJAMFactor,AK150,JAMValue)</f>
        <v>#VALUE!</v>
      </c>
      <c r="H150" s="116" t="e">
        <f t="shared" ref="H150:L152" si="45">INDEX(FuncFactorTbl,MATCH($F150,FuncFactors,0),MATCH(H$8,Functions,0))*$G150</f>
        <v>#VALUE!</v>
      </c>
      <c r="I150" s="116" t="e">
        <f t="shared" si="45"/>
        <v>#VALUE!</v>
      </c>
      <c r="J150" s="116" t="e">
        <f t="shared" si="45"/>
        <v>#VALUE!</v>
      </c>
      <c r="K150" s="116" t="e">
        <f t="shared" si="45"/>
        <v>#VALUE!</v>
      </c>
      <c r="L150" s="116" t="e">
        <f t="shared" si="45"/>
        <v>#VALUE!</v>
      </c>
      <c r="N150" s="108">
        <v>0.75</v>
      </c>
      <c r="O150" s="116" t="e">
        <f>$H150*$N150*$M150</f>
        <v>#VALUE!</v>
      </c>
      <c r="P150" s="116" t="e">
        <f>$H150*(1-$N150)*$M150</f>
        <v>#VALUE!</v>
      </c>
      <c r="Q150" s="116" t="e">
        <f>$H150*$N150*(1-$M150)</f>
        <v>#VALUE!</v>
      </c>
      <c r="R150" s="116" t="e">
        <f>$H150*(1-$N150)*(1-$M150)</f>
        <v>#VALUE!</v>
      </c>
      <c r="S150" s="108">
        <v>0.75</v>
      </c>
      <c r="T150" s="116" t="e">
        <f>$I150*$S150*$M150</f>
        <v>#VALUE!</v>
      </c>
      <c r="U150" s="116" t="e">
        <f>$I150*(1-$S150)*$M150</f>
        <v>#VALUE!</v>
      </c>
      <c r="V150" s="116" t="e">
        <f>$I150*$S150*(1-$M150)</f>
        <v>#VALUE!</v>
      </c>
      <c r="W150" s="116" t="e">
        <f>$I150*(1-$S150)*(1-$M150)</f>
        <v>#VALUE!</v>
      </c>
      <c r="X150" s="3" t="str">
        <f>INDEX(DistFuncAllocOptions,ROW(A150)-ROW($A$92)+1,[4]Inputs!$S$11)</f>
        <v>CUST</v>
      </c>
      <c r="Y150" s="116" t="e">
        <f t="shared" ref="Y150:AC152" si="46">INDEX(DistFuncFactorTbl,MATCH($X150,DistFuncFactors,0),MATCH(Y$91,DistFunctions,0))*$J150</f>
        <v>#VALUE!</v>
      </c>
      <c r="Z150" s="116" t="e">
        <f t="shared" si="46"/>
        <v>#VALUE!</v>
      </c>
      <c r="AA150" s="116" t="e">
        <f t="shared" si="46"/>
        <v>#VALUE!</v>
      </c>
      <c r="AB150" s="116" t="e">
        <f t="shared" si="46"/>
        <v>#VALUE!</v>
      </c>
      <c r="AC150" s="116" t="e">
        <f t="shared" si="46"/>
        <v>#VALUE!</v>
      </c>
      <c r="AD150" s="117" t="e">
        <f>ROUND(SUM(-G150,H150:L150),0)</f>
        <v>#VALUE!</v>
      </c>
      <c r="AE150" s="117" t="e">
        <f>ROUND(H150-O150-P150-Q150-R150,0)</f>
        <v>#VALUE!</v>
      </c>
      <c r="AF150" s="117" t="e">
        <f>ROUND(I150-T150-U150-V150-W150,0)</f>
        <v>#VALUE!</v>
      </c>
      <c r="AG150" s="117" t="e">
        <f>ROUND(J150-Y150-Z150-AA150-AC150-AB150,0)</f>
        <v>#VALUE!</v>
      </c>
      <c r="AH150" s="116"/>
      <c r="AI150">
        <f t="shared" si="34"/>
        <v>451</v>
      </c>
      <c r="AJ150" t="str">
        <f t="shared" si="24"/>
        <v>S</v>
      </c>
      <c r="AK150" t="str">
        <f>IF(ISERROR(MATCH(AI150&amp;"."&amp;AJ150,AK$91:AK149,0)),AI150&amp;"."&amp;AJ150,AI150&amp;"."&amp;AJ150&amp;COUNTIFS(AI$91:AI149,AI150,AJ$91:AJ149,AJ150))</f>
        <v>451.S</v>
      </c>
    </row>
    <row r="151" spans="1:37" ht="15" hidden="1">
      <c r="A151" s="120">
        <f>ROW()</f>
        <v>151</v>
      </c>
      <c r="B151" s="120"/>
      <c r="C151" s="1"/>
      <c r="E151" s="121" t="s">
        <v>15</v>
      </c>
      <c r="F151" s="138" t="str">
        <f>INDEX(FuncAllocOptions,ROW(A151)-ROW($A$92)+1,[4]Inputs!$S$11)</f>
        <v>GP</v>
      </c>
      <c r="G151" s="117" t="e">
        <f>SUMIF(FERCJAMFactor,AK151,JAMValue)</f>
        <v>#VALUE!</v>
      </c>
      <c r="H151" s="116" t="e">
        <f t="shared" si="45"/>
        <v>#VALUE!</v>
      </c>
      <c r="I151" s="116" t="e">
        <f t="shared" si="45"/>
        <v>#VALUE!</v>
      </c>
      <c r="J151" s="116" t="e">
        <f t="shared" si="45"/>
        <v>#VALUE!</v>
      </c>
      <c r="K151" s="116" t="e">
        <f t="shared" si="45"/>
        <v>#VALUE!</v>
      </c>
      <c r="L151" s="116" t="e">
        <f t="shared" si="45"/>
        <v>#VALUE!</v>
      </c>
      <c r="N151" s="108">
        <v>0.75</v>
      </c>
      <c r="O151" s="116" t="e">
        <f>$H151*$N151*$M151</f>
        <v>#VALUE!</v>
      </c>
      <c r="P151" s="116" t="e">
        <f>$H151*(1-$N151)*$M151</f>
        <v>#VALUE!</v>
      </c>
      <c r="Q151" s="116" t="e">
        <f>$H151*$N151*(1-$M151)</f>
        <v>#VALUE!</v>
      </c>
      <c r="R151" s="116" t="e">
        <f>$H151*(1-$N151)*(1-$M151)</f>
        <v>#VALUE!</v>
      </c>
      <c r="S151" s="108">
        <v>0.75</v>
      </c>
      <c r="T151" s="116" t="e">
        <f>$I151*$S151*$M151</f>
        <v>#VALUE!</v>
      </c>
      <c r="U151" s="116" t="e">
        <f>$I151*(1-$S151)*$M151</f>
        <v>#VALUE!</v>
      </c>
      <c r="V151" s="116" t="e">
        <f>$I151*$S151*(1-$M151)</f>
        <v>#VALUE!</v>
      </c>
      <c r="W151" s="116" t="e">
        <f>$I151*(1-$S151)*(1-$M151)</f>
        <v>#VALUE!</v>
      </c>
      <c r="X151" s="3" t="str">
        <f>INDEX(DistFuncAllocOptions,ROW(A151)-ROW($A$92)+1,[4]Inputs!$S$11)</f>
        <v>PLNT</v>
      </c>
      <c r="Y151" s="116" t="e">
        <f t="shared" si="46"/>
        <v>#VALUE!</v>
      </c>
      <c r="Z151" s="116" t="e">
        <f t="shared" si="46"/>
        <v>#VALUE!</v>
      </c>
      <c r="AA151" s="116" t="e">
        <f t="shared" si="46"/>
        <v>#VALUE!</v>
      </c>
      <c r="AB151" s="116" t="e">
        <f t="shared" si="46"/>
        <v>#VALUE!</v>
      </c>
      <c r="AC151" s="116" t="e">
        <f t="shared" si="46"/>
        <v>#VALUE!</v>
      </c>
      <c r="AD151" s="117" t="e">
        <f>ROUND(SUM(-G151,H151:L151),0)</f>
        <v>#VALUE!</v>
      </c>
      <c r="AE151" s="117" t="e">
        <f>ROUND(H151-O151-P151-Q151-R151,0)</f>
        <v>#VALUE!</v>
      </c>
      <c r="AF151" s="117" t="e">
        <f>ROUND(I151-T151-U151-V151-W151,0)</f>
        <v>#VALUE!</v>
      </c>
      <c r="AG151" s="117" t="e">
        <f>ROUND(J151-Y151-Z151-AA151-AC151-AB151,0)</f>
        <v>#VALUE!</v>
      </c>
      <c r="AH151" s="116"/>
      <c r="AI151">
        <f t="shared" si="34"/>
        <v>451</v>
      </c>
      <c r="AJ151" t="str">
        <f t="shared" si="24"/>
        <v>SG</v>
      </c>
      <c r="AK151" t="str">
        <f>IF(ISERROR(MATCH(AI151&amp;"."&amp;AJ151,AK$91:AK150,0)),AI151&amp;"."&amp;AJ151,AI151&amp;"."&amp;AJ151&amp;COUNTIFS(AI$91:AI150,AI151,AJ$91:AJ150,AJ151))</f>
        <v>451.SG</v>
      </c>
    </row>
    <row r="152" spans="1:37" ht="15" hidden="1">
      <c r="A152" s="120">
        <f>ROW()</f>
        <v>152</v>
      </c>
      <c r="B152" s="120"/>
      <c r="C152" s="1"/>
      <c r="E152" s="121" t="s">
        <v>136</v>
      </c>
      <c r="F152" s="138" t="str">
        <f>INDEX(FuncAllocOptions,ROW(A152)-ROW($A$92)+1,[4]Inputs!$S$11)</f>
        <v>CUST</v>
      </c>
      <c r="G152" s="133" t="e">
        <f>SUMIF(FERCJAMFactor,AK152,JAMValue)</f>
        <v>#VALUE!</v>
      </c>
      <c r="H152" s="139" t="e">
        <f t="shared" si="45"/>
        <v>#VALUE!</v>
      </c>
      <c r="I152" s="139" t="e">
        <f t="shared" si="45"/>
        <v>#VALUE!</v>
      </c>
      <c r="J152" s="139" t="e">
        <f t="shared" si="45"/>
        <v>#VALUE!</v>
      </c>
      <c r="K152" s="139" t="e">
        <f t="shared" si="45"/>
        <v>#VALUE!</v>
      </c>
      <c r="L152" s="139" t="e">
        <f t="shared" si="45"/>
        <v>#VALUE!</v>
      </c>
      <c r="N152" s="108">
        <v>0.75</v>
      </c>
      <c r="O152" s="116" t="e">
        <f>$H152*$N152*$M152</f>
        <v>#VALUE!</v>
      </c>
      <c r="P152" s="116" t="e">
        <f>$H152*(1-$N152)*$M152</f>
        <v>#VALUE!</v>
      </c>
      <c r="Q152" s="116" t="e">
        <f>$H152*$N152*(1-$M152)</f>
        <v>#VALUE!</v>
      </c>
      <c r="R152" s="116" t="e">
        <f>$H152*(1-$N152)*(1-$M152)</f>
        <v>#VALUE!</v>
      </c>
      <c r="S152" s="108">
        <v>0.75</v>
      </c>
      <c r="T152" s="116" t="e">
        <f>$I152*$S152*$M152</f>
        <v>#VALUE!</v>
      </c>
      <c r="U152" s="116" t="e">
        <f>$I152*(1-$S152)*$M152</f>
        <v>#VALUE!</v>
      </c>
      <c r="V152" s="116" t="e">
        <f>$I152*$S152*(1-$M152)</f>
        <v>#VALUE!</v>
      </c>
      <c r="W152" s="116" t="e">
        <f>$I152*(1-$S152)*(1-$M152)</f>
        <v>#VALUE!</v>
      </c>
      <c r="X152" s="3" t="str">
        <f>INDEX(DistFuncAllocOptions,ROW(A152)-ROW($A$92)+1,[4]Inputs!$S$11)</f>
        <v>PLNT</v>
      </c>
      <c r="Y152" s="116" t="e">
        <f t="shared" si="46"/>
        <v>#VALUE!</v>
      </c>
      <c r="Z152" s="116" t="e">
        <f t="shared" si="46"/>
        <v>#VALUE!</v>
      </c>
      <c r="AA152" s="116" t="e">
        <f t="shared" si="46"/>
        <v>#VALUE!</v>
      </c>
      <c r="AB152" s="116" t="e">
        <f t="shared" si="46"/>
        <v>#VALUE!</v>
      </c>
      <c r="AC152" s="116" t="e">
        <f t="shared" si="46"/>
        <v>#VALUE!</v>
      </c>
      <c r="AD152" s="117" t="e">
        <f>ROUND(SUM(-G152,H152:L152),0)</f>
        <v>#VALUE!</v>
      </c>
      <c r="AE152" s="117" t="e">
        <f>ROUND(H152-O152-P152-Q152-R152,0)</f>
        <v>#VALUE!</v>
      </c>
      <c r="AF152" s="117" t="e">
        <f>ROUND(I152-T152-U152-V152-W152,0)</f>
        <v>#VALUE!</v>
      </c>
      <c r="AG152" s="117" t="e">
        <f>ROUND(J152-Y152-Z152-AA152-AC152-AB152,0)</f>
        <v>#VALUE!</v>
      </c>
      <c r="AH152" s="116"/>
      <c r="AI152">
        <f t="shared" si="34"/>
        <v>451</v>
      </c>
      <c r="AJ152" t="str">
        <f t="shared" si="24"/>
        <v>SO</v>
      </c>
      <c r="AK152" t="str">
        <f>IF(ISERROR(MATCH(AI152&amp;"."&amp;AJ152,AK$91:AK151,0)),AI152&amp;"."&amp;AJ152,AI152&amp;"."&amp;AJ152&amp;COUNTIFS(AI$91:AI151,AI152,AJ$91:AJ151,AJ152))</f>
        <v>451.SO</v>
      </c>
    </row>
    <row r="153" spans="1:37" ht="15" hidden="1">
      <c r="A153" s="120">
        <f>ROW()</f>
        <v>153</v>
      </c>
      <c r="B153" s="120"/>
      <c r="C153" s="1"/>
      <c r="E153" s="121"/>
      <c r="F153" s="138"/>
      <c r="G153" s="117" t="e">
        <f t="shared" ref="G153:L153" si="47">SUM(G150:G152)</f>
        <v>#VALUE!</v>
      </c>
      <c r="H153" s="116" t="e">
        <f t="shared" si="47"/>
        <v>#VALUE!</v>
      </c>
      <c r="I153" s="116" t="e">
        <f t="shared" si="47"/>
        <v>#VALUE!</v>
      </c>
      <c r="J153" s="116" t="e">
        <f t="shared" si="47"/>
        <v>#VALUE!</v>
      </c>
      <c r="K153" s="116" t="e">
        <f t="shared" si="47"/>
        <v>#VALUE!</v>
      </c>
      <c r="L153" s="116" t="e">
        <f t="shared" si="47"/>
        <v>#VALUE!</v>
      </c>
      <c r="O153" s="116" t="e">
        <f>SUM(O150:O152)</f>
        <v>#VALUE!</v>
      </c>
      <c r="P153" s="116" t="e">
        <f>SUM(P150:P152)</f>
        <v>#VALUE!</v>
      </c>
      <c r="Q153" s="116" t="e">
        <f>SUM(Q150:Q152)</f>
        <v>#VALUE!</v>
      </c>
      <c r="R153" s="116" t="e">
        <f>SUM(R150:R152)</f>
        <v>#VALUE!</v>
      </c>
      <c r="T153" s="116" t="e">
        <f>SUM(T150:T152)</f>
        <v>#VALUE!</v>
      </c>
      <c r="U153" s="116" t="e">
        <f>SUM(U150:U152)</f>
        <v>#VALUE!</v>
      </c>
      <c r="V153" s="116"/>
      <c r="W153" s="116"/>
      <c r="X153" s="3"/>
      <c r="Y153" s="116" t="e">
        <f>SUM(Y150:Y152)</f>
        <v>#VALUE!</v>
      </c>
      <c r="Z153" s="116" t="e">
        <f>SUM(Z150:Z152)</f>
        <v>#VALUE!</v>
      </c>
      <c r="AA153" s="116" t="e">
        <f>SUM(AA150:AA152)</f>
        <v>#VALUE!</v>
      </c>
      <c r="AB153" s="116" t="e">
        <f>SUM(AB150:AB152)</f>
        <v>#VALUE!</v>
      </c>
      <c r="AC153" s="116" t="e">
        <f>SUM(AC150:AC152)</f>
        <v>#VALUE!</v>
      </c>
      <c r="AD153" s="117" t="e">
        <f>ROUND(SUM(-G153,H153:L153),0)</f>
        <v>#VALUE!</v>
      </c>
      <c r="AE153" s="117" t="e">
        <f>ROUND(H153-O153-P153-Q153-R153,0)</f>
        <v>#VALUE!</v>
      </c>
      <c r="AF153" s="117" t="e">
        <f>ROUND(I153-T153-U153-V153-W153,0)</f>
        <v>#VALUE!</v>
      </c>
      <c r="AG153" s="117" t="e">
        <f>ROUND(J153-Y153-Z153-AA153-AC153-AB153,0)</f>
        <v>#VALUE!</v>
      </c>
      <c r="AH153" s="116"/>
      <c r="AI153">
        <f t="shared" si="34"/>
        <v>451</v>
      </c>
      <c r="AJ153" t="str">
        <f t="shared" si="24"/>
        <v>NA</v>
      </c>
      <c r="AK153" t="str">
        <f>IF(ISERROR(MATCH(AI153&amp;"."&amp;AJ153,AK$91:AK152,0)),AI153&amp;"."&amp;AJ153,AI153&amp;"."&amp;AJ153&amp;COUNTIFS(AI$91:AI152,AI153,AJ$91:AJ152,AJ153))</f>
        <v>451.NA1</v>
      </c>
    </row>
    <row r="154" spans="1:37" ht="15" hidden="1">
      <c r="A154" s="120">
        <f>ROW()</f>
        <v>154</v>
      </c>
      <c r="B154" s="120"/>
      <c r="C154" s="1"/>
      <c r="E154" s="121"/>
      <c r="F154" s="138"/>
      <c r="G154" s="119"/>
      <c r="X154" s="3"/>
      <c r="AD154" s="119"/>
      <c r="AE154" s="119"/>
      <c r="AF154" s="119"/>
      <c r="AG154" s="119"/>
      <c r="AI154">
        <f t="shared" si="34"/>
        <v>451</v>
      </c>
      <c r="AJ154" t="str">
        <f t="shared" si="24"/>
        <v>NA</v>
      </c>
      <c r="AK154" t="str">
        <f>IF(ISERROR(MATCH(AI154&amp;"."&amp;AJ154,AK$91:AK153,0)),AI154&amp;"."&amp;AJ154,AI154&amp;"."&amp;AJ154&amp;COUNTIFS(AI$91:AI153,AI154,AJ$91:AJ153,AJ154))</f>
        <v>451.NA2</v>
      </c>
    </row>
    <row r="155" spans="1:37" ht="15" hidden="1">
      <c r="A155" s="120">
        <f>ROW()</f>
        <v>155</v>
      </c>
      <c r="B155" s="120"/>
      <c r="C155" s="1">
        <v>453</v>
      </c>
      <c r="D155" s="2" t="s">
        <v>151</v>
      </c>
      <c r="E155" s="121"/>
      <c r="F155" s="138"/>
      <c r="G155" s="119"/>
      <c r="X155" s="3"/>
      <c r="AD155" s="119"/>
      <c r="AE155" s="119"/>
      <c r="AF155" s="119"/>
      <c r="AG155" s="119"/>
      <c r="AI155">
        <f t="shared" si="34"/>
        <v>453</v>
      </c>
      <c r="AJ155" t="str">
        <f t="shared" si="24"/>
        <v>NA</v>
      </c>
      <c r="AK155" t="str">
        <f>IF(ISERROR(MATCH(AI155&amp;"."&amp;AJ155,AK$91:AK154,0)),AI155&amp;"."&amp;AJ155,AI155&amp;"."&amp;AJ155&amp;COUNTIFS(AI$91:AI154,AI155,AJ$91:AJ154,AJ155))</f>
        <v>453.NA</v>
      </c>
    </row>
    <row r="156" spans="1:37" ht="15" hidden="1">
      <c r="A156" s="120">
        <f>ROW()</f>
        <v>156</v>
      </c>
      <c r="B156" s="120"/>
      <c r="C156" s="1"/>
      <c r="E156" s="121" t="s">
        <v>15</v>
      </c>
      <c r="F156" s="138" t="str">
        <f>INDEX(FuncAllocOptions,ROW(A156)-ROW($A$92)+1,[4]Inputs!$S$11)</f>
        <v>P</v>
      </c>
      <c r="G156" s="133" t="e">
        <f>SUMIF(FERCJAMFactor,AK156,JAMValue)</f>
        <v>#VALUE!</v>
      </c>
      <c r="H156" s="139" t="e">
        <f>INDEX(FuncFactorTbl,MATCH($F156,FuncFactors,0),MATCH(H$8,Functions,0))*$G156</f>
        <v>#VALUE!</v>
      </c>
      <c r="I156" s="139" t="e">
        <f>INDEX(FuncFactorTbl,MATCH($F156,FuncFactors,0),MATCH(I$8,Functions,0))*$G156</f>
        <v>#VALUE!</v>
      </c>
      <c r="J156" s="139" t="e">
        <f>INDEX(FuncFactorTbl,MATCH($F156,FuncFactors,0),MATCH(J$8,Functions,0))*$G156</f>
        <v>#VALUE!</v>
      </c>
      <c r="K156" s="139" t="e">
        <f>INDEX(FuncFactorTbl,MATCH($F156,FuncFactors,0),MATCH(K$8,Functions,0))*$G156</f>
        <v>#VALUE!</v>
      </c>
      <c r="L156" s="139" t="e">
        <f>INDEX(FuncFactorTbl,MATCH($F156,FuncFactors,0),MATCH(L$8,Functions,0))*$G156</f>
        <v>#VALUE!</v>
      </c>
      <c r="N156" s="108">
        <v>0.75</v>
      </c>
      <c r="O156" s="116" t="e">
        <f>$H156*$N156*$M156</f>
        <v>#VALUE!</v>
      </c>
      <c r="P156" s="116" t="e">
        <f>$H156*(1-$N156)*$M156</f>
        <v>#VALUE!</v>
      </c>
      <c r="Q156" s="116" t="e">
        <f>$H156*$N156*(1-$M156)</f>
        <v>#VALUE!</v>
      </c>
      <c r="R156" s="116" t="e">
        <f>$H156*(1-$N156)*(1-$M156)</f>
        <v>#VALUE!</v>
      </c>
      <c r="S156" s="108">
        <v>0.75</v>
      </c>
      <c r="T156" s="116" t="e">
        <f>$I156*$S156*$M156</f>
        <v>#VALUE!</v>
      </c>
      <c r="U156" s="116" t="e">
        <f>$I156*(1-$S156)*$M156</f>
        <v>#VALUE!</v>
      </c>
      <c r="V156" s="116" t="e">
        <f>$I156*$S156*(1-$M156)</f>
        <v>#VALUE!</v>
      </c>
      <c r="W156" s="116" t="e">
        <f>$I156*(1-$S156)*(1-$M156)</f>
        <v>#VALUE!</v>
      </c>
      <c r="X156" s="3" t="str">
        <f>INDEX(DistFuncAllocOptions,ROW(A156)-ROW($A$92)+1,[4]Inputs!$S$11)</f>
        <v>PLNT</v>
      </c>
      <c r="Y156" s="116" t="e">
        <f>INDEX(DistFuncFactorTbl,MATCH($X156,DistFuncFactors,0),MATCH(Y$91,DistFunctions,0))*$J156</f>
        <v>#VALUE!</v>
      </c>
      <c r="Z156" s="116" t="e">
        <f>INDEX(DistFuncFactorTbl,MATCH($X156,DistFuncFactors,0),MATCH(Z$91,DistFunctions,0))*$J156</f>
        <v>#VALUE!</v>
      </c>
      <c r="AA156" s="116" t="e">
        <f>INDEX(DistFuncFactorTbl,MATCH($X156,DistFuncFactors,0),MATCH(AA$91,DistFunctions,0))*$J156</f>
        <v>#VALUE!</v>
      </c>
      <c r="AB156" s="116" t="e">
        <f>INDEX(DistFuncFactorTbl,MATCH($X156,DistFuncFactors,0),MATCH(AB$91,DistFunctions,0))*$J156</f>
        <v>#VALUE!</v>
      </c>
      <c r="AC156" s="116" t="e">
        <f>INDEX(DistFuncFactorTbl,MATCH($X156,DistFuncFactors,0),MATCH(AC$91,DistFunctions,0))*$J156</f>
        <v>#VALUE!</v>
      </c>
      <c r="AD156" s="117" t="e">
        <f>ROUND(SUM(-G156,H156:L156),0)</f>
        <v>#VALUE!</v>
      </c>
      <c r="AE156" s="117" t="e">
        <f>ROUND(H156-O156-P156-Q156-R156,0)</f>
        <v>#VALUE!</v>
      </c>
      <c r="AF156" s="117" t="e">
        <f>ROUND(I156-T156-U156-V156-W156,0)</f>
        <v>#VALUE!</v>
      </c>
      <c r="AG156" s="117" t="e">
        <f>ROUND(J156-Y156-Z156-AA156-AC156-AB156,0)</f>
        <v>#VALUE!</v>
      </c>
      <c r="AH156" s="116"/>
      <c r="AI156">
        <f t="shared" si="34"/>
        <v>453</v>
      </c>
      <c r="AJ156" t="str">
        <f t="shared" si="24"/>
        <v>SG</v>
      </c>
      <c r="AK156" t="str">
        <f>IF(ISERROR(MATCH(AI156&amp;"."&amp;AJ156,AK$91:AK155,0)),AI156&amp;"."&amp;AJ156,AI156&amp;"."&amp;AJ156&amp;COUNTIFS(AI$91:AI155,AI156,AJ$91:AJ155,AJ156))</f>
        <v>453.SG</v>
      </c>
    </row>
    <row r="157" spans="1:37" ht="15" hidden="1">
      <c r="A157" s="120">
        <f>ROW()</f>
        <v>157</v>
      </c>
      <c r="B157" s="120"/>
      <c r="C157" s="1"/>
      <c r="E157" s="121"/>
      <c r="F157" s="138"/>
      <c r="G157" s="117" t="e">
        <f t="shared" ref="G157:L157" si="48">SUM(G156)</f>
        <v>#VALUE!</v>
      </c>
      <c r="H157" s="116" t="e">
        <f t="shared" si="48"/>
        <v>#VALUE!</v>
      </c>
      <c r="I157" s="116" t="e">
        <f t="shared" si="48"/>
        <v>#VALUE!</v>
      </c>
      <c r="J157" s="116" t="e">
        <f t="shared" si="48"/>
        <v>#VALUE!</v>
      </c>
      <c r="K157" s="116" t="e">
        <f t="shared" si="48"/>
        <v>#VALUE!</v>
      </c>
      <c r="L157" s="116" t="e">
        <f t="shared" si="48"/>
        <v>#VALUE!</v>
      </c>
      <c r="O157" s="116" t="e">
        <f>SUM(O156)</f>
        <v>#VALUE!</v>
      </c>
      <c r="P157" s="116" t="e">
        <f>SUM(P156)</f>
        <v>#VALUE!</v>
      </c>
      <c r="Q157" s="116" t="e">
        <f>SUM(Q156)</f>
        <v>#VALUE!</v>
      </c>
      <c r="R157" s="116" t="e">
        <f>SUM(R156)</f>
        <v>#VALUE!</v>
      </c>
      <c r="T157" s="116" t="e">
        <f>SUM(T156)</f>
        <v>#VALUE!</v>
      </c>
      <c r="U157" s="116" t="e">
        <f>SUM(U156)</f>
        <v>#VALUE!</v>
      </c>
      <c r="V157" s="116"/>
      <c r="W157" s="116"/>
      <c r="X157" s="3"/>
      <c r="Y157" s="116" t="e">
        <f>SUM(Y156)</f>
        <v>#VALUE!</v>
      </c>
      <c r="Z157" s="116" t="e">
        <f>SUM(Z156)</f>
        <v>#VALUE!</v>
      </c>
      <c r="AA157" s="116" t="e">
        <f>SUM(AA156)</f>
        <v>#VALUE!</v>
      </c>
      <c r="AB157" s="116" t="e">
        <f>SUM(AB156)</f>
        <v>#VALUE!</v>
      </c>
      <c r="AC157" s="116" t="e">
        <f>SUM(AC156)</f>
        <v>#VALUE!</v>
      </c>
      <c r="AD157" s="117" t="e">
        <f>ROUND(SUM(-G157,H157:L157),0)</f>
        <v>#VALUE!</v>
      </c>
      <c r="AE157" s="117" t="e">
        <f>ROUND(H157-O157-P157-Q157-R157,0)</f>
        <v>#VALUE!</v>
      </c>
      <c r="AF157" s="117" t="e">
        <f>ROUND(I157-T157-U157-V157-W157,0)</f>
        <v>#VALUE!</v>
      </c>
      <c r="AG157" s="117" t="e">
        <f>ROUND(J157-Y157-Z157-AA157-AC157-AB157,0)</f>
        <v>#VALUE!</v>
      </c>
      <c r="AH157" s="116"/>
      <c r="AI157">
        <f t="shared" ref="AI157:AI188" si="49">IF(OR(C157="",C157=" ",C157="  ",C157="   "),AI156,C157)</f>
        <v>453</v>
      </c>
      <c r="AJ157" t="str">
        <f t="shared" ref="AJ157:AJ220" si="50">IF(E157="","NA",E157)</f>
        <v>NA</v>
      </c>
      <c r="AK157" t="str">
        <f>IF(ISERROR(MATCH(AI157&amp;"."&amp;AJ157,AK$91:AK156,0)),AI157&amp;"."&amp;AJ157,AI157&amp;"."&amp;AJ157&amp;COUNTIFS(AI$91:AI156,AI157,AJ$91:AJ156,AJ157))</f>
        <v>453.NA1</v>
      </c>
    </row>
    <row r="158" spans="1:37" ht="15" hidden="1">
      <c r="A158" s="120">
        <f>ROW()</f>
        <v>158</v>
      </c>
      <c r="B158" s="120"/>
      <c r="C158" s="1"/>
      <c r="E158" s="121"/>
      <c r="F158" s="138"/>
      <c r="G158" s="119"/>
      <c r="X158" s="3"/>
      <c r="AD158" s="119"/>
      <c r="AE158" s="119"/>
      <c r="AF158" s="119"/>
      <c r="AG158" s="119"/>
      <c r="AI158">
        <f t="shared" si="49"/>
        <v>453</v>
      </c>
      <c r="AJ158" t="str">
        <f t="shared" si="50"/>
        <v>NA</v>
      </c>
      <c r="AK158" t="str">
        <f>IF(ISERROR(MATCH(AI158&amp;"."&amp;AJ158,AK$91:AK157,0)),AI158&amp;"."&amp;AJ158,AI158&amp;"."&amp;AJ158&amp;COUNTIFS(AI$91:AI157,AI158,AJ$91:AJ157,AJ158))</f>
        <v>453.NA2</v>
      </c>
    </row>
    <row r="159" spans="1:37" ht="15" hidden="1">
      <c r="A159" s="120">
        <f>ROW()</f>
        <v>159</v>
      </c>
      <c r="B159" s="120"/>
      <c r="C159" s="1">
        <v>454</v>
      </c>
      <c r="D159" s="2" t="s">
        <v>152</v>
      </c>
      <c r="E159" s="121"/>
      <c r="F159" s="138"/>
      <c r="G159" s="119"/>
      <c r="X159" s="3"/>
      <c r="AD159" s="119"/>
      <c r="AE159" s="119"/>
      <c r="AF159" s="119"/>
      <c r="AG159" s="119"/>
      <c r="AI159">
        <f t="shared" si="49"/>
        <v>454</v>
      </c>
      <c r="AJ159" t="str">
        <f t="shared" si="50"/>
        <v>NA</v>
      </c>
      <c r="AK159" t="str">
        <f>IF(ISERROR(MATCH(AI159&amp;"."&amp;AJ159,AK$91:AK158,0)),AI159&amp;"."&amp;AJ159,AI159&amp;"."&amp;AJ159&amp;COUNTIFS(AI$91:AI158,AI159,AJ$91:AJ158,AJ159))</f>
        <v>454.NA</v>
      </c>
    </row>
    <row r="160" spans="1:37" ht="15" hidden="1">
      <c r="A160" s="120">
        <f>ROW()</f>
        <v>160</v>
      </c>
      <c r="B160" s="120"/>
      <c r="C160" s="1"/>
      <c r="E160" s="121" t="s">
        <v>12</v>
      </c>
      <c r="F160" s="138" t="str">
        <f>INDEX(FuncAllocOptions,ROW(A160)-ROW($A$92)+1,[4]Inputs!$S$11)</f>
        <v>DPW</v>
      </c>
      <c r="G160" s="117" t="e">
        <f>SUMIF(FERCJAMFactor,AK160,JAMValue)</f>
        <v>#VALUE!</v>
      </c>
      <c r="H160" s="116" t="e">
        <f t="shared" ref="H160:L163" si="51">INDEX(FuncFactorTbl,MATCH($F160,FuncFactors,0),MATCH(H$8,Functions,0))*$G160</f>
        <v>#VALUE!</v>
      </c>
      <c r="I160" s="116" t="e">
        <f t="shared" si="51"/>
        <v>#VALUE!</v>
      </c>
      <c r="J160" s="116" t="e">
        <f t="shared" si="51"/>
        <v>#VALUE!</v>
      </c>
      <c r="K160" s="116" t="e">
        <f t="shared" si="51"/>
        <v>#VALUE!</v>
      </c>
      <c r="L160" s="116" t="e">
        <f t="shared" si="51"/>
        <v>#VALUE!</v>
      </c>
      <c r="N160" s="108">
        <v>0.75</v>
      </c>
      <c r="O160" s="116" t="e">
        <f>$H160*$N160*$M160</f>
        <v>#VALUE!</v>
      </c>
      <c r="P160" s="116" t="e">
        <f>$H160*(1-$N160)*$M160</f>
        <v>#VALUE!</v>
      </c>
      <c r="Q160" s="116" t="e">
        <f>$H160*$N160*(1-$M160)</f>
        <v>#VALUE!</v>
      </c>
      <c r="R160" s="116" t="e">
        <f>$H160*(1-$N160)*(1-$M160)</f>
        <v>#VALUE!</v>
      </c>
      <c r="S160" s="108">
        <v>0.75</v>
      </c>
      <c r="T160" s="116" t="e">
        <f>$I160*$S160*$M160</f>
        <v>#VALUE!</v>
      </c>
      <c r="U160" s="116" t="e">
        <f>$I160*(1-$S160)*$M160</f>
        <v>#VALUE!</v>
      </c>
      <c r="V160" s="116" t="e">
        <f>$I160*$S160*(1-$M160)</f>
        <v>#VALUE!</v>
      </c>
      <c r="W160" s="116" t="e">
        <f>$I160*(1-$S160)*(1-$M160)</f>
        <v>#VALUE!</v>
      </c>
      <c r="X160" s="3" t="str">
        <f>INDEX(DistFuncAllocOptions,ROW(A160)-ROW($A$92)+1,[4]Inputs!$S$11)</f>
        <v>PLNT</v>
      </c>
      <c r="Y160" s="116" t="e">
        <f t="shared" ref="Y160:AC163" si="52">INDEX(DistFuncFactorTbl,MATCH($X160,DistFuncFactors,0),MATCH(Y$91,DistFunctions,0))*$J160</f>
        <v>#VALUE!</v>
      </c>
      <c r="Z160" s="116" t="e">
        <f t="shared" si="52"/>
        <v>#VALUE!</v>
      </c>
      <c r="AA160" s="116" t="e">
        <f t="shared" si="52"/>
        <v>#VALUE!</v>
      </c>
      <c r="AB160" s="116" t="e">
        <f t="shared" si="52"/>
        <v>#VALUE!</v>
      </c>
      <c r="AC160" s="116" t="e">
        <f t="shared" si="52"/>
        <v>#VALUE!</v>
      </c>
      <c r="AD160" s="117" t="e">
        <f>ROUND(SUM(-G160,H160:L160),0)</f>
        <v>#VALUE!</v>
      </c>
      <c r="AE160" s="117" t="e">
        <f>ROUND(H160-O160-P160-Q160-R160,0)</f>
        <v>#VALUE!</v>
      </c>
      <c r="AF160" s="117" t="e">
        <f>ROUND(I160-T160-U160-V160-W160,0)</f>
        <v>#VALUE!</v>
      </c>
      <c r="AG160" s="117" t="e">
        <f>ROUND(J160-Y160-Z160-AA160-AC160-AB160,0)</f>
        <v>#VALUE!</v>
      </c>
      <c r="AH160" s="116"/>
      <c r="AI160">
        <f t="shared" si="49"/>
        <v>454</v>
      </c>
      <c r="AJ160" t="str">
        <f t="shared" si="50"/>
        <v>S</v>
      </c>
      <c r="AK160" t="str">
        <f>IF(ISERROR(MATCH(AI160&amp;"."&amp;AJ160,AK$91:AK159,0)),AI160&amp;"."&amp;AJ160,AI160&amp;"."&amp;AJ160&amp;COUNTIFS(AI$91:AI159,AI160,AJ$91:AJ159,AJ160))</f>
        <v>454.S</v>
      </c>
    </row>
    <row r="161" spans="1:37" ht="15" hidden="1">
      <c r="A161" s="120">
        <f>ROW()</f>
        <v>161</v>
      </c>
      <c r="B161" s="120"/>
      <c r="C161" s="1"/>
      <c r="E161" s="121" t="s">
        <v>15</v>
      </c>
      <c r="F161" s="138" t="str">
        <f>INDEX(FuncAllocOptions,ROW(A161)-ROW($A$92)+1,[4]Inputs!$S$11)</f>
        <v>T</v>
      </c>
      <c r="G161" s="117" t="e">
        <f>SUMIF(FERCJAMFactor,AK161,JAMValue)</f>
        <v>#VALUE!</v>
      </c>
      <c r="H161" s="116" t="e">
        <f t="shared" si="51"/>
        <v>#VALUE!</v>
      </c>
      <c r="I161" s="116" t="e">
        <f t="shared" si="51"/>
        <v>#VALUE!</v>
      </c>
      <c r="J161" s="116" t="e">
        <f t="shared" si="51"/>
        <v>#VALUE!</v>
      </c>
      <c r="K161" s="116" t="e">
        <f t="shared" si="51"/>
        <v>#VALUE!</v>
      </c>
      <c r="L161" s="116" t="e">
        <f t="shared" si="51"/>
        <v>#VALUE!</v>
      </c>
      <c r="N161" s="108">
        <v>0.75</v>
      </c>
      <c r="O161" s="116" t="e">
        <f>$H161*$N161*$M161</f>
        <v>#VALUE!</v>
      </c>
      <c r="P161" s="116" t="e">
        <f>$H161*(1-$N161)*$M161</f>
        <v>#VALUE!</v>
      </c>
      <c r="Q161" s="116" t="e">
        <f>$H161*$N161*(1-$M161)</f>
        <v>#VALUE!</v>
      </c>
      <c r="R161" s="116" t="e">
        <f>$H161*(1-$N161)*(1-$M161)</f>
        <v>#VALUE!</v>
      </c>
      <c r="S161" s="108">
        <v>0.75</v>
      </c>
      <c r="T161" s="116" t="e">
        <f>$I161*$S161*$M161</f>
        <v>#VALUE!</v>
      </c>
      <c r="U161" s="116" t="e">
        <f>$I161*(1-$S161)*$M161</f>
        <v>#VALUE!</v>
      </c>
      <c r="V161" s="116" t="e">
        <f>$I161*$S161*(1-$M161)</f>
        <v>#VALUE!</v>
      </c>
      <c r="W161" s="116" t="e">
        <f>$I161*(1-$S161)*(1-$M161)</f>
        <v>#VALUE!</v>
      </c>
      <c r="X161" s="3" t="str">
        <f>INDEX(DistFuncAllocOptions,ROW(A161)-ROW($A$92)+1,[4]Inputs!$S$11)</f>
        <v>PLNT</v>
      </c>
      <c r="Y161" s="116" t="e">
        <f t="shared" si="52"/>
        <v>#VALUE!</v>
      </c>
      <c r="Z161" s="116" t="e">
        <f t="shared" si="52"/>
        <v>#VALUE!</v>
      </c>
      <c r="AA161" s="116" t="e">
        <f t="shared" si="52"/>
        <v>#VALUE!</v>
      </c>
      <c r="AB161" s="116" t="e">
        <f t="shared" si="52"/>
        <v>#VALUE!</v>
      </c>
      <c r="AC161" s="116" t="e">
        <f t="shared" si="52"/>
        <v>#VALUE!</v>
      </c>
      <c r="AD161" s="117" t="e">
        <f>ROUND(SUM(-G161,H161:L161),0)</f>
        <v>#VALUE!</v>
      </c>
      <c r="AE161" s="117" t="e">
        <f>ROUND(H161-O161-P161-Q161-R161,0)</f>
        <v>#VALUE!</v>
      </c>
      <c r="AF161" s="117" t="e">
        <f>ROUND(I161-T161-U161-V161-W161,0)</f>
        <v>#VALUE!</v>
      </c>
      <c r="AG161" s="117" t="e">
        <f>ROUND(J161-Y161-Z161-AA161-AC161-AB161,0)</f>
        <v>#VALUE!</v>
      </c>
      <c r="AH161" s="116"/>
      <c r="AI161">
        <f t="shared" si="49"/>
        <v>454</v>
      </c>
      <c r="AJ161" t="str">
        <f t="shared" si="50"/>
        <v>SG</v>
      </c>
      <c r="AK161" t="str">
        <f>IF(ISERROR(MATCH(AI161&amp;"."&amp;AJ161,AK$91:AK160,0)),AI161&amp;"."&amp;AJ161,AI161&amp;"."&amp;AJ161&amp;COUNTIFS(AI$91:AI160,AI161,AJ$91:AJ160,AJ161))</f>
        <v>454.SG</v>
      </c>
    </row>
    <row r="162" spans="1:37" ht="15" hidden="1">
      <c r="A162" s="120">
        <f>ROW()</f>
        <v>162</v>
      </c>
      <c r="B162" s="120"/>
      <c r="C162" s="1"/>
      <c r="E162" s="121" t="s">
        <v>15</v>
      </c>
      <c r="F162" s="138" t="str">
        <f>INDEX(FuncAllocOptions,ROW(A162)-ROW($A$92)+1,[4]Inputs!$S$11)</f>
        <v>T</v>
      </c>
      <c r="G162" s="117" t="e">
        <f>SUMIF(FERCJAMFactor,AK162,JAMValue)</f>
        <v>#VALUE!</v>
      </c>
      <c r="H162" s="116" t="e">
        <f t="shared" si="51"/>
        <v>#VALUE!</v>
      </c>
      <c r="I162" s="116" t="e">
        <f t="shared" si="51"/>
        <v>#VALUE!</v>
      </c>
      <c r="J162" s="116" t="e">
        <f t="shared" si="51"/>
        <v>#VALUE!</v>
      </c>
      <c r="K162" s="116" t="e">
        <f t="shared" si="51"/>
        <v>#VALUE!</v>
      </c>
      <c r="L162" s="116" t="e">
        <f t="shared" si="51"/>
        <v>#VALUE!</v>
      </c>
      <c r="N162" s="108">
        <v>0.75</v>
      </c>
      <c r="O162" s="116" t="e">
        <f>$H162*$N162*$M162</f>
        <v>#VALUE!</v>
      </c>
      <c r="P162" s="116" t="e">
        <f>$H162*(1-$N162)*$M162</f>
        <v>#VALUE!</v>
      </c>
      <c r="Q162" s="116" t="e">
        <f>$H162*$N162*(1-$M162)</f>
        <v>#VALUE!</v>
      </c>
      <c r="R162" s="116" t="e">
        <f>$H162*(1-$N162)*(1-$M162)</f>
        <v>#VALUE!</v>
      </c>
      <c r="S162" s="108">
        <v>0.75</v>
      </c>
      <c r="T162" s="116" t="e">
        <f>$I162*$S162*$M162</f>
        <v>#VALUE!</v>
      </c>
      <c r="U162" s="116" t="e">
        <f>$I162*(1-$S162)*$M162</f>
        <v>#VALUE!</v>
      </c>
      <c r="V162" s="116" t="e">
        <f>$I162*$S162*(1-$M162)</f>
        <v>#VALUE!</v>
      </c>
      <c r="W162" s="116" t="e">
        <f>$I162*(1-$S162)*(1-$M162)</f>
        <v>#VALUE!</v>
      </c>
      <c r="X162" s="3" t="str">
        <f>INDEX(DistFuncAllocOptions,ROW(A162)-ROW($A$92)+1,[4]Inputs!$S$11)</f>
        <v>PLNT</v>
      </c>
      <c r="Y162" s="116" t="e">
        <f t="shared" si="52"/>
        <v>#VALUE!</v>
      </c>
      <c r="Z162" s="116" t="e">
        <f t="shared" si="52"/>
        <v>#VALUE!</v>
      </c>
      <c r="AA162" s="116" t="e">
        <f t="shared" si="52"/>
        <v>#VALUE!</v>
      </c>
      <c r="AB162" s="116" t="e">
        <f t="shared" si="52"/>
        <v>#VALUE!</v>
      </c>
      <c r="AC162" s="116" t="e">
        <f t="shared" si="52"/>
        <v>#VALUE!</v>
      </c>
      <c r="AD162" s="117" t="e">
        <f>ROUND(SUM(-G162,H162:L162),0)</f>
        <v>#VALUE!</v>
      </c>
      <c r="AE162" s="117" t="e">
        <f>ROUND(H162-O162-P162-Q162-R162,0)</f>
        <v>#VALUE!</v>
      </c>
      <c r="AF162" s="117" t="e">
        <f>ROUND(I162-T162-U162-V162-W162,0)</f>
        <v>#VALUE!</v>
      </c>
      <c r="AG162" s="117" t="e">
        <f>ROUND(J162-Y162-Z162-AA162-AC162-AB162,0)</f>
        <v>#VALUE!</v>
      </c>
      <c r="AH162" s="116"/>
      <c r="AI162">
        <f t="shared" si="49"/>
        <v>454</v>
      </c>
      <c r="AJ162" t="str">
        <f t="shared" si="50"/>
        <v>SG</v>
      </c>
      <c r="AK162" t="str">
        <f>IF(ISERROR(MATCH(AI162&amp;"."&amp;AJ162,AK$91:AK161,0)),AI162&amp;"."&amp;AJ162,AI162&amp;"."&amp;AJ162&amp;COUNTIFS(AI$91:AI161,AI162,AJ$91:AJ161,AJ162))</f>
        <v>454.SG1</v>
      </c>
    </row>
    <row r="163" spans="1:37" ht="15" hidden="1">
      <c r="A163" s="120">
        <f>ROW()</f>
        <v>163</v>
      </c>
      <c r="B163" s="120"/>
      <c r="C163" s="1"/>
      <c r="E163" s="121" t="s">
        <v>136</v>
      </c>
      <c r="F163" s="138" t="str">
        <f>INDEX(FuncAllocOptions,ROW(A163)-ROW($A$92)+1,[4]Inputs!$S$11)</f>
        <v>GP</v>
      </c>
      <c r="G163" s="133" t="e">
        <f>SUMIF(FERCJAMFactor,AK163,JAMValue)</f>
        <v>#VALUE!</v>
      </c>
      <c r="H163" s="139" t="e">
        <f t="shared" si="51"/>
        <v>#VALUE!</v>
      </c>
      <c r="I163" s="139" t="e">
        <f t="shared" si="51"/>
        <v>#VALUE!</v>
      </c>
      <c r="J163" s="139" t="e">
        <f t="shared" si="51"/>
        <v>#VALUE!</v>
      </c>
      <c r="K163" s="139" t="e">
        <f t="shared" si="51"/>
        <v>#VALUE!</v>
      </c>
      <c r="L163" s="139" t="e">
        <f t="shared" si="51"/>
        <v>#VALUE!</v>
      </c>
      <c r="N163" s="108">
        <v>0.75</v>
      </c>
      <c r="O163" s="116" t="e">
        <f>$H163*$N163*$M163</f>
        <v>#VALUE!</v>
      </c>
      <c r="P163" s="116" t="e">
        <f>$H163*(1-$N163)*$M163</f>
        <v>#VALUE!</v>
      </c>
      <c r="Q163" s="116" t="e">
        <f>$H163*$N163*(1-$M163)</f>
        <v>#VALUE!</v>
      </c>
      <c r="R163" s="116" t="e">
        <f>$H163*(1-$N163)*(1-$M163)</f>
        <v>#VALUE!</v>
      </c>
      <c r="S163" s="108">
        <v>0.75</v>
      </c>
      <c r="T163" s="116" t="e">
        <f>$I163*$S163*$M163</f>
        <v>#VALUE!</v>
      </c>
      <c r="U163" s="116" t="e">
        <f>$I163*(1-$S163)*$M163</f>
        <v>#VALUE!</v>
      </c>
      <c r="V163" s="116" t="e">
        <f>$I163*$S163*(1-$M163)</f>
        <v>#VALUE!</v>
      </c>
      <c r="W163" s="116" t="e">
        <f>$I163*(1-$S163)*(1-$M163)</f>
        <v>#VALUE!</v>
      </c>
      <c r="X163" s="3" t="str">
        <f>INDEX(DistFuncAllocOptions,ROW(A163)-ROW($A$92)+1,[4]Inputs!$S$11)</f>
        <v>PLNT</v>
      </c>
      <c r="Y163" s="116" t="e">
        <f t="shared" si="52"/>
        <v>#VALUE!</v>
      </c>
      <c r="Z163" s="116" t="e">
        <f t="shared" si="52"/>
        <v>#VALUE!</v>
      </c>
      <c r="AA163" s="116" t="e">
        <f t="shared" si="52"/>
        <v>#VALUE!</v>
      </c>
      <c r="AB163" s="116" t="e">
        <f t="shared" si="52"/>
        <v>#VALUE!</v>
      </c>
      <c r="AC163" s="116" t="e">
        <f t="shared" si="52"/>
        <v>#VALUE!</v>
      </c>
      <c r="AD163" s="117" t="e">
        <f>ROUND(SUM(-G163,H163:L163),0)</f>
        <v>#VALUE!</v>
      </c>
      <c r="AE163" s="117" t="e">
        <f>ROUND(H163-O163-P163-Q163-R163,0)</f>
        <v>#VALUE!</v>
      </c>
      <c r="AF163" s="117" t="e">
        <f>ROUND(I163-T163-U163-V163-W163,0)</f>
        <v>#VALUE!</v>
      </c>
      <c r="AG163" s="117" t="e">
        <f>ROUND(J163-Y163-Z163-AA163-AC163-AB163,0)</f>
        <v>#VALUE!</v>
      </c>
      <c r="AH163" s="116"/>
      <c r="AI163">
        <f t="shared" si="49"/>
        <v>454</v>
      </c>
      <c r="AJ163" t="str">
        <f t="shared" si="50"/>
        <v>SO</v>
      </c>
      <c r="AK163" t="str">
        <f>IF(ISERROR(MATCH(AI163&amp;"."&amp;AJ163,AK$91:AK162,0)),AI163&amp;"."&amp;AJ163,AI163&amp;"."&amp;AJ163&amp;COUNTIFS(AI$91:AI162,AI163,AJ$91:AJ162,AJ163))</f>
        <v>454.SO</v>
      </c>
    </row>
    <row r="164" spans="1:37" ht="15" hidden="1">
      <c r="A164" s="120">
        <f>ROW()</f>
        <v>164</v>
      </c>
      <c r="B164" s="120"/>
      <c r="C164" s="1"/>
      <c r="E164" s="121"/>
      <c r="F164" s="138"/>
      <c r="G164" s="117" t="e">
        <f t="shared" ref="G164:L164" si="53">SUM(G160:G163)</f>
        <v>#VALUE!</v>
      </c>
      <c r="H164" s="116" t="e">
        <f t="shared" si="53"/>
        <v>#VALUE!</v>
      </c>
      <c r="I164" s="116" t="e">
        <f t="shared" si="53"/>
        <v>#VALUE!</v>
      </c>
      <c r="J164" s="116" t="e">
        <f t="shared" si="53"/>
        <v>#VALUE!</v>
      </c>
      <c r="K164" s="116" t="e">
        <f t="shared" si="53"/>
        <v>#VALUE!</v>
      </c>
      <c r="L164" s="116" t="e">
        <f t="shared" si="53"/>
        <v>#VALUE!</v>
      </c>
      <c r="O164" s="116" t="e">
        <f>SUM(O160:O163)</f>
        <v>#VALUE!</v>
      </c>
      <c r="P164" s="116" t="e">
        <f>SUM(P160:P163)</f>
        <v>#VALUE!</v>
      </c>
      <c r="Q164" s="116" t="e">
        <f>SUM(Q160:Q163)</f>
        <v>#VALUE!</v>
      </c>
      <c r="R164" s="116" t="e">
        <f>SUM(R160:R163)</f>
        <v>#VALUE!</v>
      </c>
      <c r="T164" s="116" t="e">
        <f>SUM(T160:T163)</f>
        <v>#VALUE!</v>
      </c>
      <c r="U164" s="116" t="e">
        <f>SUM(U160:U163)</f>
        <v>#VALUE!</v>
      </c>
      <c r="V164" s="116" t="e">
        <f>SUM(V160:V163)</f>
        <v>#VALUE!</v>
      </c>
      <c r="W164" s="116" t="e">
        <f>SUM(W160:W163)</f>
        <v>#VALUE!</v>
      </c>
      <c r="X164" s="3"/>
      <c r="Y164" s="116" t="e">
        <f>SUM(Y160:Y163)</f>
        <v>#VALUE!</v>
      </c>
      <c r="Z164" s="116" t="e">
        <f>SUM(Z160:Z163)</f>
        <v>#VALUE!</v>
      </c>
      <c r="AA164" s="116" t="e">
        <f>SUM(AA160:AA163)</f>
        <v>#VALUE!</v>
      </c>
      <c r="AB164" s="116" t="e">
        <f>SUM(AB160:AB163)</f>
        <v>#VALUE!</v>
      </c>
      <c r="AC164" s="116" t="e">
        <f>SUM(AC160:AC163)</f>
        <v>#VALUE!</v>
      </c>
      <c r="AD164" s="117" t="e">
        <f>ROUND(SUM(-G164,H164:L164),0)</f>
        <v>#VALUE!</v>
      </c>
      <c r="AE164" s="117" t="e">
        <f>ROUND(H164-O164-P164-Q164-R164,0)</f>
        <v>#VALUE!</v>
      </c>
      <c r="AF164" s="117" t="e">
        <f>ROUND(I164-T164-U164-V164-W164,0)</f>
        <v>#VALUE!</v>
      </c>
      <c r="AG164" s="117" t="e">
        <f>ROUND(J164-Y164-Z164-AA164-AC164-AB164,0)</f>
        <v>#VALUE!</v>
      </c>
      <c r="AH164" s="116"/>
      <c r="AI164">
        <f t="shared" si="49"/>
        <v>454</v>
      </c>
      <c r="AJ164" t="str">
        <f t="shared" si="50"/>
        <v>NA</v>
      </c>
      <c r="AK164" t="str">
        <f>IF(ISERROR(MATCH(AI164&amp;"."&amp;AJ164,AK$91:AK163,0)),AI164&amp;"."&amp;AJ164,AI164&amp;"."&amp;AJ164&amp;COUNTIFS(AI$91:AI163,AI164,AJ$91:AJ163,AJ164))</f>
        <v>454.NA1</v>
      </c>
    </row>
    <row r="165" spans="1:37" ht="15" hidden="1">
      <c r="A165" s="120">
        <f>ROW()</f>
        <v>165</v>
      </c>
      <c r="B165" s="120"/>
      <c r="C165" s="1"/>
      <c r="E165" s="121"/>
      <c r="F165" s="138"/>
      <c r="G165" s="119"/>
      <c r="X165" s="3"/>
      <c r="AD165" s="119"/>
      <c r="AE165" s="119"/>
      <c r="AF165" s="119"/>
      <c r="AG165" s="119"/>
      <c r="AI165">
        <f t="shared" si="49"/>
        <v>454</v>
      </c>
      <c r="AJ165" t="str">
        <f t="shared" si="50"/>
        <v>NA</v>
      </c>
      <c r="AK165" t="str">
        <f>IF(ISERROR(MATCH(AI165&amp;"."&amp;AJ165,AK$91:AK164,0)),AI165&amp;"."&amp;AJ165,AI165&amp;"."&amp;AJ165&amp;COUNTIFS(AI$91:AI164,AI165,AJ$91:AJ164,AJ165))</f>
        <v>454.NA2</v>
      </c>
    </row>
    <row r="166" spans="1:37" ht="15" hidden="1">
      <c r="A166" s="120">
        <f>ROW()</f>
        <v>166</v>
      </c>
      <c r="B166" s="120"/>
      <c r="C166" s="1">
        <v>456</v>
      </c>
      <c r="D166" s="2" t="s">
        <v>153</v>
      </c>
      <c r="E166" s="121"/>
      <c r="F166" s="138"/>
      <c r="G166" s="119"/>
      <c r="X166" s="3"/>
      <c r="AD166" s="119"/>
      <c r="AE166" s="119"/>
      <c r="AF166" s="119"/>
      <c r="AG166" s="119"/>
      <c r="AI166">
        <f t="shared" si="49"/>
        <v>456</v>
      </c>
      <c r="AJ166" t="str">
        <f t="shared" si="50"/>
        <v>NA</v>
      </c>
      <c r="AK166" t="str">
        <f>IF(ISERROR(MATCH(AI166&amp;"."&amp;AJ166,AK$91:AK165,0)),AI166&amp;"."&amp;AJ166,AI166&amp;"."&amp;AJ166&amp;COUNTIFS(AI$91:AI165,AI166,AJ$91:AJ165,AJ166))</f>
        <v>456.NA</v>
      </c>
    </row>
    <row r="167" spans="1:37" ht="15" hidden="1">
      <c r="A167" s="120">
        <f>ROW()</f>
        <v>167</v>
      </c>
      <c r="B167" s="120"/>
      <c r="C167" s="1"/>
      <c r="E167" s="121" t="s">
        <v>12</v>
      </c>
      <c r="F167" s="138" t="str">
        <f>INDEX(FuncAllocOptions,ROW(A167)-ROW($A$92)+1,[4]Inputs!$S$11)</f>
        <v>DMSC</v>
      </c>
      <c r="G167" s="117" t="e">
        <f>SUMIF(FERCJAMFactor,AK167,JAMValue)</f>
        <v>#VALUE!</v>
      </c>
      <c r="H167" s="116" t="e">
        <f t="shared" ref="H167:L171" si="54">INDEX(FuncFactorTbl,MATCH($F167,FuncFactors,0),MATCH(H$8,Functions,0))*$G167</f>
        <v>#VALUE!</v>
      </c>
      <c r="I167" s="116" t="e">
        <f t="shared" si="54"/>
        <v>#VALUE!</v>
      </c>
      <c r="J167" s="116" t="e">
        <f t="shared" si="54"/>
        <v>#VALUE!</v>
      </c>
      <c r="K167" s="116" t="e">
        <f t="shared" si="54"/>
        <v>#VALUE!</v>
      </c>
      <c r="L167" s="116" t="e">
        <f t="shared" si="54"/>
        <v>#VALUE!</v>
      </c>
      <c r="N167" s="108">
        <v>0.75</v>
      </c>
      <c r="O167" s="116" t="e">
        <f>$H167*$N167*$M167</f>
        <v>#VALUE!</v>
      </c>
      <c r="P167" s="116" t="e">
        <f>$H167*(1-$N167)*$M167</f>
        <v>#VALUE!</v>
      </c>
      <c r="Q167" s="116" t="e">
        <f>$H167*$N167*(1-$M167)</f>
        <v>#VALUE!</v>
      </c>
      <c r="R167" s="116" t="e">
        <f>$H167*(1-$N167)*(1-$M167)</f>
        <v>#VALUE!</v>
      </c>
      <c r="S167" s="108">
        <v>0.75</v>
      </c>
      <c r="T167" s="116" t="e">
        <f>$I167*$S167*$M167</f>
        <v>#VALUE!</v>
      </c>
      <c r="U167" s="116" t="e">
        <f>$I167*(1-$S167)*$M167</f>
        <v>#VALUE!</v>
      </c>
      <c r="V167" s="116" t="e">
        <f>$I167*$S167*(1-$M167)</f>
        <v>#VALUE!</v>
      </c>
      <c r="W167" s="116" t="e">
        <f>$I167*(1-$S167)*(1-$M167)</f>
        <v>#VALUE!</v>
      </c>
      <c r="X167" s="3" t="str">
        <f>INDEX(DistFuncAllocOptions,ROW(A167)-ROW($A$92)+1,[4]Inputs!$S$11)</f>
        <v>PLNT</v>
      </c>
      <c r="Y167" s="116" t="e">
        <f t="shared" ref="Y167:AC171" si="55">INDEX(DistFuncFactorTbl,MATCH($X167,DistFuncFactors,0),MATCH(Y$91,DistFunctions,0))*$J167</f>
        <v>#VALUE!</v>
      </c>
      <c r="Z167" s="116" t="e">
        <f t="shared" si="55"/>
        <v>#VALUE!</v>
      </c>
      <c r="AA167" s="116" t="e">
        <f t="shared" si="55"/>
        <v>#VALUE!</v>
      </c>
      <c r="AB167" s="116" t="e">
        <f t="shared" si="55"/>
        <v>#VALUE!</v>
      </c>
      <c r="AC167" s="116" t="e">
        <f t="shared" si="55"/>
        <v>#VALUE!</v>
      </c>
      <c r="AD167" s="117" t="e">
        <f t="shared" ref="AD167:AD172" si="56">ROUND(SUM(-G167,H167:L167),0)</f>
        <v>#VALUE!</v>
      </c>
      <c r="AE167" s="117" t="e">
        <f t="shared" ref="AE167:AE172" si="57">ROUND(H167-O167-P167-Q167-R167,0)</f>
        <v>#VALUE!</v>
      </c>
      <c r="AF167" s="117" t="e">
        <f t="shared" ref="AF167:AF172" si="58">ROUND(I167-T167-U167-V167-W167,0)</f>
        <v>#VALUE!</v>
      </c>
      <c r="AG167" s="117" t="e">
        <f t="shared" ref="AG167:AG172" si="59">ROUND(J167-Y167-Z167-AA167-AC167-AB167,0)</f>
        <v>#VALUE!</v>
      </c>
      <c r="AH167" s="116"/>
      <c r="AI167">
        <f t="shared" si="49"/>
        <v>456</v>
      </c>
      <c r="AJ167" t="str">
        <f t="shared" si="50"/>
        <v>S</v>
      </c>
      <c r="AK167" t="str">
        <f>IF(ISERROR(MATCH(AI167&amp;"."&amp;AJ167,AK$91:AK166,0)),AI167&amp;"."&amp;AJ167,AI167&amp;"."&amp;AJ167&amp;COUNTIFS(AI$91:AI166,AI167,AJ$91:AJ166,AJ167))</f>
        <v>456.S</v>
      </c>
    </row>
    <row r="168" spans="1:37" ht="15" hidden="1">
      <c r="A168" s="120">
        <f>ROW()</f>
        <v>168</v>
      </c>
      <c r="B168" s="120"/>
      <c r="C168" s="1"/>
      <c r="E168" s="121" t="s">
        <v>155</v>
      </c>
      <c r="F168" s="138" t="str">
        <f>INDEX(FuncAllocOptions,ROW(A168)-ROW($A$92)+1,[4]Inputs!$S$11)</f>
        <v>CUST</v>
      </c>
      <c r="G168" s="117" t="e">
        <f>SUMIF(FERCJAMFactor,AK168,JAMValue)</f>
        <v>#VALUE!</v>
      </c>
      <c r="H168" s="116" t="e">
        <f t="shared" si="54"/>
        <v>#VALUE!</v>
      </c>
      <c r="I168" s="116" t="e">
        <f t="shared" si="54"/>
        <v>#VALUE!</v>
      </c>
      <c r="J168" s="116" t="e">
        <f t="shared" si="54"/>
        <v>#VALUE!</v>
      </c>
      <c r="K168" s="116" t="e">
        <f t="shared" si="54"/>
        <v>#VALUE!</v>
      </c>
      <c r="L168" s="116" t="e">
        <f t="shared" si="54"/>
        <v>#VALUE!</v>
      </c>
      <c r="N168" s="108">
        <v>0.75</v>
      </c>
      <c r="O168" s="116" t="e">
        <f>$H168*$N168*$M168</f>
        <v>#VALUE!</v>
      </c>
      <c r="P168" s="116" t="e">
        <f>$H168*(1-$N168)*$M168</f>
        <v>#VALUE!</v>
      </c>
      <c r="Q168" s="116" t="e">
        <f>$H168*$N168*(1-$M168)</f>
        <v>#VALUE!</v>
      </c>
      <c r="R168" s="116" t="e">
        <f>$H168*(1-$N168)*(1-$M168)</f>
        <v>#VALUE!</v>
      </c>
      <c r="S168" s="108">
        <v>0.75</v>
      </c>
      <c r="T168" s="116" t="e">
        <f>$I168*$S168*$M168</f>
        <v>#VALUE!</v>
      </c>
      <c r="U168" s="116" t="e">
        <f>$I168*(1-$S168)*$M168</f>
        <v>#VALUE!</v>
      </c>
      <c r="V168" s="116" t="e">
        <f>$I168*$S168*(1-$M168)</f>
        <v>#VALUE!</v>
      </c>
      <c r="W168" s="116" t="e">
        <f>$I168*(1-$S168)*(1-$M168)</f>
        <v>#VALUE!</v>
      </c>
      <c r="X168" s="3" t="str">
        <f>INDEX(DistFuncAllocOptions,ROW(A168)-ROW($A$92)+1,[4]Inputs!$S$11)</f>
        <v>CUST</v>
      </c>
      <c r="Y168" s="116" t="e">
        <f t="shared" si="55"/>
        <v>#VALUE!</v>
      </c>
      <c r="Z168" s="116" t="e">
        <f t="shared" si="55"/>
        <v>#VALUE!</v>
      </c>
      <c r="AA168" s="116" t="e">
        <f t="shared" si="55"/>
        <v>#VALUE!</v>
      </c>
      <c r="AB168" s="116" t="e">
        <f t="shared" si="55"/>
        <v>#VALUE!</v>
      </c>
      <c r="AC168" s="116" t="e">
        <f t="shared" si="55"/>
        <v>#VALUE!</v>
      </c>
      <c r="AD168" s="117" t="e">
        <f t="shared" si="56"/>
        <v>#VALUE!</v>
      </c>
      <c r="AE168" s="117" t="e">
        <f t="shared" si="57"/>
        <v>#VALUE!</v>
      </c>
      <c r="AF168" s="117" t="e">
        <f t="shared" si="58"/>
        <v>#VALUE!</v>
      </c>
      <c r="AG168" s="117" t="e">
        <f t="shared" si="59"/>
        <v>#VALUE!</v>
      </c>
      <c r="AH168" s="116"/>
      <c r="AI168">
        <f t="shared" si="49"/>
        <v>456</v>
      </c>
      <c r="AJ168" t="str">
        <f t="shared" si="50"/>
        <v>CN</v>
      </c>
      <c r="AK168" t="str">
        <f>IF(ISERROR(MATCH(AI168&amp;"."&amp;AJ168,AK$91:AK167,0)),AI168&amp;"."&amp;AJ168,AI168&amp;"."&amp;AJ168&amp;COUNTIFS(AI$91:AI167,AI168,AJ$91:AJ167,AJ168))</f>
        <v>456.CN</v>
      </c>
    </row>
    <row r="169" spans="1:37" ht="15" hidden="1">
      <c r="A169" s="120">
        <f>ROW()</f>
        <v>169</v>
      </c>
      <c r="B169" s="120"/>
      <c r="C169" s="1"/>
      <c r="E169" s="121" t="s">
        <v>16</v>
      </c>
      <c r="F169" s="138" t="str">
        <f>INDEX(FuncAllocOptions,ROW(A169)-ROW($A$92)+1,[4]Inputs!$S$11)</f>
        <v>OTHSE</v>
      </c>
      <c r="G169" s="117" t="e">
        <f>SUMIF(FERCJAMFactor,AK169,JAMValue)</f>
        <v>#VALUE!</v>
      </c>
      <c r="H169" s="116" t="e">
        <f t="shared" si="54"/>
        <v>#VALUE!</v>
      </c>
      <c r="I169" s="116" t="e">
        <f t="shared" si="54"/>
        <v>#VALUE!</v>
      </c>
      <c r="J169" s="116" t="e">
        <f t="shared" si="54"/>
        <v>#VALUE!</v>
      </c>
      <c r="K169" s="116" t="e">
        <f t="shared" si="54"/>
        <v>#VALUE!</v>
      </c>
      <c r="L169" s="116" t="e">
        <f t="shared" si="54"/>
        <v>#VALUE!</v>
      </c>
      <c r="M169" s="164">
        <v>1</v>
      </c>
      <c r="N169" s="108">
        <v>0</v>
      </c>
      <c r="O169" s="116" t="e">
        <f>$H169*$N169*$M169</f>
        <v>#VALUE!</v>
      </c>
      <c r="P169" s="116" t="e">
        <f>$H169*(1-$N169)*$M169</f>
        <v>#VALUE!</v>
      </c>
      <c r="Q169" s="116" t="e">
        <f>$H169*$N169*(1-$M169)</f>
        <v>#VALUE!</v>
      </c>
      <c r="R169" s="116" t="e">
        <f>$H169*(1-$N169)*(1-$M169)</f>
        <v>#VALUE!</v>
      </c>
      <c r="S169" s="108">
        <v>0</v>
      </c>
      <c r="T169" s="116" t="e">
        <f>$I169*$S169*$M169</f>
        <v>#VALUE!</v>
      </c>
      <c r="U169" s="116" t="e">
        <f>$I169*(1-$S169)*$M169</f>
        <v>#VALUE!</v>
      </c>
      <c r="V169" s="116" t="e">
        <f>$I169*$S169*(1-$M169)</f>
        <v>#VALUE!</v>
      </c>
      <c r="W169" s="116" t="e">
        <f>$I169*(1-$S169)*(1-$M169)</f>
        <v>#VALUE!</v>
      </c>
      <c r="X169" s="3" t="str">
        <f>INDEX(DistFuncAllocOptions,ROW(A169)-ROW($A$92)+1,[4]Inputs!$S$11)</f>
        <v>PLNT</v>
      </c>
      <c r="Y169" s="116" t="e">
        <f t="shared" si="55"/>
        <v>#VALUE!</v>
      </c>
      <c r="Z169" s="116" t="e">
        <f t="shared" si="55"/>
        <v>#VALUE!</v>
      </c>
      <c r="AA169" s="116" t="e">
        <f t="shared" si="55"/>
        <v>#VALUE!</v>
      </c>
      <c r="AB169" s="116" t="e">
        <f t="shared" si="55"/>
        <v>#VALUE!</v>
      </c>
      <c r="AC169" s="116" t="e">
        <f t="shared" si="55"/>
        <v>#VALUE!</v>
      </c>
      <c r="AD169" s="117" t="e">
        <f t="shared" si="56"/>
        <v>#VALUE!</v>
      </c>
      <c r="AE169" s="117" t="e">
        <f t="shared" si="57"/>
        <v>#VALUE!</v>
      </c>
      <c r="AF169" s="117" t="e">
        <f t="shared" si="58"/>
        <v>#VALUE!</v>
      </c>
      <c r="AG169" s="117" t="e">
        <f t="shared" si="59"/>
        <v>#VALUE!</v>
      </c>
      <c r="AH169" s="116"/>
      <c r="AI169">
        <f t="shared" si="49"/>
        <v>456</v>
      </c>
      <c r="AJ169" t="str">
        <f t="shared" si="50"/>
        <v>SE</v>
      </c>
      <c r="AK169" t="str">
        <f>IF(ISERROR(MATCH(AI169&amp;"."&amp;AJ169,AK$91:AK168,0)),AI169&amp;"."&amp;AJ169,AI169&amp;"."&amp;AJ169&amp;COUNTIFS(AI$91:AI168,AI169,AJ$91:AJ168,AJ169))</f>
        <v>456.SE</v>
      </c>
    </row>
    <row r="170" spans="1:37" ht="15" hidden="1">
      <c r="A170" s="120">
        <f>ROW()</f>
        <v>170</v>
      </c>
      <c r="B170" s="120"/>
      <c r="C170" s="1"/>
      <c r="E170" s="121" t="s">
        <v>136</v>
      </c>
      <c r="F170" s="138" t="str">
        <f>INDEX(FuncAllocOptions,ROW(A170)-ROW($A$92)+1,[4]Inputs!$S$11)</f>
        <v>OTHSO</v>
      </c>
      <c r="G170" s="117" t="e">
        <f>SUMIF(FERCJAMFactor,AK170,JAMValue)</f>
        <v>#VALUE!</v>
      </c>
      <c r="H170" s="116" t="e">
        <f t="shared" si="54"/>
        <v>#VALUE!</v>
      </c>
      <c r="I170" s="116" t="e">
        <f t="shared" si="54"/>
        <v>#VALUE!</v>
      </c>
      <c r="J170" s="116" t="e">
        <f t="shared" si="54"/>
        <v>#VALUE!</v>
      </c>
      <c r="K170" s="116" t="e">
        <f t="shared" si="54"/>
        <v>#VALUE!</v>
      </c>
      <c r="L170" s="116" t="e">
        <f t="shared" si="54"/>
        <v>#VALUE!</v>
      </c>
      <c r="N170" s="108">
        <v>0.75</v>
      </c>
      <c r="O170" s="116" t="e">
        <f>$H170*$N170*$M170</f>
        <v>#VALUE!</v>
      </c>
      <c r="P170" s="116" t="e">
        <f>$H170*(1-$N170)*$M170</f>
        <v>#VALUE!</v>
      </c>
      <c r="Q170" s="116" t="e">
        <f>$H170*$N170*(1-$M170)</f>
        <v>#VALUE!</v>
      </c>
      <c r="R170" s="116" t="e">
        <f>$H170*(1-$N170)*(1-$M170)</f>
        <v>#VALUE!</v>
      </c>
      <c r="S170" s="108">
        <v>0.75</v>
      </c>
      <c r="T170" s="116" t="e">
        <f>$I170*$S170*$M170</f>
        <v>#VALUE!</v>
      </c>
      <c r="U170" s="116" t="e">
        <f>$I170*(1-$S170)*$M170</f>
        <v>#VALUE!</v>
      </c>
      <c r="V170" s="116" t="e">
        <f>$I170*$S170*(1-$M170)</f>
        <v>#VALUE!</v>
      </c>
      <c r="W170" s="116" t="e">
        <f>$I170*(1-$S170)*(1-$M170)</f>
        <v>#VALUE!</v>
      </c>
      <c r="X170" s="3" t="str">
        <f>INDEX(DistFuncAllocOptions,ROW(A170)-ROW($A$92)+1,[4]Inputs!$S$11)</f>
        <v>PLNT</v>
      </c>
      <c r="Y170" s="116" t="e">
        <f t="shared" si="55"/>
        <v>#VALUE!</v>
      </c>
      <c r="Z170" s="116" t="e">
        <f t="shared" si="55"/>
        <v>#VALUE!</v>
      </c>
      <c r="AA170" s="116" t="e">
        <f t="shared" si="55"/>
        <v>#VALUE!</v>
      </c>
      <c r="AB170" s="116" t="e">
        <f t="shared" si="55"/>
        <v>#VALUE!</v>
      </c>
      <c r="AC170" s="116" t="e">
        <f t="shared" si="55"/>
        <v>#VALUE!</v>
      </c>
      <c r="AD170" s="117" t="e">
        <f t="shared" si="56"/>
        <v>#VALUE!</v>
      </c>
      <c r="AE170" s="117" t="e">
        <f t="shared" si="57"/>
        <v>#VALUE!</v>
      </c>
      <c r="AF170" s="117" t="e">
        <f t="shared" si="58"/>
        <v>#VALUE!</v>
      </c>
      <c r="AG170" s="117" t="e">
        <f t="shared" si="59"/>
        <v>#VALUE!</v>
      </c>
      <c r="AH170" s="116"/>
      <c r="AI170">
        <f t="shared" si="49"/>
        <v>456</v>
      </c>
      <c r="AJ170" t="str">
        <f t="shared" si="50"/>
        <v>SO</v>
      </c>
      <c r="AK170" t="str">
        <f>IF(ISERROR(MATCH(AI170&amp;"."&amp;AJ170,AK$91:AK169,0)),AI170&amp;"."&amp;AJ170,AI170&amp;"."&amp;AJ170&amp;COUNTIFS(AI$91:AI169,AI170,AJ$91:AJ169,AJ170))</f>
        <v>456.SO</v>
      </c>
    </row>
    <row r="171" spans="1:37" ht="15" hidden="1">
      <c r="A171" s="120">
        <f>ROW()</f>
        <v>171</v>
      </c>
      <c r="B171" s="120"/>
      <c r="C171" s="1"/>
      <c r="E171" s="121" t="s">
        <v>15</v>
      </c>
      <c r="F171" s="138" t="str">
        <f>INDEX(FuncAllocOptions,ROW(A171)-ROW($A$92)+1,[4]Inputs!$S$11)</f>
        <v>OTHSGR</v>
      </c>
      <c r="G171" s="133" t="e">
        <f>SUMIF(FERCJAMFactor,AK171,JAMValue)</f>
        <v>#VALUE!</v>
      </c>
      <c r="H171" s="139" t="e">
        <f t="shared" si="54"/>
        <v>#VALUE!</v>
      </c>
      <c r="I171" s="139" t="e">
        <f t="shared" si="54"/>
        <v>#VALUE!</v>
      </c>
      <c r="J171" s="139" t="e">
        <f t="shared" si="54"/>
        <v>#VALUE!</v>
      </c>
      <c r="K171" s="139" t="e">
        <f t="shared" si="54"/>
        <v>#VALUE!</v>
      </c>
      <c r="L171" s="139" t="e">
        <f t="shared" si="54"/>
        <v>#VALUE!</v>
      </c>
      <c r="M171" s="164">
        <v>0.74552318009410146</v>
      </c>
      <c r="N171" s="108">
        <v>0.75</v>
      </c>
      <c r="O171" s="116" t="e">
        <f>$H171*$N171*$M171</f>
        <v>#VALUE!</v>
      </c>
      <c r="P171" s="116" t="e">
        <f>$H171*(1-$N171)*$M171</f>
        <v>#VALUE!</v>
      </c>
      <c r="Q171" s="116" t="e">
        <f>$H171*$N171*(1-$M171)</f>
        <v>#VALUE!</v>
      </c>
      <c r="R171" s="116" t="e">
        <f>$H171*(1-$N171)*(1-$M171)</f>
        <v>#VALUE!</v>
      </c>
      <c r="S171" s="108">
        <v>0.75</v>
      </c>
      <c r="T171" s="116" t="e">
        <f>$I171*$S171*$M171</f>
        <v>#VALUE!</v>
      </c>
      <c r="U171" s="116" t="e">
        <f>$I171*(1-$S171)*$M171</f>
        <v>#VALUE!</v>
      </c>
      <c r="V171" s="116" t="e">
        <f>$I171*$S171*(1-$M171)</f>
        <v>#VALUE!</v>
      </c>
      <c r="W171" s="116" t="e">
        <f>$I171*(1-$S171)*(1-$M171)</f>
        <v>#VALUE!</v>
      </c>
      <c r="X171" s="3" t="str">
        <f>INDEX(DistFuncAllocOptions,ROW(A171)-ROW($A$92)+1,[4]Inputs!$S$11)</f>
        <v>PLNT</v>
      </c>
      <c r="Y171" s="116" t="e">
        <f t="shared" si="55"/>
        <v>#VALUE!</v>
      </c>
      <c r="Z171" s="116" t="e">
        <f t="shared" si="55"/>
        <v>#VALUE!</v>
      </c>
      <c r="AA171" s="116" t="e">
        <f t="shared" si="55"/>
        <v>#VALUE!</v>
      </c>
      <c r="AB171" s="116" t="e">
        <f t="shared" si="55"/>
        <v>#VALUE!</v>
      </c>
      <c r="AC171" s="116" t="e">
        <f t="shared" si="55"/>
        <v>#VALUE!</v>
      </c>
      <c r="AD171" s="117" t="e">
        <f t="shared" si="56"/>
        <v>#VALUE!</v>
      </c>
      <c r="AE171" s="117" t="e">
        <f t="shared" si="57"/>
        <v>#VALUE!</v>
      </c>
      <c r="AF171" s="117" t="e">
        <f t="shared" si="58"/>
        <v>#VALUE!</v>
      </c>
      <c r="AG171" s="117" t="e">
        <f t="shared" si="59"/>
        <v>#VALUE!</v>
      </c>
      <c r="AH171" s="116"/>
      <c r="AI171">
        <f t="shared" si="49"/>
        <v>456</v>
      </c>
      <c r="AJ171" t="str">
        <f t="shared" si="50"/>
        <v>SG</v>
      </c>
      <c r="AK171" t="str">
        <f>IF(ISERROR(MATCH(AI171&amp;"."&amp;AJ171,AK$91:AK170,0)),AI171&amp;"."&amp;AJ171,AI171&amp;"."&amp;AJ171&amp;COUNTIFS(AI$91:AI170,AI171,AJ$91:AJ170,AJ171))</f>
        <v>456.SG</v>
      </c>
    </row>
    <row r="172" spans="1:37" ht="15" hidden="1">
      <c r="A172" s="120">
        <f>ROW()</f>
        <v>172</v>
      </c>
      <c r="B172" s="120"/>
      <c r="C172" s="1"/>
      <c r="E172" s="121"/>
      <c r="F172" s="138"/>
      <c r="G172" s="117" t="e">
        <f t="shared" ref="G172:L172" si="60">SUM(G167:G171)</f>
        <v>#VALUE!</v>
      </c>
      <c r="H172" s="116" t="e">
        <f t="shared" si="60"/>
        <v>#VALUE!</v>
      </c>
      <c r="I172" s="116" t="e">
        <f t="shared" si="60"/>
        <v>#VALUE!</v>
      </c>
      <c r="J172" s="116" t="e">
        <f t="shared" si="60"/>
        <v>#VALUE!</v>
      </c>
      <c r="K172" s="116" t="e">
        <f t="shared" si="60"/>
        <v>#VALUE!</v>
      </c>
      <c r="L172" s="116" t="e">
        <f t="shared" si="60"/>
        <v>#VALUE!</v>
      </c>
      <c r="O172" s="116" t="e">
        <f>SUM(O167:O171)</f>
        <v>#VALUE!</v>
      </c>
      <c r="P172" s="116" t="e">
        <f>SUM(P167:P171)</f>
        <v>#VALUE!</v>
      </c>
      <c r="Q172" s="116" t="e">
        <f>SUM(Q167:Q171)</f>
        <v>#VALUE!</v>
      </c>
      <c r="R172" s="116" t="e">
        <f>SUM(R167:R171)</f>
        <v>#VALUE!</v>
      </c>
      <c r="T172" s="116" t="e">
        <f>SUM(T167:T171)</f>
        <v>#VALUE!</v>
      </c>
      <c r="U172" s="116" t="e">
        <f>SUM(U167:U171)</f>
        <v>#VALUE!</v>
      </c>
      <c r="V172" s="116" t="e">
        <f>SUM(V167:V171)</f>
        <v>#VALUE!</v>
      </c>
      <c r="W172" s="116" t="e">
        <f>SUM(W167:W171)</f>
        <v>#VALUE!</v>
      </c>
      <c r="X172" s="3"/>
      <c r="Y172" s="116" t="e">
        <f>SUM(Y167:Y171)</f>
        <v>#VALUE!</v>
      </c>
      <c r="Z172" s="116" t="e">
        <f>SUM(Z167:Z171)</f>
        <v>#VALUE!</v>
      </c>
      <c r="AA172" s="116" t="e">
        <f>SUM(AA167:AA171)</f>
        <v>#VALUE!</v>
      </c>
      <c r="AB172" s="116" t="e">
        <f>SUM(AB167:AB171)</f>
        <v>#VALUE!</v>
      </c>
      <c r="AC172" s="116" t="e">
        <f>SUM(AC167:AC171)</f>
        <v>#VALUE!</v>
      </c>
      <c r="AD172" s="117" t="e">
        <f t="shared" si="56"/>
        <v>#VALUE!</v>
      </c>
      <c r="AE172" s="117" t="e">
        <f t="shared" si="57"/>
        <v>#VALUE!</v>
      </c>
      <c r="AF172" s="117" t="e">
        <f t="shared" si="58"/>
        <v>#VALUE!</v>
      </c>
      <c r="AG172" s="117" t="e">
        <f t="shared" si="59"/>
        <v>#VALUE!</v>
      </c>
      <c r="AH172" s="116"/>
      <c r="AI172">
        <f t="shared" si="49"/>
        <v>456</v>
      </c>
      <c r="AJ172" t="str">
        <f t="shared" si="50"/>
        <v>NA</v>
      </c>
      <c r="AK172" t="str">
        <f>IF(ISERROR(MATCH(AI172&amp;"."&amp;AJ172,AK$91:AK171,0)),AI172&amp;"."&amp;AJ172,AI172&amp;"."&amp;AJ172&amp;COUNTIFS(AI$91:AI171,AI172,AJ$91:AJ171,AJ172))</f>
        <v>456.NA1</v>
      </c>
    </row>
    <row r="173" spans="1:37" ht="15" hidden="1">
      <c r="A173" s="120">
        <f>ROW()</f>
        <v>173</v>
      </c>
      <c r="B173" s="120"/>
      <c r="C173" s="1"/>
      <c r="E173" s="121"/>
      <c r="F173" s="138"/>
      <c r="G173" s="119"/>
      <c r="X173" s="3"/>
      <c r="AD173" s="119"/>
      <c r="AE173" s="119"/>
      <c r="AF173" s="119"/>
      <c r="AG173" s="119"/>
      <c r="AI173">
        <f t="shared" si="49"/>
        <v>456</v>
      </c>
      <c r="AJ173" t="str">
        <f t="shared" si="50"/>
        <v>NA</v>
      </c>
      <c r="AK173" t="str">
        <f>IF(ISERROR(MATCH(AI173&amp;"."&amp;AJ173,AK$91:AK172,0)),AI173&amp;"."&amp;AJ173,AI173&amp;"."&amp;AJ173&amp;COUNTIFS(AI$91:AI172,AI173,AJ$91:AJ172,AJ173))</f>
        <v>456.NA2</v>
      </c>
    </row>
    <row r="174" spans="1:37" ht="15" hidden="1">
      <c r="A174" s="120">
        <f>ROW()</f>
        <v>174</v>
      </c>
      <c r="B174" s="120"/>
      <c r="D174" s="2" t="s">
        <v>159</v>
      </c>
      <c r="E174" s="121"/>
      <c r="F174" s="138"/>
      <c r="G174" s="117" t="e">
        <f t="shared" ref="G174:L174" si="61">G147+G153+G157+G164+G172</f>
        <v>#VALUE!</v>
      </c>
      <c r="H174" s="116" t="e">
        <f t="shared" si="61"/>
        <v>#VALUE!</v>
      </c>
      <c r="I174" s="116" t="e">
        <f t="shared" si="61"/>
        <v>#VALUE!</v>
      </c>
      <c r="J174" s="116" t="e">
        <f t="shared" si="61"/>
        <v>#VALUE!</v>
      </c>
      <c r="K174" s="116" t="e">
        <f t="shared" si="61"/>
        <v>#VALUE!</v>
      </c>
      <c r="L174" s="116" t="e">
        <f t="shared" si="61"/>
        <v>#VALUE!</v>
      </c>
      <c r="O174" s="116" t="e">
        <f>O147+O153+O157+O164+O172</f>
        <v>#VALUE!</v>
      </c>
      <c r="P174" s="116" t="e">
        <f>P147+P153+P157+P164+P172</f>
        <v>#VALUE!</v>
      </c>
      <c r="Q174" s="116" t="e">
        <f>Q147+Q153+Q157+Q164+Q172</f>
        <v>#VALUE!</v>
      </c>
      <c r="R174" s="116" t="e">
        <f>R147+R153+R157+R164+R172</f>
        <v>#VALUE!</v>
      </c>
      <c r="S174" s="116"/>
      <c r="T174" s="116" t="e">
        <f>T147+T153+T157+T164+T172</f>
        <v>#VALUE!</v>
      </c>
      <c r="U174" s="116" t="e">
        <f>U147+U153+U157+U164+U172</f>
        <v>#VALUE!</v>
      </c>
      <c r="V174" s="116" t="e">
        <f>V147+V153+V157+V164+V172</f>
        <v>#VALUE!</v>
      </c>
      <c r="W174" s="116" t="e">
        <f>W147+W153+W157+W164+W172</f>
        <v>#VALUE!</v>
      </c>
      <c r="X174" s="3"/>
      <c r="Y174" s="116" t="e">
        <f>Y147+Y153+Y157+Y164+Y172</f>
        <v>#VALUE!</v>
      </c>
      <c r="Z174" s="116" t="e">
        <f>Z147+Z153+Z157+Z164+Z172</f>
        <v>#VALUE!</v>
      </c>
      <c r="AA174" s="116" t="e">
        <f>AA147+AA153+AA157+AA164+AA172</f>
        <v>#VALUE!</v>
      </c>
      <c r="AB174" s="116" t="e">
        <f>AB147+AB153+AB157+AB164+AB172</f>
        <v>#VALUE!</v>
      </c>
      <c r="AC174" s="116" t="e">
        <f>AC147+AC153+AC157+AC164+AC172</f>
        <v>#VALUE!</v>
      </c>
      <c r="AD174" s="117" t="e">
        <f>ROUND(SUM(-G174,H174:L174),0)</f>
        <v>#VALUE!</v>
      </c>
      <c r="AE174" s="117" t="e">
        <f>ROUND(H174-O174-P174-Q174-R174,0)</f>
        <v>#VALUE!</v>
      </c>
      <c r="AF174" s="117" t="e">
        <f>ROUND(I174-T174-U174-V174-W174,0)</f>
        <v>#VALUE!</v>
      </c>
      <c r="AG174" s="117" t="e">
        <f>ROUND(J174-Y174-Z174-AA174-AC174-AB174,0)</f>
        <v>#VALUE!</v>
      </c>
      <c r="AH174" s="116"/>
      <c r="AI174">
        <f t="shared" si="49"/>
        <v>456</v>
      </c>
      <c r="AJ174" t="str">
        <f t="shared" si="50"/>
        <v>NA</v>
      </c>
      <c r="AK174" t="str">
        <f>IF(ISERROR(MATCH(AI174&amp;"."&amp;AJ174,AK$91:AK173,0)),AI174&amp;"."&amp;AJ174,AI174&amp;"."&amp;AJ174&amp;COUNTIFS(AI$91:AI173,AI174,AJ$91:AJ173,AJ174))</f>
        <v>456.NA3</v>
      </c>
    </row>
    <row r="175" spans="1:37" ht="15" hidden="1">
      <c r="A175" s="120">
        <f>ROW()</f>
        <v>175</v>
      </c>
      <c r="B175" s="120"/>
      <c r="E175" s="121"/>
      <c r="F175" s="138"/>
      <c r="G175" s="119"/>
      <c r="X175" s="3"/>
      <c r="AD175" s="119"/>
      <c r="AE175" s="119"/>
      <c r="AF175" s="119"/>
      <c r="AG175" s="119"/>
      <c r="AI175">
        <f t="shared" si="49"/>
        <v>456</v>
      </c>
      <c r="AJ175" t="str">
        <f t="shared" si="50"/>
        <v>NA</v>
      </c>
      <c r="AK175" t="str">
        <f>IF(ISERROR(MATCH(AI175&amp;"."&amp;AJ175,AK$91:AK174,0)),AI175&amp;"."&amp;AJ175,AI175&amp;"."&amp;AJ175&amp;COUNTIFS(AI$91:AI174,AI175,AJ$91:AJ174,AJ175))</f>
        <v>456.NA4</v>
      </c>
    </row>
    <row r="176" spans="1:37" ht="15.75" hidden="1" thickBot="1">
      <c r="A176" s="120">
        <f>ROW()</f>
        <v>176</v>
      </c>
      <c r="B176" s="120"/>
      <c r="C176" s="110" t="s">
        <v>160</v>
      </c>
      <c r="E176" s="121"/>
      <c r="F176" s="138"/>
      <c r="G176" s="153" t="e">
        <f t="shared" ref="G176:L176" si="62">G141+G174</f>
        <v>#VALUE!</v>
      </c>
      <c r="H176" s="152" t="e">
        <f t="shared" si="62"/>
        <v>#VALUE!</v>
      </c>
      <c r="I176" s="152" t="e">
        <f t="shared" si="62"/>
        <v>#VALUE!</v>
      </c>
      <c r="J176" s="152" t="e">
        <f t="shared" si="62"/>
        <v>#VALUE!</v>
      </c>
      <c r="K176" s="152" t="e">
        <f t="shared" si="62"/>
        <v>#VALUE!</v>
      </c>
      <c r="L176" s="152" t="e">
        <f t="shared" si="62"/>
        <v>#VALUE!</v>
      </c>
      <c r="O176" s="116" t="e">
        <f>O141+O174</f>
        <v>#VALUE!</v>
      </c>
      <c r="P176" s="116" t="e">
        <f>P141+P174</f>
        <v>#VALUE!</v>
      </c>
      <c r="Q176" s="116" t="e">
        <f>Q141+Q174</f>
        <v>#VALUE!</v>
      </c>
      <c r="R176" s="116" t="e">
        <f>R141+R174</f>
        <v>#VALUE!</v>
      </c>
      <c r="S176" s="116"/>
      <c r="T176" s="116" t="e">
        <f>T141+T174</f>
        <v>#VALUE!</v>
      </c>
      <c r="U176" s="116" t="e">
        <f>U141+U174</f>
        <v>#VALUE!</v>
      </c>
      <c r="V176" s="116" t="e">
        <f>V141+V174</f>
        <v>#VALUE!</v>
      </c>
      <c r="W176" s="116" t="e">
        <f>W141+W174</f>
        <v>#VALUE!</v>
      </c>
      <c r="X176" s="3"/>
      <c r="Y176" s="116" t="e">
        <f>Y141+Y174</f>
        <v>#VALUE!</v>
      </c>
      <c r="Z176" s="116" t="e">
        <f>Z141+Z174</f>
        <v>#VALUE!</v>
      </c>
      <c r="AA176" s="116" t="e">
        <f>AA141+AA174</f>
        <v>#VALUE!</v>
      </c>
      <c r="AB176" s="116" t="e">
        <f>AB141+AB174</f>
        <v>#VALUE!</v>
      </c>
      <c r="AC176" s="116" t="e">
        <f>AC141+AC174</f>
        <v>#VALUE!</v>
      </c>
      <c r="AD176" s="117" t="e">
        <f>ROUND(SUM(-G176,H176:L176),0)</f>
        <v>#VALUE!</v>
      </c>
      <c r="AE176" s="117" t="e">
        <f>ROUND(H176-O176-P176-Q176-R176,0)</f>
        <v>#VALUE!</v>
      </c>
      <c r="AF176" s="117" t="e">
        <f>ROUND(I176-T176-U176-V176-W176,0)</f>
        <v>#VALUE!</v>
      </c>
      <c r="AG176" s="117" t="e">
        <f>ROUND(J176-Y176-Z176-AA176-AC176-AB176,0)</f>
        <v>#VALUE!</v>
      </c>
      <c r="AH176" s="116"/>
      <c r="AI176" t="str">
        <f t="shared" si="49"/>
        <v>Total Electric Operating Revenues</v>
      </c>
      <c r="AJ176" t="str">
        <f t="shared" si="50"/>
        <v>NA</v>
      </c>
      <c r="AK176" t="str">
        <f>IF(ISERROR(MATCH(AI176&amp;"."&amp;AJ176,AK$91:AK175,0)),AI176&amp;"."&amp;AJ176,AI176&amp;"."&amp;AJ176&amp;COUNTIFS(AI$91:AI175,AI176,AJ$91:AJ175,AJ176))</f>
        <v>Total Electric Operating Revenues.NA</v>
      </c>
    </row>
    <row r="177" spans="1:37" ht="15" hidden="1">
      <c r="A177" s="120">
        <f>ROW()</f>
        <v>177</v>
      </c>
      <c r="B177" s="120"/>
      <c r="E177" s="121"/>
      <c r="F177" s="138"/>
      <c r="G177" s="119"/>
      <c r="X177" s="3"/>
      <c r="AD177" s="119"/>
      <c r="AE177" s="119"/>
      <c r="AF177" s="119"/>
      <c r="AG177" s="119"/>
      <c r="AI177" t="str">
        <f t="shared" si="49"/>
        <v>Total Electric Operating Revenues</v>
      </c>
      <c r="AJ177" t="str">
        <f t="shared" si="50"/>
        <v>NA</v>
      </c>
      <c r="AK177" t="str">
        <f>IF(ISERROR(MATCH(AI177&amp;"."&amp;AJ177,AK$91:AK176,0)),AI177&amp;"."&amp;AJ177,AI177&amp;"."&amp;AJ177&amp;COUNTIFS(AI$91:AI176,AI177,AJ$91:AJ176,AJ177))</f>
        <v>Total Electric Operating Revenues.NA1</v>
      </c>
    </row>
    <row r="178" spans="1:37" ht="15" hidden="1">
      <c r="A178" s="120">
        <f>ROW()</f>
        <v>178</v>
      </c>
      <c r="B178" s="120"/>
      <c r="C178" s="110" t="s">
        <v>162</v>
      </c>
      <c r="E178" s="121"/>
      <c r="F178" s="138"/>
      <c r="G178" s="119"/>
      <c r="X178" s="3"/>
      <c r="AD178" s="119"/>
      <c r="AE178" s="119"/>
      <c r="AF178" s="119"/>
      <c r="AG178" s="119"/>
      <c r="AI178" t="str">
        <f t="shared" si="49"/>
        <v>Miscellaneous Revenues</v>
      </c>
      <c r="AJ178" t="str">
        <f t="shared" si="50"/>
        <v>NA</v>
      </c>
      <c r="AK178" t="str">
        <f>IF(ISERROR(MATCH(AI178&amp;"."&amp;AJ178,AK$91:AK177,0)),AI178&amp;"."&amp;AJ178,AI178&amp;"."&amp;AJ178&amp;COUNTIFS(AI$91:AI177,AI178,AJ$91:AJ177,AJ178))</f>
        <v>Miscellaneous Revenues.NA</v>
      </c>
    </row>
    <row r="179" spans="1:37" ht="15" hidden="1">
      <c r="A179" s="120">
        <f>ROW()</f>
        <v>179</v>
      </c>
      <c r="B179" s="120"/>
      <c r="C179" s="1">
        <v>41160</v>
      </c>
      <c r="D179" s="2" t="s">
        <v>163</v>
      </c>
      <c r="E179" s="121"/>
      <c r="F179" s="138"/>
      <c r="G179" s="119"/>
      <c r="X179" s="3"/>
      <c r="AD179" s="119"/>
      <c r="AE179" s="119"/>
      <c r="AF179" s="119"/>
      <c r="AG179" s="119"/>
      <c r="AI179">
        <f t="shared" si="49"/>
        <v>41160</v>
      </c>
      <c r="AJ179" t="str">
        <f t="shared" si="50"/>
        <v>NA</v>
      </c>
      <c r="AK179" t="str">
        <f>IF(ISERROR(MATCH(AI179&amp;"."&amp;AJ179,AK$91:AK178,0)),AI179&amp;"."&amp;AJ179,AI179&amp;"."&amp;AJ179&amp;COUNTIFS(AI$91:AI178,AI179,AJ$91:AJ178,AJ179))</f>
        <v>41160.NA</v>
      </c>
    </row>
    <row r="180" spans="1:37" ht="15" hidden="1">
      <c r="A180" s="120">
        <f>ROW()</f>
        <v>180</v>
      </c>
      <c r="B180" s="120"/>
      <c r="C180" s="1"/>
      <c r="E180" s="121" t="s">
        <v>12</v>
      </c>
      <c r="F180" s="138" t="str">
        <f>INDEX(FuncAllocOptions,ROW(A180)-ROW($A$92)+1,[4]Inputs!$S$11)</f>
        <v>DPW</v>
      </c>
      <c r="G180" s="117" t="e">
        <f>SUMIF(FERCJAMFactor,AK180,JAMValue)</f>
        <v>#VALUE!</v>
      </c>
      <c r="H180" s="116" t="e">
        <f t="shared" ref="H180:L184" si="63">INDEX(FuncFactorTbl,MATCH($F180,FuncFactors,0),MATCH(H$8,Functions,0))*$G180</f>
        <v>#VALUE!</v>
      </c>
      <c r="I180" s="116" t="e">
        <f t="shared" si="63"/>
        <v>#VALUE!</v>
      </c>
      <c r="J180" s="116" t="e">
        <f t="shared" si="63"/>
        <v>#VALUE!</v>
      </c>
      <c r="K180" s="116" t="e">
        <f t="shared" si="63"/>
        <v>#VALUE!</v>
      </c>
      <c r="L180" s="116" t="e">
        <f t="shared" si="63"/>
        <v>#VALUE!</v>
      </c>
      <c r="N180" s="156">
        <v>0.75</v>
      </c>
      <c r="O180" s="116" t="e">
        <f>$H180*$N180*$M180</f>
        <v>#VALUE!</v>
      </c>
      <c r="P180" s="116" t="e">
        <f>$H180*(1-$N180)*$M180</f>
        <v>#VALUE!</v>
      </c>
      <c r="Q180" s="116" t="e">
        <f>$H180*$N180*(1-$M180)</f>
        <v>#VALUE!</v>
      </c>
      <c r="R180" s="116" t="e">
        <f>$H180*(1-$N180)*(1-$M180)</f>
        <v>#VALUE!</v>
      </c>
      <c r="S180" s="108">
        <v>0.75</v>
      </c>
      <c r="T180" s="116" t="e">
        <f>$I180*$S180*$M180</f>
        <v>#VALUE!</v>
      </c>
      <c r="U180" s="116" t="e">
        <f>$I180*(1-$S180)*$M180</f>
        <v>#VALUE!</v>
      </c>
      <c r="V180" s="116" t="e">
        <f>$I180*$S180*(1-$M180)</f>
        <v>#VALUE!</v>
      </c>
      <c r="W180" s="116" t="e">
        <f>$I180*(1-$S180)*(1-$M180)</f>
        <v>#VALUE!</v>
      </c>
      <c r="X180" s="3" t="str">
        <f>INDEX(DistFuncAllocOptions,ROW(A180)-ROW($A$92)+1,[4]Inputs!$S$11)</f>
        <v>PLNT</v>
      </c>
      <c r="Y180" s="116" t="e">
        <f t="shared" ref="Y180:AC184" si="64">INDEX(DistFuncFactorTbl,MATCH($X180,DistFuncFactors,0),MATCH(Y$91,DistFunctions,0))*$J180</f>
        <v>#VALUE!</v>
      </c>
      <c r="Z180" s="116" t="e">
        <f t="shared" si="64"/>
        <v>#VALUE!</v>
      </c>
      <c r="AA180" s="116" t="e">
        <f t="shared" si="64"/>
        <v>#VALUE!</v>
      </c>
      <c r="AB180" s="116" t="e">
        <f t="shared" si="64"/>
        <v>#VALUE!</v>
      </c>
      <c r="AC180" s="116" t="e">
        <f t="shared" si="64"/>
        <v>#VALUE!</v>
      </c>
      <c r="AD180" s="117" t="e">
        <f t="shared" ref="AD180:AD185" si="65">ROUND(SUM(-G180,H180:L180),0)</f>
        <v>#VALUE!</v>
      </c>
      <c r="AE180" s="117" t="e">
        <f t="shared" ref="AE180:AE185" si="66">ROUND(H180-O180-P180-Q180-R180,0)</f>
        <v>#VALUE!</v>
      </c>
      <c r="AF180" s="117" t="e">
        <f t="shared" ref="AF180:AF185" si="67">ROUND(I180-T180-U180-V180-W180,0)</f>
        <v>#VALUE!</v>
      </c>
      <c r="AG180" s="117" t="e">
        <f t="shared" ref="AG180:AG185" si="68">ROUND(J180-Y180-Z180-AA180-AC180-AB180,0)</f>
        <v>#VALUE!</v>
      </c>
      <c r="AH180" s="116"/>
      <c r="AI180">
        <f t="shared" si="49"/>
        <v>41160</v>
      </c>
      <c r="AJ180" t="str">
        <f t="shared" si="50"/>
        <v>S</v>
      </c>
      <c r="AK180" t="str">
        <f>IF(ISERROR(MATCH(AI180&amp;"."&amp;AJ180,AK$91:AK179,0)),AI180&amp;"."&amp;AJ180,AI180&amp;"."&amp;AJ180&amp;COUNTIFS(AI$91:AI179,AI180,AJ$91:AJ179,AJ180))</f>
        <v>41160.S</v>
      </c>
    </row>
    <row r="181" spans="1:37" ht="15" hidden="1">
      <c r="A181" s="120">
        <f>ROW()</f>
        <v>181</v>
      </c>
      <c r="B181" s="120"/>
      <c r="C181" s="1"/>
      <c r="E181" s="121" t="s">
        <v>15</v>
      </c>
      <c r="F181" s="138" t="str">
        <f>INDEX(FuncAllocOptions,ROW(A181)-ROW($A$92)+1,[4]Inputs!$S$11)</f>
        <v>T</v>
      </c>
      <c r="G181" s="117" t="e">
        <f>SUMIF(FERCJAMFactor,AK181,JAMValue)</f>
        <v>#VALUE!</v>
      </c>
      <c r="H181" s="116" t="e">
        <f t="shared" si="63"/>
        <v>#VALUE!</v>
      </c>
      <c r="I181" s="116" t="e">
        <f t="shared" si="63"/>
        <v>#VALUE!</v>
      </c>
      <c r="J181" s="116" t="e">
        <f t="shared" si="63"/>
        <v>#VALUE!</v>
      </c>
      <c r="K181" s="116" t="e">
        <f t="shared" si="63"/>
        <v>#VALUE!</v>
      </c>
      <c r="L181" s="116" t="e">
        <f t="shared" si="63"/>
        <v>#VALUE!</v>
      </c>
      <c r="N181" s="156">
        <v>0.75</v>
      </c>
      <c r="O181" s="116" t="e">
        <f>$H181*$N181*$M181</f>
        <v>#VALUE!</v>
      </c>
      <c r="P181" s="116" t="e">
        <f>$H181*(1-$N181)*$M181</f>
        <v>#VALUE!</v>
      </c>
      <c r="Q181" s="116" t="e">
        <f>$H181*$N181*(1-$M181)</f>
        <v>#VALUE!</v>
      </c>
      <c r="R181" s="116" t="e">
        <f>$H181*(1-$N181)*(1-$M181)</f>
        <v>#VALUE!</v>
      </c>
      <c r="S181" s="108">
        <v>0.75</v>
      </c>
      <c r="T181" s="116" t="e">
        <f>$I181*$S181*$M181</f>
        <v>#VALUE!</v>
      </c>
      <c r="U181" s="116" t="e">
        <f>$I181*(1-$S181)*$M181</f>
        <v>#VALUE!</v>
      </c>
      <c r="V181" s="116" t="e">
        <f>$I181*$S181*(1-$M181)</f>
        <v>#VALUE!</v>
      </c>
      <c r="W181" s="116" t="e">
        <f>$I181*(1-$S181)*(1-$M181)</f>
        <v>#VALUE!</v>
      </c>
      <c r="X181" s="3" t="str">
        <f>INDEX(DistFuncAllocOptions,ROW(A181)-ROW($A$92)+1,[4]Inputs!$S$11)</f>
        <v>PLNT</v>
      </c>
      <c r="Y181" s="116" t="e">
        <f t="shared" si="64"/>
        <v>#VALUE!</v>
      </c>
      <c r="Z181" s="116" t="e">
        <f t="shared" si="64"/>
        <v>#VALUE!</v>
      </c>
      <c r="AA181" s="116" t="e">
        <f t="shared" si="64"/>
        <v>#VALUE!</v>
      </c>
      <c r="AB181" s="116" t="e">
        <f t="shared" si="64"/>
        <v>#VALUE!</v>
      </c>
      <c r="AC181" s="116" t="e">
        <f t="shared" si="64"/>
        <v>#VALUE!</v>
      </c>
      <c r="AD181" s="117" t="e">
        <f t="shared" si="65"/>
        <v>#VALUE!</v>
      </c>
      <c r="AE181" s="117" t="e">
        <f t="shared" si="66"/>
        <v>#VALUE!</v>
      </c>
      <c r="AF181" s="117" t="e">
        <f t="shared" si="67"/>
        <v>#VALUE!</v>
      </c>
      <c r="AG181" s="117" t="e">
        <f t="shared" si="68"/>
        <v>#VALUE!</v>
      </c>
      <c r="AH181" s="116"/>
      <c r="AI181">
        <f t="shared" si="49"/>
        <v>41160</v>
      </c>
      <c r="AJ181" t="str">
        <f t="shared" si="50"/>
        <v>SG</v>
      </c>
      <c r="AK181" t="str">
        <f>IF(ISERROR(MATCH(AI181&amp;"."&amp;AJ181,AK$91:AK180,0)),AI181&amp;"."&amp;AJ181,AI181&amp;"."&amp;AJ181&amp;COUNTIFS(AI$91:AI180,AI181,AJ$91:AJ180,AJ181))</f>
        <v>41160.SG</v>
      </c>
    </row>
    <row r="182" spans="1:37" ht="15" hidden="1">
      <c r="A182" s="120">
        <f>ROW()</f>
        <v>182</v>
      </c>
      <c r="B182" s="120"/>
      <c r="C182" s="1"/>
      <c r="E182" s="121" t="s">
        <v>136</v>
      </c>
      <c r="F182" s="138" t="str">
        <f>INDEX(FuncAllocOptions,ROW(A182)-ROW($A$92)+1,[4]Inputs!$S$11)</f>
        <v>G</v>
      </c>
      <c r="G182" s="117" t="e">
        <f>SUMIF(FERCJAMFactor,AK182,JAMValue)</f>
        <v>#VALUE!</v>
      </c>
      <c r="H182" s="116" t="e">
        <f t="shared" si="63"/>
        <v>#VALUE!</v>
      </c>
      <c r="I182" s="116" t="e">
        <f t="shared" si="63"/>
        <v>#VALUE!</v>
      </c>
      <c r="J182" s="116" t="e">
        <f t="shared" si="63"/>
        <v>#VALUE!</v>
      </c>
      <c r="K182" s="116" t="e">
        <f t="shared" si="63"/>
        <v>#VALUE!</v>
      </c>
      <c r="L182" s="116" t="e">
        <f t="shared" si="63"/>
        <v>#VALUE!</v>
      </c>
      <c r="N182" s="156">
        <v>0.75</v>
      </c>
      <c r="O182" s="116" t="e">
        <f>$H182*$N182*$M182</f>
        <v>#VALUE!</v>
      </c>
      <c r="P182" s="116" t="e">
        <f>$H182*(1-$N182)*$M182</f>
        <v>#VALUE!</v>
      </c>
      <c r="Q182" s="116" t="e">
        <f>$H182*$N182*(1-$M182)</f>
        <v>#VALUE!</v>
      </c>
      <c r="R182" s="116" t="e">
        <f>$H182*(1-$N182)*(1-$M182)</f>
        <v>#VALUE!</v>
      </c>
      <c r="S182" s="108">
        <v>0.75</v>
      </c>
      <c r="T182" s="116" t="e">
        <f>$I182*$S182*$M182</f>
        <v>#VALUE!</v>
      </c>
      <c r="U182" s="116" t="e">
        <f>$I182*(1-$S182)*$M182</f>
        <v>#VALUE!</v>
      </c>
      <c r="V182" s="116" t="e">
        <f>$I182*$S182*(1-$M182)</f>
        <v>#VALUE!</v>
      </c>
      <c r="W182" s="116" t="e">
        <f>$I182*(1-$S182)*(1-$M182)</f>
        <v>#VALUE!</v>
      </c>
      <c r="X182" s="3" t="str">
        <f>INDEX(DistFuncAllocOptions,ROW(A182)-ROW($A$92)+1,[4]Inputs!$S$11)</f>
        <v>PLNT</v>
      </c>
      <c r="Y182" s="116" t="e">
        <f t="shared" si="64"/>
        <v>#VALUE!</v>
      </c>
      <c r="Z182" s="116" t="e">
        <f t="shared" si="64"/>
        <v>#VALUE!</v>
      </c>
      <c r="AA182" s="116" t="e">
        <f t="shared" si="64"/>
        <v>#VALUE!</v>
      </c>
      <c r="AB182" s="116" t="e">
        <f t="shared" si="64"/>
        <v>#VALUE!</v>
      </c>
      <c r="AC182" s="116" t="e">
        <f t="shared" si="64"/>
        <v>#VALUE!</v>
      </c>
      <c r="AD182" s="117" t="e">
        <f t="shared" si="65"/>
        <v>#VALUE!</v>
      </c>
      <c r="AE182" s="117" t="e">
        <f t="shared" si="66"/>
        <v>#VALUE!</v>
      </c>
      <c r="AF182" s="117" t="e">
        <f t="shared" si="67"/>
        <v>#VALUE!</v>
      </c>
      <c r="AG182" s="117" t="e">
        <f t="shared" si="68"/>
        <v>#VALUE!</v>
      </c>
      <c r="AH182" s="116"/>
      <c r="AI182">
        <f t="shared" si="49"/>
        <v>41160</v>
      </c>
      <c r="AJ182" t="str">
        <f t="shared" si="50"/>
        <v>SO</v>
      </c>
      <c r="AK182" t="str">
        <f>IF(ISERROR(MATCH(AI182&amp;"."&amp;AJ182,AK$91:AK181,0)),AI182&amp;"."&amp;AJ182,AI182&amp;"."&amp;AJ182&amp;COUNTIFS(AI$91:AI181,AI182,AJ$91:AJ181,AJ182))</f>
        <v>41160.SO</v>
      </c>
    </row>
    <row r="183" spans="1:37" ht="15" hidden="1">
      <c r="A183" s="120">
        <f>ROW()</f>
        <v>183</v>
      </c>
      <c r="B183" s="120"/>
      <c r="C183" s="1"/>
      <c r="E183" s="121" t="s">
        <v>15</v>
      </c>
      <c r="F183" s="138" t="str">
        <f>INDEX(FuncAllocOptions,ROW(A183)-ROW($A$92)+1,[4]Inputs!$S$11)</f>
        <v>T</v>
      </c>
      <c r="G183" s="117" t="e">
        <f>SUMIF(FERCJAMFactor,AK183,JAMValue)</f>
        <v>#VALUE!</v>
      </c>
      <c r="H183" s="116" t="e">
        <f t="shared" si="63"/>
        <v>#VALUE!</v>
      </c>
      <c r="I183" s="116" t="e">
        <f t="shared" si="63"/>
        <v>#VALUE!</v>
      </c>
      <c r="J183" s="116" t="e">
        <f t="shared" si="63"/>
        <v>#VALUE!</v>
      </c>
      <c r="K183" s="116" t="e">
        <f t="shared" si="63"/>
        <v>#VALUE!</v>
      </c>
      <c r="L183" s="116" t="e">
        <f t="shared" si="63"/>
        <v>#VALUE!</v>
      </c>
      <c r="N183" s="156">
        <v>0.75</v>
      </c>
      <c r="O183" s="116" t="e">
        <f>$H183*$N183*$M183</f>
        <v>#VALUE!</v>
      </c>
      <c r="P183" s="116" t="e">
        <f>$H183*(1-$N183)*$M183</f>
        <v>#VALUE!</v>
      </c>
      <c r="Q183" s="116" t="e">
        <f>$H183*$N183*(1-$M183)</f>
        <v>#VALUE!</v>
      </c>
      <c r="R183" s="116" t="e">
        <f>$H183*(1-$N183)*(1-$M183)</f>
        <v>#VALUE!</v>
      </c>
      <c r="S183" s="108">
        <v>0.75</v>
      </c>
      <c r="T183" s="116" t="e">
        <f>$I183*$S183*$M183</f>
        <v>#VALUE!</v>
      </c>
      <c r="U183" s="116" t="e">
        <f>$I183*(1-$S183)*$M183</f>
        <v>#VALUE!</v>
      </c>
      <c r="V183" s="116" t="e">
        <f>$I183*$S183*(1-$M183)</f>
        <v>#VALUE!</v>
      </c>
      <c r="W183" s="116" t="e">
        <f>$I183*(1-$S183)*(1-$M183)</f>
        <v>#VALUE!</v>
      </c>
      <c r="X183" s="3" t="str">
        <f>INDEX(DistFuncAllocOptions,ROW(A183)-ROW($A$92)+1,[4]Inputs!$S$11)</f>
        <v>PLNT</v>
      </c>
      <c r="Y183" s="116" t="e">
        <f t="shared" si="64"/>
        <v>#VALUE!</v>
      </c>
      <c r="Z183" s="116" t="e">
        <f t="shared" si="64"/>
        <v>#VALUE!</v>
      </c>
      <c r="AA183" s="116" t="e">
        <f t="shared" si="64"/>
        <v>#VALUE!</v>
      </c>
      <c r="AB183" s="116" t="e">
        <f t="shared" si="64"/>
        <v>#VALUE!</v>
      </c>
      <c r="AC183" s="116" t="e">
        <f t="shared" si="64"/>
        <v>#VALUE!</v>
      </c>
      <c r="AD183" s="117" t="e">
        <f t="shared" si="65"/>
        <v>#VALUE!</v>
      </c>
      <c r="AE183" s="117" t="e">
        <f t="shared" si="66"/>
        <v>#VALUE!</v>
      </c>
      <c r="AF183" s="117" t="e">
        <f t="shared" si="67"/>
        <v>#VALUE!</v>
      </c>
      <c r="AG183" s="117" t="e">
        <f t="shared" si="68"/>
        <v>#VALUE!</v>
      </c>
      <c r="AH183" s="116"/>
      <c r="AI183">
        <f t="shared" si="49"/>
        <v>41160</v>
      </c>
      <c r="AJ183" t="str">
        <f t="shared" si="50"/>
        <v>SG</v>
      </c>
      <c r="AK183" t="str">
        <f>IF(ISERROR(MATCH(AI183&amp;"."&amp;AJ183,AK$91:AK182,0)),AI183&amp;"."&amp;AJ183,AI183&amp;"."&amp;AJ183&amp;COUNTIFS(AI$91:AI182,AI183,AJ$91:AJ182,AJ183))</f>
        <v>41160.SG1</v>
      </c>
    </row>
    <row r="184" spans="1:37" ht="15" hidden="1">
      <c r="A184" s="120">
        <f>ROW()</f>
        <v>184</v>
      </c>
      <c r="B184" s="120"/>
      <c r="C184" s="1"/>
      <c r="E184" s="121" t="s">
        <v>15</v>
      </c>
      <c r="F184" s="138" t="str">
        <f>INDEX(FuncAllocOptions,ROW(A184)-ROW($A$92)+1,[4]Inputs!$S$11)</f>
        <v>P</v>
      </c>
      <c r="G184" s="133" t="e">
        <f>SUMIF(FERCJAMFactor,AK184,JAMValue)</f>
        <v>#VALUE!</v>
      </c>
      <c r="H184" s="139" t="e">
        <f t="shared" si="63"/>
        <v>#VALUE!</v>
      </c>
      <c r="I184" s="139" t="e">
        <f t="shared" si="63"/>
        <v>#VALUE!</v>
      </c>
      <c r="J184" s="139" t="e">
        <f t="shared" si="63"/>
        <v>#VALUE!</v>
      </c>
      <c r="K184" s="139" t="e">
        <f t="shared" si="63"/>
        <v>#VALUE!</v>
      </c>
      <c r="L184" s="139" t="e">
        <f t="shared" si="63"/>
        <v>#VALUE!</v>
      </c>
      <c r="N184" s="156">
        <v>0.75</v>
      </c>
      <c r="O184" s="116" t="e">
        <f>$H184*$N184*$M184</f>
        <v>#VALUE!</v>
      </c>
      <c r="P184" s="116" t="e">
        <f>$H184*(1-$N184)*$M184</f>
        <v>#VALUE!</v>
      </c>
      <c r="Q184" s="116" t="e">
        <f>$H184*$N184*(1-$M184)</f>
        <v>#VALUE!</v>
      </c>
      <c r="R184" s="116" t="e">
        <f>$H184*(1-$N184)*(1-$M184)</f>
        <v>#VALUE!</v>
      </c>
      <c r="S184" s="108">
        <v>0.75</v>
      </c>
      <c r="T184" s="116" t="e">
        <f>$I184*$S184*$M184</f>
        <v>#VALUE!</v>
      </c>
      <c r="U184" s="116" t="e">
        <f>$I184*(1-$S184)*$M184</f>
        <v>#VALUE!</v>
      </c>
      <c r="V184" s="116" t="e">
        <f>$I184*$S184*(1-$M184)</f>
        <v>#VALUE!</v>
      </c>
      <c r="W184" s="116" t="e">
        <f>$I184*(1-$S184)*(1-$M184)</f>
        <v>#VALUE!</v>
      </c>
      <c r="X184" s="3" t="str">
        <f>INDEX(DistFuncAllocOptions,ROW(A184)-ROW($A$92)+1,[4]Inputs!$S$11)</f>
        <v>PLNT</v>
      </c>
      <c r="Y184" s="116" t="e">
        <f t="shared" si="64"/>
        <v>#VALUE!</v>
      </c>
      <c r="Z184" s="116" t="e">
        <f t="shared" si="64"/>
        <v>#VALUE!</v>
      </c>
      <c r="AA184" s="116" t="e">
        <f t="shared" si="64"/>
        <v>#VALUE!</v>
      </c>
      <c r="AB184" s="116" t="e">
        <f t="shared" si="64"/>
        <v>#VALUE!</v>
      </c>
      <c r="AC184" s="116" t="e">
        <f t="shared" si="64"/>
        <v>#VALUE!</v>
      </c>
      <c r="AD184" s="117" t="e">
        <f t="shared" si="65"/>
        <v>#VALUE!</v>
      </c>
      <c r="AE184" s="117" t="e">
        <f t="shared" si="66"/>
        <v>#VALUE!</v>
      </c>
      <c r="AF184" s="117" t="e">
        <f t="shared" si="67"/>
        <v>#VALUE!</v>
      </c>
      <c r="AG184" s="117" t="e">
        <f t="shared" si="68"/>
        <v>#VALUE!</v>
      </c>
      <c r="AH184" s="116"/>
      <c r="AI184">
        <f t="shared" si="49"/>
        <v>41160</v>
      </c>
      <c r="AJ184" t="str">
        <f t="shared" si="50"/>
        <v>SG</v>
      </c>
      <c r="AK184" t="str">
        <f>IF(ISERROR(MATCH(AI184&amp;"."&amp;AJ184,AK$91:AK183,0)),AI184&amp;"."&amp;AJ184,AI184&amp;"."&amp;AJ184&amp;COUNTIFS(AI$91:AI183,AI184,AJ$91:AJ183,AJ184))</f>
        <v>41160.SG2</v>
      </c>
    </row>
    <row r="185" spans="1:37" ht="15" hidden="1">
      <c r="A185" s="120">
        <f>ROW()</f>
        <v>185</v>
      </c>
      <c r="B185" s="120"/>
      <c r="C185" s="1"/>
      <c r="E185" s="121"/>
      <c r="F185" s="138"/>
      <c r="G185" s="117" t="e">
        <f t="shared" ref="G185:L185" si="69">SUM(G180:G184)</f>
        <v>#VALUE!</v>
      </c>
      <c r="H185" s="116" t="e">
        <f t="shared" si="69"/>
        <v>#VALUE!</v>
      </c>
      <c r="I185" s="116" t="e">
        <f t="shared" si="69"/>
        <v>#VALUE!</v>
      </c>
      <c r="J185" s="116" t="e">
        <f t="shared" si="69"/>
        <v>#VALUE!</v>
      </c>
      <c r="K185" s="116" t="e">
        <f t="shared" si="69"/>
        <v>#VALUE!</v>
      </c>
      <c r="L185" s="116" t="e">
        <f t="shared" si="69"/>
        <v>#VALUE!</v>
      </c>
      <c r="N185" s="156"/>
      <c r="O185" s="116" t="e">
        <f>SUM(O180:O184)</f>
        <v>#VALUE!</v>
      </c>
      <c r="P185" s="116" t="e">
        <f>SUM(P180:P184)</f>
        <v>#VALUE!</v>
      </c>
      <c r="Q185" s="116" t="e">
        <f>SUM(Q180:Q184)</f>
        <v>#VALUE!</v>
      </c>
      <c r="R185" s="116" t="e">
        <f>SUM(R180:R184)</f>
        <v>#VALUE!</v>
      </c>
      <c r="T185" s="116" t="e">
        <f>SUM(T180:T184)</f>
        <v>#VALUE!</v>
      </c>
      <c r="U185" s="116" t="e">
        <f>SUM(U180:U184)</f>
        <v>#VALUE!</v>
      </c>
      <c r="V185" s="116" t="e">
        <f>SUM(V180:V184)</f>
        <v>#VALUE!</v>
      </c>
      <c r="W185" s="116" t="e">
        <f>SUM(W180:W184)</f>
        <v>#VALUE!</v>
      </c>
      <c r="X185" s="3"/>
      <c r="Y185" s="116" t="e">
        <f>SUM(Y180:Y184)</f>
        <v>#VALUE!</v>
      </c>
      <c r="Z185" s="116" t="e">
        <f>SUM(Z180:Z184)</f>
        <v>#VALUE!</v>
      </c>
      <c r="AA185" s="116" t="e">
        <f>SUM(AA180:AA184)</f>
        <v>#VALUE!</v>
      </c>
      <c r="AB185" s="116" t="e">
        <f>SUM(AB180:AB184)</f>
        <v>#VALUE!</v>
      </c>
      <c r="AC185" s="116" t="e">
        <f>SUM(AC180:AC184)</f>
        <v>#VALUE!</v>
      </c>
      <c r="AD185" s="117" t="e">
        <f t="shared" si="65"/>
        <v>#VALUE!</v>
      </c>
      <c r="AE185" s="117" t="e">
        <f t="shared" si="66"/>
        <v>#VALUE!</v>
      </c>
      <c r="AF185" s="117" t="e">
        <f t="shared" si="67"/>
        <v>#VALUE!</v>
      </c>
      <c r="AG185" s="117" t="e">
        <f t="shared" si="68"/>
        <v>#VALUE!</v>
      </c>
      <c r="AH185" s="116"/>
      <c r="AI185">
        <f t="shared" si="49"/>
        <v>41160</v>
      </c>
      <c r="AJ185" t="str">
        <f t="shared" si="50"/>
        <v>NA</v>
      </c>
      <c r="AK185" t="str">
        <f>IF(ISERROR(MATCH(AI185&amp;"."&amp;AJ185,AK$91:AK184,0)),AI185&amp;"."&amp;AJ185,AI185&amp;"."&amp;AJ185&amp;COUNTIFS(AI$91:AI184,AI185,AJ$91:AJ184,AJ185))</f>
        <v>41160.NA1</v>
      </c>
    </row>
    <row r="186" spans="1:37" ht="15" hidden="1">
      <c r="A186" s="120">
        <f>ROW()</f>
        <v>186</v>
      </c>
      <c r="B186" s="120"/>
      <c r="C186" s="1"/>
      <c r="E186" s="121"/>
      <c r="F186" s="138"/>
      <c r="G186" s="119"/>
      <c r="N186" s="156"/>
      <c r="X186" s="3"/>
      <c r="AD186" s="119"/>
      <c r="AE186" s="119"/>
      <c r="AF186" s="119"/>
      <c r="AG186" s="119"/>
      <c r="AI186">
        <f t="shared" si="49"/>
        <v>41160</v>
      </c>
      <c r="AJ186" t="str">
        <f t="shared" si="50"/>
        <v>NA</v>
      </c>
      <c r="AK186" t="str">
        <f>IF(ISERROR(MATCH(AI186&amp;"."&amp;AJ186,AK$91:AK185,0)),AI186&amp;"."&amp;AJ186,AI186&amp;"."&amp;AJ186&amp;COUNTIFS(AI$91:AI185,AI186,AJ$91:AJ185,AJ186))</f>
        <v>41160.NA2</v>
      </c>
    </row>
    <row r="187" spans="1:37" ht="15" hidden="1">
      <c r="A187" s="120">
        <f>ROW()</f>
        <v>187</v>
      </c>
      <c r="B187" s="120"/>
      <c r="C187" s="1">
        <v>41170</v>
      </c>
      <c r="D187" s="2" t="s">
        <v>166</v>
      </c>
      <c r="E187" s="121"/>
      <c r="F187" s="138"/>
      <c r="G187" s="119"/>
      <c r="N187" s="156"/>
      <c r="X187" s="3"/>
      <c r="AD187" s="119"/>
      <c r="AE187" s="119"/>
      <c r="AF187" s="119"/>
      <c r="AG187" s="119"/>
      <c r="AI187">
        <f t="shared" si="49"/>
        <v>41170</v>
      </c>
      <c r="AJ187" t="str">
        <f t="shared" si="50"/>
        <v>NA</v>
      </c>
      <c r="AK187" t="str">
        <f>IF(ISERROR(MATCH(AI187&amp;"."&amp;AJ187,AK$91:AK186,0)),AI187&amp;"."&amp;AJ187,AI187&amp;"."&amp;AJ187&amp;COUNTIFS(AI$91:AI186,AI187,AJ$91:AJ186,AJ187))</f>
        <v>41170.NA</v>
      </c>
    </row>
    <row r="188" spans="1:37" ht="15" hidden="1">
      <c r="A188" s="120">
        <f>ROW()</f>
        <v>188</v>
      </c>
      <c r="B188" s="120"/>
      <c r="C188" s="1"/>
      <c r="E188" s="121" t="s">
        <v>12</v>
      </c>
      <c r="F188" s="138" t="str">
        <f>INDEX(FuncAllocOptions,ROW(A188)-ROW($A$92)+1,[4]Inputs!$S$11)</f>
        <v>DPW</v>
      </c>
      <c r="G188" s="117" t="e">
        <f>SUMIF(FERCJAMFactor,AK188,JAMValue)</f>
        <v>#VALUE!</v>
      </c>
      <c r="H188" s="116" t="e">
        <f t="shared" ref="H188:L189" si="70">INDEX(FuncFactorTbl,MATCH($F188,FuncFactors,0),MATCH(H$8,Functions,0))*$G188</f>
        <v>#VALUE!</v>
      </c>
      <c r="I188" s="116" t="e">
        <f t="shared" si="70"/>
        <v>#VALUE!</v>
      </c>
      <c r="J188" s="116" t="e">
        <f t="shared" si="70"/>
        <v>#VALUE!</v>
      </c>
      <c r="K188" s="116" t="e">
        <f t="shared" si="70"/>
        <v>#VALUE!</v>
      </c>
      <c r="L188" s="116" t="e">
        <f t="shared" si="70"/>
        <v>#VALUE!</v>
      </c>
      <c r="N188" s="156">
        <v>0.75</v>
      </c>
      <c r="O188" s="116" t="e">
        <f>$H188*$N188*$M188</f>
        <v>#VALUE!</v>
      </c>
      <c r="P188" s="116" t="e">
        <f>$H188*(1-$N188)*$M188</f>
        <v>#VALUE!</v>
      </c>
      <c r="Q188" s="116" t="e">
        <f>$H188*$N188*(1-$M188)</f>
        <v>#VALUE!</v>
      </c>
      <c r="R188" s="116" t="e">
        <f>$H188*(1-$N188)*(1-$M188)</f>
        <v>#VALUE!</v>
      </c>
      <c r="S188" s="108">
        <v>0.75</v>
      </c>
      <c r="T188" s="116" t="e">
        <f>$I188*$S188*$M188</f>
        <v>#VALUE!</v>
      </c>
      <c r="U188" s="116" t="e">
        <f>$I188*(1-$S188)*$M188</f>
        <v>#VALUE!</v>
      </c>
      <c r="V188" s="116" t="e">
        <f>$I188*$S188*(1-$M188)</f>
        <v>#VALUE!</v>
      </c>
      <c r="W188" s="116" t="e">
        <f>$I188*(1-$S188)*(1-$M188)</f>
        <v>#VALUE!</v>
      </c>
      <c r="X188" s="3" t="str">
        <f>INDEX(DistFuncAllocOptions,ROW(A188)-ROW($A$92)+1,[4]Inputs!$S$11)</f>
        <v>PLNT</v>
      </c>
      <c r="Y188" s="116" t="e">
        <f t="shared" ref="Y188:AC189" si="71">INDEX(DistFuncFactorTbl,MATCH($X188,DistFuncFactors,0),MATCH(Y$91,DistFunctions,0))*$J188</f>
        <v>#VALUE!</v>
      </c>
      <c r="Z188" s="116" t="e">
        <f t="shared" si="71"/>
        <v>#VALUE!</v>
      </c>
      <c r="AA188" s="116" t="e">
        <f t="shared" si="71"/>
        <v>#VALUE!</v>
      </c>
      <c r="AB188" s="116" t="e">
        <f t="shared" si="71"/>
        <v>#VALUE!</v>
      </c>
      <c r="AC188" s="116" t="e">
        <f t="shared" si="71"/>
        <v>#VALUE!</v>
      </c>
      <c r="AD188" s="117" t="e">
        <f>ROUND(SUM(-G188,H188:L188),0)</f>
        <v>#VALUE!</v>
      </c>
      <c r="AE188" s="117" t="e">
        <f>ROUND(H188-O188-P188-Q188-R188,0)</f>
        <v>#VALUE!</v>
      </c>
      <c r="AF188" s="117" t="e">
        <f>ROUND(I188-T188-U188-V188-W188,0)</f>
        <v>#VALUE!</v>
      </c>
      <c r="AG188" s="117" t="e">
        <f>ROUND(J188-Y188-Z188-AA188-AC188-AB188,0)</f>
        <v>#VALUE!</v>
      </c>
      <c r="AH188" s="116"/>
      <c r="AI188">
        <f t="shared" si="49"/>
        <v>41170</v>
      </c>
      <c r="AJ188" t="str">
        <f t="shared" si="50"/>
        <v>S</v>
      </c>
      <c r="AK188" t="str">
        <f>IF(ISERROR(MATCH(AI188&amp;"."&amp;AJ188,AK$91:AK187,0)),AI188&amp;"."&amp;AJ188,AI188&amp;"."&amp;AJ188&amp;COUNTIFS(AI$91:AI187,AI188,AJ$91:AJ187,AJ188))</f>
        <v>41170.S</v>
      </c>
    </row>
    <row r="189" spans="1:37" ht="15" hidden="1">
      <c r="A189" s="120">
        <f>ROW()</f>
        <v>189</v>
      </c>
      <c r="B189" s="120"/>
      <c r="C189" s="1"/>
      <c r="E189" s="121" t="s">
        <v>15</v>
      </c>
      <c r="F189" s="138" t="str">
        <f>INDEX(FuncAllocOptions,ROW(A189)-ROW($A$92)+1,[4]Inputs!$S$11)</f>
        <v>T</v>
      </c>
      <c r="G189" s="133" t="e">
        <f>SUMIF(FERCJAMFactor,AK189,JAMValue)</f>
        <v>#VALUE!</v>
      </c>
      <c r="H189" s="139" t="e">
        <f t="shared" si="70"/>
        <v>#VALUE!</v>
      </c>
      <c r="I189" s="139" t="e">
        <f t="shared" si="70"/>
        <v>#VALUE!</v>
      </c>
      <c r="J189" s="139" t="e">
        <f t="shared" si="70"/>
        <v>#VALUE!</v>
      </c>
      <c r="K189" s="139" t="e">
        <f t="shared" si="70"/>
        <v>#VALUE!</v>
      </c>
      <c r="L189" s="139" t="e">
        <f t="shared" si="70"/>
        <v>#VALUE!</v>
      </c>
      <c r="N189" s="156">
        <v>0.75</v>
      </c>
      <c r="O189" s="116" t="e">
        <f>$H189*$N189*$M189</f>
        <v>#VALUE!</v>
      </c>
      <c r="P189" s="116" t="e">
        <f>$H189*(1-$N189)*$M189</f>
        <v>#VALUE!</v>
      </c>
      <c r="Q189" s="116" t="e">
        <f>$H189*$N189*(1-$M189)</f>
        <v>#VALUE!</v>
      </c>
      <c r="R189" s="116" t="e">
        <f>$H189*(1-$N189)*(1-$M189)</f>
        <v>#VALUE!</v>
      </c>
      <c r="S189" s="108">
        <v>0.75</v>
      </c>
      <c r="T189" s="116" t="e">
        <f>$I189*$S189*$M189</f>
        <v>#VALUE!</v>
      </c>
      <c r="U189" s="116" t="e">
        <f>$I189*(1-$S189)*$M189</f>
        <v>#VALUE!</v>
      </c>
      <c r="V189" s="116" t="e">
        <f>$I189*$S189*(1-$M189)</f>
        <v>#VALUE!</v>
      </c>
      <c r="W189" s="116" t="e">
        <f>$I189*(1-$S189)*(1-$M189)</f>
        <v>#VALUE!</v>
      </c>
      <c r="X189" s="3" t="str">
        <f>INDEX(DistFuncAllocOptions,ROW(A189)-ROW($A$92)+1,[4]Inputs!$S$11)</f>
        <v>PLNT</v>
      </c>
      <c r="Y189" s="116" t="e">
        <f t="shared" si="71"/>
        <v>#VALUE!</v>
      </c>
      <c r="Z189" s="116" t="e">
        <f t="shared" si="71"/>
        <v>#VALUE!</v>
      </c>
      <c r="AA189" s="116" t="e">
        <f t="shared" si="71"/>
        <v>#VALUE!</v>
      </c>
      <c r="AB189" s="116" t="e">
        <f t="shared" si="71"/>
        <v>#VALUE!</v>
      </c>
      <c r="AC189" s="116" t="e">
        <f t="shared" si="71"/>
        <v>#VALUE!</v>
      </c>
      <c r="AD189" s="117" t="e">
        <f>ROUND(SUM(-G189,H189:L189),0)</f>
        <v>#VALUE!</v>
      </c>
      <c r="AE189" s="117" t="e">
        <f>ROUND(H189-O189-P189-Q189-R189,0)</f>
        <v>#VALUE!</v>
      </c>
      <c r="AF189" s="117" t="e">
        <f>ROUND(I189-T189-U189-V189-W189,0)</f>
        <v>#VALUE!</v>
      </c>
      <c r="AG189" s="117" t="e">
        <f>ROUND(J189-Y189-Z189-AA189-AC189-AB189,0)</f>
        <v>#VALUE!</v>
      </c>
      <c r="AH189" s="116"/>
      <c r="AI189">
        <f t="shared" ref="AI189:AI220" si="72">IF(OR(C189="",C189=" ",C189="  ",C189="   "),AI188,C189)</f>
        <v>41170</v>
      </c>
      <c r="AJ189" t="str">
        <f t="shared" si="50"/>
        <v>SG</v>
      </c>
      <c r="AK189" t="str">
        <f>IF(ISERROR(MATCH(AI189&amp;"."&amp;AJ189,AK$91:AK188,0)),AI189&amp;"."&amp;AJ189,AI189&amp;"."&amp;AJ189&amp;COUNTIFS(AI$91:AI188,AI189,AJ$91:AJ188,AJ189))</f>
        <v>41170.SG</v>
      </c>
    </row>
    <row r="190" spans="1:37" ht="15" hidden="1">
      <c r="A190" s="120">
        <f>ROW()</f>
        <v>190</v>
      </c>
      <c r="B190" s="120"/>
      <c r="C190" s="1"/>
      <c r="E190" s="121"/>
      <c r="F190" s="138"/>
      <c r="G190" s="117" t="e">
        <f t="shared" ref="G190:L190" si="73">SUM(G188:G189)</f>
        <v>#VALUE!</v>
      </c>
      <c r="H190" s="116" t="e">
        <f t="shared" si="73"/>
        <v>#VALUE!</v>
      </c>
      <c r="I190" s="116" t="e">
        <f t="shared" si="73"/>
        <v>#VALUE!</v>
      </c>
      <c r="J190" s="116" t="e">
        <f t="shared" si="73"/>
        <v>#VALUE!</v>
      </c>
      <c r="K190" s="116" t="e">
        <f t="shared" si="73"/>
        <v>#VALUE!</v>
      </c>
      <c r="L190" s="116" t="e">
        <f t="shared" si="73"/>
        <v>#VALUE!</v>
      </c>
      <c r="O190" s="116" t="e">
        <f>SUM(O188:O189)</f>
        <v>#VALUE!</v>
      </c>
      <c r="P190" s="116" t="e">
        <f>SUM(P188:P189)</f>
        <v>#VALUE!</v>
      </c>
      <c r="Q190" s="116" t="e">
        <f>SUM(Q188:Q189)</f>
        <v>#VALUE!</v>
      </c>
      <c r="R190" s="116" t="e">
        <f>SUM(R188:R189)</f>
        <v>#VALUE!</v>
      </c>
      <c r="T190" s="116" t="e">
        <f>SUM(T188:T189)</f>
        <v>#VALUE!</v>
      </c>
      <c r="U190" s="116" t="e">
        <f>SUM(U188:U189)</f>
        <v>#VALUE!</v>
      </c>
      <c r="V190" s="116" t="e">
        <f>SUM(V188:V189)</f>
        <v>#VALUE!</v>
      </c>
      <c r="W190" s="116" t="e">
        <f>SUM(W188:W189)</f>
        <v>#VALUE!</v>
      </c>
      <c r="X190" s="3"/>
      <c r="Y190" s="116" t="e">
        <f>SUM(Y188:Y189)</f>
        <v>#VALUE!</v>
      </c>
      <c r="Z190" s="116" t="e">
        <f>SUM(Z188:Z189)</f>
        <v>#VALUE!</v>
      </c>
      <c r="AA190" s="116" t="e">
        <f>SUM(AA188:AA189)</f>
        <v>#VALUE!</v>
      </c>
      <c r="AB190" s="116" t="e">
        <f>SUM(AB188:AB189)</f>
        <v>#VALUE!</v>
      </c>
      <c r="AC190" s="116" t="e">
        <f>SUM(AC188:AC189)</f>
        <v>#VALUE!</v>
      </c>
      <c r="AD190" s="117" t="e">
        <f>ROUND(SUM(-G190,H190:L190),0)</f>
        <v>#VALUE!</v>
      </c>
      <c r="AE190" s="117" t="e">
        <f>ROUND(H190-O190-P190-Q190-R190,0)</f>
        <v>#VALUE!</v>
      </c>
      <c r="AF190" s="117" t="e">
        <f>ROUND(I190-T190-U190-V190-W190,0)</f>
        <v>#VALUE!</v>
      </c>
      <c r="AG190" s="117" t="e">
        <f>ROUND(J190-Y190-Z190-AA190-AC190-AB190,0)</f>
        <v>#VALUE!</v>
      </c>
      <c r="AH190" s="116"/>
      <c r="AI190">
        <f t="shared" si="72"/>
        <v>41170</v>
      </c>
      <c r="AJ190" t="str">
        <f t="shared" si="50"/>
        <v>NA</v>
      </c>
      <c r="AK190" t="str">
        <f>IF(ISERROR(MATCH(AI190&amp;"."&amp;AJ190,AK$91:AK189,0)),AI190&amp;"."&amp;AJ190,AI190&amp;"."&amp;AJ190&amp;COUNTIFS(AI$91:AI189,AI190,AJ$91:AJ189,AJ190))</f>
        <v>41170.NA1</v>
      </c>
    </row>
    <row r="191" spans="1:37" ht="15" hidden="1">
      <c r="A191" s="120">
        <f>ROW()</f>
        <v>191</v>
      </c>
      <c r="B191" s="120"/>
      <c r="C191" s="1"/>
      <c r="E191" s="121"/>
      <c r="F191" s="138"/>
      <c r="G191" s="119"/>
      <c r="X191" s="3"/>
      <c r="AD191" s="119"/>
      <c r="AE191" s="119"/>
      <c r="AF191" s="119"/>
      <c r="AG191" s="119"/>
      <c r="AI191">
        <f t="shared" si="72"/>
        <v>41170</v>
      </c>
      <c r="AJ191" t="str">
        <f t="shared" si="50"/>
        <v>NA</v>
      </c>
      <c r="AK191" t="str">
        <f>IF(ISERROR(MATCH(AI191&amp;"."&amp;AJ191,AK$91:AK190,0)),AI191&amp;"."&amp;AJ191,AI191&amp;"."&amp;AJ191&amp;COUNTIFS(AI$91:AI190,AI191,AJ$91:AJ190,AJ191))</f>
        <v>41170.NA2</v>
      </c>
    </row>
    <row r="192" spans="1:37" ht="15" hidden="1">
      <c r="A192" s="120">
        <f>ROW()</f>
        <v>192</v>
      </c>
      <c r="B192" s="120"/>
      <c r="C192" s="1">
        <v>4118</v>
      </c>
      <c r="D192" s="2" t="s">
        <v>167</v>
      </c>
      <c r="E192" s="121"/>
      <c r="F192" s="138"/>
      <c r="G192" s="119"/>
      <c r="X192" s="3"/>
      <c r="AD192" s="119"/>
      <c r="AE192" s="119"/>
      <c r="AF192" s="119"/>
      <c r="AG192" s="119"/>
      <c r="AI192">
        <f t="shared" si="72"/>
        <v>4118</v>
      </c>
      <c r="AJ192" t="str">
        <f t="shared" si="50"/>
        <v>NA</v>
      </c>
      <c r="AK192" t="str">
        <f>IF(ISERROR(MATCH(AI192&amp;"."&amp;AJ192,AK$91:AK191,0)),AI192&amp;"."&amp;AJ192,AI192&amp;"."&amp;AJ192&amp;COUNTIFS(AI$91:AI191,AI192,AJ$91:AJ191,AJ192))</f>
        <v>4118.NA</v>
      </c>
    </row>
    <row r="193" spans="1:37" ht="15" hidden="1">
      <c r="A193" s="120">
        <f>ROW()</f>
        <v>193</v>
      </c>
      <c r="B193" s="120"/>
      <c r="C193" s="1"/>
      <c r="E193" s="121" t="s">
        <v>16</v>
      </c>
      <c r="F193" s="138" t="str">
        <f>INDEX(FuncAllocOptions,ROW(A193)-ROW($A$92)+1,[4]Inputs!$S$11)</f>
        <v>P</v>
      </c>
      <c r="G193" s="133" t="e">
        <f>SUMIF(FERCJAMFactor,AK193,JAMValue)</f>
        <v>#VALUE!</v>
      </c>
      <c r="H193" s="139" t="e">
        <f>INDEX(FuncFactorTbl,MATCH($F193,FuncFactors,0),MATCH(H$8,Functions,0))*$G193</f>
        <v>#VALUE!</v>
      </c>
      <c r="I193" s="139" t="e">
        <f>INDEX(FuncFactorTbl,MATCH($F193,FuncFactors,0),MATCH(I$8,Functions,0))*$G193</f>
        <v>#VALUE!</v>
      </c>
      <c r="J193" s="139" t="e">
        <f>INDEX(FuncFactorTbl,MATCH($F193,FuncFactors,0),MATCH(J$8,Functions,0))*$G193</f>
        <v>#VALUE!</v>
      </c>
      <c r="K193" s="139" t="e">
        <f>INDEX(FuncFactorTbl,MATCH($F193,FuncFactors,0),MATCH(K$8,Functions,0))*$G193</f>
        <v>#VALUE!</v>
      </c>
      <c r="L193" s="139" t="e">
        <f>INDEX(FuncFactorTbl,MATCH($F193,FuncFactors,0),MATCH(L$8,Functions,0))*$G193</f>
        <v>#VALUE!</v>
      </c>
      <c r="N193" s="156">
        <v>0.75</v>
      </c>
      <c r="O193" s="116" t="e">
        <f>$H193*$N193*$M193</f>
        <v>#VALUE!</v>
      </c>
      <c r="P193" s="116" t="e">
        <f>$H193*(1-$N193)*$M193</f>
        <v>#VALUE!</v>
      </c>
      <c r="Q193" s="116" t="e">
        <f>$H193*$N193*(1-$M193)</f>
        <v>#VALUE!</v>
      </c>
      <c r="R193" s="116" t="e">
        <f>$H193*(1-$N193)*(1-$M193)</f>
        <v>#VALUE!</v>
      </c>
      <c r="S193" s="156">
        <v>0.75</v>
      </c>
      <c r="T193" s="116" t="e">
        <f>$I193*$S193*$M193</f>
        <v>#VALUE!</v>
      </c>
      <c r="U193" s="116" t="e">
        <f>$I193*(1-$S193)*$M193</f>
        <v>#VALUE!</v>
      </c>
      <c r="V193" s="116" t="e">
        <f>$I193*$S193*(1-$M193)</f>
        <v>#VALUE!</v>
      </c>
      <c r="W193" s="116" t="e">
        <f>$I193*(1-$S193)*(1-$M193)</f>
        <v>#VALUE!</v>
      </c>
      <c r="X193" s="3" t="str">
        <f>INDEX(DistFuncAllocOptions,ROW(A193)-ROW($A$92)+1,[4]Inputs!$S$11)</f>
        <v>PLNT</v>
      </c>
      <c r="Y193" s="116" t="e">
        <f>INDEX(DistFuncFactorTbl,MATCH($X193,DistFuncFactors,0),MATCH(Y$91,DistFunctions,0))*$J193</f>
        <v>#VALUE!</v>
      </c>
      <c r="Z193" s="116" t="e">
        <f>INDEX(DistFuncFactorTbl,MATCH($X193,DistFuncFactors,0),MATCH(Z$91,DistFunctions,0))*$J193</f>
        <v>#VALUE!</v>
      </c>
      <c r="AA193" s="116" t="e">
        <f>INDEX(DistFuncFactorTbl,MATCH($X193,DistFuncFactors,0),MATCH(AA$91,DistFunctions,0))*$J193</f>
        <v>#VALUE!</v>
      </c>
      <c r="AB193" s="116" t="e">
        <f>INDEX(DistFuncFactorTbl,MATCH($X193,DistFuncFactors,0),MATCH(AB$91,DistFunctions,0))*$J193</f>
        <v>#VALUE!</v>
      </c>
      <c r="AC193" s="116" t="e">
        <f>INDEX(DistFuncFactorTbl,MATCH($X193,DistFuncFactors,0),MATCH(AC$91,DistFunctions,0))*$J193</f>
        <v>#VALUE!</v>
      </c>
      <c r="AD193" s="117" t="e">
        <f>ROUND(SUM(-G193,H193:L193),0)</f>
        <v>#VALUE!</v>
      </c>
      <c r="AE193" s="117" t="e">
        <f>ROUND(H193-O193-P193-Q193-R193,0)</f>
        <v>#VALUE!</v>
      </c>
      <c r="AF193" s="117" t="e">
        <f>ROUND(I193-T193-U193-V193-W193,0)</f>
        <v>#VALUE!</v>
      </c>
      <c r="AG193" s="117" t="e">
        <f>ROUND(J193-Y193-Z193-AA193-AC193-AB193,0)</f>
        <v>#VALUE!</v>
      </c>
      <c r="AH193" s="116"/>
      <c r="AI193">
        <f t="shared" si="72"/>
        <v>4118</v>
      </c>
      <c r="AJ193" t="str">
        <f t="shared" si="50"/>
        <v>SE</v>
      </c>
      <c r="AK193" t="str">
        <f>IF(ISERROR(MATCH(AI193&amp;"."&amp;AJ193,AK$91:AK192,0)),AI193&amp;"."&amp;AJ193,AI193&amp;"."&amp;AJ193&amp;COUNTIFS(AI$91:AI192,AI193,AJ$91:AJ192,AJ193))</f>
        <v>4118.SE</v>
      </c>
    </row>
    <row r="194" spans="1:37" ht="15" hidden="1">
      <c r="A194" s="120">
        <f>ROW()</f>
        <v>194</v>
      </c>
      <c r="B194" s="120"/>
      <c r="C194" s="1"/>
      <c r="E194" s="121"/>
      <c r="F194" s="138"/>
      <c r="G194" s="117" t="e">
        <f t="shared" ref="G194:L194" si="74">SUM(G193)</f>
        <v>#VALUE!</v>
      </c>
      <c r="H194" s="116" t="e">
        <f t="shared" si="74"/>
        <v>#VALUE!</v>
      </c>
      <c r="I194" s="116" t="e">
        <f t="shared" si="74"/>
        <v>#VALUE!</v>
      </c>
      <c r="J194" s="116" t="e">
        <f t="shared" si="74"/>
        <v>#VALUE!</v>
      </c>
      <c r="K194" s="116" t="e">
        <f t="shared" si="74"/>
        <v>#VALUE!</v>
      </c>
      <c r="L194" s="116" t="e">
        <f t="shared" si="74"/>
        <v>#VALUE!</v>
      </c>
      <c r="N194" s="156"/>
      <c r="O194" s="116" t="e">
        <f>SUM(O193)</f>
        <v>#VALUE!</v>
      </c>
      <c r="P194" s="116" t="e">
        <f>SUM(P193)</f>
        <v>#VALUE!</v>
      </c>
      <c r="Q194" s="116" t="e">
        <f>SUM(Q193)</f>
        <v>#VALUE!</v>
      </c>
      <c r="R194" s="116" t="e">
        <f>SUM(R193)</f>
        <v>#VALUE!</v>
      </c>
      <c r="T194" s="116" t="e">
        <f>SUM(T193)</f>
        <v>#VALUE!</v>
      </c>
      <c r="U194" s="116" t="e">
        <f>SUM(U193)</f>
        <v>#VALUE!</v>
      </c>
      <c r="V194" s="116" t="e">
        <f>SUM(V193)</f>
        <v>#VALUE!</v>
      </c>
      <c r="W194" s="116" t="e">
        <f>SUM(W193)</f>
        <v>#VALUE!</v>
      </c>
      <c r="X194" s="3"/>
      <c r="Y194" s="116" t="e">
        <f>SUM(Y193)</f>
        <v>#VALUE!</v>
      </c>
      <c r="Z194" s="116" t="e">
        <f>SUM(Z193)</f>
        <v>#VALUE!</v>
      </c>
      <c r="AA194" s="116" t="e">
        <f>SUM(AA193)</f>
        <v>#VALUE!</v>
      </c>
      <c r="AB194" s="116" t="e">
        <f>SUM(AB193)</f>
        <v>#VALUE!</v>
      </c>
      <c r="AC194" s="116" t="e">
        <f>SUM(AC193)</f>
        <v>#VALUE!</v>
      </c>
      <c r="AD194" s="117" t="e">
        <f>ROUND(SUM(-G194,H194:L194),0)</f>
        <v>#VALUE!</v>
      </c>
      <c r="AE194" s="117" t="e">
        <f>ROUND(H194-O194-P194-Q194-R194,0)</f>
        <v>#VALUE!</v>
      </c>
      <c r="AF194" s="117" t="e">
        <f>ROUND(I194-T194-U194-V194-W194,0)</f>
        <v>#VALUE!</v>
      </c>
      <c r="AG194" s="117" t="e">
        <f>ROUND(J194-Y194-Z194-AA194-AC194-AB194,0)</f>
        <v>#VALUE!</v>
      </c>
      <c r="AH194" s="116"/>
      <c r="AI194">
        <f t="shared" si="72"/>
        <v>4118</v>
      </c>
      <c r="AJ194" t="str">
        <f t="shared" si="50"/>
        <v>NA</v>
      </c>
      <c r="AK194" t="str">
        <f>IF(ISERROR(MATCH(AI194&amp;"."&amp;AJ194,AK$91:AK193,0)),AI194&amp;"."&amp;AJ194,AI194&amp;"."&amp;AJ194&amp;COUNTIFS(AI$91:AI193,AI194,AJ$91:AJ193,AJ194))</f>
        <v>4118.NA1</v>
      </c>
    </row>
    <row r="195" spans="1:37" ht="15" hidden="1">
      <c r="A195" s="120">
        <f>ROW()</f>
        <v>195</v>
      </c>
      <c r="B195" s="120"/>
      <c r="C195" s="1">
        <v>41181</v>
      </c>
      <c r="D195" s="2" t="s">
        <v>168</v>
      </c>
      <c r="E195" s="121"/>
      <c r="F195" s="138"/>
      <c r="G195" s="119"/>
      <c r="N195" s="156"/>
      <c r="X195" s="3"/>
      <c r="AD195" s="119"/>
      <c r="AE195" s="119"/>
      <c r="AF195" s="119"/>
      <c r="AG195" s="119"/>
      <c r="AI195">
        <f t="shared" si="72"/>
        <v>41181</v>
      </c>
      <c r="AJ195" t="str">
        <f t="shared" si="50"/>
        <v>NA</v>
      </c>
      <c r="AK195" t="str">
        <f>IF(ISERROR(MATCH(AI195&amp;"."&amp;AJ195,AK$91:AK194,0)),AI195&amp;"."&amp;AJ195,AI195&amp;"."&amp;AJ195&amp;COUNTIFS(AI$91:AI194,AI195,AJ$91:AJ194,AJ195))</f>
        <v>41181.NA</v>
      </c>
    </row>
    <row r="196" spans="1:37" ht="15" hidden="1">
      <c r="A196" s="120">
        <f>ROW()</f>
        <v>196</v>
      </c>
      <c r="B196" s="120"/>
      <c r="C196" s="1"/>
      <c r="E196" s="121" t="s">
        <v>16</v>
      </c>
      <c r="F196" s="138" t="str">
        <f>INDEX(FuncAllocOptions,ROW(A196)-ROW($A$92)+1,[4]Inputs!$S$11)</f>
        <v>P</v>
      </c>
      <c r="G196" s="133" t="e">
        <f>SUMIF(FERCJAMFactor,AK196,JAMValue)</f>
        <v>#VALUE!</v>
      </c>
      <c r="H196" s="139" t="e">
        <f>INDEX(FuncFactorTbl,MATCH($F196,FuncFactors,0),MATCH(H$8,Functions,0))*$G196</f>
        <v>#VALUE!</v>
      </c>
      <c r="I196" s="139" t="e">
        <f>INDEX(FuncFactorTbl,MATCH($F196,FuncFactors,0),MATCH(I$8,Functions,0))*$G196</f>
        <v>#VALUE!</v>
      </c>
      <c r="J196" s="139" t="e">
        <f>INDEX(FuncFactorTbl,MATCH($F196,FuncFactors,0),MATCH(J$8,Functions,0))*$G196</f>
        <v>#VALUE!</v>
      </c>
      <c r="K196" s="139" t="e">
        <f>INDEX(FuncFactorTbl,MATCH($F196,FuncFactors,0),MATCH(K$8,Functions,0))*$G196</f>
        <v>#VALUE!</v>
      </c>
      <c r="L196" s="139" t="e">
        <f>INDEX(FuncFactorTbl,MATCH($F196,FuncFactors,0),MATCH(L$8,Functions,0))*$G196</f>
        <v>#VALUE!</v>
      </c>
      <c r="N196" s="156">
        <v>0</v>
      </c>
      <c r="O196" s="116" t="e">
        <f>$H196*$N196*$M196</f>
        <v>#VALUE!</v>
      </c>
      <c r="P196" s="116" t="e">
        <f>$H196*(1-$N196)*$M196</f>
        <v>#VALUE!</v>
      </c>
      <c r="Q196" s="116" t="e">
        <f>$H196*$N196*(1-$M196)</f>
        <v>#VALUE!</v>
      </c>
      <c r="R196" s="116" t="e">
        <f>$H196*(1-$N196)*(1-$M196)</f>
        <v>#VALUE!</v>
      </c>
      <c r="S196" s="108">
        <v>0</v>
      </c>
      <c r="T196" s="116" t="e">
        <f>$I196*$S196*$M196</f>
        <v>#VALUE!</v>
      </c>
      <c r="U196" s="116" t="e">
        <f>$I196*(1-$S196)*$M196</f>
        <v>#VALUE!</v>
      </c>
      <c r="V196" s="116" t="e">
        <f>$I196*$S196*(1-$M196)</f>
        <v>#VALUE!</v>
      </c>
      <c r="W196" s="116" t="e">
        <f>$I196*(1-$S196)*(1-$M196)</f>
        <v>#VALUE!</v>
      </c>
      <c r="X196" s="3" t="str">
        <f>INDEX(DistFuncAllocOptions,ROW(A196)-ROW($A$92)+1,[4]Inputs!$S$11)</f>
        <v>PLNT</v>
      </c>
      <c r="Y196" s="116" t="e">
        <f>INDEX(DistFuncFactorTbl,MATCH($X196,DistFuncFactors,0),MATCH(Y$91,DistFunctions,0))*$J196</f>
        <v>#VALUE!</v>
      </c>
      <c r="Z196" s="116" t="e">
        <f>INDEX(DistFuncFactorTbl,MATCH($X196,DistFuncFactors,0),MATCH(Z$91,DistFunctions,0))*$J196</f>
        <v>#VALUE!</v>
      </c>
      <c r="AA196" s="116" t="e">
        <f>INDEX(DistFuncFactorTbl,MATCH($X196,DistFuncFactors,0),MATCH(AA$91,DistFunctions,0))*$J196</f>
        <v>#VALUE!</v>
      </c>
      <c r="AB196" s="116" t="e">
        <f>INDEX(DistFuncFactorTbl,MATCH($X196,DistFuncFactors,0),MATCH(AB$91,DistFunctions,0))*$J196</f>
        <v>#VALUE!</v>
      </c>
      <c r="AC196" s="116" t="e">
        <f>INDEX(DistFuncFactorTbl,MATCH($X196,DistFuncFactors,0),MATCH(AC$91,DistFunctions,0))*$J196</f>
        <v>#VALUE!</v>
      </c>
      <c r="AD196" s="117" t="e">
        <f>ROUND(SUM(-G196,H196:L196),0)</f>
        <v>#VALUE!</v>
      </c>
      <c r="AE196" s="117" t="e">
        <f>ROUND(H196-O196-P196-Q196-R196,0)</f>
        <v>#VALUE!</v>
      </c>
      <c r="AF196" s="117" t="e">
        <f>ROUND(I196-T196-U196-V196-W196,0)</f>
        <v>#VALUE!</v>
      </c>
      <c r="AG196" s="117" t="e">
        <f>ROUND(J196-Y196-Z196-AA196-AC196-AB196,0)</f>
        <v>#VALUE!</v>
      </c>
      <c r="AH196" s="116"/>
      <c r="AI196">
        <f t="shared" si="72"/>
        <v>41181</v>
      </c>
      <c r="AJ196" t="str">
        <f t="shared" si="50"/>
        <v>SE</v>
      </c>
      <c r="AK196" t="str">
        <f>IF(ISERROR(MATCH(AI196&amp;"."&amp;AJ196,AK$91:AK195,0)),AI196&amp;"."&amp;AJ196,AI196&amp;"."&amp;AJ196&amp;COUNTIFS(AI$91:AI195,AI196,AJ$91:AJ195,AJ196))</f>
        <v>41181.SE</v>
      </c>
    </row>
    <row r="197" spans="1:37" ht="15" hidden="1">
      <c r="A197" s="120">
        <f>ROW()</f>
        <v>197</v>
      </c>
      <c r="B197" s="120"/>
      <c r="C197" s="1"/>
      <c r="E197" s="121"/>
      <c r="F197" s="138"/>
      <c r="G197" s="117" t="e">
        <f t="shared" ref="G197:L197" si="75">SUM(G196)</f>
        <v>#VALUE!</v>
      </c>
      <c r="H197" s="116" t="e">
        <f t="shared" si="75"/>
        <v>#VALUE!</v>
      </c>
      <c r="I197" s="116" t="e">
        <f t="shared" si="75"/>
        <v>#VALUE!</v>
      </c>
      <c r="J197" s="116" t="e">
        <f t="shared" si="75"/>
        <v>#VALUE!</v>
      </c>
      <c r="K197" s="116" t="e">
        <f t="shared" si="75"/>
        <v>#VALUE!</v>
      </c>
      <c r="L197" s="116" t="e">
        <f t="shared" si="75"/>
        <v>#VALUE!</v>
      </c>
      <c r="N197" s="156"/>
      <c r="O197" s="116" t="e">
        <f>SUM(O196)</f>
        <v>#VALUE!</v>
      </c>
      <c r="P197" s="116" t="e">
        <f>SUM(P196)</f>
        <v>#VALUE!</v>
      </c>
      <c r="Q197" s="116" t="e">
        <f>SUM(Q196)</f>
        <v>#VALUE!</v>
      </c>
      <c r="R197" s="116" t="e">
        <f>SUM(R196)</f>
        <v>#VALUE!</v>
      </c>
      <c r="T197" s="116" t="e">
        <f>SUM(T196)</f>
        <v>#VALUE!</v>
      </c>
      <c r="U197" s="116" t="e">
        <f>SUM(U196)</f>
        <v>#VALUE!</v>
      </c>
      <c r="V197" s="116" t="e">
        <f>SUM(V196)</f>
        <v>#VALUE!</v>
      </c>
      <c r="W197" s="116" t="e">
        <f>SUM(W196)</f>
        <v>#VALUE!</v>
      </c>
      <c r="X197" s="3"/>
      <c r="Y197" s="116" t="e">
        <f>SUM(Y196)</f>
        <v>#VALUE!</v>
      </c>
      <c r="Z197" s="116" t="e">
        <f>SUM(Z196)</f>
        <v>#VALUE!</v>
      </c>
      <c r="AA197" s="116" t="e">
        <f>SUM(AA196)</f>
        <v>#VALUE!</v>
      </c>
      <c r="AB197" s="116" t="e">
        <f>SUM(AB196)</f>
        <v>#VALUE!</v>
      </c>
      <c r="AC197" s="116" t="e">
        <f>SUM(AC196)</f>
        <v>#VALUE!</v>
      </c>
      <c r="AD197" s="117" t="e">
        <f>ROUND(SUM(-G197,H197:L197),0)</f>
        <v>#VALUE!</v>
      </c>
      <c r="AE197" s="117" t="e">
        <f>ROUND(H197-O197-P197-Q197-R197,0)</f>
        <v>#VALUE!</v>
      </c>
      <c r="AF197" s="117" t="e">
        <f>ROUND(I197-T197-U197-V197-W197,0)</f>
        <v>#VALUE!</v>
      </c>
      <c r="AG197" s="117" t="e">
        <f>ROUND(J197-Y197-Z197-AA197-AC197-AB197,0)</f>
        <v>#VALUE!</v>
      </c>
      <c r="AH197" s="116"/>
      <c r="AI197">
        <f t="shared" si="72"/>
        <v>41181</v>
      </c>
      <c r="AJ197" t="str">
        <f t="shared" si="50"/>
        <v>NA</v>
      </c>
      <c r="AK197" t="str">
        <f>IF(ISERROR(MATCH(AI197&amp;"."&amp;AJ197,AK$91:AK196,0)),AI197&amp;"."&amp;AJ197,AI197&amp;"."&amp;AJ197&amp;COUNTIFS(AI$91:AI196,AI197,AJ$91:AJ196,AJ197))</f>
        <v>41181.NA1</v>
      </c>
    </row>
    <row r="198" spans="1:37" ht="15" hidden="1">
      <c r="A198" s="120">
        <f>ROW()</f>
        <v>198</v>
      </c>
      <c r="B198" s="120"/>
      <c r="C198" s="1"/>
      <c r="E198" s="121"/>
      <c r="F198" s="138"/>
      <c r="G198" s="119"/>
      <c r="N198" s="156"/>
      <c r="X198" s="3"/>
      <c r="AD198" s="119"/>
      <c r="AE198" s="119"/>
      <c r="AF198" s="119"/>
      <c r="AG198" s="119"/>
      <c r="AI198">
        <f t="shared" si="72"/>
        <v>41181</v>
      </c>
      <c r="AJ198" t="str">
        <f t="shared" si="50"/>
        <v>NA</v>
      </c>
      <c r="AK198" t="str">
        <f>IF(ISERROR(MATCH(AI198&amp;"."&amp;AJ198,AK$91:AK197,0)),AI198&amp;"."&amp;AJ198,AI198&amp;"."&amp;AJ198&amp;COUNTIFS(AI$91:AI197,AI198,AJ$91:AJ197,AJ198))</f>
        <v>41181.NA2</v>
      </c>
    </row>
    <row r="199" spans="1:37" ht="15" hidden="1">
      <c r="A199" s="120">
        <f>ROW()</f>
        <v>199</v>
      </c>
      <c r="B199" s="120"/>
      <c r="C199" s="1">
        <v>4194</v>
      </c>
      <c r="D199" s="2" t="s">
        <v>169</v>
      </c>
      <c r="E199" s="121"/>
      <c r="F199" s="138"/>
      <c r="G199" s="119"/>
      <c r="N199" s="156"/>
      <c r="X199" s="3"/>
      <c r="AD199" s="119"/>
      <c r="AE199" s="119"/>
      <c r="AF199" s="119"/>
      <c r="AG199" s="119"/>
      <c r="AI199">
        <f t="shared" si="72"/>
        <v>4194</v>
      </c>
      <c r="AJ199" t="str">
        <f t="shared" si="50"/>
        <v>NA</v>
      </c>
      <c r="AK199" t="str">
        <f>IF(ISERROR(MATCH(AI199&amp;"."&amp;AJ199,AK$91:AK198,0)),AI199&amp;"."&amp;AJ199,AI199&amp;"."&amp;AJ199&amp;COUNTIFS(AI$91:AI198,AI199,AJ$91:AJ198,AJ199))</f>
        <v>4194.NA</v>
      </c>
    </row>
    <row r="200" spans="1:37" ht="15" hidden="1">
      <c r="A200" s="120">
        <f>ROW()</f>
        <v>200</v>
      </c>
      <c r="B200" s="120"/>
      <c r="C200" s="1"/>
      <c r="E200" s="121" t="s">
        <v>15</v>
      </c>
      <c r="F200" s="138" t="str">
        <f>INDEX(FuncAllocOptions,ROW(A200)-ROW($A$92)+1,[4]Inputs!$S$11)</f>
        <v>P</v>
      </c>
      <c r="G200" s="133" t="e">
        <f>SUMIF(FERCJAMFactor,AK200,JAMValue)</f>
        <v>#VALUE!</v>
      </c>
      <c r="H200" s="139" t="e">
        <f>INDEX(FuncFactorTbl,MATCH($F200,FuncFactors,0),MATCH(H$8,Functions,0))*$G200</f>
        <v>#VALUE!</v>
      </c>
      <c r="I200" s="139" t="e">
        <f>INDEX(FuncFactorTbl,MATCH($F200,FuncFactors,0),MATCH(I$8,Functions,0))*$G200</f>
        <v>#VALUE!</v>
      </c>
      <c r="J200" s="139" t="e">
        <f>INDEX(FuncFactorTbl,MATCH($F200,FuncFactors,0),MATCH(J$8,Functions,0))*$G200</f>
        <v>#VALUE!</v>
      </c>
      <c r="K200" s="139" t="e">
        <f>INDEX(FuncFactorTbl,MATCH($F200,FuncFactors,0),MATCH(K$8,Functions,0))*$G200</f>
        <v>#VALUE!</v>
      </c>
      <c r="L200" s="139" t="e">
        <f>INDEX(FuncFactorTbl,MATCH($F200,FuncFactors,0),MATCH(L$8,Functions,0))*$G200</f>
        <v>#VALUE!</v>
      </c>
      <c r="N200" s="156">
        <v>0.75</v>
      </c>
      <c r="O200" s="116" t="e">
        <f>$H200*$N200*$M200</f>
        <v>#VALUE!</v>
      </c>
      <c r="P200" s="116" t="e">
        <f>$H200*(1-$N200)*$M200</f>
        <v>#VALUE!</v>
      </c>
      <c r="Q200" s="116" t="e">
        <f>$H200*$N200*(1-$M200)</f>
        <v>#VALUE!</v>
      </c>
      <c r="R200" s="116" t="e">
        <f>$H200*(1-$N200)*(1-$M200)</f>
        <v>#VALUE!</v>
      </c>
      <c r="S200" s="108">
        <v>0.75</v>
      </c>
      <c r="T200" s="116" t="e">
        <f>$I200*$S200*$M200</f>
        <v>#VALUE!</v>
      </c>
      <c r="U200" s="116" t="e">
        <f>$I200*(1-$S200)*$M200</f>
        <v>#VALUE!</v>
      </c>
      <c r="V200" s="116" t="e">
        <f>$I200*$S200*(1-$M200)</f>
        <v>#VALUE!</v>
      </c>
      <c r="W200" s="116" t="e">
        <f>$I200*(1-$S200)*(1-$M200)</f>
        <v>#VALUE!</v>
      </c>
      <c r="X200" s="3" t="str">
        <f>INDEX(DistFuncAllocOptions,ROW(A200)-ROW($A$92)+1,[4]Inputs!$S$11)</f>
        <v>PLNT</v>
      </c>
      <c r="Y200" s="116" t="e">
        <f>INDEX(DistFuncFactorTbl,MATCH($X200,DistFuncFactors,0),MATCH(Y$91,DistFunctions,0))*$J200</f>
        <v>#VALUE!</v>
      </c>
      <c r="Z200" s="116" t="e">
        <f>INDEX(DistFuncFactorTbl,MATCH($X200,DistFuncFactors,0),MATCH(Z$91,DistFunctions,0))*$J200</f>
        <v>#VALUE!</v>
      </c>
      <c r="AA200" s="116" t="e">
        <f>INDEX(DistFuncFactorTbl,MATCH($X200,DistFuncFactors,0),MATCH(AA$91,DistFunctions,0))*$J200</f>
        <v>#VALUE!</v>
      </c>
      <c r="AB200" s="116" t="e">
        <f>INDEX(DistFuncFactorTbl,MATCH($X200,DistFuncFactors,0),MATCH(AB$91,DistFunctions,0))*$J200</f>
        <v>#VALUE!</v>
      </c>
      <c r="AC200" s="116" t="e">
        <f>INDEX(DistFuncFactorTbl,MATCH($X200,DistFuncFactors,0),MATCH(AC$91,DistFunctions,0))*$J200</f>
        <v>#VALUE!</v>
      </c>
      <c r="AD200" s="117" t="e">
        <f>ROUND(SUM(-G200,H200:L200),0)</f>
        <v>#VALUE!</v>
      </c>
      <c r="AE200" s="117" t="e">
        <f>ROUND(H200-O200-P200-Q200-R200,0)</f>
        <v>#VALUE!</v>
      </c>
      <c r="AF200" s="117" t="e">
        <f>ROUND(I200-T200-U200-V200-W200,0)</f>
        <v>#VALUE!</v>
      </c>
      <c r="AG200" s="117" t="e">
        <f>ROUND(J200-Y200-Z200-AA200-AC200-AB200,0)</f>
        <v>#VALUE!</v>
      </c>
      <c r="AH200" s="116"/>
      <c r="AI200">
        <f t="shared" si="72"/>
        <v>4194</v>
      </c>
      <c r="AJ200" t="str">
        <f t="shared" si="50"/>
        <v>SG</v>
      </c>
      <c r="AK200" t="str">
        <f>IF(ISERROR(MATCH(AI200&amp;"."&amp;AJ200,AK$91:AK199,0)),AI200&amp;"."&amp;AJ200,AI200&amp;"."&amp;AJ200&amp;COUNTIFS(AI$91:AI199,AI200,AJ$91:AJ199,AJ200))</f>
        <v>4194.SG</v>
      </c>
    </row>
    <row r="201" spans="1:37" ht="15" hidden="1">
      <c r="A201" s="120">
        <f>ROW()</f>
        <v>201</v>
      </c>
      <c r="B201" s="120"/>
      <c r="C201" s="1"/>
      <c r="E201" s="121"/>
      <c r="F201" s="138"/>
      <c r="G201" s="117" t="e">
        <f t="shared" ref="G201:L201" si="76">SUM(G200)</f>
        <v>#VALUE!</v>
      </c>
      <c r="H201" s="116" t="e">
        <f t="shared" si="76"/>
        <v>#VALUE!</v>
      </c>
      <c r="I201" s="116" t="e">
        <f t="shared" si="76"/>
        <v>#VALUE!</v>
      </c>
      <c r="J201" s="116" t="e">
        <f t="shared" si="76"/>
        <v>#VALUE!</v>
      </c>
      <c r="K201" s="116" t="e">
        <f t="shared" si="76"/>
        <v>#VALUE!</v>
      </c>
      <c r="L201" s="116" t="e">
        <f t="shared" si="76"/>
        <v>#VALUE!</v>
      </c>
      <c r="O201" s="116" t="e">
        <f>SUM(O200)</f>
        <v>#VALUE!</v>
      </c>
      <c r="P201" s="116" t="e">
        <f>SUM(P200)</f>
        <v>#VALUE!</v>
      </c>
      <c r="Q201" s="116" t="e">
        <f>SUM(Q200)</f>
        <v>#VALUE!</v>
      </c>
      <c r="R201" s="116" t="e">
        <f>SUM(R200)</f>
        <v>#VALUE!</v>
      </c>
      <c r="T201" s="116" t="e">
        <f>SUM(T200)</f>
        <v>#VALUE!</v>
      </c>
      <c r="U201" s="116" t="e">
        <f>SUM(U200)</f>
        <v>#VALUE!</v>
      </c>
      <c r="V201" s="116" t="e">
        <f>SUM(V200)</f>
        <v>#VALUE!</v>
      </c>
      <c r="W201" s="116" t="e">
        <f>SUM(W200)</f>
        <v>#VALUE!</v>
      </c>
      <c r="X201" s="3"/>
      <c r="Y201" s="116" t="e">
        <f>SUM(Y200)</f>
        <v>#VALUE!</v>
      </c>
      <c r="Z201" s="116" t="e">
        <f>SUM(Z200)</f>
        <v>#VALUE!</v>
      </c>
      <c r="AA201" s="116" t="e">
        <f>SUM(AA200)</f>
        <v>#VALUE!</v>
      </c>
      <c r="AB201" s="116" t="e">
        <f>SUM(AB200)</f>
        <v>#VALUE!</v>
      </c>
      <c r="AC201" s="116" t="e">
        <f>SUM(AC200)</f>
        <v>#VALUE!</v>
      </c>
      <c r="AD201" s="117" t="e">
        <f>ROUND(SUM(-G201,H201:L201),0)</f>
        <v>#VALUE!</v>
      </c>
      <c r="AE201" s="117" t="e">
        <f>ROUND(H201-O201-P201-Q201-R201,0)</f>
        <v>#VALUE!</v>
      </c>
      <c r="AF201" s="117" t="e">
        <f>ROUND(I201-T201-U201-V201-W201,0)</f>
        <v>#VALUE!</v>
      </c>
      <c r="AG201" s="117" t="e">
        <f>ROUND(J201-Y201-Z201-AA201-AC201-AB201,0)</f>
        <v>#VALUE!</v>
      </c>
      <c r="AH201" s="116"/>
      <c r="AI201">
        <f t="shared" si="72"/>
        <v>4194</v>
      </c>
      <c r="AJ201" t="str">
        <f t="shared" si="50"/>
        <v>NA</v>
      </c>
      <c r="AK201" t="str">
        <f>IF(ISERROR(MATCH(AI201&amp;"."&amp;AJ201,AK$91:AK200,0)),AI201&amp;"."&amp;AJ201,AI201&amp;"."&amp;AJ201&amp;COUNTIFS(AI$91:AI200,AI201,AJ$91:AJ200,AJ201))</f>
        <v>4194.NA1</v>
      </c>
    </row>
    <row r="202" spans="1:37" ht="15" hidden="1">
      <c r="A202" s="120">
        <f>ROW()</f>
        <v>202</v>
      </c>
      <c r="B202" s="120"/>
      <c r="C202" s="1"/>
      <c r="E202" s="121"/>
      <c r="F202" s="138"/>
      <c r="G202" s="119"/>
      <c r="X202" s="3"/>
      <c r="AD202" s="119"/>
      <c r="AE202" s="119"/>
      <c r="AF202" s="119"/>
      <c r="AG202" s="119"/>
      <c r="AI202">
        <f t="shared" si="72"/>
        <v>4194</v>
      </c>
      <c r="AJ202" t="str">
        <f t="shared" si="50"/>
        <v>NA</v>
      </c>
      <c r="AK202" t="str">
        <f>IF(ISERROR(MATCH(AI202&amp;"."&amp;AJ202,AK$91:AK201,0)),AI202&amp;"."&amp;AJ202,AI202&amp;"."&amp;AJ202&amp;COUNTIFS(AI$91:AI201,AI202,AJ$91:AJ201,AJ202))</f>
        <v>4194.NA2</v>
      </c>
    </row>
    <row r="203" spans="1:37" ht="15" hidden="1">
      <c r="A203" s="120">
        <f>ROW()</f>
        <v>203</v>
      </c>
      <c r="B203" s="120"/>
      <c r="C203" s="1">
        <v>421</v>
      </c>
      <c r="D203" s="2" t="s">
        <v>170</v>
      </c>
      <c r="E203" s="121"/>
      <c r="F203" s="138"/>
      <c r="G203" s="119"/>
      <c r="X203" s="3"/>
      <c r="AD203" s="119"/>
      <c r="AE203" s="119"/>
      <c r="AF203" s="119"/>
      <c r="AG203" s="119"/>
      <c r="AI203">
        <f t="shared" si="72"/>
        <v>421</v>
      </c>
      <c r="AJ203" t="str">
        <f t="shared" si="50"/>
        <v>NA</v>
      </c>
      <c r="AK203" t="str">
        <f>IF(ISERROR(MATCH(AI203&amp;"."&amp;AJ203,AK$91:AK202,0)),AI203&amp;"."&amp;AJ203,AI203&amp;"."&amp;AJ203&amp;COUNTIFS(AI$91:AI202,AI203,AJ$91:AJ202,AJ203))</f>
        <v>421.NA</v>
      </c>
    </row>
    <row r="204" spans="1:37" ht="15" hidden="1">
      <c r="A204" s="120">
        <f>ROW()</f>
        <v>204</v>
      </c>
      <c r="B204" s="120"/>
      <c r="E204" s="121" t="s">
        <v>12</v>
      </c>
      <c r="F204" s="138" t="str">
        <f>INDEX(FuncAllocOptions,ROW(A204)-ROW($A$92)+1,[4]Inputs!$S$11)</f>
        <v>DPW</v>
      </c>
      <c r="G204" s="117" t="e">
        <f t="shared" ref="G204:G209" si="77">SUMIF(FERCJAMFactor,AK204,JAMValue)</f>
        <v>#VALUE!</v>
      </c>
      <c r="H204" s="116" t="e">
        <f t="shared" ref="H204:L209" si="78">INDEX(FuncFactorTbl,MATCH($F204,FuncFactors,0),MATCH(H$8,Functions,0))*$G204</f>
        <v>#VALUE!</v>
      </c>
      <c r="I204" s="116" t="e">
        <f t="shared" si="78"/>
        <v>#VALUE!</v>
      </c>
      <c r="J204" s="116" t="e">
        <f t="shared" si="78"/>
        <v>#VALUE!</v>
      </c>
      <c r="K204" s="116" t="e">
        <f t="shared" si="78"/>
        <v>#VALUE!</v>
      </c>
      <c r="L204" s="116" t="e">
        <f t="shared" si="78"/>
        <v>#VALUE!</v>
      </c>
      <c r="N204" s="156">
        <v>0.75</v>
      </c>
      <c r="O204" s="116" t="e">
        <f t="shared" ref="O204:O209" si="79">$H204*$N204*$M204</f>
        <v>#VALUE!</v>
      </c>
      <c r="P204" s="116" t="e">
        <f t="shared" ref="P204:P209" si="80">$H204*(1-$N204)*$M204</f>
        <v>#VALUE!</v>
      </c>
      <c r="Q204" s="116" t="e">
        <f t="shared" ref="Q204:Q209" si="81">$H204*$N204*(1-$M204)</f>
        <v>#VALUE!</v>
      </c>
      <c r="R204" s="116" t="e">
        <f t="shared" ref="R204:R209" si="82">$H204*(1-$N204)*(1-$M204)</f>
        <v>#VALUE!</v>
      </c>
      <c r="S204" s="108">
        <v>0.75</v>
      </c>
      <c r="T204" s="116" t="e">
        <f t="shared" ref="T204:T209" si="83">$I204*$S204*$M204</f>
        <v>#VALUE!</v>
      </c>
      <c r="U204" s="116" t="e">
        <f t="shared" ref="U204:U209" si="84">$I204*(1-$S204)*$M204</f>
        <v>#VALUE!</v>
      </c>
      <c r="V204" s="116" t="e">
        <f t="shared" ref="V204:V209" si="85">$I204*$S204*(1-$M204)</f>
        <v>#VALUE!</v>
      </c>
      <c r="W204" s="116" t="e">
        <f t="shared" ref="W204:W209" si="86">$I204*(1-$S204)*(1-$M204)</f>
        <v>#VALUE!</v>
      </c>
      <c r="X204" s="3" t="str">
        <f>INDEX(DistFuncAllocOptions,ROW(A204)-ROW($A$92)+1,[4]Inputs!$S$11)</f>
        <v>PLNT</v>
      </c>
      <c r="Y204" s="116" t="e">
        <f t="shared" ref="Y204:AC209" si="87">INDEX(DistFuncFactorTbl,MATCH($X204,DistFuncFactors,0),MATCH(Y$91,DistFunctions,0))*$J204</f>
        <v>#VALUE!</v>
      </c>
      <c r="Z204" s="116" t="e">
        <f t="shared" si="87"/>
        <v>#VALUE!</v>
      </c>
      <c r="AA204" s="116" t="e">
        <f t="shared" si="87"/>
        <v>#VALUE!</v>
      </c>
      <c r="AB204" s="116" t="e">
        <f t="shared" si="87"/>
        <v>#VALUE!</v>
      </c>
      <c r="AC204" s="116" t="e">
        <f t="shared" si="87"/>
        <v>#VALUE!</v>
      </c>
      <c r="AD204" s="117" t="e">
        <f t="shared" ref="AD204:AD210" si="88">ROUND(SUM(-G204,H204:L204),0)</f>
        <v>#VALUE!</v>
      </c>
      <c r="AE204" s="117" t="e">
        <f t="shared" ref="AE204:AE210" si="89">ROUND(H204-O204-P204-Q204-R204,0)</f>
        <v>#VALUE!</v>
      </c>
      <c r="AF204" s="117" t="e">
        <f t="shared" ref="AF204:AF210" si="90">ROUND(I204-T204-U204-V204-W204,0)</f>
        <v>#VALUE!</v>
      </c>
      <c r="AG204" s="117" t="e">
        <f t="shared" ref="AG204:AG210" si="91">ROUND(J204-Y204-Z204-AA204-AC204-AB204,0)</f>
        <v>#VALUE!</v>
      </c>
      <c r="AH204" s="116"/>
      <c r="AI204">
        <f t="shared" si="72"/>
        <v>421</v>
      </c>
      <c r="AJ204" t="str">
        <f t="shared" si="50"/>
        <v>S</v>
      </c>
      <c r="AK204" t="str">
        <f>IF(ISERROR(MATCH(AI204&amp;"."&amp;AJ204,AK$91:AK203,0)),AI204&amp;"."&amp;AJ204,AI204&amp;"."&amp;AJ204&amp;COUNTIFS(AI$91:AI203,AI204,AJ$91:AJ203,AJ204))</f>
        <v>421.S</v>
      </c>
    </row>
    <row r="205" spans="1:37" ht="15" hidden="1">
      <c r="A205" s="120">
        <f>ROW()</f>
        <v>205</v>
      </c>
      <c r="B205" s="120"/>
      <c r="E205" s="121" t="s">
        <v>15</v>
      </c>
      <c r="F205" s="138" t="str">
        <f>INDEX(FuncAllocOptions,ROW(A205)-ROW($A$92)+1,[4]Inputs!$S$11)</f>
        <v>P</v>
      </c>
      <c r="G205" s="117" t="e">
        <f t="shared" si="77"/>
        <v>#VALUE!</v>
      </c>
      <c r="H205" s="116" t="e">
        <f t="shared" si="78"/>
        <v>#VALUE!</v>
      </c>
      <c r="I205" s="116" t="e">
        <f t="shared" si="78"/>
        <v>#VALUE!</v>
      </c>
      <c r="J205" s="116" t="e">
        <f t="shared" si="78"/>
        <v>#VALUE!</v>
      </c>
      <c r="K205" s="116" t="e">
        <f t="shared" si="78"/>
        <v>#VALUE!</v>
      </c>
      <c r="L205" s="116" t="e">
        <f t="shared" si="78"/>
        <v>#VALUE!</v>
      </c>
      <c r="N205" s="156">
        <v>0.75</v>
      </c>
      <c r="O205" s="116" t="e">
        <f t="shared" si="79"/>
        <v>#VALUE!</v>
      </c>
      <c r="P205" s="116" t="e">
        <f t="shared" si="80"/>
        <v>#VALUE!</v>
      </c>
      <c r="Q205" s="116" t="e">
        <f t="shared" si="81"/>
        <v>#VALUE!</v>
      </c>
      <c r="R205" s="116" t="e">
        <f t="shared" si="82"/>
        <v>#VALUE!</v>
      </c>
      <c r="S205" s="108">
        <v>0.75</v>
      </c>
      <c r="T205" s="116" t="e">
        <f t="shared" si="83"/>
        <v>#VALUE!</v>
      </c>
      <c r="U205" s="116" t="e">
        <f t="shared" si="84"/>
        <v>#VALUE!</v>
      </c>
      <c r="V205" s="116" t="e">
        <f t="shared" si="85"/>
        <v>#VALUE!</v>
      </c>
      <c r="W205" s="116" t="e">
        <f t="shared" si="86"/>
        <v>#VALUE!</v>
      </c>
      <c r="X205" s="3" t="str">
        <f>INDEX(DistFuncAllocOptions,ROW(A205)-ROW($A$92)+1,[4]Inputs!$S$11)</f>
        <v>PLNT</v>
      </c>
      <c r="Y205" s="116" t="e">
        <f t="shared" si="87"/>
        <v>#VALUE!</v>
      </c>
      <c r="Z205" s="116" t="e">
        <f t="shared" si="87"/>
        <v>#VALUE!</v>
      </c>
      <c r="AA205" s="116" t="e">
        <f t="shared" si="87"/>
        <v>#VALUE!</v>
      </c>
      <c r="AB205" s="116" t="e">
        <f t="shared" si="87"/>
        <v>#VALUE!</v>
      </c>
      <c r="AC205" s="116" t="e">
        <f t="shared" si="87"/>
        <v>#VALUE!</v>
      </c>
      <c r="AD205" s="117" t="e">
        <f t="shared" si="88"/>
        <v>#VALUE!</v>
      </c>
      <c r="AE205" s="117" t="e">
        <f t="shared" si="89"/>
        <v>#VALUE!</v>
      </c>
      <c r="AF205" s="117" t="e">
        <f t="shared" si="90"/>
        <v>#VALUE!</v>
      </c>
      <c r="AG205" s="117" t="e">
        <f t="shared" si="91"/>
        <v>#VALUE!</v>
      </c>
      <c r="AH205" s="116"/>
      <c r="AI205">
        <f t="shared" si="72"/>
        <v>421</v>
      </c>
      <c r="AJ205" t="str">
        <f t="shared" si="50"/>
        <v>SG</v>
      </c>
      <c r="AK205" t="str">
        <f>IF(ISERROR(MATCH(AI205&amp;"."&amp;AJ205,AK$91:AK204,0)),AI205&amp;"."&amp;AJ205,AI205&amp;"."&amp;AJ205&amp;COUNTIFS(AI$91:AI204,AI205,AJ$91:AJ204,AJ205))</f>
        <v>421.SG</v>
      </c>
    </row>
    <row r="206" spans="1:37" ht="15" hidden="1">
      <c r="A206" s="120">
        <f>ROW()</f>
        <v>206</v>
      </c>
      <c r="B206" s="120"/>
      <c r="E206" s="121" t="s">
        <v>15</v>
      </c>
      <c r="F206" s="138" t="str">
        <f>INDEX(FuncAllocOptions,ROW(A206)-ROW($A$92)+1,[4]Inputs!$S$11)</f>
        <v>T</v>
      </c>
      <c r="G206" s="117" t="e">
        <f t="shared" si="77"/>
        <v>#VALUE!</v>
      </c>
      <c r="H206" s="116" t="e">
        <f t="shared" si="78"/>
        <v>#VALUE!</v>
      </c>
      <c r="I206" s="116" t="e">
        <f t="shared" si="78"/>
        <v>#VALUE!</v>
      </c>
      <c r="J206" s="116" t="e">
        <f t="shared" si="78"/>
        <v>#VALUE!</v>
      </c>
      <c r="K206" s="116" t="e">
        <f t="shared" si="78"/>
        <v>#VALUE!</v>
      </c>
      <c r="L206" s="116" t="e">
        <f t="shared" si="78"/>
        <v>#VALUE!</v>
      </c>
      <c r="N206" s="156">
        <v>0.75</v>
      </c>
      <c r="O206" s="116" t="e">
        <f t="shared" si="79"/>
        <v>#VALUE!</v>
      </c>
      <c r="P206" s="116" t="e">
        <f t="shared" si="80"/>
        <v>#VALUE!</v>
      </c>
      <c r="Q206" s="116" t="e">
        <f t="shared" si="81"/>
        <v>#VALUE!</v>
      </c>
      <c r="R206" s="116" t="e">
        <f t="shared" si="82"/>
        <v>#VALUE!</v>
      </c>
      <c r="S206" s="108">
        <v>0.75</v>
      </c>
      <c r="T206" s="116" t="e">
        <f t="shared" si="83"/>
        <v>#VALUE!</v>
      </c>
      <c r="U206" s="116" t="e">
        <f t="shared" si="84"/>
        <v>#VALUE!</v>
      </c>
      <c r="V206" s="116" t="e">
        <f t="shared" si="85"/>
        <v>#VALUE!</v>
      </c>
      <c r="W206" s="116" t="e">
        <f t="shared" si="86"/>
        <v>#VALUE!</v>
      </c>
      <c r="X206" s="3" t="str">
        <f>INDEX(DistFuncAllocOptions,ROW(A206)-ROW($A$92)+1,[4]Inputs!$S$11)</f>
        <v>PLNT</v>
      </c>
      <c r="Y206" s="116" t="e">
        <f t="shared" si="87"/>
        <v>#VALUE!</v>
      </c>
      <c r="Z206" s="116" t="e">
        <f t="shared" si="87"/>
        <v>#VALUE!</v>
      </c>
      <c r="AA206" s="116" t="e">
        <f t="shared" si="87"/>
        <v>#VALUE!</v>
      </c>
      <c r="AB206" s="116" t="e">
        <f t="shared" si="87"/>
        <v>#VALUE!</v>
      </c>
      <c r="AC206" s="116" t="e">
        <f t="shared" si="87"/>
        <v>#VALUE!</v>
      </c>
      <c r="AD206" s="117" t="e">
        <f t="shared" si="88"/>
        <v>#VALUE!</v>
      </c>
      <c r="AE206" s="117" t="e">
        <f t="shared" si="89"/>
        <v>#VALUE!</v>
      </c>
      <c r="AF206" s="117" t="e">
        <f t="shared" si="90"/>
        <v>#VALUE!</v>
      </c>
      <c r="AG206" s="117" t="e">
        <f t="shared" si="91"/>
        <v>#VALUE!</v>
      </c>
      <c r="AH206" s="116"/>
      <c r="AI206">
        <f t="shared" si="72"/>
        <v>421</v>
      </c>
      <c r="AJ206" t="str">
        <f t="shared" si="50"/>
        <v>SG</v>
      </c>
      <c r="AK206" t="str">
        <f>IF(ISERROR(MATCH(AI206&amp;"."&amp;AJ206,AK$91:AK205,0)),AI206&amp;"."&amp;AJ206,AI206&amp;"."&amp;AJ206&amp;COUNTIFS(AI$91:AI205,AI206,AJ$91:AJ205,AJ206))</f>
        <v>421.SG1</v>
      </c>
    </row>
    <row r="207" spans="1:37" ht="15" hidden="1">
      <c r="A207" s="120">
        <f>ROW()</f>
        <v>207</v>
      </c>
      <c r="B207" s="120"/>
      <c r="E207" s="121" t="s">
        <v>155</v>
      </c>
      <c r="F207" s="138" t="str">
        <f>INDEX(FuncAllocOptions,ROW(A207)-ROW($A$92)+1,[4]Inputs!$S$11)</f>
        <v>CUST</v>
      </c>
      <c r="G207" s="117" t="e">
        <f t="shared" si="77"/>
        <v>#VALUE!</v>
      </c>
      <c r="H207" s="116" t="e">
        <f t="shared" si="78"/>
        <v>#VALUE!</v>
      </c>
      <c r="I207" s="116" t="e">
        <f t="shared" si="78"/>
        <v>#VALUE!</v>
      </c>
      <c r="J207" s="116" t="e">
        <f t="shared" si="78"/>
        <v>#VALUE!</v>
      </c>
      <c r="K207" s="116" t="e">
        <f t="shared" si="78"/>
        <v>#VALUE!</v>
      </c>
      <c r="L207" s="116" t="e">
        <f t="shared" si="78"/>
        <v>#VALUE!</v>
      </c>
      <c r="N207" s="156">
        <v>0.75</v>
      </c>
      <c r="O207" s="116" t="e">
        <f t="shared" si="79"/>
        <v>#VALUE!</v>
      </c>
      <c r="P207" s="116" t="e">
        <f t="shared" si="80"/>
        <v>#VALUE!</v>
      </c>
      <c r="Q207" s="116" t="e">
        <f t="shared" si="81"/>
        <v>#VALUE!</v>
      </c>
      <c r="R207" s="116" t="e">
        <f t="shared" si="82"/>
        <v>#VALUE!</v>
      </c>
      <c r="S207" s="108">
        <v>0.75</v>
      </c>
      <c r="T207" s="116" t="e">
        <f t="shared" si="83"/>
        <v>#VALUE!</v>
      </c>
      <c r="U207" s="116" t="e">
        <f t="shared" si="84"/>
        <v>#VALUE!</v>
      </c>
      <c r="V207" s="116" t="e">
        <f t="shared" si="85"/>
        <v>#VALUE!</v>
      </c>
      <c r="W207" s="116" t="e">
        <f t="shared" si="86"/>
        <v>#VALUE!</v>
      </c>
      <c r="X207" s="3" t="str">
        <f>INDEX(DistFuncAllocOptions,ROW(A207)-ROW($A$92)+1,[4]Inputs!$S$11)</f>
        <v>PLNT</v>
      </c>
      <c r="Y207" s="116" t="e">
        <f t="shared" si="87"/>
        <v>#VALUE!</v>
      </c>
      <c r="Z207" s="116" t="e">
        <f t="shared" si="87"/>
        <v>#VALUE!</v>
      </c>
      <c r="AA207" s="116" t="e">
        <f t="shared" si="87"/>
        <v>#VALUE!</v>
      </c>
      <c r="AB207" s="116" t="e">
        <f t="shared" si="87"/>
        <v>#VALUE!</v>
      </c>
      <c r="AC207" s="116" t="e">
        <f t="shared" si="87"/>
        <v>#VALUE!</v>
      </c>
      <c r="AD207" s="117" t="e">
        <f t="shared" si="88"/>
        <v>#VALUE!</v>
      </c>
      <c r="AE207" s="117" t="e">
        <f t="shared" si="89"/>
        <v>#VALUE!</v>
      </c>
      <c r="AF207" s="117" t="e">
        <f t="shared" si="90"/>
        <v>#VALUE!</v>
      </c>
      <c r="AG207" s="117" t="e">
        <f t="shared" si="91"/>
        <v>#VALUE!</v>
      </c>
      <c r="AH207" s="116"/>
      <c r="AI207">
        <f t="shared" si="72"/>
        <v>421</v>
      </c>
      <c r="AJ207" t="str">
        <f t="shared" si="50"/>
        <v>CN</v>
      </c>
      <c r="AK207" t="str">
        <f>IF(ISERROR(MATCH(AI207&amp;"."&amp;AJ207,AK$91:AK206,0)),AI207&amp;"."&amp;AJ207,AI207&amp;"."&amp;AJ207&amp;COUNTIFS(AI$91:AI206,AI207,AJ$91:AJ206,AJ207))</f>
        <v>421.CN</v>
      </c>
    </row>
    <row r="208" spans="1:37" ht="15" hidden="1">
      <c r="A208" s="120">
        <f>ROW()</f>
        <v>208</v>
      </c>
      <c r="B208" s="120"/>
      <c r="E208" s="121" t="s">
        <v>136</v>
      </c>
      <c r="F208" s="138" t="str">
        <f>INDEX(FuncAllocOptions,ROW(A208)-ROW($A$92)+1,[4]Inputs!$S$11)</f>
        <v>PTD</v>
      </c>
      <c r="G208" s="117" t="e">
        <f t="shared" si="77"/>
        <v>#VALUE!</v>
      </c>
      <c r="H208" s="116" t="e">
        <f t="shared" si="78"/>
        <v>#VALUE!</v>
      </c>
      <c r="I208" s="116" t="e">
        <f t="shared" si="78"/>
        <v>#VALUE!</v>
      </c>
      <c r="J208" s="116" t="e">
        <f t="shared" si="78"/>
        <v>#VALUE!</v>
      </c>
      <c r="K208" s="116" t="e">
        <f t="shared" si="78"/>
        <v>#VALUE!</v>
      </c>
      <c r="L208" s="116" t="e">
        <f t="shared" si="78"/>
        <v>#VALUE!</v>
      </c>
      <c r="N208" s="156">
        <v>0.75</v>
      </c>
      <c r="O208" s="116" t="e">
        <f t="shared" si="79"/>
        <v>#VALUE!</v>
      </c>
      <c r="P208" s="116" t="e">
        <f t="shared" si="80"/>
        <v>#VALUE!</v>
      </c>
      <c r="Q208" s="116" t="e">
        <f t="shared" si="81"/>
        <v>#VALUE!</v>
      </c>
      <c r="R208" s="116" t="e">
        <f t="shared" si="82"/>
        <v>#VALUE!</v>
      </c>
      <c r="S208" s="108">
        <v>0.75</v>
      </c>
      <c r="T208" s="116" t="e">
        <f t="shared" si="83"/>
        <v>#VALUE!</v>
      </c>
      <c r="U208" s="116" t="e">
        <f t="shared" si="84"/>
        <v>#VALUE!</v>
      </c>
      <c r="V208" s="116" t="e">
        <f t="shared" si="85"/>
        <v>#VALUE!</v>
      </c>
      <c r="W208" s="116" t="e">
        <f t="shared" si="86"/>
        <v>#VALUE!</v>
      </c>
      <c r="X208" s="3" t="str">
        <f>INDEX(DistFuncAllocOptions,ROW(A208)-ROW($A$92)+1,[4]Inputs!$S$11)</f>
        <v>PLNT</v>
      </c>
      <c r="Y208" s="116" t="e">
        <f t="shared" si="87"/>
        <v>#VALUE!</v>
      </c>
      <c r="Z208" s="116" t="e">
        <f t="shared" si="87"/>
        <v>#VALUE!</v>
      </c>
      <c r="AA208" s="116" t="e">
        <f t="shared" si="87"/>
        <v>#VALUE!</v>
      </c>
      <c r="AB208" s="116" t="e">
        <f t="shared" si="87"/>
        <v>#VALUE!</v>
      </c>
      <c r="AC208" s="116" t="e">
        <f t="shared" si="87"/>
        <v>#VALUE!</v>
      </c>
      <c r="AD208" s="117" t="e">
        <f t="shared" si="88"/>
        <v>#VALUE!</v>
      </c>
      <c r="AE208" s="117" t="e">
        <f t="shared" si="89"/>
        <v>#VALUE!</v>
      </c>
      <c r="AF208" s="117" t="e">
        <f t="shared" si="90"/>
        <v>#VALUE!</v>
      </c>
      <c r="AG208" s="117" t="e">
        <f t="shared" si="91"/>
        <v>#VALUE!</v>
      </c>
      <c r="AH208" s="116"/>
      <c r="AI208">
        <f t="shared" si="72"/>
        <v>421</v>
      </c>
      <c r="AJ208" t="str">
        <f t="shared" si="50"/>
        <v>SO</v>
      </c>
      <c r="AK208" t="str">
        <f>IF(ISERROR(MATCH(AI208&amp;"."&amp;AJ208,AK$91:AK207,0)),AI208&amp;"."&amp;AJ208,AI208&amp;"."&amp;AJ208&amp;COUNTIFS(AI$91:AI207,AI208,AJ$91:AJ207,AJ208))</f>
        <v>421.SO</v>
      </c>
    </row>
    <row r="209" spans="1:37" ht="15" hidden="1">
      <c r="A209" s="120">
        <f>ROW()</f>
        <v>209</v>
      </c>
      <c r="B209" s="120"/>
      <c r="E209" s="121" t="s">
        <v>15</v>
      </c>
      <c r="F209" s="138" t="str">
        <f>INDEX(FuncAllocOptions,ROW(A209)-ROW($A$92)+1,[4]Inputs!$S$11)</f>
        <v>P</v>
      </c>
      <c r="G209" s="133" t="e">
        <f t="shared" si="77"/>
        <v>#VALUE!</v>
      </c>
      <c r="H209" s="139" t="e">
        <f t="shared" si="78"/>
        <v>#VALUE!</v>
      </c>
      <c r="I209" s="139" t="e">
        <f t="shared" si="78"/>
        <v>#VALUE!</v>
      </c>
      <c r="J209" s="139" t="e">
        <f t="shared" si="78"/>
        <v>#VALUE!</v>
      </c>
      <c r="K209" s="139" t="e">
        <f t="shared" si="78"/>
        <v>#VALUE!</v>
      </c>
      <c r="L209" s="139" t="e">
        <f t="shared" si="78"/>
        <v>#VALUE!</v>
      </c>
      <c r="N209" s="156">
        <v>0.75</v>
      </c>
      <c r="O209" s="116" t="e">
        <f t="shared" si="79"/>
        <v>#VALUE!</v>
      </c>
      <c r="P209" s="116" t="e">
        <f t="shared" si="80"/>
        <v>#VALUE!</v>
      </c>
      <c r="Q209" s="116" t="e">
        <f t="shared" si="81"/>
        <v>#VALUE!</v>
      </c>
      <c r="R209" s="116" t="e">
        <f t="shared" si="82"/>
        <v>#VALUE!</v>
      </c>
      <c r="S209" s="108">
        <v>0.75</v>
      </c>
      <c r="T209" s="116" t="e">
        <f t="shared" si="83"/>
        <v>#VALUE!</v>
      </c>
      <c r="U209" s="116" t="e">
        <f t="shared" si="84"/>
        <v>#VALUE!</v>
      </c>
      <c r="V209" s="116" t="e">
        <f t="shared" si="85"/>
        <v>#VALUE!</v>
      </c>
      <c r="W209" s="116" t="e">
        <f t="shared" si="86"/>
        <v>#VALUE!</v>
      </c>
      <c r="X209" s="3" t="str">
        <f>INDEX(DistFuncAllocOptions,ROW(A209)-ROW($A$92)+1,[4]Inputs!$S$11)</f>
        <v>PLNT</v>
      </c>
      <c r="Y209" s="116" t="e">
        <f t="shared" si="87"/>
        <v>#VALUE!</v>
      </c>
      <c r="Z209" s="116" t="e">
        <f t="shared" si="87"/>
        <v>#VALUE!</v>
      </c>
      <c r="AA209" s="116" t="e">
        <f t="shared" si="87"/>
        <v>#VALUE!</v>
      </c>
      <c r="AB209" s="116" t="e">
        <f t="shared" si="87"/>
        <v>#VALUE!</v>
      </c>
      <c r="AC209" s="116" t="e">
        <f t="shared" si="87"/>
        <v>#VALUE!</v>
      </c>
      <c r="AD209" s="117" t="e">
        <f t="shared" si="88"/>
        <v>#VALUE!</v>
      </c>
      <c r="AE209" s="117" t="e">
        <f t="shared" si="89"/>
        <v>#VALUE!</v>
      </c>
      <c r="AF209" s="117" t="e">
        <f t="shared" si="90"/>
        <v>#VALUE!</v>
      </c>
      <c r="AG209" s="117" t="e">
        <f t="shared" si="91"/>
        <v>#VALUE!</v>
      </c>
      <c r="AH209" s="116"/>
      <c r="AI209">
        <f t="shared" si="72"/>
        <v>421</v>
      </c>
      <c r="AJ209" t="str">
        <f t="shared" si="50"/>
        <v>SG</v>
      </c>
      <c r="AK209" t="str">
        <f>IF(ISERROR(MATCH(AI209&amp;"."&amp;AJ209,AK$91:AK208,0)),AI209&amp;"."&amp;AJ209,AI209&amp;"."&amp;AJ209&amp;COUNTIFS(AI$91:AI208,AI209,AJ$91:AJ208,AJ209))</f>
        <v>421.SG2</v>
      </c>
    </row>
    <row r="210" spans="1:37" ht="15" hidden="1">
      <c r="A210" s="120">
        <f>ROW()</f>
        <v>210</v>
      </c>
      <c r="B210" s="120"/>
      <c r="E210" s="121"/>
      <c r="F210" s="138"/>
      <c r="G210" s="117" t="e">
        <f t="shared" ref="G210:L210" si="92">SUM(G204:G209)</f>
        <v>#VALUE!</v>
      </c>
      <c r="H210" s="116" t="e">
        <f t="shared" si="92"/>
        <v>#VALUE!</v>
      </c>
      <c r="I210" s="116" t="e">
        <f t="shared" si="92"/>
        <v>#VALUE!</v>
      </c>
      <c r="J210" s="116" t="e">
        <f t="shared" si="92"/>
        <v>#VALUE!</v>
      </c>
      <c r="K210" s="116" t="e">
        <f t="shared" si="92"/>
        <v>#VALUE!</v>
      </c>
      <c r="L210" s="116" t="e">
        <f t="shared" si="92"/>
        <v>#VALUE!</v>
      </c>
      <c r="O210" s="116" t="e">
        <f>SUM(O204:O209)</f>
        <v>#VALUE!</v>
      </c>
      <c r="P210" s="116" t="e">
        <f>SUM(P204:P209)</f>
        <v>#VALUE!</v>
      </c>
      <c r="Q210" s="116" t="e">
        <f>SUM(Q204:Q209)</f>
        <v>#VALUE!</v>
      </c>
      <c r="R210" s="116" t="e">
        <f>SUM(R204:R209)</f>
        <v>#VALUE!</v>
      </c>
      <c r="T210" s="116" t="e">
        <f>SUM(T204:T209)</f>
        <v>#VALUE!</v>
      </c>
      <c r="U210" s="116" t="e">
        <f>SUM(U204:U209)</f>
        <v>#VALUE!</v>
      </c>
      <c r="V210" s="116" t="e">
        <f>SUM(V204:V209)</f>
        <v>#VALUE!</v>
      </c>
      <c r="W210" s="116" t="e">
        <f>SUM(W204:W209)</f>
        <v>#VALUE!</v>
      </c>
      <c r="X210" s="3"/>
      <c r="Y210" s="116" t="e">
        <f>SUM(Y204:Y209)</f>
        <v>#VALUE!</v>
      </c>
      <c r="Z210" s="116" t="e">
        <f>SUM(Z204:Z209)</f>
        <v>#VALUE!</v>
      </c>
      <c r="AA210" s="116" t="e">
        <f>SUM(AA204:AA209)</f>
        <v>#VALUE!</v>
      </c>
      <c r="AB210" s="116" t="e">
        <f>SUM(AB204:AB209)</f>
        <v>#VALUE!</v>
      </c>
      <c r="AC210" s="116" t="e">
        <f>SUM(AC204:AC209)</f>
        <v>#VALUE!</v>
      </c>
      <c r="AD210" s="117" t="e">
        <f t="shared" si="88"/>
        <v>#VALUE!</v>
      </c>
      <c r="AE210" s="117" t="e">
        <f t="shared" si="89"/>
        <v>#VALUE!</v>
      </c>
      <c r="AF210" s="117" t="e">
        <f t="shared" si="90"/>
        <v>#VALUE!</v>
      </c>
      <c r="AG210" s="117" t="e">
        <f t="shared" si="91"/>
        <v>#VALUE!</v>
      </c>
      <c r="AH210" s="116"/>
      <c r="AI210">
        <f t="shared" si="72"/>
        <v>421</v>
      </c>
      <c r="AJ210" t="str">
        <f t="shared" si="50"/>
        <v>NA</v>
      </c>
      <c r="AK210" t="str">
        <f>IF(ISERROR(MATCH(AI210&amp;"."&amp;AJ210,AK$91:AK209,0)),AI210&amp;"."&amp;AJ210,AI210&amp;"."&amp;AJ210&amp;COUNTIFS(AI$91:AI209,AI210,AJ$91:AJ209,AJ210))</f>
        <v>421.NA1</v>
      </c>
    </row>
    <row r="211" spans="1:37" ht="15" hidden="1">
      <c r="A211" s="120">
        <f>ROW()</f>
        <v>211</v>
      </c>
      <c r="B211" s="120"/>
      <c r="E211" s="121"/>
      <c r="F211" s="138"/>
      <c r="G211" s="113"/>
      <c r="H211" s="141"/>
      <c r="I211" s="141"/>
      <c r="J211" s="141"/>
      <c r="K211" s="141"/>
      <c r="L211" s="141"/>
      <c r="X211" s="3"/>
      <c r="AD211" s="119"/>
      <c r="AE211" s="119"/>
      <c r="AF211" s="119"/>
      <c r="AG211" s="119"/>
      <c r="AI211">
        <f t="shared" si="72"/>
        <v>421</v>
      </c>
      <c r="AJ211" t="str">
        <f t="shared" si="50"/>
        <v>NA</v>
      </c>
      <c r="AK211" t="str">
        <f>IF(ISERROR(MATCH(AI211&amp;"."&amp;AJ211,AK$91:AK210,0)),AI211&amp;"."&amp;AJ211,AI211&amp;"."&amp;AJ211&amp;COUNTIFS(AI$91:AI210,AI211,AJ$91:AJ210,AJ211))</f>
        <v>421.NA2</v>
      </c>
    </row>
    <row r="212" spans="1:37" ht="15" hidden="1">
      <c r="A212" s="120">
        <f>ROW()</f>
        <v>212</v>
      </c>
      <c r="B212" s="120"/>
      <c r="C212" s="110" t="s">
        <v>172</v>
      </c>
      <c r="E212" s="121"/>
      <c r="F212" s="121"/>
      <c r="G212" s="195" t="e">
        <f t="shared" ref="G212:L212" si="93">G185+G190+G194+G197+G201+G210</f>
        <v>#VALUE!</v>
      </c>
      <c r="H212" s="116" t="e">
        <f t="shared" si="93"/>
        <v>#VALUE!</v>
      </c>
      <c r="I212" s="116" t="e">
        <f t="shared" si="93"/>
        <v>#VALUE!</v>
      </c>
      <c r="J212" s="116" t="e">
        <f t="shared" si="93"/>
        <v>#VALUE!</v>
      </c>
      <c r="K212" s="116" t="e">
        <f t="shared" si="93"/>
        <v>#VALUE!</v>
      </c>
      <c r="L212" s="116" t="e">
        <f t="shared" si="93"/>
        <v>#VALUE!</v>
      </c>
      <c r="O212" s="116" t="e">
        <f>O185+O190+O194+O197+O201+O210</f>
        <v>#VALUE!</v>
      </c>
      <c r="P212" s="116" t="e">
        <f>P185+P190+P194+P197+P201+P210</f>
        <v>#VALUE!</v>
      </c>
      <c r="Q212" s="116" t="e">
        <f>Q185+Q190+Q194+Q197+Q201+Q210</f>
        <v>#VALUE!</v>
      </c>
      <c r="R212" s="116" t="e">
        <f>R185+R190+R194+R197+R201+R210</f>
        <v>#VALUE!</v>
      </c>
      <c r="S212" s="116"/>
      <c r="T212" s="116" t="e">
        <f>T185+T190+T194+T197+T201+T210</f>
        <v>#VALUE!</v>
      </c>
      <c r="U212" s="116" t="e">
        <f>U185+U190+U194+U197+U201+U210</f>
        <v>#VALUE!</v>
      </c>
      <c r="V212" s="116" t="e">
        <f>V185+V190+V194+V197+V201+V210</f>
        <v>#VALUE!</v>
      </c>
      <c r="W212" s="116" t="e">
        <f>W185+W190+W194+W197+W201+W210</f>
        <v>#VALUE!</v>
      </c>
      <c r="X212" s="3"/>
      <c r="Y212" s="116" t="e">
        <f>Y185+Y190+Y194+Y197+Y201+Y210</f>
        <v>#VALUE!</v>
      </c>
      <c r="Z212" s="116" t="e">
        <f>Z185+Z190+Z194+Z197+Z201+Z210</f>
        <v>#VALUE!</v>
      </c>
      <c r="AA212" s="116" t="e">
        <f>AA185+AA190+AA194+AA197+AA201+AA210</f>
        <v>#VALUE!</v>
      </c>
      <c r="AB212" s="116" t="e">
        <f>AB185+AB190+AB194+AB197+AB201+AB210</f>
        <v>#VALUE!</v>
      </c>
      <c r="AC212" s="116" t="e">
        <f>AC185+AC190+AC194+AC197+AC201+AC210</f>
        <v>#VALUE!</v>
      </c>
      <c r="AD212" s="117" t="e">
        <f>ROUND(SUM(-G212,H212:L212),0)</f>
        <v>#VALUE!</v>
      </c>
      <c r="AE212" s="117" t="e">
        <f>ROUND(H212-O212-P212-Q212-R212,0)</f>
        <v>#VALUE!</v>
      </c>
      <c r="AF212" s="117" t="e">
        <f>ROUND(I212-T212-U212-V212-W212,0)</f>
        <v>#VALUE!</v>
      </c>
      <c r="AG212" s="117" t="e">
        <f>ROUND(J212-Y212-Z212-AA212-AC212-AB212,0)</f>
        <v>#VALUE!</v>
      </c>
      <c r="AH212" s="116"/>
      <c r="AI212" t="str">
        <f t="shared" si="72"/>
        <v>Total Miscellaneous Revenues</v>
      </c>
      <c r="AJ212" t="str">
        <f t="shared" si="50"/>
        <v>NA</v>
      </c>
      <c r="AK212" t="str">
        <f>IF(ISERROR(MATCH(AI212&amp;"."&amp;AJ212,AK$91:AK211,0)),AI212&amp;"."&amp;AJ212,AI212&amp;"."&amp;AJ212&amp;COUNTIFS(AI$91:AI211,AI212,AJ$91:AJ211,AJ212))</f>
        <v>Total Miscellaneous Revenues.NA</v>
      </c>
    </row>
    <row r="213" spans="1:37" ht="15" hidden="1">
      <c r="A213" s="120">
        <f>ROW()</f>
        <v>213</v>
      </c>
      <c r="B213" s="120"/>
      <c r="E213" s="121"/>
      <c r="F213" s="138"/>
      <c r="G213" s="119"/>
      <c r="X213" s="3"/>
      <c r="AD213" s="119"/>
      <c r="AE213" s="119"/>
      <c r="AF213" s="119"/>
      <c r="AG213" s="119"/>
      <c r="AI213" t="str">
        <f t="shared" si="72"/>
        <v>Total Miscellaneous Revenues</v>
      </c>
      <c r="AJ213" t="str">
        <f t="shared" si="50"/>
        <v>NA</v>
      </c>
      <c r="AK213" t="str">
        <f>IF(ISERROR(MATCH(AI213&amp;"."&amp;AJ213,AK$91:AK212,0)),AI213&amp;"."&amp;AJ213,AI213&amp;"."&amp;AJ213&amp;COUNTIFS(AI$91:AI212,AI213,AJ$91:AJ212,AJ213))</f>
        <v>Total Miscellaneous Revenues.NA1</v>
      </c>
    </row>
    <row r="214" spans="1:37" ht="15" hidden="1">
      <c r="A214" s="120">
        <f>ROW()</f>
        <v>214</v>
      </c>
      <c r="B214" s="120"/>
      <c r="C214" s="110" t="s">
        <v>173</v>
      </c>
      <c r="E214" s="121"/>
      <c r="F214" s="138"/>
      <c r="G214" s="119"/>
      <c r="X214" s="3"/>
      <c r="AD214" s="119"/>
      <c r="AE214" s="119"/>
      <c r="AF214" s="119"/>
      <c r="AG214" s="119"/>
      <c r="AI214" t="str">
        <f t="shared" si="72"/>
        <v>Miscellaneous Expenses</v>
      </c>
      <c r="AJ214" t="str">
        <f t="shared" si="50"/>
        <v>NA</v>
      </c>
      <c r="AK214" t="str">
        <f>IF(ISERROR(MATCH(AI214&amp;"."&amp;AJ214,AK$91:AK213,0)),AI214&amp;"."&amp;AJ214,AI214&amp;"."&amp;AJ214&amp;COUNTIFS(AI$91:AI213,AI214,AJ$91:AJ213,AJ214))</f>
        <v>Miscellaneous Expenses.NA</v>
      </c>
    </row>
    <row r="215" spans="1:37" ht="15" hidden="1">
      <c r="A215" s="120">
        <f>ROW()</f>
        <v>215</v>
      </c>
      <c r="B215" s="120"/>
      <c r="C215" s="1">
        <v>4311</v>
      </c>
      <c r="D215" s="2" t="s">
        <v>174</v>
      </c>
      <c r="E215" s="121"/>
      <c r="F215" s="138"/>
      <c r="G215" s="119"/>
      <c r="X215" s="3"/>
      <c r="AD215" s="119"/>
      <c r="AE215" s="119"/>
      <c r="AF215" s="119"/>
      <c r="AG215" s="119"/>
      <c r="AI215">
        <f t="shared" si="72"/>
        <v>4311</v>
      </c>
      <c r="AJ215" t="str">
        <f t="shared" si="50"/>
        <v>NA</v>
      </c>
      <c r="AK215" t="str">
        <f>IF(ISERROR(MATCH(AI215&amp;"."&amp;AJ215,AK$91:AK214,0)),AI215&amp;"."&amp;AJ215,AI215&amp;"."&amp;AJ215&amp;COUNTIFS(AI$91:AI214,AI215,AJ$91:AJ214,AJ215))</f>
        <v>4311.NA</v>
      </c>
    </row>
    <row r="216" spans="1:37" ht="15" hidden="1">
      <c r="A216" s="120">
        <f>ROW()</f>
        <v>216</v>
      </c>
      <c r="B216" s="120"/>
      <c r="E216" s="121" t="s">
        <v>12</v>
      </c>
      <c r="F216" s="138" t="str">
        <f>INDEX(FuncAllocOptions,ROW(A216)-ROW($A$92)+1,[4]Inputs!$S$11)</f>
        <v>CUST</v>
      </c>
      <c r="G216" s="133" t="e">
        <f>SUMIF(FERCJAMFactor,AK216,JAMValue)</f>
        <v>#VALUE!</v>
      </c>
      <c r="H216" s="139" t="e">
        <f>INDEX(FuncFactorTbl,MATCH($F216,FuncFactors,0),MATCH(H$8,Functions,0))*$G216</f>
        <v>#VALUE!</v>
      </c>
      <c r="I216" s="139" t="e">
        <f>INDEX(FuncFactorTbl,MATCH($F216,FuncFactors,0),MATCH(I$8,Functions,0))*$G216</f>
        <v>#VALUE!</v>
      </c>
      <c r="J216" s="139" t="e">
        <f>INDEX(FuncFactorTbl,MATCH($F216,FuncFactors,0),MATCH(J$8,Functions,0))*$G216</f>
        <v>#VALUE!</v>
      </c>
      <c r="K216" s="139" t="e">
        <f>INDEX(FuncFactorTbl,MATCH($F216,FuncFactors,0),MATCH(K$8,Functions,0))*$G216</f>
        <v>#VALUE!</v>
      </c>
      <c r="L216" s="139" t="e">
        <f>INDEX(FuncFactorTbl,MATCH($F216,FuncFactors,0),MATCH(L$8,Functions,0))*$G216</f>
        <v>#VALUE!</v>
      </c>
      <c r="N216" s="108">
        <v>0.75</v>
      </c>
      <c r="O216" s="116" t="e">
        <f>$H216*$N216*$M216</f>
        <v>#VALUE!</v>
      </c>
      <c r="P216" s="116" t="e">
        <f>$H216*(1-$N216)*$M216</f>
        <v>#VALUE!</v>
      </c>
      <c r="Q216" s="116" t="e">
        <f>$H216*$N216*(1-$M216)</f>
        <v>#VALUE!</v>
      </c>
      <c r="R216" s="116" t="e">
        <f>$H216*(1-$N216)*(1-$M216)</f>
        <v>#VALUE!</v>
      </c>
      <c r="S216" s="108">
        <v>0.75</v>
      </c>
      <c r="T216" s="116" t="e">
        <f>$I216*$S216*$M216</f>
        <v>#VALUE!</v>
      </c>
      <c r="U216" s="116" t="e">
        <f>$I216*(1-$S216)*$M216</f>
        <v>#VALUE!</v>
      </c>
      <c r="V216" s="116" t="e">
        <f>$I216*$S216*(1-$M216)</f>
        <v>#VALUE!</v>
      </c>
      <c r="W216" s="116" t="e">
        <f>$I216*(1-$S216)*(1-$M216)</f>
        <v>#VALUE!</v>
      </c>
      <c r="X216" s="3" t="str">
        <f>INDEX(DistFuncAllocOptions,ROW(A216)-ROW($A$92)+1,[4]Inputs!$S$11)</f>
        <v>CUST</v>
      </c>
      <c r="Y216" s="116" t="e">
        <f>INDEX(DistFuncFactorTbl,MATCH($X216,DistFuncFactors,0),MATCH(Y$91,DistFunctions,0))*$J216</f>
        <v>#VALUE!</v>
      </c>
      <c r="Z216" s="116" t="e">
        <f>INDEX(DistFuncFactorTbl,MATCH($X216,DistFuncFactors,0),MATCH(Z$91,DistFunctions,0))*$J216</f>
        <v>#VALUE!</v>
      </c>
      <c r="AA216" s="116" t="e">
        <f>INDEX(DistFuncFactorTbl,MATCH($X216,DistFuncFactors,0),MATCH(AA$91,DistFunctions,0))*$J216</f>
        <v>#VALUE!</v>
      </c>
      <c r="AB216" s="116" t="e">
        <f>INDEX(DistFuncFactorTbl,MATCH($X216,DistFuncFactors,0),MATCH(AB$91,DistFunctions,0))*$J216</f>
        <v>#VALUE!</v>
      </c>
      <c r="AC216" s="116" t="e">
        <f>INDEX(DistFuncFactorTbl,MATCH($X216,DistFuncFactors,0),MATCH(AC$91,DistFunctions,0))*$J216</f>
        <v>#VALUE!</v>
      </c>
      <c r="AD216" s="117" t="e">
        <f>ROUND(SUM(-G216,H216:L216),0)</f>
        <v>#VALUE!</v>
      </c>
      <c r="AE216" s="117" t="e">
        <f>ROUND(H216-O216-P216-Q216-R216,0)</f>
        <v>#VALUE!</v>
      </c>
      <c r="AF216" s="117" t="e">
        <f>ROUND(I216-T216-U216-V216-W216,0)</f>
        <v>#VALUE!</v>
      </c>
      <c r="AG216" s="117" t="e">
        <f>ROUND(J216-Y216-Z216-AA216-AC216-AB216,0)</f>
        <v>#VALUE!</v>
      </c>
      <c r="AH216" s="116"/>
      <c r="AI216">
        <f t="shared" si="72"/>
        <v>4311</v>
      </c>
      <c r="AJ216" t="str">
        <f t="shared" si="50"/>
        <v>S</v>
      </c>
      <c r="AK216" t="str">
        <f>IF(ISERROR(MATCH(AI216&amp;"."&amp;AJ216,AK$91:AK215,0)),AI216&amp;"."&amp;AJ216,AI216&amp;"."&amp;AJ216&amp;COUNTIFS(AI$91:AI215,AI216,AJ$91:AJ215,AJ216))</f>
        <v>4311.S</v>
      </c>
    </row>
    <row r="217" spans="1:37" ht="15" hidden="1">
      <c r="A217" s="120">
        <f>ROW()</f>
        <v>217</v>
      </c>
      <c r="B217" s="120"/>
      <c r="E217" s="121"/>
      <c r="F217" s="138"/>
      <c r="G217" s="117" t="e">
        <f t="shared" ref="G217:L217" si="94">SUM(G216)</f>
        <v>#VALUE!</v>
      </c>
      <c r="H217" s="116" t="e">
        <f t="shared" si="94"/>
        <v>#VALUE!</v>
      </c>
      <c r="I217" s="116" t="e">
        <f t="shared" si="94"/>
        <v>#VALUE!</v>
      </c>
      <c r="J217" s="116" t="e">
        <f t="shared" si="94"/>
        <v>#VALUE!</v>
      </c>
      <c r="K217" s="116" t="e">
        <f t="shared" si="94"/>
        <v>#VALUE!</v>
      </c>
      <c r="L217" s="116" t="e">
        <f t="shared" si="94"/>
        <v>#VALUE!</v>
      </c>
      <c r="O217" s="116" t="e">
        <f>SUM(O216)</f>
        <v>#VALUE!</v>
      </c>
      <c r="P217" s="116" t="e">
        <f>SUM(P216)</f>
        <v>#VALUE!</v>
      </c>
      <c r="Q217" s="116" t="e">
        <f>SUM(Q216)</f>
        <v>#VALUE!</v>
      </c>
      <c r="R217" s="116" t="e">
        <f>SUM(R216)</f>
        <v>#VALUE!</v>
      </c>
      <c r="T217" s="116" t="e">
        <f>SUM(T216)</f>
        <v>#VALUE!</v>
      </c>
      <c r="U217" s="116" t="e">
        <f>SUM(U216)</f>
        <v>#VALUE!</v>
      </c>
      <c r="V217" s="116" t="e">
        <f>SUM(V216)</f>
        <v>#VALUE!</v>
      </c>
      <c r="W217" s="116" t="e">
        <f>SUM(W216)</f>
        <v>#VALUE!</v>
      </c>
      <c r="X217" s="3"/>
      <c r="Y217" s="116" t="e">
        <f>SUM(Y216)</f>
        <v>#VALUE!</v>
      </c>
      <c r="Z217" s="116" t="e">
        <f>SUM(Z216)</f>
        <v>#VALUE!</v>
      </c>
      <c r="AA217" s="116" t="e">
        <f>SUM(AA216)</f>
        <v>#VALUE!</v>
      </c>
      <c r="AB217" s="116" t="e">
        <f>SUM(AB216)</f>
        <v>#VALUE!</v>
      </c>
      <c r="AC217" s="116" t="e">
        <f>SUM(AC216)</f>
        <v>#VALUE!</v>
      </c>
      <c r="AD217" s="117" t="e">
        <f>ROUND(SUM(-G217,H217:L217),0)</f>
        <v>#VALUE!</v>
      </c>
      <c r="AE217" s="117" t="e">
        <f>ROUND(H217-O217-P217-Q217-R217,0)</f>
        <v>#VALUE!</v>
      </c>
      <c r="AF217" s="117" t="e">
        <f>ROUND(I217-T217-U217-V217-W217,0)</f>
        <v>#VALUE!</v>
      </c>
      <c r="AG217" s="117" t="e">
        <f>ROUND(J217-Y217-Z217-AA217-AC217-AB217,0)</f>
        <v>#VALUE!</v>
      </c>
      <c r="AH217" s="116"/>
      <c r="AI217">
        <f t="shared" si="72"/>
        <v>4311</v>
      </c>
      <c r="AJ217" t="str">
        <f t="shared" si="50"/>
        <v>NA</v>
      </c>
      <c r="AK217" t="str">
        <f>IF(ISERROR(MATCH(AI217&amp;"."&amp;AJ217,AK$91:AK216,0)),AI217&amp;"."&amp;AJ217,AI217&amp;"."&amp;AJ217&amp;COUNTIFS(AI$91:AI216,AI217,AJ$91:AJ216,AJ217))</f>
        <v>4311.NA1</v>
      </c>
    </row>
    <row r="218" spans="1:37" ht="15" hidden="1">
      <c r="A218" s="120">
        <f>ROW()</f>
        <v>218</v>
      </c>
      <c r="B218" s="120"/>
      <c r="E218" s="121"/>
      <c r="F218" s="138"/>
      <c r="G218" s="119"/>
      <c r="X218" s="3"/>
      <c r="AD218" s="119"/>
      <c r="AE218" s="119"/>
      <c r="AF218" s="119"/>
      <c r="AG218" s="119"/>
      <c r="AI218">
        <f t="shared" si="72"/>
        <v>4311</v>
      </c>
      <c r="AJ218" t="str">
        <f t="shared" si="50"/>
        <v>NA</v>
      </c>
      <c r="AK218" t="str">
        <f>IF(ISERROR(MATCH(AI218&amp;"."&amp;AJ218,AK$91:AK217,0)),AI218&amp;"."&amp;AJ218,AI218&amp;"."&amp;AJ218&amp;COUNTIFS(AI$91:AI217,AI218,AJ$91:AJ217,AJ218))</f>
        <v>4311.NA2</v>
      </c>
    </row>
    <row r="219" spans="1:37" ht="15" hidden="1">
      <c r="A219" s="120">
        <f>ROW()</f>
        <v>219</v>
      </c>
      <c r="B219" s="120"/>
      <c r="C219" s="194" t="s">
        <v>791</v>
      </c>
      <c r="D219" s="2" t="s">
        <v>790</v>
      </c>
      <c r="E219" s="121"/>
      <c r="F219" s="138"/>
      <c r="G219" s="119"/>
      <c r="X219" s="3"/>
      <c r="AD219" s="119"/>
      <c r="AE219" s="119"/>
      <c r="AF219" s="119"/>
      <c r="AG219" s="119"/>
      <c r="AI219" t="str">
        <f t="shared" si="72"/>
        <v>DFA</v>
      </c>
      <c r="AJ219" t="str">
        <f t="shared" si="50"/>
        <v>NA</v>
      </c>
      <c r="AK219" t="str">
        <f>IF(ISERROR(MATCH(AI219&amp;"."&amp;AJ219,AK$91:AK218,0)),AI219&amp;"."&amp;AJ219,AI219&amp;"."&amp;AJ219&amp;COUNTIFS(AI$91:AI218,AI219,AJ$91:AJ218,AJ219))</f>
        <v>DFA.NA</v>
      </c>
    </row>
    <row r="220" spans="1:37" ht="15" hidden="1">
      <c r="A220" s="120">
        <f>ROW()</f>
        <v>220</v>
      </c>
      <c r="B220" s="120"/>
      <c r="E220" s="121" t="s">
        <v>13</v>
      </c>
      <c r="F220" s="138" t="str">
        <f>INDEX(FuncAllocOptions,ROW(A220)-ROW($A$92)+1,[4]Inputs!$S$11)</f>
        <v>P</v>
      </c>
      <c r="G220" s="117" t="e">
        <f>SUMIF(FERCJAMFactor,AK220,JAMValue)</f>
        <v>#VALUE!</v>
      </c>
      <c r="H220" s="116" t="e">
        <f t="shared" ref="H220:L222" si="95">INDEX(FuncFactorTbl,MATCH($F220,FuncFactors,0),MATCH(H$8,Functions,0))*$G220</f>
        <v>#VALUE!</v>
      </c>
      <c r="I220" s="116" t="e">
        <f t="shared" si="95"/>
        <v>#VALUE!</v>
      </c>
      <c r="J220" s="116" t="e">
        <f t="shared" si="95"/>
        <v>#VALUE!</v>
      </c>
      <c r="K220" s="116" t="e">
        <f t="shared" si="95"/>
        <v>#VALUE!</v>
      </c>
      <c r="L220" s="116" t="e">
        <f t="shared" si="95"/>
        <v>#VALUE!</v>
      </c>
      <c r="N220" s="108">
        <v>0.75</v>
      </c>
      <c r="O220" s="116" t="e">
        <f>$H220*$N220*$M220</f>
        <v>#VALUE!</v>
      </c>
      <c r="P220" s="116" t="e">
        <f>$H220*(1-$N220)*$M220</f>
        <v>#VALUE!</v>
      </c>
      <c r="Q220" s="116" t="e">
        <f>$H220*$N220*(1-$M220)</f>
        <v>#VALUE!</v>
      </c>
      <c r="R220" s="116" t="e">
        <f>$H220*(1-$N220)*(1-$M220)</f>
        <v>#VALUE!</v>
      </c>
      <c r="S220" s="108">
        <v>0.75</v>
      </c>
      <c r="T220" s="116" t="e">
        <f>$I220*$S220*$M220</f>
        <v>#VALUE!</v>
      </c>
      <c r="U220" s="116" t="e">
        <f>$I220*(1-$S220)*$M220</f>
        <v>#VALUE!</v>
      </c>
      <c r="V220" s="116" t="e">
        <f>$I220*$S220*(1-$M220)</f>
        <v>#VALUE!</v>
      </c>
      <c r="W220" s="116" t="e">
        <f>$I220*(1-$S220)*(1-$M220)</f>
        <v>#VALUE!</v>
      </c>
      <c r="X220" s="3"/>
      <c r="AD220" s="117" t="e">
        <f>ROUND(SUM(-G220,H220:L220),0)</f>
        <v>#VALUE!</v>
      </c>
      <c r="AE220" s="117" t="e">
        <f>ROUND(H220-O220-P220-Q220-R220,0)</f>
        <v>#VALUE!</v>
      </c>
      <c r="AF220" s="117" t="e">
        <f>ROUND(I220-T220-U220-V220-W220,0)</f>
        <v>#VALUE!</v>
      </c>
      <c r="AG220" s="117" t="e">
        <f>ROUND(J220-Y220-Z220-AA220-AC220-AB220,0)</f>
        <v>#VALUE!</v>
      </c>
      <c r="AH220" s="116"/>
      <c r="AI220" t="str">
        <f t="shared" si="72"/>
        <v>DFA</v>
      </c>
      <c r="AJ220" t="str">
        <f t="shared" si="50"/>
        <v>P</v>
      </c>
      <c r="AK220" t="str">
        <f>IF(ISERROR(MATCH(AI220&amp;"."&amp;AJ220,AK$91:AK219,0)),AI220&amp;"."&amp;AJ220,AI220&amp;"."&amp;AJ220&amp;COUNTIFS(AI$91:AI219,AI220,AJ$91:AJ219,AJ220))</f>
        <v>DFA.P</v>
      </c>
    </row>
    <row r="221" spans="1:37" ht="15" hidden="1">
      <c r="A221" s="120">
        <f>ROW()</f>
        <v>221</v>
      </c>
      <c r="B221" s="120"/>
      <c r="E221" s="121" t="s">
        <v>18</v>
      </c>
      <c r="F221" s="138" t="str">
        <f>INDEX(FuncAllocOptions,ROW(A221)-ROW($A$92)+1,[4]Inputs!$S$11)</f>
        <v>T</v>
      </c>
      <c r="G221" s="117" t="e">
        <f>SUMIF(FERCJAMFactor,AK221,JAMValue)</f>
        <v>#VALUE!</v>
      </c>
      <c r="H221" s="116" t="e">
        <f t="shared" si="95"/>
        <v>#VALUE!</v>
      </c>
      <c r="I221" s="116" t="e">
        <f t="shared" si="95"/>
        <v>#VALUE!</v>
      </c>
      <c r="J221" s="116" t="e">
        <f t="shared" si="95"/>
        <v>#VALUE!</v>
      </c>
      <c r="K221" s="116" t="e">
        <f t="shared" si="95"/>
        <v>#VALUE!</v>
      </c>
      <c r="L221" s="116" t="e">
        <f t="shared" si="95"/>
        <v>#VALUE!</v>
      </c>
      <c r="N221" s="108">
        <v>0.75</v>
      </c>
      <c r="O221" s="116" t="e">
        <f>$H221*$N221*$M221</f>
        <v>#VALUE!</v>
      </c>
      <c r="P221" s="116" t="e">
        <f>$H221*(1-$N221)*$M221</f>
        <v>#VALUE!</v>
      </c>
      <c r="Q221" s="116" t="e">
        <f>$H221*$N221*(1-$M221)</f>
        <v>#VALUE!</v>
      </c>
      <c r="R221" s="116" t="e">
        <f>$H221*(1-$N221)*(1-$M221)</f>
        <v>#VALUE!</v>
      </c>
      <c r="S221" s="108">
        <v>0.75</v>
      </c>
      <c r="T221" s="116" t="e">
        <f>$I221*$S221*$M221</f>
        <v>#VALUE!</v>
      </c>
      <c r="U221" s="116" t="e">
        <f>$I221*(1-$S221)*$M221</f>
        <v>#VALUE!</v>
      </c>
      <c r="V221" s="116" t="e">
        <f>$I221*$S221*(1-$M221)</f>
        <v>#VALUE!</v>
      </c>
      <c r="W221" s="116" t="e">
        <f>$I221*(1-$S221)*(1-$M221)</f>
        <v>#VALUE!</v>
      </c>
      <c r="X221" s="3"/>
      <c r="AD221" s="117" t="e">
        <f>ROUND(SUM(-G221,H221:L221),0)</f>
        <v>#VALUE!</v>
      </c>
      <c r="AE221" s="117" t="e">
        <f>ROUND(H221-O221-P221-Q221-R221,0)</f>
        <v>#VALUE!</v>
      </c>
      <c r="AF221" s="117" t="e">
        <f>ROUND(I221-T221-U221-V221-W221,0)</f>
        <v>#VALUE!</v>
      </c>
      <c r="AG221" s="117" t="e">
        <f>ROUND(J221-Y221-Z221-AA221-AC221-AB221,0)</f>
        <v>#VALUE!</v>
      </c>
      <c r="AH221" s="116"/>
      <c r="AI221" t="str">
        <f t="shared" ref="AI221:AI252" si="96">IF(OR(C221="",C221=" ",C221="  ",C221="   "),AI220,C221)</f>
        <v>DFA</v>
      </c>
      <c r="AJ221" t="str">
        <f t="shared" ref="AJ221:AJ284" si="97">IF(E221="","NA",E221)</f>
        <v>T</v>
      </c>
      <c r="AK221" t="str">
        <f>IF(ISERROR(MATCH(AI221&amp;"."&amp;AJ221,AK$91:AK220,0)),AI221&amp;"."&amp;AJ221,AI221&amp;"."&amp;AJ221&amp;COUNTIFS(AI$91:AI220,AI221,AJ$91:AJ220,AJ221))</f>
        <v>DFA.T</v>
      </c>
    </row>
    <row r="222" spans="1:37" ht="15" hidden="1">
      <c r="A222" s="120">
        <f>ROW()</f>
        <v>222</v>
      </c>
      <c r="B222" s="120"/>
      <c r="E222" s="121" t="s">
        <v>789</v>
      </c>
      <c r="F222" s="138" t="str">
        <f>INDEX(FuncAllocOptions,ROW(A222)-ROW($A$92)+1,[4]Inputs!$S$11)</f>
        <v>DPW</v>
      </c>
      <c r="G222" s="133" t="e">
        <f>SUMIF(FERCJAMFactor,AK222,JAMValue)</f>
        <v>#VALUE!</v>
      </c>
      <c r="H222" s="139" t="e">
        <f t="shared" si="95"/>
        <v>#VALUE!</v>
      </c>
      <c r="I222" s="139" t="e">
        <f t="shared" si="95"/>
        <v>#VALUE!</v>
      </c>
      <c r="J222" s="139" t="e">
        <f t="shared" si="95"/>
        <v>#VALUE!</v>
      </c>
      <c r="K222" s="139" t="e">
        <f t="shared" si="95"/>
        <v>#VALUE!</v>
      </c>
      <c r="L222" s="139" t="e">
        <f t="shared" si="95"/>
        <v>#VALUE!</v>
      </c>
      <c r="N222" s="108">
        <v>0.75</v>
      </c>
      <c r="O222" s="116" t="e">
        <f>$H222*$N222*$M222</f>
        <v>#VALUE!</v>
      </c>
      <c r="P222" s="116" t="e">
        <f>$H222*(1-$N222)*$M222</f>
        <v>#VALUE!</v>
      </c>
      <c r="Q222" s="116" t="e">
        <f>$H222*$N222*(1-$M222)</f>
        <v>#VALUE!</v>
      </c>
      <c r="R222" s="116" t="e">
        <f>$H222*(1-$N222)*(1-$M222)</f>
        <v>#VALUE!</v>
      </c>
      <c r="S222" s="108">
        <v>0.75</v>
      </c>
      <c r="T222" s="116" t="e">
        <f>$I222*$S222*$M222</f>
        <v>#VALUE!</v>
      </c>
      <c r="U222" s="116" t="e">
        <f>$I222*(1-$S222)*$M222</f>
        <v>#VALUE!</v>
      </c>
      <c r="V222" s="116" t="e">
        <f>$I222*$S222*(1-$M222)</f>
        <v>#VALUE!</v>
      </c>
      <c r="W222" s="116" t="e">
        <f>$I222*(1-$S222)*(1-$M222)</f>
        <v>#VALUE!</v>
      </c>
      <c r="X222" s="3" t="str">
        <f>INDEX(DistFuncAllocOptions,ROW(A222)-ROW($A$92)+1,[4]Inputs!$S$11)</f>
        <v>PLNT</v>
      </c>
      <c r="Y222" s="116" t="e">
        <f>INDEX(DistFuncFactorTbl,MATCH($X222,DistFuncFactors,0),MATCH(Y$91,DistFunctions,0))*$J222</f>
        <v>#VALUE!</v>
      </c>
      <c r="Z222" s="116" t="e">
        <f>INDEX(DistFuncFactorTbl,MATCH($X222,DistFuncFactors,0),MATCH(Z$91,DistFunctions,0))*$J222</f>
        <v>#VALUE!</v>
      </c>
      <c r="AA222" s="116" t="e">
        <f>INDEX(DistFuncFactorTbl,MATCH($X222,DistFuncFactors,0),MATCH(AA$91,DistFunctions,0))*$J222</f>
        <v>#VALUE!</v>
      </c>
      <c r="AB222" s="116" t="e">
        <f>INDEX(DistFuncFactorTbl,MATCH($X222,DistFuncFactors,0),MATCH(AB$91,DistFunctions,0))*$J222</f>
        <v>#VALUE!</v>
      </c>
      <c r="AC222" s="116" t="e">
        <f>INDEX(DistFuncFactorTbl,MATCH($X222,DistFuncFactors,0),MATCH(AC$91,DistFunctions,0))*$J222</f>
        <v>#VALUE!</v>
      </c>
      <c r="AD222" s="117" t="e">
        <f>ROUND(SUM(-G222,H222:L222),0)</f>
        <v>#VALUE!</v>
      </c>
      <c r="AE222" s="117" t="e">
        <f>ROUND(H222-O222-P222-Q222-R222,0)</f>
        <v>#VALUE!</v>
      </c>
      <c r="AF222" s="117" t="e">
        <f>ROUND(I222-T222-U222-V222-W222,0)</f>
        <v>#VALUE!</v>
      </c>
      <c r="AG222" s="117" t="e">
        <f>ROUND(J222-Y222-Z222-AA222-AC222-AB222,0)</f>
        <v>#VALUE!</v>
      </c>
      <c r="AH222" s="116"/>
      <c r="AI222" t="str">
        <f t="shared" si="96"/>
        <v>DFA</v>
      </c>
      <c r="AJ222" t="str">
        <f t="shared" si="97"/>
        <v>D</v>
      </c>
      <c r="AK222" t="str">
        <f>IF(ISERROR(MATCH(AI222&amp;"."&amp;AJ222,AK$91:AK221,0)),AI222&amp;"."&amp;AJ222,AI222&amp;"."&amp;AJ222&amp;COUNTIFS(AI$91:AI221,AI222,AJ$91:AJ221,AJ222))</f>
        <v>DFA.D</v>
      </c>
    </row>
    <row r="223" spans="1:37" ht="15" hidden="1">
      <c r="A223" s="120">
        <f>ROW()</f>
        <v>223</v>
      </c>
      <c r="B223" s="120"/>
      <c r="E223" s="121"/>
      <c r="F223" s="138"/>
      <c r="G223" s="117" t="e">
        <f t="shared" ref="G223:L223" si="98">SUM(G220:G222)</f>
        <v>#VALUE!</v>
      </c>
      <c r="H223" s="116" t="e">
        <f t="shared" si="98"/>
        <v>#VALUE!</v>
      </c>
      <c r="I223" s="116" t="e">
        <f t="shared" si="98"/>
        <v>#VALUE!</v>
      </c>
      <c r="J223" s="116" t="e">
        <f t="shared" si="98"/>
        <v>#VALUE!</v>
      </c>
      <c r="K223" s="116" t="e">
        <f t="shared" si="98"/>
        <v>#VALUE!</v>
      </c>
      <c r="L223" s="116" t="e">
        <f t="shared" si="98"/>
        <v>#VALUE!</v>
      </c>
      <c r="O223" s="116" t="e">
        <f>SUM(O220:O222)</f>
        <v>#VALUE!</v>
      </c>
      <c r="P223" s="116" t="e">
        <f>SUM(P220:P222)</f>
        <v>#VALUE!</v>
      </c>
      <c r="Q223" s="116" t="e">
        <f>SUM(Q220:Q222)</f>
        <v>#VALUE!</v>
      </c>
      <c r="R223" s="116" t="e">
        <f>SUM(R220:R222)</f>
        <v>#VALUE!</v>
      </c>
      <c r="T223" s="116" t="e">
        <f>SUM(T220:T222)</f>
        <v>#VALUE!</v>
      </c>
      <c r="U223" s="116" t="e">
        <f>SUM(U220:U222)</f>
        <v>#VALUE!</v>
      </c>
      <c r="V223" s="116" t="e">
        <f>SUM(V220:V222)</f>
        <v>#VALUE!</v>
      </c>
      <c r="W223" s="116" t="e">
        <f>SUM(W220:W222)</f>
        <v>#VALUE!</v>
      </c>
      <c r="X223" s="3"/>
      <c r="Y223" s="116" t="e">
        <f>SUM(Y220:Y222)</f>
        <v>#VALUE!</v>
      </c>
      <c r="Z223" s="116" t="e">
        <f>SUM(Z220:Z222)</f>
        <v>#VALUE!</v>
      </c>
      <c r="AA223" s="116" t="e">
        <f>SUM(AA220:AA222)</f>
        <v>#VALUE!</v>
      </c>
      <c r="AB223" s="116" t="e">
        <f>SUM(AB220:AB222)</f>
        <v>#VALUE!</v>
      </c>
      <c r="AC223" s="116" t="e">
        <f>SUM(AC220:AC222)</f>
        <v>#VALUE!</v>
      </c>
      <c r="AD223" s="117" t="e">
        <f>ROUND(SUM(-G223,H223:L223),0)</f>
        <v>#VALUE!</v>
      </c>
      <c r="AE223" s="117" t="e">
        <f>ROUND(H223-O223-P223-Q223-R223,0)</f>
        <v>#VALUE!</v>
      </c>
      <c r="AF223" s="117" t="e">
        <f>ROUND(I223-T223-U223-V223-W223,0)</f>
        <v>#VALUE!</v>
      </c>
      <c r="AG223" s="117" t="e">
        <f>ROUND(J223-Y223-Z223-AA223-AC223-AB223,0)</f>
        <v>#VALUE!</v>
      </c>
      <c r="AH223" s="116"/>
      <c r="AI223" t="str">
        <f t="shared" si="96"/>
        <v>DFA</v>
      </c>
      <c r="AJ223" t="str">
        <f t="shared" si="97"/>
        <v>NA</v>
      </c>
      <c r="AK223" t="str">
        <f>IF(ISERROR(MATCH(AI223&amp;"."&amp;AJ223,AK$91:AK222,0)),AI223&amp;"."&amp;AJ223,AI223&amp;"."&amp;AJ223&amp;COUNTIFS(AI$91:AI222,AI223,AJ$91:AJ222,AJ223))</f>
        <v>DFA.NA1</v>
      </c>
    </row>
    <row r="224" spans="1:37" ht="15" hidden="1">
      <c r="A224" s="120">
        <f>ROW()</f>
        <v>224</v>
      </c>
      <c r="B224" s="120"/>
      <c r="E224" s="121"/>
      <c r="F224" s="138"/>
      <c r="G224" s="119"/>
      <c r="X224" s="3"/>
      <c r="AD224" s="119"/>
      <c r="AE224" s="119"/>
      <c r="AF224" s="119"/>
      <c r="AG224" s="119"/>
      <c r="AI224" t="str">
        <f t="shared" si="96"/>
        <v>DFA</v>
      </c>
      <c r="AJ224" t="str">
        <f t="shared" si="97"/>
        <v>NA</v>
      </c>
      <c r="AK224" t="str">
        <f>IF(ISERROR(MATCH(AI224&amp;"."&amp;AJ224,AK$91:AK223,0)),AI224&amp;"."&amp;AJ224,AI224&amp;"."&amp;AJ224&amp;COUNTIFS(AI$91:AI223,AI224,AJ$91:AJ223,AJ224))</f>
        <v>DFA.NA2</v>
      </c>
    </row>
    <row r="225" spans="1:37" ht="15" hidden="1">
      <c r="A225" s="120">
        <f>ROW()</f>
        <v>225</v>
      </c>
      <c r="B225" s="120"/>
      <c r="E225" s="121"/>
      <c r="F225" s="138"/>
      <c r="G225" s="119"/>
      <c r="X225" s="3"/>
      <c r="AD225" s="119"/>
      <c r="AE225" s="119"/>
      <c r="AF225" s="119"/>
      <c r="AG225" s="119"/>
      <c r="AI225" t="str">
        <f t="shared" si="96"/>
        <v>DFA</v>
      </c>
      <c r="AJ225" t="str">
        <f t="shared" si="97"/>
        <v>NA</v>
      </c>
      <c r="AK225" t="str">
        <f>IF(ISERROR(MATCH(AI225&amp;"."&amp;AJ225,AK$91:AK224,0)),AI225&amp;"."&amp;AJ225,AI225&amp;"."&amp;AJ225&amp;COUNTIFS(AI$91:AI224,AI225,AJ$91:AJ224,AJ225))</f>
        <v>DFA.NA3</v>
      </c>
    </row>
    <row r="226" spans="1:37" ht="15" hidden="1">
      <c r="A226" s="120">
        <f>ROW()</f>
        <v>226</v>
      </c>
      <c r="B226" s="120"/>
      <c r="C226" s="110" t="s">
        <v>175</v>
      </c>
      <c r="E226" s="121"/>
      <c r="F226" s="138"/>
      <c r="G226" s="117" t="e">
        <f t="shared" ref="G226:L226" si="99">G223+G217</f>
        <v>#VALUE!</v>
      </c>
      <c r="H226" s="116" t="e">
        <f t="shared" si="99"/>
        <v>#VALUE!</v>
      </c>
      <c r="I226" s="116" t="e">
        <f t="shared" si="99"/>
        <v>#VALUE!</v>
      </c>
      <c r="J226" s="116" t="e">
        <f t="shared" si="99"/>
        <v>#VALUE!</v>
      </c>
      <c r="K226" s="116" t="e">
        <f t="shared" si="99"/>
        <v>#VALUE!</v>
      </c>
      <c r="L226" s="116" t="e">
        <f t="shared" si="99"/>
        <v>#VALUE!</v>
      </c>
      <c r="O226" s="116" t="e">
        <f>$H226*$N226*$M226</f>
        <v>#VALUE!</v>
      </c>
      <c r="P226" s="116" t="e">
        <f>$H226*(1-$N226)*$M226</f>
        <v>#VALUE!</v>
      </c>
      <c r="Q226" s="116" t="e">
        <f>$H226*$N226*(1-$M226)</f>
        <v>#VALUE!</v>
      </c>
      <c r="R226" s="116" t="e">
        <f>$H226*(1-$N226)*(1-$M226)</f>
        <v>#VALUE!</v>
      </c>
      <c r="S226" s="193"/>
      <c r="T226" s="116">
        <v>0</v>
      </c>
      <c r="U226" s="116">
        <v>0</v>
      </c>
      <c r="V226" s="116">
        <v>0</v>
      </c>
      <c r="W226" s="116">
        <v>0</v>
      </c>
      <c r="X226" s="3"/>
      <c r="Y226" s="116">
        <v>0</v>
      </c>
      <c r="Z226" s="116">
        <v>0</v>
      </c>
      <c r="AA226" s="116">
        <v>0</v>
      </c>
      <c r="AB226" s="116">
        <v>0</v>
      </c>
      <c r="AC226" s="116">
        <v>0</v>
      </c>
      <c r="AD226" s="117" t="e">
        <f>ROUND(SUM(-G226,H226:L226),0)</f>
        <v>#VALUE!</v>
      </c>
      <c r="AE226" s="117" t="e">
        <f>ROUND(H226-O226-P226-Q226-R226,0)</f>
        <v>#VALUE!</v>
      </c>
      <c r="AF226" s="117" t="e">
        <f>ROUND(I226-T226-U226-V226-W226,0)</f>
        <v>#VALUE!</v>
      </c>
      <c r="AG226" s="117" t="e">
        <f>ROUND(J226-Y226-Z226-AA226-AC226-AB226,0)</f>
        <v>#VALUE!</v>
      </c>
      <c r="AH226" s="116"/>
      <c r="AI226" t="str">
        <f t="shared" si="96"/>
        <v>Total Miscellaneous Expenses</v>
      </c>
      <c r="AJ226" t="str">
        <f t="shared" si="97"/>
        <v>NA</v>
      </c>
      <c r="AK226" t="str">
        <f>IF(ISERROR(MATCH(AI226&amp;"."&amp;AJ226,AK$91:AK225,0)),AI226&amp;"."&amp;AJ226,AI226&amp;"."&amp;AJ226&amp;COUNTIFS(AI$91:AI225,AI226,AJ$91:AJ225,AJ226))</f>
        <v>Total Miscellaneous Expenses.NA</v>
      </c>
    </row>
    <row r="227" spans="1:37" ht="15" hidden="1">
      <c r="A227" s="120">
        <f>ROW()</f>
        <v>227</v>
      </c>
      <c r="B227" s="120"/>
      <c r="E227" s="121"/>
      <c r="F227" s="138"/>
      <c r="G227" s="119"/>
      <c r="X227" s="3"/>
      <c r="AD227" s="119"/>
      <c r="AE227" s="119"/>
      <c r="AF227" s="119"/>
      <c r="AG227" s="119"/>
      <c r="AI227" t="str">
        <f t="shared" si="96"/>
        <v>Total Miscellaneous Expenses</v>
      </c>
      <c r="AJ227" t="str">
        <f t="shared" si="97"/>
        <v>NA</v>
      </c>
      <c r="AK227" t="str">
        <f>IF(ISERROR(MATCH(AI227&amp;"."&amp;AJ227,AK$91:AK226,0)),AI227&amp;"."&amp;AJ227,AI227&amp;"."&amp;AJ227&amp;COUNTIFS(AI$91:AI226,AI227,AJ$91:AJ226,AJ227))</f>
        <v>Total Miscellaneous Expenses.NA1</v>
      </c>
    </row>
    <row r="228" spans="1:37" ht="15.75" hidden="1" thickBot="1">
      <c r="A228" s="120">
        <f>ROW()</f>
        <v>228</v>
      </c>
      <c r="B228" s="120"/>
      <c r="C228" s="110" t="s">
        <v>176</v>
      </c>
      <c r="E228" s="121"/>
      <c r="F228" s="138"/>
      <c r="G228" s="153" t="e">
        <f t="shared" ref="G228:L228" si="100">G226+G212</f>
        <v>#VALUE!</v>
      </c>
      <c r="H228" s="152" t="e">
        <f t="shared" si="100"/>
        <v>#VALUE!</v>
      </c>
      <c r="I228" s="152" t="e">
        <f t="shared" si="100"/>
        <v>#VALUE!</v>
      </c>
      <c r="J228" s="152" t="e">
        <f t="shared" si="100"/>
        <v>#VALUE!</v>
      </c>
      <c r="K228" s="152" t="e">
        <f t="shared" si="100"/>
        <v>#VALUE!</v>
      </c>
      <c r="L228" s="152" t="e">
        <f t="shared" si="100"/>
        <v>#VALUE!</v>
      </c>
      <c r="O228" s="116" t="e">
        <f>O226+O212</f>
        <v>#VALUE!</v>
      </c>
      <c r="P228" s="116" t="e">
        <f>P226+P212</f>
        <v>#VALUE!</v>
      </c>
      <c r="Q228" s="116" t="e">
        <f>Q226+Q212</f>
        <v>#VALUE!</v>
      </c>
      <c r="R228" s="116" t="e">
        <f>R226+R212</f>
        <v>#VALUE!</v>
      </c>
      <c r="S228" s="116"/>
      <c r="T228" s="116" t="e">
        <f>T226+T212</f>
        <v>#VALUE!</v>
      </c>
      <c r="U228" s="116" t="e">
        <f>U226+U212</f>
        <v>#VALUE!</v>
      </c>
      <c r="V228" s="116" t="e">
        <f>V226+V212</f>
        <v>#VALUE!</v>
      </c>
      <c r="W228" s="116" t="e">
        <f>W226+W212</f>
        <v>#VALUE!</v>
      </c>
      <c r="X228" s="3"/>
      <c r="Y228" s="116" t="e">
        <f>Y226+Y212</f>
        <v>#VALUE!</v>
      </c>
      <c r="Z228" s="116" t="e">
        <f>Z226+Z212</f>
        <v>#VALUE!</v>
      </c>
      <c r="AA228" s="116" t="e">
        <f>AA226+AA212</f>
        <v>#VALUE!</v>
      </c>
      <c r="AB228" s="116" t="e">
        <f>AB226+AB212</f>
        <v>#VALUE!</v>
      </c>
      <c r="AC228" s="116" t="e">
        <f>AC226+AC212</f>
        <v>#VALUE!</v>
      </c>
      <c r="AD228" s="117" t="e">
        <f>ROUND(SUM(-G228,H228:L228),0)</f>
        <v>#VALUE!</v>
      </c>
      <c r="AE228" s="117" t="e">
        <f>ROUND(H228-O228-P228-Q228-R228,0)</f>
        <v>#VALUE!</v>
      </c>
      <c r="AF228" s="117" t="e">
        <f>ROUND(I228-T228-U228-V228-W228,0)</f>
        <v>#VALUE!</v>
      </c>
      <c r="AG228" s="117" t="e">
        <f>ROUND(J228-Y228-Z228-AA228-AC228-AB228,0)</f>
        <v>#VALUE!</v>
      </c>
      <c r="AH228" s="116"/>
      <c r="AI228" t="str">
        <f t="shared" si="96"/>
        <v>Net Misc Revenue and Expense</v>
      </c>
      <c r="AJ228" t="str">
        <f t="shared" si="97"/>
        <v>NA</v>
      </c>
      <c r="AK228" t="str">
        <f>IF(ISERROR(MATCH(AI228&amp;"."&amp;AJ228,AK$91:AK227,0)),AI228&amp;"."&amp;AJ228,AI228&amp;"."&amp;AJ228&amp;COUNTIFS(AI$91:AI227,AI228,AJ$91:AJ227,AJ228))</f>
        <v>Net Misc Revenue and Expense.NA</v>
      </c>
    </row>
    <row r="229" spans="1:37" ht="15" hidden="1">
      <c r="A229" s="120">
        <f>ROW()</f>
        <v>229</v>
      </c>
      <c r="B229" s="120"/>
      <c r="E229" s="121"/>
      <c r="F229" s="138"/>
      <c r="G229" s="119"/>
      <c r="X229" s="3"/>
      <c r="AD229" s="119"/>
      <c r="AE229" s="119"/>
      <c r="AF229" s="119"/>
      <c r="AG229" s="119"/>
      <c r="AI229" t="str">
        <f t="shared" si="96"/>
        <v>Net Misc Revenue and Expense</v>
      </c>
      <c r="AJ229" t="str">
        <f t="shared" si="97"/>
        <v>NA</v>
      </c>
      <c r="AK229" t="str">
        <f>IF(ISERROR(MATCH(AI229&amp;"."&amp;AJ229,AK$91:AK228,0)),AI229&amp;"."&amp;AJ229,AI229&amp;"."&amp;AJ229&amp;COUNTIFS(AI$91:AI228,AI229,AJ$91:AJ228,AJ229))</f>
        <v>Net Misc Revenue and Expense.NA1</v>
      </c>
    </row>
    <row r="230" spans="1:37" ht="15" hidden="1">
      <c r="A230" s="120">
        <f>ROW()</f>
        <v>230</v>
      </c>
      <c r="B230" s="120"/>
      <c r="C230" s="1">
        <v>500</v>
      </c>
      <c r="D230" s="2" t="s">
        <v>177</v>
      </c>
      <c r="E230" s="121"/>
      <c r="F230" s="138"/>
      <c r="G230" s="119"/>
      <c r="X230" s="3"/>
      <c r="AD230" s="119"/>
      <c r="AE230" s="119"/>
      <c r="AF230" s="119"/>
      <c r="AG230" s="119"/>
      <c r="AI230">
        <f t="shared" si="96"/>
        <v>500</v>
      </c>
      <c r="AJ230" t="str">
        <f t="shared" si="97"/>
        <v>NA</v>
      </c>
      <c r="AK230" t="str">
        <f>IF(ISERROR(MATCH(AI230&amp;"."&amp;AJ230,AK$91:AK229,0)),AI230&amp;"."&amp;AJ230,AI230&amp;"."&amp;AJ230&amp;COUNTIFS(AI$91:AI229,AI230,AJ$91:AJ229,AJ230))</f>
        <v>500.NA</v>
      </c>
    </row>
    <row r="231" spans="1:37" ht="15" hidden="1">
      <c r="A231" s="120">
        <f>ROW()</f>
        <v>231</v>
      </c>
      <c r="B231" s="120"/>
      <c r="C231" s="1"/>
      <c r="E231" s="121" t="s">
        <v>15</v>
      </c>
      <c r="F231" s="138" t="str">
        <f>INDEX(FuncAllocOptions,ROW(A231)-ROW($A$92)+1,[4]Inputs!$S$11)</f>
        <v>P</v>
      </c>
      <c r="G231" s="117" t="e">
        <f>SUMIF(FERCJAMFactor,AK231,JAMValue)</f>
        <v>#VALUE!</v>
      </c>
      <c r="H231" s="116" t="e">
        <f t="shared" ref="H231:L232" si="101">INDEX(FuncFactorTbl,MATCH($F231,FuncFactors,0),MATCH(H$8,Functions,0))*$G231</f>
        <v>#VALUE!</v>
      </c>
      <c r="I231" s="116" t="e">
        <f t="shared" si="101"/>
        <v>#VALUE!</v>
      </c>
      <c r="J231" s="116" t="e">
        <f t="shared" si="101"/>
        <v>#VALUE!</v>
      </c>
      <c r="K231" s="116" t="e">
        <f t="shared" si="101"/>
        <v>#VALUE!</v>
      </c>
      <c r="L231" s="116" t="e">
        <f t="shared" si="101"/>
        <v>#VALUE!</v>
      </c>
      <c r="N231" s="108">
        <v>0.75</v>
      </c>
      <c r="O231" s="116" t="e">
        <f>$H231*$N231*$M231</f>
        <v>#VALUE!</v>
      </c>
      <c r="P231" s="116" t="e">
        <f>$H231*(1-$N231)*$M231</f>
        <v>#VALUE!</v>
      </c>
      <c r="Q231" s="116" t="e">
        <f>$H231*$N231*(1-$M231)</f>
        <v>#VALUE!</v>
      </c>
      <c r="R231" s="116" t="e">
        <f>$H231*(1-$N231)*(1-$M231)</f>
        <v>#VALUE!</v>
      </c>
      <c r="S231" s="108">
        <v>0.75</v>
      </c>
      <c r="T231" s="116" t="e">
        <f>$I231*$S231*$M231</f>
        <v>#VALUE!</v>
      </c>
      <c r="U231" s="116" t="e">
        <f>$I231*(1-$S231)*$M231</f>
        <v>#VALUE!</v>
      </c>
      <c r="V231" s="116" t="e">
        <f>$I231*$S231*(1-$M231)</f>
        <v>#VALUE!</v>
      </c>
      <c r="W231" s="116" t="e">
        <f>$I231*(1-$S231)*(1-$M231)</f>
        <v>#VALUE!</v>
      </c>
      <c r="X231" s="3"/>
      <c r="AD231" s="117" t="e">
        <f>ROUND(SUM(-G231,H231:L231),0)</f>
        <v>#VALUE!</v>
      </c>
      <c r="AE231" s="117" t="e">
        <f>ROUND(H231-O231-P231-Q231-R231,0)</f>
        <v>#VALUE!</v>
      </c>
      <c r="AF231" s="117" t="e">
        <f>ROUND(I231-T231-U231-V231-W231,0)</f>
        <v>#VALUE!</v>
      </c>
      <c r="AG231" s="117" t="e">
        <f>ROUND(J231-Y231-Z231-AA231-AC231-AB231,0)</f>
        <v>#VALUE!</v>
      </c>
      <c r="AH231" s="116"/>
      <c r="AI231">
        <f t="shared" si="96"/>
        <v>500</v>
      </c>
      <c r="AJ231" t="str">
        <f t="shared" si="97"/>
        <v>SG</v>
      </c>
      <c r="AK231" t="str">
        <f>IF(ISERROR(MATCH(AI231&amp;"."&amp;AJ231,AK$91:AK230,0)),AI231&amp;"."&amp;AJ231,AI231&amp;"."&amp;AJ231&amp;COUNTIFS(AI$91:AI230,AI231,AJ$91:AJ230,AJ231))</f>
        <v>500.SG</v>
      </c>
    </row>
    <row r="232" spans="1:37" ht="15" hidden="1">
      <c r="A232" s="120">
        <f>ROW()</f>
        <v>232</v>
      </c>
      <c r="B232" s="120"/>
      <c r="C232" s="1"/>
      <c r="E232" s="121" t="s">
        <v>15</v>
      </c>
      <c r="F232" s="138" t="str">
        <f>INDEX(FuncAllocOptions,ROW(A232)-ROW($A$92)+1,[4]Inputs!$S$11)</f>
        <v>P</v>
      </c>
      <c r="G232" s="133" t="e">
        <f>SUMIF(FERCJAMFactor,AK232,JAMValue)</f>
        <v>#VALUE!</v>
      </c>
      <c r="H232" s="139" t="e">
        <f t="shared" si="101"/>
        <v>#VALUE!</v>
      </c>
      <c r="I232" s="139" t="e">
        <f t="shared" si="101"/>
        <v>#VALUE!</v>
      </c>
      <c r="J232" s="139" t="e">
        <f t="shared" si="101"/>
        <v>#VALUE!</v>
      </c>
      <c r="K232" s="139" t="e">
        <f t="shared" si="101"/>
        <v>#VALUE!</v>
      </c>
      <c r="L232" s="139" t="e">
        <f t="shared" si="101"/>
        <v>#VALUE!</v>
      </c>
      <c r="N232" s="108">
        <v>0.75</v>
      </c>
      <c r="O232" s="116" t="e">
        <f>$H232*$N232*$M232</f>
        <v>#VALUE!</v>
      </c>
      <c r="P232" s="116" t="e">
        <f>$H232*(1-$N232)*$M232</f>
        <v>#VALUE!</v>
      </c>
      <c r="Q232" s="116" t="e">
        <f>$H232*$N232*(1-$M232)</f>
        <v>#VALUE!</v>
      </c>
      <c r="R232" s="116" t="e">
        <f>$H232*(1-$N232)*(1-$M232)</f>
        <v>#VALUE!</v>
      </c>
      <c r="S232" s="108">
        <v>0.75</v>
      </c>
      <c r="T232" s="116" t="e">
        <f>$I232*$S232*$M232</f>
        <v>#VALUE!</v>
      </c>
      <c r="U232" s="116" t="e">
        <f>$I232*(1-$S232)*$M232</f>
        <v>#VALUE!</v>
      </c>
      <c r="V232" s="116" t="e">
        <f>$I232*$S232*(1-$M232)</f>
        <v>#VALUE!</v>
      </c>
      <c r="W232" s="116" t="e">
        <f>$I232*(1-$S232)*(1-$M232)</f>
        <v>#VALUE!</v>
      </c>
      <c r="X232" s="3"/>
      <c r="AD232" s="117" t="e">
        <f>ROUND(SUM(-G232,H232:L232),0)</f>
        <v>#VALUE!</v>
      </c>
      <c r="AE232" s="117" t="e">
        <f>ROUND(H232-O232-P232-Q232-R232,0)</f>
        <v>#VALUE!</v>
      </c>
      <c r="AF232" s="117" t="e">
        <f>ROUND(I232-T232-U232-V232-W232,0)</f>
        <v>#VALUE!</v>
      </c>
      <c r="AG232" s="117" t="e">
        <f>ROUND(J232-Y232-Z232-AA232-AC232-AB232,0)</f>
        <v>#VALUE!</v>
      </c>
      <c r="AH232" s="116"/>
      <c r="AI232">
        <f t="shared" si="96"/>
        <v>500</v>
      </c>
      <c r="AJ232" t="str">
        <f t="shared" si="97"/>
        <v>SG</v>
      </c>
      <c r="AK232" t="str">
        <f>IF(ISERROR(MATCH(AI232&amp;"."&amp;AJ232,AK$91:AK231,0)),AI232&amp;"."&amp;AJ232,AI232&amp;"."&amp;AJ232&amp;COUNTIFS(AI$91:AI231,AI232,AJ$91:AJ231,AJ232))</f>
        <v>500.SG1</v>
      </c>
    </row>
    <row r="233" spans="1:37" ht="15" hidden="1">
      <c r="A233" s="120">
        <f>ROW()</f>
        <v>233</v>
      </c>
      <c r="B233" s="120"/>
      <c r="C233" s="1"/>
      <c r="E233" s="121"/>
      <c r="F233" s="138"/>
      <c r="G233" s="117" t="e">
        <f t="shared" ref="G233:L233" si="102">SUM(G231:G232)</f>
        <v>#VALUE!</v>
      </c>
      <c r="H233" s="116" t="e">
        <f t="shared" si="102"/>
        <v>#VALUE!</v>
      </c>
      <c r="I233" s="116" t="e">
        <f t="shared" si="102"/>
        <v>#VALUE!</v>
      </c>
      <c r="J233" s="116" t="e">
        <f t="shared" si="102"/>
        <v>#VALUE!</v>
      </c>
      <c r="K233" s="116" t="e">
        <f t="shared" si="102"/>
        <v>#VALUE!</v>
      </c>
      <c r="L233" s="116" t="e">
        <f t="shared" si="102"/>
        <v>#VALUE!</v>
      </c>
      <c r="O233" s="116" t="e">
        <f>SUM(O231:O232)</f>
        <v>#VALUE!</v>
      </c>
      <c r="P233" s="116" t="e">
        <f>SUM(P231:P232)</f>
        <v>#VALUE!</v>
      </c>
      <c r="Q233" s="116" t="e">
        <f>SUM(Q231:Q232)</f>
        <v>#VALUE!</v>
      </c>
      <c r="R233" s="116" t="e">
        <f>SUM(R231:R232)</f>
        <v>#VALUE!</v>
      </c>
      <c r="T233" s="116" t="e">
        <f>SUM(T231:T232)</f>
        <v>#VALUE!</v>
      </c>
      <c r="U233" s="116" t="e">
        <f>SUM(U231:U232)</f>
        <v>#VALUE!</v>
      </c>
      <c r="V233" s="116" t="e">
        <f>SUM(V231:V232)</f>
        <v>#VALUE!</v>
      </c>
      <c r="W233" s="116" t="e">
        <f>SUM(W231:W232)</f>
        <v>#VALUE!</v>
      </c>
      <c r="X233" s="3"/>
      <c r="Y233" s="116">
        <f>SUM(Y231:Y232)</f>
        <v>0</v>
      </c>
      <c r="Z233" s="116">
        <f>SUM(Z231:Z232)</f>
        <v>0</v>
      </c>
      <c r="AA233" s="116">
        <f>SUM(AA231:AA232)</f>
        <v>0</v>
      </c>
      <c r="AB233" s="116">
        <f>SUM(AB231:AB232)</f>
        <v>0</v>
      </c>
      <c r="AC233" s="116">
        <f>SUM(AC231:AC232)</f>
        <v>0</v>
      </c>
      <c r="AD233" s="117" t="e">
        <f>ROUND(SUM(-G233,H233:L233),0)</f>
        <v>#VALUE!</v>
      </c>
      <c r="AE233" s="117" t="e">
        <f>ROUND(H233-O233-P233-Q233-R233,0)</f>
        <v>#VALUE!</v>
      </c>
      <c r="AF233" s="117" t="e">
        <f>ROUND(I233-T233-U233-V233-W233,0)</f>
        <v>#VALUE!</v>
      </c>
      <c r="AG233" s="117" t="e">
        <f>ROUND(J233-Y233-Z233-AA233-AC233-AB233,0)</f>
        <v>#VALUE!</v>
      </c>
      <c r="AH233" s="116"/>
      <c r="AI233">
        <f t="shared" si="96"/>
        <v>500</v>
      </c>
      <c r="AJ233" t="str">
        <f t="shared" si="97"/>
        <v>NA</v>
      </c>
      <c r="AK233" t="str">
        <f>IF(ISERROR(MATCH(AI233&amp;"."&amp;AJ233,AK$91:AK232,0)),AI233&amp;"."&amp;AJ233,AI233&amp;"."&amp;AJ233&amp;COUNTIFS(AI$91:AI232,AI233,AJ$91:AJ232,AJ233))</f>
        <v>500.NA1</v>
      </c>
    </row>
    <row r="234" spans="1:37" ht="15" hidden="1">
      <c r="A234" s="120">
        <f>ROW()</f>
        <v>234</v>
      </c>
      <c r="B234" s="120"/>
      <c r="C234" s="1"/>
      <c r="E234" s="121"/>
      <c r="F234" s="138"/>
      <c r="G234" s="119"/>
      <c r="X234" s="3"/>
      <c r="AD234" s="119"/>
      <c r="AE234" s="119"/>
      <c r="AF234" s="119"/>
      <c r="AG234" s="119"/>
      <c r="AI234">
        <f t="shared" si="96"/>
        <v>500</v>
      </c>
      <c r="AJ234" t="str">
        <f t="shared" si="97"/>
        <v>NA</v>
      </c>
      <c r="AK234" t="str">
        <f>IF(ISERROR(MATCH(AI234&amp;"."&amp;AJ234,AK$91:AK233,0)),AI234&amp;"."&amp;AJ234,AI234&amp;"."&amp;AJ234&amp;COUNTIFS(AI$91:AI233,AI234,AJ$91:AJ233,AJ234))</f>
        <v>500.NA2</v>
      </c>
    </row>
    <row r="235" spans="1:37" ht="15" hidden="1">
      <c r="A235" s="120">
        <f>ROW()</f>
        <v>235</v>
      </c>
      <c r="B235" s="120"/>
      <c r="C235" s="1">
        <v>501</v>
      </c>
      <c r="D235" s="2" t="s">
        <v>788</v>
      </c>
      <c r="E235" s="121"/>
      <c r="F235" s="138"/>
      <c r="G235" s="119"/>
      <c r="X235" s="3"/>
      <c r="AD235" s="119"/>
      <c r="AE235" s="119"/>
      <c r="AF235" s="119"/>
      <c r="AG235" s="119"/>
      <c r="AI235">
        <f t="shared" si="96"/>
        <v>501</v>
      </c>
      <c r="AJ235" t="str">
        <f t="shared" si="97"/>
        <v>NA</v>
      </c>
      <c r="AK235" t="str">
        <f>IF(ISERROR(MATCH(AI235&amp;"."&amp;AJ235,AK$91:AK234,0)),AI235&amp;"."&amp;AJ235,AI235&amp;"."&amp;AJ235&amp;COUNTIFS(AI$91:AI234,AI235,AJ$91:AJ234,AJ235))</f>
        <v>501.NA</v>
      </c>
    </row>
    <row r="236" spans="1:37" ht="15" hidden="1">
      <c r="A236" s="120">
        <f>ROW()</f>
        <v>236</v>
      </c>
      <c r="B236" s="120"/>
      <c r="C236" s="1"/>
      <c r="E236" s="121" t="s">
        <v>16</v>
      </c>
      <c r="F236" s="138" t="str">
        <f>INDEX(FuncAllocOptions,ROW(A236)-ROW($A$92)+1,[4]Inputs!$S$11)</f>
        <v>P</v>
      </c>
      <c r="G236" s="117" t="e">
        <f>SUMIF(FERCJAMFactor,AK236,JAMValue)</f>
        <v>#VALUE!</v>
      </c>
      <c r="H236" s="116" t="e">
        <f t="shared" ref="H236:L240" si="103">INDEX(FuncFactorTbl,MATCH($F236,FuncFactors,0),MATCH(H$8,Functions,0))*$G236</f>
        <v>#VALUE!</v>
      </c>
      <c r="I236" s="116" t="e">
        <f t="shared" si="103"/>
        <v>#VALUE!</v>
      </c>
      <c r="J236" s="116" t="e">
        <f t="shared" si="103"/>
        <v>#VALUE!</v>
      </c>
      <c r="K236" s="116" t="e">
        <f t="shared" si="103"/>
        <v>#VALUE!</v>
      </c>
      <c r="L236" s="116" t="e">
        <f t="shared" si="103"/>
        <v>#VALUE!</v>
      </c>
      <c r="N236" s="108">
        <v>0</v>
      </c>
      <c r="O236" s="116" t="e">
        <f>$H236*$N236*$M236</f>
        <v>#VALUE!</v>
      </c>
      <c r="P236" s="116" t="e">
        <f>$H236*(1-$N236)*$M236</f>
        <v>#VALUE!</v>
      </c>
      <c r="Q236" s="116" t="e">
        <f>$H236*$N236*(1-$M236)</f>
        <v>#VALUE!</v>
      </c>
      <c r="R236" s="116" t="e">
        <f>$H236*(1-$N236)*(1-$M236)</f>
        <v>#VALUE!</v>
      </c>
      <c r="T236" s="116">
        <v>0</v>
      </c>
      <c r="U236" s="116">
        <v>0</v>
      </c>
      <c r="V236" s="116">
        <v>0</v>
      </c>
      <c r="W236" s="116">
        <v>0</v>
      </c>
      <c r="X236" s="3"/>
      <c r="AD236" s="117" t="e">
        <f>ROUND(SUM(-G236,H236:L236),0)</f>
        <v>#VALUE!</v>
      </c>
      <c r="AE236" s="117" t="e">
        <f>ROUND(H236-O236-P236-Q236-R236,0)</f>
        <v>#VALUE!</v>
      </c>
      <c r="AF236" s="117" t="e">
        <f>ROUND(I236-T236-U236-V236-W236,0)</f>
        <v>#VALUE!</v>
      </c>
      <c r="AG236" s="117" t="e">
        <f>ROUND(J236-Y236-Z236-AA236-AC236-AB236,0)</f>
        <v>#VALUE!</v>
      </c>
      <c r="AH236" s="116"/>
      <c r="AI236">
        <f t="shared" si="96"/>
        <v>501</v>
      </c>
      <c r="AJ236" t="str">
        <f t="shared" si="97"/>
        <v>SE</v>
      </c>
      <c r="AK236" t="str">
        <f>IF(ISERROR(MATCH(AI236&amp;"."&amp;AJ236,AK$91:AK235,0)),AI236&amp;"."&amp;AJ236,AI236&amp;"."&amp;AJ236&amp;COUNTIFS(AI$91:AI235,AI236,AJ$91:AJ235,AJ236))</f>
        <v>501.SE</v>
      </c>
    </row>
    <row r="237" spans="1:37" ht="15" hidden="1">
      <c r="A237" s="120">
        <f>ROW()</f>
        <v>237</v>
      </c>
      <c r="B237" s="120"/>
      <c r="C237" s="1"/>
      <c r="E237" s="121" t="s">
        <v>16</v>
      </c>
      <c r="F237" s="138" t="str">
        <f>INDEX(FuncAllocOptions,ROW(A237)-ROW($A$92)+1,[4]Inputs!$S$11)</f>
        <v>P</v>
      </c>
      <c r="G237" s="117" t="e">
        <f>SUMIF(FERCJAMFactor,AK237,JAMValue)</f>
        <v>#VALUE!</v>
      </c>
      <c r="H237" s="116" t="e">
        <f t="shared" si="103"/>
        <v>#VALUE!</v>
      </c>
      <c r="I237" s="116" t="e">
        <f t="shared" si="103"/>
        <v>#VALUE!</v>
      </c>
      <c r="J237" s="116" t="e">
        <f t="shared" si="103"/>
        <v>#VALUE!</v>
      </c>
      <c r="K237" s="116" t="e">
        <f t="shared" si="103"/>
        <v>#VALUE!</v>
      </c>
      <c r="L237" s="116" t="e">
        <f t="shared" si="103"/>
        <v>#VALUE!</v>
      </c>
      <c r="N237" s="108">
        <v>0</v>
      </c>
      <c r="O237" s="116" t="e">
        <f>$H237*$N237*$M237</f>
        <v>#VALUE!</v>
      </c>
      <c r="P237" s="116" t="e">
        <f>$H237*(1-$N237)*$M237</f>
        <v>#VALUE!</v>
      </c>
      <c r="Q237" s="116" t="e">
        <f>$H237*$N237*(1-$M237)</f>
        <v>#VALUE!</v>
      </c>
      <c r="R237" s="116" t="e">
        <f>$H237*(1-$N237)*(1-$M237)</f>
        <v>#VALUE!</v>
      </c>
      <c r="T237" s="116"/>
      <c r="U237" s="116"/>
      <c r="V237" s="116"/>
      <c r="W237" s="116"/>
      <c r="X237" s="3"/>
      <c r="AD237" s="117" t="e">
        <f>ROUND(SUM(-G237,H237:L237),0)</f>
        <v>#VALUE!</v>
      </c>
      <c r="AE237" s="117" t="e">
        <f>ROUND(H237-O237-P237-Q237-R237,0)</f>
        <v>#VALUE!</v>
      </c>
      <c r="AF237" s="117" t="e">
        <f>ROUND(I237-T237-U237-V237-W237,0)</f>
        <v>#VALUE!</v>
      </c>
      <c r="AG237" s="117" t="e">
        <f>ROUND(J237-Y237-Z237-AA237-AC237-AB237,0)</f>
        <v>#VALUE!</v>
      </c>
      <c r="AH237" s="116"/>
      <c r="AI237">
        <f t="shared" si="96"/>
        <v>501</v>
      </c>
      <c r="AJ237" t="str">
        <f t="shared" si="97"/>
        <v>SE</v>
      </c>
      <c r="AK237" t="str">
        <f>IF(ISERROR(MATCH(AI237&amp;"."&amp;AJ237,AK$91:AK236,0)),AI237&amp;"."&amp;AJ237,AI237&amp;"."&amp;AJ237&amp;COUNTIFS(AI$91:AI236,AI237,AJ$91:AJ236,AJ237))</f>
        <v>501.SE1</v>
      </c>
    </row>
    <row r="238" spans="1:37" ht="15" hidden="1">
      <c r="A238" s="120">
        <f>ROW()</f>
        <v>238</v>
      </c>
      <c r="B238" s="120"/>
      <c r="C238" s="1"/>
      <c r="E238" s="121" t="s">
        <v>16</v>
      </c>
      <c r="F238" s="138" t="str">
        <f>INDEX(FuncAllocOptions,ROW(A238)-ROW($A$92)+1,[4]Inputs!$S$11)</f>
        <v>P</v>
      </c>
      <c r="G238" s="117" t="e">
        <f>SUMIF(FERCJAMFactor,AK238,JAMValue)</f>
        <v>#VALUE!</v>
      </c>
      <c r="H238" s="116" t="e">
        <f t="shared" si="103"/>
        <v>#VALUE!</v>
      </c>
      <c r="I238" s="116" t="e">
        <f t="shared" si="103"/>
        <v>#VALUE!</v>
      </c>
      <c r="J238" s="116" t="e">
        <f t="shared" si="103"/>
        <v>#VALUE!</v>
      </c>
      <c r="K238" s="116" t="e">
        <f t="shared" si="103"/>
        <v>#VALUE!</v>
      </c>
      <c r="L238" s="116" t="e">
        <f t="shared" si="103"/>
        <v>#VALUE!</v>
      </c>
      <c r="N238" s="108">
        <v>0</v>
      </c>
      <c r="O238" s="116" t="e">
        <f>$H238*$N238*$M238</f>
        <v>#VALUE!</v>
      </c>
      <c r="P238" s="116" t="e">
        <f>$H238*(1-$N238)*$M238</f>
        <v>#VALUE!</v>
      </c>
      <c r="Q238" s="116" t="e">
        <f>$H238*$N238*(1-$M238)</f>
        <v>#VALUE!</v>
      </c>
      <c r="R238" s="116" t="e">
        <f>$H238*(1-$N238)*(1-$M238)</f>
        <v>#VALUE!</v>
      </c>
      <c r="T238" s="116"/>
      <c r="U238" s="116"/>
      <c r="V238" s="116"/>
      <c r="W238" s="116"/>
      <c r="X238" s="3"/>
      <c r="AD238" s="117" t="e">
        <f>ROUND(SUM(-G238,H238:L238),0)</f>
        <v>#VALUE!</v>
      </c>
      <c r="AE238" s="117" t="e">
        <f>ROUND(H238-O238-P238-Q238-R238,0)</f>
        <v>#VALUE!</v>
      </c>
      <c r="AF238" s="117" t="e">
        <f>ROUND(I238-T238-U238-V238-W238,0)</f>
        <v>#VALUE!</v>
      </c>
      <c r="AG238" s="117" t="e">
        <f>ROUND(J238-Y238-Z238-AA238-AC238-AB238,0)</f>
        <v>#VALUE!</v>
      </c>
      <c r="AH238" s="116"/>
      <c r="AI238">
        <f t="shared" si="96"/>
        <v>501</v>
      </c>
      <c r="AJ238" t="str">
        <f t="shared" si="97"/>
        <v>SE</v>
      </c>
      <c r="AK238" t="str">
        <f>IF(ISERROR(MATCH(AI238&amp;"."&amp;AJ238,AK$91:AK237,0)),AI238&amp;"."&amp;AJ238,AI238&amp;"."&amp;AJ238&amp;COUNTIFS(AI$91:AI237,AI238,AJ$91:AJ237,AJ238))</f>
        <v>501.SE2</v>
      </c>
    </row>
    <row r="239" spans="1:37" ht="15" hidden="1">
      <c r="A239" s="120">
        <f>ROW()</f>
        <v>239</v>
      </c>
      <c r="B239" s="120"/>
      <c r="C239" s="1"/>
      <c r="E239" s="121" t="s">
        <v>16</v>
      </c>
      <c r="F239" s="138" t="str">
        <f>INDEX(FuncAllocOptions,ROW(A239)-ROW($A$92)+1,[4]Inputs!$S$11)</f>
        <v>P</v>
      </c>
      <c r="G239" s="117" t="e">
        <f>SUMIF(FERCJAMFactor,AK239,JAMValue)</f>
        <v>#VALUE!</v>
      </c>
      <c r="H239" s="116" t="e">
        <f t="shared" si="103"/>
        <v>#VALUE!</v>
      </c>
      <c r="I239" s="116" t="e">
        <f t="shared" si="103"/>
        <v>#VALUE!</v>
      </c>
      <c r="J239" s="116" t="e">
        <f t="shared" si="103"/>
        <v>#VALUE!</v>
      </c>
      <c r="K239" s="116" t="e">
        <f t="shared" si="103"/>
        <v>#VALUE!</v>
      </c>
      <c r="L239" s="116" t="e">
        <f t="shared" si="103"/>
        <v>#VALUE!</v>
      </c>
      <c r="N239" s="108">
        <v>0</v>
      </c>
      <c r="O239" s="116" t="e">
        <f>$H239*$N239*$M239</f>
        <v>#VALUE!</v>
      </c>
      <c r="P239" s="116" t="e">
        <f>$H239*(1-$N239)*$M239</f>
        <v>#VALUE!</v>
      </c>
      <c r="Q239" s="116" t="e">
        <f>$H239*$N239*(1-$M239)</f>
        <v>#VALUE!</v>
      </c>
      <c r="R239" s="116" t="e">
        <f>$H239*(1-$N239)*(1-$M239)</f>
        <v>#VALUE!</v>
      </c>
      <c r="T239" s="116"/>
      <c r="U239" s="116"/>
      <c r="V239" s="116"/>
      <c r="W239" s="116"/>
      <c r="X239" s="3"/>
      <c r="AD239" s="117" t="e">
        <f>ROUND(SUM(-G239,H239:L239),0)</f>
        <v>#VALUE!</v>
      </c>
      <c r="AE239" s="117" t="e">
        <f>ROUND(H239-O239-P239-Q239-R239,0)</f>
        <v>#VALUE!</v>
      </c>
      <c r="AF239" s="117" t="e">
        <f>ROUND(I239-T239-U239-V239-W239,0)</f>
        <v>#VALUE!</v>
      </c>
      <c r="AG239" s="117" t="e">
        <f>ROUND(J239-Y239-Z239-AA239-AC239-AB239,0)</f>
        <v>#VALUE!</v>
      </c>
      <c r="AH239" s="116"/>
      <c r="AI239">
        <f t="shared" si="96"/>
        <v>501</v>
      </c>
      <c r="AJ239" t="str">
        <f t="shared" si="97"/>
        <v>SE</v>
      </c>
      <c r="AK239" t="str">
        <f>IF(ISERROR(MATCH(AI239&amp;"."&amp;AJ239,AK$91:AK238,0)),AI239&amp;"."&amp;AJ239,AI239&amp;"."&amp;AJ239&amp;COUNTIFS(AI$91:AI238,AI239,AJ$91:AJ238,AJ239))</f>
        <v>501.SE3</v>
      </c>
    </row>
    <row r="240" spans="1:37" ht="15" hidden="1">
      <c r="A240" s="120">
        <f>ROW()</f>
        <v>240</v>
      </c>
      <c r="B240" s="120"/>
      <c r="C240" s="1"/>
      <c r="E240" s="121" t="s">
        <v>16</v>
      </c>
      <c r="F240" s="138" t="str">
        <f>INDEX(FuncAllocOptions,ROW(A240)-ROW($A$92)+1,[4]Inputs!$S$11)</f>
        <v>P</v>
      </c>
      <c r="G240" s="117" t="e">
        <f>SUMIF(FERCJAMFactor,AK240,JAMValue)</f>
        <v>#VALUE!</v>
      </c>
      <c r="H240" s="116" t="e">
        <f t="shared" si="103"/>
        <v>#VALUE!</v>
      </c>
      <c r="I240" s="116" t="e">
        <f t="shared" si="103"/>
        <v>#VALUE!</v>
      </c>
      <c r="J240" s="116" t="e">
        <f t="shared" si="103"/>
        <v>#VALUE!</v>
      </c>
      <c r="K240" s="116" t="e">
        <f t="shared" si="103"/>
        <v>#VALUE!</v>
      </c>
      <c r="L240" s="116" t="e">
        <f t="shared" si="103"/>
        <v>#VALUE!</v>
      </c>
      <c r="N240" s="108">
        <v>0</v>
      </c>
      <c r="O240" s="116" t="e">
        <f>$H240*$N240*$M240</f>
        <v>#VALUE!</v>
      </c>
      <c r="P240" s="116" t="e">
        <f>$H240*(1-$N240)*$M240</f>
        <v>#VALUE!</v>
      </c>
      <c r="Q240" s="116" t="e">
        <f>$H240*$N240*(1-$M240)</f>
        <v>#VALUE!</v>
      </c>
      <c r="R240" s="116" t="e">
        <f>$H240*(1-$N240)*(1-$M240)</f>
        <v>#VALUE!</v>
      </c>
      <c r="T240" s="116"/>
      <c r="U240" s="116"/>
      <c r="V240" s="116"/>
      <c r="W240" s="116"/>
      <c r="X240" s="3"/>
      <c r="AD240" s="117" t="e">
        <f>ROUND(SUM(-G240,H240:L240),0)</f>
        <v>#VALUE!</v>
      </c>
      <c r="AE240" s="117" t="e">
        <f>ROUND(H240-O240-P240-Q240-R240,0)</f>
        <v>#VALUE!</v>
      </c>
      <c r="AF240" s="117" t="e">
        <f>ROUND(I240-T240-U240-V240-W240,0)</f>
        <v>#VALUE!</v>
      </c>
      <c r="AG240" s="117" t="e">
        <f>ROUND(J240-Y240-Z240-AA240-AC240-AB240,0)</f>
        <v>#VALUE!</v>
      </c>
      <c r="AH240" s="116"/>
      <c r="AI240">
        <f t="shared" si="96"/>
        <v>501</v>
      </c>
      <c r="AJ240" t="str">
        <f t="shared" si="97"/>
        <v>SE</v>
      </c>
      <c r="AK240" t="str">
        <f>IF(ISERROR(MATCH(AI240&amp;"."&amp;AJ240,AK$91:AK239,0)),AI240&amp;"."&amp;AJ240,AI240&amp;"."&amp;AJ240&amp;COUNTIFS(AI$91:AI239,AI240,AJ$91:AJ239,AJ240))</f>
        <v>501.SE4</v>
      </c>
    </row>
    <row r="241" spans="1:37" ht="15" hidden="1">
      <c r="A241" s="120">
        <f>ROW()</f>
        <v>241</v>
      </c>
      <c r="B241" s="120"/>
      <c r="C241" s="1"/>
      <c r="E241" s="121"/>
      <c r="F241" s="138"/>
      <c r="G241" s="117"/>
      <c r="H241" s="116"/>
      <c r="I241" s="116"/>
      <c r="J241" s="116"/>
      <c r="K241" s="116"/>
      <c r="L241" s="116"/>
      <c r="O241" s="116"/>
      <c r="P241" s="116"/>
      <c r="Q241" s="116"/>
      <c r="R241" s="116"/>
      <c r="T241" s="116"/>
      <c r="U241" s="116"/>
      <c r="V241" s="116"/>
      <c r="W241" s="116"/>
      <c r="X241" s="3"/>
      <c r="AD241" s="117"/>
      <c r="AE241" s="117"/>
      <c r="AF241" s="117"/>
      <c r="AG241" s="117"/>
      <c r="AH241" s="116"/>
      <c r="AI241">
        <f t="shared" si="96"/>
        <v>501</v>
      </c>
      <c r="AJ241" t="str">
        <f t="shared" si="97"/>
        <v>NA</v>
      </c>
      <c r="AK241" t="str">
        <f>IF(ISERROR(MATCH(AI241&amp;"."&amp;AJ241,AK$91:AK240,0)),AI241&amp;"."&amp;AJ241,AI241&amp;"."&amp;AJ241&amp;COUNTIFS(AI$91:AI240,AI241,AJ$91:AJ240,AJ241))</f>
        <v>501.NA1</v>
      </c>
    </row>
    <row r="242" spans="1:37" ht="15">
      <c r="A242" s="120">
        <f>ROW()</f>
        <v>242</v>
      </c>
      <c r="B242" s="120" t="s">
        <v>105</v>
      </c>
      <c r="C242" s="1" t="s">
        <v>2</v>
      </c>
      <c r="D242" s="2" t="s">
        <v>3</v>
      </c>
      <c r="E242" s="121"/>
      <c r="F242" s="138"/>
      <c r="G242" s="117"/>
      <c r="H242" s="116"/>
      <c r="I242" s="116"/>
      <c r="J242" s="116"/>
      <c r="K242" s="116"/>
      <c r="L242" s="116"/>
      <c r="O242" s="116"/>
      <c r="P242" s="116"/>
      <c r="Q242" s="116"/>
      <c r="R242" s="116"/>
      <c r="T242" s="116"/>
      <c r="U242" s="116"/>
      <c r="V242" s="116"/>
      <c r="W242" s="116"/>
      <c r="X242" s="3"/>
      <c r="AD242" s="117"/>
      <c r="AE242" s="117"/>
      <c r="AF242" s="117"/>
      <c r="AG242" s="117"/>
      <c r="AH242" s="116"/>
      <c r="AI242" t="str">
        <f t="shared" si="96"/>
        <v>501NPC</v>
      </c>
      <c r="AJ242" t="str">
        <f t="shared" si="97"/>
        <v>NA</v>
      </c>
      <c r="AK242" t="str">
        <f>IF(ISERROR(MATCH(AI242&amp;"."&amp;AJ242,AK$91:AK241,0)),AI242&amp;"."&amp;AJ242,AI242&amp;"."&amp;AJ242&amp;COUNTIFS(AI$91:AI241,AI242,AJ$91:AJ241,AJ242))</f>
        <v>501NPC.NA</v>
      </c>
    </row>
    <row r="243" spans="1:37" ht="15.75" customHeight="1">
      <c r="A243" s="120">
        <f>ROW()</f>
        <v>243</v>
      </c>
      <c r="B243" s="120" t="s">
        <v>105</v>
      </c>
      <c r="C243" s="1"/>
      <c r="E243" s="121" t="s">
        <v>16</v>
      </c>
      <c r="F243" s="138" t="str">
        <f>INDEX(FuncAllocOptions,ROW(A243)-ROW($A$92)+1,[4]Inputs!$S$11)</f>
        <v>P</v>
      </c>
      <c r="G243" s="117" t="e">
        <f>SUMIF(FERCJAMFactor,AK243,JAMValue)</f>
        <v>#VALUE!</v>
      </c>
      <c r="H243" s="116" t="e">
        <f t="shared" ref="H243:L246" si="104">INDEX(FuncFactorTbl,MATCH($F243,FuncFactors,0),MATCH(H$8,Functions,0))*$G243</f>
        <v>#VALUE!</v>
      </c>
      <c r="I243" s="116" t="e">
        <f t="shared" si="104"/>
        <v>#VALUE!</v>
      </c>
      <c r="J243" s="116" t="e">
        <f t="shared" si="104"/>
        <v>#VALUE!</v>
      </c>
      <c r="K243" s="116" t="e">
        <f t="shared" si="104"/>
        <v>#VALUE!</v>
      </c>
      <c r="L243" s="116" t="e">
        <f t="shared" si="104"/>
        <v>#VALUE!</v>
      </c>
      <c r="M243" s="164">
        <v>1</v>
      </c>
      <c r="N243" s="108">
        <v>0</v>
      </c>
      <c r="O243" s="116" t="e">
        <f>$H243*$N243*$M243</f>
        <v>#VALUE!</v>
      </c>
      <c r="P243" s="116" t="e">
        <f>$H243*(1-$N243)*$M243</f>
        <v>#VALUE!</v>
      </c>
      <c r="Q243" s="116" t="e">
        <f>$H243*$N243*(1-$M243)</f>
        <v>#VALUE!</v>
      </c>
      <c r="R243" s="116" t="e">
        <f>$H243*(1-$N243)*(1-$M243)</f>
        <v>#VALUE!</v>
      </c>
      <c r="T243" s="116">
        <v>0</v>
      </c>
      <c r="U243" s="116">
        <v>0</v>
      </c>
      <c r="V243" s="116">
        <v>0</v>
      </c>
      <c r="W243" s="116">
        <v>0</v>
      </c>
      <c r="X243" s="3"/>
      <c r="AD243" s="117" t="e">
        <f>ROUND(SUM(-G243,H243:L243),0)</f>
        <v>#VALUE!</v>
      </c>
      <c r="AE243" s="117" t="e">
        <f>ROUND(H243-O243-P243-Q243-R243,0)</f>
        <v>#VALUE!</v>
      </c>
      <c r="AF243" s="117" t="e">
        <f>ROUND(I243-T243-U243-V243-W243,0)</f>
        <v>#VALUE!</v>
      </c>
      <c r="AG243" s="117" t="e">
        <f>ROUND(J243-Y243-Z243-AA243-AC243-AB243,0)</f>
        <v>#VALUE!</v>
      </c>
      <c r="AH243" s="116"/>
      <c r="AI243" t="str">
        <f t="shared" si="96"/>
        <v>501NPC</v>
      </c>
      <c r="AJ243" t="str">
        <f t="shared" si="97"/>
        <v>SE</v>
      </c>
      <c r="AK243" t="str">
        <f>IF(ISERROR(MATCH(AI243&amp;"."&amp;AJ243,AK$91:AK242,0)),AI243&amp;"."&amp;AJ243,AI243&amp;"."&amp;AJ243&amp;COUNTIFS(AI$91:AI242,AI243,AJ$91:AJ242,AJ243))</f>
        <v>501NPC.SE</v>
      </c>
    </row>
    <row r="244" spans="1:37" ht="15">
      <c r="A244" s="120">
        <f>ROW()</f>
        <v>244</v>
      </c>
      <c r="B244" s="120" t="s">
        <v>105</v>
      </c>
      <c r="C244" s="1"/>
      <c r="E244" s="121" t="s">
        <v>16</v>
      </c>
      <c r="F244" s="138" t="str">
        <f>INDEX(FuncAllocOptions,ROW(A244)-ROW($A$92)+1,[4]Inputs!$S$11)</f>
        <v>P</v>
      </c>
      <c r="G244" s="117" t="e">
        <f>SUMIF(FERCJAMFactor,AK244,JAMValue)</f>
        <v>#VALUE!</v>
      </c>
      <c r="H244" s="116" t="e">
        <f t="shared" si="104"/>
        <v>#VALUE!</v>
      </c>
      <c r="I244" s="116" t="e">
        <f t="shared" si="104"/>
        <v>#VALUE!</v>
      </c>
      <c r="J244" s="116" t="e">
        <f t="shared" si="104"/>
        <v>#VALUE!</v>
      </c>
      <c r="K244" s="116" t="e">
        <f t="shared" si="104"/>
        <v>#VALUE!</v>
      </c>
      <c r="L244" s="116" t="e">
        <f t="shared" si="104"/>
        <v>#VALUE!</v>
      </c>
      <c r="M244" s="164">
        <v>1</v>
      </c>
      <c r="N244" s="108">
        <v>0</v>
      </c>
      <c r="O244" s="116" t="e">
        <f>$H244*$N244*$M244</f>
        <v>#VALUE!</v>
      </c>
      <c r="P244" s="116" t="e">
        <f>$H244*(1-$N244)*$M244</f>
        <v>#VALUE!</v>
      </c>
      <c r="Q244" s="116" t="e">
        <f>$H244*$N244*(1-$M244)</f>
        <v>#VALUE!</v>
      </c>
      <c r="R244" s="116" t="e">
        <f>$H244*(1-$N244)*(1-$M244)</f>
        <v>#VALUE!</v>
      </c>
      <c r="T244" s="116"/>
      <c r="U244" s="116"/>
      <c r="V244" s="116"/>
      <c r="W244" s="116"/>
      <c r="X244" s="3"/>
      <c r="AD244" s="117" t="e">
        <f>ROUND(SUM(-G244,H244:L244),0)</f>
        <v>#VALUE!</v>
      </c>
      <c r="AE244" s="117" t="e">
        <f>ROUND(H244-O244-P244-Q244-R244,0)</f>
        <v>#VALUE!</v>
      </c>
      <c r="AF244" s="117" t="e">
        <f>ROUND(I244-T244-U244-V244-W244,0)</f>
        <v>#VALUE!</v>
      </c>
      <c r="AG244" s="117" t="e">
        <f>ROUND(J244-Y244-Z244-AA244-AC244-AB244,0)</f>
        <v>#VALUE!</v>
      </c>
      <c r="AH244" s="116"/>
      <c r="AI244" t="str">
        <f t="shared" si="96"/>
        <v>501NPC</v>
      </c>
      <c r="AJ244" t="str">
        <f t="shared" si="97"/>
        <v>SE</v>
      </c>
      <c r="AK244" t="str">
        <f>IF(ISERROR(MATCH(AI244&amp;"."&amp;AJ244,AK$91:AK243,0)),AI244&amp;"."&amp;AJ244,AI244&amp;"."&amp;AJ244&amp;COUNTIFS(AI$91:AI243,AI244,AJ$91:AJ243,AJ244))</f>
        <v>501NPC.SE1</v>
      </c>
    </row>
    <row r="245" spans="1:37" ht="15">
      <c r="A245" s="120">
        <f>ROW()</f>
        <v>245</v>
      </c>
      <c r="B245" s="120" t="s">
        <v>105</v>
      </c>
      <c r="C245" s="1"/>
      <c r="E245" s="121" t="s">
        <v>16</v>
      </c>
      <c r="F245" s="138" t="str">
        <f>INDEX(FuncAllocOptions,ROW(A245)-ROW($A$92)+1,[4]Inputs!$S$11)</f>
        <v>P</v>
      </c>
      <c r="G245" s="117" t="e">
        <f>SUMIF(FERCJAMFactor,AK245,JAMValue)</f>
        <v>#VALUE!</v>
      </c>
      <c r="H245" s="116" t="e">
        <f t="shared" si="104"/>
        <v>#VALUE!</v>
      </c>
      <c r="I245" s="116" t="e">
        <f t="shared" si="104"/>
        <v>#VALUE!</v>
      </c>
      <c r="J245" s="116" t="e">
        <f t="shared" si="104"/>
        <v>#VALUE!</v>
      </c>
      <c r="K245" s="116" t="e">
        <f t="shared" si="104"/>
        <v>#VALUE!</v>
      </c>
      <c r="L245" s="116" t="e">
        <f t="shared" si="104"/>
        <v>#VALUE!</v>
      </c>
      <c r="M245" s="164">
        <v>1</v>
      </c>
      <c r="N245" s="108">
        <v>0</v>
      </c>
      <c r="O245" s="116" t="e">
        <f>$H245*$N245*$M245</f>
        <v>#VALUE!</v>
      </c>
      <c r="P245" s="116" t="e">
        <f>$H245*(1-$N245)*$M245</f>
        <v>#VALUE!</v>
      </c>
      <c r="Q245" s="116" t="e">
        <f>$H245*$N245*(1-$M245)</f>
        <v>#VALUE!</v>
      </c>
      <c r="R245" s="116" t="e">
        <f>$H245*(1-$N245)*(1-$M245)</f>
        <v>#VALUE!</v>
      </c>
      <c r="T245" s="116"/>
      <c r="U245" s="116"/>
      <c r="V245" s="116"/>
      <c r="W245" s="116"/>
      <c r="X245" s="3"/>
      <c r="AD245" s="117" t="e">
        <f>ROUND(SUM(-G245,H245:L245),0)</f>
        <v>#VALUE!</v>
      </c>
      <c r="AE245" s="117" t="e">
        <f>ROUND(H245-O245-P245-Q245-R245,0)</f>
        <v>#VALUE!</v>
      </c>
      <c r="AF245" s="117" t="e">
        <f>ROUND(I245-T245-U245-V245-W245,0)</f>
        <v>#VALUE!</v>
      </c>
      <c r="AG245" s="117" t="e">
        <f>ROUND(J245-Y245-Z245-AA245-AC245-AB245,0)</f>
        <v>#VALUE!</v>
      </c>
      <c r="AH245" s="116"/>
      <c r="AI245" t="str">
        <f t="shared" si="96"/>
        <v>501NPC</v>
      </c>
      <c r="AJ245" t="str">
        <f t="shared" si="97"/>
        <v>SE</v>
      </c>
      <c r="AK245" t="str">
        <f>IF(ISERROR(MATCH(AI245&amp;"."&amp;AJ245,AK$91:AK244,0)),AI245&amp;"."&amp;AJ245,AI245&amp;"."&amp;AJ245&amp;COUNTIFS(AI$91:AI244,AI245,AJ$91:AJ244,AJ245))</f>
        <v>501NPC.SE2</v>
      </c>
    </row>
    <row r="246" spans="1:37" ht="15">
      <c r="A246" s="120">
        <f>ROW()</f>
        <v>246</v>
      </c>
      <c r="B246" s="120" t="s">
        <v>105</v>
      </c>
      <c r="C246" s="1"/>
      <c r="E246" s="121" t="s">
        <v>16</v>
      </c>
      <c r="F246" s="138" t="str">
        <f>INDEX(FuncAllocOptions,ROW(A246)-ROW($A$92)+1,[4]Inputs!$S$11)</f>
        <v>P</v>
      </c>
      <c r="G246" s="133" t="e">
        <f>SUMIF(FERCJAMFactor,AK246,JAMValue)</f>
        <v>#VALUE!</v>
      </c>
      <c r="H246" s="139" t="e">
        <f t="shared" si="104"/>
        <v>#VALUE!</v>
      </c>
      <c r="I246" s="139" t="e">
        <f t="shared" si="104"/>
        <v>#VALUE!</v>
      </c>
      <c r="J246" s="139" t="e">
        <f t="shared" si="104"/>
        <v>#VALUE!</v>
      </c>
      <c r="K246" s="139" t="e">
        <f t="shared" si="104"/>
        <v>#VALUE!</v>
      </c>
      <c r="L246" s="139" t="e">
        <f t="shared" si="104"/>
        <v>#VALUE!</v>
      </c>
      <c r="M246" s="164">
        <v>1</v>
      </c>
      <c r="N246" s="108">
        <v>0</v>
      </c>
      <c r="O246" s="116" t="e">
        <f>$H246*$N246*$M246</f>
        <v>#VALUE!</v>
      </c>
      <c r="P246" s="116" t="e">
        <f>$H246*(1-$N246)*$M246</f>
        <v>#VALUE!</v>
      </c>
      <c r="Q246" s="116" t="e">
        <f>$H246*$N246*(1-$M246)</f>
        <v>#VALUE!</v>
      </c>
      <c r="R246" s="116" t="e">
        <f>$H246*(1-$N246)*(1-$M246)</f>
        <v>#VALUE!</v>
      </c>
      <c r="T246" s="116"/>
      <c r="U246" s="116"/>
      <c r="V246" s="116"/>
      <c r="W246" s="116"/>
      <c r="X246" s="3"/>
      <c r="AD246" s="117" t="e">
        <f>ROUND(SUM(-G246,H246:L246),0)</f>
        <v>#VALUE!</v>
      </c>
      <c r="AE246" s="117" t="e">
        <f>ROUND(H246-O246-P246-Q246-R246,0)</f>
        <v>#VALUE!</v>
      </c>
      <c r="AF246" s="117" t="e">
        <f>ROUND(I246-T246-U246-V246-W246,0)</f>
        <v>#VALUE!</v>
      </c>
      <c r="AG246" s="117" t="e">
        <f>ROUND(J246-Y246-Z246-AA246-AC246-AB246,0)</f>
        <v>#VALUE!</v>
      </c>
      <c r="AH246" s="116"/>
      <c r="AI246" t="str">
        <f t="shared" si="96"/>
        <v>501NPC</v>
      </c>
      <c r="AJ246" t="str">
        <f t="shared" si="97"/>
        <v>SE</v>
      </c>
      <c r="AK246" t="str">
        <f>IF(ISERROR(MATCH(AI246&amp;"."&amp;AJ246,AK$91:AK245,0)),AI246&amp;"."&amp;AJ246,AI246&amp;"."&amp;AJ246&amp;COUNTIFS(AI$91:AI245,AI246,AJ$91:AJ245,AJ246))</f>
        <v>501NPC.SE3</v>
      </c>
    </row>
    <row r="247" spans="1:37" ht="15" hidden="1">
      <c r="A247" s="120">
        <f>ROW()</f>
        <v>247</v>
      </c>
      <c r="B247" s="120"/>
      <c r="C247" s="1"/>
      <c r="E247" s="121"/>
      <c r="F247" s="138"/>
      <c r="G247" s="117" t="e">
        <f t="shared" ref="G247:L247" si="105">SUM(G236:G246)</f>
        <v>#VALUE!</v>
      </c>
      <c r="H247" s="116" t="e">
        <f t="shared" si="105"/>
        <v>#VALUE!</v>
      </c>
      <c r="I247" s="116" t="e">
        <f t="shared" si="105"/>
        <v>#VALUE!</v>
      </c>
      <c r="J247" s="116" t="e">
        <f t="shared" si="105"/>
        <v>#VALUE!</v>
      </c>
      <c r="K247" s="116" t="e">
        <f t="shared" si="105"/>
        <v>#VALUE!</v>
      </c>
      <c r="L247" s="116" t="e">
        <f t="shared" si="105"/>
        <v>#VALUE!</v>
      </c>
      <c r="O247" s="116" t="e">
        <f>SUM(O236:O246)</f>
        <v>#VALUE!</v>
      </c>
      <c r="P247" s="116" t="e">
        <f>SUM(P236:P246)</f>
        <v>#VALUE!</v>
      </c>
      <c r="Q247" s="116" t="e">
        <f>SUM(Q236:Q246)</f>
        <v>#VALUE!</v>
      </c>
      <c r="R247" s="116" t="e">
        <f>SUM(R236:R246)</f>
        <v>#VALUE!</v>
      </c>
      <c r="T247" s="116">
        <f>SUM(T236:T246)</f>
        <v>0</v>
      </c>
      <c r="U247" s="116">
        <f>SUM(U236:U246)</f>
        <v>0</v>
      </c>
      <c r="V247" s="116">
        <f>SUM(V236:V246)</f>
        <v>0</v>
      </c>
      <c r="W247" s="116">
        <f>SUM(W236:W246)</f>
        <v>0</v>
      </c>
      <c r="X247" s="3"/>
      <c r="Y247" s="116">
        <f>SUM(Y236:Y246)</f>
        <v>0</v>
      </c>
      <c r="Z247" s="116">
        <f>SUM(Z236:Z246)</f>
        <v>0</v>
      </c>
      <c r="AA247" s="116">
        <f>SUM(AA236:AA246)</f>
        <v>0</v>
      </c>
      <c r="AB247" s="116">
        <f>SUM(AB236:AB246)</f>
        <v>0</v>
      </c>
      <c r="AC247" s="116">
        <f>SUM(AC236:AC246)</f>
        <v>0</v>
      </c>
      <c r="AD247" s="117" t="e">
        <f>ROUND(SUM(-G247,H247:L247),0)</f>
        <v>#VALUE!</v>
      </c>
      <c r="AE247" s="117" t="e">
        <f>ROUND(H247-O247-P247-Q247-R247,0)</f>
        <v>#VALUE!</v>
      </c>
      <c r="AF247" s="117" t="e">
        <f>ROUND(I247-T247-U247-V247-W247,0)</f>
        <v>#VALUE!</v>
      </c>
      <c r="AG247" s="117" t="e">
        <f>ROUND(J247-Y247-Z247-AA247-AC247-AB247,0)</f>
        <v>#VALUE!</v>
      </c>
      <c r="AH247" s="116"/>
      <c r="AI247" t="str">
        <f t="shared" si="96"/>
        <v>501NPC</v>
      </c>
      <c r="AJ247" t="str">
        <f t="shared" si="97"/>
        <v>NA</v>
      </c>
      <c r="AK247" t="str">
        <f>IF(ISERROR(MATCH(AI247&amp;"."&amp;AJ247,AK$91:AK246,0)),AI247&amp;"."&amp;AJ247,AI247&amp;"."&amp;AJ247&amp;COUNTIFS(AI$91:AI246,AI247,AJ$91:AJ246,AJ247))</f>
        <v>501NPC.NA1</v>
      </c>
    </row>
    <row r="248" spans="1:37" ht="15" hidden="1">
      <c r="A248" s="120">
        <f>ROW()</f>
        <v>248</v>
      </c>
      <c r="B248" s="120"/>
      <c r="F248" s="138"/>
      <c r="G248" s="119"/>
      <c r="X248" s="3"/>
      <c r="AD248" s="119"/>
      <c r="AE248" s="119"/>
      <c r="AF248" s="119"/>
      <c r="AG248" s="119"/>
      <c r="AI248" t="str">
        <f t="shared" si="96"/>
        <v>501NPC</v>
      </c>
      <c r="AJ248" t="str">
        <f t="shared" si="97"/>
        <v>NA</v>
      </c>
      <c r="AK248" t="str">
        <f>IF(ISERROR(MATCH(AI248&amp;"."&amp;AJ248,AK$91:AK247,0)),AI248&amp;"."&amp;AJ248,AI248&amp;"."&amp;AJ248&amp;COUNTIFS(AI$91:AI247,AI248,AJ$91:AJ247,AJ248))</f>
        <v>501NPC.NA2</v>
      </c>
    </row>
    <row r="249" spans="1:37" ht="15" hidden="1">
      <c r="A249" s="120">
        <f>ROW()</f>
        <v>249</v>
      </c>
      <c r="B249" s="120"/>
      <c r="C249" s="1">
        <v>502</v>
      </c>
      <c r="D249" s="2" t="s">
        <v>182</v>
      </c>
      <c r="E249" s="121"/>
      <c r="F249" s="138"/>
      <c r="G249" s="119"/>
      <c r="X249" s="3"/>
      <c r="AD249" s="119"/>
      <c r="AE249" s="119"/>
      <c r="AF249" s="119"/>
      <c r="AG249" s="119"/>
      <c r="AI249">
        <f t="shared" si="96"/>
        <v>502</v>
      </c>
      <c r="AJ249" t="str">
        <f t="shared" si="97"/>
        <v>NA</v>
      </c>
      <c r="AK249" t="str">
        <f>IF(ISERROR(MATCH(AI249&amp;"."&amp;AJ249,AK$91:AK248,0)),AI249&amp;"."&amp;AJ249,AI249&amp;"."&amp;AJ249&amp;COUNTIFS(AI$91:AI248,AI249,AJ$91:AJ248,AJ249))</f>
        <v>502.NA</v>
      </c>
    </row>
    <row r="250" spans="1:37" ht="15" hidden="1">
      <c r="A250" s="120">
        <f>ROW()</f>
        <v>250</v>
      </c>
      <c r="B250" s="120"/>
      <c r="C250" s="1"/>
      <c r="E250" s="121" t="s">
        <v>15</v>
      </c>
      <c r="F250" s="138" t="str">
        <f>INDEX(FuncAllocOptions,ROW(A250)-ROW($A$92)+1,[4]Inputs!$S$11)</f>
        <v>P</v>
      </c>
      <c r="G250" s="117" t="e">
        <f>SUMIF(FERCJAMFactor,AK250,JAMValue)</f>
        <v>#VALUE!</v>
      </c>
      <c r="H250" s="116" t="e">
        <f t="shared" ref="H250:L251" si="106">INDEX(FuncFactorTbl,MATCH($F250,FuncFactors,0),MATCH(H$8,Functions,0))*$G250</f>
        <v>#VALUE!</v>
      </c>
      <c r="I250" s="116" t="e">
        <f t="shared" si="106"/>
        <v>#VALUE!</v>
      </c>
      <c r="J250" s="116" t="e">
        <f t="shared" si="106"/>
        <v>#VALUE!</v>
      </c>
      <c r="K250" s="116" t="e">
        <f t="shared" si="106"/>
        <v>#VALUE!</v>
      </c>
      <c r="L250" s="116" t="e">
        <f t="shared" si="106"/>
        <v>#VALUE!</v>
      </c>
      <c r="N250" s="108">
        <v>0.75</v>
      </c>
      <c r="O250" s="116" t="e">
        <f>$H250*$N250*$M250</f>
        <v>#VALUE!</v>
      </c>
      <c r="P250" s="116" t="e">
        <f>$H250*(1-$N250)*$M250</f>
        <v>#VALUE!</v>
      </c>
      <c r="Q250" s="116" t="e">
        <f>$H250*$N250*(1-$M250)</f>
        <v>#VALUE!</v>
      </c>
      <c r="R250" s="116" t="e">
        <f>$H250*(1-$N250)*(1-$M250)</f>
        <v>#VALUE!</v>
      </c>
      <c r="T250" s="116"/>
      <c r="U250" s="116"/>
      <c r="V250" s="116"/>
      <c r="W250" s="116"/>
      <c r="X250" s="3"/>
      <c r="AD250" s="117" t="e">
        <f>ROUND(SUM(-G250,H250:L250),0)</f>
        <v>#VALUE!</v>
      </c>
      <c r="AE250" s="117" t="e">
        <f>ROUND(H250-O250-P250-Q250-R250,0)</f>
        <v>#VALUE!</v>
      </c>
      <c r="AF250" s="117" t="e">
        <f>ROUND(I250-T250-U250-V250-W250,0)</f>
        <v>#VALUE!</v>
      </c>
      <c r="AG250" s="117" t="e">
        <f>ROUND(J250-Y250-Z250-AA250-AC250-AB250,0)</f>
        <v>#VALUE!</v>
      </c>
      <c r="AH250" s="116"/>
      <c r="AI250">
        <f t="shared" si="96"/>
        <v>502</v>
      </c>
      <c r="AJ250" t="str">
        <f t="shared" si="97"/>
        <v>SG</v>
      </c>
      <c r="AK250" t="str">
        <f>IF(ISERROR(MATCH(AI250&amp;"."&amp;AJ250,AK$91:AK249,0)),AI250&amp;"."&amp;AJ250,AI250&amp;"."&amp;AJ250&amp;COUNTIFS(AI$91:AI249,AI250,AJ$91:AJ249,AJ250))</f>
        <v>502.SG</v>
      </c>
    </row>
    <row r="251" spans="1:37" ht="15" hidden="1">
      <c r="A251" s="120">
        <f>ROW()</f>
        <v>251</v>
      </c>
      <c r="B251" s="120"/>
      <c r="C251" s="1"/>
      <c r="E251" s="121" t="s">
        <v>15</v>
      </c>
      <c r="F251" s="138" t="str">
        <f>INDEX(FuncAllocOptions,ROW(A251)-ROW($A$92)+1,[4]Inputs!$S$11)</f>
        <v>P</v>
      </c>
      <c r="G251" s="133" t="e">
        <f>SUMIF(FERCJAMFactor,AK251,JAMValue)</f>
        <v>#VALUE!</v>
      </c>
      <c r="H251" s="139" t="e">
        <f t="shared" si="106"/>
        <v>#VALUE!</v>
      </c>
      <c r="I251" s="139" t="e">
        <f t="shared" si="106"/>
        <v>#VALUE!</v>
      </c>
      <c r="J251" s="139" t="e">
        <f t="shared" si="106"/>
        <v>#VALUE!</v>
      </c>
      <c r="K251" s="139" t="e">
        <f t="shared" si="106"/>
        <v>#VALUE!</v>
      </c>
      <c r="L251" s="139" t="e">
        <f t="shared" si="106"/>
        <v>#VALUE!</v>
      </c>
      <c r="N251" s="108">
        <v>0.75</v>
      </c>
      <c r="O251" s="116" t="e">
        <f>$H251*$N251*$M251</f>
        <v>#VALUE!</v>
      </c>
      <c r="P251" s="116" t="e">
        <f>$H251*(1-$N251)*$M251</f>
        <v>#VALUE!</v>
      </c>
      <c r="Q251" s="116" t="e">
        <f>$H251*$N251*(1-$M251)</f>
        <v>#VALUE!</v>
      </c>
      <c r="R251" s="116" t="e">
        <f>$H251*(1-$N251)*(1-$M251)</f>
        <v>#VALUE!</v>
      </c>
      <c r="T251" s="116"/>
      <c r="U251" s="116"/>
      <c r="V251" s="116"/>
      <c r="W251" s="116"/>
      <c r="X251" s="3"/>
      <c r="AD251" s="117" t="e">
        <f>ROUND(SUM(-G251,H251:L251),0)</f>
        <v>#VALUE!</v>
      </c>
      <c r="AE251" s="117" t="e">
        <f>ROUND(H251-O251-P251-Q251-R251,0)</f>
        <v>#VALUE!</v>
      </c>
      <c r="AF251" s="117" t="e">
        <f>ROUND(I251-T251-U251-V251-W251,0)</f>
        <v>#VALUE!</v>
      </c>
      <c r="AG251" s="117" t="e">
        <f>ROUND(J251-Y251-Z251-AA251-AC251-AB251,0)</f>
        <v>#VALUE!</v>
      </c>
      <c r="AH251" s="116"/>
      <c r="AI251">
        <f t="shared" si="96"/>
        <v>502</v>
      </c>
      <c r="AJ251" t="str">
        <f t="shared" si="97"/>
        <v>SG</v>
      </c>
      <c r="AK251" t="str">
        <f>IF(ISERROR(MATCH(AI251&amp;"."&amp;AJ251,AK$91:AK250,0)),AI251&amp;"."&amp;AJ251,AI251&amp;"."&amp;AJ251&amp;COUNTIFS(AI$91:AI250,AI251,AJ$91:AJ250,AJ251))</f>
        <v>502.SG1</v>
      </c>
    </row>
    <row r="252" spans="1:37" ht="15" hidden="1">
      <c r="A252" s="120">
        <f>ROW()</f>
        <v>252</v>
      </c>
      <c r="B252" s="120"/>
      <c r="C252" s="1"/>
      <c r="E252" s="121"/>
      <c r="F252" s="138"/>
      <c r="G252" s="117" t="e">
        <f t="shared" ref="G252:L252" si="107">SUM(G250:G251)</f>
        <v>#VALUE!</v>
      </c>
      <c r="H252" s="116" t="e">
        <f t="shared" si="107"/>
        <v>#VALUE!</v>
      </c>
      <c r="I252" s="116" t="e">
        <f t="shared" si="107"/>
        <v>#VALUE!</v>
      </c>
      <c r="J252" s="116" t="e">
        <f t="shared" si="107"/>
        <v>#VALUE!</v>
      </c>
      <c r="K252" s="116" t="e">
        <f t="shared" si="107"/>
        <v>#VALUE!</v>
      </c>
      <c r="L252" s="116" t="e">
        <f t="shared" si="107"/>
        <v>#VALUE!</v>
      </c>
      <c r="O252" s="116" t="e">
        <f>SUM(O250:O251)</f>
        <v>#VALUE!</v>
      </c>
      <c r="P252" s="116" t="e">
        <f>SUM(P250:P251)</f>
        <v>#VALUE!</v>
      </c>
      <c r="Q252" s="116" t="e">
        <f>SUM(Q250:Q251)</f>
        <v>#VALUE!</v>
      </c>
      <c r="R252" s="116" t="e">
        <f>SUM(R250:R251)</f>
        <v>#VALUE!</v>
      </c>
      <c r="T252" s="116">
        <f>SUM(T250:T251)</f>
        <v>0</v>
      </c>
      <c r="U252" s="116">
        <f>SUM(U250:U251)</f>
        <v>0</v>
      </c>
      <c r="V252" s="116">
        <f>SUM(V250:V251)</f>
        <v>0</v>
      </c>
      <c r="W252" s="116">
        <f>SUM(W250:W251)</f>
        <v>0</v>
      </c>
      <c r="X252" s="3"/>
      <c r="Y252" s="116">
        <f>SUM(Y250:Y251)</f>
        <v>0</v>
      </c>
      <c r="Z252" s="116">
        <f>SUM(Z250:Z251)</f>
        <v>0</v>
      </c>
      <c r="AA252" s="116">
        <f>SUM(AA250:AA251)</f>
        <v>0</v>
      </c>
      <c r="AB252" s="116">
        <f>SUM(AB250:AB251)</f>
        <v>0</v>
      </c>
      <c r="AC252" s="116">
        <f>SUM(AC250:AC251)</f>
        <v>0</v>
      </c>
      <c r="AD252" s="117" t="e">
        <f>ROUND(SUM(-G252,H252:L252),0)</f>
        <v>#VALUE!</v>
      </c>
      <c r="AE252" s="117" t="e">
        <f>ROUND(H252-O252-P252-Q252-R252,0)</f>
        <v>#VALUE!</v>
      </c>
      <c r="AF252" s="117" t="e">
        <f>ROUND(I252-T252-U252-V252-W252,0)</f>
        <v>#VALUE!</v>
      </c>
      <c r="AG252" s="117" t="e">
        <f>ROUND(J252-Y252-Z252-AA252-AC252-AB252,0)</f>
        <v>#VALUE!</v>
      </c>
      <c r="AH252" s="116"/>
      <c r="AI252">
        <f t="shared" si="96"/>
        <v>502</v>
      </c>
      <c r="AJ252" t="str">
        <f t="shared" si="97"/>
        <v>NA</v>
      </c>
      <c r="AK252" t="str">
        <f>IF(ISERROR(MATCH(AI252&amp;"."&amp;AJ252,AK$91:AK251,0)),AI252&amp;"."&amp;AJ252,AI252&amp;"."&amp;AJ252&amp;COUNTIFS(AI$91:AI251,AI252,AJ$91:AJ251,AJ252))</f>
        <v>502.NA1</v>
      </c>
    </row>
    <row r="253" spans="1:37" ht="15" hidden="1">
      <c r="A253" s="120">
        <f>ROW()</f>
        <v>253</v>
      </c>
      <c r="B253" s="120"/>
      <c r="C253" s="1"/>
      <c r="E253" s="121"/>
      <c r="F253" s="138"/>
      <c r="G253" s="117"/>
      <c r="H253" s="116"/>
      <c r="I253" s="116"/>
      <c r="J253" s="116"/>
      <c r="K253" s="116"/>
      <c r="L253" s="116"/>
      <c r="O253" s="116"/>
      <c r="P253" s="116"/>
      <c r="Q253" s="116"/>
      <c r="R253" s="116"/>
      <c r="T253" s="116"/>
      <c r="U253" s="116"/>
      <c r="V253" s="116"/>
      <c r="W253" s="116"/>
      <c r="X253" s="3"/>
      <c r="Y253" s="116"/>
      <c r="Z253" s="116"/>
      <c r="AA253" s="116"/>
      <c r="AB253" s="116"/>
      <c r="AC253" s="116"/>
      <c r="AD253" s="117"/>
      <c r="AE253" s="117"/>
      <c r="AF253" s="117"/>
      <c r="AG253" s="117"/>
      <c r="AH253" s="116"/>
      <c r="AI253">
        <f t="shared" ref="AI253:AI279" si="108">IF(OR(C253="",C253=" ",C253="  ",C253="   "),AI252,C253)</f>
        <v>502</v>
      </c>
      <c r="AJ253" t="str">
        <f t="shared" si="97"/>
        <v>NA</v>
      </c>
      <c r="AK253" t="str">
        <f>IF(ISERROR(MATCH(AI253&amp;"."&amp;AJ253,AK$91:AK252,0)),AI253&amp;"."&amp;AJ253,AI253&amp;"."&amp;AJ253&amp;COUNTIFS(AI$91:AI252,AI253,AJ$91:AJ252,AJ253))</f>
        <v>502.NA2</v>
      </c>
    </row>
    <row r="254" spans="1:37" ht="15" hidden="1">
      <c r="A254" s="120">
        <f>ROW()</f>
        <v>254</v>
      </c>
      <c r="B254" s="120"/>
      <c r="C254" s="1">
        <v>503</v>
      </c>
      <c r="D254" s="2" t="s">
        <v>787</v>
      </c>
      <c r="E254" s="121"/>
      <c r="F254" s="138"/>
      <c r="G254" s="117"/>
      <c r="H254" s="116"/>
      <c r="I254" s="116"/>
      <c r="J254" s="116"/>
      <c r="K254" s="116"/>
      <c r="L254" s="116"/>
      <c r="O254" s="116"/>
      <c r="P254" s="116"/>
      <c r="Q254" s="116"/>
      <c r="R254" s="116"/>
      <c r="T254" s="116"/>
      <c r="U254" s="116"/>
      <c r="V254" s="116"/>
      <c r="W254" s="116"/>
      <c r="X254" s="3"/>
      <c r="AD254" s="117"/>
      <c r="AE254" s="117"/>
      <c r="AF254" s="117"/>
      <c r="AG254" s="117"/>
      <c r="AH254" s="116"/>
      <c r="AI254">
        <f t="shared" si="108"/>
        <v>503</v>
      </c>
      <c r="AJ254" t="str">
        <f t="shared" si="97"/>
        <v>NA</v>
      </c>
      <c r="AK254" t="str">
        <f>IF(ISERROR(MATCH(AI254&amp;"."&amp;AJ254,AK$91:AK253,0)),AI254&amp;"."&amp;AJ254,AI254&amp;"."&amp;AJ254&amp;COUNTIFS(AI$91:AI253,AI254,AJ$91:AJ253,AJ254))</f>
        <v>503.NA</v>
      </c>
    </row>
    <row r="255" spans="1:37" ht="15" hidden="1">
      <c r="A255" s="120">
        <f>ROW()</f>
        <v>255</v>
      </c>
      <c r="B255" s="120"/>
      <c r="C255" s="1"/>
      <c r="E255" s="121" t="s">
        <v>16</v>
      </c>
      <c r="F255" s="138" t="str">
        <f>INDEX(FuncAllocOptions,ROW(A255)-ROW($A$92)+1,[4]Inputs!$S$11)</f>
        <v>P</v>
      </c>
      <c r="G255" s="117" t="e">
        <f>SUMIF(FERCJAMFactor,AK255,JAMValue)</f>
        <v>#VALUE!</v>
      </c>
      <c r="H255" s="116" t="e">
        <f>INDEX(FuncFactorTbl,MATCH($F255,FuncFactors,0),MATCH(H$8,Functions,0))*$G255</f>
        <v>#VALUE!</v>
      </c>
      <c r="I255" s="116" t="e">
        <f>INDEX(FuncFactorTbl,MATCH($F255,FuncFactors,0),MATCH(I$8,Functions,0))*$G255</f>
        <v>#VALUE!</v>
      </c>
      <c r="J255" s="116" t="e">
        <f>INDEX(FuncFactorTbl,MATCH($F255,FuncFactors,0),MATCH(J$8,Functions,0))*$G255</f>
        <v>#VALUE!</v>
      </c>
      <c r="K255" s="116" t="e">
        <f>INDEX(FuncFactorTbl,MATCH($F255,FuncFactors,0),MATCH(K$8,Functions,0))*$G255</f>
        <v>#VALUE!</v>
      </c>
      <c r="L255" s="116" t="e">
        <f>INDEX(FuncFactorTbl,MATCH($F255,FuncFactors,0),MATCH(L$8,Functions,0))*$G255</f>
        <v>#VALUE!</v>
      </c>
      <c r="N255" s="108">
        <v>0</v>
      </c>
      <c r="O255" s="116" t="e">
        <f>$H255*$N255*$M255</f>
        <v>#VALUE!</v>
      </c>
      <c r="P255" s="116" t="e">
        <f>$H255*(1-$N255)*$M255</f>
        <v>#VALUE!</v>
      </c>
      <c r="Q255" s="116" t="e">
        <f>$H255*$N255*(1-$M255)</f>
        <v>#VALUE!</v>
      </c>
      <c r="R255" s="116" t="e">
        <f>$H255*(1-$N255)*(1-$M255)</f>
        <v>#VALUE!</v>
      </c>
      <c r="T255" s="116">
        <v>0</v>
      </c>
      <c r="U255" s="116">
        <v>0</v>
      </c>
      <c r="V255" s="116">
        <v>0</v>
      </c>
      <c r="W255" s="116">
        <v>0</v>
      </c>
      <c r="X255" s="3"/>
      <c r="AD255" s="117" t="e">
        <f>ROUND(SUM(-G255,H255:L255),0)</f>
        <v>#VALUE!</v>
      </c>
      <c r="AE255" s="117" t="e">
        <f>ROUND(H255-O255-P255-Q255-R255,0)</f>
        <v>#VALUE!</v>
      </c>
      <c r="AF255" s="117" t="e">
        <f>ROUND(I255-T255-U255-V255-W255,0)</f>
        <v>#VALUE!</v>
      </c>
      <c r="AG255" s="117" t="e">
        <f>ROUND(J255-Y255-Z255-AA255-AC255-AB255,0)</f>
        <v>#VALUE!</v>
      </c>
      <c r="AH255" s="116"/>
      <c r="AI255">
        <f t="shared" si="108"/>
        <v>503</v>
      </c>
      <c r="AJ255" t="str">
        <f t="shared" si="97"/>
        <v>SE</v>
      </c>
      <c r="AK255" t="str">
        <f>IF(ISERROR(MATCH(AI255&amp;"."&amp;AJ255,AK$91:AK254,0)),AI255&amp;"."&amp;AJ255,AI255&amp;"."&amp;AJ255&amp;COUNTIFS(AI$91:AI254,AI255,AJ$91:AJ254,AJ255))</f>
        <v>503.SE</v>
      </c>
    </row>
    <row r="256" spans="1:37" ht="15" hidden="1">
      <c r="A256" s="120">
        <f>ROW()</f>
        <v>256</v>
      </c>
      <c r="B256" s="120"/>
      <c r="C256" s="1"/>
      <c r="E256" s="121"/>
      <c r="F256" s="138"/>
      <c r="G256" s="117"/>
      <c r="H256" s="116"/>
      <c r="I256" s="116"/>
      <c r="J256" s="116"/>
      <c r="K256" s="116"/>
      <c r="L256" s="116"/>
      <c r="O256" s="116"/>
      <c r="P256" s="116"/>
      <c r="Q256" s="116"/>
      <c r="R256" s="116"/>
      <c r="T256" s="116"/>
      <c r="U256" s="116"/>
      <c r="V256" s="116"/>
      <c r="W256" s="116"/>
      <c r="X256" s="3"/>
      <c r="Y256" s="116"/>
      <c r="Z256" s="116"/>
      <c r="AA256" s="116"/>
      <c r="AB256" s="116"/>
      <c r="AC256" s="116"/>
      <c r="AD256" s="117"/>
      <c r="AE256" s="117"/>
      <c r="AF256" s="117"/>
      <c r="AG256" s="117"/>
      <c r="AH256" s="116"/>
      <c r="AI256">
        <f t="shared" si="108"/>
        <v>503</v>
      </c>
      <c r="AJ256" t="str">
        <f t="shared" si="97"/>
        <v>NA</v>
      </c>
      <c r="AK256" t="str">
        <f>IF(ISERROR(MATCH(AI256&amp;"."&amp;AJ256,AK$91:AK255,0)),AI256&amp;"."&amp;AJ256,AI256&amp;"."&amp;AJ256&amp;COUNTIFS(AI$91:AI255,AI256,AJ$91:AJ255,AJ256))</f>
        <v>503.NA1</v>
      </c>
    </row>
    <row r="257" spans="1:37" ht="15">
      <c r="A257" s="120">
        <f>ROW()</f>
        <v>257</v>
      </c>
      <c r="B257" s="120" t="s">
        <v>105</v>
      </c>
      <c r="C257" s="1" t="s">
        <v>4</v>
      </c>
      <c r="D257" s="2" t="s">
        <v>5</v>
      </c>
      <c r="E257" s="121"/>
      <c r="F257" s="138"/>
      <c r="G257" s="119"/>
      <c r="X257" s="3"/>
      <c r="AD257" s="119"/>
      <c r="AE257" s="119"/>
      <c r="AF257" s="119"/>
      <c r="AG257" s="119"/>
      <c r="AI257" t="str">
        <f t="shared" si="108"/>
        <v>503NPC</v>
      </c>
      <c r="AJ257" t="str">
        <f t="shared" si="97"/>
        <v>NA</v>
      </c>
      <c r="AK257" t="str">
        <f>IF(ISERROR(MATCH(AI257&amp;"."&amp;AJ257,AK$91:AK256,0)),AI257&amp;"."&amp;AJ257,AI257&amp;"."&amp;AJ257&amp;COUNTIFS(AI$91:AI256,AI257,AJ$91:AJ256,AJ257))</f>
        <v>503NPC.NA</v>
      </c>
    </row>
    <row r="258" spans="1:37" ht="15">
      <c r="A258" s="120">
        <f>ROW()</f>
        <v>258</v>
      </c>
      <c r="B258" s="120" t="s">
        <v>105</v>
      </c>
      <c r="C258" s="1"/>
      <c r="E258" s="121" t="s">
        <v>16</v>
      </c>
      <c r="F258" s="138" t="str">
        <f>INDEX(FuncAllocOptions,ROW(A258)-ROW($A$92)+1,[4]Inputs!$S$11)</f>
        <v>P</v>
      </c>
      <c r="G258" s="133" t="e">
        <f>SUMIF(FERCJAMFactor,AK258,JAMValue)</f>
        <v>#VALUE!</v>
      </c>
      <c r="H258" s="139" t="e">
        <f>INDEX(FuncFactorTbl,MATCH($F258,FuncFactors,0),MATCH(H$8,Functions,0))*$G258</f>
        <v>#VALUE!</v>
      </c>
      <c r="I258" s="139" t="e">
        <f>INDEX(FuncFactorTbl,MATCH($F258,FuncFactors,0),MATCH(I$8,Functions,0))*$G258</f>
        <v>#VALUE!</v>
      </c>
      <c r="J258" s="139" t="e">
        <f>INDEX(FuncFactorTbl,MATCH($F258,FuncFactors,0),MATCH(J$8,Functions,0))*$G258</f>
        <v>#VALUE!</v>
      </c>
      <c r="K258" s="139" t="e">
        <f>INDEX(FuncFactorTbl,MATCH($F258,FuncFactors,0),MATCH(K$8,Functions,0))*$G258</f>
        <v>#VALUE!</v>
      </c>
      <c r="L258" s="139" t="e">
        <f>INDEX(FuncFactorTbl,MATCH($F258,FuncFactors,0),MATCH(L$8,Functions,0))*$G258</f>
        <v>#VALUE!</v>
      </c>
      <c r="M258" s="164">
        <v>1</v>
      </c>
      <c r="N258" s="108">
        <v>0</v>
      </c>
      <c r="O258" s="116" t="e">
        <f>$H258*$N258*$M258</f>
        <v>#VALUE!</v>
      </c>
      <c r="P258" s="116" t="e">
        <f>$H258*(1-$N258)*$M258</f>
        <v>#VALUE!</v>
      </c>
      <c r="Q258" s="116" t="e">
        <f>$H258*$N258*(1-$M258)</f>
        <v>#VALUE!</v>
      </c>
      <c r="R258" s="116" t="e">
        <f>$H258*(1-$N258)*(1-$M258)</f>
        <v>#VALUE!</v>
      </c>
      <c r="T258" s="116">
        <v>0</v>
      </c>
      <c r="U258" s="116">
        <v>0</v>
      </c>
      <c r="V258" s="116">
        <v>0</v>
      </c>
      <c r="W258" s="116">
        <v>0</v>
      </c>
      <c r="X258" s="3"/>
      <c r="AD258" s="117" t="e">
        <f>ROUND(SUM(-G258,H258:L258),0)</f>
        <v>#VALUE!</v>
      </c>
      <c r="AE258" s="117" t="e">
        <f>ROUND(H258-O258-P258-Q258-R258,0)</f>
        <v>#VALUE!</v>
      </c>
      <c r="AF258" s="117" t="e">
        <f>ROUND(I258-T258-U258-V258-W258,0)</f>
        <v>#VALUE!</v>
      </c>
      <c r="AG258" s="117" t="e">
        <f>ROUND(J258-Y258-Z258-AA258-AC258-AB258,0)</f>
        <v>#VALUE!</v>
      </c>
      <c r="AH258" s="116"/>
      <c r="AI258" t="str">
        <f t="shared" si="108"/>
        <v>503NPC</v>
      </c>
      <c r="AJ258" t="str">
        <f t="shared" si="97"/>
        <v>SE</v>
      </c>
      <c r="AK258" t="str">
        <f>IF(ISERROR(MATCH(AI258&amp;"."&amp;AJ258,AK$91:AK257,0)),AI258&amp;"."&amp;AJ258,AI258&amp;"."&amp;AJ258&amp;COUNTIFS(AI$91:AI257,AI258,AJ$91:AJ257,AJ258))</f>
        <v>503NPC.SE</v>
      </c>
    </row>
    <row r="259" spans="1:37" ht="15">
      <c r="A259" s="120">
        <f>ROW()</f>
        <v>259</v>
      </c>
      <c r="B259" s="120" t="s">
        <v>105</v>
      </c>
      <c r="C259" s="1"/>
      <c r="E259" s="121"/>
      <c r="F259" s="138"/>
      <c r="G259" s="117" t="e">
        <f t="shared" ref="G259:L259" si="109">SUM(G255:G258)</f>
        <v>#VALUE!</v>
      </c>
      <c r="H259" s="116" t="e">
        <f t="shared" si="109"/>
        <v>#VALUE!</v>
      </c>
      <c r="I259" s="116" t="e">
        <f t="shared" si="109"/>
        <v>#VALUE!</v>
      </c>
      <c r="J259" s="116" t="e">
        <f t="shared" si="109"/>
        <v>#VALUE!</v>
      </c>
      <c r="K259" s="116" t="e">
        <f t="shared" si="109"/>
        <v>#VALUE!</v>
      </c>
      <c r="L259" s="116" t="e">
        <f t="shared" si="109"/>
        <v>#VALUE!</v>
      </c>
      <c r="O259" s="116" t="e">
        <f>SUM(O255:O258)</f>
        <v>#VALUE!</v>
      </c>
      <c r="P259" s="116" t="e">
        <f>SUM(P255:P258)</f>
        <v>#VALUE!</v>
      </c>
      <c r="Q259" s="116" t="e">
        <f>SUM(Q255:Q258)</f>
        <v>#VALUE!</v>
      </c>
      <c r="R259" s="116" t="e">
        <f>SUM(R255:R258)</f>
        <v>#VALUE!</v>
      </c>
      <c r="T259" s="116">
        <f>SUM(T255:T258)</f>
        <v>0</v>
      </c>
      <c r="U259" s="116">
        <f>SUM(U255:U258)</f>
        <v>0</v>
      </c>
      <c r="V259" s="116">
        <f>SUM(V255:V258)</f>
        <v>0</v>
      </c>
      <c r="W259" s="116">
        <f>SUM(W255:W258)</f>
        <v>0</v>
      </c>
      <c r="X259" s="3"/>
      <c r="Y259" s="116">
        <f>SUM(Y255:Y258)</f>
        <v>0</v>
      </c>
      <c r="Z259" s="116">
        <f>SUM(Z255:Z258)</f>
        <v>0</v>
      </c>
      <c r="AA259" s="116">
        <f>SUM(AA255:AA258)</f>
        <v>0</v>
      </c>
      <c r="AB259" s="116">
        <f>SUM(AB255:AB258)</f>
        <v>0</v>
      </c>
      <c r="AC259" s="116">
        <f>SUM(AC255:AC258)</f>
        <v>0</v>
      </c>
      <c r="AD259" s="117" t="e">
        <f>ROUND(SUM(-G259,H259:L259),0)</f>
        <v>#VALUE!</v>
      </c>
      <c r="AE259" s="117" t="e">
        <f>ROUND(H259-O259-P259-Q259-R259,0)</f>
        <v>#VALUE!</v>
      </c>
      <c r="AF259" s="117" t="e">
        <f>ROUND(I259-T259-U259-V259-W259,0)</f>
        <v>#VALUE!</v>
      </c>
      <c r="AG259" s="117" t="e">
        <f>ROUND(J259-Y259-Z259-AA259-AC259-AB259,0)</f>
        <v>#VALUE!</v>
      </c>
      <c r="AH259" s="116"/>
      <c r="AI259" t="str">
        <f t="shared" si="108"/>
        <v>503NPC</v>
      </c>
      <c r="AJ259" t="str">
        <f t="shared" si="97"/>
        <v>NA</v>
      </c>
      <c r="AK259" t="str">
        <f>IF(ISERROR(MATCH(AI259&amp;"."&amp;AJ259,AK$91:AK258,0)),AI259&amp;"."&amp;AJ259,AI259&amp;"."&amp;AJ259&amp;COUNTIFS(AI$91:AI258,AI259,AJ$91:AJ258,AJ259))</f>
        <v>503NPC.NA1</v>
      </c>
    </row>
    <row r="260" spans="1:37" ht="15" hidden="1">
      <c r="A260" s="120">
        <f>ROW()</f>
        <v>260</v>
      </c>
      <c r="B260" s="120"/>
      <c r="C260" s="1"/>
      <c r="E260" s="121"/>
      <c r="F260" s="138"/>
      <c r="G260" s="119"/>
      <c r="X260" s="3"/>
      <c r="AD260" s="119"/>
      <c r="AE260" s="119"/>
      <c r="AF260" s="119"/>
      <c r="AG260" s="119"/>
      <c r="AI260" t="str">
        <f t="shared" si="108"/>
        <v>503NPC</v>
      </c>
      <c r="AJ260" t="str">
        <f t="shared" si="97"/>
        <v>NA</v>
      </c>
      <c r="AK260" t="str">
        <f>IF(ISERROR(MATCH(AI260&amp;"."&amp;AJ260,AK$91:AK259,0)),AI260&amp;"."&amp;AJ260,AI260&amp;"."&amp;AJ260&amp;COUNTIFS(AI$91:AI259,AI260,AJ$91:AJ259,AJ260))</f>
        <v>503NPC.NA2</v>
      </c>
    </row>
    <row r="261" spans="1:37" ht="15" hidden="1">
      <c r="A261" s="120">
        <f>ROW()</f>
        <v>261</v>
      </c>
      <c r="B261" s="120"/>
      <c r="C261" s="1">
        <v>505</v>
      </c>
      <c r="D261" s="2" t="s">
        <v>185</v>
      </c>
      <c r="E261" s="121"/>
      <c r="F261" s="138"/>
      <c r="G261" s="119"/>
      <c r="X261" s="3"/>
      <c r="AD261" s="119"/>
      <c r="AE261" s="119"/>
      <c r="AF261" s="119"/>
      <c r="AG261" s="119"/>
      <c r="AI261">
        <f t="shared" si="108"/>
        <v>505</v>
      </c>
      <c r="AJ261" t="str">
        <f t="shared" si="97"/>
        <v>NA</v>
      </c>
      <c r="AK261" t="str">
        <f>IF(ISERROR(MATCH(AI261&amp;"."&amp;AJ261,AK$91:AK260,0)),AI261&amp;"."&amp;AJ261,AI261&amp;"."&amp;AJ261&amp;COUNTIFS(AI$91:AI260,AI261,AJ$91:AJ260,AJ261))</f>
        <v>505.NA</v>
      </c>
    </row>
    <row r="262" spans="1:37" ht="15" hidden="1">
      <c r="A262" s="120">
        <f>ROW()</f>
        <v>262</v>
      </c>
      <c r="B262" s="120"/>
      <c r="C262" s="1"/>
      <c r="E262" s="121" t="s">
        <v>15</v>
      </c>
      <c r="F262" s="138" t="str">
        <f>INDEX(FuncAllocOptions,ROW(A262)-ROW($A$92)+1,[4]Inputs!$S$11)</f>
        <v>P</v>
      </c>
      <c r="G262" s="117" t="e">
        <f>SUMIF(FERCJAMFactor,AK262,JAMValue)</f>
        <v>#VALUE!</v>
      </c>
      <c r="H262" s="116" t="e">
        <f t="shared" ref="H262:L263" si="110">INDEX(FuncFactorTbl,MATCH($F262,FuncFactors,0),MATCH(H$8,Functions,0))*$G262</f>
        <v>#VALUE!</v>
      </c>
      <c r="I262" s="116" t="e">
        <f t="shared" si="110"/>
        <v>#VALUE!</v>
      </c>
      <c r="J262" s="116" t="e">
        <f t="shared" si="110"/>
        <v>#VALUE!</v>
      </c>
      <c r="K262" s="116" t="e">
        <f t="shared" si="110"/>
        <v>#VALUE!</v>
      </c>
      <c r="L262" s="116" t="e">
        <f t="shared" si="110"/>
        <v>#VALUE!</v>
      </c>
      <c r="N262" s="108">
        <v>0.75</v>
      </c>
      <c r="O262" s="116" t="e">
        <f>$H262*$N262*$M262</f>
        <v>#VALUE!</v>
      </c>
      <c r="P262" s="116" t="e">
        <f>$H262*(1-$N262)*$M262</f>
        <v>#VALUE!</v>
      </c>
      <c r="Q262" s="116" t="e">
        <f>$H262*$N262*(1-$M262)</f>
        <v>#VALUE!</v>
      </c>
      <c r="R262" s="116" t="e">
        <f>$H262*(1-$N262)*(1-$M262)</f>
        <v>#VALUE!</v>
      </c>
      <c r="T262" s="116">
        <v>0</v>
      </c>
      <c r="U262" s="116">
        <v>0</v>
      </c>
      <c r="V262" s="116">
        <v>0</v>
      </c>
      <c r="W262" s="116">
        <v>0</v>
      </c>
      <c r="X262" s="3"/>
      <c r="AD262" s="117" t="e">
        <f>ROUND(SUM(-G262,H262:L262),0)</f>
        <v>#VALUE!</v>
      </c>
      <c r="AE262" s="117" t="e">
        <f>ROUND(H262-O262-P262-Q262-R262,0)</f>
        <v>#VALUE!</v>
      </c>
      <c r="AF262" s="117" t="e">
        <f>ROUND(I262-T262-U262-V262-W262,0)</f>
        <v>#VALUE!</v>
      </c>
      <c r="AG262" s="117" t="e">
        <f>ROUND(J262-Y262-Z262-AA262-AC262-AB262,0)</f>
        <v>#VALUE!</v>
      </c>
      <c r="AH262" s="116"/>
      <c r="AI262">
        <f t="shared" si="108"/>
        <v>505</v>
      </c>
      <c r="AJ262" t="str">
        <f t="shared" si="97"/>
        <v>SG</v>
      </c>
      <c r="AK262" t="str">
        <f>IF(ISERROR(MATCH(AI262&amp;"."&amp;AJ262,AK$91:AK261,0)),AI262&amp;"."&amp;AJ262,AI262&amp;"."&amp;AJ262&amp;COUNTIFS(AI$91:AI261,AI262,AJ$91:AJ261,AJ262))</f>
        <v>505.SG</v>
      </c>
    </row>
    <row r="263" spans="1:37" ht="15" hidden="1">
      <c r="A263" s="120">
        <f>ROW()</f>
        <v>263</v>
      </c>
      <c r="B263" s="120"/>
      <c r="C263" s="1"/>
      <c r="E263" s="121" t="s">
        <v>15</v>
      </c>
      <c r="F263" s="138" t="str">
        <f>INDEX(FuncAllocOptions,ROW(A263)-ROW($A$92)+1,[4]Inputs!$S$11)</f>
        <v>P</v>
      </c>
      <c r="G263" s="133" t="e">
        <f>SUMIF(FERCJAMFactor,AK263,JAMValue)</f>
        <v>#VALUE!</v>
      </c>
      <c r="H263" s="139" t="e">
        <f t="shared" si="110"/>
        <v>#VALUE!</v>
      </c>
      <c r="I263" s="139" t="e">
        <f t="shared" si="110"/>
        <v>#VALUE!</v>
      </c>
      <c r="J263" s="139" t="e">
        <f t="shared" si="110"/>
        <v>#VALUE!</v>
      </c>
      <c r="K263" s="139" t="e">
        <f t="shared" si="110"/>
        <v>#VALUE!</v>
      </c>
      <c r="L263" s="139" t="e">
        <f t="shared" si="110"/>
        <v>#VALUE!</v>
      </c>
      <c r="N263" s="108">
        <v>0.75</v>
      </c>
      <c r="O263" s="116" t="e">
        <f>$H263*$N263*$M263</f>
        <v>#VALUE!</v>
      </c>
      <c r="P263" s="116" t="e">
        <f>$H263*(1-$N263)*$M263</f>
        <v>#VALUE!</v>
      </c>
      <c r="Q263" s="116" t="e">
        <f>$H263*$N263*(1-$M263)</f>
        <v>#VALUE!</v>
      </c>
      <c r="R263" s="116" t="e">
        <f>$H263*(1-$N263)*(1-$M263)</f>
        <v>#VALUE!</v>
      </c>
      <c r="T263" s="116"/>
      <c r="U263" s="116"/>
      <c r="V263" s="116"/>
      <c r="W263" s="116"/>
      <c r="X263" s="3"/>
      <c r="AD263" s="117" t="e">
        <f>ROUND(SUM(-G263,H263:L263),0)</f>
        <v>#VALUE!</v>
      </c>
      <c r="AE263" s="117" t="e">
        <f>ROUND(H263-O263-P263-Q263-R263,0)</f>
        <v>#VALUE!</v>
      </c>
      <c r="AF263" s="117" t="e">
        <f>ROUND(I263-T263-U263-V263-W263,0)</f>
        <v>#VALUE!</v>
      </c>
      <c r="AG263" s="117" t="e">
        <f>ROUND(J263-Y263-Z263-AA263-AC263-AB263,0)</f>
        <v>#VALUE!</v>
      </c>
      <c r="AH263" s="116"/>
      <c r="AI263">
        <f t="shared" si="108"/>
        <v>505</v>
      </c>
      <c r="AJ263" t="str">
        <f t="shared" si="97"/>
        <v>SG</v>
      </c>
      <c r="AK263" t="str">
        <f>IF(ISERROR(MATCH(AI263&amp;"."&amp;AJ263,AK$91:AK262,0)),AI263&amp;"."&amp;AJ263,AI263&amp;"."&amp;AJ263&amp;COUNTIFS(AI$91:AI262,AI263,AJ$91:AJ262,AJ263))</f>
        <v>505.SG1</v>
      </c>
    </row>
    <row r="264" spans="1:37" ht="15" hidden="1">
      <c r="A264" s="120">
        <f>ROW()</f>
        <v>264</v>
      </c>
      <c r="B264" s="120"/>
      <c r="C264" s="1"/>
      <c r="E264" s="121"/>
      <c r="F264" s="138"/>
      <c r="G264" s="117" t="e">
        <f t="shared" ref="G264:L264" si="111">SUM(G262:G263)</f>
        <v>#VALUE!</v>
      </c>
      <c r="H264" s="116" t="e">
        <f t="shared" si="111"/>
        <v>#VALUE!</v>
      </c>
      <c r="I264" s="116" t="e">
        <f t="shared" si="111"/>
        <v>#VALUE!</v>
      </c>
      <c r="J264" s="116" t="e">
        <f t="shared" si="111"/>
        <v>#VALUE!</v>
      </c>
      <c r="K264" s="116" t="e">
        <f t="shared" si="111"/>
        <v>#VALUE!</v>
      </c>
      <c r="L264" s="116" t="e">
        <f t="shared" si="111"/>
        <v>#VALUE!</v>
      </c>
      <c r="O264" s="116" t="e">
        <f>SUM(O262:O263)</f>
        <v>#VALUE!</v>
      </c>
      <c r="P264" s="116" t="e">
        <f>SUM(P262:P263)</f>
        <v>#VALUE!</v>
      </c>
      <c r="Q264" s="116" t="e">
        <f>SUM(Q262:Q263)</f>
        <v>#VALUE!</v>
      </c>
      <c r="R264" s="116" t="e">
        <f>SUM(R262:R263)</f>
        <v>#VALUE!</v>
      </c>
      <c r="T264" s="116">
        <f>SUM(T262:T263)</f>
        <v>0</v>
      </c>
      <c r="U264" s="116">
        <f>SUM(U262:U263)</f>
        <v>0</v>
      </c>
      <c r="V264" s="116">
        <f>SUM(V262:V263)</f>
        <v>0</v>
      </c>
      <c r="W264" s="116">
        <f>SUM(W262:W263)</f>
        <v>0</v>
      </c>
      <c r="X264" s="3"/>
      <c r="Y264" s="116">
        <f>SUM(Y262:Y263)</f>
        <v>0</v>
      </c>
      <c r="Z264" s="116">
        <f>SUM(Z262:Z263)</f>
        <v>0</v>
      </c>
      <c r="AA264" s="116">
        <f>SUM(AA262:AA263)</f>
        <v>0</v>
      </c>
      <c r="AB264" s="116">
        <f>SUM(AB262:AB263)</f>
        <v>0</v>
      </c>
      <c r="AC264" s="116">
        <f>SUM(AC262:AC263)</f>
        <v>0</v>
      </c>
      <c r="AD264" s="117" t="e">
        <f>ROUND(SUM(-G264,H264:L264),0)</f>
        <v>#VALUE!</v>
      </c>
      <c r="AE264" s="117" t="e">
        <f>ROUND(H264-O264-P264-Q264-R264,0)</f>
        <v>#VALUE!</v>
      </c>
      <c r="AF264" s="117" t="e">
        <f>ROUND(I264-T264-U264-V264-W264,0)</f>
        <v>#VALUE!</v>
      </c>
      <c r="AG264" s="117" t="e">
        <f>ROUND(J264-Y264-Z264-AA264-AC264-AB264,0)</f>
        <v>#VALUE!</v>
      </c>
      <c r="AH264" s="116"/>
      <c r="AI264">
        <f t="shared" si="108"/>
        <v>505</v>
      </c>
      <c r="AJ264" t="str">
        <f t="shared" si="97"/>
        <v>NA</v>
      </c>
      <c r="AK264" t="str">
        <f>IF(ISERROR(MATCH(AI264&amp;"."&amp;AJ264,AK$91:AK263,0)),AI264&amp;"."&amp;AJ264,AI264&amp;"."&amp;AJ264&amp;COUNTIFS(AI$91:AI263,AI264,AJ$91:AJ263,AJ264))</f>
        <v>505.NA1</v>
      </c>
    </row>
    <row r="265" spans="1:37" ht="15" hidden="1">
      <c r="A265" s="120">
        <f>ROW()</f>
        <v>265</v>
      </c>
      <c r="B265" s="120"/>
      <c r="C265" s="1"/>
      <c r="E265" s="121"/>
      <c r="F265" s="138"/>
      <c r="G265" s="119"/>
      <c r="X265" s="3"/>
      <c r="AD265" s="119"/>
      <c r="AE265" s="119"/>
      <c r="AF265" s="119"/>
      <c r="AG265" s="119"/>
      <c r="AI265">
        <f t="shared" si="108"/>
        <v>505</v>
      </c>
      <c r="AJ265" t="str">
        <f t="shared" si="97"/>
        <v>NA</v>
      </c>
      <c r="AK265" t="str">
        <f>IF(ISERROR(MATCH(AI265&amp;"."&amp;AJ265,AK$91:AK264,0)),AI265&amp;"."&amp;AJ265,AI265&amp;"."&amp;AJ265&amp;COUNTIFS(AI$91:AI264,AI265,AJ$91:AJ264,AJ265))</f>
        <v>505.NA2</v>
      </c>
    </row>
    <row r="266" spans="1:37" ht="15" hidden="1">
      <c r="A266" s="120">
        <f>ROW()</f>
        <v>266</v>
      </c>
      <c r="B266" s="120"/>
      <c r="C266" s="1">
        <v>506</v>
      </c>
      <c r="D266" s="2" t="s">
        <v>186</v>
      </c>
      <c r="E266" s="121"/>
      <c r="F266" s="138"/>
      <c r="G266" s="119"/>
      <c r="X266" s="3"/>
      <c r="AD266" s="119"/>
      <c r="AE266" s="119"/>
      <c r="AF266" s="119"/>
      <c r="AG266" s="119"/>
      <c r="AI266">
        <f t="shared" si="108"/>
        <v>506</v>
      </c>
      <c r="AJ266" t="str">
        <f t="shared" si="97"/>
        <v>NA</v>
      </c>
      <c r="AK266" t="str">
        <f>IF(ISERROR(MATCH(AI266&amp;"."&amp;AJ266,AK$91:AK265,0)),AI266&amp;"."&amp;AJ266,AI266&amp;"."&amp;AJ266&amp;COUNTIFS(AI$91:AI265,AI266,AJ$91:AJ265,AJ266))</f>
        <v>506.NA</v>
      </c>
    </row>
    <row r="267" spans="1:37" ht="15" hidden="1">
      <c r="A267" s="120">
        <f>ROW()</f>
        <v>267</v>
      </c>
      <c r="B267" s="120"/>
      <c r="E267" s="121" t="s">
        <v>15</v>
      </c>
      <c r="F267" s="138" t="str">
        <f>INDEX(FuncAllocOptions,ROW(A267)-ROW($A$92)+1,[4]Inputs!$S$11)</f>
        <v>P</v>
      </c>
      <c r="G267" s="117" t="e">
        <f>SUMIF(FERCJAMFactor,AK267,JAMValue)</f>
        <v>#VALUE!</v>
      </c>
      <c r="H267" s="116" t="e">
        <f t="shared" ref="H267:L269" si="112">INDEX(FuncFactorTbl,MATCH($F267,FuncFactors,0),MATCH(H$8,Functions,0))*$G267</f>
        <v>#VALUE!</v>
      </c>
      <c r="I267" s="116" t="e">
        <f t="shared" si="112"/>
        <v>#VALUE!</v>
      </c>
      <c r="J267" s="116" t="e">
        <f t="shared" si="112"/>
        <v>#VALUE!</v>
      </c>
      <c r="K267" s="116" t="e">
        <f t="shared" si="112"/>
        <v>#VALUE!</v>
      </c>
      <c r="L267" s="116" t="e">
        <f t="shared" si="112"/>
        <v>#VALUE!</v>
      </c>
      <c r="N267" s="108">
        <v>0.75</v>
      </c>
      <c r="O267" s="116" t="e">
        <f>$H267*$N267*$M267</f>
        <v>#VALUE!</v>
      </c>
      <c r="P267" s="116" t="e">
        <f>$H267*(1-$N267)*$M267</f>
        <v>#VALUE!</v>
      </c>
      <c r="Q267" s="116" t="e">
        <f>$H267*$N267*(1-$M267)</f>
        <v>#VALUE!</v>
      </c>
      <c r="R267" s="116" t="e">
        <f>$H267*(1-$N267)*(1-$M267)</f>
        <v>#VALUE!</v>
      </c>
      <c r="T267" s="116">
        <v>0</v>
      </c>
      <c r="U267" s="116">
        <v>0</v>
      </c>
      <c r="V267" s="116">
        <v>0</v>
      </c>
      <c r="W267" s="116">
        <v>0</v>
      </c>
      <c r="X267" s="3"/>
      <c r="AD267" s="117" t="e">
        <f>ROUND(SUM(-G267,H267:L267),0)</f>
        <v>#VALUE!</v>
      </c>
      <c r="AE267" s="117" t="e">
        <f>ROUND(H267-O267-P267-Q267-R267,0)</f>
        <v>#VALUE!</v>
      </c>
      <c r="AF267" s="117" t="e">
        <f>ROUND(I267-T267-U267-V267-W267,0)</f>
        <v>#VALUE!</v>
      </c>
      <c r="AG267" s="117" t="e">
        <f>ROUND(J267-Y267-Z267-AA267-AC267-AB267,0)</f>
        <v>#VALUE!</v>
      </c>
      <c r="AH267" s="116"/>
      <c r="AI267">
        <f t="shared" si="108"/>
        <v>506</v>
      </c>
      <c r="AJ267" t="str">
        <f t="shared" si="97"/>
        <v>SG</v>
      </c>
      <c r="AK267" t="str">
        <f>IF(ISERROR(MATCH(AI267&amp;"."&amp;AJ267,AK$91:AK266,0)),AI267&amp;"."&amp;AJ267,AI267&amp;"."&amp;AJ267&amp;COUNTIFS(AI$91:AI266,AI267,AJ$91:AJ266,AJ267))</f>
        <v>506.SG</v>
      </c>
    </row>
    <row r="268" spans="1:37" ht="15" hidden="1">
      <c r="A268" s="120">
        <f>ROW()</f>
        <v>268</v>
      </c>
      <c r="B268" s="120"/>
      <c r="E268" s="121" t="s">
        <v>15</v>
      </c>
      <c r="F268" s="138" t="str">
        <f>INDEX(FuncAllocOptions,ROW(A268)-ROW($A$92)+1,[4]Inputs!$S$11)</f>
        <v>P</v>
      </c>
      <c r="G268" s="117" t="e">
        <f>SUMIF(FERCJAMFactor,AK268,JAMValue)</f>
        <v>#VALUE!</v>
      </c>
      <c r="H268" s="116" t="e">
        <f t="shared" si="112"/>
        <v>#VALUE!</v>
      </c>
      <c r="I268" s="116" t="e">
        <f t="shared" si="112"/>
        <v>#VALUE!</v>
      </c>
      <c r="J268" s="116" t="e">
        <f t="shared" si="112"/>
        <v>#VALUE!</v>
      </c>
      <c r="K268" s="116" t="e">
        <f t="shared" si="112"/>
        <v>#VALUE!</v>
      </c>
      <c r="L268" s="116" t="e">
        <f t="shared" si="112"/>
        <v>#VALUE!</v>
      </c>
      <c r="N268" s="108">
        <v>0</v>
      </c>
      <c r="O268" s="116" t="e">
        <f>$H268*$N268*$M268</f>
        <v>#VALUE!</v>
      </c>
      <c r="P268" s="116" t="e">
        <f>$H268*(1-$N268)*$M268</f>
        <v>#VALUE!</v>
      </c>
      <c r="Q268" s="116" t="e">
        <f>$H268*$N268*(1-$M268)</f>
        <v>#VALUE!</v>
      </c>
      <c r="R268" s="116" t="e">
        <f>$H268*(1-$N268)*(1-$M268)</f>
        <v>#VALUE!</v>
      </c>
      <c r="T268" s="116">
        <v>0</v>
      </c>
      <c r="U268" s="116">
        <v>0</v>
      </c>
      <c r="V268" s="116">
        <v>0</v>
      </c>
      <c r="W268" s="116">
        <v>0</v>
      </c>
      <c r="X268" s="3"/>
      <c r="AD268" s="117" t="e">
        <f>ROUND(SUM(-G268,H268:L268),0)</f>
        <v>#VALUE!</v>
      </c>
      <c r="AE268" s="117" t="e">
        <f>ROUND(H268-O268-P268-Q268-R268,0)</f>
        <v>#VALUE!</v>
      </c>
      <c r="AF268" s="117" t="e">
        <f>ROUND(I268-T268-U268-V268-W268,0)</f>
        <v>#VALUE!</v>
      </c>
      <c r="AG268" s="117" t="e">
        <f>ROUND(J268-Y268-Z268-AA268-AC268-AB268,0)</f>
        <v>#VALUE!</v>
      </c>
      <c r="AH268" s="116"/>
      <c r="AI268">
        <f t="shared" si="108"/>
        <v>506</v>
      </c>
      <c r="AJ268" t="str">
        <f t="shared" si="97"/>
        <v>SG</v>
      </c>
      <c r="AK268" t="str">
        <f>IF(ISERROR(MATCH(AI268&amp;"."&amp;AJ268,AK$91:AK267,0)),AI268&amp;"."&amp;AJ268,AI268&amp;"."&amp;AJ268&amp;COUNTIFS(AI$91:AI267,AI268,AJ$91:AJ267,AJ268))</f>
        <v>506.SG1</v>
      </c>
    </row>
    <row r="269" spans="1:37" ht="15" hidden="1">
      <c r="A269" s="120">
        <f>ROW()</f>
        <v>269</v>
      </c>
      <c r="B269" s="120"/>
      <c r="E269" s="121" t="s">
        <v>15</v>
      </c>
      <c r="F269" s="138" t="str">
        <f>INDEX(FuncAllocOptions,ROW(A269)-ROW($A$92)+1,[4]Inputs!$S$11)</f>
        <v>P</v>
      </c>
      <c r="G269" s="133" t="e">
        <f>SUMIF(FERCJAMFactor,AK269,JAMValue)</f>
        <v>#VALUE!</v>
      </c>
      <c r="H269" s="139" t="e">
        <f t="shared" si="112"/>
        <v>#VALUE!</v>
      </c>
      <c r="I269" s="139" t="e">
        <f t="shared" si="112"/>
        <v>#VALUE!</v>
      </c>
      <c r="J269" s="139" t="e">
        <f t="shared" si="112"/>
        <v>#VALUE!</v>
      </c>
      <c r="K269" s="139" t="e">
        <f t="shared" si="112"/>
        <v>#VALUE!</v>
      </c>
      <c r="L269" s="139" t="e">
        <f t="shared" si="112"/>
        <v>#VALUE!</v>
      </c>
      <c r="N269" s="108">
        <v>0.75</v>
      </c>
      <c r="O269" s="116" t="e">
        <f>$H269*$N269*$M269</f>
        <v>#VALUE!</v>
      </c>
      <c r="P269" s="116" t="e">
        <f>$H269*(1-$N269)*$M269</f>
        <v>#VALUE!</v>
      </c>
      <c r="Q269" s="116" t="e">
        <f>$H269*$N269*(1-$M269)</f>
        <v>#VALUE!</v>
      </c>
      <c r="R269" s="116" t="e">
        <f>$H269*(1-$N269)*(1-$M269)</f>
        <v>#VALUE!</v>
      </c>
      <c r="T269" s="116"/>
      <c r="U269" s="116"/>
      <c r="V269" s="116"/>
      <c r="W269" s="116"/>
      <c r="X269" s="3"/>
      <c r="AD269" s="117" t="e">
        <f>ROUND(SUM(-G269,H269:L269),0)</f>
        <v>#VALUE!</v>
      </c>
      <c r="AE269" s="117" t="e">
        <f>ROUND(H269-O269-P269-Q269-R269,0)</f>
        <v>#VALUE!</v>
      </c>
      <c r="AF269" s="117" t="e">
        <f>ROUND(I269-T269-U269-V269-W269,0)</f>
        <v>#VALUE!</v>
      </c>
      <c r="AG269" s="117" t="e">
        <f>ROUND(J269-Y269-Z269-AA269-AC269-AB269,0)</f>
        <v>#VALUE!</v>
      </c>
      <c r="AH269" s="116"/>
      <c r="AI269">
        <f t="shared" si="108"/>
        <v>506</v>
      </c>
      <c r="AJ269" t="str">
        <f t="shared" si="97"/>
        <v>SG</v>
      </c>
      <c r="AK269" t="str">
        <f>IF(ISERROR(MATCH(AI269&amp;"."&amp;AJ269,AK$91:AK268,0)),AI269&amp;"."&amp;AJ269,AI269&amp;"."&amp;AJ269&amp;COUNTIFS(AI$91:AI268,AI269,AJ$91:AJ268,AJ269))</f>
        <v>506.SG2</v>
      </c>
    </row>
    <row r="270" spans="1:37" ht="15" hidden="1">
      <c r="A270" s="120">
        <f>ROW()</f>
        <v>270</v>
      </c>
      <c r="B270" s="120"/>
      <c r="E270" s="121"/>
      <c r="F270" s="138"/>
      <c r="G270" s="117" t="e">
        <f t="shared" ref="G270:L270" si="113">SUM(G267:G269)</f>
        <v>#VALUE!</v>
      </c>
      <c r="H270" s="116" t="e">
        <f t="shared" si="113"/>
        <v>#VALUE!</v>
      </c>
      <c r="I270" s="116" t="e">
        <f t="shared" si="113"/>
        <v>#VALUE!</v>
      </c>
      <c r="J270" s="116" t="e">
        <f t="shared" si="113"/>
        <v>#VALUE!</v>
      </c>
      <c r="K270" s="116" t="e">
        <f t="shared" si="113"/>
        <v>#VALUE!</v>
      </c>
      <c r="L270" s="116" t="e">
        <f t="shared" si="113"/>
        <v>#VALUE!</v>
      </c>
      <c r="O270" s="116" t="e">
        <f>SUM(O267:O269)</f>
        <v>#VALUE!</v>
      </c>
      <c r="P270" s="116" t="e">
        <f>SUM(P267:P269)</f>
        <v>#VALUE!</v>
      </c>
      <c r="Q270" s="116" t="e">
        <f>SUM(Q267:Q269)</f>
        <v>#VALUE!</v>
      </c>
      <c r="R270" s="116" t="e">
        <f>SUM(R267:R269)</f>
        <v>#VALUE!</v>
      </c>
      <c r="T270" s="116">
        <f>SUM(T267:T269)</f>
        <v>0</v>
      </c>
      <c r="U270" s="116">
        <f>SUM(U267:U269)</f>
        <v>0</v>
      </c>
      <c r="V270" s="116">
        <f>SUM(V267:V269)</f>
        <v>0</v>
      </c>
      <c r="W270" s="116">
        <f>SUM(W267:W269)</f>
        <v>0</v>
      </c>
      <c r="X270" s="3"/>
      <c r="Y270" s="116">
        <f>SUM(Y267:Y269)</f>
        <v>0</v>
      </c>
      <c r="Z270" s="116">
        <f>SUM(Z267:Z269)</f>
        <v>0</v>
      </c>
      <c r="AA270" s="116">
        <f>SUM(AA267:AA269)</f>
        <v>0</v>
      </c>
      <c r="AB270" s="116">
        <f>SUM(AB267:AB269)</f>
        <v>0</v>
      </c>
      <c r="AC270" s="116">
        <f>SUM(AC267:AC269)</f>
        <v>0</v>
      </c>
      <c r="AD270" s="117" t="e">
        <f>ROUND(SUM(-G270,H270:L270),0)</f>
        <v>#VALUE!</v>
      </c>
      <c r="AE270" s="117" t="e">
        <f>ROUND(H270-O270-P270-Q270-R270,0)</f>
        <v>#VALUE!</v>
      </c>
      <c r="AF270" s="117" t="e">
        <f>ROUND(I270-T270-U270-V270-W270,0)</f>
        <v>#VALUE!</v>
      </c>
      <c r="AG270" s="117" t="e">
        <f>ROUND(J270-Y270-Z270-AA270-AC270-AB270,0)</f>
        <v>#VALUE!</v>
      </c>
      <c r="AH270" s="116"/>
      <c r="AI270">
        <f t="shared" si="108"/>
        <v>506</v>
      </c>
      <c r="AJ270" t="str">
        <f t="shared" si="97"/>
        <v>NA</v>
      </c>
      <c r="AK270" t="str">
        <f>IF(ISERROR(MATCH(AI270&amp;"."&amp;AJ270,AK$91:AK269,0)),AI270&amp;"."&amp;AJ270,AI270&amp;"."&amp;AJ270&amp;COUNTIFS(AI$91:AI269,AI270,AJ$91:AJ269,AJ270))</f>
        <v>506.NA1</v>
      </c>
    </row>
    <row r="271" spans="1:37" ht="15" hidden="1">
      <c r="A271" s="120">
        <f>ROW()</f>
        <v>271</v>
      </c>
      <c r="B271" s="120"/>
      <c r="E271" s="121"/>
      <c r="F271" s="138"/>
      <c r="G271" s="119"/>
      <c r="X271" s="3"/>
      <c r="AD271" s="119"/>
      <c r="AE271" s="119"/>
      <c r="AF271" s="119"/>
      <c r="AG271" s="119"/>
      <c r="AI271">
        <f t="shared" si="108"/>
        <v>506</v>
      </c>
      <c r="AJ271" t="str">
        <f t="shared" si="97"/>
        <v>NA</v>
      </c>
      <c r="AK271" t="str">
        <f>IF(ISERROR(MATCH(AI271&amp;"."&amp;AJ271,AK$91:AK270,0)),AI271&amp;"."&amp;AJ271,AI271&amp;"."&amp;AJ271&amp;COUNTIFS(AI$91:AI270,AI271,AJ$91:AJ270,AJ271))</f>
        <v>506.NA2</v>
      </c>
    </row>
    <row r="272" spans="1:37" ht="15" hidden="1">
      <c r="A272" s="120">
        <f>ROW()</f>
        <v>272</v>
      </c>
      <c r="B272" s="120"/>
      <c r="C272" s="1">
        <v>507</v>
      </c>
      <c r="D272" s="2" t="s">
        <v>187</v>
      </c>
      <c r="E272" s="121"/>
      <c r="F272" s="138"/>
      <c r="G272" s="119"/>
      <c r="X272" s="3"/>
      <c r="AD272" s="119"/>
      <c r="AE272" s="119"/>
      <c r="AF272" s="119"/>
      <c r="AG272" s="119"/>
      <c r="AI272">
        <f t="shared" si="108"/>
        <v>507</v>
      </c>
      <c r="AJ272" t="str">
        <f t="shared" si="97"/>
        <v>NA</v>
      </c>
      <c r="AK272" t="str">
        <f>IF(ISERROR(MATCH(AI272&amp;"."&amp;AJ272,AK$91:AK271,0)),AI272&amp;"."&amp;AJ272,AI272&amp;"."&amp;AJ272&amp;COUNTIFS(AI$91:AI271,AI272,AJ$91:AJ271,AJ272))</f>
        <v>507.NA</v>
      </c>
    </row>
    <row r="273" spans="1:37" ht="15" hidden="1">
      <c r="A273" s="120">
        <f>ROW()</f>
        <v>273</v>
      </c>
      <c r="B273" s="120"/>
      <c r="C273" s="1"/>
      <c r="E273" s="120" t="s">
        <v>15</v>
      </c>
      <c r="F273" s="138" t="str">
        <f>INDEX(FuncAllocOptions,ROW(A273)-ROW($A$92)+1,[4]Inputs!$S$11)</f>
        <v>P</v>
      </c>
      <c r="G273" s="117" t="e">
        <f>SUMIF(FERCJAMFactor,AK273,JAMValue)</f>
        <v>#VALUE!</v>
      </c>
      <c r="H273" s="116" t="e">
        <f t="shared" ref="H273:L274" si="114">INDEX(FuncFactorTbl,MATCH($F273,FuncFactors,0),MATCH(H$8,Functions,0))*$G273</f>
        <v>#VALUE!</v>
      </c>
      <c r="I273" s="116" t="e">
        <f t="shared" si="114"/>
        <v>#VALUE!</v>
      </c>
      <c r="J273" s="116" t="e">
        <f t="shared" si="114"/>
        <v>#VALUE!</v>
      </c>
      <c r="K273" s="116" t="e">
        <f t="shared" si="114"/>
        <v>#VALUE!</v>
      </c>
      <c r="L273" s="116" t="e">
        <f t="shared" si="114"/>
        <v>#VALUE!</v>
      </c>
      <c r="N273" s="108">
        <v>0.75</v>
      </c>
      <c r="O273" s="116" t="e">
        <f>$H273*$N273*$M273</f>
        <v>#VALUE!</v>
      </c>
      <c r="P273" s="116" t="e">
        <f>$H273*(1-$N273)*$M273</f>
        <v>#VALUE!</v>
      </c>
      <c r="Q273" s="116" t="e">
        <f>$H273*$N273*(1-$M273)</f>
        <v>#VALUE!</v>
      </c>
      <c r="R273" s="116" t="e">
        <f>$H273*(1-$N273)*(1-$M273)</f>
        <v>#VALUE!</v>
      </c>
      <c r="T273" s="116">
        <v>0</v>
      </c>
      <c r="U273" s="116">
        <v>0</v>
      </c>
      <c r="V273" s="116">
        <v>0</v>
      </c>
      <c r="W273" s="116">
        <v>0</v>
      </c>
      <c r="X273" s="3"/>
      <c r="AD273" s="117" t="e">
        <f>ROUND(SUM(-G273,H273:L273),0)</f>
        <v>#VALUE!</v>
      </c>
      <c r="AE273" s="117" t="e">
        <f>ROUND(H273-O273-P273-Q273-R273,0)</f>
        <v>#VALUE!</v>
      </c>
      <c r="AF273" s="117" t="e">
        <f>ROUND(I273-T273-U273-V273-W273,0)</f>
        <v>#VALUE!</v>
      </c>
      <c r="AG273" s="117" t="e">
        <f>ROUND(J273-Y273-Z273-AA273-AC273-AB273,0)</f>
        <v>#VALUE!</v>
      </c>
      <c r="AH273" s="116"/>
      <c r="AI273">
        <f t="shared" si="108"/>
        <v>507</v>
      </c>
      <c r="AJ273" t="str">
        <f t="shared" si="97"/>
        <v>SG</v>
      </c>
      <c r="AK273" t="str">
        <f>IF(ISERROR(MATCH(AI273&amp;"."&amp;AJ273,AK$91:AK272,0)),AI273&amp;"."&amp;AJ273,AI273&amp;"."&amp;AJ273&amp;COUNTIFS(AI$91:AI272,AI273,AJ$91:AJ272,AJ273))</f>
        <v>507.SG</v>
      </c>
    </row>
    <row r="274" spans="1:37" ht="15" hidden="1">
      <c r="A274" s="120">
        <f>ROW()</f>
        <v>274</v>
      </c>
      <c r="B274" s="120"/>
      <c r="C274" s="1"/>
      <c r="E274" s="120" t="s">
        <v>15</v>
      </c>
      <c r="F274" s="138" t="str">
        <f>INDEX(FuncAllocOptions,ROW(A274)-ROW($A$92)+1,[4]Inputs!$S$11)</f>
        <v>P</v>
      </c>
      <c r="G274" s="133" t="e">
        <f>SUMIF(FERCJAMFactor,AK274,JAMValue)</f>
        <v>#VALUE!</v>
      </c>
      <c r="H274" s="139" t="e">
        <f t="shared" si="114"/>
        <v>#VALUE!</v>
      </c>
      <c r="I274" s="139" t="e">
        <f t="shared" si="114"/>
        <v>#VALUE!</v>
      </c>
      <c r="J274" s="139" t="e">
        <f t="shared" si="114"/>
        <v>#VALUE!</v>
      </c>
      <c r="K274" s="139" t="e">
        <f t="shared" si="114"/>
        <v>#VALUE!</v>
      </c>
      <c r="L274" s="139" t="e">
        <f t="shared" si="114"/>
        <v>#VALUE!</v>
      </c>
      <c r="N274" s="108">
        <v>0.75</v>
      </c>
      <c r="O274" s="116" t="e">
        <f>$H274*$N274*$M274</f>
        <v>#VALUE!</v>
      </c>
      <c r="P274" s="116" t="e">
        <f>$H274*(1-$N274)*$M274</f>
        <v>#VALUE!</v>
      </c>
      <c r="Q274" s="116" t="e">
        <f>$H274*$N274*(1-$M274)</f>
        <v>#VALUE!</v>
      </c>
      <c r="R274" s="116" t="e">
        <f>$H274*(1-$N274)*(1-$M274)</f>
        <v>#VALUE!</v>
      </c>
      <c r="T274" s="116"/>
      <c r="U274" s="116"/>
      <c r="V274" s="116"/>
      <c r="W274" s="116"/>
      <c r="X274" s="3"/>
      <c r="AD274" s="117" t="e">
        <f>ROUND(SUM(-G274,H274:L274),0)</f>
        <v>#VALUE!</v>
      </c>
      <c r="AE274" s="117" t="e">
        <f>ROUND(H274-O274-P274-Q274-R274,0)</f>
        <v>#VALUE!</v>
      </c>
      <c r="AF274" s="117" t="e">
        <f>ROUND(I274-T274-U274-V274-W274,0)</f>
        <v>#VALUE!</v>
      </c>
      <c r="AG274" s="117" t="e">
        <f>ROUND(J274-Y274-Z274-AA274-AC274-AB274,0)</f>
        <v>#VALUE!</v>
      </c>
      <c r="AH274" s="116"/>
      <c r="AI274">
        <f t="shared" si="108"/>
        <v>507</v>
      </c>
      <c r="AJ274" t="str">
        <f t="shared" si="97"/>
        <v>SG</v>
      </c>
      <c r="AK274" t="str">
        <f>IF(ISERROR(MATCH(AI274&amp;"."&amp;AJ274,AK$91:AK273,0)),AI274&amp;"."&amp;AJ274,AI274&amp;"."&amp;AJ274&amp;COUNTIFS(AI$91:AI273,AI274,AJ$91:AJ273,AJ274))</f>
        <v>507.SG1</v>
      </c>
    </row>
    <row r="275" spans="1:37" ht="15" hidden="1">
      <c r="A275" s="120">
        <f>ROW()</f>
        <v>275</v>
      </c>
      <c r="B275" s="120"/>
      <c r="C275" s="1"/>
      <c r="E275" s="121"/>
      <c r="F275" s="138"/>
      <c r="G275" s="117" t="e">
        <f t="shared" ref="G275:L275" si="115">SUM(G273:G274)</f>
        <v>#VALUE!</v>
      </c>
      <c r="H275" s="116" t="e">
        <f t="shared" si="115"/>
        <v>#VALUE!</v>
      </c>
      <c r="I275" s="116" t="e">
        <f t="shared" si="115"/>
        <v>#VALUE!</v>
      </c>
      <c r="J275" s="116" t="e">
        <f t="shared" si="115"/>
        <v>#VALUE!</v>
      </c>
      <c r="K275" s="116" t="e">
        <f t="shared" si="115"/>
        <v>#VALUE!</v>
      </c>
      <c r="L275" s="116" t="e">
        <f t="shared" si="115"/>
        <v>#VALUE!</v>
      </c>
      <c r="O275" s="116" t="e">
        <f>SUM(O273:O274)</f>
        <v>#VALUE!</v>
      </c>
      <c r="P275" s="116" t="e">
        <f>SUM(P273:P274)</f>
        <v>#VALUE!</v>
      </c>
      <c r="Q275" s="116" t="e">
        <f>SUM(Q273:Q274)</f>
        <v>#VALUE!</v>
      </c>
      <c r="R275" s="116" t="e">
        <f>SUM(R273:R274)</f>
        <v>#VALUE!</v>
      </c>
      <c r="T275" s="116">
        <f>SUM(T273:T274)</f>
        <v>0</v>
      </c>
      <c r="U275" s="116">
        <f>SUM(U273:U274)</f>
        <v>0</v>
      </c>
      <c r="V275" s="116">
        <f>SUM(V273:V274)</f>
        <v>0</v>
      </c>
      <c r="W275" s="116">
        <f>SUM(W273:W274)</f>
        <v>0</v>
      </c>
      <c r="X275" s="3"/>
      <c r="Y275" s="116">
        <f>SUM(Y273:Y274)</f>
        <v>0</v>
      </c>
      <c r="Z275" s="116">
        <f>SUM(Z273:Z274)</f>
        <v>0</v>
      </c>
      <c r="AA275" s="116">
        <f>SUM(AA273:AA274)</f>
        <v>0</v>
      </c>
      <c r="AB275" s="116">
        <f>SUM(AB273:AB274)</f>
        <v>0</v>
      </c>
      <c r="AC275" s="116">
        <f>SUM(AC273:AC274)</f>
        <v>0</v>
      </c>
      <c r="AD275" s="117" t="e">
        <f>ROUND(SUM(-G275,H275:L275),0)</f>
        <v>#VALUE!</v>
      </c>
      <c r="AE275" s="117" t="e">
        <f>ROUND(H275-O275-P275-Q275-R275,0)</f>
        <v>#VALUE!</v>
      </c>
      <c r="AF275" s="117" t="e">
        <f>ROUND(I275-T275-U275-V275-W275,0)</f>
        <v>#VALUE!</v>
      </c>
      <c r="AG275" s="117" t="e">
        <f>ROUND(J275-Y275-Z275-AA275-AC275-AB275,0)</f>
        <v>#VALUE!</v>
      </c>
      <c r="AH275" s="116"/>
      <c r="AI275">
        <f t="shared" si="108"/>
        <v>507</v>
      </c>
      <c r="AJ275" t="str">
        <f t="shared" si="97"/>
        <v>NA</v>
      </c>
      <c r="AK275" t="str">
        <f>IF(ISERROR(MATCH(AI275&amp;"."&amp;AJ275,AK$91:AK274,0)),AI275&amp;"."&amp;AJ275,AI275&amp;"."&amp;AJ275&amp;COUNTIFS(AI$91:AI274,AI275,AJ$91:AJ274,AJ275))</f>
        <v>507.NA1</v>
      </c>
    </row>
    <row r="276" spans="1:37" ht="15" hidden="1">
      <c r="A276" s="120">
        <f>ROW()</f>
        <v>276</v>
      </c>
      <c r="B276" s="120"/>
      <c r="C276" s="1"/>
      <c r="E276" s="121"/>
      <c r="F276" s="138"/>
      <c r="G276" s="119"/>
      <c r="X276" s="3"/>
      <c r="AD276" s="119"/>
      <c r="AE276" s="119"/>
      <c r="AF276" s="119"/>
      <c r="AG276" s="119"/>
      <c r="AI276">
        <f t="shared" si="108"/>
        <v>507</v>
      </c>
      <c r="AJ276" t="str">
        <f t="shared" si="97"/>
        <v>NA</v>
      </c>
      <c r="AK276" t="str">
        <f>IF(ISERROR(MATCH(AI276&amp;"."&amp;AJ276,AK$91:AK275,0)),AI276&amp;"."&amp;AJ276,AI276&amp;"."&amp;AJ276&amp;COUNTIFS(AI$91:AI275,AI276,AJ$91:AJ275,AJ276))</f>
        <v>507.NA2</v>
      </c>
    </row>
    <row r="277" spans="1:37" ht="15" hidden="1">
      <c r="A277" s="120">
        <f>ROW()</f>
        <v>277</v>
      </c>
      <c r="B277" s="120"/>
      <c r="C277" s="1">
        <v>510</v>
      </c>
      <c r="D277" s="2" t="s">
        <v>188</v>
      </c>
      <c r="E277" s="121"/>
      <c r="F277" s="138"/>
      <c r="G277" s="119"/>
      <c r="X277" s="3"/>
      <c r="AD277" s="119"/>
      <c r="AE277" s="119"/>
      <c r="AF277" s="119"/>
      <c r="AG277" s="119"/>
      <c r="AI277">
        <f t="shared" si="108"/>
        <v>510</v>
      </c>
      <c r="AJ277" t="str">
        <f t="shared" si="97"/>
        <v>NA</v>
      </c>
      <c r="AK277" t="str">
        <f>IF(ISERROR(MATCH(AI277&amp;"."&amp;AJ277,AK$91:AK276,0)),AI277&amp;"."&amp;AJ277,AI277&amp;"."&amp;AJ277&amp;COUNTIFS(AI$91:AI276,AI277,AJ$91:AJ276,AJ277))</f>
        <v>510.NA</v>
      </c>
    </row>
    <row r="278" spans="1:37" ht="15" hidden="1">
      <c r="A278" s="120">
        <f>ROW()</f>
        <v>278</v>
      </c>
      <c r="B278" s="120"/>
      <c r="C278" s="1"/>
      <c r="E278" s="120" t="s">
        <v>15</v>
      </c>
      <c r="F278" s="138" t="str">
        <f>INDEX(FuncAllocOptions,ROW(A278)-ROW($A$92)+1,[4]Inputs!$S$11)</f>
        <v>P</v>
      </c>
      <c r="G278" s="117" t="e">
        <f>SUMIF(FERCJAMFactor,AK278,JAMValue)</f>
        <v>#VALUE!</v>
      </c>
      <c r="H278" s="116" t="e">
        <f t="shared" ref="H278:L280" si="116">INDEX(FuncFactorTbl,MATCH($F278,FuncFactors,0),MATCH(H$8,Functions,0))*$G278</f>
        <v>#VALUE!</v>
      </c>
      <c r="I278" s="116" t="e">
        <f t="shared" si="116"/>
        <v>#VALUE!</v>
      </c>
      <c r="J278" s="116" t="e">
        <f t="shared" si="116"/>
        <v>#VALUE!</v>
      </c>
      <c r="K278" s="116" t="e">
        <f t="shared" si="116"/>
        <v>#VALUE!</v>
      </c>
      <c r="L278" s="116" t="e">
        <f t="shared" si="116"/>
        <v>#VALUE!</v>
      </c>
      <c r="N278" s="108">
        <v>0.75</v>
      </c>
      <c r="O278" s="116" t="e">
        <f>$H278*$N278*$M278</f>
        <v>#VALUE!</v>
      </c>
      <c r="P278" s="116" t="e">
        <f>$H278*(1-$N278)*$M278</f>
        <v>#VALUE!</v>
      </c>
      <c r="Q278" s="116" t="e">
        <f>$H278*$N278*(1-$M278)</f>
        <v>#VALUE!</v>
      </c>
      <c r="R278" s="116" t="e">
        <f>$H278*(1-$N278)*(1-$M278)</f>
        <v>#VALUE!</v>
      </c>
      <c r="T278" s="116">
        <v>0</v>
      </c>
      <c r="U278" s="116">
        <v>0</v>
      </c>
      <c r="V278" s="116">
        <v>0</v>
      </c>
      <c r="W278" s="116">
        <v>0</v>
      </c>
      <c r="X278" s="3"/>
      <c r="AD278" s="117" t="e">
        <f>ROUND(SUM(-G278,H278:L278),0)</f>
        <v>#VALUE!</v>
      </c>
      <c r="AE278" s="117" t="e">
        <f>ROUND(H278-O278-P278-Q278-R278,0)</f>
        <v>#VALUE!</v>
      </c>
      <c r="AF278" s="117" t="e">
        <f>ROUND(I278-T278-U278-V278-W278,0)</f>
        <v>#VALUE!</v>
      </c>
      <c r="AG278" s="117" t="e">
        <f>ROUND(J278-Y278-Z278-AA278-AC278-AB278,0)</f>
        <v>#VALUE!</v>
      </c>
      <c r="AH278" s="116"/>
      <c r="AI278">
        <f t="shared" si="108"/>
        <v>510</v>
      </c>
      <c r="AJ278" t="str">
        <f t="shared" si="97"/>
        <v>SG</v>
      </c>
      <c r="AK278" t="str">
        <f>IF(ISERROR(MATCH(AI278&amp;"."&amp;AJ278,AK$91:AK277,0)),AI278&amp;"."&amp;AJ278,AI278&amp;"."&amp;AJ278&amp;COUNTIFS(AI$91:AI277,AI278,AJ$91:AJ277,AJ278))</f>
        <v>510.SG</v>
      </c>
    </row>
    <row r="279" spans="1:37" ht="15" hidden="1">
      <c r="A279" s="120">
        <f>ROW()</f>
        <v>279</v>
      </c>
      <c r="B279" s="120"/>
      <c r="C279" s="1"/>
      <c r="E279" s="120" t="s">
        <v>15</v>
      </c>
      <c r="F279" s="138" t="str">
        <f>INDEX(FuncAllocOptions,ROW(A279)-ROW($A$92)+1,[4]Inputs!$S$11)</f>
        <v>P</v>
      </c>
      <c r="G279" s="117" t="e">
        <f>SUMIF(FERCJAMFactor,AK279,JAMValue)</f>
        <v>#VALUE!</v>
      </c>
      <c r="H279" s="116" t="e">
        <f t="shared" si="116"/>
        <v>#VALUE!</v>
      </c>
      <c r="I279" s="116" t="e">
        <f t="shared" si="116"/>
        <v>#VALUE!</v>
      </c>
      <c r="J279" s="116" t="e">
        <f t="shared" si="116"/>
        <v>#VALUE!</v>
      </c>
      <c r="K279" s="116" t="e">
        <f t="shared" si="116"/>
        <v>#VALUE!</v>
      </c>
      <c r="L279" s="116" t="e">
        <f t="shared" si="116"/>
        <v>#VALUE!</v>
      </c>
      <c r="N279" s="108">
        <v>0.75</v>
      </c>
      <c r="O279" s="116" t="e">
        <f>$H279*$N279*$M279</f>
        <v>#VALUE!</v>
      </c>
      <c r="P279" s="116" t="e">
        <f>$H279*(1-$N279)*$M279</f>
        <v>#VALUE!</v>
      </c>
      <c r="Q279" s="116" t="e">
        <f>$H279*$N279*(1-$M279)</f>
        <v>#VALUE!</v>
      </c>
      <c r="R279" s="116" t="e">
        <f>$H279*(1-$N279)*(1-$M279)</f>
        <v>#VALUE!</v>
      </c>
      <c r="T279" s="116">
        <v>0</v>
      </c>
      <c r="U279" s="116">
        <v>0</v>
      </c>
      <c r="V279" s="116">
        <v>0</v>
      </c>
      <c r="W279" s="116">
        <v>0</v>
      </c>
      <c r="X279" s="3"/>
      <c r="AD279" s="117"/>
      <c r="AE279" s="117"/>
      <c r="AF279" s="117"/>
      <c r="AG279" s="117"/>
      <c r="AH279" s="116"/>
      <c r="AI279">
        <f t="shared" si="108"/>
        <v>510</v>
      </c>
      <c r="AJ279" t="str">
        <f t="shared" si="97"/>
        <v>SG</v>
      </c>
      <c r="AK279" t="str">
        <f>IF(ISERROR(MATCH(AI279&amp;"."&amp;AJ279,AK$91:AK278,0)),AI279&amp;"."&amp;AJ279,AI279&amp;"."&amp;AJ279&amp;COUNTIFS(AI$91:AI278,AI279,AJ$91:AJ278,AJ279))</f>
        <v>510.SG1</v>
      </c>
    </row>
    <row r="280" spans="1:37" ht="15" hidden="1">
      <c r="A280" s="120">
        <f>ROW()</f>
        <v>280</v>
      </c>
      <c r="B280" s="120"/>
      <c r="C280" s="1"/>
      <c r="E280" s="120" t="s">
        <v>15</v>
      </c>
      <c r="F280" s="138" t="str">
        <f>INDEX(FuncAllocOptions,ROW(A280)-ROW($A$92)+1,[4]Inputs!$S$11)</f>
        <v>P</v>
      </c>
      <c r="G280" s="133" t="e">
        <f>SUMIF(FERCJAMFactor,AK280,JAMValue)</f>
        <v>#VALUE!</v>
      </c>
      <c r="H280" s="139" t="e">
        <f t="shared" si="116"/>
        <v>#VALUE!</v>
      </c>
      <c r="I280" s="139" t="e">
        <f t="shared" si="116"/>
        <v>#VALUE!</v>
      </c>
      <c r="J280" s="139" t="e">
        <f t="shared" si="116"/>
        <v>#VALUE!</v>
      </c>
      <c r="K280" s="139" t="e">
        <f t="shared" si="116"/>
        <v>#VALUE!</v>
      </c>
      <c r="L280" s="139" t="e">
        <f t="shared" si="116"/>
        <v>#VALUE!</v>
      </c>
      <c r="N280" s="108">
        <v>0.75</v>
      </c>
      <c r="O280" s="116" t="e">
        <f>$H280*$N280*$M280</f>
        <v>#VALUE!</v>
      </c>
      <c r="P280" s="116" t="e">
        <f>$H280*(1-$N280)*$M280</f>
        <v>#VALUE!</v>
      </c>
      <c r="Q280" s="116" t="e">
        <f>$H280*$N280*(1-$M280)</f>
        <v>#VALUE!</v>
      </c>
      <c r="R280" s="116" t="e">
        <f>$H280*(1-$N280)*(1-$M280)</f>
        <v>#VALUE!</v>
      </c>
      <c r="T280" s="116">
        <v>0</v>
      </c>
      <c r="U280" s="116">
        <v>0</v>
      </c>
      <c r="V280" s="116">
        <v>0</v>
      </c>
      <c r="W280" s="116">
        <v>0</v>
      </c>
      <c r="X280" s="3"/>
      <c r="AD280" s="117" t="e">
        <f>ROUND(SUM(-G280,H280:L280),0)</f>
        <v>#VALUE!</v>
      </c>
      <c r="AE280" s="117" t="e">
        <f>ROUND(H280-O280-P280-Q280-R280,0)</f>
        <v>#VALUE!</v>
      </c>
      <c r="AF280" s="117" t="e">
        <f>ROUND(I280-T280-U280-V280-W280,0)</f>
        <v>#VALUE!</v>
      </c>
      <c r="AG280" s="117" t="e">
        <f>ROUND(J280-Y280-Z280-AA280-AC280-AB280,0)</f>
        <v>#VALUE!</v>
      </c>
      <c r="AH280" s="116"/>
      <c r="AI280">
        <f>IF(OR(C280="",C280=" ",C280="  ",C280="   "),AI278,C280)</f>
        <v>510</v>
      </c>
      <c r="AJ280" t="str">
        <f t="shared" si="97"/>
        <v>SG</v>
      </c>
      <c r="AK280" t="str">
        <f>IF(ISERROR(MATCH(AI280&amp;"."&amp;AJ280,AK$91:AK279,0)),AI280&amp;"."&amp;AJ280,AI280&amp;"."&amp;AJ280&amp;COUNTIFS(AI$91:AI279,AI280,AJ$91:AJ279,AJ280))</f>
        <v>510.SG2</v>
      </c>
    </row>
    <row r="281" spans="1:37" ht="15" hidden="1">
      <c r="A281" s="120">
        <f>ROW()</f>
        <v>281</v>
      </c>
      <c r="B281" s="120"/>
      <c r="C281" s="1"/>
      <c r="E281" s="121"/>
      <c r="F281" s="138"/>
      <c r="G281" s="117" t="e">
        <f t="shared" ref="G281:L281" si="117">SUM(G278:G280)</f>
        <v>#VALUE!</v>
      </c>
      <c r="H281" s="116" t="e">
        <f t="shared" si="117"/>
        <v>#VALUE!</v>
      </c>
      <c r="I281" s="116" t="e">
        <f t="shared" si="117"/>
        <v>#VALUE!</v>
      </c>
      <c r="J281" s="116" t="e">
        <f t="shared" si="117"/>
        <v>#VALUE!</v>
      </c>
      <c r="K281" s="116" t="e">
        <f t="shared" si="117"/>
        <v>#VALUE!</v>
      </c>
      <c r="L281" s="116" t="e">
        <f t="shared" si="117"/>
        <v>#VALUE!</v>
      </c>
      <c r="O281" s="116" t="e">
        <f>SUM(O278:O280)</f>
        <v>#VALUE!</v>
      </c>
      <c r="P281" s="116" t="e">
        <f>SUM(P278:P280)</f>
        <v>#VALUE!</v>
      </c>
      <c r="Q281" s="116" t="e">
        <f>SUM(Q278:Q280)</f>
        <v>#VALUE!</v>
      </c>
      <c r="R281" s="116" t="e">
        <f>SUM(R278:R280)</f>
        <v>#VALUE!</v>
      </c>
      <c r="T281" s="116">
        <f>SUM(T278:T280)</f>
        <v>0</v>
      </c>
      <c r="U281" s="116">
        <f>SUM(U278:U280)</f>
        <v>0</v>
      </c>
      <c r="V281" s="116">
        <f>SUM(V278:V280)</f>
        <v>0</v>
      </c>
      <c r="W281" s="116">
        <f>SUM(W278:W280)</f>
        <v>0</v>
      </c>
      <c r="X281" s="3"/>
      <c r="Y281" s="116">
        <f>SUM(Y278:Y280)</f>
        <v>0</v>
      </c>
      <c r="Z281" s="116">
        <f>SUM(Z278:Z280)</f>
        <v>0</v>
      </c>
      <c r="AA281" s="116">
        <f>SUM(AA278:AA280)</f>
        <v>0</v>
      </c>
      <c r="AB281" s="116">
        <f>SUM(AB278:AB280)</f>
        <v>0</v>
      </c>
      <c r="AC281" s="116">
        <f>SUM(AC278:AC280)</f>
        <v>0</v>
      </c>
      <c r="AD281" s="117" t="e">
        <f>ROUND(SUM(-G281,H281:L281),0)</f>
        <v>#VALUE!</v>
      </c>
      <c r="AE281" s="117" t="e">
        <f>ROUND(H281-O281-P281-Q281-R281,0)</f>
        <v>#VALUE!</v>
      </c>
      <c r="AF281" s="117" t="e">
        <f>ROUND(I281-T281-U281-V281-W281,0)</f>
        <v>#VALUE!</v>
      </c>
      <c r="AG281" s="117" t="e">
        <f>ROUND(J281-Y281-Z281-AA281-AC281-AB281,0)</f>
        <v>#VALUE!</v>
      </c>
      <c r="AH281" s="116"/>
      <c r="AI281">
        <f t="shared" ref="AI281:AI312" si="118">IF(OR(C281="",C281=" ",C281="  ",C281="   "),AI280,C281)</f>
        <v>510</v>
      </c>
      <c r="AJ281" t="str">
        <f t="shared" si="97"/>
        <v>NA</v>
      </c>
      <c r="AK281" t="str">
        <f>IF(ISERROR(MATCH(AI281&amp;"."&amp;AJ281,AK$91:AK280,0)),AI281&amp;"."&amp;AJ281,AI281&amp;"."&amp;AJ281&amp;COUNTIFS(AI$91:AI280,AI281,AJ$91:AJ280,AJ281))</f>
        <v>510.NA1</v>
      </c>
    </row>
    <row r="282" spans="1:37" ht="15" hidden="1">
      <c r="A282" s="120">
        <f>ROW()</f>
        <v>282</v>
      </c>
      <c r="B282" s="120"/>
      <c r="C282" s="1"/>
      <c r="E282" s="121"/>
      <c r="F282" s="138"/>
      <c r="G282" s="119"/>
      <c r="X282" s="3"/>
      <c r="AD282" s="119"/>
      <c r="AE282" s="119"/>
      <c r="AF282" s="119"/>
      <c r="AG282" s="119"/>
      <c r="AI282">
        <f t="shared" si="118"/>
        <v>510</v>
      </c>
      <c r="AJ282" t="str">
        <f t="shared" si="97"/>
        <v>NA</v>
      </c>
      <c r="AK282" t="str">
        <f>IF(ISERROR(MATCH(AI282&amp;"."&amp;AJ282,AK$91:AK281,0)),AI282&amp;"."&amp;AJ282,AI282&amp;"."&amp;AJ282&amp;COUNTIFS(AI$91:AI281,AI282,AJ$91:AJ281,AJ282))</f>
        <v>510.NA2</v>
      </c>
    </row>
    <row r="283" spans="1:37" ht="15" hidden="1">
      <c r="A283" s="120">
        <f>ROW()</f>
        <v>283</v>
      </c>
      <c r="B283" s="120"/>
      <c r="C283" s="1">
        <v>511</v>
      </c>
      <c r="D283" s="2" t="s">
        <v>189</v>
      </c>
      <c r="E283" s="121"/>
      <c r="F283" s="138"/>
      <c r="G283" s="119"/>
      <c r="X283" s="3"/>
      <c r="AD283" s="119"/>
      <c r="AE283" s="119"/>
      <c r="AF283" s="119"/>
      <c r="AG283" s="119"/>
      <c r="AI283">
        <f t="shared" si="118"/>
        <v>511</v>
      </c>
      <c r="AJ283" t="str">
        <f t="shared" si="97"/>
        <v>NA</v>
      </c>
      <c r="AK283" t="str">
        <f>IF(ISERROR(MATCH(AI283&amp;"."&amp;AJ283,AK$91:AK282,0)),AI283&amp;"."&amp;AJ283,AI283&amp;"."&amp;AJ283&amp;COUNTIFS(AI$91:AI282,AI283,AJ$91:AJ282,AJ283))</f>
        <v>511.NA</v>
      </c>
    </row>
    <row r="284" spans="1:37" ht="15" hidden="1">
      <c r="A284" s="120">
        <f>ROW()</f>
        <v>284</v>
      </c>
      <c r="B284" s="120"/>
      <c r="C284" s="1"/>
      <c r="E284" s="120" t="s">
        <v>15</v>
      </c>
      <c r="F284" s="138" t="str">
        <f>INDEX(FuncAllocOptions,ROW(A284)-ROW($A$92)+1,[4]Inputs!$S$11)</f>
        <v>P</v>
      </c>
      <c r="G284" s="117" t="e">
        <f>SUMIF(FERCJAMFactor,AK284,JAMValue)</f>
        <v>#VALUE!</v>
      </c>
      <c r="H284" s="116" t="e">
        <f t="shared" ref="H284:L285" si="119">INDEX(FuncFactorTbl,MATCH($F284,FuncFactors,0),MATCH(H$8,Functions,0))*$G284</f>
        <v>#VALUE!</v>
      </c>
      <c r="I284" s="116" t="e">
        <f t="shared" si="119"/>
        <v>#VALUE!</v>
      </c>
      <c r="J284" s="116" t="e">
        <f t="shared" si="119"/>
        <v>#VALUE!</v>
      </c>
      <c r="K284" s="116" t="e">
        <f t="shared" si="119"/>
        <v>#VALUE!</v>
      </c>
      <c r="L284" s="116" t="e">
        <f t="shared" si="119"/>
        <v>#VALUE!</v>
      </c>
      <c r="N284" s="108">
        <v>0.75</v>
      </c>
      <c r="O284" s="116" t="e">
        <f>$H284*$N284*$M284</f>
        <v>#VALUE!</v>
      </c>
      <c r="P284" s="116" t="e">
        <f>$H284*(1-$N284)*$M284</f>
        <v>#VALUE!</v>
      </c>
      <c r="Q284" s="116" t="e">
        <f>$H284*$N284*(1-$M284)</f>
        <v>#VALUE!</v>
      </c>
      <c r="R284" s="116" t="e">
        <f>$H284*(1-$N284)*(1-$M284)</f>
        <v>#VALUE!</v>
      </c>
      <c r="T284" s="116">
        <v>0</v>
      </c>
      <c r="U284" s="116">
        <v>0</v>
      </c>
      <c r="V284" s="116">
        <v>0</v>
      </c>
      <c r="W284" s="116">
        <v>0</v>
      </c>
      <c r="X284" s="3"/>
      <c r="AD284" s="117" t="e">
        <f>ROUND(SUM(-G284,H284:L284),0)</f>
        <v>#VALUE!</v>
      </c>
      <c r="AE284" s="117" t="e">
        <f>ROUND(H284-O284-P284-Q284-R284,0)</f>
        <v>#VALUE!</v>
      </c>
      <c r="AF284" s="117" t="e">
        <f>ROUND(I284-T284-U284-V284-W284,0)</f>
        <v>#VALUE!</v>
      </c>
      <c r="AG284" s="117" t="e">
        <f>ROUND(J284-Y284-Z284-AA284-AC284-AB284,0)</f>
        <v>#VALUE!</v>
      </c>
      <c r="AH284" s="116"/>
      <c r="AI284">
        <f t="shared" si="118"/>
        <v>511</v>
      </c>
      <c r="AJ284" t="str">
        <f t="shared" si="97"/>
        <v>SG</v>
      </c>
      <c r="AK284" t="str">
        <f>IF(ISERROR(MATCH(AI284&amp;"."&amp;AJ284,AK$91:AK283,0)),AI284&amp;"."&amp;AJ284,AI284&amp;"."&amp;AJ284&amp;COUNTIFS(AI$91:AI283,AI284,AJ$91:AJ283,AJ284))</f>
        <v>511.SG</v>
      </c>
    </row>
    <row r="285" spans="1:37" ht="15" hidden="1">
      <c r="A285" s="120">
        <f>ROW()</f>
        <v>285</v>
      </c>
      <c r="B285" s="120"/>
      <c r="C285" s="1"/>
      <c r="E285" s="120" t="s">
        <v>15</v>
      </c>
      <c r="F285" s="138" t="str">
        <f>INDEX(FuncAllocOptions,ROW(A285)-ROW($A$92)+1,[4]Inputs!$S$11)</f>
        <v>P</v>
      </c>
      <c r="G285" s="133" t="e">
        <f>SUMIF(FERCJAMFactor,AK285,JAMValue)</f>
        <v>#VALUE!</v>
      </c>
      <c r="H285" s="139" t="e">
        <f t="shared" si="119"/>
        <v>#VALUE!</v>
      </c>
      <c r="I285" s="139" t="e">
        <f t="shared" si="119"/>
        <v>#VALUE!</v>
      </c>
      <c r="J285" s="139" t="e">
        <f t="shared" si="119"/>
        <v>#VALUE!</v>
      </c>
      <c r="K285" s="139" t="e">
        <f t="shared" si="119"/>
        <v>#VALUE!</v>
      </c>
      <c r="L285" s="139" t="e">
        <f t="shared" si="119"/>
        <v>#VALUE!</v>
      </c>
      <c r="N285" s="108">
        <v>0.75</v>
      </c>
      <c r="O285" s="116" t="e">
        <f>$H285*$N285*$M285</f>
        <v>#VALUE!</v>
      </c>
      <c r="P285" s="116" t="e">
        <f>$H285*(1-$N285)*$M285</f>
        <v>#VALUE!</v>
      </c>
      <c r="Q285" s="116" t="e">
        <f>$H285*$N285*(1-$M285)</f>
        <v>#VALUE!</v>
      </c>
      <c r="R285" s="116" t="e">
        <f>$H285*(1-$N285)*(1-$M285)</f>
        <v>#VALUE!</v>
      </c>
      <c r="T285" s="116"/>
      <c r="U285" s="116"/>
      <c r="V285" s="116"/>
      <c r="W285" s="116"/>
      <c r="X285" s="3"/>
      <c r="AD285" s="117" t="e">
        <f>ROUND(SUM(-G285,H285:L285),0)</f>
        <v>#VALUE!</v>
      </c>
      <c r="AE285" s="117" t="e">
        <f>ROUND(H285-O285-P285-Q285-R285,0)</f>
        <v>#VALUE!</v>
      </c>
      <c r="AF285" s="117" t="e">
        <f>ROUND(I285-T285-U285-V285-W285,0)</f>
        <v>#VALUE!</v>
      </c>
      <c r="AG285" s="117" t="e">
        <f>ROUND(J285-Y285-Z285-AA285-AC285-AB285,0)</f>
        <v>#VALUE!</v>
      </c>
      <c r="AH285" s="116"/>
      <c r="AI285">
        <f t="shared" si="118"/>
        <v>511</v>
      </c>
      <c r="AJ285" t="str">
        <f t="shared" ref="AJ285:AJ348" si="120">IF(E285="","NA",E285)</f>
        <v>SG</v>
      </c>
      <c r="AK285" t="str">
        <f>IF(ISERROR(MATCH(AI285&amp;"."&amp;AJ285,AK$91:AK284,0)),AI285&amp;"."&amp;AJ285,AI285&amp;"."&amp;AJ285&amp;COUNTIFS(AI$91:AI284,AI285,AJ$91:AJ284,AJ285))</f>
        <v>511.SG1</v>
      </c>
    </row>
    <row r="286" spans="1:37" ht="15" hidden="1">
      <c r="A286" s="120">
        <f>ROW()</f>
        <v>286</v>
      </c>
      <c r="B286" s="120"/>
      <c r="C286" s="1"/>
      <c r="E286" s="121"/>
      <c r="F286" s="138"/>
      <c r="G286" s="117" t="e">
        <f t="shared" ref="G286:L286" si="121">SUM(G284:G285)</f>
        <v>#VALUE!</v>
      </c>
      <c r="H286" s="116" t="e">
        <f t="shared" si="121"/>
        <v>#VALUE!</v>
      </c>
      <c r="I286" s="116" t="e">
        <f t="shared" si="121"/>
        <v>#VALUE!</v>
      </c>
      <c r="J286" s="116" t="e">
        <f t="shared" si="121"/>
        <v>#VALUE!</v>
      </c>
      <c r="K286" s="116" t="e">
        <f t="shared" si="121"/>
        <v>#VALUE!</v>
      </c>
      <c r="L286" s="116" t="e">
        <f t="shared" si="121"/>
        <v>#VALUE!</v>
      </c>
      <c r="O286" s="116" t="e">
        <f>SUM(O284:O285)</f>
        <v>#VALUE!</v>
      </c>
      <c r="P286" s="116" t="e">
        <f>SUM(P284:P285)</f>
        <v>#VALUE!</v>
      </c>
      <c r="Q286" s="116" t="e">
        <f>SUM(Q284:Q285)</f>
        <v>#VALUE!</v>
      </c>
      <c r="R286" s="116" t="e">
        <f>SUM(R284:R285)</f>
        <v>#VALUE!</v>
      </c>
      <c r="T286" s="116">
        <f>SUM(T284:T285)</f>
        <v>0</v>
      </c>
      <c r="U286" s="116">
        <f>SUM(U284:U285)</f>
        <v>0</v>
      </c>
      <c r="V286" s="116">
        <f>SUM(V284:V285)</f>
        <v>0</v>
      </c>
      <c r="W286" s="116">
        <f>SUM(W284:W285)</f>
        <v>0</v>
      </c>
      <c r="X286" s="3"/>
      <c r="Y286" s="116">
        <f>SUM(Y284:Y285)</f>
        <v>0</v>
      </c>
      <c r="Z286" s="116">
        <f>SUM(Z284:Z285)</f>
        <v>0</v>
      </c>
      <c r="AA286" s="116">
        <f>SUM(AA284:AA285)</f>
        <v>0</v>
      </c>
      <c r="AB286" s="116">
        <f>SUM(AB284:AB285)</f>
        <v>0</v>
      </c>
      <c r="AC286" s="116">
        <f>SUM(AC284:AC285)</f>
        <v>0</v>
      </c>
      <c r="AD286" s="117" t="e">
        <f>ROUND(SUM(-G286,H286:L286),0)</f>
        <v>#VALUE!</v>
      </c>
      <c r="AE286" s="117" t="e">
        <f>ROUND(H286-O286-P286-Q286-R286,0)</f>
        <v>#VALUE!</v>
      </c>
      <c r="AF286" s="117" t="e">
        <f>ROUND(I286-T286-U286-V286-W286,0)</f>
        <v>#VALUE!</v>
      </c>
      <c r="AG286" s="117" t="e">
        <f>ROUND(J286-Y286-Z286-AA286-AC286-AB286,0)</f>
        <v>#VALUE!</v>
      </c>
      <c r="AH286" s="116"/>
      <c r="AI286">
        <f t="shared" si="118"/>
        <v>511</v>
      </c>
      <c r="AJ286" t="str">
        <f t="shared" si="120"/>
        <v>NA</v>
      </c>
      <c r="AK286" t="str">
        <f>IF(ISERROR(MATCH(AI286&amp;"."&amp;AJ286,AK$91:AK285,0)),AI286&amp;"."&amp;AJ286,AI286&amp;"."&amp;AJ286&amp;COUNTIFS(AI$91:AI285,AI286,AJ$91:AJ285,AJ286))</f>
        <v>511.NA1</v>
      </c>
    </row>
    <row r="287" spans="1:37" ht="15" hidden="1">
      <c r="A287" s="120">
        <f>ROW()</f>
        <v>287</v>
      </c>
      <c r="B287" s="120"/>
      <c r="C287" s="1"/>
      <c r="E287" s="121"/>
      <c r="F287" s="138"/>
      <c r="G287" s="119"/>
      <c r="X287" s="3"/>
      <c r="AD287" s="119"/>
      <c r="AE287" s="119"/>
      <c r="AF287" s="119"/>
      <c r="AG287" s="119"/>
      <c r="AI287">
        <f t="shared" si="118"/>
        <v>511</v>
      </c>
      <c r="AJ287" t="str">
        <f t="shared" si="120"/>
        <v>NA</v>
      </c>
      <c r="AK287" t="str">
        <f>IF(ISERROR(MATCH(AI287&amp;"."&amp;AJ287,AK$91:AK286,0)),AI287&amp;"."&amp;AJ287,AI287&amp;"."&amp;AJ287&amp;COUNTIFS(AI$91:AI286,AI287,AJ$91:AJ286,AJ287))</f>
        <v>511.NA2</v>
      </c>
    </row>
    <row r="288" spans="1:37" ht="15" hidden="1">
      <c r="A288" s="120">
        <f>ROW()</f>
        <v>288</v>
      </c>
      <c r="B288" s="120"/>
      <c r="C288" s="1">
        <v>512</v>
      </c>
      <c r="D288" s="2" t="s">
        <v>190</v>
      </c>
      <c r="E288" s="121"/>
      <c r="F288" s="138"/>
      <c r="G288" s="119"/>
      <c r="X288" s="3"/>
      <c r="AD288" s="119"/>
      <c r="AE288" s="119"/>
      <c r="AF288" s="119"/>
      <c r="AG288" s="119"/>
      <c r="AI288">
        <f t="shared" si="118"/>
        <v>512</v>
      </c>
      <c r="AJ288" t="str">
        <f t="shared" si="120"/>
        <v>NA</v>
      </c>
      <c r="AK288" t="str">
        <f>IF(ISERROR(MATCH(AI288&amp;"."&amp;AJ288,AK$91:AK287,0)),AI288&amp;"."&amp;AJ288,AI288&amp;"."&amp;AJ288&amp;COUNTIFS(AI$91:AI287,AI288,AJ$91:AJ287,AJ288))</f>
        <v>512.NA</v>
      </c>
    </row>
    <row r="289" spans="1:37" ht="15" hidden="1">
      <c r="A289" s="120">
        <f>ROW()</f>
        <v>289</v>
      </c>
      <c r="B289" s="120"/>
      <c r="C289" s="1"/>
      <c r="E289" s="120" t="s">
        <v>15</v>
      </c>
      <c r="F289" s="138" t="str">
        <f>INDEX(FuncAllocOptions,ROW(A289)-ROW($A$92)+1,[4]Inputs!$S$11)</f>
        <v>P</v>
      </c>
      <c r="G289" s="117" t="e">
        <f>SUMIF(FERCJAMFactor,AK289,JAMValue)</f>
        <v>#VALUE!</v>
      </c>
      <c r="H289" s="116" t="e">
        <f t="shared" ref="H289:L290" si="122">INDEX(FuncFactorTbl,MATCH($F289,FuncFactors,0),MATCH(H$8,Functions,0))*$G289</f>
        <v>#VALUE!</v>
      </c>
      <c r="I289" s="116" t="e">
        <f t="shared" si="122"/>
        <v>#VALUE!</v>
      </c>
      <c r="J289" s="116" t="e">
        <f t="shared" si="122"/>
        <v>#VALUE!</v>
      </c>
      <c r="K289" s="116" t="e">
        <f t="shared" si="122"/>
        <v>#VALUE!</v>
      </c>
      <c r="L289" s="116" t="e">
        <f t="shared" si="122"/>
        <v>#VALUE!</v>
      </c>
      <c r="N289" s="108">
        <v>0.75</v>
      </c>
      <c r="O289" s="116" t="e">
        <f>$H289*$N289*$M289</f>
        <v>#VALUE!</v>
      </c>
      <c r="P289" s="116" t="e">
        <f>$H289*(1-$N289)*$M289</f>
        <v>#VALUE!</v>
      </c>
      <c r="Q289" s="116" t="e">
        <f>$H289*$N289*(1-$M289)</f>
        <v>#VALUE!</v>
      </c>
      <c r="R289" s="116" t="e">
        <f>$H289*(1-$N289)*(1-$M289)</f>
        <v>#VALUE!</v>
      </c>
      <c r="T289" s="116">
        <v>0</v>
      </c>
      <c r="U289" s="116">
        <v>0</v>
      </c>
      <c r="V289" s="116">
        <v>0</v>
      </c>
      <c r="W289" s="116">
        <v>0</v>
      </c>
      <c r="X289" s="3"/>
      <c r="AD289" s="117" t="e">
        <f>ROUND(SUM(-G289,H289:L289),0)</f>
        <v>#VALUE!</v>
      </c>
      <c r="AE289" s="117" t="e">
        <f>ROUND(H289-O289-P289-Q289-R289,0)</f>
        <v>#VALUE!</v>
      </c>
      <c r="AF289" s="117" t="e">
        <f>ROUND(I289-T289-U289-V289-W289,0)</f>
        <v>#VALUE!</v>
      </c>
      <c r="AG289" s="117" t="e">
        <f>ROUND(J289-Y289-Z289-AA289-AC289-AB289,0)</f>
        <v>#VALUE!</v>
      </c>
      <c r="AH289" s="116"/>
      <c r="AI289">
        <f t="shared" si="118"/>
        <v>512</v>
      </c>
      <c r="AJ289" t="str">
        <f t="shared" si="120"/>
        <v>SG</v>
      </c>
      <c r="AK289" t="str">
        <f>IF(ISERROR(MATCH(AI289&amp;"."&amp;AJ289,AK$91:AK288,0)),AI289&amp;"."&amp;AJ289,AI289&amp;"."&amp;AJ289&amp;COUNTIFS(AI$91:AI288,AI289,AJ$91:AJ288,AJ289))</f>
        <v>512.SG</v>
      </c>
    </row>
    <row r="290" spans="1:37" ht="15" hidden="1">
      <c r="A290" s="120">
        <f>ROW()</f>
        <v>290</v>
      </c>
      <c r="B290" s="120"/>
      <c r="C290" s="1"/>
      <c r="E290" s="120" t="s">
        <v>15</v>
      </c>
      <c r="F290" s="138" t="str">
        <f>INDEX(FuncAllocOptions,ROW(A290)-ROW($A$92)+1,[4]Inputs!$S$11)</f>
        <v>P</v>
      </c>
      <c r="G290" s="133" t="e">
        <f>SUMIF(FERCJAMFactor,AK290,JAMValue)</f>
        <v>#VALUE!</v>
      </c>
      <c r="H290" s="139" t="e">
        <f t="shared" si="122"/>
        <v>#VALUE!</v>
      </c>
      <c r="I290" s="139" t="e">
        <f t="shared" si="122"/>
        <v>#VALUE!</v>
      </c>
      <c r="J290" s="139" t="e">
        <f t="shared" si="122"/>
        <v>#VALUE!</v>
      </c>
      <c r="K290" s="139" t="e">
        <f t="shared" si="122"/>
        <v>#VALUE!</v>
      </c>
      <c r="L290" s="139" t="e">
        <f t="shared" si="122"/>
        <v>#VALUE!</v>
      </c>
      <c r="N290" s="108">
        <v>0.75</v>
      </c>
      <c r="O290" s="116" t="e">
        <f>$H290*$N290*$M290</f>
        <v>#VALUE!</v>
      </c>
      <c r="P290" s="116" t="e">
        <f>$H290*(1-$N290)*$M290</f>
        <v>#VALUE!</v>
      </c>
      <c r="Q290" s="116" t="e">
        <f>$H290*$N290*(1-$M290)</f>
        <v>#VALUE!</v>
      </c>
      <c r="R290" s="116" t="e">
        <f>$H290*(1-$N290)*(1-$M290)</f>
        <v>#VALUE!</v>
      </c>
      <c r="T290" s="116"/>
      <c r="U290" s="116"/>
      <c r="V290" s="116"/>
      <c r="W290" s="116"/>
      <c r="X290" s="3"/>
      <c r="AD290" s="117" t="e">
        <f>ROUND(SUM(-G290,H290:L290),0)</f>
        <v>#VALUE!</v>
      </c>
      <c r="AE290" s="117" t="e">
        <f>ROUND(H290-O290-P290-Q290-R290,0)</f>
        <v>#VALUE!</v>
      </c>
      <c r="AF290" s="117" t="e">
        <f>ROUND(I290-T290-U290-V290-W290,0)</f>
        <v>#VALUE!</v>
      </c>
      <c r="AG290" s="117" t="e">
        <f>ROUND(J290-Y290-Z290-AA290-AC290-AB290,0)</f>
        <v>#VALUE!</v>
      </c>
      <c r="AH290" s="116"/>
      <c r="AI290">
        <f t="shared" si="118"/>
        <v>512</v>
      </c>
      <c r="AJ290" t="str">
        <f t="shared" si="120"/>
        <v>SG</v>
      </c>
      <c r="AK290" t="str">
        <f>IF(ISERROR(MATCH(AI290&amp;"."&amp;AJ290,AK$91:AK289,0)),AI290&amp;"."&amp;AJ290,AI290&amp;"."&amp;AJ290&amp;COUNTIFS(AI$91:AI289,AI290,AJ$91:AJ289,AJ290))</f>
        <v>512.SG1</v>
      </c>
    </row>
    <row r="291" spans="1:37" ht="15" hidden="1">
      <c r="A291" s="120">
        <f>ROW()</f>
        <v>291</v>
      </c>
      <c r="B291" s="120"/>
      <c r="C291" s="1"/>
      <c r="E291" s="121"/>
      <c r="F291" s="138"/>
      <c r="G291" s="117" t="e">
        <f t="shared" ref="G291:L291" si="123">SUM(G289:G290)</f>
        <v>#VALUE!</v>
      </c>
      <c r="H291" s="116" t="e">
        <f t="shared" si="123"/>
        <v>#VALUE!</v>
      </c>
      <c r="I291" s="116" t="e">
        <f t="shared" si="123"/>
        <v>#VALUE!</v>
      </c>
      <c r="J291" s="116" t="e">
        <f t="shared" si="123"/>
        <v>#VALUE!</v>
      </c>
      <c r="K291" s="116" t="e">
        <f t="shared" si="123"/>
        <v>#VALUE!</v>
      </c>
      <c r="L291" s="116" t="e">
        <f t="shared" si="123"/>
        <v>#VALUE!</v>
      </c>
      <c r="O291" s="116" t="e">
        <f>SUM(O289:O290)</f>
        <v>#VALUE!</v>
      </c>
      <c r="P291" s="116" t="e">
        <f>SUM(P289:P290)</f>
        <v>#VALUE!</v>
      </c>
      <c r="Q291" s="116" t="e">
        <f>SUM(Q289:Q290)</f>
        <v>#VALUE!</v>
      </c>
      <c r="R291" s="116" t="e">
        <f>SUM(R289:R290)</f>
        <v>#VALUE!</v>
      </c>
      <c r="T291" s="116">
        <f>SUM(T289:T290)</f>
        <v>0</v>
      </c>
      <c r="U291" s="116">
        <f>SUM(U289:U290)</f>
        <v>0</v>
      </c>
      <c r="V291" s="116">
        <f>SUM(V289:V290)</f>
        <v>0</v>
      </c>
      <c r="W291" s="116">
        <f>SUM(W289:W290)</f>
        <v>0</v>
      </c>
      <c r="X291" s="3"/>
      <c r="Y291" s="116">
        <f>SUM(Y289:Y290)</f>
        <v>0</v>
      </c>
      <c r="Z291" s="116">
        <f>SUM(Z289:Z290)</f>
        <v>0</v>
      </c>
      <c r="AA291" s="116">
        <f>SUM(AA289:AA290)</f>
        <v>0</v>
      </c>
      <c r="AB291" s="116">
        <f>SUM(AB289:AB290)</f>
        <v>0</v>
      </c>
      <c r="AC291" s="116">
        <f>SUM(AC289:AC290)</f>
        <v>0</v>
      </c>
      <c r="AD291" s="117" t="e">
        <f>ROUND(SUM(-G291,H291:L291),0)</f>
        <v>#VALUE!</v>
      </c>
      <c r="AE291" s="117" t="e">
        <f>ROUND(H291-O291-P291-Q291-R291,0)</f>
        <v>#VALUE!</v>
      </c>
      <c r="AF291" s="117" t="e">
        <f>ROUND(I291-T291-U291-V291-W291,0)</f>
        <v>#VALUE!</v>
      </c>
      <c r="AG291" s="117" t="e">
        <f>ROUND(J291-Y291-Z291-AA291-AC291-AB291,0)</f>
        <v>#VALUE!</v>
      </c>
      <c r="AH291" s="116"/>
      <c r="AI291">
        <f t="shared" si="118"/>
        <v>512</v>
      </c>
      <c r="AJ291" t="str">
        <f t="shared" si="120"/>
        <v>NA</v>
      </c>
      <c r="AK291" t="str">
        <f>IF(ISERROR(MATCH(AI291&amp;"."&amp;AJ291,AK$91:AK290,0)),AI291&amp;"."&amp;AJ291,AI291&amp;"."&amp;AJ291&amp;COUNTIFS(AI$91:AI290,AI291,AJ$91:AJ290,AJ291))</f>
        <v>512.NA1</v>
      </c>
    </row>
    <row r="292" spans="1:37" ht="15" hidden="1">
      <c r="A292" s="120">
        <f>ROW()</f>
        <v>292</v>
      </c>
      <c r="B292" s="120"/>
      <c r="C292" s="1"/>
      <c r="E292" s="121"/>
      <c r="F292" s="138"/>
      <c r="G292" s="119"/>
      <c r="X292" s="3"/>
      <c r="AD292" s="119"/>
      <c r="AE292" s="119"/>
      <c r="AF292" s="119"/>
      <c r="AG292" s="119"/>
      <c r="AI292">
        <f t="shared" si="118"/>
        <v>512</v>
      </c>
      <c r="AJ292" t="str">
        <f t="shared" si="120"/>
        <v>NA</v>
      </c>
      <c r="AK292" t="str">
        <f>IF(ISERROR(MATCH(AI292&amp;"."&amp;AJ292,AK$91:AK291,0)),AI292&amp;"."&amp;AJ292,AI292&amp;"."&amp;AJ292&amp;COUNTIFS(AI$91:AI291,AI292,AJ$91:AJ291,AJ292))</f>
        <v>512.NA2</v>
      </c>
    </row>
    <row r="293" spans="1:37" ht="15" hidden="1">
      <c r="A293" s="120">
        <f>ROW()</f>
        <v>293</v>
      </c>
      <c r="B293" s="120"/>
      <c r="C293" s="1">
        <v>513</v>
      </c>
      <c r="D293" s="2" t="s">
        <v>191</v>
      </c>
      <c r="E293" s="121"/>
      <c r="F293" s="138"/>
      <c r="G293" s="119"/>
      <c r="X293" s="3"/>
      <c r="AD293" s="119"/>
      <c r="AE293" s="119"/>
      <c r="AF293" s="119"/>
      <c r="AG293" s="119"/>
      <c r="AI293">
        <f t="shared" si="118"/>
        <v>513</v>
      </c>
      <c r="AJ293" t="str">
        <f t="shared" si="120"/>
        <v>NA</v>
      </c>
      <c r="AK293" t="str">
        <f>IF(ISERROR(MATCH(AI293&amp;"."&amp;AJ293,AK$91:AK292,0)),AI293&amp;"."&amp;AJ293,AI293&amp;"."&amp;AJ293&amp;COUNTIFS(AI$91:AI292,AI293,AJ$91:AJ292,AJ293))</f>
        <v>513.NA</v>
      </c>
    </row>
    <row r="294" spans="1:37" ht="15" hidden="1">
      <c r="A294" s="120">
        <f>ROW()</f>
        <v>294</v>
      </c>
      <c r="B294" s="120"/>
      <c r="C294" s="1"/>
      <c r="E294" s="120" t="s">
        <v>15</v>
      </c>
      <c r="F294" s="138" t="str">
        <f>INDEX(FuncAllocOptions,ROW(A294)-ROW($A$92)+1,[4]Inputs!$S$11)</f>
        <v>P</v>
      </c>
      <c r="G294" s="117" t="e">
        <f>SUMIF(FERCJAMFactor,AK294,JAMValue)</f>
        <v>#VALUE!</v>
      </c>
      <c r="H294" s="116" t="e">
        <f t="shared" ref="H294:L295" si="124">INDEX(FuncFactorTbl,MATCH($F294,FuncFactors,0),MATCH(H$8,Functions,0))*$G294</f>
        <v>#VALUE!</v>
      </c>
      <c r="I294" s="116" t="e">
        <f t="shared" si="124"/>
        <v>#VALUE!</v>
      </c>
      <c r="J294" s="116" t="e">
        <f t="shared" si="124"/>
        <v>#VALUE!</v>
      </c>
      <c r="K294" s="116" t="e">
        <f t="shared" si="124"/>
        <v>#VALUE!</v>
      </c>
      <c r="L294" s="116" t="e">
        <f t="shared" si="124"/>
        <v>#VALUE!</v>
      </c>
      <c r="N294" s="108">
        <v>0.75</v>
      </c>
      <c r="O294" s="116" t="e">
        <f>$H294*$N294*$M294</f>
        <v>#VALUE!</v>
      </c>
      <c r="P294" s="116" t="e">
        <f>$H294*(1-$N294)*$M294</f>
        <v>#VALUE!</v>
      </c>
      <c r="Q294" s="116" t="e">
        <f>$H294*$N294*(1-$M294)</f>
        <v>#VALUE!</v>
      </c>
      <c r="R294" s="116" t="e">
        <f>$H294*(1-$N294)*(1-$M294)</f>
        <v>#VALUE!</v>
      </c>
      <c r="T294" s="116">
        <v>0</v>
      </c>
      <c r="U294" s="116">
        <v>0</v>
      </c>
      <c r="V294" s="116">
        <v>0</v>
      </c>
      <c r="W294" s="116">
        <v>0</v>
      </c>
      <c r="X294" s="3"/>
      <c r="AD294" s="117" t="e">
        <f>ROUND(SUM(-G294,H294:L294),0)</f>
        <v>#VALUE!</v>
      </c>
      <c r="AE294" s="117" t="e">
        <f>ROUND(H294-O294-P294-Q294-R294,0)</f>
        <v>#VALUE!</v>
      </c>
      <c r="AF294" s="117" t="e">
        <f>ROUND(I294-T294-U294-V294-W294,0)</f>
        <v>#VALUE!</v>
      </c>
      <c r="AG294" s="117" t="e">
        <f>ROUND(J294-Y294-Z294-AA294-AC294-AB294,0)</f>
        <v>#VALUE!</v>
      </c>
      <c r="AH294" s="116"/>
      <c r="AI294">
        <f t="shared" si="118"/>
        <v>513</v>
      </c>
      <c r="AJ294" t="str">
        <f t="shared" si="120"/>
        <v>SG</v>
      </c>
      <c r="AK294" t="str">
        <f>IF(ISERROR(MATCH(AI294&amp;"."&amp;AJ294,AK$91:AK293,0)),AI294&amp;"."&amp;AJ294,AI294&amp;"."&amp;AJ294&amp;COUNTIFS(AI$91:AI293,AI294,AJ$91:AJ293,AJ294))</f>
        <v>513.SG</v>
      </c>
    </row>
    <row r="295" spans="1:37" ht="15" hidden="1">
      <c r="A295" s="120">
        <f>ROW()</f>
        <v>295</v>
      </c>
      <c r="B295" s="120"/>
      <c r="C295" s="1"/>
      <c r="E295" s="120" t="s">
        <v>15</v>
      </c>
      <c r="F295" s="138" t="str">
        <f>INDEX(FuncAllocOptions,ROW(A295)-ROW($A$92)+1,[4]Inputs!$S$11)</f>
        <v>P</v>
      </c>
      <c r="G295" s="133" t="e">
        <f>SUMIF(FERCJAMFactor,AK295,JAMValue)</f>
        <v>#VALUE!</v>
      </c>
      <c r="H295" s="139" t="e">
        <f t="shared" si="124"/>
        <v>#VALUE!</v>
      </c>
      <c r="I295" s="139" t="e">
        <f t="shared" si="124"/>
        <v>#VALUE!</v>
      </c>
      <c r="J295" s="139" t="e">
        <f t="shared" si="124"/>
        <v>#VALUE!</v>
      </c>
      <c r="K295" s="139" t="e">
        <f t="shared" si="124"/>
        <v>#VALUE!</v>
      </c>
      <c r="L295" s="139" t="e">
        <f t="shared" si="124"/>
        <v>#VALUE!</v>
      </c>
      <c r="N295" s="108">
        <v>0.75</v>
      </c>
      <c r="O295" s="116" t="e">
        <f>$H295*$N295*$M295</f>
        <v>#VALUE!</v>
      </c>
      <c r="P295" s="116" t="e">
        <f>$H295*(1-$N295)*$M295</f>
        <v>#VALUE!</v>
      </c>
      <c r="Q295" s="116" t="e">
        <f>$H295*$N295*(1-$M295)</f>
        <v>#VALUE!</v>
      </c>
      <c r="R295" s="116" t="e">
        <f>$H295*(1-$N295)*(1-$M295)</f>
        <v>#VALUE!</v>
      </c>
      <c r="T295" s="116"/>
      <c r="U295" s="116"/>
      <c r="V295" s="116"/>
      <c r="W295" s="116"/>
      <c r="X295" s="3"/>
      <c r="AD295" s="117" t="e">
        <f>ROUND(SUM(-G295,H295:L295),0)</f>
        <v>#VALUE!</v>
      </c>
      <c r="AE295" s="117" t="e">
        <f>ROUND(H295-O295-P295-Q295-R295,0)</f>
        <v>#VALUE!</v>
      </c>
      <c r="AF295" s="117" t="e">
        <f>ROUND(I295-T295-U295-V295-W295,0)</f>
        <v>#VALUE!</v>
      </c>
      <c r="AG295" s="117" t="e">
        <f>ROUND(J295-Y295-Z295-AA295-AC295-AB295,0)</f>
        <v>#VALUE!</v>
      </c>
      <c r="AH295" s="116"/>
      <c r="AI295">
        <f t="shared" si="118"/>
        <v>513</v>
      </c>
      <c r="AJ295" t="str">
        <f t="shared" si="120"/>
        <v>SG</v>
      </c>
      <c r="AK295" t="str">
        <f>IF(ISERROR(MATCH(AI295&amp;"."&amp;AJ295,AK$91:AK294,0)),AI295&amp;"."&amp;AJ295,AI295&amp;"."&amp;AJ295&amp;COUNTIFS(AI$91:AI294,AI295,AJ$91:AJ294,AJ295))</f>
        <v>513.SG1</v>
      </c>
    </row>
    <row r="296" spans="1:37" ht="15" hidden="1">
      <c r="A296" s="120">
        <f>ROW()</f>
        <v>296</v>
      </c>
      <c r="B296" s="120"/>
      <c r="C296" s="1"/>
      <c r="E296" s="121"/>
      <c r="F296" s="138"/>
      <c r="G296" s="117" t="e">
        <f t="shared" ref="G296:L296" si="125">SUM(G294:G295)</f>
        <v>#VALUE!</v>
      </c>
      <c r="H296" s="116" t="e">
        <f t="shared" si="125"/>
        <v>#VALUE!</v>
      </c>
      <c r="I296" s="116" t="e">
        <f t="shared" si="125"/>
        <v>#VALUE!</v>
      </c>
      <c r="J296" s="116" t="e">
        <f t="shared" si="125"/>
        <v>#VALUE!</v>
      </c>
      <c r="K296" s="116" t="e">
        <f t="shared" si="125"/>
        <v>#VALUE!</v>
      </c>
      <c r="L296" s="116" t="e">
        <f t="shared" si="125"/>
        <v>#VALUE!</v>
      </c>
      <c r="O296" s="116" t="e">
        <f>SUM(O294:O295)</f>
        <v>#VALUE!</v>
      </c>
      <c r="P296" s="116" t="e">
        <f>SUM(P294:P295)</f>
        <v>#VALUE!</v>
      </c>
      <c r="Q296" s="116" t="e">
        <f>SUM(Q294:Q295)</f>
        <v>#VALUE!</v>
      </c>
      <c r="R296" s="116" t="e">
        <f>SUM(R294:R295)</f>
        <v>#VALUE!</v>
      </c>
      <c r="T296" s="116">
        <f>SUM(T294:T295)</f>
        <v>0</v>
      </c>
      <c r="U296" s="116">
        <f>SUM(U294:U295)</f>
        <v>0</v>
      </c>
      <c r="V296" s="116">
        <f>SUM(V294:V295)</f>
        <v>0</v>
      </c>
      <c r="W296" s="116">
        <f>SUM(W294:W295)</f>
        <v>0</v>
      </c>
      <c r="X296" s="3"/>
      <c r="Y296" s="116">
        <f>SUM(Y294:Y295)</f>
        <v>0</v>
      </c>
      <c r="Z296" s="116">
        <f>SUM(Z294:Z295)</f>
        <v>0</v>
      </c>
      <c r="AA296" s="116">
        <f>SUM(AA294:AA295)</f>
        <v>0</v>
      </c>
      <c r="AB296" s="116">
        <f>SUM(AB294:AB295)</f>
        <v>0</v>
      </c>
      <c r="AC296" s="116">
        <f>SUM(AC294:AC295)</f>
        <v>0</v>
      </c>
      <c r="AD296" s="117" t="e">
        <f>ROUND(SUM(-G296,H296:L296),0)</f>
        <v>#VALUE!</v>
      </c>
      <c r="AE296" s="117" t="e">
        <f>ROUND(H296-O296-P296-Q296-R296,0)</f>
        <v>#VALUE!</v>
      </c>
      <c r="AF296" s="117" t="e">
        <f>ROUND(I296-T296-U296-V296-W296,0)</f>
        <v>#VALUE!</v>
      </c>
      <c r="AG296" s="117" t="e">
        <f>ROUND(J296-Y296-Z296-AA296-AC296-AB296,0)</f>
        <v>#VALUE!</v>
      </c>
      <c r="AH296" s="116"/>
      <c r="AI296">
        <f t="shared" si="118"/>
        <v>513</v>
      </c>
      <c r="AJ296" t="str">
        <f t="shared" si="120"/>
        <v>NA</v>
      </c>
      <c r="AK296" t="str">
        <f>IF(ISERROR(MATCH(AI296&amp;"."&amp;AJ296,AK$91:AK295,0)),AI296&amp;"."&amp;AJ296,AI296&amp;"."&amp;AJ296&amp;COUNTIFS(AI$91:AI295,AI296,AJ$91:AJ295,AJ296))</f>
        <v>513.NA1</v>
      </c>
    </row>
    <row r="297" spans="1:37" ht="15" hidden="1">
      <c r="A297" s="120">
        <f>ROW()</f>
        <v>297</v>
      </c>
      <c r="B297" s="120"/>
      <c r="C297" s="1"/>
      <c r="E297" s="121"/>
      <c r="F297" s="138"/>
      <c r="G297" s="119"/>
      <c r="X297" s="3"/>
      <c r="AD297" s="119"/>
      <c r="AE297" s="119"/>
      <c r="AF297" s="119"/>
      <c r="AG297" s="119"/>
      <c r="AI297">
        <f t="shared" si="118"/>
        <v>513</v>
      </c>
      <c r="AJ297" t="str">
        <f t="shared" si="120"/>
        <v>NA</v>
      </c>
      <c r="AK297" t="str">
        <f>IF(ISERROR(MATCH(AI297&amp;"."&amp;AJ297,AK$91:AK296,0)),AI297&amp;"."&amp;AJ297,AI297&amp;"."&amp;AJ297&amp;COUNTIFS(AI$91:AI296,AI297,AJ$91:AJ296,AJ297))</f>
        <v>513.NA2</v>
      </c>
    </row>
    <row r="298" spans="1:37" ht="15" hidden="1">
      <c r="A298" s="120">
        <f>ROW()</f>
        <v>298</v>
      </c>
      <c r="B298" s="120"/>
      <c r="C298" s="1">
        <v>514</v>
      </c>
      <c r="D298" s="2" t="s">
        <v>192</v>
      </c>
      <c r="E298" s="121"/>
      <c r="F298" s="138"/>
      <c r="G298" s="119"/>
      <c r="X298" s="3"/>
      <c r="AD298" s="119"/>
      <c r="AE298" s="119"/>
      <c r="AF298" s="119"/>
      <c r="AG298" s="119"/>
      <c r="AI298">
        <f t="shared" si="118"/>
        <v>514</v>
      </c>
      <c r="AJ298" t="str">
        <f t="shared" si="120"/>
        <v>NA</v>
      </c>
      <c r="AK298" t="str">
        <f>IF(ISERROR(MATCH(AI298&amp;"."&amp;AJ298,AK$91:AK297,0)),AI298&amp;"."&amp;AJ298,AI298&amp;"."&amp;AJ298&amp;COUNTIFS(AI$91:AI297,AI298,AJ$91:AJ297,AJ298))</f>
        <v>514.NA</v>
      </c>
    </row>
    <row r="299" spans="1:37" ht="15" hidden="1">
      <c r="A299" s="120">
        <f>ROW()</f>
        <v>299</v>
      </c>
      <c r="B299" s="120"/>
      <c r="E299" s="120" t="s">
        <v>15</v>
      </c>
      <c r="F299" s="138" t="str">
        <f>INDEX(FuncAllocOptions,ROW(A299)-ROW($A$92)+1,[4]Inputs!$S$11)</f>
        <v>P</v>
      </c>
      <c r="G299" s="117" t="e">
        <f>SUMIF(FERCJAMFactor,AK299,JAMValue)</f>
        <v>#VALUE!</v>
      </c>
      <c r="H299" s="116" t="e">
        <f t="shared" ref="H299:L300" si="126">INDEX(FuncFactorTbl,MATCH($F299,FuncFactors,0),MATCH(H$8,Functions,0))*$G299</f>
        <v>#VALUE!</v>
      </c>
      <c r="I299" s="116" t="e">
        <f t="shared" si="126"/>
        <v>#VALUE!</v>
      </c>
      <c r="J299" s="116" t="e">
        <f t="shared" si="126"/>
        <v>#VALUE!</v>
      </c>
      <c r="K299" s="116" t="e">
        <f t="shared" si="126"/>
        <v>#VALUE!</v>
      </c>
      <c r="L299" s="116" t="e">
        <f t="shared" si="126"/>
        <v>#VALUE!</v>
      </c>
      <c r="N299" s="108">
        <v>0.75</v>
      </c>
      <c r="O299" s="116" t="e">
        <f>$H299*$N299*$M299</f>
        <v>#VALUE!</v>
      </c>
      <c r="P299" s="116" t="e">
        <f>$H299*(1-$N299)*$M299</f>
        <v>#VALUE!</v>
      </c>
      <c r="Q299" s="116" t="e">
        <f>$H299*$N299*(1-$M299)</f>
        <v>#VALUE!</v>
      </c>
      <c r="R299" s="116" t="e">
        <f>$H299*(1-$N299)*(1-$M299)</f>
        <v>#VALUE!</v>
      </c>
      <c r="T299" s="116">
        <v>0</v>
      </c>
      <c r="U299" s="116">
        <v>0</v>
      </c>
      <c r="V299" s="116">
        <v>0</v>
      </c>
      <c r="W299" s="116">
        <v>0</v>
      </c>
      <c r="X299" s="3"/>
      <c r="AD299" s="117" t="e">
        <f>ROUND(SUM(-G299,H299:L299),0)</f>
        <v>#VALUE!</v>
      </c>
      <c r="AE299" s="117" t="e">
        <f>ROUND(H299-O299-P299-Q299-R299,0)</f>
        <v>#VALUE!</v>
      </c>
      <c r="AF299" s="117" t="e">
        <f>ROUND(I299-T299-U299-V299-W299,0)</f>
        <v>#VALUE!</v>
      </c>
      <c r="AG299" s="117" t="e">
        <f>ROUND(J299-Y299-Z299-AA299-AC299-AB299,0)</f>
        <v>#VALUE!</v>
      </c>
      <c r="AH299" s="116"/>
      <c r="AI299">
        <f t="shared" si="118"/>
        <v>514</v>
      </c>
      <c r="AJ299" t="str">
        <f t="shared" si="120"/>
        <v>SG</v>
      </c>
      <c r="AK299" t="str">
        <f>IF(ISERROR(MATCH(AI299&amp;"."&amp;AJ299,AK$91:AK298,0)),AI299&amp;"."&amp;AJ299,AI299&amp;"."&amp;AJ299&amp;COUNTIFS(AI$91:AI298,AI299,AJ$91:AJ298,AJ299))</f>
        <v>514.SG</v>
      </c>
    </row>
    <row r="300" spans="1:37" ht="15" hidden="1">
      <c r="A300" s="120">
        <f>ROW()</f>
        <v>300</v>
      </c>
      <c r="B300" s="120"/>
      <c r="E300" s="120" t="s">
        <v>15</v>
      </c>
      <c r="F300" s="138" t="str">
        <f>INDEX(FuncAllocOptions,ROW(A300)-ROW($A$92)+1,[4]Inputs!$S$11)</f>
        <v>P</v>
      </c>
      <c r="G300" s="133" t="e">
        <f>SUMIF(FERCJAMFactor,AK300,JAMValue)</f>
        <v>#VALUE!</v>
      </c>
      <c r="H300" s="139" t="e">
        <f t="shared" si="126"/>
        <v>#VALUE!</v>
      </c>
      <c r="I300" s="139" t="e">
        <f t="shared" si="126"/>
        <v>#VALUE!</v>
      </c>
      <c r="J300" s="139" t="e">
        <f t="shared" si="126"/>
        <v>#VALUE!</v>
      </c>
      <c r="K300" s="139" t="e">
        <f t="shared" si="126"/>
        <v>#VALUE!</v>
      </c>
      <c r="L300" s="139" t="e">
        <f t="shared" si="126"/>
        <v>#VALUE!</v>
      </c>
      <c r="N300" s="108">
        <v>0.75</v>
      </c>
      <c r="O300" s="116" t="e">
        <f>$H300*$N300*$M300</f>
        <v>#VALUE!</v>
      </c>
      <c r="P300" s="116" t="e">
        <f>$H300*(1-$N300)*$M300</f>
        <v>#VALUE!</v>
      </c>
      <c r="Q300" s="116" t="e">
        <f>$H300*$N300*(1-$M300)</f>
        <v>#VALUE!</v>
      </c>
      <c r="R300" s="116" t="e">
        <f>$H300*(1-$N300)*(1-$M300)</f>
        <v>#VALUE!</v>
      </c>
      <c r="T300" s="116"/>
      <c r="U300" s="116"/>
      <c r="V300" s="116"/>
      <c r="W300" s="116"/>
      <c r="X300" s="3"/>
      <c r="AD300" s="117" t="e">
        <f>ROUND(SUM(-G300,H300:L300),0)</f>
        <v>#VALUE!</v>
      </c>
      <c r="AE300" s="117" t="e">
        <f>ROUND(H300-O300-P300-Q300-R300,0)</f>
        <v>#VALUE!</v>
      </c>
      <c r="AF300" s="117" t="e">
        <f>ROUND(I300-T300-U300-V300-W300,0)</f>
        <v>#VALUE!</v>
      </c>
      <c r="AG300" s="117" t="e">
        <f>ROUND(J300-Y300-Z300-AA300-AC300-AB300,0)</f>
        <v>#VALUE!</v>
      </c>
      <c r="AH300" s="116"/>
      <c r="AI300">
        <f t="shared" si="118"/>
        <v>514</v>
      </c>
      <c r="AJ300" t="str">
        <f t="shared" si="120"/>
        <v>SG</v>
      </c>
      <c r="AK300" t="str">
        <f>IF(ISERROR(MATCH(AI300&amp;"."&amp;AJ300,AK$91:AK299,0)),AI300&amp;"."&amp;AJ300,AI300&amp;"."&amp;AJ300&amp;COUNTIFS(AI$91:AI299,AI300,AJ$91:AJ299,AJ300))</f>
        <v>514.SG1</v>
      </c>
    </row>
    <row r="301" spans="1:37" ht="15" hidden="1">
      <c r="A301" s="120">
        <f>ROW()</f>
        <v>301</v>
      </c>
      <c r="B301" s="120"/>
      <c r="E301" s="121"/>
      <c r="F301" s="138"/>
      <c r="G301" s="117" t="e">
        <f t="shared" ref="G301:L301" si="127">SUM(G299:G300)</f>
        <v>#VALUE!</v>
      </c>
      <c r="H301" s="116" t="e">
        <f t="shared" si="127"/>
        <v>#VALUE!</v>
      </c>
      <c r="I301" s="116" t="e">
        <f t="shared" si="127"/>
        <v>#VALUE!</v>
      </c>
      <c r="J301" s="116" t="e">
        <f t="shared" si="127"/>
        <v>#VALUE!</v>
      </c>
      <c r="K301" s="116" t="e">
        <f t="shared" si="127"/>
        <v>#VALUE!</v>
      </c>
      <c r="L301" s="116" t="e">
        <f t="shared" si="127"/>
        <v>#VALUE!</v>
      </c>
      <c r="O301" s="116" t="e">
        <f>SUM(O299:O300)</f>
        <v>#VALUE!</v>
      </c>
      <c r="P301" s="116" t="e">
        <f>SUM(P299:P300)</f>
        <v>#VALUE!</v>
      </c>
      <c r="Q301" s="116" t="e">
        <f>SUM(Q299:Q300)</f>
        <v>#VALUE!</v>
      </c>
      <c r="R301" s="116" t="e">
        <f>SUM(R299:R300)</f>
        <v>#VALUE!</v>
      </c>
      <c r="T301" s="116">
        <f>SUM(T299:T300)</f>
        <v>0</v>
      </c>
      <c r="U301" s="116">
        <f>SUM(U299:U300)</f>
        <v>0</v>
      </c>
      <c r="V301" s="116">
        <f>SUM(V299:V300)</f>
        <v>0</v>
      </c>
      <c r="W301" s="116">
        <f>SUM(W299:W300)</f>
        <v>0</v>
      </c>
      <c r="X301" s="3"/>
      <c r="Y301" s="116">
        <f>SUM(Y299:Y300)</f>
        <v>0</v>
      </c>
      <c r="Z301" s="116">
        <f>SUM(Z299:Z300)</f>
        <v>0</v>
      </c>
      <c r="AA301" s="116">
        <f>SUM(AA299:AA300)</f>
        <v>0</v>
      </c>
      <c r="AB301" s="116">
        <f>SUM(AB299:AB300)</f>
        <v>0</v>
      </c>
      <c r="AC301" s="116">
        <f>SUM(AC299:AC300)</f>
        <v>0</v>
      </c>
      <c r="AD301" s="117" t="e">
        <f>ROUND(SUM(-G301,H301:L301),0)</f>
        <v>#VALUE!</v>
      </c>
      <c r="AE301" s="117" t="e">
        <f>ROUND(H301-O301-P301-Q301-R301,0)</f>
        <v>#VALUE!</v>
      </c>
      <c r="AF301" s="117" t="e">
        <f>ROUND(I301-T301-U301-V301-W301,0)</f>
        <v>#VALUE!</v>
      </c>
      <c r="AG301" s="117" t="e">
        <f>ROUND(J301-Y301-Z301-AA301-AC301-AB301,0)</f>
        <v>#VALUE!</v>
      </c>
      <c r="AH301" s="116"/>
      <c r="AI301">
        <f t="shared" si="118"/>
        <v>514</v>
      </c>
      <c r="AJ301" t="str">
        <f t="shared" si="120"/>
        <v>NA</v>
      </c>
      <c r="AK301" t="str">
        <f>IF(ISERROR(MATCH(AI301&amp;"."&amp;AJ301,AK$91:AK300,0)),AI301&amp;"."&amp;AJ301,AI301&amp;"."&amp;AJ301&amp;COUNTIFS(AI$91:AI300,AI301,AJ$91:AJ300,AJ301))</f>
        <v>514.NA1</v>
      </c>
    </row>
    <row r="302" spans="1:37" ht="15" hidden="1">
      <c r="A302" s="120">
        <f>ROW()</f>
        <v>302</v>
      </c>
      <c r="B302" s="120"/>
      <c r="E302" s="121"/>
      <c r="F302" s="138"/>
      <c r="G302" s="119"/>
      <c r="X302" s="3"/>
      <c r="AD302" s="119"/>
      <c r="AE302" s="119"/>
      <c r="AF302" s="119"/>
      <c r="AG302" s="119"/>
      <c r="AI302">
        <f t="shared" si="118"/>
        <v>514</v>
      </c>
      <c r="AJ302" t="str">
        <f t="shared" si="120"/>
        <v>NA</v>
      </c>
      <c r="AK302" t="str">
        <f>IF(ISERROR(MATCH(AI302&amp;"."&amp;AJ302,AK$91:AK301,0)),AI302&amp;"."&amp;AJ302,AI302&amp;"."&amp;AJ302&amp;COUNTIFS(AI$91:AI301,AI302,AJ$91:AJ301,AJ302))</f>
        <v>514.NA2</v>
      </c>
    </row>
    <row r="303" spans="1:37" ht="15.75" hidden="1" thickBot="1">
      <c r="A303" s="120">
        <f>ROW()</f>
        <v>303</v>
      </c>
      <c r="B303" s="120"/>
      <c r="C303" s="110" t="s">
        <v>193</v>
      </c>
      <c r="E303" s="121"/>
      <c r="F303" s="138"/>
      <c r="G303" s="153" t="e">
        <f t="shared" ref="G303:L303" si="128">G233+G247+G252+G259+G264+G270+G275+G281+G286+G291+G296+G301</f>
        <v>#VALUE!</v>
      </c>
      <c r="H303" s="152" t="e">
        <f t="shared" si="128"/>
        <v>#VALUE!</v>
      </c>
      <c r="I303" s="152" t="e">
        <f t="shared" si="128"/>
        <v>#VALUE!</v>
      </c>
      <c r="J303" s="152" t="e">
        <f t="shared" si="128"/>
        <v>#VALUE!</v>
      </c>
      <c r="K303" s="152" t="e">
        <f t="shared" si="128"/>
        <v>#VALUE!</v>
      </c>
      <c r="L303" s="152" t="e">
        <f t="shared" si="128"/>
        <v>#VALUE!</v>
      </c>
      <c r="O303" s="116" t="e">
        <f>O233+O247+O252+O259+O264+O270+O275+O281+O286+O291+O296+O301</f>
        <v>#VALUE!</v>
      </c>
      <c r="P303" s="116" t="e">
        <f>P233+P247+P252+P259+P264+P270+P275+P281+P286+P291+P296+P301</f>
        <v>#VALUE!</v>
      </c>
      <c r="Q303" s="116" t="e">
        <f>Q233+Q247+Q252+Q259+Q264+Q270+Q275+Q281+Q286+Q291+Q296+Q301</f>
        <v>#VALUE!</v>
      </c>
      <c r="R303" s="116" t="e">
        <f>R233+R247+R252+R259+R264+R270+R275+R281+R286+R291+R296+R301</f>
        <v>#VALUE!</v>
      </c>
      <c r="S303" s="116"/>
      <c r="T303" s="116" t="e">
        <f>T233+T247+T252+T259+T264+T270+T275+T281+T286+T291+T296+T301</f>
        <v>#VALUE!</v>
      </c>
      <c r="U303" s="116" t="e">
        <f>U233+U247+U252+U259+U264+U270+U275+U281+U286+U291+U296+U301</f>
        <v>#VALUE!</v>
      </c>
      <c r="V303" s="116" t="e">
        <f>V233+V247+V252+V259+V264+V270+V275+V281+V286+V291+V296+V301</f>
        <v>#VALUE!</v>
      </c>
      <c r="W303" s="116" t="e">
        <f>W233+W247+W252+W259+W264+W270+W275+W281+W286+W291+W296+W301</f>
        <v>#VALUE!</v>
      </c>
      <c r="X303" s="3"/>
      <c r="Y303" s="116">
        <f>Y233+Y247+Y252+Y259+Y264+Y270+Y275+Y281+Y286+Y291+Y296+Y301</f>
        <v>0</v>
      </c>
      <c r="Z303" s="116">
        <f>Z233+Z247+Z252+Z259+Z264+Z270+Z275+Z281+Z286+Z291+Z296+Z301</f>
        <v>0</v>
      </c>
      <c r="AA303" s="116">
        <f>AA233+AA247+AA252+AA259+AA264+AA270+AA275+AA281+AA286+AA291+AA296+AA301</f>
        <v>0</v>
      </c>
      <c r="AB303" s="116">
        <f>AB233+AB247+AB252+AB259+AB264+AB270+AB275+AB281+AB286+AB291+AB296+AB301</f>
        <v>0</v>
      </c>
      <c r="AC303" s="116">
        <f>AC233+AC247+AC252+AC259+AC264+AC270+AC275+AC281+AC286+AC291+AC296+AC301</f>
        <v>0</v>
      </c>
      <c r="AD303" s="117" t="e">
        <f>ROUND(SUM(-G303,H303:L303),0)</f>
        <v>#VALUE!</v>
      </c>
      <c r="AE303" s="117" t="e">
        <f>ROUND(H303-O303-P303-Q303-R303,0)</f>
        <v>#VALUE!</v>
      </c>
      <c r="AF303" s="117" t="e">
        <f>ROUND(I303-T303-U303-V303-W303,0)</f>
        <v>#VALUE!</v>
      </c>
      <c r="AG303" s="117" t="e">
        <f>ROUND(J303-Y303-Z303-AA303-AC303-AB303,0)</f>
        <v>#VALUE!</v>
      </c>
      <c r="AH303" s="116"/>
      <c r="AI303" t="str">
        <f t="shared" si="118"/>
        <v>Total Steam Power Generation</v>
      </c>
      <c r="AJ303" t="str">
        <f t="shared" si="120"/>
        <v>NA</v>
      </c>
      <c r="AK303" t="str">
        <f>IF(ISERROR(MATCH(AI303&amp;"."&amp;AJ303,AK$91:AK302,0)),AI303&amp;"."&amp;AJ303,AI303&amp;"."&amp;AJ303&amp;COUNTIFS(AI$91:AI302,AI303,AJ$91:AJ302,AJ303))</f>
        <v>Total Steam Power Generation.NA</v>
      </c>
    </row>
    <row r="304" spans="1:37" ht="15" hidden="1">
      <c r="A304" s="120">
        <f>ROW()</f>
        <v>304</v>
      </c>
      <c r="B304" s="120"/>
      <c r="E304" s="121"/>
      <c r="F304" s="138"/>
      <c r="G304" s="119"/>
      <c r="X304" s="3"/>
      <c r="AD304" s="119"/>
      <c r="AE304" s="119"/>
      <c r="AF304" s="119"/>
      <c r="AG304" s="119"/>
      <c r="AI304" t="str">
        <f t="shared" si="118"/>
        <v>Total Steam Power Generation</v>
      </c>
      <c r="AJ304" t="str">
        <f t="shared" si="120"/>
        <v>NA</v>
      </c>
      <c r="AK304" t="str">
        <f>IF(ISERROR(MATCH(AI304&amp;"."&amp;AJ304,AK$91:AK303,0)),AI304&amp;"."&amp;AJ304,AI304&amp;"."&amp;AJ304&amp;COUNTIFS(AI$91:AI303,AI304,AJ$91:AJ303,AJ304))</f>
        <v>Total Steam Power Generation.NA1</v>
      </c>
    </row>
    <row r="305" spans="1:37" ht="15" hidden="1">
      <c r="A305" s="120">
        <f>ROW()</f>
        <v>305</v>
      </c>
      <c r="B305" s="120"/>
      <c r="C305" s="1">
        <v>517</v>
      </c>
      <c r="D305" s="2" t="s">
        <v>194</v>
      </c>
      <c r="E305" s="121"/>
      <c r="F305" s="138"/>
      <c r="G305" s="119"/>
      <c r="X305" s="3"/>
      <c r="AD305" s="119"/>
      <c r="AE305" s="119"/>
      <c r="AF305" s="119"/>
      <c r="AG305" s="119"/>
      <c r="AI305">
        <f t="shared" si="118"/>
        <v>517</v>
      </c>
      <c r="AJ305" t="str">
        <f t="shared" si="120"/>
        <v>NA</v>
      </c>
      <c r="AK305" t="str">
        <f>IF(ISERROR(MATCH(AI305&amp;"."&amp;AJ305,AK$91:AK304,0)),AI305&amp;"."&amp;AJ305,AI305&amp;"."&amp;AJ305&amp;COUNTIFS(AI$91:AI304,AI305,AJ$91:AJ304,AJ305))</f>
        <v>517.NA</v>
      </c>
    </row>
    <row r="306" spans="1:37" ht="15" hidden="1">
      <c r="A306" s="120">
        <f>ROW()</f>
        <v>306</v>
      </c>
      <c r="B306" s="120"/>
      <c r="C306" s="1"/>
      <c r="E306" s="120" t="s">
        <v>15</v>
      </c>
      <c r="F306" s="138" t="str">
        <f>INDEX(FuncAllocOptions,ROW(A306)-ROW($A$92)+1,[4]Inputs!$S$11)</f>
        <v>P</v>
      </c>
      <c r="G306" s="133" t="e">
        <f>SUMIF(FERCJAMFactor,AK306,JAMValue)</f>
        <v>#VALUE!</v>
      </c>
      <c r="H306" s="139" t="e">
        <f>INDEX(FuncFactorTbl,MATCH($F306,FuncFactors,0),MATCH(H$8,Functions,0))*$G306</f>
        <v>#VALUE!</v>
      </c>
      <c r="I306" s="139" t="e">
        <f>INDEX(FuncFactorTbl,MATCH($F306,FuncFactors,0),MATCH(I$8,Functions,0))*$G306</f>
        <v>#VALUE!</v>
      </c>
      <c r="J306" s="139" t="e">
        <f>INDEX(FuncFactorTbl,MATCH($F306,FuncFactors,0),MATCH(J$8,Functions,0))*$G306</f>
        <v>#VALUE!</v>
      </c>
      <c r="K306" s="139" t="e">
        <f>INDEX(FuncFactorTbl,MATCH($F306,FuncFactors,0),MATCH(K$8,Functions,0))*$G306</f>
        <v>#VALUE!</v>
      </c>
      <c r="L306" s="139" t="e">
        <f>INDEX(FuncFactorTbl,MATCH($F306,FuncFactors,0),MATCH(L$8,Functions,0))*$G306</f>
        <v>#VALUE!</v>
      </c>
      <c r="N306" s="108">
        <v>0.75</v>
      </c>
      <c r="O306" s="116" t="e">
        <f>$H306*$N306*$M306</f>
        <v>#VALUE!</v>
      </c>
      <c r="P306" s="116" t="e">
        <f>$H306*(1-$N306)*$M306</f>
        <v>#VALUE!</v>
      </c>
      <c r="Q306" s="116" t="e">
        <f>$H306*$N306*(1-$M306)</f>
        <v>#VALUE!</v>
      </c>
      <c r="R306" s="116" t="e">
        <f>$H306*(1-$N306)*(1-$M306)</f>
        <v>#VALUE!</v>
      </c>
      <c r="T306" s="116">
        <v>0</v>
      </c>
      <c r="U306" s="116">
        <v>0</v>
      </c>
      <c r="V306" s="116">
        <v>0</v>
      </c>
      <c r="W306" s="116">
        <v>0</v>
      </c>
      <c r="X306" s="3"/>
      <c r="AD306" s="117" t="e">
        <f>ROUND(SUM(-G306,H306:L306),0)</f>
        <v>#VALUE!</v>
      </c>
      <c r="AE306" s="117" t="e">
        <f>ROUND(H306-O306-P306-Q306-R306,0)</f>
        <v>#VALUE!</v>
      </c>
      <c r="AF306" s="117" t="e">
        <f>ROUND(I306-T306-U306-V306-W306,0)</f>
        <v>#VALUE!</v>
      </c>
      <c r="AG306" s="117" t="e">
        <f>ROUND(J306-Y306-Z306-AA306-AC306-AB306,0)</f>
        <v>#VALUE!</v>
      </c>
      <c r="AH306" s="116"/>
      <c r="AI306">
        <f t="shared" si="118"/>
        <v>517</v>
      </c>
      <c r="AJ306" t="str">
        <f t="shared" si="120"/>
        <v>SG</v>
      </c>
      <c r="AK306" t="str">
        <f>IF(ISERROR(MATCH(AI306&amp;"."&amp;AJ306,AK$91:AK305,0)),AI306&amp;"."&amp;AJ306,AI306&amp;"."&amp;AJ306&amp;COUNTIFS(AI$91:AI305,AI306,AJ$91:AJ305,AJ306))</f>
        <v>517.SG</v>
      </c>
    </row>
    <row r="307" spans="1:37" ht="15" hidden="1">
      <c r="A307" s="120">
        <f>ROW()</f>
        <v>307</v>
      </c>
      <c r="B307" s="120"/>
      <c r="C307" s="1"/>
      <c r="E307" s="121"/>
      <c r="F307" s="138"/>
      <c r="G307" s="117" t="e">
        <f t="shared" ref="G307:L307" si="129">SUM(G306)</f>
        <v>#VALUE!</v>
      </c>
      <c r="H307" s="116" t="e">
        <f t="shared" si="129"/>
        <v>#VALUE!</v>
      </c>
      <c r="I307" s="116" t="e">
        <f t="shared" si="129"/>
        <v>#VALUE!</v>
      </c>
      <c r="J307" s="116" t="e">
        <f t="shared" si="129"/>
        <v>#VALUE!</v>
      </c>
      <c r="K307" s="116" t="e">
        <f t="shared" si="129"/>
        <v>#VALUE!</v>
      </c>
      <c r="L307" s="116" t="e">
        <f t="shared" si="129"/>
        <v>#VALUE!</v>
      </c>
      <c r="O307" s="116" t="e">
        <f>SUM(O306)</f>
        <v>#VALUE!</v>
      </c>
      <c r="P307" s="116" t="e">
        <f>SUM(P306)</f>
        <v>#VALUE!</v>
      </c>
      <c r="Q307" s="116" t="e">
        <f>SUM(Q306)</f>
        <v>#VALUE!</v>
      </c>
      <c r="R307" s="116" t="e">
        <f>SUM(R306)</f>
        <v>#VALUE!</v>
      </c>
      <c r="T307" s="116">
        <f>SUM(T306)</f>
        <v>0</v>
      </c>
      <c r="U307" s="116">
        <f>SUM(U306)</f>
        <v>0</v>
      </c>
      <c r="V307" s="116">
        <f>SUM(V306)</f>
        <v>0</v>
      </c>
      <c r="W307" s="116">
        <f>SUM(W306)</f>
        <v>0</v>
      </c>
      <c r="X307" s="3"/>
      <c r="Y307" s="116">
        <f>SUM(Y306)</f>
        <v>0</v>
      </c>
      <c r="Z307" s="116">
        <f>SUM(Z306)</f>
        <v>0</v>
      </c>
      <c r="AA307" s="116">
        <f>SUM(AA306)</f>
        <v>0</v>
      </c>
      <c r="AB307" s="116">
        <f>SUM(AB306)</f>
        <v>0</v>
      </c>
      <c r="AC307" s="116">
        <f>SUM(AC306)</f>
        <v>0</v>
      </c>
      <c r="AD307" s="117" t="e">
        <f>ROUND(SUM(-G307,H307:L307),0)</f>
        <v>#VALUE!</v>
      </c>
      <c r="AE307" s="117" t="e">
        <f>ROUND(H307-O307-P307-Q307-R307,0)</f>
        <v>#VALUE!</v>
      </c>
      <c r="AF307" s="117" t="e">
        <f>ROUND(I307-T307-U307-V307-W307,0)</f>
        <v>#VALUE!</v>
      </c>
      <c r="AG307" s="117" t="e">
        <f>ROUND(J307-Y307-Z307-AA307-AC307-AB307,0)</f>
        <v>#VALUE!</v>
      </c>
      <c r="AH307" s="116"/>
      <c r="AI307">
        <f t="shared" si="118"/>
        <v>517</v>
      </c>
      <c r="AJ307" t="str">
        <f t="shared" si="120"/>
        <v>NA</v>
      </c>
      <c r="AK307" t="str">
        <f>IF(ISERROR(MATCH(AI307&amp;"."&amp;AJ307,AK$91:AK306,0)),AI307&amp;"."&amp;AJ307,AI307&amp;"."&amp;AJ307&amp;COUNTIFS(AI$91:AI306,AI307,AJ$91:AJ306,AJ307))</f>
        <v>517.NA1</v>
      </c>
    </row>
    <row r="308" spans="1:37" ht="15" hidden="1">
      <c r="A308" s="120">
        <f>ROW()</f>
        <v>308</v>
      </c>
      <c r="B308" s="120"/>
      <c r="C308" s="1"/>
      <c r="E308" s="121"/>
      <c r="F308" s="138"/>
      <c r="G308" s="119"/>
      <c r="X308" s="3"/>
      <c r="AD308" s="119"/>
      <c r="AE308" s="119"/>
      <c r="AF308" s="119"/>
      <c r="AG308" s="119"/>
      <c r="AI308">
        <f t="shared" si="118"/>
        <v>517</v>
      </c>
      <c r="AJ308" t="str">
        <f t="shared" si="120"/>
        <v>NA</v>
      </c>
      <c r="AK308" t="str">
        <f>IF(ISERROR(MATCH(AI308&amp;"."&amp;AJ308,AK$91:AK307,0)),AI308&amp;"."&amp;AJ308,AI308&amp;"."&amp;AJ308&amp;COUNTIFS(AI$91:AI307,AI308,AJ$91:AJ307,AJ308))</f>
        <v>517.NA2</v>
      </c>
    </row>
    <row r="309" spans="1:37" ht="15" hidden="1">
      <c r="A309" s="120">
        <f>ROW()</f>
        <v>309</v>
      </c>
      <c r="B309" s="120"/>
      <c r="C309" s="1">
        <v>518</v>
      </c>
      <c r="D309" s="2" t="s">
        <v>195</v>
      </c>
      <c r="E309" s="121"/>
      <c r="F309" s="138"/>
      <c r="G309" s="119"/>
      <c r="X309" s="3"/>
      <c r="AD309" s="119"/>
      <c r="AE309" s="119"/>
      <c r="AF309" s="119"/>
      <c r="AG309" s="119"/>
      <c r="AI309">
        <f t="shared" si="118"/>
        <v>518</v>
      </c>
      <c r="AJ309" t="str">
        <f t="shared" si="120"/>
        <v>NA</v>
      </c>
      <c r="AK309" t="str">
        <f>IF(ISERROR(MATCH(AI309&amp;"."&amp;AJ309,AK$91:AK308,0)),AI309&amp;"."&amp;AJ309,AI309&amp;"."&amp;AJ309&amp;COUNTIFS(AI$91:AI308,AI309,AJ$91:AJ308,AJ309))</f>
        <v>518.NA</v>
      </c>
    </row>
    <row r="310" spans="1:37" ht="15" hidden="1">
      <c r="A310" s="120">
        <f>ROW()</f>
        <v>310</v>
      </c>
      <c r="B310" s="120"/>
      <c r="C310" s="1"/>
      <c r="E310" s="121" t="s">
        <v>16</v>
      </c>
      <c r="F310" s="138" t="str">
        <f>INDEX(FuncAllocOptions,ROW(A310)-ROW($A$92)+1,[4]Inputs!$S$11)</f>
        <v>P</v>
      </c>
      <c r="G310" s="133" t="e">
        <f>SUMIF(FERCJAMFactor,AK310,JAMValue)</f>
        <v>#VALUE!</v>
      </c>
      <c r="H310" s="139" t="e">
        <f>INDEX(FuncFactorTbl,MATCH($F310,FuncFactors,0),MATCH(H$8,Functions,0))*$G310</f>
        <v>#VALUE!</v>
      </c>
      <c r="I310" s="139" t="e">
        <f>INDEX(FuncFactorTbl,MATCH($F310,FuncFactors,0),MATCH(I$8,Functions,0))*$G310</f>
        <v>#VALUE!</v>
      </c>
      <c r="J310" s="139" t="e">
        <f>INDEX(FuncFactorTbl,MATCH($F310,FuncFactors,0),MATCH(J$8,Functions,0))*$G310</f>
        <v>#VALUE!</v>
      </c>
      <c r="K310" s="139" t="e">
        <f>INDEX(FuncFactorTbl,MATCH($F310,FuncFactors,0),MATCH(K$8,Functions,0))*$G310</f>
        <v>#VALUE!</v>
      </c>
      <c r="L310" s="139" t="e">
        <f>INDEX(FuncFactorTbl,MATCH($F310,FuncFactors,0),MATCH(L$8,Functions,0))*$G310</f>
        <v>#VALUE!</v>
      </c>
      <c r="N310" s="108">
        <v>0</v>
      </c>
      <c r="O310" s="116" t="e">
        <f>$H310*$N310*$M310</f>
        <v>#VALUE!</v>
      </c>
      <c r="P310" s="116" t="e">
        <f>$H310*(1-$N310)*$M310</f>
        <v>#VALUE!</v>
      </c>
      <c r="Q310" s="116" t="e">
        <f>$H310*$N310*(1-$M310)</f>
        <v>#VALUE!</v>
      </c>
      <c r="R310" s="116" t="e">
        <f>$H310*(1-$N310)*(1-$M310)</f>
        <v>#VALUE!</v>
      </c>
      <c r="T310" s="116">
        <v>0</v>
      </c>
      <c r="U310" s="116">
        <v>0</v>
      </c>
      <c r="V310" s="116">
        <v>0</v>
      </c>
      <c r="W310" s="116">
        <v>0</v>
      </c>
      <c r="X310" s="3"/>
      <c r="AD310" s="117" t="e">
        <f>ROUND(SUM(-G310,H310:L310),0)</f>
        <v>#VALUE!</v>
      </c>
      <c r="AE310" s="117" t="e">
        <f>ROUND(H310-O310-P310-Q310-R310,0)</f>
        <v>#VALUE!</v>
      </c>
      <c r="AF310" s="117" t="e">
        <f>ROUND(I310-T310-U310-V310-W310,0)</f>
        <v>#VALUE!</v>
      </c>
      <c r="AG310" s="117" t="e">
        <f>ROUND(J310-Y310-Z310-AA310-AC310-AB310,0)</f>
        <v>#VALUE!</v>
      </c>
      <c r="AH310" s="116"/>
      <c r="AI310">
        <f t="shared" si="118"/>
        <v>518</v>
      </c>
      <c r="AJ310" t="str">
        <f t="shared" si="120"/>
        <v>SE</v>
      </c>
      <c r="AK310" t="str">
        <f>IF(ISERROR(MATCH(AI310&amp;"."&amp;AJ310,AK$91:AK309,0)),AI310&amp;"."&amp;AJ310,AI310&amp;"."&amp;AJ310&amp;COUNTIFS(AI$91:AI309,AI310,AJ$91:AJ309,AJ310))</f>
        <v>518.SE</v>
      </c>
    </row>
    <row r="311" spans="1:37" ht="15" hidden="1">
      <c r="A311" s="120">
        <f>ROW()</f>
        <v>311</v>
      </c>
      <c r="B311" s="120"/>
      <c r="C311" s="1"/>
      <c r="E311" s="121"/>
      <c r="F311" s="138"/>
      <c r="G311" s="117" t="e">
        <f t="shared" ref="G311:L311" si="130">SUM(G310)</f>
        <v>#VALUE!</v>
      </c>
      <c r="H311" s="116" t="e">
        <f t="shared" si="130"/>
        <v>#VALUE!</v>
      </c>
      <c r="I311" s="116" t="e">
        <f t="shared" si="130"/>
        <v>#VALUE!</v>
      </c>
      <c r="J311" s="116" t="e">
        <f t="shared" si="130"/>
        <v>#VALUE!</v>
      </c>
      <c r="K311" s="116" t="e">
        <f t="shared" si="130"/>
        <v>#VALUE!</v>
      </c>
      <c r="L311" s="116" t="e">
        <f t="shared" si="130"/>
        <v>#VALUE!</v>
      </c>
      <c r="O311" s="116" t="e">
        <f>SUM(O310)</f>
        <v>#VALUE!</v>
      </c>
      <c r="P311" s="116" t="e">
        <f>SUM(P310)</f>
        <v>#VALUE!</v>
      </c>
      <c r="Q311" s="116" t="e">
        <f>SUM(Q310)</f>
        <v>#VALUE!</v>
      </c>
      <c r="R311" s="116" t="e">
        <f>SUM(R310)</f>
        <v>#VALUE!</v>
      </c>
      <c r="T311" s="116">
        <f>SUM(T310)</f>
        <v>0</v>
      </c>
      <c r="U311" s="116">
        <f>SUM(U310)</f>
        <v>0</v>
      </c>
      <c r="V311" s="116">
        <f>SUM(V310)</f>
        <v>0</v>
      </c>
      <c r="W311" s="116">
        <f>SUM(W310)</f>
        <v>0</v>
      </c>
      <c r="X311" s="3"/>
      <c r="Y311" s="116">
        <f>SUM(Y310)</f>
        <v>0</v>
      </c>
      <c r="Z311" s="116">
        <f>SUM(Z310)</f>
        <v>0</v>
      </c>
      <c r="AA311" s="116">
        <f>SUM(AA310)</f>
        <v>0</v>
      </c>
      <c r="AB311" s="116">
        <f>SUM(AB310)</f>
        <v>0</v>
      </c>
      <c r="AC311" s="116">
        <f>SUM(AC310)</f>
        <v>0</v>
      </c>
      <c r="AD311" s="117" t="e">
        <f>ROUND(SUM(-G311,H311:L311),0)</f>
        <v>#VALUE!</v>
      </c>
      <c r="AE311" s="117" t="e">
        <f>ROUND(H311-O311-P311-Q311-R311,0)</f>
        <v>#VALUE!</v>
      </c>
      <c r="AF311" s="117" t="e">
        <f>ROUND(I311-T311-U311-V311-W311,0)</f>
        <v>#VALUE!</v>
      </c>
      <c r="AG311" s="117" t="e">
        <f>ROUND(J311-Y311-Z311-AA311-AC311-AB311,0)</f>
        <v>#VALUE!</v>
      </c>
      <c r="AH311" s="116"/>
      <c r="AI311">
        <f t="shared" si="118"/>
        <v>518</v>
      </c>
      <c r="AJ311" t="str">
        <f t="shared" si="120"/>
        <v>NA</v>
      </c>
      <c r="AK311" t="str">
        <f>IF(ISERROR(MATCH(AI311&amp;"."&amp;AJ311,AK$91:AK310,0)),AI311&amp;"."&amp;AJ311,AI311&amp;"."&amp;AJ311&amp;COUNTIFS(AI$91:AI310,AI311,AJ$91:AJ310,AJ311))</f>
        <v>518.NA1</v>
      </c>
    </row>
    <row r="312" spans="1:37" ht="15" hidden="1">
      <c r="A312" s="120">
        <f>ROW()</f>
        <v>312</v>
      </c>
      <c r="B312" s="120"/>
      <c r="C312" s="1"/>
      <c r="E312" s="121"/>
      <c r="F312" s="138"/>
      <c r="G312" s="119"/>
      <c r="X312" s="3"/>
      <c r="AD312" s="119"/>
      <c r="AE312" s="119"/>
      <c r="AF312" s="119"/>
      <c r="AG312" s="119"/>
      <c r="AI312">
        <f t="shared" si="118"/>
        <v>518</v>
      </c>
      <c r="AJ312" t="str">
        <f t="shared" si="120"/>
        <v>NA</v>
      </c>
      <c r="AK312" t="str">
        <f>IF(ISERROR(MATCH(AI312&amp;"."&amp;AJ312,AK$91:AK311,0)),AI312&amp;"."&amp;AJ312,AI312&amp;"."&amp;AJ312&amp;COUNTIFS(AI$91:AI311,AI312,AJ$91:AJ311,AJ312))</f>
        <v>518.NA2</v>
      </c>
    </row>
    <row r="313" spans="1:37" ht="15" hidden="1">
      <c r="A313" s="120">
        <f>ROW()</f>
        <v>313</v>
      </c>
      <c r="B313" s="120"/>
      <c r="C313" s="1"/>
      <c r="E313" s="121"/>
      <c r="F313" s="138"/>
      <c r="G313" s="119"/>
      <c r="X313" s="3"/>
      <c r="AD313" s="119"/>
      <c r="AE313" s="119"/>
      <c r="AF313" s="119"/>
      <c r="AG313" s="119"/>
      <c r="AI313">
        <f t="shared" ref="AI313:AI344" si="131">IF(OR(C313="",C313=" ",C313="  ",C313="   "),AI312,C313)</f>
        <v>518</v>
      </c>
      <c r="AJ313" t="str">
        <f t="shared" si="120"/>
        <v>NA</v>
      </c>
      <c r="AK313" t="str">
        <f>IF(ISERROR(MATCH(AI313&amp;"."&amp;AJ313,AK$91:AK312,0)),AI313&amp;"."&amp;AJ313,AI313&amp;"."&amp;AJ313&amp;COUNTIFS(AI$91:AI312,AI313,AJ$91:AJ312,AJ313))</f>
        <v>518.NA3</v>
      </c>
    </row>
    <row r="314" spans="1:37" ht="15" hidden="1">
      <c r="A314" s="120">
        <f>ROW()</f>
        <v>314</v>
      </c>
      <c r="B314" s="120"/>
      <c r="C314" s="1">
        <v>519</v>
      </c>
      <c r="D314" s="2" t="s">
        <v>196</v>
      </c>
      <c r="E314" s="121"/>
      <c r="F314" s="138"/>
      <c r="G314" s="119"/>
      <c r="X314" s="3"/>
      <c r="AD314" s="119"/>
      <c r="AE314" s="119"/>
      <c r="AF314" s="119"/>
      <c r="AG314" s="119"/>
      <c r="AI314">
        <f t="shared" si="131"/>
        <v>519</v>
      </c>
      <c r="AJ314" t="str">
        <f t="shared" si="120"/>
        <v>NA</v>
      </c>
      <c r="AK314" t="str">
        <f>IF(ISERROR(MATCH(AI314&amp;"."&amp;AJ314,AK$91:AK313,0)),AI314&amp;"."&amp;AJ314,AI314&amp;"."&amp;AJ314&amp;COUNTIFS(AI$91:AI313,AI314,AJ$91:AJ313,AJ314))</f>
        <v>519.NA</v>
      </c>
    </row>
    <row r="315" spans="1:37" ht="15" hidden="1">
      <c r="A315" s="120">
        <f>ROW()</f>
        <v>315</v>
      </c>
      <c r="B315" s="120"/>
      <c r="C315" s="1"/>
      <c r="E315" s="120" t="s">
        <v>15</v>
      </c>
      <c r="F315" s="138" t="str">
        <f>INDEX(FuncAllocOptions,ROW(A315)-ROW($A$92)+1,[4]Inputs!$S$11)</f>
        <v>P</v>
      </c>
      <c r="G315" s="133" t="e">
        <f>SUMIF(FERCJAMFactor,AK315,JAMValue)</f>
        <v>#VALUE!</v>
      </c>
      <c r="H315" s="139" t="e">
        <f>INDEX(FuncFactorTbl,MATCH($F315,FuncFactors,0),MATCH(H$8,Functions,0))*$G315</f>
        <v>#VALUE!</v>
      </c>
      <c r="I315" s="139" t="e">
        <f>INDEX(FuncFactorTbl,MATCH($F315,FuncFactors,0),MATCH(I$8,Functions,0))*$G315</f>
        <v>#VALUE!</v>
      </c>
      <c r="J315" s="139" t="e">
        <f>INDEX(FuncFactorTbl,MATCH($F315,FuncFactors,0),MATCH(J$8,Functions,0))*$G315</f>
        <v>#VALUE!</v>
      </c>
      <c r="K315" s="139" t="e">
        <f>INDEX(FuncFactorTbl,MATCH($F315,FuncFactors,0),MATCH(K$8,Functions,0))*$G315</f>
        <v>#VALUE!</v>
      </c>
      <c r="L315" s="139" t="e">
        <f>INDEX(FuncFactorTbl,MATCH($F315,FuncFactors,0),MATCH(L$8,Functions,0))*$G315</f>
        <v>#VALUE!</v>
      </c>
      <c r="N315" s="108">
        <v>0.75</v>
      </c>
      <c r="O315" s="116" t="e">
        <f>$H315*$N315*$M315</f>
        <v>#VALUE!</v>
      </c>
      <c r="P315" s="116" t="e">
        <f>$H315*(1-$N315)*$M315</f>
        <v>#VALUE!</v>
      </c>
      <c r="Q315" s="116" t="e">
        <f>$H315*$N315*(1-$M315)</f>
        <v>#VALUE!</v>
      </c>
      <c r="R315" s="116" t="e">
        <f>$H315*(1-$N315)*(1-$M315)</f>
        <v>#VALUE!</v>
      </c>
      <c r="T315" s="116">
        <v>0</v>
      </c>
      <c r="U315" s="116">
        <v>0</v>
      </c>
      <c r="V315" s="116">
        <v>0</v>
      </c>
      <c r="W315" s="116">
        <v>0</v>
      </c>
      <c r="X315" s="3"/>
      <c r="AD315" s="117" t="e">
        <f>ROUND(SUM(-G315,H315:L315),0)</f>
        <v>#VALUE!</v>
      </c>
      <c r="AE315" s="117" t="e">
        <f>ROUND(H315-O315-P315-Q315-R315,0)</f>
        <v>#VALUE!</v>
      </c>
      <c r="AF315" s="117" t="e">
        <f>ROUND(I315-T315-U315-V315-W315,0)</f>
        <v>#VALUE!</v>
      </c>
      <c r="AG315" s="117" t="e">
        <f>ROUND(J315-Y315-Z315-AA315-AC315-AB315,0)</f>
        <v>#VALUE!</v>
      </c>
      <c r="AH315" s="116"/>
      <c r="AI315">
        <f t="shared" si="131"/>
        <v>519</v>
      </c>
      <c r="AJ315" t="str">
        <f t="shared" si="120"/>
        <v>SG</v>
      </c>
      <c r="AK315" t="str">
        <f>IF(ISERROR(MATCH(AI315&amp;"."&amp;AJ315,AK$91:AK314,0)),AI315&amp;"."&amp;AJ315,AI315&amp;"."&amp;AJ315&amp;COUNTIFS(AI$91:AI314,AI315,AJ$91:AJ314,AJ315))</f>
        <v>519.SG</v>
      </c>
    </row>
    <row r="316" spans="1:37" ht="15" hidden="1">
      <c r="A316" s="120">
        <f>ROW()</f>
        <v>316</v>
      </c>
      <c r="B316" s="120"/>
      <c r="C316" s="1"/>
      <c r="E316" s="121"/>
      <c r="F316" s="138"/>
      <c r="G316" s="117" t="e">
        <f t="shared" ref="G316:L316" si="132">SUM(G315)</f>
        <v>#VALUE!</v>
      </c>
      <c r="H316" s="116" t="e">
        <f t="shared" si="132"/>
        <v>#VALUE!</v>
      </c>
      <c r="I316" s="116" t="e">
        <f t="shared" si="132"/>
        <v>#VALUE!</v>
      </c>
      <c r="J316" s="116" t="e">
        <f t="shared" si="132"/>
        <v>#VALUE!</v>
      </c>
      <c r="K316" s="116" t="e">
        <f t="shared" si="132"/>
        <v>#VALUE!</v>
      </c>
      <c r="L316" s="116" t="e">
        <f t="shared" si="132"/>
        <v>#VALUE!</v>
      </c>
      <c r="O316" s="116" t="e">
        <f>SUM(O315)</f>
        <v>#VALUE!</v>
      </c>
      <c r="P316" s="116" t="e">
        <f>SUM(P315)</f>
        <v>#VALUE!</v>
      </c>
      <c r="Q316" s="116" t="e">
        <f>SUM(Q315)</f>
        <v>#VALUE!</v>
      </c>
      <c r="R316" s="116" t="e">
        <f>SUM(R315)</f>
        <v>#VALUE!</v>
      </c>
      <c r="T316" s="116">
        <f>SUM(T315)</f>
        <v>0</v>
      </c>
      <c r="U316" s="116">
        <f>SUM(U315)</f>
        <v>0</v>
      </c>
      <c r="V316" s="116">
        <f>SUM(V315)</f>
        <v>0</v>
      </c>
      <c r="W316" s="116">
        <f>SUM(W315)</f>
        <v>0</v>
      </c>
      <c r="X316" s="3"/>
      <c r="Y316" s="116">
        <f>SUM(Y315)</f>
        <v>0</v>
      </c>
      <c r="Z316" s="116">
        <f>SUM(Z315)</f>
        <v>0</v>
      </c>
      <c r="AA316" s="116">
        <f>SUM(AA315)</f>
        <v>0</v>
      </c>
      <c r="AB316" s="116">
        <f>SUM(AB315)</f>
        <v>0</v>
      </c>
      <c r="AC316" s="116">
        <f>SUM(AC315)</f>
        <v>0</v>
      </c>
      <c r="AD316" s="117" t="e">
        <f>ROUND(SUM(-G316,H316:L316),0)</f>
        <v>#VALUE!</v>
      </c>
      <c r="AE316" s="117" t="e">
        <f>ROUND(H316-O316-P316-Q316-R316,0)</f>
        <v>#VALUE!</v>
      </c>
      <c r="AF316" s="117" t="e">
        <f>ROUND(I316-T316-U316-V316-W316,0)</f>
        <v>#VALUE!</v>
      </c>
      <c r="AG316" s="117" t="e">
        <f>ROUND(J316-Y316-Z316-AA316-AC316-AB316,0)</f>
        <v>#VALUE!</v>
      </c>
      <c r="AH316" s="116"/>
      <c r="AI316">
        <f t="shared" si="131"/>
        <v>519</v>
      </c>
      <c r="AJ316" t="str">
        <f t="shared" si="120"/>
        <v>NA</v>
      </c>
      <c r="AK316" t="str">
        <f>IF(ISERROR(MATCH(AI316&amp;"."&amp;AJ316,AK$91:AK315,0)),AI316&amp;"."&amp;AJ316,AI316&amp;"."&amp;AJ316&amp;COUNTIFS(AI$91:AI315,AI316,AJ$91:AJ315,AJ316))</f>
        <v>519.NA1</v>
      </c>
    </row>
    <row r="317" spans="1:37" ht="15" hidden="1">
      <c r="A317" s="120">
        <f>ROW()</f>
        <v>317</v>
      </c>
      <c r="B317" s="120"/>
      <c r="C317" s="1"/>
      <c r="E317" s="121"/>
      <c r="F317" s="138"/>
      <c r="G317" s="119"/>
      <c r="X317" s="3"/>
      <c r="AD317" s="119"/>
      <c r="AE317" s="119"/>
      <c r="AF317" s="119"/>
      <c r="AG317" s="119"/>
      <c r="AI317">
        <f t="shared" si="131"/>
        <v>519</v>
      </c>
      <c r="AJ317" t="str">
        <f t="shared" si="120"/>
        <v>NA</v>
      </c>
      <c r="AK317" t="str">
        <f>IF(ISERROR(MATCH(AI317&amp;"."&amp;AJ317,AK$91:AK316,0)),AI317&amp;"."&amp;AJ317,AI317&amp;"."&amp;AJ317&amp;COUNTIFS(AI$91:AI316,AI317,AJ$91:AJ316,AJ317))</f>
        <v>519.NA2</v>
      </c>
    </row>
    <row r="318" spans="1:37" ht="15" hidden="1">
      <c r="A318" s="120">
        <f>ROW()</f>
        <v>318</v>
      </c>
      <c r="B318" s="120"/>
      <c r="C318" s="1">
        <v>520</v>
      </c>
      <c r="D318" s="2" t="s">
        <v>182</v>
      </c>
      <c r="E318" s="121"/>
      <c r="F318" s="138"/>
      <c r="G318" s="119"/>
      <c r="X318" s="3"/>
      <c r="AD318" s="119"/>
      <c r="AE318" s="119"/>
      <c r="AF318" s="119"/>
      <c r="AG318" s="119"/>
      <c r="AI318">
        <f t="shared" si="131"/>
        <v>520</v>
      </c>
      <c r="AJ318" t="str">
        <f t="shared" si="120"/>
        <v>NA</v>
      </c>
      <c r="AK318" t="str">
        <f>IF(ISERROR(MATCH(AI318&amp;"."&amp;AJ318,AK$91:AK317,0)),AI318&amp;"."&amp;AJ318,AI318&amp;"."&amp;AJ318&amp;COUNTIFS(AI$91:AI317,AI318,AJ$91:AJ317,AJ318))</f>
        <v>520.NA</v>
      </c>
    </row>
    <row r="319" spans="1:37" ht="15" hidden="1">
      <c r="A319" s="120">
        <f>ROW()</f>
        <v>319</v>
      </c>
      <c r="B319" s="120"/>
      <c r="C319" s="1"/>
      <c r="E319" s="121" t="s">
        <v>15</v>
      </c>
      <c r="F319" s="138" t="str">
        <f>INDEX(FuncAllocOptions,ROW(A319)-ROW($A$92)+1,[4]Inputs!$S$11)</f>
        <v>P</v>
      </c>
      <c r="G319" s="133" t="e">
        <f>SUMIF(FERCJAMFactor,AK319,JAMValue)</f>
        <v>#VALUE!</v>
      </c>
      <c r="H319" s="139" t="e">
        <f>INDEX(FuncFactorTbl,MATCH($F319,FuncFactors,0),MATCH(H$8,Functions,0))*$G319</f>
        <v>#VALUE!</v>
      </c>
      <c r="I319" s="139" t="e">
        <f>INDEX(FuncFactorTbl,MATCH($F319,FuncFactors,0),MATCH(I$8,Functions,0))*$G319</f>
        <v>#VALUE!</v>
      </c>
      <c r="J319" s="139" t="e">
        <f>INDEX(FuncFactorTbl,MATCH($F319,FuncFactors,0),MATCH(J$8,Functions,0))*$G319</f>
        <v>#VALUE!</v>
      </c>
      <c r="K319" s="139" t="e">
        <f>INDEX(FuncFactorTbl,MATCH($F319,FuncFactors,0),MATCH(K$8,Functions,0))*$G319</f>
        <v>#VALUE!</v>
      </c>
      <c r="L319" s="139" t="e">
        <f>INDEX(FuncFactorTbl,MATCH($F319,FuncFactors,0),MATCH(L$8,Functions,0))*$G319</f>
        <v>#VALUE!</v>
      </c>
      <c r="N319" s="108">
        <v>0.75</v>
      </c>
      <c r="O319" s="116" t="e">
        <f>$H319*$N319*$M319</f>
        <v>#VALUE!</v>
      </c>
      <c r="P319" s="116" t="e">
        <f>$H319*(1-$N319)*$M319</f>
        <v>#VALUE!</v>
      </c>
      <c r="Q319" s="116" t="e">
        <f>$H319*$N319*(1-$M319)</f>
        <v>#VALUE!</v>
      </c>
      <c r="R319" s="116" t="e">
        <f>$H319*(1-$N319)*(1-$M319)</f>
        <v>#VALUE!</v>
      </c>
      <c r="T319" s="116">
        <v>0</v>
      </c>
      <c r="U319" s="116">
        <v>0</v>
      </c>
      <c r="V319" s="116">
        <v>0</v>
      </c>
      <c r="W319" s="116">
        <v>0</v>
      </c>
      <c r="X319" s="3"/>
      <c r="AD319" s="117" t="e">
        <f>ROUND(SUM(-G319,H319:L319),0)</f>
        <v>#VALUE!</v>
      </c>
      <c r="AE319" s="117" t="e">
        <f>ROUND(H319-O319-P319-Q319-R319,0)</f>
        <v>#VALUE!</v>
      </c>
      <c r="AF319" s="117" t="e">
        <f>ROUND(I319-T319-U319-V319-W319,0)</f>
        <v>#VALUE!</v>
      </c>
      <c r="AG319" s="117" t="e">
        <f>ROUND(J319-Y319-Z319-AA319-AC319-AB319,0)</f>
        <v>#VALUE!</v>
      </c>
      <c r="AH319" s="116"/>
      <c r="AI319">
        <f t="shared" si="131"/>
        <v>520</v>
      </c>
      <c r="AJ319" t="str">
        <f t="shared" si="120"/>
        <v>SG</v>
      </c>
      <c r="AK319" t="str">
        <f>IF(ISERROR(MATCH(AI319&amp;"."&amp;AJ319,AK$91:AK318,0)),AI319&amp;"."&amp;AJ319,AI319&amp;"."&amp;AJ319&amp;COUNTIFS(AI$91:AI318,AI319,AJ$91:AJ318,AJ319))</f>
        <v>520.SG</v>
      </c>
    </row>
    <row r="320" spans="1:37" ht="15" hidden="1">
      <c r="A320" s="120">
        <f>ROW()</f>
        <v>320</v>
      </c>
      <c r="B320" s="120"/>
      <c r="C320" s="1"/>
      <c r="E320" s="121"/>
      <c r="F320" s="138"/>
      <c r="G320" s="117" t="e">
        <f t="shared" ref="G320:L320" si="133">SUM(G319)</f>
        <v>#VALUE!</v>
      </c>
      <c r="H320" s="116" t="e">
        <f t="shared" si="133"/>
        <v>#VALUE!</v>
      </c>
      <c r="I320" s="116" t="e">
        <f t="shared" si="133"/>
        <v>#VALUE!</v>
      </c>
      <c r="J320" s="116" t="e">
        <f t="shared" si="133"/>
        <v>#VALUE!</v>
      </c>
      <c r="K320" s="116" t="e">
        <f t="shared" si="133"/>
        <v>#VALUE!</v>
      </c>
      <c r="L320" s="116" t="e">
        <f t="shared" si="133"/>
        <v>#VALUE!</v>
      </c>
      <c r="O320" s="116" t="e">
        <f>SUM(O319)</f>
        <v>#VALUE!</v>
      </c>
      <c r="P320" s="116" t="e">
        <f>SUM(P319)</f>
        <v>#VALUE!</v>
      </c>
      <c r="Q320" s="116" t="e">
        <f>SUM(Q319)</f>
        <v>#VALUE!</v>
      </c>
      <c r="R320" s="116" t="e">
        <f>SUM(R319)</f>
        <v>#VALUE!</v>
      </c>
      <c r="T320" s="116">
        <f>SUM(T319)</f>
        <v>0</v>
      </c>
      <c r="U320" s="116">
        <f>SUM(U319)</f>
        <v>0</v>
      </c>
      <c r="V320" s="116">
        <f>SUM(V319)</f>
        <v>0</v>
      </c>
      <c r="W320" s="116">
        <f>SUM(W319)</f>
        <v>0</v>
      </c>
      <c r="X320" s="3"/>
      <c r="Y320" s="116">
        <f>SUM(Y319)</f>
        <v>0</v>
      </c>
      <c r="Z320" s="116">
        <f>SUM(Z319)</f>
        <v>0</v>
      </c>
      <c r="AA320" s="116">
        <f>SUM(AA319)</f>
        <v>0</v>
      </c>
      <c r="AB320" s="116">
        <f>SUM(AB319)</f>
        <v>0</v>
      </c>
      <c r="AC320" s="116">
        <f>SUM(AC319)</f>
        <v>0</v>
      </c>
      <c r="AD320" s="117" t="e">
        <f>ROUND(SUM(-G320,H320:L320),0)</f>
        <v>#VALUE!</v>
      </c>
      <c r="AE320" s="117" t="e">
        <f>ROUND(H320-O320-P320-Q320-R320,0)</f>
        <v>#VALUE!</v>
      </c>
      <c r="AF320" s="117" t="e">
        <f>ROUND(I320-T320-U320-V320-W320,0)</f>
        <v>#VALUE!</v>
      </c>
      <c r="AG320" s="117" t="e">
        <f>ROUND(J320-Y320-Z320-AA320-AC320-AB320,0)</f>
        <v>#VALUE!</v>
      </c>
      <c r="AH320" s="116"/>
      <c r="AI320">
        <f t="shared" si="131"/>
        <v>520</v>
      </c>
      <c r="AJ320" t="str">
        <f t="shared" si="120"/>
        <v>NA</v>
      </c>
      <c r="AK320" t="str">
        <f>IF(ISERROR(MATCH(AI320&amp;"."&amp;AJ320,AK$91:AK319,0)),AI320&amp;"."&amp;AJ320,AI320&amp;"."&amp;AJ320&amp;COUNTIFS(AI$91:AI319,AI320,AJ$91:AJ319,AJ320))</f>
        <v>520.NA1</v>
      </c>
    </row>
    <row r="321" spans="1:37" ht="15" hidden="1">
      <c r="A321" s="120">
        <f>ROW()</f>
        <v>321</v>
      </c>
      <c r="B321" s="120"/>
      <c r="C321" s="1"/>
      <c r="E321" s="121"/>
      <c r="F321" s="138"/>
      <c r="G321" s="119"/>
      <c r="X321" s="3"/>
      <c r="AD321" s="119"/>
      <c r="AE321" s="119"/>
      <c r="AF321" s="119"/>
      <c r="AG321" s="119"/>
      <c r="AI321">
        <f t="shared" si="131"/>
        <v>520</v>
      </c>
      <c r="AJ321" t="str">
        <f t="shared" si="120"/>
        <v>NA</v>
      </c>
      <c r="AK321" t="str">
        <f>IF(ISERROR(MATCH(AI321&amp;"."&amp;AJ321,AK$91:AK320,0)),AI321&amp;"."&amp;AJ321,AI321&amp;"."&amp;AJ321&amp;COUNTIFS(AI$91:AI320,AI321,AJ$91:AJ320,AJ321))</f>
        <v>520.NA2</v>
      </c>
    </row>
    <row r="322" spans="1:37" ht="15" hidden="1">
      <c r="A322" s="120">
        <f>ROW()</f>
        <v>322</v>
      </c>
      <c r="B322" s="120"/>
      <c r="C322" s="1">
        <v>523</v>
      </c>
      <c r="D322" s="2" t="s">
        <v>185</v>
      </c>
      <c r="E322" s="121"/>
      <c r="F322" s="138"/>
      <c r="G322" s="119"/>
      <c r="X322" s="3"/>
      <c r="AD322" s="119"/>
      <c r="AE322" s="119"/>
      <c r="AF322" s="119"/>
      <c r="AG322" s="119"/>
      <c r="AI322">
        <f t="shared" si="131"/>
        <v>523</v>
      </c>
      <c r="AJ322" t="str">
        <f t="shared" si="120"/>
        <v>NA</v>
      </c>
      <c r="AK322" t="str">
        <f>IF(ISERROR(MATCH(AI322&amp;"."&amp;AJ322,AK$91:AK321,0)),AI322&amp;"."&amp;AJ322,AI322&amp;"."&amp;AJ322&amp;COUNTIFS(AI$91:AI321,AI322,AJ$91:AJ321,AJ322))</f>
        <v>523.NA</v>
      </c>
    </row>
    <row r="323" spans="1:37" ht="15" hidden="1">
      <c r="A323" s="120">
        <f>ROW()</f>
        <v>323</v>
      </c>
      <c r="B323" s="120"/>
      <c r="C323" s="1"/>
      <c r="E323" s="121" t="s">
        <v>15</v>
      </c>
      <c r="F323" s="138" t="str">
        <f>INDEX(FuncAllocOptions,ROW(A323)-ROW($A$92)+1,[4]Inputs!$S$11)</f>
        <v>P</v>
      </c>
      <c r="G323" s="133" t="e">
        <f>SUMIF(FERCJAMFactor,AK323,JAMValue)</f>
        <v>#VALUE!</v>
      </c>
      <c r="H323" s="139" t="e">
        <f>INDEX(FuncFactorTbl,MATCH($F323,FuncFactors,0),MATCH(H$8,Functions,0))*$G323</f>
        <v>#VALUE!</v>
      </c>
      <c r="I323" s="139" t="e">
        <f>INDEX(FuncFactorTbl,MATCH($F323,FuncFactors,0),MATCH(I$8,Functions,0))*$G323</f>
        <v>#VALUE!</v>
      </c>
      <c r="J323" s="139" t="e">
        <f>INDEX(FuncFactorTbl,MATCH($F323,FuncFactors,0),MATCH(J$8,Functions,0))*$G323</f>
        <v>#VALUE!</v>
      </c>
      <c r="K323" s="139" t="e">
        <f>INDEX(FuncFactorTbl,MATCH($F323,FuncFactors,0),MATCH(K$8,Functions,0))*$G323</f>
        <v>#VALUE!</v>
      </c>
      <c r="L323" s="139" t="e">
        <f>INDEX(FuncFactorTbl,MATCH($F323,FuncFactors,0),MATCH(L$8,Functions,0))*$G323</f>
        <v>#VALUE!</v>
      </c>
      <c r="N323" s="108">
        <v>0.75</v>
      </c>
      <c r="O323" s="116" t="e">
        <f>$H323*$N323*$M323</f>
        <v>#VALUE!</v>
      </c>
      <c r="P323" s="116" t="e">
        <f>$H323*(1-$N323)*$M323</f>
        <v>#VALUE!</v>
      </c>
      <c r="Q323" s="116" t="e">
        <f>$H323*$N323*(1-$M323)</f>
        <v>#VALUE!</v>
      </c>
      <c r="R323" s="116" t="e">
        <f>$H323*(1-$N323)*(1-$M323)</f>
        <v>#VALUE!</v>
      </c>
      <c r="T323" s="116">
        <v>0</v>
      </c>
      <c r="U323" s="116">
        <v>0</v>
      </c>
      <c r="V323" s="116">
        <v>0</v>
      </c>
      <c r="W323" s="116">
        <v>0</v>
      </c>
      <c r="X323" s="3"/>
      <c r="AD323" s="117" t="e">
        <f>ROUND(SUM(-G323,H323:L323),0)</f>
        <v>#VALUE!</v>
      </c>
      <c r="AE323" s="117" t="e">
        <f>ROUND(H323-O323-P323-Q323-R323,0)</f>
        <v>#VALUE!</v>
      </c>
      <c r="AF323" s="117" t="e">
        <f>ROUND(I323-T323-U323-V323-W323,0)</f>
        <v>#VALUE!</v>
      </c>
      <c r="AG323" s="117" t="e">
        <f>ROUND(J323-Y323-Z323-AA323-AC323-AB323,0)</f>
        <v>#VALUE!</v>
      </c>
      <c r="AH323" s="116"/>
      <c r="AI323">
        <f t="shared" si="131"/>
        <v>523</v>
      </c>
      <c r="AJ323" t="str">
        <f t="shared" si="120"/>
        <v>SG</v>
      </c>
      <c r="AK323" t="str">
        <f>IF(ISERROR(MATCH(AI323&amp;"."&amp;AJ323,AK$91:AK322,0)),AI323&amp;"."&amp;AJ323,AI323&amp;"."&amp;AJ323&amp;COUNTIFS(AI$91:AI322,AI323,AJ$91:AJ322,AJ323))</f>
        <v>523.SG</v>
      </c>
    </row>
    <row r="324" spans="1:37" ht="15" hidden="1">
      <c r="A324" s="120">
        <f>ROW()</f>
        <v>324</v>
      </c>
      <c r="B324" s="120"/>
      <c r="C324" s="1"/>
      <c r="E324" s="121"/>
      <c r="F324" s="138"/>
      <c r="G324" s="117" t="e">
        <f t="shared" ref="G324:L324" si="134">SUM(G323)</f>
        <v>#VALUE!</v>
      </c>
      <c r="H324" s="116" t="e">
        <f t="shared" si="134"/>
        <v>#VALUE!</v>
      </c>
      <c r="I324" s="116" t="e">
        <f t="shared" si="134"/>
        <v>#VALUE!</v>
      </c>
      <c r="J324" s="116" t="e">
        <f t="shared" si="134"/>
        <v>#VALUE!</v>
      </c>
      <c r="K324" s="116" t="e">
        <f t="shared" si="134"/>
        <v>#VALUE!</v>
      </c>
      <c r="L324" s="116" t="e">
        <f t="shared" si="134"/>
        <v>#VALUE!</v>
      </c>
      <c r="O324" s="116" t="e">
        <f>SUM(O323)</f>
        <v>#VALUE!</v>
      </c>
      <c r="P324" s="116" t="e">
        <f>SUM(P323)</f>
        <v>#VALUE!</v>
      </c>
      <c r="Q324" s="116" t="e">
        <f>SUM(Q323)</f>
        <v>#VALUE!</v>
      </c>
      <c r="R324" s="116" t="e">
        <f>SUM(R323)</f>
        <v>#VALUE!</v>
      </c>
      <c r="T324" s="116">
        <f>SUM(T323)</f>
        <v>0</v>
      </c>
      <c r="U324" s="116">
        <f>SUM(U323)</f>
        <v>0</v>
      </c>
      <c r="V324" s="116">
        <f>SUM(V323)</f>
        <v>0</v>
      </c>
      <c r="W324" s="116">
        <f>SUM(W323)</f>
        <v>0</v>
      </c>
      <c r="X324" s="3"/>
      <c r="Y324" s="116">
        <f>SUM(Y323)</f>
        <v>0</v>
      </c>
      <c r="Z324" s="116">
        <f>SUM(Z323)</f>
        <v>0</v>
      </c>
      <c r="AA324" s="116">
        <f>SUM(AA323)</f>
        <v>0</v>
      </c>
      <c r="AB324" s="116">
        <f>SUM(AB323)</f>
        <v>0</v>
      </c>
      <c r="AC324" s="116">
        <f>SUM(AC323)</f>
        <v>0</v>
      </c>
      <c r="AD324" s="117" t="e">
        <f>ROUND(SUM(-G324,H324:L324),0)</f>
        <v>#VALUE!</v>
      </c>
      <c r="AE324" s="117" t="e">
        <f>ROUND(H324-O324-P324-Q324-R324,0)</f>
        <v>#VALUE!</v>
      </c>
      <c r="AF324" s="117" t="e">
        <f>ROUND(I324-T324-U324-V324-W324,0)</f>
        <v>#VALUE!</v>
      </c>
      <c r="AG324" s="117" t="e">
        <f>ROUND(J324-Y324-Z324-AA324-AC324-AB324,0)</f>
        <v>#VALUE!</v>
      </c>
      <c r="AH324" s="116"/>
      <c r="AI324">
        <f t="shared" si="131"/>
        <v>523</v>
      </c>
      <c r="AJ324" t="str">
        <f t="shared" si="120"/>
        <v>NA</v>
      </c>
      <c r="AK324" t="str">
        <f>IF(ISERROR(MATCH(AI324&amp;"."&amp;AJ324,AK$91:AK323,0)),AI324&amp;"."&amp;AJ324,AI324&amp;"."&amp;AJ324&amp;COUNTIFS(AI$91:AI323,AI324,AJ$91:AJ323,AJ324))</f>
        <v>523.NA1</v>
      </c>
    </row>
    <row r="325" spans="1:37" ht="15" hidden="1">
      <c r="A325" s="120">
        <f>ROW()</f>
        <v>325</v>
      </c>
      <c r="B325" s="120"/>
      <c r="C325" s="1"/>
      <c r="E325" s="121"/>
      <c r="F325" s="138"/>
      <c r="G325" s="119"/>
      <c r="X325" s="3"/>
      <c r="AD325" s="119"/>
      <c r="AE325" s="119"/>
      <c r="AF325" s="119"/>
      <c r="AG325" s="119"/>
      <c r="AI325">
        <f t="shared" si="131"/>
        <v>523</v>
      </c>
      <c r="AJ325" t="str">
        <f t="shared" si="120"/>
        <v>NA</v>
      </c>
      <c r="AK325" t="str">
        <f>IF(ISERROR(MATCH(AI325&amp;"."&amp;AJ325,AK$91:AK324,0)),AI325&amp;"."&amp;AJ325,AI325&amp;"."&amp;AJ325&amp;COUNTIFS(AI$91:AI324,AI325,AJ$91:AJ324,AJ325))</f>
        <v>523.NA2</v>
      </c>
    </row>
    <row r="326" spans="1:37" ht="15" hidden="1">
      <c r="A326" s="120">
        <f>ROW()</f>
        <v>326</v>
      </c>
      <c r="B326" s="120"/>
      <c r="C326" s="1">
        <v>524</v>
      </c>
      <c r="D326" s="2" t="s">
        <v>197</v>
      </c>
      <c r="E326" s="121"/>
      <c r="F326" s="138"/>
      <c r="G326" s="119"/>
      <c r="X326" s="3"/>
      <c r="AD326" s="119"/>
      <c r="AE326" s="119"/>
      <c r="AF326" s="119"/>
      <c r="AG326" s="119"/>
      <c r="AI326">
        <f t="shared" si="131"/>
        <v>524</v>
      </c>
      <c r="AJ326" t="str">
        <f t="shared" si="120"/>
        <v>NA</v>
      </c>
      <c r="AK326" t="str">
        <f>IF(ISERROR(MATCH(AI326&amp;"."&amp;AJ326,AK$91:AK325,0)),AI326&amp;"."&amp;AJ326,AI326&amp;"."&amp;AJ326&amp;COUNTIFS(AI$91:AI325,AI326,AJ$91:AJ325,AJ326))</f>
        <v>524.NA</v>
      </c>
    </row>
    <row r="327" spans="1:37" ht="15" hidden="1">
      <c r="A327" s="120">
        <f>ROW()</f>
        <v>327</v>
      </c>
      <c r="B327" s="120"/>
      <c r="C327" s="1"/>
      <c r="E327" s="120" t="s">
        <v>15</v>
      </c>
      <c r="F327" s="138" t="str">
        <f>INDEX(FuncAllocOptions,ROW(A327)-ROW($A$92)+1,[4]Inputs!$S$11)</f>
        <v>P</v>
      </c>
      <c r="G327" s="133" t="e">
        <f>SUMIF(FERCJAMFactor,AK327,JAMValue)</f>
        <v>#VALUE!</v>
      </c>
      <c r="H327" s="139" t="e">
        <f>INDEX(FuncFactorTbl,MATCH($F327,FuncFactors,0),MATCH(H$8,Functions,0))*$G327</f>
        <v>#VALUE!</v>
      </c>
      <c r="I327" s="139" t="e">
        <f>INDEX(FuncFactorTbl,MATCH($F327,FuncFactors,0),MATCH(I$8,Functions,0))*$G327</f>
        <v>#VALUE!</v>
      </c>
      <c r="J327" s="139" t="e">
        <f>INDEX(FuncFactorTbl,MATCH($F327,FuncFactors,0),MATCH(J$8,Functions,0))*$G327</f>
        <v>#VALUE!</v>
      </c>
      <c r="K327" s="139" t="e">
        <f>INDEX(FuncFactorTbl,MATCH($F327,FuncFactors,0),MATCH(K$8,Functions,0))*$G327</f>
        <v>#VALUE!</v>
      </c>
      <c r="L327" s="139" t="e">
        <f>INDEX(FuncFactorTbl,MATCH($F327,FuncFactors,0),MATCH(L$8,Functions,0))*$G327</f>
        <v>#VALUE!</v>
      </c>
      <c r="N327" s="108">
        <v>0.75</v>
      </c>
      <c r="O327" s="116" t="e">
        <f>$H327*$N327*$M327</f>
        <v>#VALUE!</v>
      </c>
      <c r="P327" s="116" t="e">
        <f>$H327*(1-$N327)*$M327</f>
        <v>#VALUE!</v>
      </c>
      <c r="Q327" s="116" t="e">
        <f>$H327*$N327*(1-$M327)</f>
        <v>#VALUE!</v>
      </c>
      <c r="R327" s="116" t="e">
        <f>$H327*(1-$N327)*(1-$M327)</f>
        <v>#VALUE!</v>
      </c>
      <c r="T327" s="116">
        <v>0</v>
      </c>
      <c r="U327" s="116">
        <v>0</v>
      </c>
      <c r="V327" s="116">
        <v>0</v>
      </c>
      <c r="W327" s="116">
        <v>0</v>
      </c>
      <c r="X327" s="3"/>
      <c r="AD327" s="117" t="e">
        <f>ROUND(SUM(-G327,H327:L327),0)</f>
        <v>#VALUE!</v>
      </c>
      <c r="AE327" s="117" t="e">
        <f>ROUND(H327-O327-P327-Q327-R327,0)</f>
        <v>#VALUE!</v>
      </c>
      <c r="AF327" s="117" t="e">
        <f>ROUND(I327-T327-U327-V327-W327,0)</f>
        <v>#VALUE!</v>
      </c>
      <c r="AG327" s="117" t="e">
        <f>ROUND(J327-Y327-Z327-AA327-AC327-AB327,0)</f>
        <v>#VALUE!</v>
      </c>
      <c r="AH327" s="116"/>
      <c r="AI327">
        <f t="shared" si="131"/>
        <v>524</v>
      </c>
      <c r="AJ327" t="str">
        <f t="shared" si="120"/>
        <v>SG</v>
      </c>
      <c r="AK327" t="str">
        <f>IF(ISERROR(MATCH(AI327&amp;"."&amp;AJ327,AK$91:AK326,0)),AI327&amp;"."&amp;AJ327,AI327&amp;"."&amp;AJ327&amp;COUNTIFS(AI$91:AI326,AI327,AJ$91:AJ326,AJ327))</f>
        <v>524.SG</v>
      </c>
    </row>
    <row r="328" spans="1:37" ht="15" hidden="1">
      <c r="A328" s="120">
        <f>ROW()</f>
        <v>328</v>
      </c>
      <c r="B328" s="120"/>
      <c r="C328" s="1"/>
      <c r="E328" s="121"/>
      <c r="F328" s="138"/>
      <c r="G328" s="117" t="e">
        <f t="shared" ref="G328:L328" si="135">SUM(G327)</f>
        <v>#VALUE!</v>
      </c>
      <c r="H328" s="116" t="e">
        <f t="shared" si="135"/>
        <v>#VALUE!</v>
      </c>
      <c r="I328" s="116" t="e">
        <f t="shared" si="135"/>
        <v>#VALUE!</v>
      </c>
      <c r="J328" s="116" t="e">
        <f t="shared" si="135"/>
        <v>#VALUE!</v>
      </c>
      <c r="K328" s="116" t="e">
        <f t="shared" si="135"/>
        <v>#VALUE!</v>
      </c>
      <c r="L328" s="116" t="e">
        <f t="shared" si="135"/>
        <v>#VALUE!</v>
      </c>
      <c r="O328" s="116" t="e">
        <f>SUM(O327)</f>
        <v>#VALUE!</v>
      </c>
      <c r="P328" s="116" t="e">
        <f>SUM(P327)</f>
        <v>#VALUE!</v>
      </c>
      <c r="Q328" s="116" t="e">
        <f>SUM(Q327)</f>
        <v>#VALUE!</v>
      </c>
      <c r="R328" s="116" t="e">
        <f>SUM(R327)</f>
        <v>#VALUE!</v>
      </c>
      <c r="T328" s="116">
        <f>SUM(T327)</f>
        <v>0</v>
      </c>
      <c r="U328" s="116">
        <f>SUM(U327)</f>
        <v>0</v>
      </c>
      <c r="V328" s="116">
        <f>SUM(V327)</f>
        <v>0</v>
      </c>
      <c r="W328" s="116">
        <f>SUM(W327)</f>
        <v>0</v>
      </c>
      <c r="X328" s="3"/>
      <c r="Y328" s="116">
        <f>SUM(Y327)</f>
        <v>0</v>
      </c>
      <c r="Z328" s="116">
        <f>SUM(Z327)</f>
        <v>0</v>
      </c>
      <c r="AA328" s="116">
        <f>SUM(AA327)</f>
        <v>0</v>
      </c>
      <c r="AB328" s="116">
        <f>SUM(AB327)</f>
        <v>0</v>
      </c>
      <c r="AC328" s="116">
        <f>SUM(AC327)</f>
        <v>0</v>
      </c>
      <c r="AD328" s="117" t="e">
        <f>ROUND(SUM(-G328,H328:L328),0)</f>
        <v>#VALUE!</v>
      </c>
      <c r="AE328" s="117" t="e">
        <f>ROUND(H328-O328-P328-Q328-R328,0)</f>
        <v>#VALUE!</v>
      </c>
      <c r="AF328" s="117" t="e">
        <f>ROUND(I328-T328-U328-V328-W328,0)</f>
        <v>#VALUE!</v>
      </c>
      <c r="AG328" s="117" t="e">
        <f>ROUND(J328-Y328-Z328-AA328-AC328-AB328,0)</f>
        <v>#VALUE!</v>
      </c>
      <c r="AH328" s="116"/>
      <c r="AI328">
        <f t="shared" si="131"/>
        <v>524</v>
      </c>
      <c r="AJ328" t="str">
        <f t="shared" si="120"/>
        <v>NA</v>
      </c>
      <c r="AK328" t="str">
        <f>IF(ISERROR(MATCH(AI328&amp;"."&amp;AJ328,AK$91:AK327,0)),AI328&amp;"."&amp;AJ328,AI328&amp;"."&amp;AJ328&amp;COUNTIFS(AI$91:AI327,AI328,AJ$91:AJ327,AJ328))</f>
        <v>524.NA1</v>
      </c>
    </row>
    <row r="329" spans="1:37" ht="15" hidden="1">
      <c r="A329" s="120">
        <f>ROW()</f>
        <v>329</v>
      </c>
      <c r="B329" s="120"/>
      <c r="C329" s="1"/>
      <c r="E329" s="121"/>
      <c r="F329" s="138"/>
      <c r="G329" s="119"/>
      <c r="X329" s="3"/>
      <c r="AD329" s="119"/>
      <c r="AE329" s="119"/>
      <c r="AF329" s="119"/>
      <c r="AG329" s="119"/>
      <c r="AI329">
        <f t="shared" si="131"/>
        <v>524</v>
      </c>
      <c r="AJ329" t="str">
        <f t="shared" si="120"/>
        <v>NA</v>
      </c>
      <c r="AK329" t="str">
        <f>IF(ISERROR(MATCH(AI329&amp;"."&amp;AJ329,AK$91:AK328,0)),AI329&amp;"."&amp;AJ329,AI329&amp;"."&amp;AJ329&amp;COUNTIFS(AI$91:AI328,AI329,AJ$91:AJ328,AJ329))</f>
        <v>524.NA2</v>
      </c>
    </row>
    <row r="330" spans="1:37" ht="15" hidden="1">
      <c r="A330" s="120">
        <f>ROW()</f>
        <v>330</v>
      </c>
      <c r="B330" s="120"/>
      <c r="C330" s="1">
        <v>528</v>
      </c>
      <c r="D330" s="2" t="s">
        <v>198</v>
      </c>
      <c r="E330" s="121"/>
      <c r="F330" s="138"/>
      <c r="G330" s="119"/>
      <c r="X330" s="3"/>
      <c r="AD330" s="119"/>
      <c r="AE330" s="119"/>
      <c r="AF330" s="119"/>
      <c r="AG330" s="119"/>
      <c r="AI330">
        <f t="shared" si="131"/>
        <v>528</v>
      </c>
      <c r="AJ330" t="str">
        <f t="shared" si="120"/>
        <v>NA</v>
      </c>
      <c r="AK330" t="str">
        <f>IF(ISERROR(MATCH(AI330&amp;"."&amp;AJ330,AK$91:AK329,0)),AI330&amp;"."&amp;AJ330,AI330&amp;"."&amp;AJ330&amp;COUNTIFS(AI$91:AI329,AI330,AJ$91:AJ329,AJ330))</f>
        <v>528.NA</v>
      </c>
    </row>
    <row r="331" spans="1:37" ht="15" hidden="1">
      <c r="A331" s="120">
        <f>ROW()</f>
        <v>331</v>
      </c>
      <c r="B331" s="120"/>
      <c r="C331" s="1"/>
      <c r="E331" s="120" t="s">
        <v>15</v>
      </c>
      <c r="F331" s="138" t="str">
        <f>INDEX(FuncAllocOptions,ROW(A331)-ROW($A$92)+1,[4]Inputs!$S$11)</f>
        <v>P</v>
      </c>
      <c r="G331" s="133" t="e">
        <f>SUMIF(FERCJAMFactor,AK331,JAMValue)</f>
        <v>#VALUE!</v>
      </c>
      <c r="H331" s="139" t="e">
        <f>INDEX(FuncFactorTbl,MATCH($F331,FuncFactors,0),MATCH(H$8,Functions,0))*$G331</f>
        <v>#VALUE!</v>
      </c>
      <c r="I331" s="139" t="e">
        <f>INDEX(FuncFactorTbl,MATCH($F331,FuncFactors,0),MATCH(I$8,Functions,0))*$G331</f>
        <v>#VALUE!</v>
      </c>
      <c r="J331" s="139" t="e">
        <f>INDEX(FuncFactorTbl,MATCH($F331,FuncFactors,0),MATCH(J$8,Functions,0))*$G331</f>
        <v>#VALUE!</v>
      </c>
      <c r="K331" s="139" t="e">
        <f>INDEX(FuncFactorTbl,MATCH($F331,FuncFactors,0),MATCH(K$8,Functions,0))*$G331</f>
        <v>#VALUE!</v>
      </c>
      <c r="L331" s="139" t="e">
        <f>INDEX(FuncFactorTbl,MATCH($F331,FuncFactors,0),MATCH(L$8,Functions,0))*$G331</f>
        <v>#VALUE!</v>
      </c>
      <c r="N331" s="108">
        <v>0.75</v>
      </c>
      <c r="O331" s="116" t="e">
        <f>$H331*$N331*$M331</f>
        <v>#VALUE!</v>
      </c>
      <c r="P331" s="116" t="e">
        <f>$H331*(1-$N331)*$M331</f>
        <v>#VALUE!</v>
      </c>
      <c r="Q331" s="116" t="e">
        <f>$H331*$N331*(1-$M331)</f>
        <v>#VALUE!</v>
      </c>
      <c r="R331" s="116" t="e">
        <f>$H331*(1-$N331)*(1-$M331)</f>
        <v>#VALUE!</v>
      </c>
      <c r="T331" s="116">
        <v>0</v>
      </c>
      <c r="U331" s="116">
        <v>0</v>
      </c>
      <c r="V331" s="116">
        <v>0</v>
      </c>
      <c r="W331" s="116">
        <v>0</v>
      </c>
      <c r="X331" s="3"/>
      <c r="AD331" s="117" t="e">
        <f>ROUND(SUM(-G331,H331:L331),0)</f>
        <v>#VALUE!</v>
      </c>
      <c r="AE331" s="117" t="e">
        <f>ROUND(H331-O331-P331-Q331-R331,0)</f>
        <v>#VALUE!</v>
      </c>
      <c r="AF331" s="117" t="e">
        <f>ROUND(I331-T331-U331-V331-W331,0)</f>
        <v>#VALUE!</v>
      </c>
      <c r="AG331" s="117" t="e">
        <f>ROUND(J331-Y331-Z331-AA331-AC331-AB331,0)</f>
        <v>#VALUE!</v>
      </c>
      <c r="AH331" s="116"/>
      <c r="AI331">
        <f t="shared" si="131"/>
        <v>528</v>
      </c>
      <c r="AJ331" t="str">
        <f t="shared" si="120"/>
        <v>SG</v>
      </c>
      <c r="AK331" t="str">
        <f>IF(ISERROR(MATCH(AI331&amp;"."&amp;AJ331,AK$91:AK330,0)),AI331&amp;"."&amp;AJ331,AI331&amp;"."&amp;AJ331&amp;COUNTIFS(AI$91:AI330,AI331,AJ$91:AJ330,AJ331))</f>
        <v>528.SG</v>
      </c>
    </row>
    <row r="332" spans="1:37" ht="15" hidden="1">
      <c r="A332" s="120">
        <f>ROW()</f>
        <v>332</v>
      </c>
      <c r="B332" s="120"/>
      <c r="C332" s="1"/>
      <c r="E332" s="121"/>
      <c r="F332" s="138"/>
      <c r="G332" s="117" t="e">
        <f t="shared" ref="G332:L332" si="136">SUM(G331)</f>
        <v>#VALUE!</v>
      </c>
      <c r="H332" s="116" t="e">
        <f t="shared" si="136"/>
        <v>#VALUE!</v>
      </c>
      <c r="I332" s="116" t="e">
        <f t="shared" si="136"/>
        <v>#VALUE!</v>
      </c>
      <c r="J332" s="116" t="e">
        <f t="shared" si="136"/>
        <v>#VALUE!</v>
      </c>
      <c r="K332" s="116" t="e">
        <f t="shared" si="136"/>
        <v>#VALUE!</v>
      </c>
      <c r="L332" s="116" t="e">
        <f t="shared" si="136"/>
        <v>#VALUE!</v>
      </c>
      <c r="O332" s="116" t="e">
        <f>SUM(O331)</f>
        <v>#VALUE!</v>
      </c>
      <c r="P332" s="116" t="e">
        <f>SUM(P331)</f>
        <v>#VALUE!</v>
      </c>
      <c r="Q332" s="116" t="e">
        <f>SUM(Q331)</f>
        <v>#VALUE!</v>
      </c>
      <c r="R332" s="116" t="e">
        <f>SUM(R331)</f>
        <v>#VALUE!</v>
      </c>
      <c r="T332" s="116">
        <f>SUM(T331)</f>
        <v>0</v>
      </c>
      <c r="U332" s="116">
        <f>SUM(U331)</f>
        <v>0</v>
      </c>
      <c r="V332" s="116">
        <f>SUM(V331)</f>
        <v>0</v>
      </c>
      <c r="W332" s="116">
        <f>SUM(W331)</f>
        <v>0</v>
      </c>
      <c r="X332" s="3"/>
      <c r="Y332" s="116">
        <f>SUM(Y331)</f>
        <v>0</v>
      </c>
      <c r="Z332" s="116">
        <f>SUM(Z331)</f>
        <v>0</v>
      </c>
      <c r="AA332" s="116">
        <f>SUM(AA331)</f>
        <v>0</v>
      </c>
      <c r="AB332" s="116">
        <f>SUM(AB331)</f>
        <v>0</v>
      </c>
      <c r="AC332" s="116">
        <f>SUM(AC331)</f>
        <v>0</v>
      </c>
      <c r="AD332" s="117" t="e">
        <f>ROUND(SUM(-G332,H332:L332),0)</f>
        <v>#VALUE!</v>
      </c>
      <c r="AE332" s="117" t="e">
        <f>ROUND(H332-O332-P332-Q332-R332,0)</f>
        <v>#VALUE!</v>
      </c>
      <c r="AF332" s="117" t="e">
        <f>ROUND(I332-T332-U332-V332-W332,0)</f>
        <v>#VALUE!</v>
      </c>
      <c r="AG332" s="117" t="e">
        <f>ROUND(J332-Y332-Z332-AA332-AC332-AB332,0)</f>
        <v>#VALUE!</v>
      </c>
      <c r="AH332" s="116"/>
      <c r="AI332">
        <f t="shared" si="131"/>
        <v>528</v>
      </c>
      <c r="AJ332" t="str">
        <f t="shared" si="120"/>
        <v>NA</v>
      </c>
      <c r="AK332" t="str">
        <f>IF(ISERROR(MATCH(AI332&amp;"."&amp;AJ332,AK$91:AK331,0)),AI332&amp;"."&amp;AJ332,AI332&amp;"."&amp;AJ332&amp;COUNTIFS(AI$91:AI331,AI332,AJ$91:AJ331,AJ332))</f>
        <v>528.NA1</v>
      </c>
    </row>
    <row r="333" spans="1:37" ht="15" hidden="1">
      <c r="A333" s="120">
        <f>ROW()</f>
        <v>333</v>
      </c>
      <c r="B333" s="120"/>
      <c r="C333" s="1"/>
      <c r="E333" s="121"/>
      <c r="F333" s="138"/>
      <c r="G333" s="119"/>
      <c r="X333" s="3"/>
      <c r="AD333" s="119"/>
      <c r="AE333" s="119"/>
      <c r="AF333" s="119"/>
      <c r="AG333" s="119"/>
      <c r="AI333">
        <f t="shared" si="131"/>
        <v>528</v>
      </c>
      <c r="AJ333" t="str">
        <f t="shared" si="120"/>
        <v>NA</v>
      </c>
      <c r="AK333" t="str">
        <f>IF(ISERROR(MATCH(AI333&amp;"."&amp;AJ333,AK$91:AK332,0)),AI333&amp;"."&amp;AJ333,AI333&amp;"."&amp;AJ333&amp;COUNTIFS(AI$91:AI332,AI333,AJ$91:AJ332,AJ333))</f>
        <v>528.NA2</v>
      </c>
    </row>
    <row r="334" spans="1:37" ht="15" hidden="1">
      <c r="A334" s="120">
        <f>ROW()</f>
        <v>334</v>
      </c>
      <c r="B334" s="120"/>
      <c r="C334" s="1">
        <v>529</v>
      </c>
      <c r="D334" s="2" t="s">
        <v>189</v>
      </c>
      <c r="E334" s="121"/>
      <c r="F334" s="138"/>
      <c r="G334" s="119"/>
      <c r="X334" s="3"/>
      <c r="AD334" s="119"/>
      <c r="AE334" s="119"/>
      <c r="AF334" s="119"/>
      <c r="AG334" s="119"/>
      <c r="AI334">
        <f t="shared" si="131"/>
        <v>529</v>
      </c>
      <c r="AJ334" t="str">
        <f t="shared" si="120"/>
        <v>NA</v>
      </c>
      <c r="AK334" t="str">
        <f>IF(ISERROR(MATCH(AI334&amp;"."&amp;AJ334,AK$91:AK333,0)),AI334&amp;"."&amp;AJ334,AI334&amp;"."&amp;AJ334&amp;COUNTIFS(AI$91:AI333,AI334,AJ$91:AJ333,AJ334))</f>
        <v>529.NA</v>
      </c>
    </row>
    <row r="335" spans="1:37" ht="15" hidden="1">
      <c r="A335" s="120">
        <f>ROW()</f>
        <v>335</v>
      </c>
      <c r="B335" s="120"/>
      <c r="C335" s="1"/>
      <c r="E335" s="120" t="s">
        <v>15</v>
      </c>
      <c r="F335" s="138" t="str">
        <f>INDEX(FuncAllocOptions,ROW(A335)-ROW($A$92)+1,[4]Inputs!$S$11)</f>
        <v>P</v>
      </c>
      <c r="G335" s="133" t="e">
        <f>SUMIF(FERCJAMFactor,AK335,JAMValue)</f>
        <v>#VALUE!</v>
      </c>
      <c r="H335" s="139" t="e">
        <f>INDEX(FuncFactorTbl,MATCH($F335,FuncFactors,0),MATCH(H$8,Functions,0))*$G335</f>
        <v>#VALUE!</v>
      </c>
      <c r="I335" s="139" t="e">
        <f>INDEX(FuncFactorTbl,MATCH($F335,FuncFactors,0),MATCH(I$8,Functions,0))*$G335</f>
        <v>#VALUE!</v>
      </c>
      <c r="J335" s="139" t="e">
        <f>INDEX(FuncFactorTbl,MATCH($F335,FuncFactors,0),MATCH(J$8,Functions,0))*$G335</f>
        <v>#VALUE!</v>
      </c>
      <c r="K335" s="139" t="e">
        <f>INDEX(FuncFactorTbl,MATCH($F335,FuncFactors,0),MATCH(K$8,Functions,0))*$G335</f>
        <v>#VALUE!</v>
      </c>
      <c r="L335" s="139" t="e">
        <f>INDEX(FuncFactorTbl,MATCH($F335,FuncFactors,0),MATCH(L$8,Functions,0))*$G335</f>
        <v>#VALUE!</v>
      </c>
      <c r="N335" s="108">
        <v>0.75</v>
      </c>
      <c r="O335" s="116" t="e">
        <f>$H335*$N335*$M335</f>
        <v>#VALUE!</v>
      </c>
      <c r="P335" s="116" t="e">
        <f>$H335*(1-$N335)*$M335</f>
        <v>#VALUE!</v>
      </c>
      <c r="Q335" s="116" t="e">
        <f>$H335*$N335*(1-$M335)</f>
        <v>#VALUE!</v>
      </c>
      <c r="R335" s="116" t="e">
        <f>$H335*(1-$N335)*(1-$M335)</f>
        <v>#VALUE!</v>
      </c>
      <c r="T335" s="116">
        <v>0</v>
      </c>
      <c r="U335" s="116">
        <v>0</v>
      </c>
      <c r="V335" s="116">
        <v>0</v>
      </c>
      <c r="W335" s="116">
        <v>0</v>
      </c>
      <c r="X335" s="3"/>
      <c r="AD335" s="117" t="e">
        <f>ROUND(SUM(-G335,H335:L335),0)</f>
        <v>#VALUE!</v>
      </c>
      <c r="AE335" s="117" t="e">
        <f>ROUND(H335-O335-P335-Q335-R335,0)</f>
        <v>#VALUE!</v>
      </c>
      <c r="AF335" s="117" t="e">
        <f>ROUND(I335-T335-U335-V335-W335,0)</f>
        <v>#VALUE!</v>
      </c>
      <c r="AG335" s="117" t="e">
        <f>ROUND(J335-Y335-Z335-AA335-AC335-AB335,0)</f>
        <v>#VALUE!</v>
      </c>
      <c r="AH335" s="116"/>
      <c r="AI335">
        <f t="shared" si="131"/>
        <v>529</v>
      </c>
      <c r="AJ335" t="str">
        <f t="shared" si="120"/>
        <v>SG</v>
      </c>
      <c r="AK335" t="str">
        <f>IF(ISERROR(MATCH(AI335&amp;"."&amp;AJ335,AK$91:AK334,0)),AI335&amp;"."&amp;AJ335,AI335&amp;"."&amp;AJ335&amp;COUNTIFS(AI$91:AI334,AI335,AJ$91:AJ334,AJ335))</f>
        <v>529.SG</v>
      </c>
    </row>
    <row r="336" spans="1:37" ht="15" hidden="1">
      <c r="A336" s="120">
        <f>ROW()</f>
        <v>336</v>
      </c>
      <c r="B336" s="120"/>
      <c r="C336" s="1"/>
      <c r="E336" s="121"/>
      <c r="F336" s="138"/>
      <c r="G336" s="117" t="e">
        <f t="shared" ref="G336:L336" si="137">SUM(G335)</f>
        <v>#VALUE!</v>
      </c>
      <c r="H336" s="116" t="e">
        <f t="shared" si="137"/>
        <v>#VALUE!</v>
      </c>
      <c r="I336" s="116" t="e">
        <f t="shared" si="137"/>
        <v>#VALUE!</v>
      </c>
      <c r="J336" s="116" t="e">
        <f t="shared" si="137"/>
        <v>#VALUE!</v>
      </c>
      <c r="K336" s="116" t="e">
        <f t="shared" si="137"/>
        <v>#VALUE!</v>
      </c>
      <c r="L336" s="116" t="e">
        <f t="shared" si="137"/>
        <v>#VALUE!</v>
      </c>
      <c r="O336" s="116" t="e">
        <f>SUM(O335)</f>
        <v>#VALUE!</v>
      </c>
      <c r="P336" s="116" t="e">
        <f>SUM(P335)</f>
        <v>#VALUE!</v>
      </c>
      <c r="Q336" s="116" t="e">
        <f>SUM(Q335)</f>
        <v>#VALUE!</v>
      </c>
      <c r="R336" s="116" t="e">
        <f>SUM(R335)</f>
        <v>#VALUE!</v>
      </c>
      <c r="T336" s="116">
        <f>SUM(T335)</f>
        <v>0</v>
      </c>
      <c r="U336" s="116">
        <f>SUM(U335)</f>
        <v>0</v>
      </c>
      <c r="V336" s="116">
        <f>SUM(V335)</f>
        <v>0</v>
      </c>
      <c r="W336" s="116">
        <f>SUM(W335)</f>
        <v>0</v>
      </c>
      <c r="X336" s="3"/>
      <c r="Y336" s="116">
        <f>SUM(Y335)</f>
        <v>0</v>
      </c>
      <c r="Z336" s="116">
        <f>SUM(Z335)</f>
        <v>0</v>
      </c>
      <c r="AA336" s="116">
        <f>SUM(AA335)</f>
        <v>0</v>
      </c>
      <c r="AB336" s="116">
        <f>SUM(AB335)</f>
        <v>0</v>
      </c>
      <c r="AC336" s="116">
        <f>SUM(AC335)</f>
        <v>0</v>
      </c>
      <c r="AD336" s="117" t="e">
        <f>ROUND(SUM(-G336,H336:L336),0)</f>
        <v>#VALUE!</v>
      </c>
      <c r="AE336" s="117" t="e">
        <f>ROUND(H336-O336-P336-Q336-R336,0)</f>
        <v>#VALUE!</v>
      </c>
      <c r="AF336" s="117" t="e">
        <f>ROUND(I336-T336-U336-V336-W336,0)</f>
        <v>#VALUE!</v>
      </c>
      <c r="AG336" s="117" t="e">
        <f>ROUND(J336-Y336-Z336-AA336-AC336-AB336,0)</f>
        <v>#VALUE!</v>
      </c>
      <c r="AH336" s="116"/>
      <c r="AI336">
        <f t="shared" si="131"/>
        <v>529</v>
      </c>
      <c r="AJ336" t="str">
        <f t="shared" si="120"/>
        <v>NA</v>
      </c>
      <c r="AK336" t="str">
        <f>IF(ISERROR(MATCH(AI336&amp;"."&amp;AJ336,AK$91:AK335,0)),AI336&amp;"."&amp;AJ336,AI336&amp;"."&amp;AJ336&amp;COUNTIFS(AI$91:AI335,AI336,AJ$91:AJ335,AJ336))</f>
        <v>529.NA1</v>
      </c>
    </row>
    <row r="337" spans="1:37" ht="15" hidden="1">
      <c r="A337" s="120">
        <f>ROW()</f>
        <v>337</v>
      </c>
      <c r="B337" s="120"/>
      <c r="C337" s="1"/>
      <c r="E337" s="121"/>
      <c r="F337" s="138"/>
      <c r="G337" s="119"/>
      <c r="X337" s="3"/>
      <c r="AD337" s="119"/>
      <c r="AE337" s="119"/>
      <c r="AF337" s="119"/>
      <c r="AG337" s="119"/>
      <c r="AI337">
        <f t="shared" si="131"/>
        <v>529</v>
      </c>
      <c r="AJ337" t="str">
        <f t="shared" si="120"/>
        <v>NA</v>
      </c>
      <c r="AK337" t="str">
        <f>IF(ISERROR(MATCH(AI337&amp;"."&amp;AJ337,AK$91:AK336,0)),AI337&amp;"."&amp;AJ337,AI337&amp;"."&amp;AJ337&amp;COUNTIFS(AI$91:AI336,AI337,AJ$91:AJ336,AJ337))</f>
        <v>529.NA2</v>
      </c>
    </row>
    <row r="338" spans="1:37" ht="15" hidden="1">
      <c r="A338" s="120">
        <f>ROW()</f>
        <v>338</v>
      </c>
      <c r="B338" s="120"/>
      <c r="C338" s="1">
        <v>530</v>
      </c>
      <c r="D338" s="2" t="s">
        <v>203</v>
      </c>
      <c r="E338" s="121"/>
      <c r="F338" s="138"/>
      <c r="G338" s="119"/>
      <c r="X338" s="3"/>
      <c r="AD338" s="119"/>
      <c r="AE338" s="119"/>
      <c r="AF338" s="119"/>
      <c r="AG338" s="119"/>
      <c r="AI338">
        <f t="shared" si="131"/>
        <v>530</v>
      </c>
      <c r="AJ338" t="str">
        <f t="shared" si="120"/>
        <v>NA</v>
      </c>
      <c r="AK338" t="str">
        <f>IF(ISERROR(MATCH(AI338&amp;"."&amp;AJ338,AK$91:AK337,0)),AI338&amp;"."&amp;AJ338,AI338&amp;"."&amp;AJ338&amp;COUNTIFS(AI$91:AI337,AI338,AJ$91:AJ337,AJ338))</f>
        <v>530.NA</v>
      </c>
    </row>
    <row r="339" spans="1:37" ht="15" hidden="1">
      <c r="A339" s="120">
        <f>ROW()</f>
        <v>339</v>
      </c>
      <c r="B339" s="120"/>
      <c r="C339" s="1"/>
      <c r="E339" s="120" t="s">
        <v>15</v>
      </c>
      <c r="F339" s="138" t="str">
        <f>INDEX(FuncAllocOptions,ROW(A339)-ROW($A$92)+1,[4]Inputs!$S$11)</f>
        <v>P</v>
      </c>
      <c r="G339" s="133" t="e">
        <f>SUMIF(FERCJAMFactor,AK339,JAMValue)</f>
        <v>#VALUE!</v>
      </c>
      <c r="H339" s="139" t="e">
        <f>INDEX(FuncFactorTbl,MATCH($F339,FuncFactors,0),MATCH(H$8,Functions,0))*$G339</f>
        <v>#VALUE!</v>
      </c>
      <c r="I339" s="139" t="e">
        <f>INDEX(FuncFactorTbl,MATCH($F339,FuncFactors,0),MATCH(I$8,Functions,0))*$G339</f>
        <v>#VALUE!</v>
      </c>
      <c r="J339" s="139" t="e">
        <f>INDEX(FuncFactorTbl,MATCH($F339,FuncFactors,0),MATCH(J$8,Functions,0))*$G339</f>
        <v>#VALUE!</v>
      </c>
      <c r="K339" s="139" t="e">
        <f>INDEX(FuncFactorTbl,MATCH($F339,FuncFactors,0),MATCH(K$8,Functions,0))*$G339</f>
        <v>#VALUE!</v>
      </c>
      <c r="L339" s="139" t="e">
        <f>INDEX(FuncFactorTbl,MATCH($F339,FuncFactors,0),MATCH(L$8,Functions,0))*$G339</f>
        <v>#VALUE!</v>
      </c>
      <c r="N339" s="108">
        <v>0.75</v>
      </c>
      <c r="O339" s="116" t="e">
        <f>$H339*$N339*$M339</f>
        <v>#VALUE!</v>
      </c>
      <c r="P339" s="116" t="e">
        <f>$H339*(1-$N339)*$M339</f>
        <v>#VALUE!</v>
      </c>
      <c r="Q339" s="116" t="e">
        <f>$H339*$N339*(1-$M339)</f>
        <v>#VALUE!</v>
      </c>
      <c r="R339" s="116" t="e">
        <f>$H339*(1-$N339)*(1-$M339)</f>
        <v>#VALUE!</v>
      </c>
      <c r="T339" s="116">
        <v>0</v>
      </c>
      <c r="U339" s="116">
        <v>0</v>
      </c>
      <c r="V339" s="116">
        <v>0</v>
      </c>
      <c r="W339" s="116">
        <v>0</v>
      </c>
      <c r="X339" s="3"/>
      <c r="AD339" s="117" t="e">
        <f>ROUND(SUM(-G339,H339:L339),0)</f>
        <v>#VALUE!</v>
      </c>
      <c r="AE339" s="117" t="e">
        <f>ROUND(H339-O339-P339-Q339-R339,0)</f>
        <v>#VALUE!</v>
      </c>
      <c r="AF339" s="117" t="e">
        <f>ROUND(I339-T339-U339-V339-W339,0)</f>
        <v>#VALUE!</v>
      </c>
      <c r="AG339" s="117" t="e">
        <f>ROUND(J339-Y339-Z339-AA339-AC339-AB339,0)</f>
        <v>#VALUE!</v>
      </c>
      <c r="AH339" s="116"/>
      <c r="AI339">
        <f t="shared" si="131"/>
        <v>530</v>
      </c>
      <c r="AJ339" t="str">
        <f t="shared" si="120"/>
        <v>SG</v>
      </c>
      <c r="AK339" t="str">
        <f>IF(ISERROR(MATCH(AI339&amp;"."&amp;AJ339,AK$91:AK338,0)),AI339&amp;"."&amp;AJ339,AI339&amp;"."&amp;AJ339&amp;COUNTIFS(AI$91:AI338,AI339,AJ$91:AJ338,AJ339))</f>
        <v>530.SG</v>
      </c>
    </row>
    <row r="340" spans="1:37" ht="15" hidden="1">
      <c r="A340" s="120">
        <f>ROW()</f>
        <v>340</v>
      </c>
      <c r="B340" s="120"/>
      <c r="C340" s="1"/>
      <c r="E340" s="121"/>
      <c r="F340" s="138"/>
      <c r="G340" s="117" t="e">
        <f t="shared" ref="G340:L340" si="138">SUM(G339)</f>
        <v>#VALUE!</v>
      </c>
      <c r="H340" s="116" t="e">
        <f t="shared" si="138"/>
        <v>#VALUE!</v>
      </c>
      <c r="I340" s="116" t="e">
        <f t="shared" si="138"/>
        <v>#VALUE!</v>
      </c>
      <c r="J340" s="116" t="e">
        <f t="shared" si="138"/>
        <v>#VALUE!</v>
      </c>
      <c r="K340" s="116" t="e">
        <f t="shared" si="138"/>
        <v>#VALUE!</v>
      </c>
      <c r="L340" s="116" t="e">
        <f t="shared" si="138"/>
        <v>#VALUE!</v>
      </c>
      <c r="O340" s="116" t="e">
        <f>SUM(O339)</f>
        <v>#VALUE!</v>
      </c>
      <c r="P340" s="116" t="e">
        <f>SUM(P339)</f>
        <v>#VALUE!</v>
      </c>
      <c r="Q340" s="116" t="e">
        <f>SUM(Q339)</f>
        <v>#VALUE!</v>
      </c>
      <c r="R340" s="116" t="e">
        <f>SUM(R339)</f>
        <v>#VALUE!</v>
      </c>
      <c r="T340" s="116">
        <f>SUM(T339)</f>
        <v>0</v>
      </c>
      <c r="U340" s="116">
        <f>SUM(U339)</f>
        <v>0</v>
      </c>
      <c r="V340" s="116">
        <f>SUM(V339)</f>
        <v>0</v>
      </c>
      <c r="W340" s="116">
        <f>SUM(W339)</f>
        <v>0</v>
      </c>
      <c r="X340" s="3"/>
      <c r="Y340" s="116">
        <f>SUM(Y339)</f>
        <v>0</v>
      </c>
      <c r="Z340" s="116">
        <f>SUM(Z339)</f>
        <v>0</v>
      </c>
      <c r="AA340" s="116">
        <f>SUM(AA339)</f>
        <v>0</v>
      </c>
      <c r="AB340" s="116">
        <f>SUM(AB339)</f>
        <v>0</v>
      </c>
      <c r="AC340" s="116">
        <f>SUM(AC339)</f>
        <v>0</v>
      </c>
      <c r="AD340" s="117" t="e">
        <f>ROUND(SUM(-G340,H340:L340),0)</f>
        <v>#VALUE!</v>
      </c>
      <c r="AE340" s="117" t="e">
        <f>ROUND(H340-O340-P340-Q340-R340,0)</f>
        <v>#VALUE!</v>
      </c>
      <c r="AF340" s="117" t="e">
        <f>ROUND(I340-T340-U340-V340-W340,0)</f>
        <v>#VALUE!</v>
      </c>
      <c r="AG340" s="117" t="e">
        <f>ROUND(J340-Y340-Z340-AA340-AC340-AB340,0)</f>
        <v>#VALUE!</v>
      </c>
      <c r="AH340" s="116"/>
      <c r="AI340">
        <f t="shared" si="131"/>
        <v>530</v>
      </c>
      <c r="AJ340" t="str">
        <f t="shared" si="120"/>
        <v>NA</v>
      </c>
      <c r="AK340" t="str">
        <f>IF(ISERROR(MATCH(AI340&amp;"."&amp;AJ340,AK$91:AK339,0)),AI340&amp;"."&amp;AJ340,AI340&amp;"."&amp;AJ340&amp;COUNTIFS(AI$91:AI339,AI340,AJ$91:AJ339,AJ340))</f>
        <v>530.NA1</v>
      </c>
    </row>
    <row r="341" spans="1:37" ht="15" hidden="1">
      <c r="A341" s="120">
        <f>ROW()</f>
        <v>341</v>
      </c>
      <c r="B341" s="120"/>
      <c r="C341" s="1"/>
      <c r="E341" s="121"/>
      <c r="F341" s="138"/>
      <c r="G341" s="119"/>
      <c r="X341" s="3"/>
      <c r="AD341" s="119"/>
      <c r="AE341" s="119"/>
      <c r="AF341" s="119"/>
      <c r="AG341" s="119"/>
      <c r="AI341">
        <f t="shared" si="131"/>
        <v>530</v>
      </c>
      <c r="AJ341" t="str">
        <f t="shared" si="120"/>
        <v>NA</v>
      </c>
      <c r="AK341" t="str">
        <f>IF(ISERROR(MATCH(AI341&amp;"."&amp;AJ341,AK$91:AK340,0)),AI341&amp;"."&amp;AJ341,AI341&amp;"."&amp;AJ341&amp;COUNTIFS(AI$91:AI340,AI341,AJ$91:AJ340,AJ341))</f>
        <v>530.NA2</v>
      </c>
    </row>
    <row r="342" spans="1:37" ht="15" hidden="1">
      <c r="A342" s="120">
        <f>ROW()</f>
        <v>342</v>
      </c>
      <c r="B342" s="120"/>
      <c r="C342" s="1">
        <v>531</v>
      </c>
      <c r="D342" s="2" t="s">
        <v>191</v>
      </c>
      <c r="E342" s="121"/>
      <c r="F342" s="138"/>
      <c r="G342" s="119"/>
      <c r="X342" s="3"/>
      <c r="AD342" s="119"/>
      <c r="AE342" s="119"/>
      <c r="AF342" s="119"/>
      <c r="AG342" s="119"/>
      <c r="AI342">
        <f t="shared" si="131"/>
        <v>531</v>
      </c>
      <c r="AJ342" t="str">
        <f t="shared" si="120"/>
        <v>NA</v>
      </c>
      <c r="AK342" t="str">
        <f>IF(ISERROR(MATCH(AI342&amp;"."&amp;AJ342,AK$91:AK341,0)),AI342&amp;"."&amp;AJ342,AI342&amp;"."&amp;AJ342&amp;COUNTIFS(AI$91:AI341,AI342,AJ$91:AJ341,AJ342))</f>
        <v>531.NA</v>
      </c>
    </row>
    <row r="343" spans="1:37" ht="15" hidden="1">
      <c r="A343" s="120">
        <f>ROW()</f>
        <v>343</v>
      </c>
      <c r="B343" s="120"/>
      <c r="C343" s="1"/>
      <c r="E343" s="120" t="s">
        <v>15</v>
      </c>
      <c r="F343" s="138" t="str">
        <f>INDEX(FuncAllocOptions,ROW(A343)-ROW($A$92)+1,[4]Inputs!$S$11)</f>
        <v>P</v>
      </c>
      <c r="G343" s="133" t="e">
        <f>SUMIF(FERCJAMFactor,AK343,JAMValue)</f>
        <v>#VALUE!</v>
      </c>
      <c r="H343" s="139" t="e">
        <f>INDEX(FuncFactorTbl,MATCH($F343,FuncFactors,0),MATCH(H$8,Functions,0))*$G343</f>
        <v>#VALUE!</v>
      </c>
      <c r="I343" s="139" t="e">
        <f>INDEX(FuncFactorTbl,MATCH($F343,FuncFactors,0),MATCH(I$8,Functions,0))*$G343</f>
        <v>#VALUE!</v>
      </c>
      <c r="J343" s="139" t="e">
        <f>INDEX(FuncFactorTbl,MATCH($F343,FuncFactors,0),MATCH(J$8,Functions,0))*$G343</f>
        <v>#VALUE!</v>
      </c>
      <c r="K343" s="139" t="e">
        <f>INDEX(FuncFactorTbl,MATCH($F343,FuncFactors,0),MATCH(K$8,Functions,0))*$G343</f>
        <v>#VALUE!</v>
      </c>
      <c r="L343" s="139" t="e">
        <f>INDEX(FuncFactorTbl,MATCH($F343,FuncFactors,0),MATCH(L$8,Functions,0))*$G343</f>
        <v>#VALUE!</v>
      </c>
      <c r="N343" s="108">
        <v>0.75</v>
      </c>
      <c r="O343" s="116" t="e">
        <f>$H343*$N343*$M343</f>
        <v>#VALUE!</v>
      </c>
      <c r="P343" s="116" t="e">
        <f>$H343*(1-$N343)*$M343</f>
        <v>#VALUE!</v>
      </c>
      <c r="Q343" s="116" t="e">
        <f>$H343*$N343*(1-$M343)</f>
        <v>#VALUE!</v>
      </c>
      <c r="R343" s="116" t="e">
        <f>$H343*(1-$N343)*(1-$M343)</f>
        <v>#VALUE!</v>
      </c>
      <c r="T343" s="116">
        <v>0</v>
      </c>
      <c r="U343" s="116">
        <v>0</v>
      </c>
      <c r="V343" s="116">
        <v>0</v>
      </c>
      <c r="W343" s="116">
        <v>0</v>
      </c>
      <c r="X343" s="3"/>
      <c r="AD343" s="117" t="e">
        <f>ROUND(SUM(-G343,H343:L343),0)</f>
        <v>#VALUE!</v>
      </c>
      <c r="AE343" s="117" t="e">
        <f>ROUND(H343-O343-P343-Q343-R343,0)</f>
        <v>#VALUE!</v>
      </c>
      <c r="AF343" s="117" t="e">
        <f>ROUND(I343-T343-U343-V343-W343,0)</f>
        <v>#VALUE!</v>
      </c>
      <c r="AG343" s="117" t="e">
        <f>ROUND(J343-Y343-Z343-AA343-AC343-AB343,0)</f>
        <v>#VALUE!</v>
      </c>
      <c r="AH343" s="116"/>
      <c r="AI343">
        <f t="shared" si="131"/>
        <v>531</v>
      </c>
      <c r="AJ343" t="str">
        <f t="shared" si="120"/>
        <v>SG</v>
      </c>
      <c r="AK343" t="str">
        <f>IF(ISERROR(MATCH(AI343&amp;"."&amp;AJ343,AK$91:AK342,0)),AI343&amp;"."&amp;AJ343,AI343&amp;"."&amp;AJ343&amp;COUNTIFS(AI$91:AI342,AI343,AJ$91:AJ342,AJ343))</f>
        <v>531.SG</v>
      </c>
    </row>
    <row r="344" spans="1:37" ht="15" hidden="1">
      <c r="A344" s="120">
        <f>ROW()</f>
        <v>344</v>
      </c>
      <c r="B344" s="120"/>
      <c r="C344" s="1"/>
      <c r="E344" s="121"/>
      <c r="F344" s="138"/>
      <c r="G344" s="117" t="e">
        <f t="shared" ref="G344:L344" si="139">SUM(G343)</f>
        <v>#VALUE!</v>
      </c>
      <c r="H344" s="116" t="e">
        <f t="shared" si="139"/>
        <v>#VALUE!</v>
      </c>
      <c r="I344" s="116" t="e">
        <f t="shared" si="139"/>
        <v>#VALUE!</v>
      </c>
      <c r="J344" s="116" t="e">
        <f t="shared" si="139"/>
        <v>#VALUE!</v>
      </c>
      <c r="K344" s="116" t="e">
        <f t="shared" si="139"/>
        <v>#VALUE!</v>
      </c>
      <c r="L344" s="116" t="e">
        <f t="shared" si="139"/>
        <v>#VALUE!</v>
      </c>
      <c r="O344" s="116" t="e">
        <f>SUM(O343)</f>
        <v>#VALUE!</v>
      </c>
      <c r="P344" s="116" t="e">
        <f>SUM(P343)</f>
        <v>#VALUE!</v>
      </c>
      <c r="Q344" s="116" t="e">
        <f>SUM(Q343)</f>
        <v>#VALUE!</v>
      </c>
      <c r="R344" s="116" t="e">
        <f>SUM(R343)</f>
        <v>#VALUE!</v>
      </c>
      <c r="T344" s="116">
        <f>SUM(T343)</f>
        <v>0</v>
      </c>
      <c r="U344" s="116">
        <f>SUM(U343)</f>
        <v>0</v>
      </c>
      <c r="V344" s="116">
        <f>SUM(V343)</f>
        <v>0</v>
      </c>
      <c r="W344" s="116">
        <f>SUM(W343)</f>
        <v>0</v>
      </c>
      <c r="X344" s="3"/>
      <c r="Y344" s="116">
        <f>SUM(Y343)</f>
        <v>0</v>
      </c>
      <c r="Z344" s="116">
        <f>SUM(Z343)</f>
        <v>0</v>
      </c>
      <c r="AA344" s="116">
        <f>SUM(AA343)</f>
        <v>0</v>
      </c>
      <c r="AB344" s="116">
        <f>SUM(AB343)</f>
        <v>0</v>
      </c>
      <c r="AC344" s="116">
        <f>SUM(AC343)</f>
        <v>0</v>
      </c>
      <c r="AD344" s="117" t="e">
        <f>ROUND(SUM(-G344,H344:L344),0)</f>
        <v>#VALUE!</v>
      </c>
      <c r="AE344" s="117" t="e">
        <f>ROUND(H344-O344-P344-Q344-R344,0)</f>
        <v>#VALUE!</v>
      </c>
      <c r="AF344" s="117" t="e">
        <f>ROUND(I344-T344-U344-V344-W344,0)</f>
        <v>#VALUE!</v>
      </c>
      <c r="AG344" s="117" t="e">
        <f>ROUND(J344-Y344-Z344-AA344-AC344-AB344,0)</f>
        <v>#VALUE!</v>
      </c>
      <c r="AH344" s="116"/>
      <c r="AI344">
        <f t="shared" si="131"/>
        <v>531</v>
      </c>
      <c r="AJ344" t="str">
        <f t="shared" si="120"/>
        <v>NA</v>
      </c>
      <c r="AK344" t="str">
        <f>IF(ISERROR(MATCH(AI344&amp;"."&amp;AJ344,AK$91:AK343,0)),AI344&amp;"."&amp;AJ344,AI344&amp;"."&amp;AJ344&amp;COUNTIFS(AI$91:AI343,AI344,AJ$91:AJ343,AJ344))</f>
        <v>531.NA1</v>
      </c>
    </row>
    <row r="345" spans="1:37" ht="15" hidden="1">
      <c r="A345" s="120">
        <f>ROW()</f>
        <v>345</v>
      </c>
      <c r="B345" s="120"/>
      <c r="C345" s="1"/>
      <c r="E345" s="121"/>
      <c r="F345" s="138"/>
      <c r="G345" s="119"/>
      <c r="X345" s="3"/>
      <c r="AD345" s="119"/>
      <c r="AE345" s="119"/>
      <c r="AF345" s="119"/>
      <c r="AG345" s="119"/>
      <c r="AI345">
        <f t="shared" ref="AI345:AI376" si="140">IF(OR(C345="",C345=" ",C345="  ",C345="   "),AI344,C345)</f>
        <v>531</v>
      </c>
      <c r="AJ345" t="str">
        <f t="shared" si="120"/>
        <v>NA</v>
      </c>
      <c r="AK345" t="str">
        <f>IF(ISERROR(MATCH(AI345&amp;"."&amp;AJ345,AK$91:AK344,0)),AI345&amp;"."&amp;AJ345,AI345&amp;"."&amp;AJ345&amp;COUNTIFS(AI$91:AI344,AI345,AJ$91:AJ344,AJ345))</f>
        <v>531.NA2</v>
      </c>
    </row>
    <row r="346" spans="1:37" ht="15" hidden="1">
      <c r="A346" s="120">
        <f>ROW()</f>
        <v>346</v>
      </c>
      <c r="B346" s="120"/>
      <c r="C346" s="1">
        <v>532</v>
      </c>
      <c r="D346" s="2" t="s">
        <v>212</v>
      </c>
      <c r="E346" s="121"/>
      <c r="F346" s="138"/>
      <c r="G346" s="119"/>
      <c r="X346" s="3"/>
      <c r="AD346" s="119"/>
      <c r="AE346" s="119"/>
      <c r="AF346" s="119"/>
      <c r="AG346" s="119"/>
      <c r="AI346">
        <f t="shared" si="140"/>
        <v>532</v>
      </c>
      <c r="AJ346" t="str">
        <f t="shared" si="120"/>
        <v>NA</v>
      </c>
      <c r="AK346" t="str">
        <f>IF(ISERROR(MATCH(AI346&amp;"."&amp;AJ346,AK$91:AK345,0)),AI346&amp;"."&amp;AJ346,AI346&amp;"."&amp;AJ346&amp;COUNTIFS(AI$91:AI345,AI346,AJ$91:AJ345,AJ346))</f>
        <v>532.NA</v>
      </c>
    </row>
    <row r="347" spans="1:37" ht="15" hidden="1">
      <c r="A347" s="120">
        <f>ROW()</f>
        <v>347</v>
      </c>
      <c r="B347" s="120"/>
      <c r="E347" s="120" t="s">
        <v>15</v>
      </c>
      <c r="F347" s="138" t="str">
        <f>INDEX(FuncAllocOptions,ROW(A347)-ROW($A$92)+1,[4]Inputs!$S$11)</f>
        <v>P</v>
      </c>
      <c r="G347" s="133" t="e">
        <f>SUMIF(FERCJAMFactor,AK347,JAMValue)</f>
        <v>#VALUE!</v>
      </c>
      <c r="H347" s="139" t="e">
        <f>INDEX(FuncFactorTbl,MATCH($F347,FuncFactors,0),MATCH(H$8,Functions,0))*$G347</f>
        <v>#VALUE!</v>
      </c>
      <c r="I347" s="139" t="e">
        <f>INDEX(FuncFactorTbl,MATCH($F347,FuncFactors,0),MATCH(I$8,Functions,0))*$G347</f>
        <v>#VALUE!</v>
      </c>
      <c r="J347" s="139" t="e">
        <f>INDEX(FuncFactorTbl,MATCH($F347,FuncFactors,0),MATCH(J$8,Functions,0))*$G347</f>
        <v>#VALUE!</v>
      </c>
      <c r="K347" s="139" t="e">
        <f>INDEX(FuncFactorTbl,MATCH($F347,FuncFactors,0),MATCH(K$8,Functions,0))*$G347</f>
        <v>#VALUE!</v>
      </c>
      <c r="L347" s="139" t="e">
        <f>INDEX(FuncFactorTbl,MATCH($F347,FuncFactors,0),MATCH(L$8,Functions,0))*$G347</f>
        <v>#VALUE!</v>
      </c>
      <c r="N347" s="108">
        <v>0.75</v>
      </c>
      <c r="O347" s="116" t="e">
        <f>$H347*$N347*$M347</f>
        <v>#VALUE!</v>
      </c>
      <c r="P347" s="116" t="e">
        <f>$H347*(1-$N347)*$M347</f>
        <v>#VALUE!</v>
      </c>
      <c r="Q347" s="116" t="e">
        <f>$H347*$N347*(1-$M347)</f>
        <v>#VALUE!</v>
      </c>
      <c r="R347" s="116" t="e">
        <f>$H347*(1-$N347)*(1-$M347)</f>
        <v>#VALUE!</v>
      </c>
      <c r="T347" s="116">
        <v>0</v>
      </c>
      <c r="U347" s="116">
        <v>0</v>
      </c>
      <c r="V347" s="116">
        <v>0</v>
      </c>
      <c r="W347" s="116">
        <v>0</v>
      </c>
      <c r="X347" s="3"/>
      <c r="AD347" s="117" t="e">
        <f>ROUND(SUM(-G347,H347:L347),0)</f>
        <v>#VALUE!</v>
      </c>
      <c r="AE347" s="117" t="e">
        <f>ROUND(H347-O347-P347-Q347-R347,0)</f>
        <v>#VALUE!</v>
      </c>
      <c r="AF347" s="117" t="e">
        <f>ROUND(I347-T347-U347-V347-W347,0)</f>
        <v>#VALUE!</v>
      </c>
      <c r="AG347" s="117" t="e">
        <f>ROUND(J347-Y347-Z347-AA347-AC347-AB347,0)</f>
        <v>#VALUE!</v>
      </c>
      <c r="AH347" s="116"/>
      <c r="AI347">
        <f t="shared" si="140"/>
        <v>532</v>
      </c>
      <c r="AJ347" t="str">
        <f t="shared" si="120"/>
        <v>SG</v>
      </c>
      <c r="AK347" t="str">
        <f>IF(ISERROR(MATCH(AI347&amp;"."&amp;AJ347,AK$91:AK346,0)),AI347&amp;"."&amp;AJ347,AI347&amp;"."&amp;AJ347&amp;COUNTIFS(AI$91:AI346,AI347,AJ$91:AJ346,AJ347))</f>
        <v>532.SG</v>
      </c>
    </row>
    <row r="348" spans="1:37" ht="15" hidden="1">
      <c r="A348" s="120">
        <f>ROW()</f>
        <v>348</v>
      </c>
      <c r="B348" s="120"/>
      <c r="E348" s="121"/>
      <c r="F348" s="138"/>
      <c r="G348" s="117" t="e">
        <f t="shared" ref="G348:L348" si="141">SUM(G347)</f>
        <v>#VALUE!</v>
      </c>
      <c r="H348" s="116" t="e">
        <f t="shared" si="141"/>
        <v>#VALUE!</v>
      </c>
      <c r="I348" s="116" t="e">
        <f t="shared" si="141"/>
        <v>#VALUE!</v>
      </c>
      <c r="J348" s="116" t="e">
        <f t="shared" si="141"/>
        <v>#VALUE!</v>
      </c>
      <c r="K348" s="116" t="e">
        <f t="shared" si="141"/>
        <v>#VALUE!</v>
      </c>
      <c r="L348" s="116" t="e">
        <f t="shared" si="141"/>
        <v>#VALUE!</v>
      </c>
      <c r="O348" s="116" t="e">
        <f>SUM(O347)</f>
        <v>#VALUE!</v>
      </c>
      <c r="P348" s="116" t="e">
        <f>SUM(P347)</f>
        <v>#VALUE!</v>
      </c>
      <c r="Q348" s="116" t="e">
        <f>SUM(Q347)</f>
        <v>#VALUE!</v>
      </c>
      <c r="R348" s="116" t="e">
        <f>SUM(R347)</f>
        <v>#VALUE!</v>
      </c>
      <c r="T348" s="116">
        <f>SUM(T347)</f>
        <v>0</v>
      </c>
      <c r="U348" s="116">
        <f>SUM(U347)</f>
        <v>0</v>
      </c>
      <c r="V348" s="116">
        <f>SUM(V347)</f>
        <v>0</v>
      </c>
      <c r="W348" s="116">
        <f>SUM(W347)</f>
        <v>0</v>
      </c>
      <c r="X348" s="3"/>
      <c r="Y348" s="116">
        <f>SUM(Y347)</f>
        <v>0</v>
      </c>
      <c r="Z348" s="116">
        <f>SUM(Z347)</f>
        <v>0</v>
      </c>
      <c r="AA348" s="116">
        <f>SUM(AA347)</f>
        <v>0</v>
      </c>
      <c r="AB348" s="116">
        <f>SUM(AB347)</f>
        <v>0</v>
      </c>
      <c r="AC348" s="116">
        <f>SUM(AC347)</f>
        <v>0</v>
      </c>
      <c r="AD348" s="117" t="e">
        <f>ROUND(SUM(-G348,H348:L348),0)</f>
        <v>#VALUE!</v>
      </c>
      <c r="AE348" s="117" t="e">
        <f>ROUND(H348-O348-P348-Q348-R348,0)</f>
        <v>#VALUE!</v>
      </c>
      <c r="AF348" s="117" t="e">
        <f>ROUND(I348-T348-U348-V348-W348,0)</f>
        <v>#VALUE!</v>
      </c>
      <c r="AG348" s="117" t="e">
        <f>ROUND(J348-Y348-Z348-AA348-AC348-AB348,0)</f>
        <v>#VALUE!</v>
      </c>
      <c r="AH348" s="116"/>
      <c r="AI348">
        <f t="shared" si="140"/>
        <v>532</v>
      </c>
      <c r="AJ348" t="str">
        <f t="shared" si="120"/>
        <v>NA</v>
      </c>
      <c r="AK348" t="str">
        <f>IF(ISERROR(MATCH(AI348&amp;"."&amp;AJ348,AK$91:AK347,0)),AI348&amp;"."&amp;AJ348,AI348&amp;"."&amp;AJ348&amp;COUNTIFS(AI$91:AI347,AI348,AJ$91:AJ347,AJ348))</f>
        <v>532.NA1</v>
      </c>
    </row>
    <row r="349" spans="1:37" ht="15" hidden="1">
      <c r="A349" s="120">
        <f>ROW()</f>
        <v>349</v>
      </c>
      <c r="B349" s="120"/>
      <c r="E349" s="121"/>
      <c r="F349" s="138"/>
      <c r="G349" s="119"/>
      <c r="X349" s="3"/>
      <c r="AD349" s="119"/>
      <c r="AE349" s="119"/>
      <c r="AF349" s="119"/>
      <c r="AG349" s="119"/>
      <c r="AI349">
        <f t="shared" si="140"/>
        <v>532</v>
      </c>
      <c r="AJ349" t="str">
        <f t="shared" ref="AJ349:AJ412" si="142">IF(E349="","NA",E349)</f>
        <v>NA</v>
      </c>
      <c r="AK349" t="str">
        <f>IF(ISERROR(MATCH(AI349&amp;"."&amp;AJ349,AK$91:AK348,0)),AI349&amp;"."&amp;AJ349,AI349&amp;"."&amp;AJ349&amp;COUNTIFS(AI$91:AI348,AI349,AJ$91:AJ348,AJ349))</f>
        <v>532.NA2</v>
      </c>
    </row>
    <row r="350" spans="1:37" ht="15.75" hidden="1" thickBot="1">
      <c r="A350" s="120">
        <f>ROW()</f>
        <v>350</v>
      </c>
      <c r="B350" s="120"/>
      <c r="C350" s="110" t="s">
        <v>217</v>
      </c>
      <c r="E350" s="121"/>
      <c r="F350" s="138"/>
      <c r="G350" s="153" t="e">
        <f t="shared" ref="G350:L350" si="143">G307+G311+G316+G320+G324+G328+G332+G336+G340+G344+G348</f>
        <v>#VALUE!</v>
      </c>
      <c r="H350" s="152" t="e">
        <f t="shared" si="143"/>
        <v>#VALUE!</v>
      </c>
      <c r="I350" s="152" t="e">
        <f t="shared" si="143"/>
        <v>#VALUE!</v>
      </c>
      <c r="J350" s="152" t="e">
        <f t="shared" si="143"/>
        <v>#VALUE!</v>
      </c>
      <c r="K350" s="152" t="e">
        <f t="shared" si="143"/>
        <v>#VALUE!</v>
      </c>
      <c r="L350" s="152" t="e">
        <f t="shared" si="143"/>
        <v>#VALUE!</v>
      </c>
      <c r="O350" s="116" t="e">
        <f>O307+O311+O316+O320+O324+O328+O332+O336+O340+O344+O348</f>
        <v>#VALUE!</v>
      </c>
      <c r="P350" s="116" t="e">
        <f>P307+P311+P316+P320+P324+P328+P332+P336+P340+P344+P348</f>
        <v>#VALUE!</v>
      </c>
      <c r="Q350" s="116" t="e">
        <f>Q307+Q311+Q316+Q320+Q324+Q328+Q332+Q336+Q340+Q344+Q348</f>
        <v>#VALUE!</v>
      </c>
      <c r="R350" s="116" t="e">
        <f>R307+R311+R316+R320+R324+R328+R332+R336+R340+R344+R348</f>
        <v>#VALUE!</v>
      </c>
      <c r="S350" s="116"/>
      <c r="T350" s="116">
        <f>T307+T311+T316+T320+T324+T328+T332+T336+T340+T344+T348</f>
        <v>0</v>
      </c>
      <c r="U350" s="116">
        <f>U307+U311+U316+U320+U324+U328+U332+U336+U340+U344+U348</f>
        <v>0</v>
      </c>
      <c r="V350" s="116">
        <f>V307+V311+V316+V320+V324+V328+V332+V336+V340+V344+V348</f>
        <v>0</v>
      </c>
      <c r="W350" s="116">
        <f>W307+W311+W316+W320+W324+W328+W332+W336+W340+W344+W348</f>
        <v>0</v>
      </c>
      <c r="X350" s="3"/>
      <c r="Y350" s="116">
        <f>Y307+Y311+Y316+Y320+Y324+Y328+Y332+Y336+Y340+Y344+Y348</f>
        <v>0</v>
      </c>
      <c r="Z350" s="116">
        <f>Z307+Z311+Z316+Z320+Z324+Z328+Z332+Z336+Z340+Z344+Z348</f>
        <v>0</v>
      </c>
      <c r="AA350" s="116">
        <f>AA307+AA311+AA316+AA320+AA324+AA328+AA332+AA336+AA340+AA344+AA348</f>
        <v>0</v>
      </c>
      <c r="AB350" s="116">
        <f>AB307+AB311+AB316+AB320+AB324+AB328+AB332+AB336+AB340+AB344+AB348</f>
        <v>0</v>
      </c>
      <c r="AC350" s="116">
        <f>AC307+AC311+AC316+AC320+AC324+AC328+AC332+AC336+AC340+AC344+AC348</f>
        <v>0</v>
      </c>
      <c r="AD350" s="117" t="e">
        <f>ROUND(SUM(-G350,H350:L350),0)</f>
        <v>#VALUE!</v>
      </c>
      <c r="AE350" s="117" t="e">
        <f>ROUND(H350-O350-P350-Q350-R350,0)</f>
        <v>#VALUE!</v>
      </c>
      <c r="AF350" s="117" t="e">
        <f>ROUND(I350-T350-U350-V350-W350,0)</f>
        <v>#VALUE!</v>
      </c>
      <c r="AG350" s="117" t="e">
        <f>ROUND(J350-Y350-Z350-AA350-AC350-AB350,0)</f>
        <v>#VALUE!</v>
      </c>
      <c r="AH350" s="116"/>
      <c r="AI350" t="str">
        <f t="shared" si="140"/>
        <v>Total Nuclear Power Generation</v>
      </c>
      <c r="AJ350" t="str">
        <f t="shared" si="142"/>
        <v>NA</v>
      </c>
      <c r="AK350" t="str">
        <f>IF(ISERROR(MATCH(AI350&amp;"."&amp;AJ350,AK$91:AK349,0)),AI350&amp;"."&amp;AJ350,AI350&amp;"."&amp;AJ350&amp;COUNTIFS(AI$91:AI349,AI350,AJ$91:AJ349,AJ350))</f>
        <v>Total Nuclear Power Generation.NA</v>
      </c>
    </row>
    <row r="351" spans="1:37" ht="15" hidden="1">
      <c r="A351" s="120">
        <f>ROW()</f>
        <v>351</v>
      </c>
      <c r="B351" s="120"/>
      <c r="E351" s="121"/>
      <c r="F351" s="138"/>
      <c r="G351" s="119"/>
      <c r="X351" s="3"/>
      <c r="AD351" s="119"/>
      <c r="AE351" s="119"/>
      <c r="AF351" s="119"/>
      <c r="AG351" s="119"/>
      <c r="AI351" t="str">
        <f t="shared" si="140"/>
        <v>Total Nuclear Power Generation</v>
      </c>
      <c r="AJ351" t="str">
        <f t="shared" si="142"/>
        <v>NA</v>
      </c>
      <c r="AK351" t="str">
        <f>IF(ISERROR(MATCH(AI351&amp;"."&amp;AJ351,AK$91:AK350,0)),AI351&amp;"."&amp;AJ351,AI351&amp;"."&amp;AJ351&amp;COUNTIFS(AI$91:AI350,AI351,AJ$91:AJ350,AJ351))</f>
        <v>Total Nuclear Power Generation.NA1</v>
      </c>
    </row>
    <row r="352" spans="1:37" ht="15" hidden="1">
      <c r="A352" s="120">
        <f>ROW()</f>
        <v>352</v>
      </c>
      <c r="B352" s="120"/>
      <c r="C352" s="1"/>
      <c r="E352" s="121"/>
      <c r="F352" s="138"/>
      <c r="G352" s="119"/>
      <c r="X352" s="3"/>
      <c r="AD352" s="119"/>
      <c r="AE352" s="119"/>
      <c r="AF352" s="119"/>
      <c r="AG352" s="119"/>
      <c r="AI352" t="str">
        <f t="shared" si="140"/>
        <v>Total Nuclear Power Generation</v>
      </c>
      <c r="AJ352" t="str">
        <f t="shared" si="142"/>
        <v>NA</v>
      </c>
      <c r="AK352" t="str">
        <f>IF(ISERROR(MATCH(AI352&amp;"."&amp;AJ352,AK$91:AK351,0)),AI352&amp;"."&amp;AJ352,AI352&amp;"."&amp;AJ352&amp;COUNTIFS(AI$91:AI351,AI352,AJ$91:AJ351,AJ352))</f>
        <v>Total Nuclear Power Generation.NA2</v>
      </c>
    </row>
    <row r="353" spans="1:37" ht="15" hidden="1">
      <c r="A353" s="120">
        <f>ROW()</f>
        <v>353</v>
      </c>
      <c r="B353" s="120"/>
      <c r="C353" s="1">
        <v>535</v>
      </c>
      <c r="D353" s="2" t="s">
        <v>194</v>
      </c>
      <c r="E353" s="121"/>
      <c r="F353" s="138"/>
      <c r="G353" s="119"/>
      <c r="X353" s="3"/>
      <c r="AD353" s="119"/>
      <c r="AE353" s="119"/>
      <c r="AF353" s="119"/>
      <c r="AG353" s="119"/>
      <c r="AI353">
        <f t="shared" si="140"/>
        <v>535</v>
      </c>
      <c r="AJ353" t="str">
        <f t="shared" si="142"/>
        <v>NA</v>
      </c>
      <c r="AK353" t="str">
        <f>IF(ISERROR(MATCH(AI353&amp;"."&amp;AJ353,AK$91:AK352,0)),AI353&amp;"."&amp;AJ353,AI353&amp;"."&amp;AJ353&amp;COUNTIFS(AI$91:AI352,AI353,AJ$91:AJ352,AJ353))</f>
        <v>535.NA</v>
      </c>
    </row>
    <row r="354" spans="1:37" ht="15" hidden="1">
      <c r="A354" s="120">
        <f>ROW()</f>
        <v>354</v>
      </c>
      <c r="B354" s="120"/>
      <c r="C354" s="1"/>
      <c r="E354" s="121" t="s">
        <v>15</v>
      </c>
      <c r="F354" s="138" t="str">
        <f>INDEX(FuncAllocOptions,ROW(A354)-ROW($A$92)+1,[4]Inputs!$S$11)</f>
        <v>P</v>
      </c>
      <c r="G354" s="117" t="e">
        <f>SUMIF(FERCJAMFactor,AK354,JAMValue)</f>
        <v>#VALUE!</v>
      </c>
      <c r="H354" s="116" t="e">
        <f t="shared" ref="H354:L355" si="144">INDEX(FuncFactorTbl,MATCH($F354,FuncFactors,0),MATCH(H$8,Functions,0))*$G354</f>
        <v>#VALUE!</v>
      </c>
      <c r="I354" s="116" t="e">
        <f t="shared" si="144"/>
        <v>#VALUE!</v>
      </c>
      <c r="J354" s="116" t="e">
        <f t="shared" si="144"/>
        <v>#VALUE!</v>
      </c>
      <c r="K354" s="116" t="e">
        <f t="shared" si="144"/>
        <v>#VALUE!</v>
      </c>
      <c r="L354" s="116" t="e">
        <f t="shared" si="144"/>
        <v>#VALUE!</v>
      </c>
      <c r="N354" s="108">
        <v>0.75</v>
      </c>
      <c r="O354" s="116" t="e">
        <f>$H354*$N354*$M354</f>
        <v>#VALUE!</v>
      </c>
      <c r="P354" s="116" t="e">
        <f>$H354*(1-$N354)*$M354</f>
        <v>#VALUE!</v>
      </c>
      <c r="Q354" s="116" t="e">
        <f>$H354*$N354*(1-$M354)</f>
        <v>#VALUE!</v>
      </c>
      <c r="R354" s="116" t="e">
        <f>$H354*(1-$N354)*(1-$M354)</f>
        <v>#VALUE!</v>
      </c>
      <c r="T354" s="116">
        <v>0</v>
      </c>
      <c r="U354" s="116">
        <v>0</v>
      </c>
      <c r="V354" s="116">
        <v>0</v>
      </c>
      <c r="W354" s="116">
        <v>0</v>
      </c>
      <c r="X354" s="3"/>
      <c r="AD354" s="117" t="e">
        <f>ROUND(SUM(-G354,H354:L354),0)</f>
        <v>#VALUE!</v>
      </c>
      <c r="AE354" s="117" t="e">
        <f>ROUND(H354-O354-P354-Q354-R354,0)</f>
        <v>#VALUE!</v>
      </c>
      <c r="AF354" s="117" t="e">
        <f>ROUND(I354-T354-U354-V354-W354,0)</f>
        <v>#VALUE!</v>
      </c>
      <c r="AG354" s="117" t="e">
        <f>ROUND(J354-Y354-Z354-AA354-AC354-AB354,0)</f>
        <v>#VALUE!</v>
      </c>
      <c r="AH354" s="116"/>
      <c r="AI354">
        <f t="shared" si="140"/>
        <v>535</v>
      </c>
      <c r="AJ354" t="str">
        <f t="shared" si="142"/>
        <v>SG</v>
      </c>
      <c r="AK354" t="s">
        <v>786</v>
      </c>
    </row>
    <row r="355" spans="1:37" ht="15" hidden="1">
      <c r="A355" s="120">
        <f>ROW()</f>
        <v>355</v>
      </c>
      <c r="B355" s="120"/>
      <c r="C355" s="1"/>
      <c r="E355" s="121" t="s">
        <v>15</v>
      </c>
      <c r="F355" s="138" t="str">
        <f>INDEX(FuncAllocOptions,ROW(A355)-ROW($A$92)+1,[4]Inputs!$S$11)</f>
        <v>P</v>
      </c>
      <c r="G355" s="133" t="e">
        <f>SUMIF(FERCJAMFactor,AK355,JAMValue)</f>
        <v>#VALUE!</v>
      </c>
      <c r="H355" s="139" t="e">
        <f t="shared" si="144"/>
        <v>#VALUE!</v>
      </c>
      <c r="I355" s="139" t="e">
        <f t="shared" si="144"/>
        <v>#VALUE!</v>
      </c>
      <c r="J355" s="139" t="e">
        <f t="shared" si="144"/>
        <v>#VALUE!</v>
      </c>
      <c r="K355" s="139" t="e">
        <f t="shared" si="144"/>
        <v>#VALUE!</v>
      </c>
      <c r="L355" s="139" t="e">
        <f t="shared" si="144"/>
        <v>#VALUE!</v>
      </c>
      <c r="N355" s="108">
        <v>0.75</v>
      </c>
      <c r="O355" s="116" t="e">
        <f>$H355*$N355*$M355</f>
        <v>#VALUE!</v>
      </c>
      <c r="P355" s="116" t="e">
        <f>$H355*(1-$N355)*$M355</f>
        <v>#VALUE!</v>
      </c>
      <c r="Q355" s="116" t="e">
        <f>$H355*$N355*(1-$M355)</f>
        <v>#VALUE!</v>
      </c>
      <c r="R355" s="116" t="e">
        <f>$H355*(1-$N355)*(1-$M355)</f>
        <v>#VALUE!</v>
      </c>
      <c r="T355" s="116">
        <v>0</v>
      </c>
      <c r="U355" s="116">
        <v>0</v>
      </c>
      <c r="V355" s="116">
        <v>0</v>
      </c>
      <c r="W355" s="116">
        <v>0</v>
      </c>
      <c r="X355" s="3"/>
      <c r="AD355" s="117" t="e">
        <f>ROUND(SUM(-G355,H355:L355),0)</f>
        <v>#VALUE!</v>
      </c>
      <c r="AE355" s="117" t="e">
        <f>ROUND(H355-O355-P355-Q355-R355,0)</f>
        <v>#VALUE!</v>
      </c>
      <c r="AF355" s="117" t="e">
        <f>ROUND(I355-T355-U355-V355-W355,0)</f>
        <v>#VALUE!</v>
      </c>
      <c r="AG355" s="117" t="e">
        <f>ROUND(J355-Y355-Z355-AA355-AC355-AB355,0)</f>
        <v>#VALUE!</v>
      </c>
      <c r="AH355" s="116"/>
      <c r="AI355">
        <f t="shared" si="140"/>
        <v>535</v>
      </c>
      <c r="AJ355" t="str">
        <f t="shared" si="142"/>
        <v>SG</v>
      </c>
      <c r="AK355" t="s">
        <v>785</v>
      </c>
    </row>
    <row r="356" spans="1:37" ht="15" hidden="1">
      <c r="A356" s="120">
        <f>ROW()</f>
        <v>356</v>
      </c>
      <c r="B356" s="120"/>
      <c r="C356" s="1"/>
      <c r="E356" s="121"/>
      <c r="F356" s="138"/>
      <c r="G356" s="117" t="e">
        <f t="shared" ref="G356:L356" si="145">SUM(G354:G355)</f>
        <v>#VALUE!</v>
      </c>
      <c r="H356" s="116" t="e">
        <f t="shared" si="145"/>
        <v>#VALUE!</v>
      </c>
      <c r="I356" s="116" t="e">
        <f t="shared" si="145"/>
        <v>#VALUE!</v>
      </c>
      <c r="J356" s="116" t="e">
        <f t="shared" si="145"/>
        <v>#VALUE!</v>
      </c>
      <c r="K356" s="116" t="e">
        <f t="shared" si="145"/>
        <v>#VALUE!</v>
      </c>
      <c r="L356" s="116" t="e">
        <f t="shared" si="145"/>
        <v>#VALUE!</v>
      </c>
      <c r="O356" s="116" t="e">
        <f>SUM(O354:O355)</f>
        <v>#VALUE!</v>
      </c>
      <c r="P356" s="116" t="e">
        <f>SUM(P354:P355)</f>
        <v>#VALUE!</v>
      </c>
      <c r="Q356" s="116" t="e">
        <f>SUM(Q354:Q355)</f>
        <v>#VALUE!</v>
      </c>
      <c r="R356" s="116" t="e">
        <f>SUM(R354:R355)</f>
        <v>#VALUE!</v>
      </c>
      <c r="T356" s="116">
        <f>SUM(T354:T355)</f>
        <v>0</v>
      </c>
      <c r="U356" s="116">
        <f>SUM(U354:U355)</f>
        <v>0</v>
      </c>
      <c r="V356" s="116">
        <f>SUM(V354:V355)</f>
        <v>0</v>
      </c>
      <c r="W356" s="116">
        <f>SUM(W354:W355)</f>
        <v>0</v>
      </c>
      <c r="X356" s="3"/>
      <c r="Y356" s="116">
        <f>SUM(Y354:Y355)</f>
        <v>0</v>
      </c>
      <c r="Z356" s="116">
        <f>SUM(Z354:Z355)</f>
        <v>0</v>
      </c>
      <c r="AA356" s="116">
        <f>SUM(AA354:AA355)</f>
        <v>0</v>
      </c>
      <c r="AB356" s="116">
        <f>SUM(AB354:AB355)</f>
        <v>0</v>
      </c>
      <c r="AC356" s="116">
        <f>SUM(AC354:AC355)</f>
        <v>0</v>
      </c>
      <c r="AD356" s="117" t="e">
        <f>ROUND(SUM(-G356,H356:L356),0)</f>
        <v>#VALUE!</v>
      </c>
      <c r="AE356" s="117" t="e">
        <f>ROUND(H356-O356-P356-Q356-R356,0)</f>
        <v>#VALUE!</v>
      </c>
      <c r="AF356" s="117" t="e">
        <f>ROUND(I356-T356-U356-V356-W356,0)</f>
        <v>#VALUE!</v>
      </c>
      <c r="AG356" s="117" t="e">
        <f>ROUND(J356-Y356-Z356-AA356-AC356-AB356,0)</f>
        <v>#VALUE!</v>
      </c>
      <c r="AH356" s="116"/>
      <c r="AI356">
        <f t="shared" si="140"/>
        <v>535</v>
      </c>
      <c r="AJ356" t="str">
        <f t="shared" si="142"/>
        <v>NA</v>
      </c>
      <c r="AK356" t="str">
        <f>IF(ISERROR(MATCH(AI356&amp;"."&amp;AJ356,AK$91:AK355,0)),AI356&amp;"."&amp;AJ356,AI356&amp;"."&amp;AJ356&amp;COUNTIFS(AI$91:AI355,AI356,AJ$91:AJ355,AJ356))</f>
        <v>535.NA1</v>
      </c>
    </row>
    <row r="357" spans="1:37" ht="15" hidden="1">
      <c r="A357" s="120">
        <f>ROW()</f>
        <v>357</v>
      </c>
      <c r="B357" s="120"/>
      <c r="C357" s="1"/>
      <c r="E357" s="121"/>
      <c r="F357" s="138"/>
      <c r="G357" s="119"/>
      <c r="X357" s="3"/>
      <c r="AD357" s="119"/>
      <c r="AE357" s="119"/>
      <c r="AF357" s="119"/>
      <c r="AG357" s="119"/>
      <c r="AI357">
        <f t="shared" si="140"/>
        <v>535</v>
      </c>
      <c r="AJ357" t="str">
        <f t="shared" si="142"/>
        <v>NA</v>
      </c>
      <c r="AK357" t="str">
        <f>IF(ISERROR(MATCH(AI357&amp;"."&amp;AJ357,AK$91:AK356,0)),AI357&amp;"."&amp;AJ357,AI357&amp;"."&amp;AJ357&amp;COUNTIFS(AI$91:AI356,AI357,AJ$91:AJ356,AJ357))</f>
        <v>535.NA2</v>
      </c>
    </row>
    <row r="358" spans="1:37" ht="15" hidden="1">
      <c r="A358" s="120">
        <f>ROW()</f>
        <v>358</v>
      </c>
      <c r="B358" s="120"/>
      <c r="C358" s="1">
        <v>536</v>
      </c>
      <c r="D358" s="2" t="s">
        <v>228</v>
      </c>
      <c r="E358" s="121"/>
      <c r="F358" s="138"/>
      <c r="G358" s="119"/>
      <c r="X358" s="3"/>
      <c r="AD358" s="119"/>
      <c r="AE358" s="119"/>
      <c r="AF358" s="119"/>
      <c r="AG358" s="119"/>
      <c r="AI358">
        <f t="shared" si="140"/>
        <v>536</v>
      </c>
      <c r="AJ358" t="str">
        <f t="shared" si="142"/>
        <v>NA</v>
      </c>
      <c r="AK358" t="str">
        <f>IF(ISERROR(MATCH(AI358&amp;"."&amp;AJ358,AK$91:AK357,0)),AI358&amp;"."&amp;AJ358,AI358&amp;"."&amp;AJ358&amp;COUNTIFS(AI$91:AI357,AI358,AJ$91:AJ357,AJ358))</f>
        <v>536.NA</v>
      </c>
    </row>
    <row r="359" spans="1:37" ht="15" hidden="1">
      <c r="A359" s="120">
        <f>ROW()</f>
        <v>359</v>
      </c>
      <c r="B359" s="120"/>
      <c r="C359" s="1"/>
      <c r="E359" s="121" t="s">
        <v>15</v>
      </c>
      <c r="F359" s="138" t="str">
        <f>INDEX(FuncAllocOptions,ROW(A359)-ROW($A$92)+1,[4]Inputs!$S$11)</f>
        <v>P</v>
      </c>
      <c r="G359" s="117" t="e">
        <f>SUMIF(FERCJAMFactor,AK359,JAMValue)</f>
        <v>#VALUE!</v>
      </c>
      <c r="H359" s="116" t="e">
        <f t="shared" ref="H359:L360" si="146">INDEX(FuncFactorTbl,MATCH($F359,FuncFactors,0),MATCH(H$8,Functions,0))*$G359</f>
        <v>#VALUE!</v>
      </c>
      <c r="I359" s="116" t="e">
        <f t="shared" si="146"/>
        <v>#VALUE!</v>
      </c>
      <c r="J359" s="116" t="e">
        <f t="shared" si="146"/>
        <v>#VALUE!</v>
      </c>
      <c r="K359" s="116" t="e">
        <f t="shared" si="146"/>
        <v>#VALUE!</v>
      </c>
      <c r="L359" s="116" t="e">
        <f t="shared" si="146"/>
        <v>#VALUE!</v>
      </c>
      <c r="N359" s="108">
        <v>0.75</v>
      </c>
      <c r="O359" s="116" t="e">
        <f>$H359*$N359*$M359</f>
        <v>#VALUE!</v>
      </c>
      <c r="P359" s="116" t="e">
        <f>$H359*(1-$N359)*$M359</f>
        <v>#VALUE!</v>
      </c>
      <c r="Q359" s="116" t="e">
        <f>$H359*$N359*(1-$M359)</f>
        <v>#VALUE!</v>
      </c>
      <c r="R359" s="116" t="e">
        <f>$H359*(1-$N359)*(1-$M359)</f>
        <v>#VALUE!</v>
      </c>
      <c r="T359" s="116">
        <v>0</v>
      </c>
      <c r="U359" s="116">
        <v>0</v>
      </c>
      <c r="V359" s="116">
        <v>0</v>
      </c>
      <c r="W359" s="116">
        <v>0</v>
      </c>
      <c r="X359" s="3"/>
      <c r="AD359" s="117" t="e">
        <f>ROUND(SUM(-G359,H359:L359),0)</f>
        <v>#VALUE!</v>
      </c>
      <c r="AE359" s="117" t="e">
        <f>ROUND(H359-O359-P359-Q359-R359,0)</f>
        <v>#VALUE!</v>
      </c>
      <c r="AF359" s="117" t="e">
        <f>ROUND(I359-T359-U359-V359-W359,0)</f>
        <v>#VALUE!</v>
      </c>
      <c r="AG359" s="117" t="e">
        <f>ROUND(J359-Y359-Z359-AA359-AC359-AB359,0)</f>
        <v>#VALUE!</v>
      </c>
      <c r="AH359" s="116"/>
      <c r="AI359">
        <f t="shared" si="140"/>
        <v>536</v>
      </c>
      <c r="AJ359" t="str">
        <f t="shared" si="142"/>
        <v>SG</v>
      </c>
      <c r="AK359" t="str">
        <f>IF(ISERROR(MATCH(AI359&amp;"."&amp;AJ359,AK$91:AK358,0)),AI359&amp;"."&amp;AJ359,AI359&amp;"."&amp;AJ359&amp;COUNTIFS(AI$91:AI358,AI359,AJ$91:AJ358,AJ359))</f>
        <v>536.SG</v>
      </c>
    </row>
    <row r="360" spans="1:37" ht="15" hidden="1">
      <c r="A360" s="120">
        <f>ROW()</f>
        <v>360</v>
      </c>
      <c r="B360" s="120"/>
      <c r="C360" s="1"/>
      <c r="E360" s="121" t="s">
        <v>15</v>
      </c>
      <c r="F360" s="138" t="str">
        <f>INDEX(FuncAllocOptions,ROW(A360)-ROW($A$92)+1,[4]Inputs!$S$11)</f>
        <v>P</v>
      </c>
      <c r="G360" s="133" t="e">
        <f>SUMIF(FERCJAMFactor,AK360,JAMValue)</f>
        <v>#VALUE!</v>
      </c>
      <c r="H360" s="139" t="e">
        <f t="shared" si="146"/>
        <v>#VALUE!</v>
      </c>
      <c r="I360" s="139" t="e">
        <f t="shared" si="146"/>
        <v>#VALUE!</v>
      </c>
      <c r="J360" s="139" t="e">
        <f t="shared" si="146"/>
        <v>#VALUE!</v>
      </c>
      <c r="K360" s="139" t="e">
        <f t="shared" si="146"/>
        <v>#VALUE!</v>
      </c>
      <c r="L360" s="139" t="e">
        <f t="shared" si="146"/>
        <v>#VALUE!</v>
      </c>
      <c r="N360" s="108">
        <v>0.75</v>
      </c>
      <c r="O360" s="116" t="e">
        <f>$H360*$N360*$M360</f>
        <v>#VALUE!</v>
      </c>
      <c r="P360" s="116" t="e">
        <f>$H360*(1-$N360)*$M360</f>
        <v>#VALUE!</v>
      </c>
      <c r="Q360" s="116" t="e">
        <f>$H360*$N360*(1-$M360)</f>
        <v>#VALUE!</v>
      </c>
      <c r="R360" s="116" t="e">
        <f>$H360*(1-$N360)*(1-$M360)</f>
        <v>#VALUE!</v>
      </c>
      <c r="T360" s="116">
        <v>0</v>
      </c>
      <c r="U360" s="116">
        <v>0</v>
      </c>
      <c r="V360" s="116">
        <v>0</v>
      </c>
      <c r="W360" s="116">
        <v>0</v>
      </c>
      <c r="X360" s="3"/>
      <c r="AD360" s="117" t="e">
        <f>ROUND(SUM(-G360,H360:L360),0)</f>
        <v>#VALUE!</v>
      </c>
      <c r="AE360" s="117" t="e">
        <f>ROUND(H360-O360-P360-Q360-R360,0)</f>
        <v>#VALUE!</v>
      </c>
      <c r="AF360" s="117" t="e">
        <f>ROUND(I360-T360-U360-V360-W360,0)</f>
        <v>#VALUE!</v>
      </c>
      <c r="AG360" s="117" t="e">
        <f>ROUND(J360-Y360-Z360-AA360-AC360-AB360,0)</f>
        <v>#VALUE!</v>
      </c>
      <c r="AH360" s="116"/>
      <c r="AI360">
        <f t="shared" si="140"/>
        <v>536</v>
      </c>
      <c r="AJ360" t="str">
        <f t="shared" si="142"/>
        <v>SG</v>
      </c>
      <c r="AK360" t="str">
        <f>IF(ISERROR(MATCH(AI360&amp;"."&amp;AJ360,AK$91:AK359,0)),AI360&amp;"."&amp;AJ360,AI360&amp;"."&amp;AJ360&amp;COUNTIFS(AI$91:AI359,AI360,AJ$91:AJ359,AJ360))</f>
        <v>536.SG1</v>
      </c>
    </row>
    <row r="361" spans="1:37" ht="15" hidden="1">
      <c r="A361" s="120">
        <f>ROW()</f>
        <v>361</v>
      </c>
      <c r="B361" s="120"/>
      <c r="C361" s="1"/>
      <c r="E361" s="121"/>
      <c r="F361" s="138"/>
      <c r="G361" s="117" t="e">
        <f t="shared" ref="G361:L361" si="147">SUM(G359:G360)</f>
        <v>#VALUE!</v>
      </c>
      <c r="H361" s="116" t="e">
        <f t="shared" si="147"/>
        <v>#VALUE!</v>
      </c>
      <c r="I361" s="116" t="e">
        <f t="shared" si="147"/>
        <v>#VALUE!</v>
      </c>
      <c r="J361" s="116" t="e">
        <f t="shared" si="147"/>
        <v>#VALUE!</v>
      </c>
      <c r="K361" s="116" t="e">
        <f t="shared" si="147"/>
        <v>#VALUE!</v>
      </c>
      <c r="L361" s="116" t="e">
        <f t="shared" si="147"/>
        <v>#VALUE!</v>
      </c>
      <c r="O361" s="116" t="e">
        <f>SUM(O359:O360)</f>
        <v>#VALUE!</v>
      </c>
      <c r="P361" s="116" t="e">
        <f>SUM(P359:P360)</f>
        <v>#VALUE!</v>
      </c>
      <c r="Q361" s="116" t="e">
        <f>SUM(Q359:Q360)</f>
        <v>#VALUE!</v>
      </c>
      <c r="R361" s="116" t="e">
        <f>SUM(R359:R360)</f>
        <v>#VALUE!</v>
      </c>
      <c r="T361" s="116">
        <f>SUM(T359:T360)</f>
        <v>0</v>
      </c>
      <c r="U361" s="116">
        <f>SUM(U359:U360)</f>
        <v>0</v>
      </c>
      <c r="V361" s="116">
        <f>SUM(V359:V360)</f>
        <v>0</v>
      </c>
      <c r="W361" s="116">
        <f>SUM(W359:W360)</f>
        <v>0</v>
      </c>
      <c r="X361" s="3"/>
      <c r="Y361" s="116">
        <f>SUM(Y359:Y360)</f>
        <v>0</v>
      </c>
      <c r="Z361" s="116">
        <f>SUM(Z359:Z360)</f>
        <v>0</v>
      </c>
      <c r="AA361" s="116">
        <f>SUM(AA359:AA360)</f>
        <v>0</v>
      </c>
      <c r="AB361" s="116">
        <f>SUM(AB359:AB360)</f>
        <v>0</v>
      </c>
      <c r="AC361" s="116">
        <f>SUM(AC359:AC360)</f>
        <v>0</v>
      </c>
      <c r="AD361" s="117" t="e">
        <f>ROUND(SUM(-G361,H361:L361),0)</f>
        <v>#VALUE!</v>
      </c>
      <c r="AE361" s="117" t="e">
        <f>ROUND(H361-O361-P361-Q361-R361,0)</f>
        <v>#VALUE!</v>
      </c>
      <c r="AF361" s="117" t="e">
        <f>ROUND(I361-T361-U361-V361-W361,0)</f>
        <v>#VALUE!</v>
      </c>
      <c r="AG361" s="117" t="e">
        <f>ROUND(J361-Y361-Z361-AA361-AC361-AB361,0)</f>
        <v>#VALUE!</v>
      </c>
      <c r="AH361" s="116"/>
      <c r="AI361">
        <f t="shared" si="140"/>
        <v>536</v>
      </c>
      <c r="AJ361" t="str">
        <f t="shared" si="142"/>
        <v>NA</v>
      </c>
      <c r="AK361" t="str">
        <f>IF(ISERROR(MATCH(AI361&amp;"."&amp;AJ361,AK$91:AK360,0)),AI361&amp;"."&amp;AJ361,AI361&amp;"."&amp;AJ361&amp;COUNTIFS(AI$91:AI360,AI361,AJ$91:AJ360,AJ361))</f>
        <v>536.NA1</v>
      </c>
    </row>
    <row r="362" spans="1:37" ht="15" hidden="1">
      <c r="A362" s="120">
        <f>ROW()</f>
        <v>362</v>
      </c>
      <c r="B362" s="120"/>
      <c r="C362" s="1"/>
      <c r="E362" s="121"/>
      <c r="F362" s="138"/>
      <c r="G362" s="136"/>
      <c r="X362" s="3"/>
      <c r="AD362" s="119"/>
      <c r="AE362" s="119"/>
      <c r="AF362" s="119"/>
      <c r="AG362" s="119"/>
      <c r="AI362">
        <f t="shared" si="140"/>
        <v>536</v>
      </c>
      <c r="AJ362" t="str">
        <f t="shared" si="142"/>
        <v>NA</v>
      </c>
      <c r="AK362" t="str">
        <f>IF(ISERROR(MATCH(AI362&amp;"."&amp;AJ362,AK$91:AK361,0)),AI362&amp;"."&amp;AJ362,AI362&amp;"."&amp;AJ362&amp;COUNTIFS(AI$91:AI361,AI362,AJ$91:AJ361,AJ362))</f>
        <v>536.NA2</v>
      </c>
    </row>
    <row r="363" spans="1:37" ht="15" hidden="1">
      <c r="A363" s="120">
        <f>ROW()</f>
        <v>363</v>
      </c>
      <c r="B363" s="120"/>
      <c r="C363" s="1">
        <v>537</v>
      </c>
      <c r="D363" s="2" t="s">
        <v>236</v>
      </c>
      <c r="E363" s="121"/>
      <c r="F363" s="138"/>
      <c r="G363" s="136"/>
      <c r="X363" s="3"/>
      <c r="AD363" s="119"/>
      <c r="AE363" s="119"/>
      <c r="AF363" s="119"/>
      <c r="AG363" s="119"/>
      <c r="AI363">
        <f t="shared" si="140"/>
        <v>537</v>
      </c>
      <c r="AJ363" t="str">
        <f t="shared" si="142"/>
        <v>NA</v>
      </c>
      <c r="AK363" t="str">
        <f>IF(ISERROR(MATCH(AI363&amp;"."&amp;AJ363,AK$91:AK362,0)),AI363&amp;"."&amp;AJ363,AI363&amp;"."&amp;AJ363&amp;COUNTIFS(AI$91:AI362,AI363,AJ$91:AJ362,AJ363))</f>
        <v>537.NA</v>
      </c>
    </row>
    <row r="364" spans="1:37" ht="15" hidden="1">
      <c r="A364" s="120">
        <f>ROW()</f>
        <v>364</v>
      </c>
      <c r="B364" s="120"/>
      <c r="C364" s="1"/>
      <c r="E364" s="121" t="s">
        <v>15</v>
      </c>
      <c r="F364" s="138" t="str">
        <f>INDEX(FuncAllocOptions,ROW(A364)-ROW($A$92)+1,[4]Inputs!$S$11)</f>
        <v>P</v>
      </c>
      <c r="G364" s="117" t="e">
        <f>SUMIF(FERCJAMFactor,AK364,JAMValue)</f>
        <v>#VALUE!</v>
      </c>
      <c r="H364" s="116" t="e">
        <f t="shared" ref="H364:L365" si="148">INDEX(FuncFactorTbl,MATCH($F364,FuncFactors,0),MATCH(H$8,Functions,0))*$G364</f>
        <v>#VALUE!</v>
      </c>
      <c r="I364" s="116" t="e">
        <f t="shared" si="148"/>
        <v>#VALUE!</v>
      </c>
      <c r="J364" s="116" t="e">
        <f t="shared" si="148"/>
        <v>#VALUE!</v>
      </c>
      <c r="K364" s="116" t="e">
        <f t="shared" si="148"/>
        <v>#VALUE!</v>
      </c>
      <c r="L364" s="116" t="e">
        <f t="shared" si="148"/>
        <v>#VALUE!</v>
      </c>
      <c r="N364" s="108">
        <v>0.75</v>
      </c>
      <c r="O364" s="116" t="e">
        <f>$H364*$N364*$M364</f>
        <v>#VALUE!</v>
      </c>
      <c r="P364" s="116" t="e">
        <f>$H364*(1-$N364)*$M364</f>
        <v>#VALUE!</v>
      </c>
      <c r="Q364" s="116" t="e">
        <f>$H364*$N364*(1-$M364)</f>
        <v>#VALUE!</v>
      </c>
      <c r="R364" s="116" t="e">
        <f>$H364*(1-$N364)*(1-$M364)</f>
        <v>#VALUE!</v>
      </c>
      <c r="T364" s="116">
        <v>0</v>
      </c>
      <c r="U364" s="116">
        <v>0</v>
      </c>
      <c r="V364" s="116">
        <v>0</v>
      </c>
      <c r="W364" s="116">
        <v>0</v>
      </c>
      <c r="X364" s="3"/>
      <c r="AD364" s="117" t="e">
        <f>ROUND(SUM(-G364,H364:L364),0)</f>
        <v>#VALUE!</v>
      </c>
      <c r="AE364" s="117" t="e">
        <f>ROUND(H364-O364-P364-Q364-R364,0)</f>
        <v>#VALUE!</v>
      </c>
      <c r="AF364" s="117" t="e">
        <f>ROUND(I364-T364-U364-V364-W364,0)</f>
        <v>#VALUE!</v>
      </c>
      <c r="AG364" s="117" t="e">
        <f>ROUND(J364-Y364-Z364-AA364-AC364-AB364,0)</f>
        <v>#VALUE!</v>
      </c>
      <c r="AH364" s="116"/>
      <c r="AI364">
        <f t="shared" si="140"/>
        <v>537</v>
      </c>
      <c r="AJ364" t="str">
        <f t="shared" si="142"/>
        <v>SG</v>
      </c>
      <c r="AK364" t="s">
        <v>784</v>
      </c>
    </row>
    <row r="365" spans="1:37" ht="15" hidden="1">
      <c r="A365" s="120">
        <f>ROW()</f>
        <v>365</v>
      </c>
      <c r="B365" s="120"/>
      <c r="C365" s="1"/>
      <c r="E365" s="121" t="s">
        <v>15</v>
      </c>
      <c r="F365" s="138" t="str">
        <f>INDEX(FuncAllocOptions,ROW(A365)-ROW($A$92)+1,[4]Inputs!$S$11)</f>
        <v>P</v>
      </c>
      <c r="G365" s="133" t="e">
        <f>SUMIF(FERCJAMFactor,AK365,JAMValue)</f>
        <v>#VALUE!</v>
      </c>
      <c r="H365" s="139" t="e">
        <f t="shared" si="148"/>
        <v>#VALUE!</v>
      </c>
      <c r="I365" s="139" t="e">
        <f t="shared" si="148"/>
        <v>#VALUE!</v>
      </c>
      <c r="J365" s="139" t="e">
        <f t="shared" si="148"/>
        <v>#VALUE!</v>
      </c>
      <c r="K365" s="139" t="e">
        <f t="shared" si="148"/>
        <v>#VALUE!</v>
      </c>
      <c r="L365" s="139" t="e">
        <f t="shared" si="148"/>
        <v>#VALUE!</v>
      </c>
      <c r="N365" s="108">
        <v>0.75</v>
      </c>
      <c r="O365" s="116" t="e">
        <f>$H365*$N365*$M365</f>
        <v>#VALUE!</v>
      </c>
      <c r="P365" s="116" t="e">
        <f>$H365*(1-$N365)*$M365</f>
        <v>#VALUE!</v>
      </c>
      <c r="Q365" s="116" t="e">
        <f>$H365*$N365*(1-$M365)</f>
        <v>#VALUE!</v>
      </c>
      <c r="R365" s="116" t="e">
        <f>$H365*(1-$N365)*(1-$M365)</f>
        <v>#VALUE!</v>
      </c>
      <c r="T365" s="116">
        <v>0</v>
      </c>
      <c r="U365" s="116">
        <v>0</v>
      </c>
      <c r="V365" s="116">
        <v>0</v>
      </c>
      <c r="W365" s="116">
        <v>0</v>
      </c>
      <c r="X365" s="3"/>
      <c r="AD365" s="117" t="e">
        <f>ROUND(SUM(-G365,H365:L365),0)</f>
        <v>#VALUE!</v>
      </c>
      <c r="AE365" s="117" t="e">
        <f>ROUND(H365-O365-P365-Q365-R365,0)</f>
        <v>#VALUE!</v>
      </c>
      <c r="AF365" s="117" t="e">
        <f>ROUND(I365-T365-U365-V365-W365,0)</f>
        <v>#VALUE!</v>
      </c>
      <c r="AG365" s="117" t="e">
        <f>ROUND(J365-Y365-Z365-AA365-AC365-AB365,0)</f>
        <v>#VALUE!</v>
      </c>
      <c r="AH365" s="116"/>
      <c r="AI365">
        <f t="shared" si="140"/>
        <v>537</v>
      </c>
      <c r="AJ365" t="str">
        <f t="shared" si="142"/>
        <v>SG</v>
      </c>
      <c r="AK365" t="s">
        <v>783</v>
      </c>
    </row>
    <row r="366" spans="1:37" ht="15" hidden="1">
      <c r="A366" s="120">
        <f>ROW()</f>
        <v>366</v>
      </c>
      <c r="B366" s="120"/>
      <c r="C366" s="1"/>
      <c r="E366" s="121"/>
      <c r="F366" s="138"/>
      <c r="G366" s="117" t="e">
        <f t="shared" ref="G366:L366" si="149">SUM(G364:G365)</f>
        <v>#VALUE!</v>
      </c>
      <c r="H366" s="116" t="e">
        <f t="shared" si="149"/>
        <v>#VALUE!</v>
      </c>
      <c r="I366" s="116" t="e">
        <f t="shared" si="149"/>
        <v>#VALUE!</v>
      </c>
      <c r="J366" s="116" t="e">
        <f t="shared" si="149"/>
        <v>#VALUE!</v>
      </c>
      <c r="K366" s="116" t="e">
        <f t="shared" si="149"/>
        <v>#VALUE!</v>
      </c>
      <c r="L366" s="116" t="e">
        <f t="shared" si="149"/>
        <v>#VALUE!</v>
      </c>
      <c r="O366" s="116" t="e">
        <f>SUM(O364:O365)</f>
        <v>#VALUE!</v>
      </c>
      <c r="P366" s="116" t="e">
        <f>SUM(P364:P365)</f>
        <v>#VALUE!</v>
      </c>
      <c r="Q366" s="116" t="e">
        <f>SUM(Q364:Q365)</f>
        <v>#VALUE!</v>
      </c>
      <c r="R366" s="116" t="e">
        <f>SUM(R364:R365)</f>
        <v>#VALUE!</v>
      </c>
      <c r="T366" s="116">
        <f>SUM(T364:T365)</f>
        <v>0</v>
      </c>
      <c r="U366" s="116">
        <f>SUM(U364:U365)</f>
        <v>0</v>
      </c>
      <c r="V366" s="116">
        <f>SUM(V364:V365)</f>
        <v>0</v>
      </c>
      <c r="W366" s="116">
        <f>SUM(W364:W365)</f>
        <v>0</v>
      </c>
      <c r="X366" s="3"/>
      <c r="Y366" s="116">
        <f>SUM(Y364:Y365)</f>
        <v>0</v>
      </c>
      <c r="Z366" s="116">
        <f>SUM(Z364:Z365)</f>
        <v>0</v>
      </c>
      <c r="AA366" s="116">
        <f>SUM(AA364:AA365)</f>
        <v>0</v>
      </c>
      <c r="AB366" s="116">
        <f>SUM(AB364:AB365)</f>
        <v>0</v>
      </c>
      <c r="AC366" s="116">
        <f>SUM(AC364:AC365)</f>
        <v>0</v>
      </c>
      <c r="AD366" s="117" t="e">
        <f>ROUND(SUM(-G366,H366:L366),0)</f>
        <v>#VALUE!</v>
      </c>
      <c r="AE366" s="117" t="e">
        <f>ROUND(H366-O366-P366-Q366-R366,0)</f>
        <v>#VALUE!</v>
      </c>
      <c r="AF366" s="117" t="e">
        <f>ROUND(I366-T366-U366-V366-W366,0)</f>
        <v>#VALUE!</v>
      </c>
      <c r="AG366" s="117" t="e">
        <f>ROUND(J366-Y366-Z366-AA366-AC366-AB366,0)</f>
        <v>#VALUE!</v>
      </c>
      <c r="AH366" s="116"/>
      <c r="AI366">
        <f t="shared" si="140"/>
        <v>537</v>
      </c>
      <c r="AJ366" t="str">
        <f t="shared" si="142"/>
        <v>NA</v>
      </c>
      <c r="AK366" t="str">
        <f>IF(ISERROR(MATCH(AI366&amp;"."&amp;AJ366,AK$91:AK365,0)),AI366&amp;"."&amp;AJ366,AI366&amp;"."&amp;AJ366&amp;COUNTIFS(AI$91:AI365,AI366,AJ$91:AJ365,AJ366))</f>
        <v>537.NA1</v>
      </c>
    </row>
    <row r="367" spans="1:37" ht="15" hidden="1">
      <c r="A367" s="120">
        <f>ROW()</f>
        <v>367</v>
      </c>
      <c r="B367" s="120"/>
      <c r="C367" s="1"/>
      <c r="E367" s="121"/>
      <c r="F367" s="138"/>
      <c r="G367" s="136"/>
      <c r="X367" s="3"/>
      <c r="AD367" s="119"/>
      <c r="AE367" s="119"/>
      <c r="AF367" s="119"/>
      <c r="AG367" s="119"/>
      <c r="AI367">
        <f t="shared" si="140"/>
        <v>537</v>
      </c>
      <c r="AJ367" t="str">
        <f t="shared" si="142"/>
        <v>NA</v>
      </c>
      <c r="AK367" t="str">
        <f>IF(ISERROR(MATCH(AI367&amp;"."&amp;AJ367,AK$91:AK366,0)),AI367&amp;"."&amp;AJ367,AI367&amp;"."&amp;AJ367&amp;COUNTIFS(AI$91:AI366,AI367,AJ$91:AJ366,AJ367))</f>
        <v>537.NA2</v>
      </c>
    </row>
    <row r="368" spans="1:37" ht="15" hidden="1">
      <c r="A368" s="120">
        <f>ROW()</f>
        <v>368</v>
      </c>
      <c r="B368" s="120"/>
      <c r="C368" s="1">
        <v>538</v>
      </c>
      <c r="D368" s="2" t="s">
        <v>185</v>
      </c>
      <c r="E368" s="121"/>
      <c r="F368" s="138"/>
      <c r="G368" s="136"/>
      <c r="X368" s="3"/>
      <c r="AD368" s="119"/>
      <c r="AE368" s="119"/>
      <c r="AF368" s="119"/>
      <c r="AG368" s="119"/>
      <c r="AI368">
        <f t="shared" si="140"/>
        <v>538</v>
      </c>
      <c r="AJ368" t="str">
        <f t="shared" si="142"/>
        <v>NA</v>
      </c>
      <c r="AK368" t="str">
        <f>IF(ISERROR(MATCH(AI368&amp;"."&amp;AJ368,AK$91:AK367,0)),AI368&amp;"."&amp;AJ368,AI368&amp;"."&amp;AJ368&amp;COUNTIFS(AI$91:AI367,AI368,AJ$91:AJ367,AJ368))</f>
        <v>538.NA</v>
      </c>
    </row>
    <row r="369" spans="1:37" ht="15" hidden="1">
      <c r="A369" s="120">
        <f>ROW()</f>
        <v>369</v>
      </c>
      <c r="B369" s="120"/>
      <c r="C369" s="1"/>
      <c r="E369" s="121" t="s">
        <v>15</v>
      </c>
      <c r="F369" s="138" t="str">
        <f>INDEX(FuncAllocOptions,ROW(A369)-ROW($A$92)+1,[4]Inputs!$S$11)</f>
        <v>P</v>
      </c>
      <c r="G369" s="133" t="e">
        <f>SUMIF(FERCJAMFactor,AK369,JAMValue)</f>
        <v>#VALUE!</v>
      </c>
      <c r="H369" s="139" t="e">
        <f>INDEX(FuncFactorTbl,MATCH($F369,FuncFactors,0),MATCH(H$8,Functions,0))*$G369</f>
        <v>#VALUE!</v>
      </c>
      <c r="I369" s="139" t="e">
        <f>INDEX(FuncFactorTbl,MATCH($F369,FuncFactors,0),MATCH(I$8,Functions,0))*$G369</f>
        <v>#VALUE!</v>
      </c>
      <c r="J369" s="139" t="e">
        <f>INDEX(FuncFactorTbl,MATCH($F369,FuncFactors,0),MATCH(J$8,Functions,0))*$G369</f>
        <v>#VALUE!</v>
      </c>
      <c r="K369" s="139" t="e">
        <f>INDEX(FuncFactorTbl,MATCH($F369,FuncFactors,0),MATCH(K$8,Functions,0))*$G369</f>
        <v>#VALUE!</v>
      </c>
      <c r="L369" s="139" t="e">
        <f>INDEX(FuncFactorTbl,MATCH($F369,FuncFactors,0),MATCH(L$8,Functions,0))*$G369</f>
        <v>#VALUE!</v>
      </c>
      <c r="N369" s="108">
        <v>0.75</v>
      </c>
      <c r="O369" s="116" t="e">
        <f>$H369*$N369*$M369</f>
        <v>#VALUE!</v>
      </c>
      <c r="P369" s="116" t="e">
        <f>$H369*(1-$N369)*$M369</f>
        <v>#VALUE!</v>
      </c>
      <c r="Q369" s="116" t="e">
        <f>$H369*$N369*(1-$M369)</f>
        <v>#VALUE!</v>
      </c>
      <c r="R369" s="116" t="e">
        <f>$H369*(1-$N369)*(1-$M369)</f>
        <v>#VALUE!</v>
      </c>
      <c r="T369" s="116">
        <v>0</v>
      </c>
      <c r="U369" s="116">
        <v>0</v>
      </c>
      <c r="V369" s="116">
        <v>0</v>
      </c>
      <c r="W369" s="116">
        <v>0</v>
      </c>
      <c r="X369" s="3"/>
      <c r="AD369" s="117" t="e">
        <f>ROUND(SUM(-G369,H369:L369),0)</f>
        <v>#VALUE!</v>
      </c>
      <c r="AE369" s="117" t="e">
        <f>ROUND(H369-O369-P369-Q369-R369,0)</f>
        <v>#VALUE!</v>
      </c>
      <c r="AF369" s="117" t="e">
        <f>ROUND(I369-T369-U369-V369-W369,0)</f>
        <v>#VALUE!</v>
      </c>
      <c r="AG369" s="117" t="e">
        <f>ROUND(J369-Y369-Z369-AA369-AC369-AB369,0)</f>
        <v>#VALUE!</v>
      </c>
      <c r="AH369" s="116"/>
      <c r="AI369">
        <f t="shared" si="140"/>
        <v>538</v>
      </c>
      <c r="AJ369" t="str">
        <f t="shared" si="142"/>
        <v>SG</v>
      </c>
      <c r="AK369" t="str">
        <f>IF(ISERROR(MATCH(AI369&amp;"."&amp;AJ369,AK$91:AK368,0)),AI369&amp;"."&amp;AJ369,AI369&amp;"."&amp;AJ369&amp;COUNTIFS(AI$91:AI368,AI369,AJ$91:AJ368,AJ369))</f>
        <v>538.SG</v>
      </c>
    </row>
    <row r="370" spans="1:37" ht="15" hidden="1">
      <c r="A370" s="120">
        <f>ROW()</f>
        <v>370</v>
      </c>
      <c r="B370" s="120"/>
      <c r="C370" s="1"/>
      <c r="E370" s="121"/>
      <c r="F370" s="138"/>
      <c r="G370" s="117" t="e">
        <f t="shared" ref="G370:L370" si="150">SUM(G369)</f>
        <v>#VALUE!</v>
      </c>
      <c r="H370" s="116" t="e">
        <f t="shared" si="150"/>
        <v>#VALUE!</v>
      </c>
      <c r="I370" s="116" t="e">
        <f t="shared" si="150"/>
        <v>#VALUE!</v>
      </c>
      <c r="J370" s="116" t="e">
        <f t="shared" si="150"/>
        <v>#VALUE!</v>
      </c>
      <c r="K370" s="116" t="e">
        <f t="shared" si="150"/>
        <v>#VALUE!</v>
      </c>
      <c r="L370" s="116" t="e">
        <f t="shared" si="150"/>
        <v>#VALUE!</v>
      </c>
      <c r="O370" s="116" t="e">
        <f>SUM(O368:O369)</f>
        <v>#VALUE!</v>
      </c>
      <c r="P370" s="116" t="e">
        <f>SUM(P368:P369)</f>
        <v>#VALUE!</v>
      </c>
      <c r="Q370" s="116" t="e">
        <f>SUM(Q368:Q369)</f>
        <v>#VALUE!</v>
      </c>
      <c r="R370" s="116" t="e">
        <f>SUM(R368:R369)</f>
        <v>#VALUE!</v>
      </c>
      <c r="T370" s="116">
        <f>SUM(T369)</f>
        <v>0</v>
      </c>
      <c r="U370" s="116">
        <f>SUM(U369)</f>
        <v>0</v>
      </c>
      <c r="V370" s="116">
        <f>SUM(V369)</f>
        <v>0</v>
      </c>
      <c r="W370" s="116">
        <f>SUM(W369)</f>
        <v>0</v>
      </c>
      <c r="X370" s="3"/>
      <c r="Y370" s="116">
        <f>SUM(Y369)</f>
        <v>0</v>
      </c>
      <c r="Z370" s="116">
        <f>SUM(Z369)</f>
        <v>0</v>
      </c>
      <c r="AA370" s="116">
        <f>SUM(AA369)</f>
        <v>0</v>
      </c>
      <c r="AB370" s="116">
        <f>SUM(AB369)</f>
        <v>0</v>
      </c>
      <c r="AC370" s="116">
        <f>SUM(AC369)</f>
        <v>0</v>
      </c>
      <c r="AD370" s="117" t="e">
        <f>ROUND(SUM(-G370,H370:L370),0)</f>
        <v>#VALUE!</v>
      </c>
      <c r="AE370" s="117" t="e">
        <f>ROUND(H370-O370-P370-Q370-R370,0)</f>
        <v>#VALUE!</v>
      </c>
      <c r="AF370" s="117" t="e">
        <f>ROUND(I370-T370-U370-V370-W370,0)</f>
        <v>#VALUE!</v>
      </c>
      <c r="AG370" s="117" t="e">
        <f>ROUND(J370-Y370-Z370-AA370-AC370-AB370,0)</f>
        <v>#VALUE!</v>
      </c>
      <c r="AH370" s="116"/>
      <c r="AI370">
        <f t="shared" si="140"/>
        <v>538</v>
      </c>
      <c r="AJ370" t="str">
        <f t="shared" si="142"/>
        <v>NA</v>
      </c>
      <c r="AK370" t="str">
        <f>IF(ISERROR(MATCH(AI370&amp;"."&amp;AJ370,AK$91:AK369,0)),AI370&amp;"."&amp;AJ370,AI370&amp;"."&amp;AJ370&amp;COUNTIFS(AI$91:AI369,AI370,AJ$91:AJ369,AJ370))</f>
        <v>538.NA1</v>
      </c>
    </row>
    <row r="371" spans="1:37" ht="15" hidden="1">
      <c r="A371" s="120">
        <f>ROW()</f>
        <v>371</v>
      </c>
      <c r="B371" s="120"/>
      <c r="C371" s="1"/>
      <c r="E371" s="121"/>
      <c r="F371" s="138"/>
      <c r="G371" s="136"/>
      <c r="X371" s="3"/>
      <c r="AD371" s="119"/>
      <c r="AE371" s="119"/>
      <c r="AF371" s="119"/>
      <c r="AG371" s="119"/>
      <c r="AI371">
        <f t="shared" si="140"/>
        <v>538</v>
      </c>
      <c r="AJ371" t="str">
        <f t="shared" si="142"/>
        <v>NA</v>
      </c>
      <c r="AK371" t="str">
        <f>IF(ISERROR(MATCH(AI371&amp;"."&amp;AJ371,AK$91:AK370,0)),AI371&amp;"."&amp;AJ371,AI371&amp;"."&amp;AJ371&amp;COUNTIFS(AI$91:AI370,AI371,AJ$91:AJ370,AJ371))</f>
        <v>538.NA2</v>
      </c>
    </row>
    <row r="372" spans="1:37" ht="15" hidden="1">
      <c r="A372" s="120">
        <f>ROW()</f>
        <v>372</v>
      </c>
      <c r="B372" s="120"/>
      <c r="C372" s="1">
        <v>539</v>
      </c>
      <c r="D372" s="2" t="s">
        <v>245</v>
      </c>
      <c r="E372" s="121"/>
      <c r="F372" s="138"/>
      <c r="G372" s="119"/>
      <c r="X372" s="3"/>
      <c r="AD372" s="119"/>
      <c r="AE372" s="119"/>
      <c r="AF372" s="119"/>
      <c r="AG372" s="119"/>
      <c r="AI372">
        <f t="shared" si="140"/>
        <v>539</v>
      </c>
      <c r="AJ372" t="str">
        <f t="shared" si="142"/>
        <v>NA</v>
      </c>
      <c r="AK372" t="str">
        <f>IF(ISERROR(MATCH(AI372&amp;"."&amp;AJ372,AK$91:AK371,0)),AI372&amp;"."&amp;AJ372,AI372&amp;"."&amp;AJ372&amp;COUNTIFS(AI$91:AI371,AI372,AJ$91:AJ371,AJ372))</f>
        <v>539.NA</v>
      </c>
    </row>
    <row r="373" spans="1:37" ht="15" hidden="1">
      <c r="A373" s="120">
        <f>ROW()</f>
        <v>373</v>
      </c>
      <c r="B373" s="120"/>
      <c r="C373" s="1"/>
      <c r="E373" s="121" t="s">
        <v>15</v>
      </c>
      <c r="F373" s="138" t="str">
        <f>INDEX(FuncAllocOptions,ROW(A373)-ROW($A$92)+1,[4]Inputs!$S$11)</f>
        <v>P</v>
      </c>
      <c r="G373" s="117" t="e">
        <f>SUMIF(FERCJAMFactor,AK373,JAMValue)</f>
        <v>#VALUE!</v>
      </c>
      <c r="H373" s="116" t="e">
        <f t="shared" ref="H373:L374" si="151">INDEX(FuncFactorTbl,MATCH($F373,FuncFactors,0),MATCH(H$8,Functions,0))*$G373</f>
        <v>#VALUE!</v>
      </c>
      <c r="I373" s="116" t="e">
        <f t="shared" si="151"/>
        <v>#VALUE!</v>
      </c>
      <c r="J373" s="116" t="e">
        <f t="shared" si="151"/>
        <v>#VALUE!</v>
      </c>
      <c r="K373" s="116" t="e">
        <f t="shared" si="151"/>
        <v>#VALUE!</v>
      </c>
      <c r="L373" s="116" t="e">
        <f t="shared" si="151"/>
        <v>#VALUE!</v>
      </c>
      <c r="N373" s="108">
        <v>0.75</v>
      </c>
      <c r="O373" s="116" t="e">
        <f>$H373*$N373*$M373</f>
        <v>#VALUE!</v>
      </c>
      <c r="P373" s="116" t="e">
        <f>$H373*(1-$N373)*$M373</f>
        <v>#VALUE!</v>
      </c>
      <c r="Q373" s="116" t="e">
        <f>$H373*$N373*(1-$M373)</f>
        <v>#VALUE!</v>
      </c>
      <c r="R373" s="116" t="e">
        <f>$H373*(1-$N373)*(1-$M373)</f>
        <v>#VALUE!</v>
      </c>
      <c r="T373" s="116">
        <v>0</v>
      </c>
      <c r="U373" s="116">
        <v>0</v>
      </c>
      <c r="V373" s="116">
        <v>0</v>
      </c>
      <c r="W373" s="116">
        <v>0</v>
      </c>
      <c r="X373" s="3"/>
      <c r="AD373" s="117" t="e">
        <f>ROUND(SUM(-G373,H373:L373),0)</f>
        <v>#VALUE!</v>
      </c>
      <c r="AE373" s="117" t="e">
        <f>ROUND(H373-O373-P373-Q373-R373,0)</f>
        <v>#VALUE!</v>
      </c>
      <c r="AF373" s="117" t="e">
        <f>ROUND(I373-T373-U373-V373-W373,0)</f>
        <v>#VALUE!</v>
      </c>
      <c r="AG373" s="117" t="e">
        <f>ROUND(J373-Y373-Z373-AA373-AC373-AB373,0)</f>
        <v>#VALUE!</v>
      </c>
      <c r="AH373" s="116"/>
      <c r="AI373">
        <f t="shared" si="140"/>
        <v>539</v>
      </c>
      <c r="AJ373" t="str">
        <f t="shared" si="142"/>
        <v>SG</v>
      </c>
      <c r="AK373" t="s">
        <v>782</v>
      </c>
    </row>
    <row r="374" spans="1:37" ht="15" hidden="1">
      <c r="A374" s="120">
        <f>ROW()</f>
        <v>374</v>
      </c>
      <c r="B374" s="120"/>
      <c r="C374" s="1"/>
      <c r="E374" s="121" t="s">
        <v>15</v>
      </c>
      <c r="F374" s="138" t="str">
        <f>INDEX(FuncAllocOptions,ROW(A374)-ROW($A$92)+1,[4]Inputs!$S$11)</f>
        <v>P</v>
      </c>
      <c r="G374" s="133" t="e">
        <f>SUMIF(FERCJAMFactor,AK374,JAMValue)</f>
        <v>#VALUE!</v>
      </c>
      <c r="H374" s="139" t="e">
        <f t="shared" si="151"/>
        <v>#VALUE!</v>
      </c>
      <c r="I374" s="139" t="e">
        <f t="shared" si="151"/>
        <v>#VALUE!</v>
      </c>
      <c r="J374" s="139" t="e">
        <f t="shared" si="151"/>
        <v>#VALUE!</v>
      </c>
      <c r="K374" s="139" t="e">
        <f t="shared" si="151"/>
        <v>#VALUE!</v>
      </c>
      <c r="L374" s="139" t="e">
        <f t="shared" si="151"/>
        <v>#VALUE!</v>
      </c>
      <c r="N374" s="108">
        <v>0.75</v>
      </c>
      <c r="O374" s="116" t="e">
        <f>$H374*$N374*$M374</f>
        <v>#VALUE!</v>
      </c>
      <c r="P374" s="116" t="e">
        <f>$H374*(1-$N374)*$M374</f>
        <v>#VALUE!</v>
      </c>
      <c r="Q374" s="116" t="e">
        <f>$H374*$N374*(1-$M374)</f>
        <v>#VALUE!</v>
      </c>
      <c r="R374" s="116" t="e">
        <f>$H374*(1-$N374)*(1-$M374)</f>
        <v>#VALUE!</v>
      </c>
      <c r="T374" s="116">
        <v>0</v>
      </c>
      <c r="U374" s="116">
        <v>0</v>
      </c>
      <c r="V374" s="116">
        <v>0</v>
      </c>
      <c r="W374" s="116">
        <v>0</v>
      </c>
      <c r="X374" s="3"/>
      <c r="AD374" s="117" t="e">
        <f>ROUND(SUM(-G374,H374:L374),0)</f>
        <v>#VALUE!</v>
      </c>
      <c r="AE374" s="117" t="e">
        <f>ROUND(H374-O374-P374-Q374-R374,0)</f>
        <v>#VALUE!</v>
      </c>
      <c r="AF374" s="117" t="e">
        <f>ROUND(I374-T374-U374-V374-W374,0)</f>
        <v>#VALUE!</v>
      </c>
      <c r="AG374" s="117" t="e">
        <f>ROUND(J374-Y374-Z374-AA374-AC374-AB374,0)</f>
        <v>#VALUE!</v>
      </c>
      <c r="AH374" s="116"/>
      <c r="AI374">
        <f t="shared" si="140"/>
        <v>539</v>
      </c>
      <c r="AJ374" t="str">
        <f t="shared" si="142"/>
        <v>SG</v>
      </c>
      <c r="AK374" t="s">
        <v>781</v>
      </c>
    </row>
    <row r="375" spans="1:37" ht="15" hidden="1">
      <c r="A375" s="120">
        <f>ROW()</f>
        <v>375</v>
      </c>
      <c r="B375" s="120"/>
      <c r="C375" s="1"/>
      <c r="E375" s="121"/>
      <c r="F375" s="138"/>
      <c r="G375" s="117" t="e">
        <f t="shared" ref="G375:L375" si="152">SUM(G373:G374)</f>
        <v>#VALUE!</v>
      </c>
      <c r="H375" s="116" t="e">
        <f t="shared" si="152"/>
        <v>#VALUE!</v>
      </c>
      <c r="I375" s="116" t="e">
        <f t="shared" si="152"/>
        <v>#VALUE!</v>
      </c>
      <c r="J375" s="116" t="e">
        <f t="shared" si="152"/>
        <v>#VALUE!</v>
      </c>
      <c r="K375" s="116" t="e">
        <f t="shared" si="152"/>
        <v>#VALUE!</v>
      </c>
      <c r="L375" s="116" t="e">
        <f t="shared" si="152"/>
        <v>#VALUE!</v>
      </c>
      <c r="O375" s="116" t="e">
        <f>SUM(O373:O374)</f>
        <v>#VALUE!</v>
      </c>
      <c r="P375" s="116" t="e">
        <f>SUM(P373:P374)</f>
        <v>#VALUE!</v>
      </c>
      <c r="Q375" s="116" t="e">
        <f>SUM(Q373:Q374)</f>
        <v>#VALUE!</v>
      </c>
      <c r="R375" s="116" t="e">
        <f>SUM(R373:R374)</f>
        <v>#VALUE!</v>
      </c>
      <c r="T375" s="116">
        <f>SUM(T373:T374)</f>
        <v>0</v>
      </c>
      <c r="U375" s="116">
        <f>SUM(U373:U374)</f>
        <v>0</v>
      </c>
      <c r="V375" s="116">
        <f>SUM(V373:V374)</f>
        <v>0</v>
      </c>
      <c r="W375" s="116">
        <f>SUM(W373:W374)</f>
        <v>0</v>
      </c>
      <c r="X375" s="3"/>
      <c r="Y375" s="116">
        <f>SUM(Y373:Y374)</f>
        <v>0</v>
      </c>
      <c r="Z375" s="116">
        <f>SUM(Z373:Z374)</f>
        <v>0</v>
      </c>
      <c r="AA375" s="116">
        <f>SUM(AA373:AA374)</f>
        <v>0</v>
      </c>
      <c r="AB375" s="116">
        <f>SUM(AB373:AB374)</f>
        <v>0</v>
      </c>
      <c r="AC375" s="116">
        <f>SUM(AC373:AC374)</f>
        <v>0</v>
      </c>
      <c r="AD375" s="117" t="e">
        <f>ROUND(SUM(-G375,H375:L375),0)</f>
        <v>#VALUE!</v>
      </c>
      <c r="AE375" s="117" t="e">
        <f>ROUND(H375-O375-P375-Q375-R375,0)</f>
        <v>#VALUE!</v>
      </c>
      <c r="AF375" s="117" t="e">
        <f>ROUND(I375-T375-U375-V375-W375,0)</f>
        <v>#VALUE!</v>
      </c>
      <c r="AG375" s="117" t="e">
        <f>ROUND(J375-Y375-Z375-AA375-AC375-AB375,0)</f>
        <v>#VALUE!</v>
      </c>
      <c r="AH375" s="116"/>
      <c r="AI375">
        <f t="shared" si="140"/>
        <v>539</v>
      </c>
      <c r="AJ375" t="str">
        <f t="shared" si="142"/>
        <v>NA</v>
      </c>
      <c r="AK375" t="str">
        <f>IF(ISERROR(MATCH(AI375&amp;"."&amp;AJ375,AK$91:AK374,0)),AI375&amp;"."&amp;AJ375,AI375&amp;"."&amp;AJ375&amp;COUNTIFS(AI$91:AI374,AI375,AJ$91:AJ374,AJ375))</f>
        <v>539.NA1</v>
      </c>
    </row>
    <row r="376" spans="1:37" ht="15" hidden="1">
      <c r="A376" s="120">
        <f>ROW()</f>
        <v>376</v>
      </c>
      <c r="B376" s="120"/>
      <c r="C376" s="1"/>
      <c r="E376" s="121"/>
      <c r="F376" s="138"/>
      <c r="G376" s="136"/>
      <c r="X376" s="3"/>
      <c r="AD376" s="119"/>
      <c r="AE376" s="119"/>
      <c r="AF376" s="119"/>
      <c r="AG376" s="119"/>
      <c r="AI376">
        <f t="shared" si="140"/>
        <v>539</v>
      </c>
      <c r="AJ376" t="str">
        <f t="shared" si="142"/>
        <v>NA</v>
      </c>
      <c r="AK376" t="str">
        <f>IF(ISERROR(MATCH(AI376&amp;"."&amp;AJ376,AK$91:AK375,0)),AI376&amp;"."&amp;AJ376,AI376&amp;"."&amp;AJ376&amp;COUNTIFS(AI$91:AI375,AI376,AJ$91:AJ375,AJ376))</f>
        <v>539.NA2</v>
      </c>
    </row>
    <row r="377" spans="1:37" ht="15" hidden="1">
      <c r="A377" s="120">
        <f>ROW()</f>
        <v>377</v>
      </c>
      <c r="B377" s="120"/>
      <c r="C377" s="1">
        <v>540</v>
      </c>
      <c r="D377" s="2" t="s">
        <v>253</v>
      </c>
      <c r="E377" s="121"/>
      <c r="F377" s="138"/>
      <c r="G377" s="136"/>
      <c r="X377" s="3"/>
      <c r="AD377" s="119"/>
      <c r="AE377" s="119"/>
      <c r="AF377" s="119"/>
      <c r="AG377" s="119"/>
      <c r="AI377">
        <f t="shared" ref="AI377:AI408" si="153">IF(OR(C377="",C377=" ",C377="  ",C377="   "),AI376,C377)</f>
        <v>540</v>
      </c>
      <c r="AJ377" t="str">
        <f t="shared" si="142"/>
        <v>NA</v>
      </c>
      <c r="AK377" t="str">
        <f>IF(ISERROR(MATCH(AI377&amp;"."&amp;AJ377,AK$91:AK376,0)),AI377&amp;"."&amp;AJ377,AI377&amp;"."&amp;AJ377&amp;COUNTIFS(AI$91:AI376,AI377,AJ$91:AJ376,AJ377))</f>
        <v>540.NA</v>
      </c>
    </row>
    <row r="378" spans="1:37" ht="15" hidden="1">
      <c r="A378" s="120">
        <f>ROW()</f>
        <v>378</v>
      </c>
      <c r="B378" s="120"/>
      <c r="C378" s="1"/>
      <c r="E378" s="121" t="s">
        <v>15</v>
      </c>
      <c r="F378" s="138" t="str">
        <f>INDEX(FuncAllocOptions,ROW(A378)-ROW($A$92)+1,[4]Inputs!$S$11)</f>
        <v>P</v>
      </c>
      <c r="G378" s="117" t="e">
        <f>SUMIF(FERCJAMFactor,AK378,JAMValue)</f>
        <v>#VALUE!</v>
      </c>
      <c r="H378" s="116" t="e">
        <f t="shared" ref="H378:L379" si="154">INDEX(FuncFactorTbl,MATCH($F378,FuncFactors,0),MATCH(H$8,Functions,0))*$G378</f>
        <v>#VALUE!</v>
      </c>
      <c r="I378" s="116" t="e">
        <f t="shared" si="154"/>
        <v>#VALUE!</v>
      </c>
      <c r="J378" s="116" t="e">
        <f t="shared" si="154"/>
        <v>#VALUE!</v>
      </c>
      <c r="K378" s="116" t="e">
        <f t="shared" si="154"/>
        <v>#VALUE!</v>
      </c>
      <c r="L378" s="116" t="e">
        <f t="shared" si="154"/>
        <v>#VALUE!</v>
      </c>
      <c r="N378" s="108">
        <v>0.75</v>
      </c>
      <c r="O378" s="116" t="e">
        <f>$H378*$N378*$M378</f>
        <v>#VALUE!</v>
      </c>
      <c r="P378" s="116" t="e">
        <f>$H378*(1-$N378)*$M378</f>
        <v>#VALUE!</v>
      </c>
      <c r="Q378" s="116" t="e">
        <f>$H378*$N378*(1-$M378)</f>
        <v>#VALUE!</v>
      </c>
      <c r="R378" s="116" t="e">
        <f>$H378*(1-$N378)*(1-$M378)</f>
        <v>#VALUE!</v>
      </c>
      <c r="T378" s="116">
        <v>0</v>
      </c>
      <c r="U378" s="116">
        <v>0</v>
      </c>
      <c r="V378" s="116">
        <v>0</v>
      </c>
      <c r="W378" s="116">
        <v>0</v>
      </c>
      <c r="X378" s="3"/>
      <c r="AD378" s="117" t="e">
        <f>ROUND(SUM(-G378,H378:L378),0)</f>
        <v>#VALUE!</v>
      </c>
      <c r="AE378" s="117" t="e">
        <f>ROUND(H378-O378-P378-Q378-R378,0)</f>
        <v>#VALUE!</v>
      </c>
      <c r="AF378" s="117" t="e">
        <f>ROUND(I378-T378-U378-V378-W378,0)</f>
        <v>#VALUE!</v>
      </c>
      <c r="AG378" s="117" t="e">
        <f>ROUND(J378-Y378-Z378-AA378-AC378-AB378,0)</f>
        <v>#VALUE!</v>
      </c>
      <c r="AH378" s="116"/>
      <c r="AI378">
        <f t="shared" si="153"/>
        <v>540</v>
      </c>
      <c r="AJ378" t="str">
        <f t="shared" si="142"/>
        <v>SG</v>
      </c>
      <c r="AK378" t="str">
        <f>IF(ISERROR(MATCH(AI378&amp;"."&amp;AJ378,AK$91:AK377,0)),AI378&amp;"."&amp;AJ378,AI378&amp;"."&amp;AJ378&amp;COUNTIFS(AI$91:AI377,AI378,AJ$91:AJ377,AJ378))</f>
        <v>540.SG</v>
      </c>
    </row>
    <row r="379" spans="1:37" ht="15" hidden="1">
      <c r="A379" s="120">
        <f>ROW()</f>
        <v>379</v>
      </c>
      <c r="B379" s="120"/>
      <c r="C379" s="1"/>
      <c r="E379" s="121" t="s">
        <v>15</v>
      </c>
      <c r="F379" s="138" t="str">
        <f>INDEX(FuncAllocOptions,ROW(A379)-ROW($A$92)+1,[4]Inputs!$S$11)</f>
        <v>P</v>
      </c>
      <c r="G379" s="133" t="e">
        <f>SUMIF(FERCJAMFactor,AK379,JAMValue)</f>
        <v>#VALUE!</v>
      </c>
      <c r="H379" s="139" t="e">
        <f t="shared" si="154"/>
        <v>#VALUE!</v>
      </c>
      <c r="I379" s="139" t="e">
        <f t="shared" si="154"/>
        <v>#VALUE!</v>
      </c>
      <c r="J379" s="139" t="e">
        <f t="shared" si="154"/>
        <v>#VALUE!</v>
      </c>
      <c r="K379" s="139" t="e">
        <f t="shared" si="154"/>
        <v>#VALUE!</v>
      </c>
      <c r="L379" s="139" t="e">
        <f t="shared" si="154"/>
        <v>#VALUE!</v>
      </c>
      <c r="N379" s="108">
        <v>0.75</v>
      </c>
      <c r="O379" s="116" t="e">
        <f>$H379*$N379*$M379</f>
        <v>#VALUE!</v>
      </c>
      <c r="P379" s="116" t="e">
        <f>$H379*(1-$N379)*$M379</f>
        <v>#VALUE!</v>
      </c>
      <c r="Q379" s="116" t="e">
        <f>$H379*$N379*(1-$M379)</f>
        <v>#VALUE!</v>
      </c>
      <c r="R379" s="116" t="e">
        <f>$H379*(1-$N379)*(1-$M379)</f>
        <v>#VALUE!</v>
      </c>
      <c r="T379" s="116">
        <v>0</v>
      </c>
      <c r="U379" s="116">
        <v>0</v>
      </c>
      <c r="V379" s="116">
        <v>0</v>
      </c>
      <c r="W379" s="116">
        <v>0</v>
      </c>
      <c r="X379" s="3"/>
      <c r="AD379" s="117" t="e">
        <f>ROUND(SUM(-G379,H379:L379),0)</f>
        <v>#VALUE!</v>
      </c>
      <c r="AE379" s="117" t="e">
        <f>ROUND(H379-O379-P379-Q379-R379,0)</f>
        <v>#VALUE!</v>
      </c>
      <c r="AF379" s="117" t="e">
        <f>ROUND(I379-T379-U379-V379-W379,0)</f>
        <v>#VALUE!</v>
      </c>
      <c r="AG379" s="117" t="e">
        <f>ROUND(J379-Y379-Z379-AA379-AC379-AB379,0)</f>
        <v>#VALUE!</v>
      </c>
      <c r="AH379" s="116"/>
      <c r="AI379">
        <f t="shared" si="153"/>
        <v>540</v>
      </c>
      <c r="AJ379" t="str">
        <f t="shared" si="142"/>
        <v>SG</v>
      </c>
      <c r="AK379" t="str">
        <f>IF(ISERROR(MATCH(AI379&amp;"."&amp;AJ379,AK$91:AK378,0)),AI379&amp;"."&amp;AJ379,AI379&amp;"."&amp;AJ379&amp;COUNTIFS(AI$91:AI378,AI379,AJ$91:AJ378,AJ379))</f>
        <v>540.SG1</v>
      </c>
    </row>
    <row r="380" spans="1:37" ht="15" hidden="1">
      <c r="A380" s="120">
        <f>ROW()</f>
        <v>380</v>
      </c>
      <c r="B380" s="120"/>
      <c r="C380" s="1"/>
      <c r="E380" s="121"/>
      <c r="F380" s="138"/>
      <c r="G380" s="117" t="e">
        <f t="shared" ref="G380:L380" si="155">SUM(G378:G379)</f>
        <v>#VALUE!</v>
      </c>
      <c r="H380" s="116" t="e">
        <f t="shared" si="155"/>
        <v>#VALUE!</v>
      </c>
      <c r="I380" s="116" t="e">
        <f t="shared" si="155"/>
        <v>#VALUE!</v>
      </c>
      <c r="J380" s="116" t="e">
        <f t="shared" si="155"/>
        <v>#VALUE!</v>
      </c>
      <c r="K380" s="116" t="e">
        <f t="shared" si="155"/>
        <v>#VALUE!</v>
      </c>
      <c r="L380" s="116" t="e">
        <f t="shared" si="155"/>
        <v>#VALUE!</v>
      </c>
      <c r="O380" s="116" t="e">
        <f>SUM(O378:O379)</f>
        <v>#VALUE!</v>
      </c>
      <c r="P380" s="116" t="e">
        <f>SUM(P378:P379)</f>
        <v>#VALUE!</v>
      </c>
      <c r="Q380" s="116" t="e">
        <f>SUM(Q378:Q379)</f>
        <v>#VALUE!</v>
      </c>
      <c r="R380" s="116" t="e">
        <f>SUM(R378:R379)</f>
        <v>#VALUE!</v>
      </c>
      <c r="T380" s="116">
        <f>SUM(T378:T379)</f>
        <v>0</v>
      </c>
      <c r="U380" s="116">
        <f>SUM(U378:U379)</f>
        <v>0</v>
      </c>
      <c r="V380" s="116">
        <f>SUM(V378:V379)</f>
        <v>0</v>
      </c>
      <c r="W380" s="116">
        <f>SUM(W378:W379)</f>
        <v>0</v>
      </c>
      <c r="X380" s="3"/>
      <c r="Y380" s="116">
        <f>SUM(Y378:Y379)</f>
        <v>0</v>
      </c>
      <c r="Z380" s="116">
        <f>SUM(Z378:Z379)</f>
        <v>0</v>
      </c>
      <c r="AA380" s="116">
        <f>SUM(AA378:AA379)</f>
        <v>0</v>
      </c>
      <c r="AB380" s="116">
        <f>SUM(AB378:AB379)</f>
        <v>0</v>
      </c>
      <c r="AC380" s="116">
        <f>SUM(AC378:AC379)</f>
        <v>0</v>
      </c>
      <c r="AD380" s="117" t="e">
        <f>ROUND(SUM(-G380,H380:L380),0)</f>
        <v>#VALUE!</v>
      </c>
      <c r="AE380" s="117" t="e">
        <f>ROUND(H380-O380-P380-Q380-R380,0)</f>
        <v>#VALUE!</v>
      </c>
      <c r="AF380" s="117" t="e">
        <f>ROUND(I380-T380-U380-V380-W380,0)</f>
        <v>#VALUE!</v>
      </c>
      <c r="AG380" s="117" t="e">
        <f>ROUND(J380-Y380-Z380-AA380-AC380-AB380,0)</f>
        <v>#VALUE!</v>
      </c>
      <c r="AH380" s="116"/>
      <c r="AI380">
        <f t="shared" si="153"/>
        <v>540</v>
      </c>
      <c r="AJ380" t="str">
        <f t="shared" si="142"/>
        <v>NA</v>
      </c>
      <c r="AK380" t="str">
        <f>IF(ISERROR(MATCH(AI380&amp;"."&amp;AJ380,AK$91:AK379,0)),AI380&amp;"."&amp;AJ380,AI380&amp;"."&amp;AJ380&amp;COUNTIFS(AI$91:AI379,AI380,AJ$91:AJ379,AJ380))</f>
        <v>540.NA1</v>
      </c>
    </row>
    <row r="381" spans="1:37" ht="15" hidden="1">
      <c r="A381" s="120">
        <f>ROW()</f>
        <v>381</v>
      </c>
      <c r="B381" s="120"/>
      <c r="C381" s="1"/>
      <c r="E381" s="121"/>
      <c r="F381" s="138"/>
      <c r="G381" s="136"/>
      <c r="X381" s="3"/>
      <c r="AD381" s="119"/>
      <c r="AE381" s="119"/>
      <c r="AF381" s="119"/>
      <c r="AG381" s="119"/>
      <c r="AI381">
        <f t="shared" si="153"/>
        <v>540</v>
      </c>
      <c r="AJ381" t="str">
        <f t="shared" si="142"/>
        <v>NA</v>
      </c>
      <c r="AK381" t="str">
        <f>IF(ISERROR(MATCH(AI381&amp;"."&amp;AJ381,AK$91:AK380,0)),AI381&amp;"."&amp;AJ381,AI381&amp;"."&amp;AJ381&amp;COUNTIFS(AI$91:AI380,AI381,AJ$91:AJ380,AJ381))</f>
        <v>540.NA2</v>
      </c>
    </row>
    <row r="382" spans="1:37" ht="15" hidden="1">
      <c r="A382" s="120">
        <f>ROW()</f>
        <v>382</v>
      </c>
      <c r="B382" s="120"/>
      <c r="C382" s="1">
        <v>541</v>
      </c>
      <c r="D382" s="2" t="s">
        <v>188</v>
      </c>
      <c r="E382" s="121"/>
      <c r="F382" s="138"/>
      <c r="G382" s="136"/>
      <c r="X382" s="3"/>
      <c r="AD382" s="119"/>
      <c r="AE382" s="119"/>
      <c r="AF382" s="119"/>
      <c r="AG382" s="119"/>
      <c r="AI382">
        <f t="shared" si="153"/>
        <v>541</v>
      </c>
      <c r="AJ382" t="str">
        <f t="shared" si="142"/>
        <v>NA</v>
      </c>
      <c r="AK382" t="str">
        <f>IF(ISERROR(MATCH(AI382&amp;"."&amp;AJ382,AK$91:AK381,0)),AI382&amp;"."&amp;AJ382,AI382&amp;"."&amp;AJ382&amp;COUNTIFS(AI$91:AI381,AI382,AJ$91:AJ381,AJ382))</f>
        <v>541.NA</v>
      </c>
    </row>
    <row r="383" spans="1:37" ht="15" hidden="1">
      <c r="A383" s="120">
        <f>ROW()</f>
        <v>383</v>
      </c>
      <c r="B383" s="120"/>
      <c r="C383" s="1"/>
      <c r="E383" s="121" t="s">
        <v>15</v>
      </c>
      <c r="F383" s="138" t="str">
        <f>INDEX(FuncAllocOptions,ROW(A383)-ROW($A$92)+1,[4]Inputs!$S$11)</f>
        <v>P</v>
      </c>
      <c r="G383" s="133" t="e">
        <f>SUMIF(FERCJAMFactor,AK383,JAMValue)</f>
        <v>#VALUE!</v>
      </c>
      <c r="H383" s="139" t="e">
        <f>INDEX(FuncFactorTbl,MATCH($F383,FuncFactors,0),MATCH(H$8,Functions,0))*$G383</f>
        <v>#VALUE!</v>
      </c>
      <c r="I383" s="139" t="e">
        <f>INDEX(FuncFactorTbl,MATCH($F383,FuncFactors,0),MATCH(I$8,Functions,0))*$G383</f>
        <v>#VALUE!</v>
      </c>
      <c r="J383" s="139" t="e">
        <f>INDEX(FuncFactorTbl,MATCH($F383,FuncFactors,0),MATCH(J$8,Functions,0))*$G383</f>
        <v>#VALUE!</v>
      </c>
      <c r="K383" s="139" t="e">
        <f>INDEX(FuncFactorTbl,MATCH($F383,FuncFactors,0),MATCH(K$8,Functions,0))*$G383</f>
        <v>#VALUE!</v>
      </c>
      <c r="L383" s="139" t="e">
        <f>INDEX(FuncFactorTbl,MATCH($F383,FuncFactors,0),MATCH(L$8,Functions,0))*$G383</f>
        <v>#VALUE!</v>
      </c>
      <c r="N383" s="108">
        <v>0.75</v>
      </c>
      <c r="O383" s="116" t="e">
        <f>$H383*$N383*$M383</f>
        <v>#VALUE!</v>
      </c>
      <c r="P383" s="116" t="e">
        <f>$H383*(1-$N383)*$M383</f>
        <v>#VALUE!</v>
      </c>
      <c r="Q383" s="116" t="e">
        <f>$H383*$N383*(1-$M383)</f>
        <v>#VALUE!</v>
      </c>
      <c r="R383" s="116" t="e">
        <f>$H383*(1-$N383)*(1-$M383)</f>
        <v>#VALUE!</v>
      </c>
      <c r="T383" s="116">
        <v>0</v>
      </c>
      <c r="U383" s="116">
        <v>0</v>
      </c>
      <c r="V383" s="116">
        <v>0</v>
      </c>
      <c r="W383" s="116">
        <v>0</v>
      </c>
      <c r="X383" s="3"/>
      <c r="AD383" s="117" t="e">
        <f>ROUND(SUM(-G383,H383:L383),0)</f>
        <v>#VALUE!</v>
      </c>
      <c r="AE383" s="117" t="e">
        <f>ROUND(H383-O383-P383-Q383-R383,0)</f>
        <v>#VALUE!</v>
      </c>
      <c r="AF383" s="117" t="e">
        <f>ROUND(I383-T383-U383-V383-W383,0)</f>
        <v>#VALUE!</v>
      </c>
      <c r="AG383" s="117" t="e">
        <f>ROUND(J383-Y383-Z383-AA383-AC383-AB383,0)</f>
        <v>#VALUE!</v>
      </c>
      <c r="AH383" s="116"/>
      <c r="AI383">
        <f t="shared" si="153"/>
        <v>541</v>
      </c>
      <c r="AJ383" t="str">
        <f t="shared" si="142"/>
        <v>SG</v>
      </c>
      <c r="AK383" t="str">
        <f>IF(ISERROR(MATCH(AI383&amp;"."&amp;AJ383,AK$91:AK382,0)),AI383&amp;"."&amp;AJ383,AI383&amp;"."&amp;AJ383&amp;COUNTIFS(AI$91:AI382,AI383,AJ$91:AJ382,AJ383))</f>
        <v>541.SG</v>
      </c>
    </row>
    <row r="384" spans="1:37" ht="15" hidden="1">
      <c r="A384" s="120">
        <f>ROW()</f>
        <v>384</v>
      </c>
      <c r="B384" s="120"/>
      <c r="C384" s="1"/>
      <c r="E384" s="121"/>
      <c r="F384" s="138"/>
      <c r="G384" s="117" t="e">
        <f t="shared" ref="G384:L384" si="156">SUM(G383)</f>
        <v>#VALUE!</v>
      </c>
      <c r="H384" s="116" t="e">
        <f t="shared" si="156"/>
        <v>#VALUE!</v>
      </c>
      <c r="I384" s="116" t="e">
        <f t="shared" si="156"/>
        <v>#VALUE!</v>
      </c>
      <c r="J384" s="116" t="e">
        <f t="shared" si="156"/>
        <v>#VALUE!</v>
      </c>
      <c r="K384" s="116" t="e">
        <f t="shared" si="156"/>
        <v>#VALUE!</v>
      </c>
      <c r="L384" s="116" t="e">
        <f t="shared" si="156"/>
        <v>#VALUE!</v>
      </c>
      <c r="O384" s="116" t="e">
        <f>SUM(O382:O383)</f>
        <v>#VALUE!</v>
      </c>
      <c r="P384" s="116" t="e">
        <f>SUM(P382:P383)</f>
        <v>#VALUE!</v>
      </c>
      <c r="Q384" s="116" t="e">
        <f>SUM(Q382:Q383)</f>
        <v>#VALUE!</v>
      </c>
      <c r="R384" s="116" t="e">
        <f>SUM(R382:R383)</f>
        <v>#VALUE!</v>
      </c>
      <c r="T384" s="116">
        <f>SUM(T383)</f>
        <v>0</v>
      </c>
      <c r="U384" s="116">
        <f>SUM(U383)</f>
        <v>0</v>
      </c>
      <c r="V384" s="116">
        <f>SUM(V383)</f>
        <v>0</v>
      </c>
      <c r="W384" s="116">
        <f>SUM(W383)</f>
        <v>0</v>
      </c>
      <c r="X384" s="3"/>
      <c r="Y384" s="116">
        <f>SUM(Y383)</f>
        <v>0</v>
      </c>
      <c r="Z384" s="116">
        <f>SUM(Z383)</f>
        <v>0</v>
      </c>
      <c r="AA384" s="116">
        <f>SUM(AA383)</f>
        <v>0</v>
      </c>
      <c r="AB384" s="116">
        <f>SUM(AB383)</f>
        <v>0</v>
      </c>
      <c r="AC384" s="116">
        <f>SUM(AC383)</f>
        <v>0</v>
      </c>
      <c r="AD384" s="117" t="e">
        <f>ROUND(SUM(-G384,H384:L384),0)</f>
        <v>#VALUE!</v>
      </c>
      <c r="AE384" s="117" t="e">
        <f>ROUND(H384-O384-P384-Q384-R384,0)</f>
        <v>#VALUE!</v>
      </c>
      <c r="AF384" s="117" t="e">
        <f>ROUND(I384-T384-U384-V384-W384,0)</f>
        <v>#VALUE!</v>
      </c>
      <c r="AG384" s="117" t="e">
        <f>ROUND(J384-Y384-Z384-AA384-AC384-AB384,0)</f>
        <v>#VALUE!</v>
      </c>
      <c r="AH384" s="116"/>
      <c r="AI384">
        <f t="shared" si="153"/>
        <v>541</v>
      </c>
      <c r="AJ384" t="str">
        <f t="shared" si="142"/>
        <v>NA</v>
      </c>
      <c r="AK384" t="str">
        <f>IF(ISERROR(MATCH(AI384&amp;"."&amp;AJ384,AK$91:AK383,0)),AI384&amp;"."&amp;AJ384,AI384&amp;"."&amp;AJ384&amp;COUNTIFS(AI$91:AI383,AI384,AJ$91:AJ383,AJ384))</f>
        <v>541.NA1</v>
      </c>
    </row>
    <row r="385" spans="1:37" ht="15" hidden="1">
      <c r="A385" s="120">
        <f>ROW()</f>
        <v>385</v>
      </c>
      <c r="B385" s="120"/>
      <c r="C385" s="1"/>
      <c r="E385" s="121"/>
      <c r="F385" s="138"/>
      <c r="G385" s="136"/>
      <c r="X385" s="3"/>
      <c r="AD385" s="119"/>
      <c r="AE385" s="119"/>
      <c r="AF385" s="119"/>
      <c r="AG385" s="119"/>
      <c r="AI385">
        <f t="shared" si="153"/>
        <v>541</v>
      </c>
      <c r="AJ385" t="str">
        <f t="shared" si="142"/>
        <v>NA</v>
      </c>
      <c r="AK385" t="str">
        <f>IF(ISERROR(MATCH(AI385&amp;"."&amp;AJ385,AK$91:AK384,0)),AI385&amp;"."&amp;AJ385,AI385&amp;"."&amp;AJ385&amp;COUNTIFS(AI$91:AI384,AI385,AJ$91:AJ384,AJ385))</f>
        <v>541.NA2</v>
      </c>
    </row>
    <row r="386" spans="1:37" ht="15" hidden="1">
      <c r="A386" s="120">
        <f>ROW()</f>
        <v>386</v>
      </c>
      <c r="B386" s="120"/>
      <c r="C386" s="1">
        <v>542</v>
      </c>
      <c r="D386" s="2" t="s">
        <v>189</v>
      </c>
      <c r="E386" s="121"/>
      <c r="F386" s="138"/>
      <c r="G386" s="136"/>
      <c r="X386" s="3"/>
      <c r="AD386" s="119"/>
      <c r="AE386" s="119"/>
      <c r="AF386" s="119"/>
      <c r="AG386" s="119"/>
      <c r="AI386">
        <f t="shared" si="153"/>
        <v>542</v>
      </c>
      <c r="AJ386" t="str">
        <f t="shared" si="142"/>
        <v>NA</v>
      </c>
      <c r="AK386" t="str">
        <f>IF(ISERROR(MATCH(AI386&amp;"."&amp;AJ386,AK$91:AK385,0)),AI386&amp;"."&amp;AJ386,AI386&amp;"."&amp;AJ386&amp;COUNTIFS(AI$91:AI385,AI386,AJ$91:AJ385,AJ386))</f>
        <v>542.NA</v>
      </c>
    </row>
    <row r="387" spans="1:37" ht="15" hidden="1">
      <c r="A387" s="120">
        <f>ROW()</f>
        <v>387</v>
      </c>
      <c r="B387" s="120"/>
      <c r="C387" s="1"/>
      <c r="E387" s="121" t="s">
        <v>15</v>
      </c>
      <c r="F387" s="138" t="str">
        <f>INDEX(FuncAllocOptions,ROW(A387)-ROW($A$92)+1,[4]Inputs!$S$11)</f>
        <v>P</v>
      </c>
      <c r="G387" s="117" t="e">
        <f>SUMIF(FERCJAMFactor,AK387,JAMValue)</f>
        <v>#VALUE!</v>
      </c>
      <c r="H387" s="116" t="e">
        <f t="shared" ref="H387:L388" si="157">INDEX(FuncFactorTbl,MATCH($F387,FuncFactors,0),MATCH(H$8,Functions,0))*$G387</f>
        <v>#VALUE!</v>
      </c>
      <c r="I387" s="116" t="e">
        <f t="shared" si="157"/>
        <v>#VALUE!</v>
      </c>
      <c r="J387" s="116" t="e">
        <f t="shared" si="157"/>
        <v>#VALUE!</v>
      </c>
      <c r="K387" s="116" t="e">
        <f t="shared" si="157"/>
        <v>#VALUE!</v>
      </c>
      <c r="L387" s="116" t="e">
        <f t="shared" si="157"/>
        <v>#VALUE!</v>
      </c>
      <c r="N387" s="108">
        <v>0.75</v>
      </c>
      <c r="O387" s="116" t="e">
        <f>$H387*$N387*$M387</f>
        <v>#VALUE!</v>
      </c>
      <c r="P387" s="116" t="e">
        <f>$H387*(1-$N387)*$M387</f>
        <v>#VALUE!</v>
      </c>
      <c r="Q387" s="116" t="e">
        <f>$H387*$N387*(1-$M387)</f>
        <v>#VALUE!</v>
      </c>
      <c r="R387" s="116" t="e">
        <f>$H387*(1-$N387)*(1-$M387)</f>
        <v>#VALUE!</v>
      </c>
      <c r="T387" s="116">
        <v>0</v>
      </c>
      <c r="U387" s="116">
        <v>0</v>
      </c>
      <c r="V387" s="116">
        <v>0</v>
      </c>
      <c r="W387" s="116">
        <v>0</v>
      </c>
      <c r="X387" s="3"/>
      <c r="AD387" s="117" t="e">
        <f>ROUND(SUM(-G387,H387:L387),0)</f>
        <v>#VALUE!</v>
      </c>
      <c r="AE387" s="117" t="e">
        <f>ROUND(H387-O387-P387-Q387-R387,0)</f>
        <v>#VALUE!</v>
      </c>
      <c r="AF387" s="117" t="e">
        <f>ROUND(I387-T387-U387-V387-W387,0)</f>
        <v>#VALUE!</v>
      </c>
      <c r="AG387" s="117" t="e">
        <f>ROUND(J387-Y387-Z387-AA387-AC387-AB387,0)</f>
        <v>#VALUE!</v>
      </c>
      <c r="AH387" s="116"/>
      <c r="AI387">
        <f t="shared" si="153"/>
        <v>542</v>
      </c>
      <c r="AJ387" t="str">
        <f t="shared" si="142"/>
        <v>SG</v>
      </c>
      <c r="AK387" t="s">
        <v>780</v>
      </c>
    </row>
    <row r="388" spans="1:37" ht="15" hidden="1">
      <c r="A388" s="120">
        <f>ROW()</f>
        <v>388</v>
      </c>
      <c r="B388" s="120"/>
      <c r="C388" s="1"/>
      <c r="E388" s="121" t="s">
        <v>15</v>
      </c>
      <c r="F388" s="138" t="str">
        <f>INDEX(FuncAllocOptions,ROW(A388)-ROW($A$92)+1,[4]Inputs!$S$11)</f>
        <v>P</v>
      </c>
      <c r="G388" s="133" t="e">
        <f>SUMIF(FERCJAMFactor,AK388,JAMValue)</f>
        <v>#VALUE!</v>
      </c>
      <c r="H388" s="139" t="e">
        <f t="shared" si="157"/>
        <v>#VALUE!</v>
      </c>
      <c r="I388" s="139" t="e">
        <f t="shared" si="157"/>
        <v>#VALUE!</v>
      </c>
      <c r="J388" s="139" t="e">
        <f t="shared" si="157"/>
        <v>#VALUE!</v>
      </c>
      <c r="K388" s="139" t="e">
        <f t="shared" si="157"/>
        <v>#VALUE!</v>
      </c>
      <c r="L388" s="139" t="e">
        <f t="shared" si="157"/>
        <v>#VALUE!</v>
      </c>
      <c r="N388" s="108">
        <v>0.75</v>
      </c>
      <c r="O388" s="116" t="e">
        <f>$H388*$N388*$M388</f>
        <v>#VALUE!</v>
      </c>
      <c r="P388" s="116" t="e">
        <f>$H388*(1-$N388)*$M388</f>
        <v>#VALUE!</v>
      </c>
      <c r="Q388" s="116" t="e">
        <f>$H388*$N388*(1-$M388)</f>
        <v>#VALUE!</v>
      </c>
      <c r="R388" s="116" t="e">
        <f>$H388*(1-$N388)*(1-$M388)</f>
        <v>#VALUE!</v>
      </c>
      <c r="T388" s="116">
        <v>0</v>
      </c>
      <c r="U388" s="116">
        <v>0</v>
      </c>
      <c r="V388" s="116">
        <v>0</v>
      </c>
      <c r="W388" s="116">
        <v>0</v>
      </c>
      <c r="X388" s="3"/>
      <c r="AD388" s="117" t="e">
        <f>ROUND(SUM(-G388,H388:L388),0)</f>
        <v>#VALUE!</v>
      </c>
      <c r="AE388" s="117" t="e">
        <f>ROUND(H388-O388-P388-Q388-R388,0)</f>
        <v>#VALUE!</v>
      </c>
      <c r="AF388" s="117" t="e">
        <f>ROUND(I388-T388-U388-V388-W388,0)</f>
        <v>#VALUE!</v>
      </c>
      <c r="AG388" s="117" t="e">
        <f>ROUND(J388-Y388-Z388-AA388-AC388-AB388,0)</f>
        <v>#VALUE!</v>
      </c>
      <c r="AH388" s="116"/>
      <c r="AI388">
        <f t="shared" si="153"/>
        <v>542</v>
      </c>
      <c r="AJ388" t="str">
        <f t="shared" si="142"/>
        <v>SG</v>
      </c>
      <c r="AK388" t="s">
        <v>779</v>
      </c>
    </row>
    <row r="389" spans="1:37" ht="15" hidden="1">
      <c r="A389" s="120">
        <f>ROW()</f>
        <v>389</v>
      </c>
      <c r="B389" s="120"/>
      <c r="C389" s="1"/>
      <c r="E389" s="121"/>
      <c r="F389" s="138"/>
      <c r="G389" s="117" t="e">
        <f t="shared" ref="G389:L389" si="158">SUM(G387:G388)</f>
        <v>#VALUE!</v>
      </c>
      <c r="H389" s="116" t="e">
        <f t="shared" si="158"/>
        <v>#VALUE!</v>
      </c>
      <c r="I389" s="116" t="e">
        <f t="shared" si="158"/>
        <v>#VALUE!</v>
      </c>
      <c r="J389" s="116" t="e">
        <f t="shared" si="158"/>
        <v>#VALUE!</v>
      </c>
      <c r="K389" s="116" t="e">
        <f t="shared" si="158"/>
        <v>#VALUE!</v>
      </c>
      <c r="L389" s="116" t="e">
        <f t="shared" si="158"/>
        <v>#VALUE!</v>
      </c>
      <c r="O389" s="116" t="e">
        <f>SUM(O387:O388)</f>
        <v>#VALUE!</v>
      </c>
      <c r="P389" s="116" t="e">
        <f>SUM(P387:P388)</f>
        <v>#VALUE!</v>
      </c>
      <c r="Q389" s="116" t="e">
        <f>SUM(Q387:Q388)</f>
        <v>#VALUE!</v>
      </c>
      <c r="R389" s="116" t="e">
        <f>SUM(R387:R388)</f>
        <v>#VALUE!</v>
      </c>
      <c r="T389" s="116">
        <f>SUM(T387:T388)</f>
        <v>0</v>
      </c>
      <c r="U389" s="116">
        <f>SUM(U387:U388)</f>
        <v>0</v>
      </c>
      <c r="V389" s="116">
        <f>SUM(V387:V388)</f>
        <v>0</v>
      </c>
      <c r="W389" s="116">
        <f>SUM(W387:W388)</f>
        <v>0</v>
      </c>
      <c r="X389" s="3"/>
      <c r="Y389" s="116">
        <f>SUM(Y387:Y388)</f>
        <v>0</v>
      </c>
      <c r="Z389" s="116">
        <f>SUM(Z387:Z388)</f>
        <v>0</v>
      </c>
      <c r="AA389" s="116">
        <f>SUM(AA387:AA388)</f>
        <v>0</v>
      </c>
      <c r="AB389" s="116">
        <f>SUM(AB387:AB388)</f>
        <v>0</v>
      </c>
      <c r="AC389" s="116">
        <f>SUM(AC387:AC388)</f>
        <v>0</v>
      </c>
      <c r="AD389" s="117" t="e">
        <f>ROUND(SUM(-G389,H389:L389),0)</f>
        <v>#VALUE!</v>
      </c>
      <c r="AE389" s="117" t="e">
        <f>ROUND(H389-O389-P389-Q389-R389,0)</f>
        <v>#VALUE!</v>
      </c>
      <c r="AF389" s="117" t="e">
        <f>ROUND(I389-T389-U389-V389-W389,0)</f>
        <v>#VALUE!</v>
      </c>
      <c r="AG389" s="117" t="e">
        <f>ROUND(J389-Y389-Z389-AA389-AC389-AB389,0)</f>
        <v>#VALUE!</v>
      </c>
      <c r="AH389" s="116"/>
      <c r="AI389">
        <f t="shared" si="153"/>
        <v>542</v>
      </c>
      <c r="AJ389" t="str">
        <f t="shared" si="142"/>
        <v>NA</v>
      </c>
      <c r="AK389" t="str">
        <f>IF(ISERROR(MATCH(AI389&amp;"."&amp;AJ389,AK$91:AK388,0)),AI389&amp;"."&amp;AJ389,AI389&amp;"."&amp;AJ389&amp;COUNTIFS(AI$91:AI388,AI389,AJ$91:AJ388,AJ389))</f>
        <v>542.NA1</v>
      </c>
    </row>
    <row r="390" spans="1:37" ht="15" hidden="1">
      <c r="A390" s="120">
        <f>ROW()</f>
        <v>390</v>
      </c>
      <c r="B390" s="120"/>
      <c r="C390" s="1"/>
      <c r="E390" s="121"/>
      <c r="F390" s="138"/>
      <c r="G390" s="119"/>
      <c r="X390" s="3"/>
      <c r="AD390" s="119"/>
      <c r="AE390" s="119"/>
      <c r="AF390" s="119"/>
      <c r="AG390" s="119"/>
      <c r="AI390">
        <f t="shared" si="153"/>
        <v>542</v>
      </c>
      <c r="AJ390" t="str">
        <f t="shared" si="142"/>
        <v>NA</v>
      </c>
      <c r="AK390" t="str">
        <f>IF(ISERROR(MATCH(AI390&amp;"."&amp;AJ390,AK$91:AK389,0)),AI390&amp;"."&amp;AJ390,AI390&amp;"."&amp;AJ390&amp;COUNTIFS(AI$91:AI389,AI390,AJ$91:AJ389,AJ390))</f>
        <v>542.NA2</v>
      </c>
    </row>
    <row r="391" spans="1:37" ht="15" hidden="1">
      <c r="A391" s="120">
        <f>ROW()</f>
        <v>391</v>
      </c>
      <c r="B391" s="120"/>
      <c r="C391" s="1">
        <v>543</v>
      </c>
      <c r="D391" s="2" t="s">
        <v>267</v>
      </c>
      <c r="E391" s="121"/>
      <c r="F391" s="138"/>
      <c r="G391" s="119"/>
      <c r="X391" s="3"/>
      <c r="AD391" s="119"/>
      <c r="AE391" s="119"/>
      <c r="AF391" s="119"/>
      <c r="AG391" s="119"/>
      <c r="AI391">
        <f t="shared" si="153"/>
        <v>543</v>
      </c>
      <c r="AJ391" t="str">
        <f t="shared" si="142"/>
        <v>NA</v>
      </c>
      <c r="AK391" t="str">
        <f>IF(ISERROR(MATCH(AI391&amp;"."&amp;AJ391,AK$91:AK390,0)),AI391&amp;"."&amp;AJ391,AI391&amp;"."&amp;AJ391&amp;COUNTIFS(AI$91:AI390,AI391,AJ$91:AJ390,AJ391))</f>
        <v>543.NA</v>
      </c>
    </row>
    <row r="392" spans="1:37" ht="15" hidden="1">
      <c r="A392" s="120">
        <f>ROW()</f>
        <v>392</v>
      </c>
      <c r="B392" s="120"/>
      <c r="C392" s="1"/>
      <c r="E392" s="121" t="s">
        <v>15</v>
      </c>
      <c r="F392" s="138" t="str">
        <f>INDEX(FuncAllocOptions,ROW(A392)-ROW($A$92)+1,[4]Inputs!$S$11)</f>
        <v>P</v>
      </c>
      <c r="G392" s="117" t="e">
        <f>SUMIF(FERCJAMFactor,AK392,JAMValue)</f>
        <v>#VALUE!</v>
      </c>
      <c r="H392" s="116" t="e">
        <f t="shared" ref="H392:L393" si="159">INDEX(FuncFactorTbl,MATCH($F392,FuncFactors,0),MATCH(H$8,Functions,0))*$G392</f>
        <v>#VALUE!</v>
      </c>
      <c r="I392" s="116" t="e">
        <f t="shared" si="159"/>
        <v>#VALUE!</v>
      </c>
      <c r="J392" s="116" t="e">
        <f t="shared" si="159"/>
        <v>#VALUE!</v>
      </c>
      <c r="K392" s="116" t="e">
        <f t="shared" si="159"/>
        <v>#VALUE!</v>
      </c>
      <c r="L392" s="116" t="e">
        <f t="shared" si="159"/>
        <v>#VALUE!</v>
      </c>
      <c r="N392" s="108">
        <v>0.75</v>
      </c>
      <c r="O392" s="116" t="e">
        <f>$H392*$N392*$M392</f>
        <v>#VALUE!</v>
      </c>
      <c r="P392" s="116" t="e">
        <f>$H392*(1-$N392)*$M392</f>
        <v>#VALUE!</v>
      </c>
      <c r="Q392" s="116" t="e">
        <f>$H392*$N392*(1-$M392)</f>
        <v>#VALUE!</v>
      </c>
      <c r="R392" s="116" t="e">
        <f>$H392*(1-$N392)*(1-$M392)</f>
        <v>#VALUE!</v>
      </c>
      <c r="T392" s="116">
        <v>0</v>
      </c>
      <c r="U392" s="116">
        <v>0</v>
      </c>
      <c r="V392" s="116">
        <v>0</v>
      </c>
      <c r="W392" s="116">
        <v>0</v>
      </c>
      <c r="X392" s="3"/>
      <c r="AD392" s="117" t="e">
        <f>ROUND(SUM(-G392,H392:L392),0)</f>
        <v>#VALUE!</v>
      </c>
      <c r="AE392" s="117" t="e">
        <f>ROUND(H392-O392-P392-Q392-R392,0)</f>
        <v>#VALUE!</v>
      </c>
      <c r="AF392" s="117" t="e">
        <f>ROUND(I392-T392-U392-V392-W392,0)</f>
        <v>#VALUE!</v>
      </c>
      <c r="AG392" s="117" t="e">
        <f>ROUND(J392-Y392-Z392-AA392-AC392-AB392,0)</f>
        <v>#VALUE!</v>
      </c>
      <c r="AH392" s="116"/>
      <c r="AI392">
        <f t="shared" si="153"/>
        <v>543</v>
      </c>
      <c r="AJ392" t="str">
        <f t="shared" si="142"/>
        <v>SG</v>
      </c>
      <c r="AK392" t="s">
        <v>778</v>
      </c>
    </row>
    <row r="393" spans="1:37" ht="15" hidden="1">
      <c r="A393" s="120">
        <f>ROW()</f>
        <v>393</v>
      </c>
      <c r="B393" s="120"/>
      <c r="C393" s="1"/>
      <c r="E393" s="121" t="s">
        <v>15</v>
      </c>
      <c r="F393" s="138" t="str">
        <f>INDEX(FuncAllocOptions,ROW(A393)-ROW($A$92)+1,[4]Inputs!$S$11)</f>
        <v>P</v>
      </c>
      <c r="G393" s="133" t="e">
        <f>SUMIF(FERCJAMFactor,AK393,JAMValue)</f>
        <v>#VALUE!</v>
      </c>
      <c r="H393" s="139" t="e">
        <f t="shared" si="159"/>
        <v>#VALUE!</v>
      </c>
      <c r="I393" s="139" t="e">
        <f t="shared" si="159"/>
        <v>#VALUE!</v>
      </c>
      <c r="J393" s="139" t="e">
        <f t="shared" si="159"/>
        <v>#VALUE!</v>
      </c>
      <c r="K393" s="139" t="e">
        <f t="shared" si="159"/>
        <v>#VALUE!</v>
      </c>
      <c r="L393" s="139" t="e">
        <f t="shared" si="159"/>
        <v>#VALUE!</v>
      </c>
      <c r="N393" s="108">
        <v>0.75</v>
      </c>
      <c r="O393" s="116" t="e">
        <f>$H393*$N393*$M393</f>
        <v>#VALUE!</v>
      </c>
      <c r="P393" s="116" t="e">
        <f>$H393*(1-$N393)*$M393</f>
        <v>#VALUE!</v>
      </c>
      <c r="Q393" s="116" t="e">
        <f>$H393*$N393*(1-$M393)</f>
        <v>#VALUE!</v>
      </c>
      <c r="R393" s="116" t="e">
        <f>$H393*(1-$N393)*(1-$M393)</f>
        <v>#VALUE!</v>
      </c>
      <c r="T393" s="116">
        <v>0</v>
      </c>
      <c r="U393" s="116">
        <v>0</v>
      </c>
      <c r="V393" s="116">
        <v>0</v>
      </c>
      <c r="W393" s="116">
        <v>0</v>
      </c>
      <c r="X393" s="3"/>
      <c r="AD393" s="117" t="e">
        <f>ROUND(SUM(-G393,H393:L393),0)</f>
        <v>#VALUE!</v>
      </c>
      <c r="AE393" s="117" t="e">
        <f>ROUND(H393-O393-P393-Q393-R393,0)</f>
        <v>#VALUE!</v>
      </c>
      <c r="AF393" s="117" t="e">
        <f>ROUND(I393-T393-U393-V393-W393,0)</f>
        <v>#VALUE!</v>
      </c>
      <c r="AG393" s="117" t="e">
        <f>ROUND(J393-Y393-Z393-AA393-AC393-AB393,0)</f>
        <v>#VALUE!</v>
      </c>
      <c r="AH393" s="116"/>
      <c r="AI393">
        <f t="shared" si="153"/>
        <v>543</v>
      </c>
      <c r="AJ393" t="str">
        <f t="shared" si="142"/>
        <v>SG</v>
      </c>
      <c r="AK393" t="s">
        <v>777</v>
      </c>
    </row>
    <row r="394" spans="1:37" ht="15" hidden="1">
      <c r="A394" s="120">
        <f>ROW()</f>
        <v>394</v>
      </c>
      <c r="B394" s="120"/>
      <c r="C394" s="1"/>
      <c r="E394" s="121"/>
      <c r="F394" s="138"/>
      <c r="G394" s="117" t="e">
        <f t="shared" ref="G394:L394" si="160">SUM(G392:G393)</f>
        <v>#VALUE!</v>
      </c>
      <c r="H394" s="116" t="e">
        <f t="shared" si="160"/>
        <v>#VALUE!</v>
      </c>
      <c r="I394" s="116" t="e">
        <f t="shared" si="160"/>
        <v>#VALUE!</v>
      </c>
      <c r="J394" s="116" t="e">
        <f t="shared" si="160"/>
        <v>#VALUE!</v>
      </c>
      <c r="K394" s="116" t="e">
        <f t="shared" si="160"/>
        <v>#VALUE!</v>
      </c>
      <c r="L394" s="116" t="e">
        <f t="shared" si="160"/>
        <v>#VALUE!</v>
      </c>
      <c r="O394" s="116" t="e">
        <f>SUM(O392:O393)</f>
        <v>#VALUE!</v>
      </c>
      <c r="P394" s="116" t="e">
        <f>SUM(P392:P393)</f>
        <v>#VALUE!</v>
      </c>
      <c r="Q394" s="116" t="e">
        <f>SUM(Q392:Q393)</f>
        <v>#VALUE!</v>
      </c>
      <c r="R394" s="116" t="e">
        <f>SUM(R392:R393)</f>
        <v>#VALUE!</v>
      </c>
      <c r="T394" s="116">
        <f>SUM(T392:T393)</f>
        <v>0</v>
      </c>
      <c r="U394" s="116">
        <f>SUM(U392:U393)</f>
        <v>0</v>
      </c>
      <c r="V394" s="116">
        <f>SUM(V392:V393)</f>
        <v>0</v>
      </c>
      <c r="W394" s="116">
        <f>SUM(W392:W393)</f>
        <v>0</v>
      </c>
      <c r="X394" s="3"/>
      <c r="Y394" s="116">
        <f>SUM(Y392:Y393)</f>
        <v>0</v>
      </c>
      <c r="Z394" s="116">
        <f>SUM(Z392:Z393)</f>
        <v>0</v>
      </c>
      <c r="AA394" s="116">
        <f>SUM(AA392:AA393)</f>
        <v>0</v>
      </c>
      <c r="AB394" s="116">
        <f>SUM(AB392:AB393)</f>
        <v>0</v>
      </c>
      <c r="AC394" s="116">
        <f>SUM(AC392:AC393)</f>
        <v>0</v>
      </c>
      <c r="AD394" s="117" t="e">
        <f>ROUND(SUM(-G394,H394:L394),0)</f>
        <v>#VALUE!</v>
      </c>
      <c r="AE394" s="117" t="e">
        <f>ROUND(H394-O394-P394-Q394-R394,0)</f>
        <v>#VALUE!</v>
      </c>
      <c r="AF394" s="117" t="e">
        <f>ROUND(I394-T394-U394-V394-W394,0)</f>
        <v>#VALUE!</v>
      </c>
      <c r="AG394" s="117" t="e">
        <f>ROUND(J394-Y394-Z394-AA394-AC394-AB394,0)</f>
        <v>#VALUE!</v>
      </c>
      <c r="AH394" s="116"/>
      <c r="AI394">
        <f t="shared" si="153"/>
        <v>543</v>
      </c>
      <c r="AJ394" t="str">
        <f t="shared" si="142"/>
        <v>NA</v>
      </c>
      <c r="AK394" t="str">
        <f>IF(ISERROR(MATCH(AI394&amp;"."&amp;AJ394,AK$91:AK393,0)),AI394&amp;"."&amp;AJ394,AI394&amp;"."&amp;AJ394&amp;COUNTIFS(AI$91:AI393,AI394,AJ$91:AJ393,AJ394))</f>
        <v>543.NA1</v>
      </c>
    </row>
    <row r="395" spans="1:37" ht="15" hidden="1">
      <c r="A395" s="120">
        <f>ROW()</f>
        <v>395</v>
      </c>
      <c r="B395" s="120"/>
      <c r="C395" s="1"/>
      <c r="E395" s="121"/>
      <c r="F395" s="138"/>
      <c r="G395" s="119"/>
      <c r="X395" s="3"/>
      <c r="AD395" s="119"/>
      <c r="AE395" s="119"/>
      <c r="AF395" s="119"/>
      <c r="AG395" s="119"/>
      <c r="AI395">
        <f t="shared" si="153"/>
        <v>543</v>
      </c>
      <c r="AJ395" t="str">
        <f t="shared" si="142"/>
        <v>NA</v>
      </c>
      <c r="AK395" t="str">
        <f>IF(ISERROR(MATCH(AI395&amp;"."&amp;AJ395,AK$91:AK394,0)),AI395&amp;"."&amp;AJ395,AI395&amp;"."&amp;AJ395&amp;COUNTIFS(AI$91:AI394,AI395,AJ$91:AJ394,AJ395))</f>
        <v>543.NA2</v>
      </c>
    </row>
    <row r="396" spans="1:37" ht="15" hidden="1">
      <c r="A396" s="120">
        <f>ROW()</f>
        <v>396</v>
      </c>
      <c r="B396" s="120"/>
      <c r="C396" s="1">
        <v>544</v>
      </c>
      <c r="D396" s="2" t="s">
        <v>191</v>
      </c>
      <c r="E396" s="121"/>
      <c r="F396" s="138"/>
      <c r="G396" s="119"/>
      <c r="X396" s="3"/>
      <c r="AD396" s="119"/>
      <c r="AE396" s="119"/>
      <c r="AF396" s="119"/>
      <c r="AG396" s="119"/>
      <c r="AI396">
        <f t="shared" si="153"/>
        <v>544</v>
      </c>
      <c r="AJ396" t="str">
        <f t="shared" si="142"/>
        <v>NA</v>
      </c>
      <c r="AK396" t="str">
        <f>IF(ISERROR(MATCH(AI396&amp;"."&amp;AJ396,AK$91:AK395,0)),AI396&amp;"."&amp;AJ396,AI396&amp;"."&amp;AJ396&amp;COUNTIFS(AI$91:AI395,AI396,AJ$91:AJ395,AJ396))</f>
        <v>544.NA</v>
      </c>
    </row>
    <row r="397" spans="1:37" ht="15" hidden="1">
      <c r="A397" s="120">
        <f>ROW()</f>
        <v>397</v>
      </c>
      <c r="B397" s="120"/>
      <c r="C397" s="1"/>
      <c r="E397" s="121" t="s">
        <v>15</v>
      </c>
      <c r="F397" s="138" t="str">
        <f>INDEX(FuncAllocOptions,ROW(A397)-ROW($A$92)+1,[4]Inputs!$S$11)</f>
        <v>P</v>
      </c>
      <c r="G397" s="117" t="e">
        <f>SUMIF(FERCJAMFactor,AK397,JAMValue)</f>
        <v>#VALUE!</v>
      </c>
      <c r="H397" s="116" t="e">
        <f t="shared" ref="H397:L398" si="161">INDEX(FuncFactorTbl,MATCH($F397,FuncFactors,0),MATCH(H$8,Functions,0))*$G397</f>
        <v>#VALUE!</v>
      </c>
      <c r="I397" s="116" t="e">
        <f t="shared" si="161"/>
        <v>#VALUE!</v>
      </c>
      <c r="J397" s="116" t="e">
        <f t="shared" si="161"/>
        <v>#VALUE!</v>
      </c>
      <c r="K397" s="116" t="e">
        <f t="shared" si="161"/>
        <v>#VALUE!</v>
      </c>
      <c r="L397" s="116" t="e">
        <f t="shared" si="161"/>
        <v>#VALUE!</v>
      </c>
      <c r="N397" s="108">
        <v>0.75</v>
      </c>
      <c r="O397" s="116" t="e">
        <f>$H397*$N397*$M397</f>
        <v>#VALUE!</v>
      </c>
      <c r="P397" s="116" t="e">
        <f>$H397*(1-$N397)*$M397</f>
        <v>#VALUE!</v>
      </c>
      <c r="Q397" s="116" t="e">
        <f>$H397*$N397*(1-$M397)</f>
        <v>#VALUE!</v>
      </c>
      <c r="R397" s="116" t="e">
        <f>$H397*(1-$N397)*(1-$M397)</f>
        <v>#VALUE!</v>
      </c>
      <c r="T397" s="116">
        <v>0</v>
      </c>
      <c r="U397" s="116">
        <v>0</v>
      </c>
      <c r="V397" s="116">
        <v>0</v>
      </c>
      <c r="W397" s="116">
        <v>0</v>
      </c>
      <c r="X397" s="3"/>
      <c r="AD397" s="117" t="e">
        <f>ROUND(SUM(-G397,H397:L397),0)</f>
        <v>#VALUE!</v>
      </c>
      <c r="AE397" s="117" t="e">
        <f>ROUND(H397-O397-P397-Q397-R397,0)</f>
        <v>#VALUE!</v>
      </c>
      <c r="AF397" s="117" t="e">
        <f>ROUND(I397-T397-U397-V397-W397,0)</f>
        <v>#VALUE!</v>
      </c>
      <c r="AG397" s="117" t="e">
        <f>ROUND(J397-Y397-Z397-AA397-AC397-AB397,0)</f>
        <v>#VALUE!</v>
      </c>
      <c r="AH397" s="116"/>
      <c r="AI397">
        <f t="shared" si="153"/>
        <v>544</v>
      </c>
      <c r="AJ397" t="str">
        <f t="shared" si="142"/>
        <v>SG</v>
      </c>
      <c r="AK397" t="s">
        <v>776</v>
      </c>
    </row>
    <row r="398" spans="1:37" ht="15" hidden="1">
      <c r="A398" s="120">
        <f>ROW()</f>
        <v>398</v>
      </c>
      <c r="B398" s="120"/>
      <c r="C398" s="1"/>
      <c r="E398" s="121" t="s">
        <v>15</v>
      </c>
      <c r="F398" s="138" t="str">
        <f>INDEX(FuncAllocOptions,ROW(A398)-ROW($A$92)+1,[4]Inputs!$S$11)</f>
        <v>P</v>
      </c>
      <c r="G398" s="133" t="e">
        <f>SUMIF(FERCJAMFactor,AK398,JAMValue)</f>
        <v>#VALUE!</v>
      </c>
      <c r="H398" s="139" t="e">
        <f t="shared" si="161"/>
        <v>#VALUE!</v>
      </c>
      <c r="I398" s="139" t="e">
        <f t="shared" si="161"/>
        <v>#VALUE!</v>
      </c>
      <c r="J398" s="139" t="e">
        <f t="shared" si="161"/>
        <v>#VALUE!</v>
      </c>
      <c r="K398" s="139" t="e">
        <f t="shared" si="161"/>
        <v>#VALUE!</v>
      </c>
      <c r="L398" s="139" t="e">
        <f t="shared" si="161"/>
        <v>#VALUE!</v>
      </c>
      <c r="N398" s="108">
        <v>0.75</v>
      </c>
      <c r="O398" s="116" t="e">
        <f>$H398*$N398*$M398</f>
        <v>#VALUE!</v>
      </c>
      <c r="P398" s="116" t="e">
        <f>$H398*(1-$N398)*$M398</f>
        <v>#VALUE!</v>
      </c>
      <c r="Q398" s="116" t="e">
        <f>$H398*$N398*(1-$M398)</f>
        <v>#VALUE!</v>
      </c>
      <c r="R398" s="116" t="e">
        <f>$H398*(1-$N398)*(1-$M398)</f>
        <v>#VALUE!</v>
      </c>
      <c r="T398" s="116">
        <v>0</v>
      </c>
      <c r="U398" s="116">
        <v>0</v>
      </c>
      <c r="V398" s="116">
        <v>0</v>
      </c>
      <c r="W398" s="116">
        <v>0</v>
      </c>
      <c r="X398" s="3"/>
      <c r="AD398" s="117" t="e">
        <f>ROUND(SUM(-G398,H398:L398),0)</f>
        <v>#VALUE!</v>
      </c>
      <c r="AE398" s="117" t="e">
        <f>ROUND(H398-O398-P398-Q398-R398,0)</f>
        <v>#VALUE!</v>
      </c>
      <c r="AF398" s="117" t="e">
        <f>ROUND(I398-T398-U398-V398-W398,0)</f>
        <v>#VALUE!</v>
      </c>
      <c r="AG398" s="117" t="e">
        <f>ROUND(J398-Y398-Z398-AA398-AC398-AB398,0)</f>
        <v>#VALUE!</v>
      </c>
      <c r="AH398" s="116"/>
      <c r="AI398">
        <f t="shared" si="153"/>
        <v>544</v>
      </c>
      <c r="AJ398" t="str">
        <f t="shared" si="142"/>
        <v>SG</v>
      </c>
      <c r="AK398" t="s">
        <v>775</v>
      </c>
    </row>
    <row r="399" spans="1:37" ht="15" hidden="1">
      <c r="A399" s="120">
        <f>ROW()</f>
        <v>399</v>
      </c>
      <c r="B399" s="120"/>
      <c r="C399" s="1"/>
      <c r="E399" s="121"/>
      <c r="F399" s="138"/>
      <c r="G399" s="117" t="e">
        <f t="shared" ref="G399:L399" si="162">SUM(G397:G398)</f>
        <v>#VALUE!</v>
      </c>
      <c r="H399" s="116" t="e">
        <f t="shared" si="162"/>
        <v>#VALUE!</v>
      </c>
      <c r="I399" s="116" t="e">
        <f t="shared" si="162"/>
        <v>#VALUE!</v>
      </c>
      <c r="J399" s="116" t="e">
        <f t="shared" si="162"/>
        <v>#VALUE!</v>
      </c>
      <c r="K399" s="116" t="e">
        <f t="shared" si="162"/>
        <v>#VALUE!</v>
      </c>
      <c r="L399" s="116" t="e">
        <f t="shared" si="162"/>
        <v>#VALUE!</v>
      </c>
      <c r="O399" s="116" t="e">
        <f>SUM(O397:O398)</f>
        <v>#VALUE!</v>
      </c>
      <c r="P399" s="116" t="e">
        <f>SUM(P397:P398)</f>
        <v>#VALUE!</v>
      </c>
      <c r="Q399" s="116" t="e">
        <f>SUM(Q397:Q398)</f>
        <v>#VALUE!</v>
      </c>
      <c r="R399" s="116" t="e">
        <f>SUM(R397:R398)</f>
        <v>#VALUE!</v>
      </c>
      <c r="T399" s="116">
        <f>SUM(T397:T398)</f>
        <v>0</v>
      </c>
      <c r="U399" s="116">
        <f>SUM(U397:U398)</f>
        <v>0</v>
      </c>
      <c r="V399" s="116">
        <f>SUM(V397:V398)</f>
        <v>0</v>
      </c>
      <c r="W399" s="116">
        <f>SUM(W397:W398)</f>
        <v>0</v>
      </c>
      <c r="X399" s="3"/>
      <c r="Y399" s="116">
        <f>SUM(Y397:Y398)</f>
        <v>0</v>
      </c>
      <c r="Z399" s="116">
        <f>SUM(Z397:Z398)</f>
        <v>0</v>
      </c>
      <c r="AA399" s="116">
        <f>SUM(AA397:AA398)</f>
        <v>0</v>
      </c>
      <c r="AB399" s="116">
        <f>SUM(AB397:AB398)</f>
        <v>0</v>
      </c>
      <c r="AC399" s="116">
        <f>SUM(AC397:AC398)</f>
        <v>0</v>
      </c>
      <c r="AD399" s="117" t="e">
        <f>ROUND(SUM(-G399,H399:L399),0)</f>
        <v>#VALUE!</v>
      </c>
      <c r="AE399" s="117" t="e">
        <f>ROUND(H399-O399-P399-Q399-R399,0)</f>
        <v>#VALUE!</v>
      </c>
      <c r="AF399" s="117" t="e">
        <f>ROUND(I399-T399-U399-V399-W399,0)</f>
        <v>#VALUE!</v>
      </c>
      <c r="AG399" s="117" t="e">
        <f>ROUND(J399-Y399-Z399-AA399-AC399-AB399,0)</f>
        <v>#VALUE!</v>
      </c>
      <c r="AH399" s="116"/>
      <c r="AI399">
        <f t="shared" si="153"/>
        <v>544</v>
      </c>
      <c r="AJ399" t="str">
        <f t="shared" si="142"/>
        <v>NA</v>
      </c>
      <c r="AK399" t="str">
        <f>IF(ISERROR(MATCH(AI399&amp;"."&amp;AJ399,AK$91:AK398,0)),AI399&amp;"."&amp;AJ399,AI399&amp;"."&amp;AJ399&amp;COUNTIFS(AI$91:AI398,AI399,AJ$91:AJ398,AJ399))</f>
        <v>544.NA1</v>
      </c>
    </row>
    <row r="400" spans="1:37" ht="15" hidden="1">
      <c r="A400" s="120">
        <f>ROW()</f>
        <v>400</v>
      </c>
      <c r="B400" s="120"/>
      <c r="C400" s="1"/>
      <c r="E400" s="121"/>
      <c r="F400" s="138"/>
      <c r="G400" s="119"/>
      <c r="X400" s="3"/>
      <c r="AD400" s="119"/>
      <c r="AE400" s="119"/>
      <c r="AF400" s="119"/>
      <c r="AG400" s="119"/>
      <c r="AI400">
        <f t="shared" si="153"/>
        <v>544</v>
      </c>
      <c r="AJ400" t="str">
        <f t="shared" si="142"/>
        <v>NA</v>
      </c>
      <c r="AK400" t="str">
        <f>IF(ISERROR(MATCH(AI400&amp;"."&amp;AJ400,AK$91:AK399,0)),AI400&amp;"."&amp;AJ400,AI400&amp;"."&amp;AJ400&amp;COUNTIFS(AI$91:AI399,AI400,AJ$91:AJ399,AJ400))</f>
        <v>544.NA2</v>
      </c>
    </row>
    <row r="401" spans="1:37" ht="15" hidden="1">
      <c r="A401" s="120">
        <f>ROW()</f>
        <v>401</v>
      </c>
      <c r="B401" s="120"/>
      <c r="C401" s="1">
        <v>545</v>
      </c>
      <c r="D401" s="2" t="s">
        <v>268</v>
      </c>
      <c r="E401" s="121"/>
      <c r="F401" s="138"/>
      <c r="G401" s="119"/>
      <c r="X401" s="3"/>
      <c r="AD401" s="119"/>
      <c r="AE401" s="119"/>
      <c r="AF401" s="119"/>
      <c r="AG401" s="119"/>
      <c r="AI401">
        <f t="shared" si="153"/>
        <v>545</v>
      </c>
      <c r="AJ401" t="str">
        <f t="shared" si="142"/>
        <v>NA</v>
      </c>
      <c r="AK401" t="str">
        <f>IF(ISERROR(MATCH(AI401&amp;"."&amp;AJ401,AK$91:AK400,0)),AI401&amp;"."&amp;AJ401,AI401&amp;"."&amp;AJ401&amp;COUNTIFS(AI$91:AI400,AI401,AJ$91:AJ400,AJ401))</f>
        <v>545.NA</v>
      </c>
    </row>
    <row r="402" spans="1:37" ht="15" hidden="1">
      <c r="A402" s="120">
        <f>ROW()</f>
        <v>402</v>
      </c>
      <c r="B402" s="120"/>
      <c r="E402" s="121" t="s">
        <v>15</v>
      </c>
      <c r="F402" s="138" t="str">
        <f>INDEX(FuncAllocOptions,ROW(A402)-ROW($A$92)+1,[4]Inputs!$S$11)</f>
        <v>P</v>
      </c>
      <c r="G402" s="117" t="e">
        <f>SUMIF(FERCJAMFactor,AK402,JAMValue)</f>
        <v>#VALUE!</v>
      </c>
      <c r="H402" s="116" t="e">
        <f t="shared" ref="H402:L403" si="163">INDEX(FuncFactorTbl,MATCH($F402,FuncFactors,0),MATCH(H$8,Functions,0))*$G402</f>
        <v>#VALUE!</v>
      </c>
      <c r="I402" s="116" t="e">
        <f t="shared" si="163"/>
        <v>#VALUE!</v>
      </c>
      <c r="J402" s="116" t="e">
        <f t="shared" si="163"/>
        <v>#VALUE!</v>
      </c>
      <c r="K402" s="116" t="e">
        <f t="shared" si="163"/>
        <v>#VALUE!</v>
      </c>
      <c r="L402" s="116" t="e">
        <f t="shared" si="163"/>
        <v>#VALUE!</v>
      </c>
      <c r="N402" s="108">
        <v>0.75</v>
      </c>
      <c r="O402" s="116" t="e">
        <f>$H402*$N402*$M402</f>
        <v>#VALUE!</v>
      </c>
      <c r="P402" s="116" t="e">
        <f>$H402*(1-$N402)*$M402</f>
        <v>#VALUE!</v>
      </c>
      <c r="Q402" s="116" t="e">
        <f>$H402*$N402*(1-$M402)</f>
        <v>#VALUE!</v>
      </c>
      <c r="R402" s="116" t="e">
        <f>$H402*(1-$N402)*(1-$M402)</f>
        <v>#VALUE!</v>
      </c>
      <c r="T402" s="116">
        <v>0</v>
      </c>
      <c r="U402" s="116">
        <v>0</v>
      </c>
      <c r="V402" s="116">
        <v>0</v>
      </c>
      <c r="W402" s="116">
        <v>0</v>
      </c>
      <c r="X402" s="3"/>
      <c r="AD402" s="117" t="e">
        <f>ROUND(SUM(-G402,H402:L402),0)</f>
        <v>#VALUE!</v>
      </c>
      <c r="AE402" s="117" t="e">
        <f>ROUND(H402-O402-P402-Q402-R402,0)</f>
        <v>#VALUE!</v>
      </c>
      <c r="AF402" s="117" t="e">
        <f>ROUND(I402-T402-U402-V402-W402,0)</f>
        <v>#VALUE!</v>
      </c>
      <c r="AG402" s="117" t="e">
        <f>ROUND(J402-Y402-Z402-AA402-AC402-AB402,0)</f>
        <v>#VALUE!</v>
      </c>
      <c r="AH402" s="116"/>
      <c r="AI402">
        <f t="shared" si="153"/>
        <v>545</v>
      </c>
      <c r="AJ402" t="str">
        <f t="shared" si="142"/>
        <v>SG</v>
      </c>
      <c r="AK402" t="s">
        <v>774</v>
      </c>
    </row>
    <row r="403" spans="1:37" ht="15" hidden="1">
      <c r="A403" s="120">
        <f>ROW()</f>
        <v>403</v>
      </c>
      <c r="B403" s="120"/>
      <c r="E403" s="121" t="s">
        <v>15</v>
      </c>
      <c r="F403" s="138" t="str">
        <f>INDEX(FuncAllocOptions,ROW(A403)-ROW($A$92)+1,[4]Inputs!$S$11)</f>
        <v>P</v>
      </c>
      <c r="G403" s="133" t="e">
        <f>SUMIF(FERCJAMFactor,AK403,JAMValue)</f>
        <v>#VALUE!</v>
      </c>
      <c r="H403" s="139" t="e">
        <f t="shared" si="163"/>
        <v>#VALUE!</v>
      </c>
      <c r="I403" s="139" t="e">
        <f t="shared" si="163"/>
        <v>#VALUE!</v>
      </c>
      <c r="J403" s="139" t="e">
        <f t="shared" si="163"/>
        <v>#VALUE!</v>
      </c>
      <c r="K403" s="139" t="e">
        <f t="shared" si="163"/>
        <v>#VALUE!</v>
      </c>
      <c r="L403" s="139" t="e">
        <f t="shared" si="163"/>
        <v>#VALUE!</v>
      </c>
      <c r="N403" s="108">
        <v>0.75</v>
      </c>
      <c r="O403" s="116" t="e">
        <f>$H403*$N403*$M403</f>
        <v>#VALUE!</v>
      </c>
      <c r="P403" s="116" t="e">
        <f>$H403*(1-$N403)*$M403</f>
        <v>#VALUE!</v>
      </c>
      <c r="Q403" s="116" t="e">
        <f>$H403*$N403*(1-$M403)</f>
        <v>#VALUE!</v>
      </c>
      <c r="R403" s="116" t="e">
        <f>$H403*(1-$N403)*(1-$M403)</f>
        <v>#VALUE!</v>
      </c>
      <c r="T403" s="116">
        <v>0</v>
      </c>
      <c r="U403" s="116">
        <v>0</v>
      </c>
      <c r="V403" s="116">
        <v>0</v>
      </c>
      <c r="W403" s="116">
        <v>0</v>
      </c>
      <c r="X403" s="3"/>
      <c r="AD403" s="117" t="e">
        <f>ROUND(SUM(-G403,H403:L403),0)</f>
        <v>#VALUE!</v>
      </c>
      <c r="AE403" s="117" t="e">
        <f>ROUND(H403-O403-P403-Q403-R403,0)</f>
        <v>#VALUE!</v>
      </c>
      <c r="AF403" s="117" t="e">
        <f>ROUND(I403-T403-U403-V403-W403,0)</f>
        <v>#VALUE!</v>
      </c>
      <c r="AG403" s="117" t="e">
        <f>ROUND(J403-Y403-Z403-AA403-AC403-AB403,0)</f>
        <v>#VALUE!</v>
      </c>
      <c r="AH403" s="116"/>
      <c r="AI403">
        <f t="shared" si="153"/>
        <v>545</v>
      </c>
      <c r="AJ403" t="str">
        <f t="shared" si="142"/>
        <v>SG</v>
      </c>
      <c r="AK403" t="s">
        <v>773</v>
      </c>
    </row>
    <row r="404" spans="1:37" ht="15" hidden="1">
      <c r="A404" s="120">
        <f>ROW()</f>
        <v>404</v>
      </c>
      <c r="B404" s="120"/>
      <c r="E404" s="121"/>
      <c r="F404" s="138"/>
      <c r="G404" s="117" t="e">
        <f t="shared" ref="G404:L404" si="164">SUM(G402:G403)</f>
        <v>#VALUE!</v>
      </c>
      <c r="H404" s="116" t="e">
        <f t="shared" si="164"/>
        <v>#VALUE!</v>
      </c>
      <c r="I404" s="116" t="e">
        <f t="shared" si="164"/>
        <v>#VALUE!</v>
      </c>
      <c r="J404" s="116" t="e">
        <f t="shared" si="164"/>
        <v>#VALUE!</v>
      </c>
      <c r="K404" s="116" t="e">
        <f t="shared" si="164"/>
        <v>#VALUE!</v>
      </c>
      <c r="L404" s="116" t="e">
        <f t="shared" si="164"/>
        <v>#VALUE!</v>
      </c>
      <c r="O404" s="116" t="e">
        <f>SUM(O402:O403)</f>
        <v>#VALUE!</v>
      </c>
      <c r="P404" s="116" t="e">
        <f>SUM(P402:P403)</f>
        <v>#VALUE!</v>
      </c>
      <c r="Q404" s="116" t="e">
        <f>SUM(Q402:Q403)</f>
        <v>#VALUE!</v>
      </c>
      <c r="R404" s="116" t="e">
        <f>SUM(R402:R403)</f>
        <v>#VALUE!</v>
      </c>
      <c r="T404" s="116">
        <f>SUM(T402:T403)</f>
        <v>0</v>
      </c>
      <c r="U404" s="116">
        <f>SUM(U402:U403)</f>
        <v>0</v>
      </c>
      <c r="V404" s="116">
        <f>SUM(V402:V403)</f>
        <v>0</v>
      </c>
      <c r="W404" s="116">
        <f>SUM(W402:W403)</f>
        <v>0</v>
      </c>
      <c r="X404" s="3"/>
      <c r="Y404" s="116">
        <f>SUM(Y402:Y403)</f>
        <v>0</v>
      </c>
      <c r="Z404" s="116">
        <f>SUM(Z402:Z403)</f>
        <v>0</v>
      </c>
      <c r="AA404" s="116">
        <f>SUM(AA402:AA403)</f>
        <v>0</v>
      </c>
      <c r="AB404" s="116">
        <f>SUM(AB402:AB403)</f>
        <v>0</v>
      </c>
      <c r="AC404" s="116">
        <f>SUM(AC402:AC403)</f>
        <v>0</v>
      </c>
      <c r="AD404" s="117" t="e">
        <f>ROUND(SUM(-G404,H404:L404),0)</f>
        <v>#VALUE!</v>
      </c>
      <c r="AE404" s="117" t="e">
        <f>ROUND(H404-O404-P404-Q404-R404,0)</f>
        <v>#VALUE!</v>
      </c>
      <c r="AF404" s="117" t="e">
        <f>ROUND(I404-T404-U404-V404-W404,0)</f>
        <v>#VALUE!</v>
      </c>
      <c r="AG404" s="117" t="e">
        <f>ROUND(J404-Y404-Z404-AA404-AC404-AB404,0)</f>
        <v>#VALUE!</v>
      </c>
      <c r="AH404" s="116"/>
      <c r="AI404">
        <f t="shared" si="153"/>
        <v>545</v>
      </c>
      <c r="AJ404" t="str">
        <f t="shared" si="142"/>
        <v>NA</v>
      </c>
      <c r="AK404" t="str">
        <f>IF(ISERROR(MATCH(AI404&amp;"."&amp;AJ404,AK$91:AK403,0)),AI404&amp;"."&amp;AJ404,AI404&amp;"."&amp;AJ404&amp;COUNTIFS(AI$91:AI403,AI404,AJ$91:AJ403,AJ404))</f>
        <v>545.NA1</v>
      </c>
    </row>
    <row r="405" spans="1:37" ht="15" hidden="1">
      <c r="A405" s="120">
        <f>ROW()</f>
        <v>405</v>
      </c>
      <c r="B405" s="120"/>
      <c r="E405" s="121"/>
      <c r="F405" s="138"/>
      <c r="G405" s="119"/>
      <c r="X405" s="3"/>
      <c r="AD405" s="119"/>
      <c r="AE405" s="119"/>
      <c r="AF405" s="119"/>
      <c r="AG405" s="119"/>
      <c r="AI405">
        <f t="shared" si="153"/>
        <v>545</v>
      </c>
      <c r="AJ405" t="str">
        <f t="shared" si="142"/>
        <v>NA</v>
      </c>
      <c r="AK405" t="str">
        <f>IF(ISERROR(MATCH(AI405&amp;"."&amp;AJ405,AK$91:AK404,0)),AI405&amp;"."&amp;AJ405,AI405&amp;"."&amp;AJ405&amp;COUNTIFS(AI$91:AI404,AI405,AJ$91:AJ404,AJ405))</f>
        <v>545.NA2</v>
      </c>
    </row>
    <row r="406" spans="1:37" ht="15.75" hidden="1" thickBot="1">
      <c r="A406" s="120">
        <f>ROW()</f>
        <v>406</v>
      </c>
      <c r="B406" s="120"/>
      <c r="C406" s="110" t="s">
        <v>269</v>
      </c>
      <c r="E406" s="121"/>
      <c r="F406" s="138"/>
      <c r="G406" s="153" t="e">
        <f t="shared" ref="G406:L406" si="165">G356+G361+G366+G375+G380+G384+G389+G394+G399+G404</f>
        <v>#VALUE!</v>
      </c>
      <c r="H406" s="152" t="e">
        <f t="shared" si="165"/>
        <v>#VALUE!</v>
      </c>
      <c r="I406" s="152" t="e">
        <f t="shared" si="165"/>
        <v>#VALUE!</v>
      </c>
      <c r="J406" s="152" t="e">
        <f t="shared" si="165"/>
        <v>#VALUE!</v>
      </c>
      <c r="K406" s="152" t="e">
        <f t="shared" si="165"/>
        <v>#VALUE!</v>
      </c>
      <c r="L406" s="152" t="e">
        <f t="shared" si="165"/>
        <v>#VALUE!</v>
      </c>
      <c r="O406" s="116" t="e">
        <f>O356+O361+O366+O375+O380+O384+O389+O394+O399+O404</f>
        <v>#VALUE!</v>
      </c>
      <c r="P406" s="116" t="e">
        <f>P356+P361+P366+P375+P380+P384+P389+P394+P399+P404</f>
        <v>#VALUE!</v>
      </c>
      <c r="Q406" s="116" t="e">
        <f>Q356+Q361+Q366+Q375+Q380+Q384+Q389+Q394+Q399+Q404</f>
        <v>#VALUE!</v>
      </c>
      <c r="R406" s="116" t="e">
        <f>R356+R361+R366+R375+R380+R384+R389+R394+R399+R404</f>
        <v>#VALUE!</v>
      </c>
      <c r="S406" s="116"/>
      <c r="T406" s="116">
        <f>T356+T361+T366+T375+T380+T384+T389+T394+T399+T404</f>
        <v>0</v>
      </c>
      <c r="U406" s="116">
        <f>U356+U361+U366+U375+U380+U384+U389+U394+U399+U404</f>
        <v>0</v>
      </c>
      <c r="V406" s="116">
        <f>V356+V361+V366+V375+V380+V384+V389+V394+V399+V404</f>
        <v>0</v>
      </c>
      <c r="W406" s="116">
        <f>W356+W361+W366+W375+W380+W384+W389+W394+W399+W404</f>
        <v>0</v>
      </c>
      <c r="X406" s="3"/>
      <c r="Y406" s="116">
        <f>Y356+Y361+Y366+Y375+Y380+Y384+Y389+Y394+Y399+Y404</f>
        <v>0</v>
      </c>
      <c r="Z406" s="116">
        <f>Z356+Z361+Z366+Z375+Z380+Z384+Z389+Z394+Z399+Z404</f>
        <v>0</v>
      </c>
      <c r="AA406" s="116">
        <f>AA356+AA361+AA366+AA375+AA380+AA384+AA389+AA394+AA399+AA404</f>
        <v>0</v>
      </c>
      <c r="AB406" s="116">
        <f>AB356+AB361+AB366+AB375+AB380+AB384+AB389+AB394+AB399+AB404</f>
        <v>0</v>
      </c>
      <c r="AC406" s="116">
        <f>AC356+AC361+AC366+AC375+AC380+AC384+AC389+AC394+AC399+AC404</f>
        <v>0</v>
      </c>
      <c r="AD406" s="117" t="e">
        <f>ROUND(SUM(-G406,H406:L406),0)</f>
        <v>#VALUE!</v>
      </c>
      <c r="AE406" s="117" t="e">
        <f>ROUND(H406-O406-P406-Q406-R406,0)</f>
        <v>#VALUE!</v>
      </c>
      <c r="AF406" s="117" t="e">
        <f>ROUND(I406-T406-U406-V406-W406,0)</f>
        <v>#VALUE!</v>
      </c>
      <c r="AG406" s="117" t="e">
        <f>ROUND(J406-Y406-Z406-AA406-AC406-AB406,0)</f>
        <v>#VALUE!</v>
      </c>
      <c r="AH406" s="116"/>
      <c r="AI406" t="str">
        <f t="shared" si="153"/>
        <v xml:space="preserve">Total Hydraulic Power Generation </v>
      </c>
      <c r="AJ406" t="str">
        <f t="shared" si="142"/>
        <v>NA</v>
      </c>
      <c r="AK406" t="str">
        <f>IF(ISERROR(MATCH(AI406&amp;"."&amp;AJ406,AK$91:AK405,0)),AI406&amp;"."&amp;AJ406,AI406&amp;"."&amp;AJ406&amp;COUNTIFS(AI$91:AI405,AI406,AJ$91:AJ405,AJ406))</f>
        <v>Total Hydraulic Power Generation .NA</v>
      </c>
    </row>
    <row r="407" spans="1:37" ht="15" hidden="1">
      <c r="A407" s="120">
        <f>ROW()</f>
        <v>407</v>
      </c>
      <c r="B407" s="120"/>
      <c r="E407" s="121"/>
      <c r="F407" s="138"/>
      <c r="G407" s="119"/>
      <c r="X407" s="3"/>
      <c r="AD407" s="119"/>
      <c r="AE407" s="119"/>
      <c r="AF407" s="119"/>
      <c r="AG407" s="119"/>
      <c r="AI407" t="str">
        <f t="shared" si="153"/>
        <v xml:space="preserve">Total Hydraulic Power Generation </v>
      </c>
      <c r="AJ407" t="str">
        <f t="shared" si="142"/>
        <v>NA</v>
      </c>
      <c r="AK407" t="str">
        <f>IF(ISERROR(MATCH(AI407&amp;"."&amp;AJ407,AK$91:AK406,0)),AI407&amp;"."&amp;AJ407,AI407&amp;"."&amp;AJ407&amp;COUNTIFS(AI$91:AI406,AI407,AJ$91:AJ406,AJ407))</f>
        <v>Total Hydraulic Power Generation .NA1</v>
      </c>
    </row>
    <row r="408" spans="1:37" ht="15" hidden="1">
      <c r="A408" s="120">
        <f>ROW()</f>
        <v>408</v>
      </c>
      <c r="B408" s="120"/>
      <c r="C408" s="1"/>
      <c r="E408" s="121"/>
      <c r="F408" s="138"/>
      <c r="G408" s="119"/>
      <c r="X408" s="3"/>
      <c r="AD408" s="119"/>
      <c r="AE408" s="119"/>
      <c r="AF408" s="119"/>
      <c r="AG408" s="119"/>
      <c r="AI408" t="str">
        <f t="shared" si="153"/>
        <v xml:space="preserve">Total Hydraulic Power Generation </v>
      </c>
      <c r="AJ408" t="str">
        <f t="shared" si="142"/>
        <v>NA</v>
      </c>
      <c r="AK408" t="str">
        <f>IF(ISERROR(MATCH(AI408&amp;"."&amp;AJ408,AK$91:AK407,0)),AI408&amp;"."&amp;AJ408,AI408&amp;"."&amp;AJ408&amp;COUNTIFS(AI$91:AI407,AI408,AJ$91:AJ407,AJ408))</f>
        <v>Total Hydraulic Power Generation .NA2</v>
      </c>
    </row>
    <row r="409" spans="1:37" ht="15" hidden="1">
      <c r="A409" s="120">
        <f>ROW()</f>
        <v>409</v>
      </c>
      <c r="B409" s="120"/>
      <c r="C409" s="1">
        <v>546</v>
      </c>
      <c r="D409" s="2" t="s">
        <v>194</v>
      </c>
      <c r="E409" s="121"/>
      <c r="F409" s="138"/>
      <c r="G409" s="119"/>
      <c r="X409" s="3"/>
      <c r="AD409" s="119"/>
      <c r="AE409" s="119"/>
      <c r="AF409" s="119"/>
      <c r="AG409" s="119"/>
      <c r="AI409">
        <f t="shared" ref="AI409:AI426" si="166">IF(OR(C409="",C409=" ",C409="  ",C409="   "),AI408,C409)</f>
        <v>546</v>
      </c>
      <c r="AJ409" t="str">
        <f t="shared" si="142"/>
        <v>NA</v>
      </c>
      <c r="AK409" t="str">
        <f>IF(ISERROR(MATCH(AI409&amp;"."&amp;AJ409,AK$91:AK408,0)),AI409&amp;"."&amp;AJ409,AI409&amp;"."&amp;AJ409&amp;COUNTIFS(AI$91:AI408,AI409,AJ$91:AJ408,AJ409))</f>
        <v>546.NA</v>
      </c>
    </row>
    <row r="410" spans="1:37" ht="15" hidden="1">
      <c r="A410" s="120">
        <f>ROW()</f>
        <v>410</v>
      </c>
      <c r="B410" s="120"/>
      <c r="C410" s="1"/>
      <c r="E410" s="121" t="s">
        <v>15</v>
      </c>
      <c r="F410" s="138" t="str">
        <f>INDEX(FuncAllocOptions,ROW(A410)-ROW($A$92)+1,[4]Inputs!$S$11)</f>
        <v>P</v>
      </c>
      <c r="G410" s="133" t="e">
        <f>SUMIF(FERCJAMFactor,AK410,JAMValue)</f>
        <v>#VALUE!</v>
      </c>
      <c r="H410" s="139" t="e">
        <f>INDEX(FuncFactorTbl,MATCH($F410,FuncFactors,0),MATCH(H$8,Functions,0))*$G410</f>
        <v>#VALUE!</v>
      </c>
      <c r="I410" s="139" t="e">
        <f>INDEX(FuncFactorTbl,MATCH($F410,FuncFactors,0),MATCH(I$8,Functions,0))*$G410</f>
        <v>#VALUE!</v>
      </c>
      <c r="J410" s="139" t="e">
        <f>INDEX(FuncFactorTbl,MATCH($F410,FuncFactors,0),MATCH(J$8,Functions,0))*$G410</f>
        <v>#VALUE!</v>
      </c>
      <c r="K410" s="139" t="e">
        <f>INDEX(FuncFactorTbl,MATCH($F410,FuncFactors,0),MATCH(K$8,Functions,0))*$G410</f>
        <v>#VALUE!</v>
      </c>
      <c r="L410" s="139" t="e">
        <f>INDEX(FuncFactorTbl,MATCH($F410,FuncFactors,0),MATCH(L$8,Functions,0))*$G410</f>
        <v>#VALUE!</v>
      </c>
      <c r="N410" s="108">
        <v>0.75</v>
      </c>
      <c r="O410" s="116" t="e">
        <f>$H410*$N410*$M410</f>
        <v>#VALUE!</v>
      </c>
      <c r="P410" s="116" t="e">
        <f>$H410*(1-$N410)*$M410</f>
        <v>#VALUE!</v>
      </c>
      <c r="Q410" s="116" t="e">
        <f>$H410*$N410*(1-$M410)</f>
        <v>#VALUE!</v>
      </c>
      <c r="R410" s="116" t="e">
        <f>$H410*(1-$N410)*(1-$M410)</f>
        <v>#VALUE!</v>
      </c>
      <c r="T410" s="116">
        <v>0</v>
      </c>
      <c r="U410" s="116">
        <v>0</v>
      </c>
      <c r="V410" s="116">
        <v>0</v>
      </c>
      <c r="W410" s="116">
        <v>0</v>
      </c>
      <c r="X410" s="3"/>
      <c r="AD410" s="117" t="e">
        <f>ROUND(SUM(-G410,H410:L410),0)</f>
        <v>#VALUE!</v>
      </c>
      <c r="AE410" s="117" t="e">
        <f>ROUND(H410-O410-P410-Q410-R410,0)</f>
        <v>#VALUE!</v>
      </c>
      <c r="AF410" s="117" t="e">
        <f>ROUND(I410-T410-U410-V410-W410,0)</f>
        <v>#VALUE!</v>
      </c>
      <c r="AG410" s="117" t="e">
        <f>ROUND(J410-Y410-Z410-AA410-AC410-AB410,0)</f>
        <v>#VALUE!</v>
      </c>
      <c r="AH410" s="116"/>
      <c r="AI410">
        <f t="shared" si="166"/>
        <v>546</v>
      </c>
      <c r="AJ410" t="str">
        <f t="shared" si="142"/>
        <v>SG</v>
      </c>
      <c r="AK410" t="str">
        <f>IF(ISERROR(MATCH(AI410&amp;"."&amp;AJ410,AK$91:AK409,0)),AI410&amp;"."&amp;AJ410,AI410&amp;"."&amp;AJ410&amp;COUNTIFS(AI$91:AI409,AI410,AJ$91:AJ409,AJ410))</f>
        <v>546.SG</v>
      </c>
    </row>
    <row r="411" spans="1:37" ht="15" hidden="1">
      <c r="A411" s="120">
        <f>ROW()</f>
        <v>411</v>
      </c>
      <c r="B411" s="120"/>
      <c r="C411" s="1"/>
      <c r="E411" s="121"/>
      <c r="F411" s="138"/>
      <c r="G411" s="117" t="e">
        <f t="shared" ref="G411:L411" si="167">SUM(G410)</f>
        <v>#VALUE!</v>
      </c>
      <c r="H411" s="116" t="e">
        <f t="shared" si="167"/>
        <v>#VALUE!</v>
      </c>
      <c r="I411" s="116" t="e">
        <f t="shared" si="167"/>
        <v>#VALUE!</v>
      </c>
      <c r="J411" s="116" t="e">
        <f t="shared" si="167"/>
        <v>#VALUE!</v>
      </c>
      <c r="K411" s="116" t="e">
        <f t="shared" si="167"/>
        <v>#VALUE!</v>
      </c>
      <c r="L411" s="116" t="e">
        <f t="shared" si="167"/>
        <v>#VALUE!</v>
      </c>
      <c r="O411" s="116" t="e">
        <f>SUM(O410)</f>
        <v>#VALUE!</v>
      </c>
      <c r="P411" s="116" t="e">
        <f>SUM(P410)</f>
        <v>#VALUE!</v>
      </c>
      <c r="Q411" s="116" t="e">
        <f>SUM(Q410)</f>
        <v>#VALUE!</v>
      </c>
      <c r="R411" s="116" t="e">
        <f>SUM(R410)</f>
        <v>#VALUE!</v>
      </c>
      <c r="T411" s="116">
        <f>SUM(T410)</f>
        <v>0</v>
      </c>
      <c r="U411" s="116">
        <f>SUM(U410)</f>
        <v>0</v>
      </c>
      <c r="V411" s="116">
        <f>SUM(V410)</f>
        <v>0</v>
      </c>
      <c r="W411" s="116">
        <f>SUM(W410)</f>
        <v>0</v>
      </c>
      <c r="X411" s="3"/>
      <c r="Y411" s="116">
        <f>SUM(Y410)</f>
        <v>0</v>
      </c>
      <c r="Z411" s="116">
        <f>SUM(Z410)</f>
        <v>0</v>
      </c>
      <c r="AA411" s="116">
        <f>SUM(AA410)</f>
        <v>0</v>
      </c>
      <c r="AB411" s="116">
        <f>SUM(AB410)</f>
        <v>0</v>
      </c>
      <c r="AC411" s="116">
        <f>SUM(AC410)</f>
        <v>0</v>
      </c>
      <c r="AD411" s="117" t="e">
        <f>ROUND(SUM(-G411,H411:L411),0)</f>
        <v>#VALUE!</v>
      </c>
      <c r="AE411" s="117" t="e">
        <f>ROUND(H411-O411-P411-Q411-R411,0)</f>
        <v>#VALUE!</v>
      </c>
      <c r="AF411" s="117" t="e">
        <f>ROUND(I411-T411-U411-V411-W411,0)</f>
        <v>#VALUE!</v>
      </c>
      <c r="AG411" s="117" t="e">
        <f>ROUND(J411-Y411-Z411-AA411-AC411-AB411,0)</f>
        <v>#VALUE!</v>
      </c>
      <c r="AH411" s="116"/>
      <c r="AI411">
        <f t="shared" si="166"/>
        <v>546</v>
      </c>
      <c r="AJ411" t="str">
        <f t="shared" si="142"/>
        <v>NA</v>
      </c>
      <c r="AK411" t="str">
        <f>IF(ISERROR(MATCH(AI411&amp;"."&amp;AJ411,AK$91:AK410,0)),AI411&amp;"."&amp;AJ411,AI411&amp;"."&amp;AJ411&amp;COUNTIFS(AI$91:AI410,AI411,AJ$91:AJ410,AJ411))</f>
        <v>546.NA1</v>
      </c>
    </row>
    <row r="412" spans="1:37" ht="15" hidden="1">
      <c r="A412" s="120">
        <f>ROW()</f>
        <v>412</v>
      </c>
      <c r="B412" s="120"/>
      <c r="C412" s="1"/>
      <c r="E412" s="121"/>
      <c r="F412" s="138"/>
      <c r="G412" s="119"/>
      <c r="X412" s="3"/>
      <c r="AD412" s="119"/>
      <c r="AE412" s="119"/>
      <c r="AF412" s="119"/>
      <c r="AG412" s="119"/>
      <c r="AI412">
        <f t="shared" si="166"/>
        <v>546</v>
      </c>
      <c r="AJ412" t="str">
        <f t="shared" si="142"/>
        <v>NA</v>
      </c>
      <c r="AK412" t="str">
        <f>IF(ISERROR(MATCH(AI412&amp;"."&amp;AJ412,AK$91:AK411,0)),AI412&amp;"."&amp;AJ412,AI412&amp;"."&amp;AJ412&amp;COUNTIFS(AI$91:AI411,AI412,AJ$91:AJ411,AJ412))</f>
        <v>546.NA2</v>
      </c>
    </row>
    <row r="413" spans="1:37" ht="15">
      <c r="A413" s="120">
        <f>ROW()</f>
        <v>413</v>
      </c>
      <c r="B413" s="120" t="s">
        <v>105</v>
      </c>
      <c r="C413" s="1" t="s">
        <v>6</v>
      </c>
      <c r="D413" s="2" t="s">
        <v>7</v>
      </c>
      <c r="E413" s="121"/>
      <c r="F413" s="138"/>
      <c r="G413" s="119"/>
      <c r="X413" s="3"/>
      <c r="AD413" s="119"/>
      <c r="AE413" s="119"/>
      <c r="AF413" s="119"/>
      <c r="AG413" s="119"/>
      <c r="AI413" t="str">
        <f t="shared" si="166"/>
        <v>547NPC</v>
      </c>
      <c r="AJ413" t="str">
        <f t="shared" ref="AJ413:AJ476" si="168">IF(E413="","NA",E413)</f>
        <v>NA</v>
      </c>
      <c r="AK413" t="str">
        <f>IF(ISERROR(MATCH(AI413&amp;"."&amp;AJ413,AK$91:AK412,0)),AI413&amp;"."&amp;AJ413,AI413&amp;"."&amp;AJ413&amp;COUNTIFS(AI$91:AI412,AI413,AJ$91:AJ412,AJ413))</f>
        <v>547NPC.NA</v>
      </c>
    </row>
    <row r="414" spans="1:37" ht="15">
      <c r="A414" s="120">
        <f>ROW()</f>
        <v>414</v>
      </c>
      <c r="B414" s="120" t="s">
        <v>105</v>
      </c>
      <c r="C414" s="1"/>
      <c r="E414" s="121" t="s">
        <v>16</v>
      </c>
      <c r="F414" s="138" t="str">
        <f>INDEX(FuncAllocOptions,ROW(A414)-ROW($A$92)+1,[4]Inputs!$S$11)</f>
        <v>P</v>
      </c>
      <c r="G414" s="117" t="e">
        <f>SUMIF(FERCJAMFactor,AK414,JAMValue)</f>
        <v>#VALUE!</v>
      </c>
      <c r="H414" s="116" t="e">
        <f t="shared" ref="H414:L415" si="169">INDEX(FuncFactorTbl,MATCH($F414,FuncFactors,0),MATCH(H$8,Functions,0))*$G414</f>
        <v>#VALUE!</v>
      </c>
      <c r="I414" s="116" t="e">
        <f t="shared" si="169"/>
        <v>#VALUE!</v>
      </c>
      <c r="J414" s="116" t="e">
        <f t="shared" si="169"/>
        <v>#VALUE!</v>
      </c>
      <c r="K414" s="116" t="e">
        <f t="shared" si="169"/>
        <v>#VALUE!</v>
      </c>
      <c r="L414" s="116" t="e">
        <f t="shared" si="169"/>
        <v>#VALUE!</v>
      </c>
      <c r="M414" s="164">
        <v>1</v>
      </c>
      <c r="N414" s="108">
        <v>0</v>
      </c>
      <c r="O414" s="116" t="e">
        <f>$H414*$N414*$M414</f>
        <v>#VALUE!</v>
      </c>
      <c r="P414" s="116" t="e">
        <f>$H414*(1-$N414)*$M414</f>
        <v>#VALUE!</v>
      </c>
      <c r="Q414" s="116" t="e">
        <f>$H414*$N414*(1-$M414)</f>
        <v>#VALUE!</v>
      </c>
      <c r="R414" s="116" t="e">
        <f>$H414*(1-$N414)*(1-$M414)</f>
        <v>#VALUE!</v>
      </c>
      <c r="T414" s="116">
        <v>0</v>
      </c>
      <c r="U414" s="116">
        <v>0</v>
      </c>
      <c r="V414" s="116">
        <v>0</v>
      </c>
      <c r="W414" s="116">
        <v>0</v>
      </c>
      <c r="X414" s="3"/>
      <c r="AD414" s="117" t="e">
        <f>ROUND(SUM(-G414,H414:L414),0)</f>
        <v>#VALUE!</v>
      </c>
      <c r="AE414" s="117" t="e">
        <f>ROUND(H414-O414-P414-Q414-R414,0)</f>
        <v>#VALUE!</v>
      </c>
      <c r="AF414" s="117" t="e">
        <f>ROUND(I414-T414-U414-V414-W414,0)</f>
        <v>#VALUE!</v>
      </c>
      <c r="AG414" s="117" t="e">
        <f>ROUND(J414-Y414-Z414-AA414-AC414-AB414,0)</f>
        <v>#VALUE!</v>
      </c>
      <c r="AH414" s="116"/>
      <c r="AI414" t="str">
        <f t="shared" si="166"/>
        <v>547NPC</v>
      </c>
      <c r="AJ414" t="str">
        <f t="shared" si="168"/>
        <v>SE</v>
      </c>
      <c r="AK414" t="str">
        <f>IF(ISERROR(MATCH(AI414&amp;"."&amp;AJ414,AK$91:AK413,0)),AI414&amp;"."&amp;AJ414,AI414&amp;"."&amp;AJ414&amp;COUNTIFS(AI$91:AI413,AI414,AJ$91:AJ413,AJ414))</f>
        <v>547NPC.SE</v>
      </c>
    </row>
    <row r="415" spans="1:37" ht="15">
      <c r="A415" s="120">
        <f>ROW()</f>
        <v>415</v>
      </c>
      <c r="B415" s="120" t="s">
        <v>105</v>
      </c>
      <c r="C415" s="1"/>
      <c r="E415" s="121" t="s">
        <v>16</v>
      </c>
      <c r="F415" s="138" t="str">
        <f>INDEX(FuncAllocOptions,ROW(A415)-ROW($A$92)+1,[4]Inputs!$S$11)</f>
        <v>P</v>
      </c>
      <c r="G415" s="133" t="e">
        <f>SUMIF(FERCJAMFactor,AK415,JAMValue)</f>
        <v>#VALUE!</v>
      </c>
      <c r="H415" s="139" t="e">
        <f t="shared" si="169"/>
        <v>#VALUE!</v>
      </c>
      <c r="I415" s="139" t="e">
        <f t="shared" si="169"/>
        <v>#VALUE!</v>
      </c>
      <c r="J415" s="139" t="e">
        <f t="shared" si="169"/>
        <v>#VALUE!</v>
      </c>
      <c r="K415" s="139" t="e">
        <f t="shared" si="169"/>
        <v>#VALUE!</v>
      </c>
      <c r="L415" s="139" t="e">
        <f t="shared" si="169"/>
        <v>#VALUE!</v>
      </c>
      <c r="M415" s="164">
        <v>1</v>
      </c>
      <c r="N415" s="108">
        <v>0</v>
      </c>
      <c r="O415" s="116" t="e">
        <f>$H415*$N415*$M415</f>
        <v>#VALUE!</v>
      </c>
      <c r="P415" s="116" t="e">
        <f>$H415*(1-$N415)*$M415</f>
        <v>#VALUE!</v>
      </c>
      <c r="Q415" s="116" t="e">
        <f>$H415*$N415*(1-$M415)</f>
        <v>#VALUE!</v>
      </c>
      <c r="R415" s="116" t="e">
        <f>$H415*(1-$N415)*(1-$M415)</f>
        <v>#VALUE!</v>
      </c>
      <c r="T415" s="116"/>
      <c r="U415" s="116"/>
      <c r="V415" s="116"/>
      <c r="W415" s="116"/>
      <c r="X415" s="3"/>
      <c r="AD415" s="117" t="e">
        <f>ROUND(SUM(-G415,H415:L415),0)</f>
        <v>#VALUE!</v>
      </c>
      <c r="AE415" s="117" t="e">
        <f>ROUND(H415-O415-P415-Q415-R415,0)</f>
        <v>#VALUE!</v>
      </c>
      <c r="AF415" s="117" t="e">
        <f>ROUND(I415-T415-U415-V415-W415,0)</f>
        <v>#VALUE!</v>
      </c>
      <c r="AG415" s="117" t="e">
        <f>ROUND(J415-Y415-Z415-AA415-AC415-AB415,0)</f>
        <v>#VALUE!</v>
      </c>
      <c r="AH415" s="116"/>
      <c r="AI415" t="str">
        <f t="shared" si="166"/>
        <v>547NPC</v>
      </c>
      <c r="AJ415" t="str">
        <f t="shared" si="168"/>
        <v>SE</v>
      </c>
      <c r="AK415" t="str">
        <f>IF(ISERROR(MATCH(AI415&amp;"."&amp;AJ415,AK$91:AK414,0)),AI415&amp;"."&amp;AJ415,AI415&amp;"."&amp;AJ415&amp;COUNTIFS(AI$91:AI414,AI415,AJ$91:AJ414,AJ415))</f>
        <v>547NPC.SE1</v>
      </c>
    </row>
    <row r="416" spans="1:37" ht="15" hidden="1">
      <c r="A416" s="120">
        <f>ROW()</f>
        <v>416</v>
      </c>
      <c r="B416" s="120"/>
      <c r="C416" s="1"/>
      <c r="E416" s="121"/>
      <c r="F416" s="138"/>
      <c r="G416" s="117" t="e">
        <f t="shared" ref="G416:L416" si="170">SUM(G414:G415)</f>
        <v>#VALUE!</v>
      </c>
      <c r="H416" s="116" t="e">
        <f t="shared" si="170"/>
        <v>#VALUE!</v>
      </c>
      <c r="I416" s="116" t="e">
        <f t="shared" si="170"/>
        <v>#VALUE!</v>
      </c>
      <c r="J416" s="116" t="e">
        <f t="shared" si="170"/>
        <v>#VALUE!</v>
      </c>
      <c r="K416" s="116" t="e">
        <f t="shared" si="170"/>
        <v>#VALUE!</v>
      </c>
      <c r="L416" s="116" t="e">
        <f t="shared" si="170"/>
        <v>#VALUE!</v>
      </c>
      <c r="O416" s="116" t="e">
        <f>SUM(O414:O415)</f>
        <v>#VALUE!</v>
      </c>
      <c r="P416" s="116" t="e">
        <f>SUM(P414:P415)</f>
        <v>#VALUE!</v>
      </c>
      <c r="Q416" s="116" t="e">
        <f>SUM(Q414:Q415)</f>
        <v>#VALUE!</v>
      </c>
      <c r="R416" s="116" t="e">
        <f>SUM(R414:R415)</f>
        <v>#VALUE!</v>
      </c>
      <c r="T416" s="116">
        <f>SUM(T414:T415)</f>
        <v>0</v>
      </c>
      <c r="U416" s="116">
        <f>SUM(U414:U415)</f>
        <v>0</v>
      </c>
      <c r="V416" s="116">
        <f>SUM(V414:V415)</f>
        <v>0</v>
      </c>
      <c r="W416" s="116">
        <f>SUM(W414:W415)</f>
        <v>0</v>
      </c>
      <c r="X416" s="3"/>
      <c r="Y416" s="116">
        <f>SUM(Y414:Y415)</f>
        <v>0</v>
      </c>
      <c r="Z416" s="116">
        <f>SUM(Z414:Z415)</f>
        <v>0</v>
      </c>
      <c r="AA416" s="116">
        <f>SUM(AA414:AA415)</f>
        <v>0</v>
      </c>
      <c r="AB416" s="116">
        <f>SUM(AB414:AB415)</f>
        <v>0</v>
      </c>
      <c r="AC416" s="116">
        <f>SUM(AC414:AC415)</f>
        <v>0</v>
      </c>
      <c r="AD416" s="117" t="e">
        <f>ROUND(SUM(-G416,H416:L416),0)</f>
        <v>#VALUE!</v>
      </c>
      <c r="AE416" s="117" t="e">
        <f>ROUND(H416-O416-P416-Q416-R416,0)</f>
        <v>#VALUE!</v>
      </c>
      <c r="AF416" s="117" t="e">
        <f>ROUND(I416-T416-U416-V416-W416,0)</f>
        <v>#VALUE!</v>
      </c>
      <c r="AG416" s="117" t="e">
        <f>ROUND(J416-Y416-Z416-AA416-AC416-AB416,0)</f>
        <v>#VALUE!</v>
      </c>
      <c r="AH416" s="116"/>
      <c r="AI416" t="str">
        <f t="shared" si="166"/>
        <v>547NPC</v>
      </c>
      <c r="AJ416" t="str">
        <f t="shared" si="168"/>
        <v>NA</v>
      </c>
      <c r="AK416" t="str">
        <f>IF(ISERROR(MATCH(AI416&amp;"."&amp;AJ416,AK$91:AK415,0)),AI416&amp;"."&amp;AJ416,AI416&amp;"."&amp;AJ416&amp;COUNTIFS(AI$91:AI415,AI416,AJ$91:AJ415,AJ416))</f>
        <v>547NPC.NA1</v>
      </c>
    </row>
    <row r="417" spans="1:37" ht="15" hidden="1">
      <c r="A417" s="120">
        <f>ROW()</f>
        <v>417</v>
      </c>
      <c r="B417" s="120"/>
      <c r="C417" s="1"/>
      <c r="E417" s="121"/>
      <c r="F417" s="138"/>
      <c r="G417" s="119"/>
      <c r="X417" s="3"/>
      <c r="AD417" s="119"/>
      <c r="AE417" s="119"/>
      <c r="AF417" s="119"/>
      <c r="AG417" s="119"/>
      <c r="AI417" t="str">
        <f t="shared" si="166"/>
        <v>547NPC</v>
      </c>
      <c r="AJ417" t="str">
        <f t="shared" si="168"/>
        <v>NA</v>
      </c>
      <c r="AK417" t="str">
        <f>IF(ISERROR(MATCH(AI417&amp;"."&amp;AJ417,AK$91:AK416,0)),AI417&amp;"."&amp;AJ417,AI417&amp;"."&amp;AJ417&amp;COUNTIFS(AI$91:AI416,AI417,AJ$91:AJ416,AJ417))</f>
        <v>547NPC.NA2</v>
      </c>
    </row>
    <row r="418" spans="1:37" ht="15" hidden="1">
      <c r="A418" s="120">
        <f>ROW()</f>
        <v>418</v>
      </c>
      <c r="B418" s="120"/>
      <c r="C418" s="1">
        <v>548</v>
      </c>
      <c r="D418" s="2" t="s">
        <v>272</v>
      </c>
      <c r="E418" s="121"/>
      <c r="F418" s="138"/>
      <c r="G418" s="119"/>
      <c r="X418" s="3"/>
      <c r="AD418" s="119"/>
      <c r="AE418" s="119"/>
      <c r="AF418" s="119"/>
      <c r="AG418" s="119"/>
      <c r="AI418">
        <f t="shared" si="166"/>
        <v>548</v>
      </c>
      <c r="AJ418" t="str">
        <f t="shared" si="168"/>
        <v>NA</v>
      </c>
      <c r="AK418" t="str">
        <f>IF(ISERROR(MATCH(AI418&amp;"."&amp;AJ418,AK$91:AK417,0)),AI418&amp;"."&amp;AJ418,AI418&amp;"."&amp;AJ418&amp;COUNTIFS(AI$91:AI417,AI418,AJ$91:AJ417,AJ418))</f>
        <v>548.NA</v>
      </c>
    </row>
    <row r="419" spans="1:37" ht="15" hidden="1">
      <c r="A419" s="120">
        <f>ROW()</f>
        <v>419</v>
      </c>
      <c r="B419" s="120"/>
      <c r="C419" s="1"/>
      <c r="E419" s="121" t="s">
        <v>15</v>
      </c>
      <c r="F419" s="138" t="str">
        <f>INDEX(FuncAllocOptions,ROW(A419)-ROW($A$92)+1,[4]Inputs!$S$11)</f>
        <v>P</v>
      </c>
      <c r="G419" s="117" t="e">
        <f>SUMIF(FERCJAMFactor,AK419,JAMValue)</f>
        <v>#VALUE!</v>
      </c>
      <c r="H419" s="116" t="e">
        <f t="shared" ref="H419:L420" si="171">INDEX(FuncFactorTbl,MATCH($F419,FuncFactors,0),MATCH(H$8,Functions,0))*$G419</f>
        <v>#VALUE!</v>
      </c>
      <c r="I419" s="116" t="e">
        <f t="shared" si="171"/>
        <v>#VALUE!</v>
      </c>
      <c r="J419" s="116" t="e">
        <f t="shared" si="171"/>
        <v>#VALUE!</v>
      </c>
      <c r="K419" s="116" t="e">
        <f t="shared" si="171"/>
        <v>#VALUE!</v>
      </c>
      <c r="L419" s="116" t="e">
        <f t="shared" si="171"/>
        <v>#VALUE!</v>
      </c>
      <c r="N419" s="108">
        <v>0.75</v>
      </c>
      <c r="O419" s="116" t="e">
        <f>$H419*$N419*$M419</f>
        <v>#VALUE!</v>
      </c>
      <c r="P419" s="116" t="e">
        <f>$H419*(1-$N419)*$M419</f>
        <v>#VALUE!</v>
      </c>
      <c r="Q419" s="116" t="e">
        <f>$H419*$N419*(1-$M419)</f>
        <v>#VALUE!</v>
      </c>
      <c r="R419" s="116" t="e">
        <f>$H419*(1-$N419)*(1-$M419)</f>
        <v>#VALUE!</v>
      </c>
      <c r="T419" s="116">
        <v>0</v>
      </c>
      <c r="U419" s="116">
        <v>0</v>
      </c>
      <c r="V419" s="116">
        <v>0</v>
      </c>
      <c r="W419" s="116">
        <v>0</v>
      </c>
      <c r="X419" s="3"/>
      <c r="AD419" s="117" t="e">
        <f>ROUND(SUM(-G419,H419:L419),0)</f>
        <v>#VALUE!</v>
      </c>
      <c r="AE419" s="117" t="e">
        <f>ROUND(H419-O419-P419-Q419-R419,0)</f>
        <v>#VALUE!</v>
      </c>
      <c r="AF419" s="117" t="e">
        <f>ROUND(I419-T419-U419-V419-W419,0)</f>
        <v>#VALUE!</v>
      </c>
      <c r="AG419" s="117" t="e">
        <f>ROUND(J419-Y419-Z419-AA419-AC419-AB419,0)</f>
        <v>#VALUE!</v>
      </c>
      <c r="AH419" s="116"/>
      <c r="AI419">
        <f t="shared" si="166"/>
        <v>548</v>
      </c>
      <c r="AJ419" t="str">
        <f t="shared" si="168"/>
        <v>SG</v>
      </c>
      <c r="AK419" t="str">
        <f>IF(ISERROR(MATCH(AI419&amp;"."&amp;AJ419,AK$91:AK418,0)),AI419&amp;"."&amp;AJ419,AI419&amp;"."&amp;AJ419&amp;COUNTIFS(AI$91:AI418,AI419,AJ$91:AJ418,AJ419))</f>
        <v>548.SG</v>
      </c>
    </row>
    <row r="420" spans="1:37" ht="15" hidden="1">
      <c r="A420" s="120">
        <f>ROW()</f>
        <v>420</v>
      </c>
      <c r="B420" s="120"/>
      <c r="C420" s="1"/>
      <c r="E420" s="121" t="s">
        <v>15</v>
      </c>
      <c r="F420" s="138" t="str">
        <f>INDEX(FuncAllocOptions,ROW(A420)-ROW($A$92)+1,[4]Inputs!$S$11)</f>
        <v>P</v>
      </c>
      <c r="G420" s="133" t="e">
        <f>SUMIF(FERCJAMFactor,AK420,JAMValue)</f>
        <v>#VALUE!</v>
      </c>
      <c r="H420" s="139" t="e">
        <f t="shared" si="171"/>
        <v>#VALUE!</v>
      </c>
      <c r="I420" s="139" t="e">
        <f t="shared" si="171"/>
        <v>#VALUE!</v>
      </c>
      <c r="J420" s="139" t="e">
        <f t="shared" si="171"/>
        <v>#VALUE!</v>
      </c>
      <c r="K420" s="139" t="e">
        <f t="shared" si="171"/>
        <v>#VALUE!</v>
      </c>
      <c r="L420" s="139" t="e">
        <f t="shared" si="171"/>
        <v>#VALUE!</v>
      </c>
      <c r="N420" s="108">
        <v>0.75</v>
      </c>
      <c r="O420" s="116" t="e">
        <f>$H420*$N420*$M420</f>
        <v>#VALUE!</v>
      </c>
      <c r="P420" s="116" t="e">
        <f>$H420*(1-$N420)*$M420</f>
        <v>#VALUE!</v>
      </c>
      <c r="Q420" s="116" t="e">
        <f>$H420*$N420*(1-$M420)</f>
        <v>#VALUE!</v>
      </c>
      <c r="R420" s="116" t="e">
        <f>$H420*(1-$N420)*(1-$M420)</f>
        <v>#VALUE!</v>
      </c>
      <c r="T420" s="116"/>
      <c r="U420" s="116"/>
      <c r="V420" s="116"/>
      <c r="W420" s="116"/>
      <c r="X420" s="3"/>
      <c r="AD420" s="117" t="e">
        <f>ROUND(SUM(-G420,H420:L420),0)</f>
        <v>#VALUE!</v>
      </c>
      <c r="AE420" s="117" t="e">
        <f>ROUND(H420-O420-P420-Q420-R420,0)</f>
        <v>#VALUE!</v>
      </c>
      <c r="AF420" s="117" t="e">
        <f>ROUND(I420-T420-U420-V420-W420,0)</f>
        <v>#VALUE!</v>
      </c>
      <c r="AG420" s="117" t="e">
        <f>ROUND(J420-Y420-Z420-AA420-AC420-AB420,0)</f>
        <v>#VALUE!</v>
      </c>
      <c r="AH420" s="116"/>
      <c r="AI420">
        <f t="shared" si="166"/>
        <v>548</v>
      </c>
      <c r="AJ420" t="str">
        <f t="shared" si="168"/>
        <v>SG</v>
      </c>
      <c r="AK420" t="str">
        <f>IF(ISERROR(MATCH(AI420&amp;"."&amp;AJ420,AK$91:AK419,0)),AI420&amp;"."&amp;AJ420,AI420&amp;"."&amp;AJ420&amp;COUNTIFS(AI$91:AI419,AI420,AJ$91:AJ419,AJ420))</f>
        <v>548.SG1</v>
      </c>
    </row>
    <row r="421" spans="1:37" ht="15" hidden="1">
      <c r="A421" s="120">
        <f>ROW()</f>
        <v>421</v>
      </c>
      <c r="B421" s="120"/>
      <c r="C421" s="1"/>
      <c r="E421" s="121"/>
      <c r="F421" s="138"/>
      <c r="G421" s="117" t="e">
        <f t="shared" ref="G421:L421" si="172">SUM(G419:G420)</f>
        <v>#VALUE!</v>
      </c>
      <c r="H421" s="116" t="e">
        <f t="shared" si="172"/>
        <v>#VALUE!</v>
      </c>
      <c r="I421" s="116" t="e">
        <f t="shared" si="172"/>
        <v>#VALUE!</v>
      </c>
      <c r="J421" s="116" t="e">
        <f t="shared" si="172"/>
        <v>#VALUE!</v>
      </c>
      <c r="K421" s="116" t="e">
        <f t="shared" si="172"/>
        <v>#VALUE!</v>
      </c>
      <c r="L421" s="116" t="e">
        <f t="shared" si="172"/>
        <v>#VALUE!</v>
      </c>
      <c r="O421" s="116" t="e">
        <f>SUM(O419:O420)</f>
        <v>#VALUE!</v>
      </c>
      <c r="P421" s="116" t="e">
        <f>SUM(P419:P420)</f>
        <v>#VALUE!</v>
      </c>
      <c r="Q421" s="116" t="e">
        <f>SUM(Q419:Q420)</f>
        <v>#VALUE!</v>
      </c>
      <c r="R421" s="116" t="e">
        <f>SUM(R419:R420)</f>
        <v>#VALUE!</v>
      </c>
      <c r="T421" s="116">
        <f>SUM(T419:T420)</f>
        <v>0</v>
      </c>
      <c r="U421" s="116">
        <f>SUM(U419:U420)</f>
        <v>0</v>
      </c>
      <c r="V421" s="116">
        <f>SUM(V419:V420)</f>
        <v>0</v>
      </c>
      <c r="W421" s="116">
        <f>SUM(W419:W420)</f>
        <v>0</v>
      </c>
      <c r="X421" s="3"/>
      <c r="Y421" s="116">
        <f>SUM(Y419:Y420)</f>
        <v>0</v>
      </c>
      <c r="Z421" s="116">
        <f>SUM(Z419:Z420)</f>
        <v>0</v>
      </c>
      <c r="AA421" s="116">
        <f>SUM(AA419:AA420)</f>
        <v>0</v>
      </c>
      <c r="AB421" s="116">
        <f>SUM(AB419:AB420)</f>
        <v>0</v>
      </c>
      <c r="AC421" s="116">
        <f>SUM(AC419:AC420)</f>
        <v>0</v>
      </c>
      <c r="AD421" s="117" t="e">
        <f>ROUND(SUM(-G421,H421:L421),0)</f>
        <v>#VALUE!</v>
      </c>
      <c r="AE421" s="117" t="e">
        <f>ROUND(H421-O421-P421-Q421-R421,0)</f>
        <v>#VALUE!</v>
      </c>
      <c r="AF421" s="117" t="e">
        <f>ROUND(I421-T421-U421-V421-W421,0)</f>
        <v>#VALUE!</v>
      </c>
      <c r="AG421" s="117" t="e">
        <f>ROUND(J421-Y421-Z421-AA421-AC421-AB421,0)</f>
        <v>#VALUE!</v>
      </c>
      <c r="AH421" s="116"/>
      <c r="AI421">
        <f t="shared" si="166"/>
        <v>548</v>
      </c>
      <c r="AJ421" t="str">
        <f t="shared" si="168"/>
        <v>NA</v>
      </c>
      <c r="AK421" t="str">
        <f>IF(ISERROR(MATCH(AI421&amp;"."&amp;AJ421,AK$91:AK420,0)),AI421&amp;"."&amp;AJ421,AI421&amp;"."&amp;AJ421&amp;COUNTIFS(AI$91:AI420,AI421,AJ$91:AJ420,AJ421))</f>
        <v>548.NA1</v>
      </c>
    </row>
    <row r="422" spans="1:37" ht="15" hidden="1">
      <c r="A422" s="120">
        <f>ROW()</f>
        <v>422</v>
      </c>
      <c r="B422" s="120"/>
      <c r="C422" s="1"/>
      <c r="E422" s="121"/>
      <c r="F422" s="138"/>
      <c r="G422" s="119"/>
      <c r="X422" s="3"/>
      <c r="AD422" s="119"/>
      <c r="AE422" s="119"/>
      <c r="AF422" s="119"/>
      <c r="AG422" s="119"/>
      <c r="AI422">
        <f t="shared" si="166"/>
        <v>548</v>
      </c>
      <c r="AJ422" t="str">
        <f t="shared" si="168"/>
        <v>NA</v>
      </c>
      <c r="AK422" t="str">
        <f>IF(ISERROR(MATCH(AI422&amp;"."&amp;AJ422,AK$91:AK421,0)),AI422&amp;"."&amp;AJ422,AI422&amp;"."&amp;AJ422&amp;COUNTIFS(AI$91:AI421,AI422,AJ$91:AJ421,AJ422))</f>
        <v>548.NA2</v>
      </c>
    </row>
    <row r="423" spans="1:37" ht="15" hidden="1">
      <c r="A423" s="120">
        <f>ROW()</f>
        <v>423</v>
      </c>
      <c r="B423" s="120"/>
      <c r="C423" s="1">
        <v>549</v>
      </c>
      <c r="D423" s="2" t="s">
        <v>273</v>
      </c>
      <c r="E423" s="121"/>
      <c r="F423" s="138"/>
      <c r="G423" s="119"/>
      <c r="X423" s="3"/>
      <c r="AD423" s="119"/>
      <c r="AE423" s="119"/>
      <c r="AF423" s="119"/>
      <c r="AG423" s="119"/>
      <c r="AI423">
        <f t="shared" si="166"/>
        <v>549</v>
      </c>
      <c r="AJ423" t="str">
        <f t="shared" si="168"/>
        <v>NA</v>
      </c>
      <c r="AK423" t="str">
        <f>IF(ISERROR(MATCH(AI423&amp;"."&amp;AJ423,AK$91:AK422,0)),AI423&amp;"."&amp;AJ423,AI423&amp;"."&amp;AJ423&amp;COUNTIFS(AI$91:AI422,AI423,AJ$91:AJ422,AJ423))</f>
        <v>549.NA</v>
      </c>
    </row>
    <row r="424" spans="1:37" ht="15" hidden="1">
      <c r="A424" s="120">
        <f>ROW()</f>
        <v>424</v>
      </c>
      <c r="B424" s="120"/>
      <c r="E424" s="121" t="s">
        <v>15</v>
      </c>
      <c r="F424" s="138" t="str">
        <f>INDEX(FuncAllocOptions,ROW(A424)-ROW($A$92)+1,[4]Inputs!$S$11)</f>
        <v>P</v>
      </c>
      <c r="G424" s="117" t="e">
        <f>SUMIF(FERCJAMFactor,AK424,JAMValue)</f>
        <v>#VALUE!</v>
      </c>
      <c r="H424" s="116" t="e">
        <f t="shared" ref="H424:L426" si="173">INDEX(FuncFactorTbl,MATCH($F424,FuncFactors,0),MATCH(H$8,Functions,0))*$G424</f>
        <v>#VALUE!</v>
      </c>
      <c r="I424" s="116" t="e">
        <f t="shared" si="173"/>
        <v>#VALUE!</v>
      </c>
      <c r="J424" s="116" t="e">
        <f t="shared" si="173"/>
        <v>#VALUE!</v>
      </c>
      <c r="K424" s="116" t="e">
        <f t="shared" si="173"/>
        <v>#VALUE!</v>
      </c>
      <c r="L424" s="116" t="e">
        <f t="shared" si="173"/>
        <v>#VALUE!</v>
      </c>
      <c r="N424" s="108">
        <v>0.75</v>
      </c>
      <c r="O424" s="116" t="e">
        <f>$H424*$N424*$M424</f>
        <v>#VALUE!</v>
      </c>
      <c r="P424" s="116" t="e">
        <f>$H424*(1-$N424)*$M424</f>
        <v>#VALUE!</v>
      </c>
      <c r="Q424" s="116" t="e">
        <f>$H424*$N424*(1-$M424)</f>
        <v>#VALUE!</v>
      </c>
      <c r="R424" s="116" t="e">
        <f>$H424*(1-$N424)*(1-$M424)</f>
        <v>#VALUE!</v>
      </c>
      <c r="T424" s="116">
        <v>0</v>
      </c>
      <c r="U424" s="116">
        <v>0</v>
      </c>
      <c r="V424" s="116">
        <v>0</v>
      </c>
      <c r="W424" s="116">
        <v>0</v>
      </c>
      <c r="X424" s="3"/>
      <c r="AD424" s="117" t="e">
        <f>ROUND(SUM(-G424,H424:L424),0)</f>
        <v>#VALUE!</v>
      </c>
      <c r="AE424" s="117" t="e">
        <f>ROUND(H424-O424-P424-Q424-R424,0)</f>
        <v>#VALUE!</v>
      </c>
      <c r="AF424" s="117" t="e">
        <f>ROUND(I424-T424-U424-V424-W424,0)</f>
        <v>#VALUE!</v>
      </c>
      <c r="AG424" s="117" t="e">
        <f>ROUND(J424-Y424-Z424-AA424-AC424-AB424,0)</f>
        <v>#VALUE!</v>
      </c>
      <c r="AH424" s="116"/>
      <c r="AI424">
        <f t="shared" si="166"/>
        <v>549</v>
      </c>
      <c r="AJ424" t="str">
        <f t="shared" si="168"/>
        <v>SG</v>
      </c>
      <c r="AK424" t="str">
        <f>IF(ISERROR(MATCH(AI424&amp;"."&amp;AJ424,AK$91:AK423,0)),AI424&amp;"."&amp;AJ424,AI424&amp;"."&amp;AJ424&amp;COUNTIFS(AI$91:AI423,AI424,AJ$91:AJ423,AJ424))</f>
        <v>549.SG</v>
      </c>
    </row>
    <row r="425" spans="1:37" ht="15" hidden="1">
      <c r="A425" s="120">
        <f>ROW()</f>
        <v>425</v>
      </c>
      <c r="B425" s="120"/>
      <c r="C425" s="1"/>
      <c r="E425" s="121" t="s">
        <v>15</v>
      </c>
      <c r="F425" s="121" t="str">
        <f>INDEX(FuncAllocOptions,ROW(A425)-ROW($A$92)+1,[4]Inputs!$S$11)</f>
        <v>P</v>
      </c>
      <c r="G425" s="144" t="e">
        <f>SUMIF(FERCJAMFactor,AK425,JAMValue)</f>
        <v>#VALUE!</v>
      </c>
      <c r="H425" s="144" t="e">
        <f t="shared" si="173"/>
        <v>#VALUE!</v>
      </c>
      <c r="I425" s="116" t="e">
        <f t="shared" si="173"/>
        <v>#VALUE!</v>
      </c>
      <c r="J425" s="116" t="e">
        <f t="shared" si="173"/>
        <v>#VALUE!</v>
      </c>
      <c r="K425" s="116" t="e">
        <f t="shared" si="173"/>
        <v>#VALUE!</v>
      </c>
      <c r="L425" s="116" t="e">
        <f t="shared" si="173"/>
        <v>#VALUE!</v>
      </c>
      <c r="N425" s="108">
        <v>0.75</v>
      </c>
      <c r="O425" s="116" t="e">
        <f>$H425*$N425*$M425</f>
        <v>#VALUE!</v>
      </c>
      <c r="P425" s="116" t="e">
        <f>$H425*(1-$N425)*$M425</f>
        <v>#VALUE!</v>
      </c>
      <c r="Q425" s="116" t="e">
        <f>$H425*$N425*(1-$M425)</f>
        <v>#VALUE!</v>
      </c>
      <c r="R425" s="116" t="e">
        <f>$H425*(1-$N425)*(1-$M425)</f>
        <v>#VALUE!</v>
      </c>
      <c r="T425" s="116"/>
      <c r="U425" s="116"/>
      <c r="V425" s="116"/>
      <c r="W425" s="116"/>
      <c r="X425" s="3"/>
      <c r="AD425" s="117" t="e">
        <f>ROUND(SUM(-G425,H425:L425),0)</f>
        <v>#VALUE!</v>
      </c>
      <c r="AE425" s="117" t="e">
        <f>ROUND(H425-O425-P425-Q425-R425,0)</f>
        <v>#VALUE!</v>
      </c>
      <c r="AF425" s="117" t="e">
        <f>ROUND(I425-T425-U425-V425-W425,0)</f>
        <v>#VALUE!</v>
      </c>
      <c r="AG425" s="117" t="e">
        <f>ROUND(J425-Y425-Z425-AA425-AC425-AB425,0)</f>
        <v>#VALUE!</v>
      </c>
      <c r="AH425" s="116"/>
      <c r="AI425">
        <f t="shared" si="166"/>
        <v>549</v>
      </c>
      <c r="AJ425" t="str">
        <f t="shared" si="168"/>
        <v>SG</v>
      </c>
      <c r="AK425" t="str">
        <f>IF(ISERROR(MATCH(AI425&amp;"."&amp;AJ425,AK$91:AK424,0)),AI425&amp;"."&amp;AJ425,AI425&amp;"."&amp;AJ425&amp;COUNTIFS(AI$91:AI424,AI425,AJ$91:AJ424,AJ425))</f>
        <v>549.SG1</v>
      </c>
    </row>
    <row r="426" spans="1:37" ht="15" hidden="1">
      <c r="A426" s="120">
        <f>ROW()</f>
        <v>426</v>
      </c>
      <c r="B426" s="120"/>
      <c r="C426" s="1"/>
      <c r="E426" s="121" t="s">
        <v>15</v>
      </c>
      <c r="F426" s="121" t="str">
        <f>INDEX(FuncAllocOptions,ROW(A426)-ROW($A$92)+1,[4]Inputs!$S$11)</f>
        <v>P</v>
      </c>
      <c r="G426" s="149" t="e">
        <f>SUMIF(FERCJAMFactor,AK426,JAMValue)</f>
        <v>#VALUE!</v>
      </c>
      <c r="H426" s="149" t="e">
        <f t="shared" si="173"/>
        <v>#VALUE!</v>
      </c>
      <c r="I426" s="139" t="e">
        <f t="shared" si="173"/>
        <v>#VALUE!</v>
      </c>
      <c r="J426" s="139" t="e">
        <f t="shared" si="173"/>
        <v>#VALUE!</v>
      </c>
      <c r="K426" s="139" t="e">
        <f t="shared" si="173"/>
        <v>#VALUE!</v>
      </c>
      <c r="L426" s="139" t="e">
        <f t="shared" si="173"/>
        <v>#VALUE!</v>
      </c>
      <c r="N426" s="108">
        <v>0.75</v>
      </c>
      <c r="O426" s="116" t="e">
        <f>$H426*$N426*$M426</f>
        <v>#VALUE!</v>
      </c>
      <c r="P426" s="116" t="e">
        <f>$H426*(1-$N426)*$M426</f>
        <v>#VALUE!</v>
      </c>
      <c r="Q426" s="116" t="e">
        <f>$H426*$N426*(1-$M426)</f>
        <v>#VALUE!</v>
      </c>
      <c r="R426" s="116" t="e">
        <f>$H426*(1-$N426)*(1-$M426)</f>
        <v>#VALUE!</v>
      </c>
      <c r="T426" s="116"/>
      <c r="U426" s="116"/>
      <c r="V426" s="116"/>
      <c r="W426" s="116"/>
      <c r="X426" s="3"/>
      <c r="AD426" s="117" t="e">
        <f>ROUND(SUM(-G426,H426:L426),0)</f>
        <v>#VALUE!</v>
      </c>
      <c r="AE426" s="117" t="e">
        <f>ROUND(H426-O426-P426-Q426-R426,0)</f>
        <v>#VALUE!</v>
      </c>
      <c r="AF426" s="117" t="e">
        <f>ROUND(I426-T426-U426-V426-W426,0)</f>
        <v>#VALUE!</v>
      </c>
      <c r="AG426" s="117" t="e">
        <f>ROUND(J426-Y426-Z426-AA426-AC426-AB426,0)</f>
        <v>#VALUE!</v>
      </c>
      <c r="AH426" s="116"/>
      <c r="AI426">
        <f t="shared" si="166"/>
        <v>549</v>
      </c>
      <c r="AJ426" t="str">
        <f t="shared" si="168"/>
        <v>SG</v>
      </c>
      <c r="AK426" t="str">
        <f>IF(ISERROR(MATCH(AI426&amp;"."&amp;AJ426,AK$91:AK425,0)),AI426&amp;"."&amp;AJ426,AI426&amp;"."&amp;AJ426&amp;COUNTIFS(AI$91:AI425,AI426,AJ$91:AJ425,AJ426))</f>
        <v>549.SG2</v>
      </c>
    </row>
    <row r="427" spans="1:37" ht="15" hidden="1">
      <c r="A427" s="120">
        <f>ROW()</f>
        <v>427</v>
      </c>
      <c r="B427" s="120"/>
      <c r="E427" s="121"/>
      <c r="F427" s="138"/>
      <c r="G427" s="117" t="e">
        <f t="shared" ref="G427:L427" si="174">SUM(G424:G426)</f>
        <v>#VALUE!</v>
      </c>
      <c r="H427" s="116" t="e">
        <f t="shared" si="174"/>
        <v>#VALUE!</v>
      </c>
      <c r="I427" s="116" t="e">
        <f t="shared" si="174"/>
        <v>#VALUE!</v>
      </c>
      <c r="J427" s="116" t="e">
        <f t="shared" si="174"/>
        <v>#VALUE!</v>
      </c>
      <c r="K427" s="116" t="e">
        <f t="shared" si="174"/>
        <v>#VALUE!</v>
      </c>
      <c r="L427" s="116" t="e">
        <f t="shared" si="174"/>
        <v>#VALUE!</v>
      </c>
      <c r="O427" s="116" t="e">
        <f>SUM(O424:O426)</f>
        <v>#VALUE!</v>
      </c>
      <c r="P427" s="116" t="e">
        <f>SUM(P424:P426)</f>
        <v>#VALUE!</v>
      </c>
      <c r="Q427" s="116" t="e">
        <f>SUM(Q424:Q426)</f>
        <v>#VALUE!</v>
      </c>
      <c r="R427" s="116" t="e">
        <f>SUM(R424:R426)</f>
        <v>#VALUE!</v>
      </c>
      <c r="T427" s="116">
        <f>SUM(T424:T425)</f>
        <v>0</v>
      </c>
      <c r="U427" s="116">
        <f>SUM(U424:U425)</f>
        <v>0</v>
      </c>
      <c r="V427" s="116">
        <f>SUM(V424:V425)</f>
        <v>0</v>
      </c>
      <c r="W427" s="116">
        <f>SUM(W424:W425)</f>
        <v>0</v>
      </c>
      <c r="X427" s="3"/>
      <c r="Y427" s="116">
        <f>SUM(Y424:Y425)</f>
        <v>0</v>
      </c>
      <c r="Z427" s="116">
        <f>SUM(Z424:Z425)</f>
        <v>0</v>
      </c>
      <c r="AA427" s="116">
        <f>SUM(AA424:AA425)</f>
        <v>0</v>
      </c>
      <c r="AB427" s="116">
        <f>SUM(AB424:AB425)</f>
        <v>0</v>
      </c>
      <c r="AC427" s="116">
        <f>SUM(AC424:AC425)</f>
        <v>0</v>
      </c>
      <c r="AD427" s="117" t="e">
        <f>ROUND(SUM(-G427,H427:L427),0)</f>
        <v>#VALUE!</v>
      </c>
      <c r="AE427" s="117" t="e">
        <f>ROUND(H427-O427-P427-Q427-R427,0)</f>
        <v>#VALUE!</v>
      </c>
      <c r="AF427" s="117" t="e">
        <f>ROUND(I427-T427-U427-V427-W427,0)</f>
        <v>#VALUE!</v>
      </c>
      <c r="AG427" s="117" t="e">
        <f>ROUND(J427-Y427-Z427-AA427-AC427-AB427,0)</f>
        <v>#VALUE!</v>
      </c>
      <c r="AH427" s="116"/>
      <c r="AI427">
        <f>IF(OR(C427="",C427=" ",C427="  ",C427="   "),AI425,C427)</f>
        <v>549</v>
      </c>
      <c r="AJ427" t="str">
        <f t="shared" si="168"/>
        <v>NA</v>
      </c>
      <c r="AK427" t="str">
        <f>IF(ISERROR(MATCH(AI427&amp;"."&amp;AJ427,AK$91:AK425,0)),AI427&amp;"."&amp;AJ427,AI427&amp;"."&amp;AJ427&amp;COUNTIFS(AI$91:AI425,AI427,AJ$91:AJ425,AJ427))</f>
        <v>549.NA1</v>
      </c>
    </row>
    <row r="428" spans="1:37" ht="15" hidden="1">
      <c r="A428" s="120">
        <f>ROW()</f>
        <v>428</v>
      </c>
      <c r="B428" s="120"/>
      <c r="E428" s="121"/>
      <c r="F428" s="138"/>
      <c r="G428" s="119"/>
      <c r="X428" s="3"/>
      <c r="AD428" s="119"/>
      <c r="AE428" s="119"/>
      <c r="AF428" s="119"/>
      <c r="AG428" s="119"/>
      <c r="AI428">
        <f t="shared" ref="AI428:AI491" si="175">IF(OR(C428="",C428=" ",C428="  ",C428="   "),AI427,C428)</f>
        <v>549</v>
      </c>
      <c r="AJ428" t="str">
        <f t="shared" si="168"/>
        <v>NA</v>
      </c>
      <c r="AK428" t="str">
        <f>IF(ISERROR(MATCH(AI428&amp;"."&amp;AJ428,AK$91:AK427,0)),AI428&amp;"."&amp;AJ428,AI428&amp;"."&amp;AJ428&amp;COUNTIFS(AI$91:AI427,AI428,AJ$91:AJ427,AJ428))</f>
        <v>549.NA2</v>
      </c>
    </row>
    <row r="429" spans="1:37" s="184" customFormat="1" ht="15" hidden="1">
      <c r="A429" s="120">
        <f>ROW()</f>
        <v>429</v>
      </c>
      <c r="B429" s="120"/>
      <c r="C429" s="191"/>
      <c r="D429" s="185"/>
      <c r="E429" s="185"/>
      <c r="F429" s="143"/>
      <c r="G429" s="192"/>
      <c r="H429" s="185"/>
      <c r="I429" s="185"/>
      <c r="J429" s="185"/>
      <c r="K429" s="185"/>
      <c r="L429" s="185"/>
      <c r="M429" s="188"/>
      <c r="N429" s="187"/>
      <c r="O429" s="185"/>
      <c r="P429" s="185"/>
      <c r="Q429" s="185"/>
      <c r="R429" s="185"/>
      <c r="S429" s="187"/>
      <c r="T429" s="185"/>
      <c r="U429" s="185"/>
      <c r="V429" s="185"/>
      <c r="W429" s="185"/>
      <c r="X429" s="186"/>
      <c r="Y429" s="185"/>
      <c r="Z429" s="185"/>
      <c r="AA429" s="185"/>
      <c r="AB429" s="185"/>
      <c r="AC429" s="185"/>
      <c r="AD429" s="189"/>
      <c r="AE429" s="189"/>
      <c r="AF429" s="189"/>
      <c r="AG429" s="189"/>
      <c r="AH429" s="121"/>
      <c r="AI429">
        <f t="shared" si="175"/>
        <v>549</v>
      </c>
      <c r="AJ429" t="str">
        <f t="shared" si="168"/>
        <v>NA</v>
      </c>
      <c r="AK429" t="str">
        <f>IF(ISERROR(MATCH(AI429&amp;"."&amp;AJ429,AK$91:AK428,0)),AI429&amp;"."&amp;AJ429,AI429&amp;"."&amp;AJ429&amp;COUNTIFS(AI$91:AI428,AI429,AJ$91:AJ428,AJ429))</f>
        <v>549.NA3</v>
      </c>
    </row>
    <row r="430" spans="1:37" s="184" customFormat="1" ht="15" hidden="1">
      <c r="A430" s="120">
        <f>ROW()</f>
        <v>430</v>
      </c>
      <c r="B430" s="120"/>
      <c r="C430" s="1">
        <v>550</v>
      </c>
      <c r="D430" s="2" t="s">
        <v>188</v>
      </c>
      <c r="E430" s="121"/>
      <c r="F430" s="143"/>
      <c r="G430" s="192"/>
      <c r="H430" s="185"/>
      <c r="I430" s="185"/>
      <c r="J430" s="185"/>
      <c r="K430" s="185"/>
      <c r="L430" s="185"/>
      <c r="M430" s="188"/>
      <c r="N430" s="187"/>
      <c r="O430" s="185"/>
      <c r="P430" s="185"/>
      <c r="Q430" s="185"/>
      <c r="R430" s="185"/>
      <c r="S430" s="187"/>
      <c r="T430" s="185"/>
      <c r="U430" s="185"/>
      <c r="V430" s="185"/>
      <c r="W430" s="185"/>
      <c r="X430" s="186"/>
      <c r="Y430" s="185"/>
      <c r="Z430" s="185"/>
      <c r="AA430" s="185"/>
      <c r="AB430" s="185"/>
      <c r="AC430" s="185"/>
      <c r="AD430" s="189"/>
      <c r="AE430" s="189"/>
      <c r="AF430" s="189"/>
      <c r="AG430" s="189"/>
      <c r="AH430" s="121"/>
      <c r="AI430">
        <f t="shared" si="175"/>
        <v>550</v>
      </c>
      <c r="AJ430" t="str">
        <f t="shared" si="168"/>
        <v>NA</v>
      </c>
      <c r="AK430" t="str">
        <f>IF(ISERROR(MATCH(AI430&amp;"."&amp;AJ430,AK$91:AK429,0)),AI430&amp;"."&amp;AJ430,AI430&amp;"."&amp;AJ430&amp;COUNTIFS(AI$91:AI429,AI430,AJ$91:AJ429,AJ430))</f>
        <v>550.NA</v>
      </c>
    </row>
    <row r="431" spans="1:37" s="184" customFormat="1" ht="15" hidden="1">
      <c r="A431" s="120">
        <f>ROW()</f>
        <v>431</v>
      </c>
      <c r="B431" s="120"/>
      <c r="C431" s="1"/>
      <c r="D431" s="2"/>
      <c r="E431" s="121" t="s">
        <v>15</v>
      </c>
      <c r="F431" s="138" t="str">
        <f>INDEX(FuncAllocOptions,ROW(A431)-ROW($A$92)+1,[4]Inputs!$S$11)</f>
        <v>P</v>
      </c>
      <c r="G431" s="117" t="e">
        <f>SUMIF(FERCJAMFactor,AK431,JAMValue)</f>
        <v>#VALUE!</v>
      </c>
      <c r="H431" s="116" t="e">
        <f t="shared" ref="H431:L432" si="176">INDEX(FuncFactorTbl,MATCH($F431,FuncFactors,0),MATCH(H$8,Functions,0))*$G431</f>
        <v>#VALUE!</v>
      </c>
      <c r="I431" s="116" t="e">
        <f t="shared" si="176"/>
        <v>#VALUE!</v>
      </c>
      <c r="J431" s="116" t="e">
        <f t="shared" si="176"/>
        <v>#VALUE!</v>
      </c>
      <c r="K431" s="116" t="e">
        <f t="shared" si="176"/>
        <v>#VALUE!</v>
      </c>
      <c r="L431" s="116" t="e">
        <f t="shared" si="176"/>
        <v>#VALUE!</v>
      </c>
      <c r="M431" s="188"/>
      <c r="N431" s="108">
        <v>0.75</v>
      </c>
      <c r="O431" s="116" t="e">
        <f>$H431*$N431*$M431</f>
        <v>#VALUE!</v>
      </c>
      <c r="P431" s="116" t="e">
        <f>$H431*(1-$N431)*$M431</f>
        <v>#VALUE!</v>
      </c>
      <c r="Q431" s="116" t="e">
        <f>$H431*$N431*(1-$M431)</f>
        <v>#VALUE!</v>
      </c>
      <c r="R431" s="116" t="e">
        <f>$H431*(1-$N431)*(1-$M431)</f>
        <v>#VALUE!</v>
      </c>
      <c r="S431" s="187"/>
      <c r="T431" s="116">
        <v>0</v>
      </c>
      <c r="U431" s="116">
        <v>0</v>
      </c>
      <c r="V431" s="116">
        <v>0</v>
      </c>
      <c r="W431" s="116">
        <v>0</v>
      </c>
      <c r="X431" s="186"/>
      <c r="Y431" s="185"/>
      <c r="Z431" s="185"/>
      <c r="AA431" s="185"/>
      <c r="AB431" s="185"/>
      <c r="AC431" s="185"/>
      <c r="AD431" s="117" t="e">
        <f>ROUND(SUM(-G431,H431:L431),0)</f>
        <v>#VALUE!</v>
      </c>
      <c r="AE431" s="117" t="e">
        <f>ROUND(H431-O431-P431-Q431-R431,0)</f>
        <v>#VALUE!</v>
      </c>
      <c r="AF431" s="117" t="e">
        <f>ROUND(I431-T431-U431-V431-W431,0)</f>
        <v>#VALUE!</v>
      </c>
      <c r="AG431" s="117" t="e">
        <f>ROUND(J431-Y431-Z431-AA431-AC431-AB431,0)</f>
        <v>#VALUE!</v>
      </c>
      <c r="AH431" s="116"/>
      <c r="AI431">
        <f t="shared" si="175"/>
        <v>550</v>
      </c>
      <c r="AJ431" t="str">
        <f t="shared" si="168"/>
        <v>SG</v>
      </c>
      <c r="AK431" t="str">
        <f>IF(ISERROR(MATCH(AI431&amp;"."&amp;AJ431,AK$91:AK430,0)),AI431&amp;"."&amp;AJ431,AI431&amp;"."&amp;AJ431&amp;COUNTIFS(AI$91:AI430,AI431,AJ$91:AJ430,AJ431))</f>
        <v>550.SG</v>
      </c>
    </row>
    <row r="432" spans="1:37" s="184" customFormat="1" ht="15" hidden="1">
      <c r="A432" s="120">
        <f>ROW()</f>
        <v>432</v>
      </c>
      <c r="B432" s="120"/>
      <c r="C432" s="1"/>
      <c r="D432" s="2"/>
      <c r="E432" s="121" t="s">
        <v>15</v>
      </c>
      <c r="F432" s="138" t="str">
        <f>INDEX(FuncAllocOptions,ROW(A432)-ROW($A$92)+1,[4]Inputs!$S$11)</f>
        <v>P</v>
      </c>
      <c r="G432" s="133" t="e">
        <f>SUMIF(FERCJAMFactor,AK432,JAMValue)</f>
        <v>#VALUE!</v>
      </c>
      <c r="H432" s="139" t="e">
        <f t="shared" si="176"/>
        <v>#VALUE!</v>
      </c>
      <c r="I432" s="139" t="e">
        <f t="shared" si="176"/>
        <v>#VALUE!</v>
      </c>
      <c r="J432" s="139" t="e">
        <f t="shared" si="176"/>
        <v>#VALUE!</v>
      </c>
      <c r="K432" s="139" t="e">
        <f t="shared" si="176"/>
        <v>#VALUE!</v>
      </c>
      <c r="L432" s="139" t="e">
        <f t="shared" si="176"/>
        <v>#VALUE!</v>
      </c>
      <c r="M432" s="188"/>
      <c r="N432" s="108">
        <v>0.75</v>
      </c>
      <c r="O432" s="116" t="e">
        <f>$H432*$N432*$M432</f>
        <v>#VALUE!</v>
      </c>
      <c r="P432" s="116" t="e">
        <f>$H432*(1-$N432)*$M432</f>
        <v>#VALUE!</v>
      </c>
      <c r="Q432" s="116" t="e">
        <f>$H432*$N432*(1-$M432)</f>
        <v>#VALUE!</v>
      </c>
      <c r="R432" s="116" t="e">
        <f>$H432*(1-$N432)*(1-$M432)</f>
        <v>#VALUE!</v>
      </c>
      <c r="S432" s="187"/>
      <c r="T432" s="116"/>
      <c r="U432" s="116"/>
      <c r="V432" s="116"/>
      <c r="W432" s="116"/>
      <c r="X432" s="186"/>
      <c r="Y432" s="185"/>
      <c r="Z432" s="185"/>
      <c r="AA432" s="185"/>
      <c r="AB432" s="185"/>
      <c r="AC432" s="185"/>
      <c r="AD432" s="117" t="e">
        <f>ROUND(SUM(-G432,H432:L432),0)</f>
        <v>#VALUE!</v>
      </c>
      <c r="AE432" s="117" t="e">
        <f>ROUND(H432-O432-P432-Q432-R432,0)</f>
        <v>#VALUE!</v>
      </c>
      <c r="AF432" s="117" t="e">
        <f>ROUND(I432-T432-U432-V432-W432,0)</f>
        <v>#VALUE!</v>
      </c>
      <c r="AG432" s="117" t="e">
        <f>ROUND(J432-Y432-Z432-AA432-AC432-AB432,0)</f>
        <v>#VALUE!</v>
      </c>
      <c r="AH432" s="116"/>
      <c r="AI432">
        <f t="shared" si="175"/>
        <v>550</v>
      </c>
      <c r="AJ432" t="str">
        <f t="shared" si="168"/>
        <v>SG</v>
      </c>
      <c r="AK432" t="str">
        <f>IF(ISERROR(MATCH(AI432&amp;"."&amp;AJ432,AK$91:AK431,0)),AI432&amp;"."&amp;AJ432,AI432&amp;"."&amp;AJ432&amp;COUNTIFS(AI$91:AI431,AI432,AJ$91:AJ431,AJ432))</f>
        <v>550.SG1</v>
      </c>
    </row>
    <row r="433" spans="1:37" s="184" customFormat="1" ht="15" hidden="1">
      <c r="A433" s="120">
        <f>ROW()</f>
        <v>433</v>
      </c>
      <c r="B433" s="120"/>
      <c r="C433" s="1"/>
      <c r="D433" s="2"/>
      <c r="E433" s="121"/>
      <c r="F433" s="143"/>
      <c r="G433" s="117" t="e">
        <f t="shared" ref="G433:L433" si="177">SUM(G431:G432)</f>
        <v>#VALUE!</v>
      </c>
      <c r="H433" s="116" t="e">
        <f t="shared" si="177"/>
        <v>#VALUE!</v>
      </c>
      <c r="I433" s="116" t="e">
        <f t="shared" si="177"/>
        <v>#VALUE!</v>
      </c>
      <c r="J433" s="116" t="e">
        <f t="shared" si="177"/>
        <v>#VALUE!</v>
      </c>
      <c r="K433" s="116" t="e">
        <f t="shared" si="177"/>
        <v>#VALUE!</v>
      </c>
      <c r="L433" s="116" t="e">
        <f t="shared" si="177"/>
        <v>#VALUE!</v>
      </c>
      <c r="M433" s="188"/>
      <c r="N433" s="187"/>
      <c r="O433" s="116" t="e">
        <f>SUM(O431:O432)</f>
        <v>#VALUE!</v>
      </c>
      <c r="P433" s="116" t="e">
        <f>SUM(P431:P432)</f>
        <v>#VALUE!</v>
      </c>
      <c r="Q433" s="116" t="e">
        <f>SUM(Q431:Q432)</f>
        <v>#VALUE!</v>
      </c>
      <c r="R433" s="116" t="e">
        <f>SUM(R431:R432)</f>
        <v>#VALUE!</v>
      </c>
      <c r="S433" s="187"/>
      <c r="T433" s="116">
        <f>SUM(T431:T432)</f>
        <v>0</v>
      </c>
      <c r="U433" s="116">
        <f>SUM(U431:U432)</f>
        <v>0</v>
      </c>
      <c r="V433" s="116">
        <f>SUM(V431:V432)</f>
        <v>0</v>
      </c>
      <c r="W433" s="116">
        <f>SUM(W431:W432)</f>
        <v>0</v>
      </c>
      <c r="X433" s="186"/>
      <c r="Y433" s="185"/>
      <c r="Z433" s="185"/>
      <c r="AA433" s="185"/>
      <c r="AB433" s="185"/>
      <c r="AC433" s="185"/>
      <c r="AD433" s="117" t="e">
        <f>ROUND(SUM(-G433,H433:L433),0)</f>
        <v>#VALUE!</v>
      </c>
      <c r="AE433" s="117" t="e">
        <f>ROUND(H433-O433-P433-Q433-R433,0)</f>
        <v>#VALUE!</v>
      </c>
      <c r="AF433" s="117" t="e">
        <f>ROUND(I433-T433-U433-V433-W433,0)</f>
        <v>#VALUE!</v>
      </c>
      <c r="AG433" s="117" t="e">
        <f>ROUND(J433-Y433-Z433-AA433-AC433-AB433,0)</f>
        <v>#VALUE!</v>
      </c>
      <c r="AH433" s="116"/>
      <c r="AI433">
        <f t="shared" si="175"/>
        <v>550</v>
      </c>
      <c r="AJ433" t="str">
        <f t="shared" si="168"/>
        <v>NA</v>
      </c>
      <c r="AK433" t="str">
        <f>IF(ISERROR(MATCH(AI433&amp;"."&amp;AJ433,AK$91:AK432,0)),AI433&amp;"."&amp;AJ433,AI433&amp;"."&amp;AJ433&amp;COUNTIFS(AI$91:AI432,AI433,AJ$91:AJ432,AJ433))</f>
        <v>550.NA1</v>
      </c>
    </row>
    <row r="434" spans="1:37" s="184" customFormat="1" ht="15" hidden="1">
      <c r="A434" s="120">
        <f>ROW()</f>
        <v>434</v>
      </c>
      <c r="B434" s="120"/>
      <c r="C434" s="191"/>
      <c r="D434" s="185"/>
      <c r="E434" s="185"/>
      <c r="F434" s="143"/>
      <c r="G434" s="190"/>
      <c r="H434" s="185"/>
      <c r="I434" s="185"/>
      <c r="J434" s="185"/>
      <c r="K434" s="185"/>
      <c r="L434" s="185"/>
      <c r="M434" s="188"/>
      <c r="N434" s="187"/>
      <c r="O434" s="185"/>
      <c r="P434" s="185"/>
      <c r="Q434" s="185"/>
      <c r="R434" s="185"/>
      <c r="S434" s="187"/>
      <c r="T434" s="185"/>
      <c r="U434" s="185"/>
      <c r="V434" s="185"/>
      <c r="W434" s="185"/>
      <c r="X434" s="186"/>
      <c r="Y434" s="185"/>
      <c r="Z434" s="185"/>
      <c r="AA434" s="185"/>
      <c r="AB434" s="185"/>
      <c r="AC434" s="185"/>
      <c r="AD434" s="189"/>
      <c r="AE434" s="189"/>
      <c r="AF434" s="189"/>
      <c r="AG434" s="189"/>
      <c r="AH434" s="121"/>
      <c r="AI434">
        <f t="shared" si="175"/>
        <v>550</v>
      </c>
      <c r="AJ434" t="str">
        <f t="shared" si="168"/>
        <v>NA</v>
      </c>
      <c r="AK434" t="str">
        <f>IF(ISERROR(MATCH(AI434&amp;"."&amp;AJ434,AK$91:AK433,0)),AI434&amp;"."&amp;AJ434,AI434&amp;"."&amp;AJ434&amp;COUNTIFS(AI$91:AI433,AI434,AJ$91:AJ433,AJ434))</f>
        <v>550.NA2</v>
      </c>
    </row>
    <row r="435" spans="1:37" ht="15" hidden="1">
      <c r="A435" s="120">
        <f>ROW()</f>
        <v>435</v>
      </c>
      <c r="B435" s="120"/>
      <c r="C435" s="1">
        <v>551</v>
      </c>
      <c r="D435" s="2" t="s">
        <v>188</v>
      </c>
      <c r="E435" s="121"/>
      <c r="F435" s="138"/>
      <c r="G435" s="136"/>
      <c r="X435" s="3"/>
      <c r="AD435" s="119"/>
      <c r="AE435" s="119"/>
      <c r="AF435" s="119"/>
      <c r="AG435" s="119"/>
      <c r="AI435">
        <f t="shared" si="175"/>
        <v>551</v>
      </c>
      <c r="AJ435" t="str">
        <f t="shared" si="168"/>
        <v>NA</v>
      </c>
      <c r="AK435" t="str">
        <f>IF(ISERROR(MATCH(AI435&amp;"."&amp;AJ435,AK$91:AK434,0)),AI435&amp;"."&amp;AJ435,AI435&amp;"."&amp;AJ435&amp;COUNTIFS(AI$91:AI434,AI435,AJ$91:AJ434,AJ435))</f>
        <v>551.NA</v>
      </c>
    </row>
    <row r="436" spans="1:37" ht="15" hidden="1">
      <c r="A436" s="120">
        <f>ROW()</f>
        <v>436</v>
      </c>
      <c r="B436" s="120"/>
      <c r="C436" s="1"/>
      <c r="E436" s="121" t="s">
        <v>15</v>
      </c>
      <c r="F436" s="138" t="str">
        <f>INDEX(FuncAllocOptions,ROW(A436)-ROW($A$92)+1,[4]Inputs!$S$11)</f>
        <v>P</v>
      </c>
      <c r="G436" s="133" t="e">
        <f>SUMIF(FERCJAMFactor,AK436,JAMValue)</f>
        <v>#VALUE!</v>
      </c>
      <c r="H436" s="149" t="e">
        <f>INDEX(FuncFactorTbl,MATCH($F436,FuncFactors,0),MATCH(H$8,Functions,0))*$G436</f>
        <v>#VALUE!</v>
      </c>
      <c r="I436" s="139" t="e">
        <f>INDEX(FuncFactorTbl,MATCH($F436,FuncFactors,0),MATCH(I$8,Functions,0))*$G436</f>
        <v>#VALUE!</v>
      </c>
      <c r="J436" s="139" t="e">
        <f>INDEX(FuncFactorTbl,MATCH($F436,FuncFactors,0),MATCH(J$8,Functions,0))*$G436</f>
        <v>#VALUE!</v>
      </c>
      <c r="K436" s="139" t="e">
        <f>INDEX(FuncFactorTbl,MATCH($F436,FuncFactors,0),MATCH(K$8,Functions,0))*$G436</f>
        <v>#VALUE!</v>
      </c>
      <c r="L436" s="139" t="e">
        <f>INDEX(FuncFactorTbl,MATCH($F436,FuncFactors,0),MATCH(L$8,Functions,0))*$G436</f>
        <v>#VALUE!</v>
      </c>
      <c r="N436" s="108">
        <v>0.75</v>
      </c>
      <c r="O436" s="116" t="e">
        <f>$H436*$N436*$M436</f>
        <v>#VALUE!</v>
      </c>
      <c r="P436" s="116" t="e">
        <f>$H436*(1-$N436)*$M436</f>
        <v>#VALUE!</v>
      </c>
      <c r="Q436" s="116" t="e">
        <f>$H436*$N436*(1-$M436)</f>
        <v>#VALUE!</v>
      </c>
      <c r="R436" s="116" t="e">
        <f>$H436*(1-$N436)*(1-$M436)</f>
        <v>#VALUE!</v>
      </c>
      <c r="T436" s="116">
        <v>0</v>
      </c>
      <c r="U436" s="116">
        <v>0</v>
      </c>
      <c r="V436" s="116">
        <v>0</v>
      </c>
      <c r="W436" s="116">
        <v>0</v>
      </c>
      <c r="X436" s="3"/>
      <c r="AD436" s="117" t="e">
        <f>ROUND(SUM(-G436,H436:L436),0)</f>
        <v>#VALUE!</v>
      </c>
      <c r="AE436" s="117" t="e">
        <f>ROUND(H436-O436-P436-Q436-R436,0)</f>
        <v>#VALUE!</v>
      </c>
      <c r="AF436" s="117" t="e">
        <f>ROUND(I436-T436-U436-V436-W436,0)</f>
        <v>#VALUE!</v>
      </c>
      <c r="AG436" s="117" t="e">
        <f>ROUND(J436-Y436-Z436-AA436-AC436-AB436,0)</f>
        <v>#VALUE!</v>
      </c>
      <c r="AH436" s="116"/>
      <c r="AI436">
        <f t="shared" si="175"/>
        <v>551</v>
      </c>
      <c r="AJ436" t="str">
        <f t="shared" si="168"/>
        <v>SG</v>
      </c>
      <c r="AK436" t="str">
        <f>IF(ISERROR(MATCH(AI436&amp;"."&amp;AJ436,AK$91:AK435,0)),AI436&amp;"."&amp;AJ436,AI436&amp;"."&amp;AJ436&amp;COUNTIFS(AI$91:AI435,AI436,AJ$91:AJ435,AJ436))</f>
        <v>551.SG</v>
      </c>
    </row>
    <row r="437" spans="1:37" ht="15" hidden="1">
      <c r="A437" s="120">
        <f>ROW()</f>
        <v>437</v>
      </c>
      <c r="B437" s="120"/>
      <c r="C437" s="1"/>
      <c r="E437" s="121"/>
      <c r="F437" s="138"/>
      <c r="G437" s="136" t="e">
        <f t="shared" ref="G437:L437" si="178">SUM(G436)</f>
        <v>#VALUE!</v>
      </c>
      <c r="H437" s="116" t="e">
        <f t="shared" si="178"/>
        <v>#VALUE!</v>
      </c>
      <c r="I437" s="116" t="e">
        <f t="shared" si="178"/>
        <v>#VALUE!</v>
      </c>
      <c r="J437" s="116" t="e">
        <f t="shared" si="178"/>
        <v>#VALUE!</v>
      </c>
      <c r="K437" s="116" t="e">
        <f t="shared" si="178"/>
        <v>#VALUE!</v>
      </c>
      <c r="L437" s="116" t="e">
        <f t="shared" si="178"/>
        <v>#VALUE!</v>
      </c>
      <c r="O437" s="116" t="e">
        <f>SUM(O436)</f>
        <v>#VALUE!</v>
      </c>
      <c r="P437" s="116" t="e">
        <f>SUM(P436)</f>
        <v>#VALUE!</v>
      </c>
      <c r="Q437" s="116" t="e">
        <f>SUM(Q436)</f>
        <v>#VALUE!</v>
      </c>
      <c r="R437" s="116" t="e">
        <f>SUM(R436)</f>
        <v>#VALUE!</v>
      </c>
      <c r="T437" s="116">
        <f>SUM(T436)</f>
        <v>0</v>
      </c>
      <c r="U437" s="116">
        <f>SUM(U436)</f>
        <v>0</v>
      </c>
      <c r="V437" s="116">
        <f>SUM(V436)</f>
        <v>0</v>
      </c>
      <c r="W437" s="116">
        <f>SUM(W436)</f>
        <v>0</v>
      </c>
      <c r="X437" s="3"/>
      <c r="Y437" s="116">
        <f>SUM(Y436)</f>
        <v>0</v>
      </c>
      <c r="Z437" s="116">
        <f>SUM(Z436)</f>
        <v>0</v>
      </c>
      <c r="AA437" s="116">
        <f>SUM(AA436)</f>
        <v>0</v>
      </c>
      <c r="AB437" s="116">
        <f>SUM(AB436)</f>
        <v>0</v>
      </c>
      <c r="AC437" s="116">
        <f>SUM(AC436)</f>
        <v>0</v>
      </c>
      <c r="AD437" s="117" t="e">
        <f>ROUND(SUM(-G437,H437:L437),0)</f>
        <v>#VALUE!</v>
      </c>
      <c r="AE437" s="117" t="e">
        <f>ROUND(H437-O437-P437-Q437-R437,0)</f>
        <v>#VALUE!</v>
      </c>
      <c r="AF437" s="117" t="e">
        <f>ROUND(I437-T437-U437-V437-W437,0)</f>
        <v>#VALUE!</v>
      </c>
      <c r="AG437" s="117" t="e">
        <f>ROUND(J437-Y437-Z437-AA437-AC437-AB437,0)</f>
        <v>#VALUE!</v>
      </c>
      <c r="AH437" s="116"/>
      <c r="AI437">
        <f t="shared" si="175"/>
        <v>551</v>
      </c>
      <c r="AJ437" t="str">
        <f t="shared" si="168"/>
        <v>NA</v>
      </c>
      <c r="AK437" t="str">
        <f>IF(ISERROR(MATCH(AI437&amp;"."&amp;AJ437,AK$91:AK436,0)),AI437&amp;"."&amp;AJ437,AI437&amp;"."&amp;AJ437&amp;COUNTIFS(AI$91:AI436,AI437,AJ$91:AJ436,AJ437))</f>
        <v>551.NA1</v>
      </c>
    </row>
    <row r="438" spans="1:37" ht="15" hidden="1">
      <c r="A438" s="120">
        <f>ROW()</f>
        <v>438</v>
      </c>
      <c r="B438" s="120"/>
      <c r="C438" s="1"/>
      <c r="E438" s="121"/>
      <c r="F438" s="138"/>
      <c r="G438" s="136"/>
      <c r="X438" s="3"/>
      <c r="AD438" s="119"/>
      <c r="AE438" s="119"/>
      <c r="AF438" s="119"/>
      <c r="AG438" s="119"/>
      <c r="AI438">
        <f t="shared" si="175"/>
        <v>551</v>
      </c>
      <c r="AJ438" t="str">
        <f t="shared" si="168"/>
        <v>NA</v>
      </c>
      <c r="AK438" t="str">
        <f>IF(ISERROR(MATCH(AI438&amp;"."&amp;AJ438,AK$91:AK437,0)),AI438&amp;"."&amp;AJ438,AI438&amp;"."&amp;AJ438&amp;COUNTIFS(AI$91:AI437,AI438,AJ$91:AJ437,AJ438))</f>
        <v>551.NA2</v>
      </c>
    </row>
    <row r="439" spans="1:37" ht="15" hidden="1">
      <c r="A439" s="120">
        <f>ROW()</f>
        <v>439</v>
      </c>
      <c r="B439" s="120"/>
      <c r="C439" s="1">
        <v>552</v>
      </c>
      <c r="D439" s="2" t="s">
        <v>189</v>
      </c>
      <c r="E439" s="121"/>
      <c r="F439" s="138"/>
      <c r="G439" s="136"/>
      <c r="X439" s="3"/>
      <c r="AD439" s="119"/>
      <c r="AE439" s="119"/>
      <c r="AF439" s="119"/>
      <c r="AG439" s="119"/>
      <c r="AI439">
        <f t="shared" si="175"/>
        <v>552</v>
      </c>
      <c r="AJ439" t="str">
        <f t="shared" si="168"/>
        <v>NA</v>
      </c>
      <c r="AK439" t="str">
        <f>IF(ISERROR(MATCH(AI439&amp;"."&amp;AJ439,AK$91:AK438,0)),AI439&amp;"."&amp;AJ439,AI439&amp;"."&amp;AJ439&amp;COUNTIFS(AI$91:AI438,AI439,AJ$91:AJ438,AJ439))</f>
        <v>552.NA</v>
      </c>
    </row>
    <row r="440" spans="1:37" ht="15" hidden="1">
      <c r="A440" s="120">
        <f>ROW()</f>
        <v>440</v>
      </c>
      <c r="B440" s="120"/>
      <c r="C440" s="1"/>
      <c r="E440" s="121" t="s">
        <v>15</v>
      </c>
      <c r="F440" s="138" t="str">
        <f>INDEX(FuncAllocOptions,ROW(A440)-ROW($A$92)+1,[4]Inputs!$S$11)</f>
        <v>P</v>
      </c>
      <c r="G440" s="117" t="e">
        <f>SUMIF(FERCJAMFactor,AK440,JAMValue)</f>
        <v>#VALUE!</v>
      </c>
      <c r="H440" s="116" t="e">
        <f t="shared" ref="H440:L441" si="179">INDEX(FuncFactorTbl,MATCH($F440,FuncFactors,0),MATCH(H$8,Functions,0))*$G440</f>
        <v>#VALUE!</v>
      </c>
      <c r="I440" s="116" t="e">
        <f t="shared" si="179"/>
        <v>#VALUE!</v>
      </c>
      <c r="J440" s="116" t="e">
        <f t="shared" si="179"/>
        <v>#VALUE!</v>
      </c>
      <c r="K440" s="116" t="e">
        <f t="shared" si="179"/>
        <v>#VALUE!</v>
      </c>
      <c r="L440" s="116" t="e">
        <f t="shared" si="179"/>
        <v>#VALUE!</v>
      </c>
      <c r="N440" s="108">
        <v>0.75</v>
      </c>
      <c r="O440" s="116" t="e">
        <f>$H440*$N440*$M440</f>
        <v>#VALUE!</v>
      </c>
      <c r="P440" s="116" t="e">
        <f>$H440*(1-$N440)*$M440</f>
        <v>#VALUE!</v>
      </c>
      <c r="Q440" s="116" t="e">
        <f>$H440*$N440*(1-$M440)</f>
        <v>#VALUE!</v>
      </c>
      <c r="R440" s="116" t="e">
        <f>$H440*(1-$N440)*(1-$M440)</f>
        <v>#VALUE!</v>
      </c>
      <c r="T440" s="116">
        <v>0</v>
      </c>
      <c r="U440" s="116">
        <v>0</v>
      </c>
      <c r="V440" s="116">
        <v>0</v>
      </c>
      <c r="W440" s="116">
        <v>0</v>
      </c>
      <c r="X440" s="3"/>
      <c r="AD440" s="117" t="e">
        <f>ROUND(SUM(-G440,H440:L440),0)</f>
        <v>#VALUE!</v>
      </c>
      <c r="AE440" s="117" t="e">
        <f>ROUND(H440-O440-P440-Q440-R440,0)</f>
        <v>#VALUE!</v>
      </c>
      <c r="AF440" s="117" t="e">
        <f>ROUND(I440-T440-U440-V440-W440,0)</f>
        <v>#VALUE!</v>
      </c>
      <c r="AG440" s="117" t="e">
        <f>ROUND(J440-Y440-Z440-AA440-AC440-AB440,0)</f>
        <v>#VALUE!</v>
      </c>
      <c r="AH440" s="116"/>
      <c r="AI440">
        <f t="shared" si="175"/>
        <v>552</v>
      </c>
      <c r="AJ440" t="str">
        <f t="shared" si="168"/>
        <v>SG</v>
      </c>
      <c r="AK440" t="str">
        <f>IF(ISERROR(MATCH(AI440&amp;"."&amp;AJ440,AK$91:AK439,0)),AI440&amp;"."&amp;AJ440,AI440&amp;"."&amp;AJ440&amp;COUNTIFS(AI$91:AI439,AI440,AJ$91:AJ439,AJ440))</f>
        <v>552.SG</v>
      </c>
    </row>
    <row r="441" spans="1:37" s="184" customFormat="1" ht="15" hidden="1">
      <c r="A441" s="120">
        <f>ROW()</f>
        <v>441</v>
      </c>
      <c r="B441" s="120"/>
      <c r="C441" s="1"/>
      <c r="D441" s="2"/>
      <c r="E441" s="121" t="s">
        <v>15</v>
      </c>
      <c r="F441" s="138" t="str">
        <f>INDEX(FuncAllocOptions,ROW(A441)-ROW($A$92)+1,[4]Inputs!$S$11)</f>
        <v>P</v>
      </c>
      <c r="G441" s="133" t="e">
        <f>SUMIF(FERCJAMFactor,AK441,JAMValue)</f>
        <v>#VALUE!</v>
      </c>
      <c r="H441" s="139" t="e">
        <f t="shared" si="179"/>
        <v>#VALUE!</v>
      </c>
      <c r="I441" s="139" t="e">
        <f t="shared" si="179"/>
        <v>#VALUE!</v>
      </c>
      <c r="J441" s="139" t="e">
        <f t="shared" si="179"/>
        <v>#VALUE!</v>
      </c>
      <c r="K441" s="139" t="e">
        <f t="shared" si="179"/>
        <v>#VALUE!</v>
      </c>
      <c r="L441" s="139" t="e">
        <f t="shared" si="179"/>
        <v>#VALUE!</v>
      </c>
      <c r="M441" s="188"/>
      <c r="N441" s="108">
        <v>0.75</v>
      </c>
      <c r="O441" s="116" t="e">
        <f>$H441*$N441*$M441</f>
        <v>#VALUE!</v>
      </c>
      <c r="P441" s="116" t="e">
        <f>$H441*(1-$N441)*$M441</f>
        <v>#VALUE!</v>
      </c>
      <c r="Q441" s="116" t="e">
        <f>$H441*$N441*(1-$M441)</f>
        <v>#VALUE!</v>
      </c>
      <c r="R441" s="116" t="e">
        <f>$H441*(1-$N441)*(1-$M441)</f>
        <v>#VALUE!</v>
      </c>
      <c r="S441" s="187"/>
      <c r="T441" s="116"/>
      <c r="U441" s="116"/>
      <c r="V441" s="116"/>
      <c r="W441" s="116"/>
      <c r="X441" s="186"/>
      <c r="Y441" s="185"/>
      <c r="Z441" s="185"/>
      <c r="AA441" s="185"/>
      <c r="AB441" s="185"/>
      <c r="AC441" s="185"/>
      <c r="AD441" s="117" t="e">
        <f>ROUND(SUM(-G441,H441:L441),0)</f>
        <v>#VALUE!</v>
      </c>
      <c r="AE441" s="117" t="e">
        <f>ROUND(H441-O441-P441-Q441-R441,0)</f>
        <v>#VALUE!</v>
      </c>
      <c r="AF441" s="117" t="e">
        <f>ROUND(I441-T441-U441-V441-W441,0)</f>
        <v>#VALUE!</v>
      </c>
      <c r="AG441" s="117" t="e">
        <f>ROUND(J441-Y441-Z441-AA441-AC441-AB441,0)</f>
        <v>#VALUE!</v>
      </c>
      <c r="AH441" s="116"/>
      <c r="AI441">
        <f t="shared" si="175"/>
        <v>552</v>
      </c>
      <c r="AJ441" t="str">
        <f t="shared" si="168"/>
        <v>SG</v>
      </c>
      <c r="AK441" t="str">
        <f>IF(ISERROR(MATCH(AI441&amp;"."&amp;AJ441,AK$91:AK440,0)),AI441&amp;"."&amp;AJ441,AI441&amp;"."&amp;AJ441&amp;COUNTIFS(AI$91:AI440,AI441,AJ$91:AJ440,AJ441))</f>
        <v>552.SG1</v>
      </c>
    </row>
    <row r="442" spans="1:37" ht="15" hidden="1">
      <c r="A442" s="120">
        <f>ROW()</f>
        <v>442</v>
      </c>
      <c r="B442" s="120"/>
      <c r="C442" s="1"/>
      <c r="E442" s="121"/>
      <c r="F442" s="138"/>
      <c r="G442" s="117" t="e">
        <f t="shared" ref="G442:L442" si="180">SUM(G440:G441)</f>
        <v>#VALUE!</v>
      </c>
      <c r="H442" s="116" t="e">
        <f t="shared" si="180"/>
        <v>#VALUE!</v>
      </c>
      <c r="I442" s="116" t="e">
        <f t="shared" si="180"/>
        <v>#VALUE!</v>
      </c>
      <c r="J442" s="116" t="e">
        <f t="shared" si="180"/>
        <v>#VALUE!</v>
      </c>
      <c r="K442" s="116" t="e">
        <f t="shared" si="180"/>
        <v>#VALUE!</v>
      </c>
      <c r="L442" s="116" t="e">
        <f t="shared" si="180"/>
        <v>#VALUE!</v>
      </c>
      <c r="O442" s="116" t="e">
        <f>SUM(O440:O441)</f>
        <v>#VALUE!</v>
      </c>
      <c r="P442" s="116" t="e">
        <f>SUM(P440:P441)</f>
        <v>#VALUE!</v>
      </c>
      <c r="Q442" s="116" t="e">
        <f>SUM(Q440:Q441)</f>
        <v>#VALUE!</v>
      </c>
      <c r="R442" s="116" t="e">
        <f>SUM(R440:R441)</f>
        <v>#VALUE!</v>
      </c>
      <c r="T442" s="116">
        <f>SUM(T440:T441)</f>
        <v>0</v>
      </c>
      <c r="U442" s="116">
        <f>SUM(U440:U441)</f>
        <v>0</v>
      </c>
      <c r="V442" s="116">
        <f>SUM(V440:V441)</f>
        <v>0</v>
      </c>
      <c r="W442" s="116">
        <f>SUM(W440:W441)</f>
        <v>0</v>
      </c>
      <c r="X442" s="3"/>
      <c r="Y442" s="116">
        <f>SUM(Y440:Y441)</f>
        <v>0</v>
      </c>
      <c r="Z442" s="116">
        <f>SUM(Z440:Z441)</f>
        <v>0</v>
      </c>
      <c r="AA442" s="116">
        <f>SUM(AA440:AA441)</f>
        <v>0</v>
      </c>
      <c r="AB442" s="116">
        <f>SUM(AB440:AB441)</f>
        <v>0</v>
      </c>
      <c r="AC442" s="116">
        <f>SUM(AC440:AC441)</f>
        <v>0</v>
      </c>
      <c r="AD442" s="117" t="e">
        <f>ROUND(SUM(-G442,H442:L442),0)</f>
        <v>#VALUE!</v>
      </c>
      <c r="AE442" s="117" t="e">
        <f>ROUND(H442-O442-P442-Q442-R442,0)</f>
        <v>#VALUE!</v>
      </c>
      <c r="AF442" s="117" t="e">
        <f>ROUND(I442-T442-U442-V442-W442,0)</f>
        <v>#VALUE!</v>
      </c>
      <c r="AG442" s="117" t="e">
        <f>ROUND(J442-Y442-Z442-AA442-AC442-AB442,0)</f>
        <v>#VALUE!</v>
      </c>
      <c r="AH442" s="116"/>
      <c r="AI442">
        <f t="shared" si="175"/>
        <v>552</v>
      </c>
      <c r="AJ442" t="str">
        <f t="shared" si="168"/>
        <v>NA</v>
      </c>
      <c r="AK442" t="str">
        <f>IF(ISERROR(MATCH(AI442&amp;"."&amp;AJ442,AK$91:AK441,0)),AI442&amp;"."&amp;AJ442,AI442&amp;"."&amp;AJ442&amp;COUNTIFS(AI$91:AI441,AI442,AJ$91:AJ441,AJ442))</f>
        <v>552.NA1</v>
      </c>
    </row>
    <row r="443" spans="1:37" ht="15" hidden="1">
      <c r="A443" s="120">
        <f>ROW()</f>
        <v>443</v>
      </c>
      <c r="B443" s="120"/>
      <c r="C443" s="1"/>
      <c r="E443" s="121"/>
      <c r="F443" s="167"/>
      <c r="G443" s="181"/>
      <c r="H443" s="182"/>
      <c r="I443" s="182"/>
      <c r="J443" s="182"/>
      <c r="K443" s="182"/>
      <c r="L443" s="182"/>
      <c r="M443" s="165"/>
      <c r="N443" s="182"/>
      <c r="O443" s="182"/>
      <c r="P443" s="182"/>
      <c r="Q443" s="182"/>
      <c r="R443" s="182"/>
      <c r="S443" s="182"/>
      <c r="T443" s="182"/>
      <c r="U443" s="182"/>
      <c r="V443" s="182"/>
      <c r="W443" s="182"/>
      <c r="X443" s="183"/>
      <c r="Y443" s="182"/>
      <c r="Z443" s="182"/>
      <c r="AA443" s="182"/>
      <c r="AB443" s="182"/>
      <c r="AC443" s="182"/>
      <c r="AD443" s="181"/>
      <c r="AE443" s="119"/>
      <c r="AF443" s="119"/>
      <c r="AG443" s="119"/>
      <c r="AI443">
        <f t="shared" si="175"/>
        <v>552</v>
      </c>
      <c r="AJ443" t="str">
        <f t="shared" si="168"/>
        <v>NA</v>
      </c>
      <c r="AK443" t="str">
        <f>IF(ISERROR(MATCH(AI443&amp;"."&amp;AJ443,AK$91:AK442,0)),AI443&amp;"."&amp;AJ443,AI443&amp;"."&amp;AJ443&amp;COUNTIFS(AI$91:AI442,AI443,AJ$91:AJ442,AJ443))</f>
        <v>552.NA2</v>
      </c>
    </row>
    <row r="444" spans="1:37" ht="15" hidden="1">
      <c r="A444" s="120">
        <f>ROW()</f>
        <v>444</v>
      </c>
      <c r="B444" s="120"/>
      <c r="C444" s="1"/>
      <c r="E444" s="121"/>
      <c r="F444" s="138"/>
      <c r="G444" s="119"/>
      <c r="X444" s="3"/>
      <c r="AD444" s="119"/>
      <c r="AE444" s="119"/>
      <c r="AF444" s="119"/>
      <c r="AG444" s="119"/>
      <c r="AI444">
        <f t="shared" si="175"/>
        <v>552</v>
      </c>
      <c r="AJ444" t="str">
        <f t="shared" si="168"/>
        <v>NA</v>
      </c>
      <c r="AK444" t="str">
        <f>IF(ISERROR(MATCH(AI444&amp;"."&amp;AJ444,AK$91:AK443,0)),AI444&amp;"."&amp;AJ444,AI444&amp;"."&amp;AJ444&amp;COUNTIFS(AI$91:AI443,AI444,AJ$91:AJ443,AJ444))</f>
        <v>552.NA3</v>
      </c>
    </row>
    <row r="445" spans="1:37" ht="15" hidden="1">
      <c r="A445" s="120">
        <f>ROW()</f>
        <v>445</v>
      </c>
      <c r="B445" s="120"/>
      <c r="C445" s="1">
        <v>553</v>
      </c>
      <c r="D445" s="2" t="s">
        <v>274</v>
      </c>
      <c r="E445" s="121"/>
      <c r="F445" s="138"/>
      <c r="G445" s="119"/>
      <c r="X445" s="3"/>
      <c r="AD445" s="119"/>
      <c r="AE445" s="119"/>
      <c r="AF445" s="119"/>
      <c r="AG445" s="119"/>
      <c r="AI445">
        <f t="shared" si="175"/>
        <v>553</v>
      </c>
      <c r="AJ445" t="str">
        <f t="shared" si="168"/>
        <v>NA</v>
      </c>
      <c r="AK445" t="str">
        <f>IF(ISERROR(MATCH(AI445&amp;"."&amp;AJ445,AK$91:AK444,0)),AI445&amp;"."&amp;AJ445,AI445&amp;"."&amp;AJ445&amp;COUNTIFS(AI$91:AI444,AI445,AJ$91:AJ444,AJ445))</f>
        <v>553.NA</v>
      </c>
    </row>
    <row r="446" spans="1:37" ht="15" hidden="1">
      <c r="A446" s="120">
        <f>ROW()</f>
        <v>446</v>
      </c>
      <c r="B446" s="120"/>
      <c r="C446" s="1"/>
      <c r="E446" s="121" t="s">
        <v>15</v>
      </c>
      <c r="F446" s="138" t="str">
        <f>INDEX(FuncAllocOptions,ROW(A446)-ROW($A$92)+1,[4]Inputs!$S$11)</f>
        <v>P</v>
      </c>
      <c r="G446" s="117" t="e">
        <f>SUMIF(FERCJAMFactor,AK446,JAMValue)</f>
        <v>#VALUE!</v>
      </c>
      <c r="H446" s="116" t="e">
        <f t="shared" ref="H446:L448" si="181">INDEX(FuncFactorTbl,MATCH($F446,FuncFactors,0),MATCH(H$8,Functions,0))*$G446</f>
        <v>#VALUE!</v>
      </c>
      <c r="I446" s="116" t="e">
        <f t="shared" si="181"/>
        <v>#VALUE!</v>
      </c>
      <c r="J446" s="116" t="e">
        <f t="shared" si="181"/>
        <v>#VALUE!</v>
      </c>
      <c r="K446" s="116" t="e">
        <f t="shared" si="181"/>
        <v>#VALUE!</v>
      </c>
      <c r="L446" s="116" t="e">
        <f t="shared" si="181"/>
        <v>#VALUE!</v>
      </c>
      <c r="N446" s="108">
        <v>0.75</v>
      </c>
      <c r="O446" s="116" t="e">
        <f>$H446*$N446*$M446</f>
        <v>#VALUE!</v>
      </c>
      <c r="P446" s="116" t="e">
        <f>$H446*(1-$N446)*$M446</f>
        <v>#VALUE!</v>
      </c>
      <c r="Q446" s="116" t="e">
        <f>$H446*$N446*(1-$M446)</f>
        <v>#VALUE!</v>
      </c>
      <c r="R446" s="116" t="e">
        <f>$H446*(1-$N446)*(1-$M446)</f>
        <v>#VALUE!</v>
      </c>
      <c r="T446" s="116">
        <v>0</v>
      </c>
      <c r="U446" s="116">
        <v>0</v>
      </c>
      <c r="V446" s="116">
        <v>0</v>
      </c>
      <c r="W446" s="116">
        <v>0</v>
      </c>
      <c r="X446" s="3"/>
      <c r="AD446" s="117" t="e">
        <f>ROUND(SUM(-G446,H446:L446),0)</f>
        <v>#VALUE!</v>
      </c>
      <c r="AE446" s="117" t="e">
        <f>ROUND(H446-O446-P446-Q446-R446,0)</f>
        <v>#VALUE!</v>
      </c>
      <c r="AF446" s="117" t="e">
        <f>ROUND(I446-T446-U446-V446-W446,0)</f>
        <v>#VALUE!</v>
      </c>
      <c r="AG446" s="117" t="e">
        <f>ROUND(J446-Y446-Z446-AA446-AC446-AB446,0)</f>
        <v>#VALUE!</v>
      </c>
      <c r="AH446" s="116"/>
      <c r="AI446">
        <f t="shared" si="175"/>
        <v>553</v>
      </c>
      <c r="AJ446" t="str">
        <f t="shared" si="168"/>
        <v>SG</v>
      </c>
      <c r="AK446" t="str">
        <f>IF(ISERROR(MATCH(AI446&amp;"."&amp;AJ446,AK$91:AK445,0)),AI446&amp;"."&amp;AJ446,AI446&amp;"."&amp;AJ446&amp;COUNTIFS(AI$91:AI445,AI446,AJ$91:AJ445,AJ446))</f>
        <v>553.SG</v>
      </c>
    </row>
    <row r="447" spans="1:37" ht="15" hidden="1">
      <c r="A447" s="120">
        <f>ROW()</f>
        <v>447</v>
      </c>
      <c r="B447" s="120"/>
      <c r="C447" s="1"/>
      <c r="E447" s="121" t="s">
        <v>15</v>
      </c>
      <c r="F447" s="138" t="str">
        <f>INDEX(FuncAllocOptions,ROW(A447)-ROW($A$92)+1,[4]Inputs!$S$11)</f>
        <v>P</v>
      </c>
      <c r="G447" s="117" t="e">
        <f>SUMIF(FERCJAMFactor,AK447,JAMValue)</f>
        <v>#VALUE!</v>
      </c>
      <c r="H447" s="116" t="e">
        <f t="shared" si="181"/>
        <v>#VALUE!</v>
      </c>
      <c r="I447" s="116" t="e">
        <f t="shared" si="181"/>
        <v>#VALUE!</v>
      </c>
      <c r="J447" s="116" t="e">
        <f t="shared" si="181"/>
        <v>#VALUE!</v>
      </c>
      <c r="K447" s="116" t="e">
        <f t="shared" si="181"/>
        <v>#VALUE!</v>
      </c>
      <c r="L447" s="116" t="e">
        <f t="shared" si="181"/>
        <v>#VALUE!</v>
      </c>
      <c r="N447" s="108">
        <v>0.75</v>
      </c>
      <c r="O447" s="116" t="e">
        <f>$H447*$N447*$M447</f>
        <v>#VALUE!</v>
      </c>
      <c r="P447" s="116" t="e">
        <f>$H447*(1-$N447)*$M447</f>
        <v>#VALUE!</v>
      </c>
      <c r="Q447" s="116" t="e">
        <f>$H447*$N447*(1-$M447)</f>
        <v>#VALUE!</v>
      </c>
      <c r="R447" s="116" t="e">
        <f>$H447*(1-$N447)*(1-$M447)</f>
        <v>#VALUE!</v>
      </c>
      <c r="T447" s="116">
        <v>0</v>
      </c>
      <c r="U447" s="116">
        <v>0</v>
      </c>
      <c r="V447" s="116">
        <v>0</v>
      </c>
      <c r="W447" s="116">
        <v>0</v>
      </c>
      <c r="X447" s="3"/>
      <c r="AD447" s="117" t="e">
        <f>ROUND(SUM(-G447,H447:L447),0)</f>
        <v>#VALUE!</v>
      </c>
      <c r="AE447" s="117" t="e">
        <f>ROUND(H447-O447-P447-Q447-R447,0)</f>
        <v>#VALUE!</v>
      </c>
      <c r="AF447" s="117" t="e">
        <f>ROUND(I447-T447-U447-V447-W447,0)</f>
        <v>#VALUE!</v>
      </c>
      <c r="AG447" s="117" t="e">
        <f>ROUND(J447-Y447-Z447-AA447-AC447-AB447,0)</f>
        <v>#VALUE!</v>
      </c>
      <c r="AH447" s="116"/>
      <c r="AI447">
        <f t="shared" si="175"/>
        <v>553</v>
      </c>
      <c r="AJ447" t="str">
        <f t="shared" si="168"/>
        <v>SG</v>
      </c>
      <c r="AK447" t="str">
        <f>IF(ISERROR(MATCH(AI447&amp;"."&amp;AJ447,AK$91:AK446,0)),AI447&amp;"."&amp;AJ447,AI447&amp;"."&amp;AJ447&amp;COUNTIFS(AI$91:AI446,AI447,AJ$91:AJ446,AJ447))</f>
        <v>553.SG1</v>
      </c>
    </row>
    <row r="448" spans="1:37" ht="15" hidden="1">
      <c r="A448" s="120">
        <f>ROW()</f>
        <v>448</v>
      </c>
      <c r="B448" s="120"/>
      <c r="C448" s="1"/>
      <c r="E448" s="121" t="s">
        <v>15</v>
      </c>
      <c r="F448" s="138" t="str">
        <f>INDEX(FuncAllocOptions,ROW(A448)-ROW($A$92)+1,[4]Inputs!$S$11)</f>
        <v>P</v>
      </c>
      <c r="G448" s="133" t="e">
        <f>SUMIF(FERCJAMFactor,AK448,JAMValue)</f>
        <v>#VALUE!</v>
      </c>
      <c r="H448" s="139" t="e">
        <f t="shared" si="181"/>
        <v>#VALUE!</v>
      </c>
      <c r="I448" s="139" t="e">
        <f t="shared" si="181"/>
        <v>#VALUE!</v>
      </c>
      <c r="J448" s="139" t="e">
        <f t="shared" si="181"/>
        <v>#VALUE!</v>
      </c>
      <c r="K448" s="139" t="e">
        <f t="shared" si="181"/>
        <v>#VALUE!</v>
      </c>
      <c r="L448" s="139" t="e">
        <f t="shared" si="181"/>
        <v>#VALUE!</v>
      </c>
      <c r="N448" s="108">
        <v>0.75</v>
      </c>
      <c r="O448" s="116" t="e">
        <f>$H448*$N448*$M448</f>
        <v>#VALUE!</v>
      </c>
      <c r="P448" s="116" t="e">
        <f>$H448*(1-$N448)*$M448</f>
        <v>#VALUE!</v>
      </c>
      <c r="Q448" s="116" t="e">
        <f>$H448*$N448*(1-$M448)</f>
        <v>#VALUE!</v>
      </c>
      <c r="R448" s="116" t="e">
        <f>$H448*(1-$N448)*(1-$M448)</f>
        <v>#VALUE!</v>
      </c>
      <c r="T448" s="116"/>
      <c r="U448" s="116"/>
      <c r="V448" s="116"/>
      <c r="W448" s="116"/>
      <c r="X448" s="3"/>
      <c r="AD448" s="117" t="e">
        <f>ROUND(SUM(-G448,H448:L448),0)</f>
        <v>#VALUE!</v>
      </c>
      <c r="AE448" s="117" t="e">
        <f>ROUND(H448-O448-P448-Q448-R448,0)</f>
        <v>#VALUE!</v>
      </c>
      <c r="AF448" s="117" t="e">
        <f>ROUND(I448-T448-U448-V448-W448,0)</f>
        <v>#VALUE!</v>
      </c>
      <c r="AG448" s="117" t="e">
        <f>ROUND(J448-Y448-Z448-AA448-AC448-AB448,0)</f>
        <v>#VALUE!</v>
      </c>
      <c r="AH448" s="116"/>
      <c r="AI448">
        <f t="shared" si="175"/>
        <v>553</v>
      </c>
      <c r="AJ448" t="str">
        <f t="shared" si="168"/>
        <v>SG</v>
      </c>
      <c r="AK448" t="s">
        <v>772</v>
      </c>
    </row>
    <row r="449" spans="1:37" ht="15" hidden="1">
      <c r="A449" s="120">
        <f>ROW()</f>
        <v>449</v>
      </c>
      <c r="B449" s="120"/>
      <c r="C449" s="1"/>
      <c r="E449" s="121"/>
      <c r="F449" s="138"/>
      <c r="G449" s="117" t="e">
        <f t="shared" ref="G449:L449" si="182">SUM(G446:G448)</f>
        <v>#VALUE!</v>
      </c>
      <c r="H449" s="116" t="e">
        <f t="shared" si="182"/>
        <v>#VALUE!</v>
      </c>
      <c r="I449" s="116" t="e">
        <f t="shared" si="182"/>
        <v>#VALUE!</v>
      </c>
      <c r="J449" s="116" t="e">
        <f t="shared" si="182"/>
        <v>#VALUE!</v>
      </c>
      <c r="K449" s="116" t="e">
        <f t="shared" si="182"/>
        <v>#VALUE!</v>
      </c>
      <c r="L449" s="116" t="e">
        <f t="shared" si="182"/>
        <v>#VALUE!</v>
      </c>
      <c r="O449" s="116" t="e">
        <f>SUM(O446:O448)</f>
        <v>#VALUE!</v>
      </c>
      <c r="P449" s="116" t="e">
        <f>SUM(P446:P448)</f>
        <v>#VALUE!</v>
      </c>
      <c r="Q449" s="116" t="e">
        <f>SUM(Q446:Q448)</f>
        <v>#VALUE!</v>
      </c>
      <c r="R449" s="116" t="e">
        <f>SUM(R446:R448)</f>
        <v>#VALUE!</v>
      </c>
      <c r="T449" s="116">
        <f>SUM(T446:T448)</f>
        <v>0</v>
      </c>
      <c r="U449" s="116">
        <f>SUM(U446:U448)</f>
        <v>0</v>
      </c>
      <c r="V449" s="116">
        <f>SUM(V446:V448)</f>
        <v>0</v>
      </c>
      <c r="W449" s="116">
        <f>SUM(W446:W448)</f>
        <v>0</v>
      </c>
      <c r="X449" s="3"/>
      <c r="Y449" s="116">
        <f>SUM(Y446:Y448)</f>
        <v>0</v>
      </c>
      <c r="Z449" s="116">
        <f>SUM(Z446:Z448)</f>
        <v>0</v>
      </c>
      <c r="AA449" s="116">
        <f>SUM(AA446:AA448)</f>
        <v>0</v>
      </c>
      <c r="AB449" s="116">
        <f>SUM(AB446:AB448)</f>
        <v>0</v>
      </c>
      <c r="AC449" s="116">
        <f>SUM(AC446:AC448)</f>
        <v>0</v>
      </c>
      <c r="AD449" s="117" t="e">
        <f>ROUND(SUM(-G449,H449:L449),0)</f>
        <v>#VALUE!</v>
      </c>
      <c r="AE449" s="117" t="e">
        <f>ROUND(H449-O449-P449-Q449-R449,0)</f>
        <v>#VALUE!</v>
      </c>
      <c r="AF449" s="117" t="e">
        <f>ROUND(I449-T449-U449-V449-W449,0)</f>
        <v>#VALUE!</v>
      </c>
      <c r="AG449" s="117" t="e">
        <f>ROUND(J449-Y449-Z449-AA449-AC449-AB449,0)</f>
        <v>#VALUE!</v>
      </c>
      <c r="AH449" s="116"/>
      <c r="AI449">
        <f t="shared" si="175"/>
        <v>553</v>
      </c>
      <c r="AJ449" t="str">
        <f t="shared" si="168"/>
        <v>NA</v>
      </c>
      <c r="AK449" t="str">
        <f>IF(ISERROR(MATCH(AI449&amp;"."&amp;AJ449,AK$91:AK448,0)),AI449&amp;"."&amp;AJ449,AI449&amp;"."&amp;AJ449&amp;COUNTIFS(AI$91:AI448,AI449,AJ$91:AJ448,AJ449))</f>
        <v>553.NA1</v>
      </c>
    </row>
    <row r="450" spans="1:37" ht="15" hidden="1">
      <c r="A450" s="120">
        <f>ROW()</f>
        <v>450</v>
      </c>
      <c r="B450" s="120"/>
      <c r="C450" s="1"/>
      <c r="E450" s="121"/>
      <c r="F450" s="138"/>
      <c r="G450" s="119"/>
      <c r="X450" s="3"/>
      <c r="AD450" s="119"/>
      <c r="AE450" s="119"/>
      <c r="AF450" s="119"/>
      <c r="AG450" s="119"/>
      <c r="AI450">
        <f t="shared" si="175"/>
        <v>553</v>
      </c>
      <c r="AJ450" t="str">
        <f t="shared" si="168"/>
        <v>NA</v>
      </c>
      <c r="AK450" t="str">
        <f>IF(ISERROR(MATCH(AI450&amp;"."&amp;AJ450,AK$91:AK449,0)),AI450&amp;"."&amp;AJ450,AI450&amp;"."&amp;AJ450&amp;COUNTIFS(AI$91:AI449,AI450,AJ$91:AJ449,AJ450))</f>
        <v>553.NA2</v>
      </c>
    </row>
    <row r="451" spans="1:37" ht="15" hidden="1">
      <c r="A451" s="120">
        <f>ROW()</f>
        <v>451</v>
      </c>
      <c r="B451" s="120"/>
      <c r="C451" s="1">
        <v>554</v>
      </c>
      <c r="D451" s="2" t="s">
        <v>275</v>
      </c>
      <c r="E451" s="121"/>
      <c r="F451" s="138"/>
      <c r="G451" s="119"/>
      <c r="X451" s="3"/>
      <c r="AD451" s="119"/>
      <c r="AE451" s="119"/>
      <c r="AF451" s="119"/>
      <c r="AG451" s="119"/>
      <c r="AI451">
        <f t="shared" si="175"/>
        <v>554</v>
      </c>
      <c r="AJ451" t="str">
        <f t="shared" si="168"/>
        <v>NA</v>
      </c>
      <c r="AK451" t="str">
        <f>IF(ISERROR(MATCH(AI451&amp;"."&amp;AJ451,AK$91:AK450,0)),AI451&amp;"."&amp;AJ451,AI451&amp;"."&amp;AJ451&amp;COUNTIFS(AI$91:AI450,AI451,AJ$91:AJ450,AJ451))</f>
        <v>554.NA</v>
      </c>
    </row>
    <row r="452" spans="1:37" ht="15" hidden="1">
      <c r="A452" s="120">
        <f>ROW()</f>
        <v>452</v>
      </c>
      <c r="B452" s="120"/>
      <c r="E452" s="121" t="s">
        <v>15</v>
      </c>
      <c r="F452" s="138" t="str">
        <f>INDEX(FuncAllocOptions,ROW(A452)-ROW($A$92)+1,[4]Inputs!$S$11)</f>
        <v>P</v>
      </c>
      <c r="G452" s="117" t="e">
        <f>SUMIF(FERCJAMFactor,AK452,JAMValue)</f>
        <v>#VALUE!</v>
      </c>
      <c r="H452" s="116" t="e">
        <f t="shared" ref="H452:L454" si="183">INDEX(FuncFactorTbl,MATCH($F452,FuncFactors,0),MATCH(H$8,Functions,0))*$G452</f>
        <v>#VALUE!</v>
      </c>
      <c r="I452" s="116" t="e">
        <f t="shared" si="183"/>
        <v>#VALUE!</v>
      </c>
      <c r="J452" s="116" t="e">
        <f t="shared" si="183"/>
        <v>#VALUE!</v>
      </c>
      <c r="K452" s="116" t="e">
        <f t="shared" si="183"/>
        <v>#VALUE!</v>
      </c>
      <c r="L452" s="116" t="e">
        <f t="shared" si="183"/>
        <v>#VALUE!</v>
      </c>
      <c r="N452" s="108">
        <v>0.75</v>
      </c>
      <c r="O452" s="116" t="e">
        <f>$H452*$N452*$M452</f>
        <v>#VALUE!</v>
      </c>
      <c r="P452" s="116" t="e">
        <f>$H452*(1-$N452)*$M452</f>
        <v>#VALUE!</v>
      </c>
      <c r="Q452" s="116" t="e">
        <f>$H452*$N452*(1-$M452)</f>
        <v>#VALUE!</v>
      </c>
      <c r="R452" s="116" t="e">
        <f>$H452*(1-$N452)*(1-$M452)</f>
        <v>#VALUE!</v>
      </c>
      <c r="T452" s="116">
        <v>0</v>
      </c>
      <c r="U452" s="116">
        <v>0</v>
      </c>
      <c r="V452" s="116">
        <v>0</v>
      </c>
      <c r="W452" s="116">
        <v>0</v>
      </c>
      <c r="X452" s="3"/>
      <c r="AD452" s="117" t="e">
        <f>ROUND(SUM(-G452,H452:L452),0)</f>
        <v>#VALUE!</v>
      </c>
      <c r="AE452" s="117" t="e">
        <f>ROUND(H452-O452-P452-Q452-R452,0)</f>
        <v>#VALUE!</v>
      </c>
      <c r="AF452" s="117" t="e">
        <f>ROUND(I452-T452-U452-V452-W452,0)</f>
        <v>#VALUE!</v>
      </c>
      <c r="AG452" s="117" t="e">
        <f>ROUND(J452-Y452-Z452-AA452-AC452-AB452,0)</f>
        <v>#VALUE!</v>
      </c>
      <c r="AH452" s="116"/>
      <c r="AI452">
        <f t="shared" si="175"/>
        <v>554</v>
      </c>
      <c r="AJ452" t="str">
        <f t="shared" si="168"/>
        <v>SG</v>
      </c>
      <c r="AK452" t="str">
        <f>IF(ISERROR(MATCH(AI452&amp;"."&amp;AJ452,AK$91:AK451,0)),AI452&amp;"."&amp;AJ452,AI452&amp;"."&amp;AJ452&amp;COUNTIFS(AI$91:AI451,AI452,AJ$91:AJ451,AJ452))</f>
        <v>554.SG</v>
      </c>
    </row>
    <row r="453" spans="1:37" ht="15" hidden="1">
      <c r="A453" s="120">
        <f>ROW()</f>
        <v>453</v>
      </c>
      <c r="B453" s="120"/>
      <c r="E453" s="121" t="s">
        <v>15</v>
      </c>
      <c r="F453" s="138" t="str">
        <f>INDEX(FuncAllocOptions,ROW(A453)-ROW($A$92)+1,[4]Inputs!$S$11)</f>
        <v>P</v>
      </c>
      <c r="G453" s="117" t="e">
        <f>SUMIF(FERCJAMFactor,AK453,JAMValue)</f>
        <v>#VALUE!</v>
      </c>
      <c r="H453" s="116" t="e">
        <f t="shared" si="183"/>
        <v>#VALUE!</v>
      </c>
      <c r="I453" s="116" t="e">
        <f t="shared" si="183"/>
        <v>#VALUE!</v>
      </c>
      <c r="J453" s="116" t="e">
        <f t="shared" si="183"/>
        <v>#VALUE!</v>
      </c>
      <c r="K453" s="116" t="e">
        <f t="shared" si="183"/>
        <v>#VALUE!</v>
      </c>
      <c r="L453" s="116" t="e">
        <f t="shared" si="183"/>
        <v>#VALUE!</v>
      </c>
      <c r="N453" s="108">
        <v>0.75</v>
      </c>
      <c r="O453" s="116" t="e">
        <f>$H453*$N453*$M453</f>
        <v>#VALUE!</v>
      </c>
      <c r="P453" s="116" t="e">
        <f>$H453*(1-$N453)*$M453</f>
        <v>#VALUE!</v>
      </c>
      <c r="Q453" s="116" t="e">
        <f>$H453*$N453*(1-$M453)</f>
        <v>#VALUE!</v>
      </c>
      <c r="R453" s="116" t="e">
        <f>$H453*(1-$N453)*(1-$M453)</f>
        <v>#VALUE!</v>
      </c>
      <c r="T453" s="116">
        <v>0</v>
      </c>
      <c r="U453" s="116">
        <v>0</v>
      </c>
      <c r="V453" s="116">
        <v>0</v>
      </c>
      <c r="W453" s="116">
        <v>0</v>
      </c>
      <c r="X453" s="3"/>
      <c r="AD453" s="117" t="e">
        <f>ROUND(SUM(-G453,H453:L453),0)</f>
        <v>#VALUE!</v>
      </c>
      <c r="AE453" s="117" t="e">
        <f>ROUND(H453-O453-P453-Q453-R453,0)</f>
        <v>#VALUE!</v>
      </c>
      <c r="AF453" s="117" t="e">
        <f>ROUND(I453-T453-U453-V453-W453,0)</f>
        <v>#VALUE!</v>
      </c>
      <c r="AG453" s="117" t="e">
        <f>ROUND(J453-Y453-Z453-AA453-AC453-AB453,0)</f>
        <v>#VALUE!</v>
      </c>
      <c r="AH453" s="116"/>
      <c r="AI453">
        <f t="shared" si="175"/>
        <v>554</v>
      </c>
      <c r="AJ453" t="str">
        <f t="shared" si="168"/>
        <v>SG</v>
      </c>
      <c r="AK453" t="str">
        <f>IF(ISERROR(MATCH(AI453&amp;"."&amp;AJ453,AK$91:AK452,0)),AI453&amp;"."&amp;AJ453,AI453&amp;"."&amp;AJ453&amp;COUNTIFS(AI$91:AI452,AI453,AJ$91:AJ452,AJ453))</f>
        <v>554.SG1</v>
      </c>
    </row>
    <row r="454" spans="1:37" ht="15" hidden="1">
      <c r="A454" s="120">
        <f>ROW()</f>
        <v>454</v>
      </c>
      <c r="B454" s="120"/>
      <c r="E454" s="121" t="s">
        <v>15</v>
      </c>
      <c r="F454" s="138" t="str">
        <f>INDEX(FuncAllocOptions,ROW(A454)-ROW($A$92)+1,[4]Inputs!$S$11)</f>
        <v>P</v>
      </c>
      <c r="G454" s="133" t="e">
        <f>SUMIF(FERCJAMFactor,AK454,JAMValue)</f>
        <v>#VALUE!</v>
      </c>
      <c r="H454" s="139" t="e">
        <f t="shared" si="183"/>
        <v>#VALUE!</v>
      </c>
      <c r="I454" s="139" t="e">
        <f t="shared" si="183"/>
        <v>#VALUE!</v>
      </c>
      <c r="J454" s="139" t="e">
        <f t="shared" si="183"/>
        <v>#VALUE!</v>
      </c>
      <c r="K454" s="139" t="e">
        <f t="shared" si="183"/>
        <v>#VALUE!</v>
      </c>
      <c r="L454" s="139" t="e">
        <f t="shared" si="183"/>
        <v>#VALUE!</v>
      </c>
      <c r="N454" s="108">
        <v>0.75</v>
      </c>
      <c r="O454" s="116" t="e">
        <f>$H454*$N454*$M454</f>
        <v>#VALUE!</v>
      </c>
      <c r="P454" s="116" t="e">
        <f>$H454*(1-$N454)*$M454</f>
        <v>#VALUE!</v>
      </c>
      <c r="Q454" s="116" t="e">
        <f>$H454*$N454*(1-$M454)</f>
        <v>#VALUE!</v>
      </c>
      <c r="R454" s="116" t="e">
        <f>$H454*(1-$N454)*(1-$M454)</f>
        <v>#VALUE!</v>
      </c>
      <c r="T454" s="116"/>
      <c r="U454" s="116"/>
      <c r="V454" s="116"/>
      <c r="W454" s="116"/>
      <c r="X454" s="3"/>
      <c r="AD454" s="117" t="e">
        <f>ROUND(SUM(-G454,H454:L454),0)</f>
        <v>#VALUE!</v>
      </c>
      <c r="AE454" s="117" t="e">
        <f>ROUND(H454-O454-P454-Q454-R454,0)</f>
        <v>#VALUE!</v>
      </c>
      <c r="AF454" s="117" t="e">
        <f>ROUND(I454-T454-U454-V454-W454,0)</f>
        <v>#VALUE!</v>
      </c>
      <c r="AG454" s="117" t="e">
        <f>ROUND(J454-Y454-Z454-AA454-AC454-AB454,0)</f>
        <v>#VALUE!</v>
      </c>
      <c r="AH454" s="116"/>
      <c r="AI454">
        <f t="shared" si="175"/>
        <v>554</v>
      </c>
      <c r="AJ454" t="str">
        <f t="shared" si="168"/>
        <v>SG</v>
      </c>
      <c r="AK454" t="str">
        <f>IF(ISERROR(MATCH(AI454&amp;"."&amp;AJ454,AK$91:AK453,0)),AI454&amp;"."&amp;AJ454,AI454&amp;"."&amp;AJ454&amp;COUNTIFS(AI$91:AI453,AI454,AJ$91:AJ453,AJ454))</f>
        <v>554.SG2</v>
      </c>
    </row>
    <row r="455" spans="1:37" ht="15" hidden="1">
      <c r="A455" s="120">
        <f>ROW()</f>
        <v>455</v>
      </c>
      <c r="B455" s="120"/>
      <c r="E455" s="121"/>
      <c r="F455" s="138"/>
      <c r="G455" s="117" t="e">
        <f t="shared" ref="G455:L455" si="184">SUM(G452:G454)</f>
        <v>#VALUE!</v>
      </c>
      <c r="H455" s="116" t="e">
        <f t="shared" si="184"/>
        <v>#VALUE!</v>
      </c>
      <c r="I455" s="116" t="e">
        <f t="shared" si="184"/>
        <v>#VALUE!</v>
      </c>
      <c r="J455" s="116" t="e">
        <f t="shared" si="184"/>
        <v>#VALUE!</v>
      </c>
      <c r="K455" s="116" t="e">
        <f t="shared" si="184"/>
        <v>#VALUE!</v>
      </c>
      <c r="L455" s="116" t="e">
        <f t="shared" si="184"/>
        <v>#VALUE!</v>
      </c>
      <c r="O455" s="116" t="e">
        <f>SUM(O452:O454)</f>
        <v>#VALUE!</v>
      </c>
      <c r="P455" s="116" t="e">
        <f>SUM(P452:P454)</f>
        <v>#VALUE!</v>
      </c>
      <c r="Q455" s="116" t="e">
        <f>SUM(Q452:Q454)</f>
        <v>#VALUE!</v>
      </c>
      <c r="R455" s="116" t="e">
        <f>SUM(R452:R454)</f>
        <v>#VALUE!</v>
      </c>
      <c r="T455" s="116">
        <f>SUM(T452:T454)</f>
        <v>0</v>
      </c>
      <c r="U455" s="116">
        <f>SUM(U452:U454)</f>
        <v>0</v>
      </c>
      <c r="V455" s="116">
        <f>SUM(V452:V454)</f>
        <v>0</v>
      </c>
      <c r="W455" s="116">
        <f>SUM(W452:W454)</f>
        <v>0</v>
      </c>
      <c r="X455" s="3"/>
      <c r="Y455" s="116">
        <f>SUM(Y452:Y454)</f>
        <v>0</v>
      </c>
      <c r="Z455" s="116">
        <f>SUM(Z452:Z454)</f>
        <v>0</v>
      </c>
      <c r="AA455" s="116">
        <f>SUM(AA452:AA454)</f>
        <v>0</v>
      </c>
      <c r="AB455" s="116">
        <f>SUM(AB452:AB454)</f>
        <v>0</v>
      </c>
      <c r="AC455" s="116">
        <f>SUM(AC452:AC454)</f>
        <v>0</v>
      </c>
      <c r="AD455" s="117" t="e">
        <f>ROUND(SUM(-G455,H455:L455),0)</f>
        <v>#VALUE!</v>
      </c>
      <c r="AE455" s="117" t="e">
        <f>ROUND(H455-O455-P455-Q455-R455,0)</f>
        <v>#VALUE!</v>
      </c>
      <c r="AF455" s="117" t="e">
        <f>ROUND(I455-T455-U455-V455-W455,0)</f>
        <v>#VALUE!</v>
      </c>
      <c r="AG455" s="117" t="e">
        <f>ROUND(J455-Y455-Z455-AA455-AC455-AB455,0)</f>
        <v>#VALUE!</v>
      </c>
      <c r="AH455" s="116"/>
      <c r="AI455">
        <f t="shared" si="175"/>
        <v>554</v>
      </c>
      <c r="AJ455" t="str">
        <f t="shared" si="168"/>
        <v>NA</v>
      </c>
      <c r="AK455" t="str">
        <f>IF(ISERROR(MATCH(AI455&amp;"."&amp;AJ455,AK$91:AK454,0)),AI455&amp;"."&amp;AJ455,AI455&amp;"."&amp;AJ455&amp;COUNTIFS(AI$91:AI454,AI455,AJ$91:AJ454,AJ455))</f>
        <v>554.NA1</v>
      </c>
    </row>
    <row r="456" spans="1:37" ht="15" hidden="1">
      <c r="A456" s="120">
        <f>ROW()</f>
        <v>456</v>
      </c>
      <c r="B456" s="120"/>
      <c r="E456" s="121"/>
      <c r="F456" s="138"/>
      <c r="G456" s="119"/>
      <c r="X456" s="3"/>
      <c r="AD456" s="119"/>
      <c r="AE456" s="119"/>
      <c r="AF456" s="119"/>
      <c r="AG456" s="119"/>
      <c r="AI456">
        <f t="shared" si="175"/>
        <v>554</v>
      </c>
      <c r="AJ456" t="str">
        <f t="shared" si="168"/>
        <v>NA</v>
      </c>
      <c r="AK456" t="str">
        <f>IF(ISERROR(MATCH(AI456&amp;"."&amp;AJ456,AK$91:AK455,0)),AI456&amp;"."&amp;AJ456,AI456&amp;"."&amp;AJ456&amp;COUNTIFS(AI$91:AI455,AI456,AJ$91:AJ455,AJ456))</f>
        <v>554.NA2</v>
      </c>
    </row>
    <row r="457" spans="1:37" ht="15.75" hidden="1" thickBot="1">
      <c r="A457" s="120">
        <f>ROW()</f>
        <v>457</v>
      </c>
      <c r="B457" s="120"/>
      <c r="C457" s="110" t="s">
        <v>276</v>
      </c>
      <c r="E457" s="121"/>
      <c r="F457" s="138"/>
      <c r="G457" s="153" t="e">
        <f t="shared" ref="G457:L457" si="185">G411+G416+G421+G427+G433+G442+G449+G455</f>
        <v>#VALUE!</v>
      </c>
      <c r="H457" s="152" t="e">
        <f t="shared" si="185"/>
        <v>#VALUE!</v>
      </c>
      <c r="I457" s="152" t="e">
        <f t="shared" si="185"/>
        <v>#VALUE!</v>
      </c>
      <c r="J457" s="152" t="e">
        <f t="shared" si="185"/>
        <v>#VALUE!</v>
      </c>
      <c r="K457" s="152" t="e">
        <f t="shared" si="185"/>
        <v>#VALUE!</v>
      </c>
      <c r="L457" s="152" t="e">
        <f t="shared" si="185"/>
        <v>#VALUE!</v>
      </c>
      <c r="O457" s="116" t="e">
        <f>O411+O416+O421+O427+O433+O442+O449+O455</f>
        <v>#VALUE!</v>
      </c>
      <c r="P457" s="116" t="e">
        <f>P411+P416+P421+P427+P433+P442+P449+P455</f>
        <v>#VALUE!</v>
      </c>
      <c r="Q457" s="116" t="e">
        <f>Q411+Q416+Q421+Q427+Q433+Q442+Q449+Q455</f>
        <v>#VALUE!</v>
      </c>
      <c r="R457" s="116" t="e">
        <f>R411+R416+R421+R427+R433+R442+R449+R455</f>
        <v>#VALUE!</v>
      </c>
      <c r="S457" s="116"/>
      <c r="T457" s="116">
        <f>T411+T416+T421+T427+T433+T442+T449+T455</f>
        <v>0</v>
      </c>
      <c r="U457" s="116">
        <f>U411+U416+U421+U427+U433+U442+U449+U455</f>
        <v>0</v>
      </c>
      <c r="V457" s="116">
        <f>V411+V416+V421+V427+V433+V442+V449+V455</f>
        <v>0</v>
      </c>
      <c r="W457" s="116">
        <f>W411+W416+W421+W427+W433+W442+W449+W455</f>
        <v>0</v>
      </c>
      <c r="X457" s="3"/>
      <c r="Y457" s="116">
        <f>Y411+Y416+Y421+Y427+Y433+Y442+Y449+Y455</f>
        <v>0</v>
      </c>
      <c r="Z457" s="116">
        <f>Z411+Z416+Z421+Z427+Z433+Z442+Z449+Z455</f>
        <v>0</v>
      </c>
      <c r="AA457" s="116">
        <f>AA411+AA416+AA421+AA427+AA433+AA442+AA449+AA455</f>
        <v>0</v>
      </c>
      <c r="AB457" s="116">
        <f>AB411+AB416+AB421+AB427+AB433+AB442+AB449+AB455</f>
        <v>0</v>
      </c>
      <c r="AC457" s="116">
        <f>AC411+AC416+AC421+AC427+AC433+AC442+AC449+AC455</f>
        <v>0</v>
      </c>
      <c r="AD457" s="117" t="e">
        <f>ROUND(SUM(-G457,H457:L457),0)</f>
        <v>#VALUE!</v>
      </c>
      <c r="AE457" s="117" t="e">
        <f>ROUND(H457-O457-P457-Q457-R457,0)</f>
        <v>#VALUE!</v>
      </c>
      <c r="AF457" s="117" t="e">
        <f>ROUND(I457-T457-U457-V457-W457,0)</f>
        <v>#VALUE!</v>
      </c>
      <c r="AG457" s="117" t="e">
        <f>ROUND(J457-Y457-Z457-AA457-AC457-AB457,0)</f>
        <v>#VALUE!</v>
      </c>
      <c r="AH457" s="116"/>
      <c r="AI457" t="str">
        <f t="shared" si="175"/>
        <v>Total Other Power Generation</v>
      </c>
      <c r="AJ457" t="str">
        <f t="shared" si="168"/>
        <v>NA</v>
      </c>
      <c r="AK457" t="str">
        <f>IF(ISERROR(MATCH(AI457&amp;"."&amp;AJ457,AK$91:AK456,0)),AI457&amp;"."&amp;AJ457,AI457&amp;"."&amp;AJ457&amp;COUNTIFS(AI$91:AI456,AI457,AJ$91:AJ456,AJ457))</f>
        <v>Total Other Power Generation.NA</v>
      </c>
    </row>
    <row r="458" spans="1:37" ht="15" hidden="1">
      <c r="A458" s="120">
        <f>ROW()</f>
        <v>458</v>
      </c>
      <c r="B458" s="120"/>
      <c r="E458" s="121"/>
      <c r="F458" s="138"/>
      <c r="G458" s="119"/>
      <c r="X458" s="3"/>
      <c r="AD458" s="119"/>
      <c r="AE458" s="119"/>
      <c r="AF458" s="119"/>
      <c r="AG458" s="119"/>
      <c r="AI458" t="str">
        <f t="shared" si="175"/>
        <v>Total Other Power Generation</v>
      </c>
      <c r="AJ458" t="str">
        <f t="shared" si="168"/>
        <v>NA</v>
      </c>
      <c r="AK458" t="str">
        <f>IF(ISERROR(MATCH(AI458&amp;"."&amp;AJ458,AK$91:AK457,0)),AI458&amp;"."&amp;AJ458,AI458&amp;"."&amp;AJ458&amp;COUNTIFS(AI$91:AI457,AI458,AJ$91:AJ457,AJ458))</f>
        <v>Total Other Power Generation.NA1</v>
      </c>
    </row>
    <row r="459" spans="1:37" ht="15">
      <c r="A459" s="120">
        <f>ROW()</f>
        <v>459</v>
      </c>
      <c r="B459" s="120" t="s">
        <v>105</v>
      </c>
      <c r="C459" s="1" t="s">
        <v>8</v>
      </c>
      <c r="D459" s="2" t="s">
        <v>9</v>
      </c>
      <c r="E459" s="121"/>
      <c r="F459" s="138"/>
      <c r="G459" s="119"/>
      <c r="X459" s="3"/>
      <c r="AD459" s="119"/>
      <c r="AE459" s="119"/>
      <c r="AF459" s="119"/>
      <c r="AG459" s="119"/>
      <c r="AI459" t="str">
        <f t="shared" si="175"/>
        <v>555NPC</v>
      </c>
      <c r="AJ459" t="str">
        <f t="shared" si="168"/>
        <v>NA</v>
      </c>
      <c r="AK459" t="str">
        <f>IF(ISERROR(MATCH(AI459&amp;"."&amp;AJ459,AK$91:AK458,0)),AI459&amp;"."&amp;AJ459,AI459&amp;"."&amp;AJ459&amp;COUNTIFS(AI$91:AI458,AI459,AJ$91:AJ458,AJ459))</f>
        <v>555NPC.NA</v>
      </c>
    </row>
    <row r="460" spans="1:37" ht="15">
      <c r="A460" s="120">
        <f>ROW()</f>
        <v>460</v>
      </c>
      <c r="B460" s="120" t="s">
        <v>105</v>
      </c>
      <c r="C460" s="1"/>
      <c r="E460" s="121" t="s">
        <v>12</v>
      </c>
      <c r="F460" s="138" t="str">
        <f>INDEX(FuncAllocOptions,ROW(A460)-ROW($A$92)+1,[4]Inputs!$S$11)</f>
        <v>P</v>
      </c>
      <c r="G460" s="257" t="e">
        <f>SUMIF(FERCJAMFactor,AK460,JAMValue)</f>
        <v>#VALUE!</v>
      </c>
      <c r="H460" s="258" t="e">
        <f t="shared" ref="H460:L464" si="186">INDEX(FuncFactorTbl,MATCH($F460,FuncFactors,0),MATCH(H$8,Functions,0))*$G460</f>
        <v>#VALUE!</v>
      </c>
      <c r="I460" s="116" t="e">
        <f t="shared" si="186"/>
        <v>#VALUE!</v>
      </c>
      <c r="J460" s="116" t="e">
        <f t="shared" si="186"/>
        <v>#VALUE!</v>
      </c>
      <c r="K460" s="116" t="e">
        <f t="shared" si="186"/>
        <v>#VALUE!</v>
      </c>
      <c r="L460" s="116" t="e">
        <f t="shared" si="186"/>
        <v>#VALUE!</v>
      </c>
      <c r="M460" s="164">
        <v>1</v>
      </c>
      <c r="N460" s="108">
        <v>0.75</v>
      </c>
      <c r="O460" s="116" t="e">
        <f>$H460*$N460*$M460</f>
        <v>#VALUE!</v>
      </c>
      <c r="P460" s="116" t="e">
        <f>$H460*(1-$N460)*$M460</f>
        <v>#VALUE!</v>
      </c>
      <c r="Q460" s="116" t="e">
        <f>$H460*$N460*(1-$M460)</f>
        <v>#VALUE!</v>
      </c>
      <c r="R460" s="116" t="e">
        <f>$H460*(1-$N460)*(1-$M460)</f>
        <v>#VALUE!</v>
      </c>
      <c r="T460" s="116">
        <v>0</v>
      </c>
      <c r="U460" s="116">
        <v>0</v>
      </c>
      <c r="V460" s="116">
        <v>0</v>
      </c>
      <c r="W460" s="116">
        <v>0</v>
      </c>
      <c r="X460" s="3"/>
      <c r="Y460" s="116"/>
      <c r="Z460" s="116"/>
      <c r="AA460" s="116"/>
      <c r="AB460" s="116"/>
      <c r="AC460" s="116"/>
      <c r="AD460" s="117" t="e">
        <f t="shared" ref="AD460:AD465" si="187">ROUND(SUM(-G460,H460:L460),0)</f>
        <v>#VALUE!</v>
      </c>
      <c r="AE460" s="117" t="e">
        <f t="shared" ref="AE460:AE465" si="188">ROUND(H460-O460-P460-Q460-R460,0)</f>
        <v>#VALUE!</v>
      </c>
      <c r="AF460" s="117" t="e">
        <f t="shared" ref="AF460:AF465" si="189">ROUND(I460-T460-U460-V460-W460,0)</f>
        <v>#VALUE!</v>
      </c>
      <c r="AG460" s="117" t="e">
        <f t="shared" ref="AG460:AG465" si="190">ROUND(J460-Y460-Z460-AA460-AC460-AB460,0)</f>
        <v>#VALUE!</v>
      </c>
      <c r="AH460" s="116"/>
      <c r="AI460" t="str">
        <f t="shared" si="175"/>
        <v>555NPC</v>
      </c>
      <c r="AJ460" t="str">
        <f t="shared" si="168"/>
        <v>S</v>
      </c>
      <c r="AK460" t="str">
        <f>IF(ISERROR(MATCH(AI460&amp;"."&amp;AJ460,AK$91:AK459,0)),AI460&amp;"."&amp;AJ460,AI460&amp;"."&amp;AJ460&amp;COUNTIFS(AI$91:AI459,AI460,AJ$91:AJ459,AJ460))</f>
        <v>555NPC.S</v>
      </c>
    </row>
    <row r="461" spans="1:37" ht="15">
      <c r="A461" s="120">
        <f>ROW()</f>
        <v>461</v>
      </c>
      <c r="B461" s="120" t="s">
        <v>105</v>
      </c>
      <c r="C461" s="1"/>
      <c r="E461" s="121" t="s">
        <v>15</v>
      </c>
      <c r="F461" s="138" t="str">
        <f>INDEX(FuncAllocOptions,ROW(A461)-ROW($A$92)+1,[4]Inputs!$S$11)</f>
        <v>P</v>
      </c>
      <c r="G461" s="117" t="e">
        <f>SUMIF(FERCJAMFactor,AK461,JAMValue)</f>
        <v>#VALUE!</v>
      </c>
      <c r="H461" s="116" t="e">
        <f t="shared" si="186"/>
        <v>#VALUE!</v>
      </c>
      <c r="I461" s="116" t="e">
        <f t="shared" si="186"/>
        <v>#VALUE!</v>
      </c>
      <c r="J461" s="116" t="e">
        <f t="shared" si="186"/>
        <v>#VALUE!</v>
      </c>
      <c r="K461" s="116" t="e">
        <f t="shared" si="186"/>
        <v>#VALUE!</v>
      </c>
      <c r="L461" s="116" t="e">
        <f t="shared" si="186"/>
        <v>#VALUE!</v>
      </c>
      <c r="M461" s="164">
        <v>1</v>
      </c>
      <c r="N461" s="108">
        <v>0.75</v>
      </c>
      <c r="O461" s="116" t="e">
        <f>$H461*$N461*$M461</f>
        <v>#VALUE!</v>
      </c>
      <c r="P461" s="116" t="e">
        <f>$H461*(1-$N461)*$M461</f>
        <v>#VALUE!</v>
      </c>
      <c r="Q461" s="116" t="e">
        <f>$H461*$N461*(1-$M461)</f>
        <v>#VALUE!</v>
      </c>
      <c r="R461" s="116" t="e">
        <f>$H461*(1-$N461)*(1-$M461)</f>
        <v>#VALUE!</v>
      </c>
      <c r="T461" s="116">
        <v>0</v>
      </c>
      <c r="U461" s="116">
        <v>0</v>
      </c>
      <c r="V461" s="116">
        <v>0</v>
      </c>
      <c r="W461" s="116">
        <v>0</v>
      </c>
      <c r="X461" s="3"/>
      <c r="AD461" s="117" t="e">
        <f t="shared" si="187"/>
        <v>#VALUE!</v>
      </c>
      <c r="AE461" s="117" t="e">
        <f t="shared" si="188"/>
        <v>#VALUE!</v>
      </c>
      <c r="AF461" s="117" t="e">
        <f t="shared" si="189"/>
        <v>#VALUE!</v>
      </c>
      <c r="AG461" s="117" t="e">
        <f t="shared" si="190"/>
        <v>#VALUE!</v>
      </c>
      <c r="AH461" s="116"/>
      <c r="AI461" t="str">
        <f t="shared" si="175"/>
        <v>555NPC</v>
      </c>
      <c r="AJ461" t="str">
        <f t="shared" si="168"/>
        <v>SG</v>
      </c>
      <c r="AK461" t="str">
        <f>IF(ISERROR(MATCH(AI461&amp;"."&amp;AJ461,AK$91:AK460,0)),AI461&amp;"."&amp;AJ461,AI461&amp;"."&amp;AJ461&amp;COUNTIFS(AI$91:AI460,AI461,AJ$91:AJ460,AJ461))</f>
        <v>555NPC.SG</v>
      </c>
    </row>
    <row r="462" spans="1:37" ht="15">
      <c r="A462" s="120">
        <f>ROW()</f>
        <v>462</v>
      </c>
      <c r="B462" s="120" t="s">
        <v>105</v>
      </c>
      <c r="C462" s="1"/>
      <c r="E462" s="121" t="s">
        <v>16</v>
      </c>
      <c r="F462" s="138" t="str">
        <f>INDEX(FuncAllocOptions,ROW(A462)-ROW($A$92)+1,[4]Inputs!$S$11)</f>
        <v>P</v>
      </c>
      <c r="G462" s="117" t="e">
        <f>SUMIF(FERCJAMFactor,AK462,JAMValue)</f>
        <v>#VALUE!</v>
      </c>
      <c r="H462" s="116" t="e">
        <f t="shared" si="186"/>
        <v>#VALUE!</v>
      </c>
      <c r="I462" s="116" t="e">
        <f t="shared" si="186"/>
        <v>#VALUE!</v>
      </c>
      <c r="J462" s="116" t="e">
        <f t="shared" si="186"/>
        <v>#VALUE!</v>
      </c>
      <c r="K462" s="116" t="e">
        <f t="shared" si="186"/>
        <v>#VALUE!</v>
      </c>
      <c r="L462" s="116" t="e">
        <f t="shared" si="186"/>
        <v>#VALUE!</v>
      </c>
      <c r="M462" s="164">
        <v>1</v>
      </c>
      <c r="N462" s="108">
        <v>0</v>
      </c>
      <c r="O462" s="116" t="e">
        <f>$H462*$N462*$M462</f>
        <v>#VALUE!</v>
      </c>
      <c r="P462" s="116" t="e">
        <f>$H462*(1-$N462)*$M462</f>
        <v>#VALUE!</v>
      </c>
      <c r="Q462" s="116" t="e">
        <f>$H462*$N462*(1-$M462)</f>
        <v>#VALUE!</v>
      </c>
      <c r="R462" s="116" t="e">
        <f>$H462*(1-$N462)*(1-$M462)</f>
        <v>#VALUE!</v>
      </c>
      <c r="T462" s="116">
        <v>0</v>
      </c>
      <c r="U462" s="116">
        <v>0</v>
      </c>
      <c r="V462" s="116">
        <v>0</v>
      </c>
      <c r="W462" s="116">
        <v>0</v>
      </c>
      <c r="X462" s="3"/>
      <c r="AD462" s="117" t="e">
        <f t="shared" si="187"/>
        <v>#VALUE!</v>
      </c>
      <c r="AE462" s="117" t="e">
        <f t="shared" si="188"/>
        <v>#VALUE!</v>
      </c>
      <c r="AF462" s="117" t="e">
        <f t="shared" si="189"/>
        <v>#VALUE!</v>
      </c>
      <c r="AG462" s="117" t="e">
        <f t="shared" si="190"/>
        <v>#VALUE!</v>
      </c>
      <c r="AH462" s="116"/>
      <c r="AI462" t="str">
        <f t="shared" si="175"/>
        <v>555NPC</v>
      </c>
      <c r="AJ462" t="str">
        <f t="shared" si="168"/>
        <v>SE</v>
      </c>
      <c r="AK462" t="str">
        <f>IF(ISERROR(MATCH(AI462&amp;"."&amp;AJ462,AK$91:AK461,0)),AI462&amp;"."&amp;AJ462,AI462&amp;"."&amp;AJ462&amp;COUNTIFS(AI$91:AI461,AI462,AJ$91:AJ461,AJ462))</f>
        <v>555NPC.SE</v>
      </c>
    </row>
    <row r="463" spans="1:37" ht="15">
      <c r="A463" s="120">
        <f>ROW()</f>
        <v>463</v>
      </c>
      <c r="B463" s="120" t="s">
        <v>105</v>
      </c>
      <c r="C463" s="1"/>
      <c r="E463" s="121" t="s">
        <v>15</v>
      </c>
      <c r="F463" s="138" t="str">
        <f>INDEX(FuncAllocOptions,ROW(A463)-ROW($A$92)+1,[4]Inputs!$S$11)</f>
        <v>P</v>
      </c>
      <c r="G463" s="117" t="e">
        <f>SUMIF(FERCJAMFactor,AK463,JAMValue)</f>
        <v>#VALUE!</v>
      </c>
      <c r="H463" s="116" t="e">
        <f t="shared" si="186"/>
        <v>#VALUE!</v>
      </c>
      <c r="I463" s="116" t="e">
        <f t="shared" si="186"/>
        <v>#VALUE!</v>
      </c>
      <c r="J463" s="116" t="e">
        <f t="shared" si="186"/>
        <v>#VALUE!</v>
      </c>
      <c r="K463" s="116" t="e">
        <f t="shared" si="186"/>
        <v>#VALUE!</v>
      </c>
      <c r="L463" s="116" t="e">
        <f t="shared" si="186"/>
        <v>#VALUE!</v>
      </c>
      <c r="M463" s="164">
        <v>1</v>
      </c>
      <c r="N463" s="108">
        <v>0.75</v>
      </c>
      <c r="O463" s="116" t="e">
        <f>$H463*$N463*$M463</f>
        <v>#VALUE!</v>
      </c>
      <c r="P463" s="116" t="e">
        <f>$H463*(1-$N463)*$M463</f>
        <v>#VALUE!</v>
      </c>
      <c r="Q463" s="116" t="e">
        <f>$H463*$N463*(1-$M463)</f>
        <v>#VALUE!</v>
      </c>
      <c r="R463" s="116" t="e">
        <f>$H463*(1-$N463)*(1-$M463)</f>
        <v>#VALUE!</v>
      </c>
      <c r="T463" s="116"/>
      <c r="U463" s="116"/>
      <c r="V463" s="116"/>
      <c r="W463" s="116"/>
      <c r="X463" s="3"/>
      <c r="AD463" s="117" t="e">
        <f t="shared" si="187"/>
        <v>#VALUE!</v>
      </c>
      <c r="AE463" s="117" t="e">
        <f t="shared" si="188"/>
        <v>#VALUE!</v>
      </c>
      <c r="AF463" s="117" t="e">
        <f t="shared" si="189"/>
        <v>#VALUE!</v>
      </c>
      <c r="AG463" s="117" t="e">
        <f t="shared" si="190"/>
        <v>#VALUE!</v>
      </c>
      <c r="AH463" s="116"/>
      <c r="AI463" t="str">
        <f t="shared" si="175"/>
        <v>555NPC</v>
      </c>
      <c r="AJ463" t="str">
        <f t="shared" si="168"/>
        <v>SG</v>
      </c>
      <c r="AK463" t="str">
        <f>IF(ISERROR(MATCH(AI463&amp;"."&amp;AJ463,AK$91:AK462,0)),AI463&amp;"."&amp;AJ463,AI463&amp;"."&amp;AJ463&amp;COUNTIFS(AI$91:AI462,AI463,AJ$91:AJ462,AJ463))</f>
        <v>555NPC.SG1</v>
      </c>
    </row>
    <row r="464" spans="1:37" ht="15">
      <c r="A464" s="120">
        <f>ROW()</f>
        <v>464</v>
      </c>
      <c r="B464" s="120" t="s">
        <v>105</v>
      </c>
      <c r="C464" s="1"/>
      <c r="E464" s="121" t="s">
        <v>17</v>
      </c>
      <c r="F464" s="138" t="str">
        <f>INDEX(FuncAllocOptions,ROW(A464)-ROW($A$92)+1,[4]Inputs!$S$11)</f>
        <v>P</v>
      </c>
      <c r="G464" s="133" t="e">
        <f>SUMIF(FERCJAMFactor,AK464,JAMValue)</f>
        <v>#VALUE!</v>
      </c>
      <c r="H464" s="139" t="e">
        <f t="shared" si="186"/>
        <v>#VALUE!</v>
      </c>
      <c r="I464" s="139" t="e">
        <f t="shared" si="186"/>
        <v>#VALUE!</v>
      </c>
      <c r="J464" s="139" t="e">
        <f t="shared" si="186"/>
        <v>#VALUE!</v>
      </c>
      <c r="K464" s="139" t="e">
        <f t="shared" si="186"/>
        <v>#VALUE!</v>
      </c>
      <c r="L464" s="139" t="e">
        <f t="shared" si="186"/>
        <v>#VALUE!</v>
      </c>
      <c r="M464" s="164">
        <v>1</v>
      </c>
      <c r="N464" s="108">
        <v>0.75</v>
      </c>
      <c r="O464" s="116" t="e">
        <f>$H464*$N464*$M464</f>
        <v>#VALUE!</v>
      </c>
      <c r="P464" s="116" t="e">
        <f>$H464*(1-$N464)*$M464</f>
        <v>#VALUE!</v>
      </c>
      <c r="Q464" s="116" t="e">
        <f>$H464*$N464*(1-$M464)</f>
        <v>#VALUE!</v>
      </c>
      <c r="R464" s="116" t="e">
        <f>$H464*(1-$N464)*(1-$M464)</f>
        <v>#VALUE!</v>
      </c>
      <c r="T464" s="116"/>
      <c r="U464" s="116"/>
      <c r="V464" s="116"/>
      <c r="W464" s="116"/>
      <c r="X464" s="3"/>
      <c r="AD464" s="117" t="e">
        <f t="shared" si="187"/>
        <v>#VALUE!</v>
      </c>
      <c r="AE464" s="117" t="e">
        <f t="shared" si="188"/>
        <v>#VALUE!</v>
      </c>
      <c r="AF464" s="117" t="e">
        <f t="shared" si="189"/>
        <v>#VALUE!</v>
      </c>
      <c r="AG464" s="117" t="e">
        <f t="shared" si="190"/>
        <v>#VALUE!</v>
      </c>
      <c r="AH464" s="116"/>
      <c r="AI464" t="str">
        <f t="shared" si="175"/>
        <v>555NPC</v>
      </c>
      <c r="AJ464" t="str">
        <f t="shared" si="168"/>
        <v>DGP</v>
      </c>
      <c r="AK464" t="str">
        <f>IF(ISERROR(MATCH(AI464&amp;"."&amp;AJ464,AK$91:AK463,0)),AI464&amp;"."&amp;AJ464,AI464&amp;"."&amp;AJ464&amp;COUNTIFS(AI$91:AI463,AI464,AJ$91:AJ463,AJ464))</f>
        <v>555NPC.DGP</v>
      </c>
    </row>
    <row r="465" spans="1:37" ht="15" hidden="1">
      <c r="A465" s="120">
        <f>ROW()</f>
        <v>465</v>
      </c>
      <c r="B465" s="120"/>
      <c r="C465" s="1"/>
      <c r="E465" s="121"/>
      <c r="F465" s="138"/>
      <c r="G465" s="117" t="e">
        <f t="shared" ref="G465:L465" si="191">SUM(G460:G464)</f>
        <v>#VALUE!</v>
      </c>
      <c r="H465" s="116" t="e">
        <f t="shared" si="191"/>
        <v>#VALUE!</v>
      </c>
      <c r="I465" s="116" t="e">
        <f t="shared" si="191"/>
        <v>#VALUE!</v>
      </c>
      <c r="J465" s="116" t="e">
        <f t="shared" si="191"/>
        <v>#VALUE!</v>
      </c>
      <c r="K465" s="116" t="e">
        <f t="shared" si="191"/>
        <v>#VALUE!</v>
      </c>
      <c r="L465" s="116" t="e">
        <f t="shared" si="191"/>
        <v>#VALUE!</v>
      </c>
      <c r="O465" s="116" t="e">
        <f>SUM(O460:O464)</f>
        <v>#VALUE!</v>
      </c>
      <c r="P465" s="116" t="e">
        <f>SUM(P460:P464)</f>
        <v>#VALUE!</v>
      </c>
      <c r="Q465" s="116" t="e">
        <f>SUM(Q460:Q464)</f>
        <v>#VALUE!</v>
      </c>
      <c r="R465" s="116" t="e">
        <f>SUM(R460:R464)</f>
        <v>#VALUE!</v>
      </c>
      <c r="T465" s="116">
        <f>SUM(T460:T464)</f>
        <v>0</v>
      </c>
      <c r="U465" s="116">
        <f>SUM(U460:U464)</f>
        <v>0</v>
      </c>
      <c r="V465" s="116">
        <f>SUM(V460:V464)</f>
        <v>0</v>
      </c>
      <c r="W465" s="116">
        <f>SUM(W460:W464)</f>
        <v>0</v>
      </c>
      <c r="X465" s="3"/>
      <c r="Y465" s="116">
        <f>SUM(Y460:Y464)</f>
        <v>0</v>
      </c>
      <c r="Z465" s="116">
        <f>SUM(Z460:Z464)</f>
        <v>0</v>
      </c>
      <c r="AA465" s="116">
        <f>SUM(AA460:AA464)</f>
        <v>0</v>
      </c>
      <c r="AB465" s="116">
        <f>SUM(AB460:AB464)</f>
        <v>0</v>
      </c>
      <c r="AC465" s="116">
        <f>SUM(AC460:AC464)</f>
        <v>0</v>
      </c>
      <c r="AD465" s="117" t="e">
        <f t="shared" si="187"/>
        <v>#VALUE!</v>
      </c>
      <c r="AE465" s="117" t="e">
        <f t="shared" si="188"/>
        <v>#VALUE!</v>
      </c>
      <c r="AF465" s="117" t="e">
        <f t="shared" si="189"/>
        <v>#VALUE!</v>
      </c>
      <c r="AG465" s="117" t="e">
        <f t="shared" si="190"/>
        <v>#VALUE!</v>
      </c>
      <c r="AH465" s="116"/>
      <c r="AI465" t="str">
        <f t="shared" si="175"/>
        <v>555NPC</v>
      </c>
      <c r="AJ465" t="str">
        <f t="shared" si="168"/>
        <v>NA</v>
      </c>
      <c r="AK465" t="str">
        <f>IF(ISERROR(MATCH(AI465&amp;"."&amp;AJ465,AK$91:AK464,0)),AI465&amp;"."&amp;AJ465,AI465&amp;"."&amp;AJ465&amp;COUNTIFS(AI$91:AI464,AI465,AJ$91:AJ464,AJ465))</f>
        <v>555NPC.NA1</v>
      </c>
    </row>
    <row r="466" spans="1:37" ht="15" hidden="1">
      <c r="A466" s="120">
        <f>ROW()</f>
        <v>466</v>
      </c>
      <c r="B466" s="120"/>
      <c r="C466" s="1"/>
      <c r="E466" s="121"/>
      <c r="F466" s="138"/>
      <c r="G466" s="119"/>
      <c r="X466" s="3"/>
      <c r="AD466" s="119"/>
      <c r="AE466" s="119"/>
      <c r="AF466" s="119"/>
      <c r="AG466" s="119"/>
      <c r="AI466" t="str">
        <f t="shared" si="175"/>
        <v>555NPC</v>
      </c>
      <c r="AJ466" t="str">
        <f t="shared" si="168"/>
        <v>NA</v>
      </c>
      <c r="AK466" t="str">
        <f>IF(ISERROR(MATCH(AI466&amp;"."&amp;AJ466,AK$91:AK465,0)),AI466&amp;"."&amp;AJ466,AI466&amp;"."&amp;AJ466&amp;COUNTIFS(AI$91:AI465,AI466,AJ$91:AJ465,AJ466))</f>
        <v>555NPC.NA2</v>
      </c>
    </row>
    <row r="467" spans="1:37" ht="15" hidden="1">
      <c r="A467" s="120">
        <f>ROW()</f>
        <v>467</v>
      </c>
      <c r="B467" s="120"/>
      <c r="C467" s="1">
        <v>556</v>
      </c>
      <c r="D467" s="2" t="s">
        <v>281</v>
      </c>
      <c r="E467" s="121"/>
      <c r="F467" s="138"/>
      <c r="G467" s="119"/>
      <c r="X467" s="3"/>
      <c r="AD467" s="119"/>
      <c r="AE467" s="119"/>
      <c r="AF467" s="119"/>
      <c r="AG467" s="119"/>
      <c r="AI467">
        <f t="shared" si="175"/>
        <v>556</v>
      </c>
      <c r="AJ467" t="str">
        <f t="shared" si="168"/>
        <v>NA</v>
      </c>
      <c r="AK467" t="str">
        <f>IF(ISERROR(MATCH(AI467&amp;"."&amp;AJ467,AK$91:AK466,0)),AI467&amp;"."&amp;AJ467,AI467&amp;"."&amp;AJ467&amp;COUNTIFS(AI$91:AI466,AI467,AJ$91:AJ466,AJ467))</f>
        <v>556.NA</v>
      </c>
    </row>
    <row r="468" spans="1:37" ht="15" hidden="1">
      <c r="A468" s="120">
        <f>ROW()</f>
        <v>468</v>
      </c>
      <c r="B468" s="120"/>
      <c r="C468" s="1"/>
      <c r="E468" s="121" t="s">
        <v>15</v>
      </c>
      <c r="F468" s="138" t="str">
        <f>INDEX(FuncAllocOptions,ROW(A468)-ROW($A$92)+1,[4]Inputs!$S$11)</f>
        <v>P</v>
      </c>
      <c r="G468" s="133" t="e">
        <f>SUMIF(FERCJAMFactor,AK468,JAMValue)</f>
        <v>#VALUE!</v>
      </c>
      <c r="H468" s="139" t="e">
        <f>INDEX(FuncFactorTbl,MATCH($F468,FuncFactors,0),MATCH(H$8,Functions,0))*$G468</f>
        <v>#VALUE!</v>
      </c>
      <c r="I468" s="139" t="e">
        <f>INDEX(FuncFactorTbl,MATCH($F468,FuncFactors,0),MATCH(I$8,Functions,0))*$G468</f>
        <v>#VALUE!</v>
      </c>
      <c r="J468" s="139" t="e">
        <f>INDEX(FuncFactorTbl,MATCH($F468,FuncFactors,0),MATCH(J$8,Functions,0))*$G468</f>
        <v>#VALUE!</v>
      </c>
      <c r="K468" s="139" t="e">
        <f>INDEX(FuncFactorTbl,MATCH($F468,FuncFactors,0),MATCH(K$8,Functions,0))*$G468</f>
        <v>#VALUE!</v>
      </c>
      <c r="L468" s="139" t="e">
        <f>INDEX(FuncFactorTbl,MATCH($F468,FuncFactors,0),MATCH(L$8,Functions,0))*$G468</f>
        <v>#VALUE!</v>
      </c>
      <c r="N468" s="108">
        <v>0.75</v>
      </c>
      <c r="O468" s="116" t="e">
        <f>$H468*$N468*$M468</f>
        <v>#VALUE!</v>
      </c>
      <c r="P468" s="116" t="e">
        <f>$H468*(1-$N468)*$M468</f>
        <v>#VALUE!</v>
      </c>
      <c r="Q468" s="116" t="e">
        <f>$H468*$N468*(1-$M468)</f>
        <v>#VALUE!</v>
      </c>
      <c r="R468" s="116" t="e">
        <f>$H468*(1-$N468)*(1-$M468)</f>
        <v>#VALUE!</v>
      </c>
      <c r="T468" s="116">
        <v>0</v>
      </c>
      <c r="U468" s="116">
        <v>0</v>
      </c>
      <c r="V468" s="116">
        <v>0</v>
      </c>
      <c r="W468" s="116">
        <v>0</v>
      </c>
      <c r="X468" s="3"/>
      <c r="AD468" s="117" t="e">
        <f>ROUND(SUM(-G468,H468:L468),0)</f>
        <v>#VALUE!</v>
      </c>
      <c r="AE468" s="117" t="e">
        <f>ROUND(H468-O468-P468-Q468-R468,0)</f>
        <v>#VALUE!</v>
      </c>
      <c r="AF468" s="117" t="e">
        <f>ROUND(I468-T468-U468-V468-W468,0)</f>
        <v>#VALUE!</v>
      </c>
      <c r="AG468" s="117" t="e">
        <f>ROUND(J468-Y468-Z468-AA468-AC468-AB468,0)</f>
        <v>#VALUE!</v>
      </c>
      <c r="AH468" s="116"/>
      <c r="AI468">
        <f t="shared" si="175"/>
        <v>556</v>
      </c>
      <c r="AJ468" t="str">
        <f t="shared" si="168"/>
        <v>SG</v>
      </c>
      <c r="AK468" t="str">
        <f>IF(ISERROR(MATCH(AI468&amp;"."&amp;AJ468,AK$91:AK467,0)),AI468&amp;"."&amp;AJ468,AI468&amp;"."&amp;AJ468&amp;COUNTIFS(AI$91:AI467,AI468,AJ$91:AJ467,AJ468))</f>
        <v>556.SG</v>
      </c>
    </row>
    <row r="469" spans="1:37" ht="15" hidden="1">
      <c r="A469" s="120">
        <f>ROW()</f>
        <v>469</v>
      </c>
      <c r="B469" s="120"/>
      <c r="C469" s="1"/>
      <c r="E469" s="121"/>
      <c r="F469" s="138"/>
      <c r="G469" s="117" t="e">
        <f t="shared" ref="G469:L469" si="192">SUM(G468)</f>
        <v>#VALUE!</v>
      </c>
      <c r="H469" s="116" t="e">
        <f t="shared" si="192"/>
        <v>#VALUE!</v>
      </c>
      <c r="I469" s="116" t="e">
        <f t="shared" si="192"/>
        <v>#VALUE!</v>
      </c>
      <c r="J469" s="116" t="e">
        <f t="shared" si="192"/>
        <v>#VALUE!</v>
      </c>
      <c r="K469" s="116" t="e">
        <f t="shared" si="192"/>
        <v>#VALUE!</v>
      </c>
      <c r="L469" s="116" t="e">
        <f t="shared" si="192"/>
        <v>#VALUE!</v>
      </c>
      <c r="O469" s="116" t="e">
        <f>SUM(O468)</f>
        <v>#VALUE!</v>
      </c>
      <c r="P469" s="116" t="e">
        <f>SUM(P468)</f>
        <v>#VALUE!</v>
      </c>
      <c r="Q469" s="116" t="e">
        <f>SUM(Q468)</f>
        <v>#VALUE!</v>
      </c>
      <c r="R469" s="116" t="e">
        <f>SUM(R468)</f>
        <v>#VALUE!</v>
      </c>
      <c r="T469" s="116">
        <f>SUM(T468)</f>
        <v>0</v>
      </c>
      <c r="U469" s="116">
        <f>SUM(U468)</f>
        <v>0</v>
      </c>
      <c r="V469" s="116">
        <f>SUM(V468)</f>
        <v>0</v>
      </c>
      <c r="W469" s="116">
        <f>SUM(W468)</f>
        <v>0</v>
      </c>
      <c r="X469" s="3"/>
      <c r="Y469" s="116">
        <f>SUM(Y468)</f>
        <v>0</v>
      </c>
      <c r="Z469" s="116">
        <f>SUM(Z468)</f>
        <v>0</v>
      </c>
      <c r="AA469" s="116">
        <f>SUM(AA468)</f>
        <v>0</v>
      </c>
      <c r="AB469" s="116">
        <f>SUM(AB468)</f>
        <v>0</v>
      </c>
      <c r="AC469" s="116">
        <f>SUM(AC468)</f>
        <v>0</v>
      </c>
      <c r="AD469" s="117" t="e">
        <f>ROUND(SUM(-G469,H469:L469),0)</f>
        <v>#VALUE!</v>
      </c>
      <c r="AE469" s="117" t="e">
        <f>ROUND(H469-O469-P469-Q469-R469,0)</f>
        <v>#VALUE!</v>
      </c>
      <c r="AF469" s="117" t="e">
        <f>ROUND(I469-T469-U469-V469-W469,0)</f>
        <v>#VALUE!</v>
      </c>
      <c r="AG469" s="117" t="e">
        <f>ROUND(J469-Y469-Z469-AA469-AC469-AB469,0)</f>
        <v>#VALUE!</v>
      </c>
      <c r="AH469" s="116"/>
      <c r="AI469">
        <f t="shared" si="175"/>
        <v>556</v>
      </c>
      <c r="AJ469" t="str">
        <f t="shared" si="168"/>
        <v>NA</v>
      </c>
      <c r="AK469" t="str">
        <f>IF(ISERROR(MATCH(AI469&amp;"."&amp;AJ469,AK$91:AK468,0)),AI469&amp;"."&amp;AJ469,AI469&amp;"."&amp;AJ469&amp;COUNTIFS(AI$91:AI468,AI469,AJ$91:AJ468,AJ469))</f>
        <v>556.NA1</v>
      </c>
    </row>
    <row r="470" spans="1:37" ht="15" hidden="1">
      <c r="A470" s="120">
        <f>ROW()</f>
        <v>470</v>
      </c>
      <c r="B470" s="120"/>
      <c r="C470" s="1"/>
      <c r="E470" s="121"/>
      <c r="F470" s="138"/>
      <c r="G470" s="119"/>
      <c r="X470" s="3"/>
      <c r="AD470" s="119"/>
      <c r="AE470" s="119"/>
      <c r="AF470" s="119"/>
      <c r="AG470" s="119"/>
      <c r="AI470">
        <f t="shared" si="175"/>
        <v>556</v>
      </c>
      <c r="AJ470" t="str">
        <f t="shared" si="168"/>
        <v>NA</v>
      </c>
      <c r="AK470" t="str">
        <f>IF(ISERROR(MATCH(AI470&amp;"."&amp;AJ470,AK$91:AK469,0)),AI470&amp;"."&amp;AJ470,AI470&amp;"."&amp;AJ470&amp;COUNTIFS(AI$91:AI469,AI470,AJ$91:AJ469,AJ470))</f>
        <v>556.NA2</v>
      </c>
    </row>
    <row r="471" spans="1:37" ht="15" hidden="1">
      <c r="A471" s="120">
        <f>ROW()</f>
        <v>471</v>
      </c>
      <c r="B471" s="120"/>
      <c r="C471" s="1">
        <v>557</v>
      </c>
      <c r="D471" s="2" t="s">
        <v>282</v>
      </c>
      <c r="E471" s="121"/>
      <c r="F471" s="138"/>
      <c r="G471" s="119"/>
      <c r="X471" s="3"/>
      <c r="AD471" s="119"/>
      <c r="AE471" s="119"/>
      <c r="AF471" s="119"/>
      <c r="AG471" s="119"/>
      <c r="AI471">
        <f t="shared" si="175"/>
        <v>557</v>
      </c>
      <c r="AJ471" t="str">
        <f t="shared" si="168"/>
        <v>NA</v>
      </c>
      <c r="AK471" t="str">
        <f>IF(ISERROR(MATCH(AI471&amp;"."&amp;AJ471,AK$91:AK470,0)),AI471&amp;"."&amp;AJ471,AI471&amp;"."&amp;AJ471&amp;COUNTIFS(AI$91:AI470,AI471,AJ$91:AJ470,AJ471))</f>
        <v>557.NA</v>
      </c>
    </row>
    <row r="472" spans="1:37" ht="15" hidden="1">
      <c r="A472" s="120">
        <f>ROW()</f>
        <v>472</v>
      </c>
      <c r="B472" s="120"/>
      <c r="E472" s="121" t="s">
        <v>12</v>
      </c>
      <c r="F472" s="138" t="str">
        <f>INDEX(FuncAllocOptions,ROW(A472)-ROW($A$92)+1,[4]Inputs!$S$11)</f>
        <v>P</v>
      </c>
      <c r="G472" s="117" t="e">
        <f t="shared" ref="G472:G477" si="193">SUMIF(FERCJAMFactor,AK472,JAMValue)</f>
        <v>#VALUE!</v>
      </c>
      <c r="H472" s="116" t="e">
        <f t="shared" ref="H472:L477" si="194">INDEX(FuncFactorTbl,MATCH($F472,FuncFactors,0),MATCH(H$8,Functions,0))*$G472</f>
        <v>#VALUE!</v>
      </c>
      <c r="I472" s="116" t="e">
        <f t="shared" si="194"/>
        <v>#VALUE!</v>
      </c>
      <c r="J472" s="116" t="e">
        <f t="shared" si="194"/>
        <v>#VALUE!</v>
      </c>
      <c r="K472" s="116" t="e">
        <f t="shared" si="194"/>
        <v>#VALUE!</v>
      </c>
      <c r="L472" s="116" t="e">
        <f t="shared" si="194"/>
        <v>#VALUE!</v>
      </c>
      <c r="N472" s="108">
        <v>0.75</v>
      </c>
      <c r="O472" s="116" t="e">
        <f t="shared" ref="O472:O477" si="195">$H472*$N472*$M472</f>
        <v>#VALUE!</v>
      </c>
      <c r="P472" s="116" t="e">
        <f t="shared" ref="P472:P477" si="196">$H472*(1-$N472)*$M472</f>
        <v>#VALUE!</v>
      </c>
      <c r="Q472" s="116" t="e">
        <f t="shared" ref="Q472:Q477" si="197">$H472*$N472*(1-$M472)</f>
        <v>#VALUE!</v>
      </c>
      <c r="R472" s="116" t="e">
        <f t="shared" ref="R472:R477" si="198">$H472*(1-$N472)*(1-$M472)</f>
        <v>#VALUE!</v>
      </c>
      <c r="T472" s="116">
        <v>0</v>
      </c>
      <c r="U472" s="116">
        <v>0</v>
      </c>
      <c r="V472" s="116">
        <v>0</v>
      </c>
      <c r="W472" s="116">
        <v>0</v>
      </c>
      <c r="X472" s="3"/>
      <c r="AD472" s="117" t="e">
        <f t="shared" ref="AD472:AD478" si="199">ROUND(SUM(-G472,H472:L472),0)</f>
        <v>#VALUE!</v>
      </c>
      <c r="AE472" s="117" t="e">
        <f t="shared" ref="AE472:AE478" si="200">ROUND(H472-O472-P472-Q472-R472,0)</f>
        <v>#VALUE!</v>
      </c>
      <c r="AF472" s="117" t="e">
        <f t="shared" ref="AF472:AF478" si="201">ROUND(I472-T472-U472-V472-W472,0)</f>
        <v>#VALUE!</v>
      </c>
      <c r="AG472" s="117" t="e">
        <f t="shared" ref="AG472:AG478" si="202">ROUND(J472-Y472-Z472-AA472-AC472-AB472,0)</f>
        <v>#VALUE!</v>
      </c>
      <c r="AH472" s="116"/>
      <c r="AI472">
        <f t="shared" si="175"/>
        <v>557</v>
      </c>
      <c r="AJ472" t="str">
        <f t="shared" si="168"/>
        <v>S</v>
      </c>
      <c r="AK472" t="str">
        <f>IF(ISERROR(MATCH(AI472&amp;"."&amp;AJ472,AK$91:AK471,0)),AI472&amp;"."&amp;AJ472,AI472&amp;"."&amp;AJ472&amp;COUNTIFS(AI$91:AI471,AI472,AJ$91:AJ471,AJ472))</f>
        <v>557.S</v>
      </c>
    </row>
    <row r="473" spans="1:37" ht="15" hidden="1">
      <c r="A473" s="120">
        <f>ROW()</f>
        <v>473</v>
      </c>
      <c r="B473" s="120"/>
      <c r="E473" s="121" t="s">
        <v>15</v>
      </c>
      <c r="F473" s="138" t="str">
        <f>INDEX(FuncAllocOptions,ROW(A473)-ROW($A$92)+1,[4]Inputs!$S$11)</f>
        <v>P</v>
      </c>
      <c r="G473" s="117" t="e">
        <f t="shared" si="193"/>
        <v>#VALUE!</v>
      </c>
      <c r="H473" s="116" t="e">
        <f t="shared" si="194"/>
        <v>#VALUE!</v>
      </c>
      <c r="I473" s="116" t="e">
        <f t="shared" si="194"/>
        <v>#VALUE!</v>
      </c>
      <c r="J473" s="116" t="e">
        <f t="shared" si="194"/>
        <v>#VALUE!</v>
      </c>
      <c r="K473" s="116" t="e">
        <f t="shared" si="194"/>
        <v>#VALUE!</v>
      </c>
      <c r="L473" s="116" t="e">
        <f t="shared" si="194"/>
        <v>#VALUE!</v>
      </c>
      <c r="N473" s="108">
        <v>0.75</v>
      </c>
      <c r="O473" s="116" t="e">
        <f t="shared" si="195"/>
        <v>#VALUE!</v>
      </c>
      <c r="P473" s="116" t="e">
        <f t="shared" si="196"/>
        <v>#VALUE!</v>
      </c>
      <c r="Q473" s="116" t="e">
        <f t="shared" si="197"/>
        <v>#VALUE!</v>
      </c>
      <c r="R473" s="116" t="e">
        <f t="shared" si="198"/>
        <v>#VALUE!</v>
      </c>
      <c r="T473" s="116">
        <v>0</v>
      </c>
      <c r="U473" s="116">
        <v>0</v>
      </c>
      <c r="V473" s="116">
        <v>0</v>
      </c>
      <c r="W473" s="116">
        <v>0</v>
      </c>
      <c r="X473" s="3"/>
      <c r="AD473" s="117" t="e">
        <f t="shared" si="199"/>
        <v>#VALUE!</v>
      </c>
      <c r="AE473" s="117" t="e">
        <f t="shared" si="200"/>
        <v>#VALUE!</v>
      </c>
      <c r="AF473" s="117" t="e">
        <f t="shared" si="201"/>
        <v>#VALUE!</v>
      </c>
      <c r="AG473" s="117" t="e">
        <f t="shared" si="202"/>
        <v>#VALUE!</v>
      </c>
      <c r="AH473" s="116"/>
      <c r="AI473">
        <f t="shared" si="175"/>
        <v>557</v>
      </c>
      <c r="AJ473" t="str">
        <f t="shared" si="168"/>
        <v>SG</v>
      </c>
      <c r="AK473" t="str">
        <f>IF(ISERROR(MATCH(AI473&amp;"."&amp;AJ473,AK$91:AK472,0)),AI473&amp;"."&amp;AJ473,AI473&amp;"."&amp;AJ473&amp;COUNTIFS(AI$91:AI472,AI473,AJ$91:AJ472,AJ473))</f>
        <v>557.SG</v>
      </c>
    </row>
    <row r="474" spans="1:37" ht="15" hidden="1">
      <c r="A474" s="120">
        <f>ROW()</f>
        <v>474</v>
      </c>
      <c r="B474" s="120"/>
      <c r="E474" s="121" t="s">
        <v>283</v>
      </c>
      <c r="F474" s="138" t="str">
        <f>INDEX(FuncAllocOptions,ROW(A474)-ROW($A$92)+1,[4]Inputs!$S$11)</f>
        <v>P</v>
      </c>
      <c r="G474" s="117" t="e">
        <f t="shared" si="193"/>
        <v>#VALUE!</v>
      </c>
      <c r="H474" s="116" t="e">
        <f t="shared" si="194"/>
        <v>#VALUE!</v>
      </c>
      <c r="I474" s="116" t="e">
        <f t="shared" si="194"/>
        <v>#VALUE!</v>
      </c>
      <c r="J474" s="116" t="e">
        <f t="shared" si="194"/>
        <v>#VALUE!</v>
      </c>
      <c r="K474" s="116" t="e">
        <f t="shared" si="194"/>
        <v>#VALUE!</v>
      </c>
      <c r="L474" s="116" t="e">
        <f t="shared" si="194"/>
        <v>#VALUE!</v>
      </c>
      <c r="N474" s="108">
        <v>0.75</v>
      </c>
      <c r="O474" s="116" t="e">
        <f t="shared" si="195"/>
        <v>#VALUE!</v>
      </c>
      <c r="P474" s="116" t="e">
        <f t="shared" si="196"/>
        <v>#VALUE!</v>
      </c>
      <c r="Q474" s="116" t="e">
        <f t="shared" si="197"/>
        <v>#VALUE!</v>
      </c>
      <c r="R474" s="116" t="e">
        <f t="shared" si="198"/>
        <v>#VALUE!</v>
      </c>
      <c r="T474" s="116">
        <v>0</v>
      </c>
      <c r="U474" s="116">
        <v>0</v>
      </c>
      <c r="V474" s="116">
        <v>0</v>
      </c>
      <c r="W474" s="116">
        <v>0</v>
      </c>
      <c r="X474" s="3"/>
      <c r="AD474" s="117" t="e">
        <f t="shared" si="199"/>
        <v>#VALUE!</v>
      </c>
      <c r="AE474" s="117" t="e">
        <f t="shared" si="200"/>
        <v>#VALUE!</v>
      </c>
      <c r="AF474" s="117" t="e">
        <f t="shared" si="201"/>
        <v>#VALUE!</v>
      </c>
      <c r="AG474" s="117" t="e">
        <f t="shared" si="202"/>
        <v>#VALUE!</v>
      </c>
      <c r="AH474" s="116"/>
      <c r="AI474">
        <f t="shared" si="175"/>
        <v>557</v>
      </c>
      <c r="AJ474" t="str">
        <f t="shared" si="168"/>
        <v>SGCT</v>
      </c>
      <c r="AK474" t="str">
        <f>IF(ISERROR(MATCH(AI474&amp;"."&amp;AJ474,AK$91:AK473,0)),AI474&amp;"."&amp;AJ474,AI474&amp;"."&amp;AJ474&amp;COUNTIFS(AI$91:AI473,AI474,AJ$91:AJ473,AJ474))</f>
        <v>557.SGCT</v>
      </c>
    </row>
    <row r="475" spans="1:37" ht="15" hidden="1">
      <c r="A475" s="120">
        <f>ROW()</f>
        <v>475</v>
      </c>
      <c r="B475" s="120"/>
      <c r="E475" s="121" t="s">
        <v>16</v>
      </c>
      <c r="F475" s="138" t="str">
        <f>INDEX(FuncAllocOptions,ROW(A475)-ROW($A$92)+1,[4]Inputs!$S$11)</f>
        <v>P</v>
      </c>
      <c r="G475" s="117" t="e">
        <f t="shared" si="193"/>
        <v>#VALUE!</v>
      </c>
      <c r="H475" s="116" t="e">
        <f t="shared" si="194"/>
        <v>#VALUE!</v>
      </c>
      <c r="I475" s="116" t="e">
        <f t="shared" si="194"/>
        <v>#VALUE!</v>
      </c>
      <c r="J475" s="116" t="e">
        <f t="shared" si="194"/>
        <v>#VALUE!</v>
      </c>
      <c r="K475" s="116" t="e">
        <f t="shared" si="194"/>
        <v>#VALUE!</v>
      </c>
      <c r="L475" s="116" t="e">
        <f t="shared" si="194"/>
        <v>#VALUE!</v>
      </c>
      <c r="N475" s="108">
        <v>0</v>
      </c>
      <c r="O475" s="116" t="e">
        <f t="shared" si="195"/>
        <v>#VALUE!</v>
      </c>
      <c r="P475" s="116" t="e">
        <f t="shared" si="196"/>
        <v>#VALUE!</v>
      </c>
      <c r="Q475" s="116" t="e">
        <f t="shared" si="197"/>
        <v>#VALUE!</v>
      </c>
      <c r="R475" s="116" t="e">
        <f t="shared" si="198"/>
        <v>#VALUE!</v>
      </c>
      <c r="T475" s="116">
        <v>0</v>
      </c>
      <c r="U475" s="116">
        <v>0</v>
      </c>
      <c r="V475" s="116">
        <v>0</v>
      </c>
      <c r="W475" s="116">
        <v>0</v>
      </c>
      <c r="X475" s="3"/>
      <c r="AD475" s="117" t="e">
        <f t="shared" si="199"/>
        <v>#VALUE!</v>
      </c>
      <c r="AE475" s="117" t="e">
        <f t="shared" si="200"/>
        <v>#VALUE!</v>
      </c>
      <c r="AF475" s="117" t="e">
        <f t="shared" si="201"/>
        <v>#VALUE!</v>
      </c>
      <c r="AG475" s="117" t="e">
        <f t="shared" si="202"/>
        <v>#VALUE!</v>
      </c>
      <c r="AH475" s="116"/>
      <c r="AI475">
        <f t="shared" si="175"/>
        <v>557</v>
      </c>
      <c r="AJ475" t="str">
        <f t="shared" si="168"/>
        <v>SE</v>
      </c>
      <c r="AK475" t="str">
        <f>IF(ISERROR(MATCH(AI475&amp;"."&amp;AJ475,AK$91:AK474,0)),AI475&amp;"."&amp;AJ475,AI475&amp;"."&amp;AJ475&amp;COUNTIFS(AI$91:AI474,AI475,AJ$91:AJ474,AJ475))</f>
        <v>557.SE</v>
      </c>
    </row>
    <row r="476" spans="1:37" ht="15" hidden="1">
      <c r="A476" s="120">
        <f>ROW()</f>
        <v>476</v>
      </c>
      <c r="B476" s="120"/>
      <c r="E476" s="121" t="s">
        <v>15</v>
      </c>
      <c r="F476" s="138" t="str">
        <f>INDEX(FuncAllocOptions,ROW(A476)-ROW($A$92)+1,[4]Inputs!$S$11)</f>
        <v>P</v>
      </c>
      <c r="G476" s="117" t="e">
        <f t="shared" si="193"/>
        <v>#VALUE!</v>
      </c>
      <c r="H476" s="116" t="e">
        <f t="shared" si="194"/>
        <v>#VALUE!</v>
      </c>
      <c r="I476" s="116" t="e">
        <f t="shared" si="194"/>
        <v>#VALUE!</v>
      </c>
      <c r="J476" s="116" t="e">
        <f t="shared" si="194"/>
        <v>#VALUE!</v>
      </c>
      <c r="K476" s="116" t="e">
        <f t="shared" si="194"/>
        <v>#VALUE!</v>
      </c>
      <c r="L476" s="116" t="e">
        <f t="shared" si="194"/>
        <v>#VALUE!</v>
      </c>
      <c r="N476" s="108">
        <v>0.75</v>
      </c>
      <c r="O476" s="116" t="e">
        <f t="shared" si="195"/>
        <v>#VALUE!</v>
      </c>
      <c r="P476" s="116" t="e">
        <f t="shared" si="196"/>
        <v>#VALUE!</v>
      </c>
      <c r="Q476" s="116" t="e">
        <f t="shared" si="197"/>
        <v>#VALUE!</v>
      </c>
      <c r="R476" s="116" t="e">
        <f t="shared" si="198"/>
        <v>#VALUE!</v>
      </c>
      <c r="T476" s="116">
        <v>0</v>
      </c>
      <c r="U476" s="116">
        <v>0</v>
      </c>
      <c r="V476" s="116">
        <v>0</v>
      </c>
      <c r="W476" s="116">
        <v>0</v>
      </c>
      <c r="X476" s="3"/>
      <c r="AD476" s="117" t="e">
        <f t="shared" si="199"/>
        <v>#VALUE!</v>
      </c>
      <c r="AE476" s="117" t="e">
        <f t="shared" si="200"/>
        <v>#VALUE!</v>
      </c>
      <c r="AF476" s="117" t="e">
        <f t="shared" si="201"/>
        <v>#VALUE!</v>
      </c>
      <c r="AG476" s="117" t="e">
        <f t="shared" si="202"/>
        <v>#VALUE!</v>
      </c>
      <c r="AH476" s="116"/>
      <c r="AI476">
        <f t="shared" si="175"/>
        <v>557</v>
      </c>
      <c r="AJ476" t="str">
        <f t="shared" si="168"/>
        <v>SG</v>
      </c>
      <c r="AK476" t="str">
        <f>IF(ISERROR(MATCH(AI476&amp;"."&amp;AJ476,AK$91:AK475,0)),AI476&amp;"."&amp;AJ476,AI476&amp;"."&amp;AJ476&amp;COUNTIFS(AI$91:AI475,AI476,AJ$91:AJ475,AJ476))</f>
        <v>557.SG1</v>
      </c>
    </row>
    <row r="477" spans="1:37" ht="15" hidden="1">
      <c r="A477" s="120">
        <f>ROW()</f>
        <v>477</v>
      </c>
      <c r="B477" s="120"/>
      <c r="E477" s="121" t="s">
        <v>284</v>
      </c>
      <c r="F477" s="138" t="str">
        <f>INDEX(FuncAllocOptions,ROW(A477)-ROW($A$92)+1,[4]Inputs!$S$11)</f>
        <v>P</v>
      </c>
      <c r="G477" s="133" t="e">
        <f t="shared" si="193"/>
        <v>#VALUE!</v>
      </c>
      <c r="H477" s="139" t="e">
        <f t="shared" si="194"/>
        <v>#VALUE!</v>
      </c>
      <c r="I477" s="139" t="e">
        <f t="shared" si="194"/>
        <v>#VALUE!</v>
      </c>
      <c r="J477" s="139" t="e">
        <f t="shared" si="194"/>
        <v>#VALUE!</v>
      </c>
      <c r="K477" s="139" t="e">
        <f t="shared" si="194"/>
        <v>#VALUE!</v>
      </c>
      <c r="L477" s="139" t="e">
        <f t="shared" si="194"/>
        <v>#VALUE!</v>
      </c>
      <c r="N477" s="108">
        <v>0.75</v>
      </c>
      <c r="O477" s="116" t="e">
        <f t="shared" si="195"/>
        <v>#VALUE!</v>
      </c>
      <c r="P477" s="116" t="e">
        <f t="shared" si="196"/>
        <v>#VALUE!</v>
      </c>
      <c r="Q477" s="116" t="e">
        <f t="shared" si="197"/>
        <v>#VALUE!</v>
      </c>
      <c r="R477" s="116" t="e">
        <f t="shared" si="198"/>
        <v>#VALUE!</v>
      </c>
      <c r="T477" s="116">
        <v>0</v>
      </c>
      <c r="U477" s="116">
        <v>0</v>
      </c>
      <c r="V477" s="116">
        <v>0</v>
      </c>
      <c r="W477" s="116">
        <v>0</v>
      </c>
      <c r="X477" s="3"/>
      <c r="AD477" s="117" t="e">
        <f t="shared" si="199"/>
        <v>#VALUE!</v>
      </c>
      <c r="AE477" s="117" t="e">
        <f t="shared" si="200"/>
        <v>#VALUE!</v>
      </c>
      <c r="AF477" s="117" t="e">
        <f t="shared" si="201"/>
        <v>#VALUE!</v>
      </c>
      <c r="AG477" s="117" t="e">
        <f t="shared" si="202"/>
        <v>#VALUE!</v>
      </c>
      <c r="AH477" s="116"/>
      <c r="AI477">
        <f t="shared" si="175"/>
        <v>557</v>
      </c>
      <c r="AJ477" t="str">
        <f t="shared" ref="AJ477:AJ540" si="203">IF(E477="","NA",E477)</f>
        <v>TROJP</v>
      </c>
      <c r="AK477" t="str">
        <f>IF(ISERROR(MATCH(AI477&amp;"."&amp;AJ477,AK$91:AK476,0)),AI477&amp;"."&amp;AJ477,AI477&amp;"."&amp;AJ477&amp;COUNTIFS(AI$91:AI476,AI477,AJ$91:AJ476,AJ477))</f>
        <v>557.TROJP</v>
      </c>
    </row>
    <row r="478" spans="1:37" ht="15" hidden="1">
      <c r="A478" s="120">
        <f>ROW()</f>
        <v>478</v>
      </c>
      <c r="B478" s="120"/>
      <c r="E478" s="121"/>
      <c r="F478" s="138"/>
      <c r="G478" s="117" t="e">
        <f t="shared" ref="G478:L478" si="204">SUM(G472:G477)</f>
        <v>#VALUE!</v>
      </c>
      <c r="H478" s="116" t="e">
        <f t="shared" si="204"/>
        <v>#VALUE!</v>
      </c>
      <c r="I478" s="116" t="e">
        <f t="shared" si="204"/>
        <v>#VALUE!</v>
      </c>
      <c r="J478" s="116" t="e">
        <f t="shared" si="204"/>
        <v>#VALUE!</v>
      </c>
      <c r="K478" s="116" t="e">
        <f t="shared" si="204"/>
        <v>#VALUE!</v>
      </c>
      <c r="L478" s="116" t="e">
        <f t="shared" si="204"/>
        <v>#VALUE!</v>
      </c>
      <c r="O478" s="116" t="e">
        <f>SUM(O472:O477)</f>
        <v>#VALUE!</v>
      </c>
      <c r="P478" s="116" t="e">
        <f>SUM(P472:P477)</f>
        <v>#VALUE!</v>
      </c>
      <c r="Q478" s="116" t="e">
        <f>SUM(Q472:Q477)</f>
        <v>#VALUE!</v>
      </c>
      <c r="R478" s="116" t="e">
        <f>SUM(R472:R477)</f>
        <v>#VALUE!</v>
      </c>
      <c r="T478" s="116">
        <f>SUM(T472:T477)</f>
        <v>0</v>
      </c>
      <c r="U478" s="116">
        <f>SUM(U472:U477)</f>
        <v>0</v>
      </c>
      <c r="V478" s="116">
        <f>SUM(V472:V477)</f>
        <v>0</v>
      </c>
      <c r="W478" s="116">
        <f>SUM(W472:W477)</f>
        <v>0</v>
      </c>
      <c r="X478" s="3"/>
      <c r="Y478" s="116">
        <f>SUM(Y472:Y477)</f>
        <v>0</v>
      </c>
      <c r="Z478" s="116">
        <f>SUM(Z472:Z477)</f>
        <v>0</v>
      </c>
      <c r="AA478" s="116">
        <f>SUM(AA472:AA477)</f>
        <v>0</v>
      </c>
      <c r="AB478" s="116">
        <f>SUM(AB472:AB477)</f>
        <v>0</v>
      </c>
      <c r="AC478" s="116">
        <f>SUM(AC472:AC477)</f>
        <v>0</v>
      </c>
      <c r="AD478" s="117" t="e">
        <f t="shared" si="199"/>
        <v>#VALUE!</v>
      </c>
      <c r="AE478" s="117" t="e">
        <f t="shared" si="200"/>
        <v>#VALUE!</v>
      </c>
      <c r="AF478" s="117" t="e">
        <f t="shared" si="201"/>
        <v>#VALUE!</v>
      </c>
      <c r="AG478" s="117" t="e">
        <f t="shared" si="202"/>
        <v>#VALUE!</v>
      </c>
      <c r="AH478" s="116"/>
      <c r="AI478">
        <f t="shared" si="175"/>
        <v>557</v>
      </c>
      <c r="AJ478" t="str">
        <f t="shared" si="203"/>
        <v>NA</v>
      </c>
      <c r="AK478" t="str">
        <f>IF(ISERROR(MATCH(AI478&amp;"."&amp;AJ478,AK$91:AK477,0)),AI478&amp;"."&amp;AJ478,AI478&amp;"."&amp;AJ478&amp;COUNTIFS(AI$91:AI477,AI478,AJ$91:AJ477,AJ478))</f>
        <v>557.NA1</v>
      </c>
    </row>
    <row r="479" spans="1:37" ht="15" hidden="1">
      <c r="A479" s="120">
        <f>ROW()</f>
        <v>479</v>
      </c>
      <c r="B479" s="120"/>
      <c r="E479" s="121"/>
      <c r="F479" s="138"/>
      <c r="G479" s="117"/>
      <c r="H479" s="116"/>
      <c r="I479" s="116"/>
      <c r="J479" s="116"/>
      <c r="K479" s="116"/>
      <c r="L479" s="116"/>
      <c r="O479" s="116"/>
      <c r="P479" s="116"/>
      <c r="Q479" s="116"/>
      <c r="R479" s="116"/>
      <c r="T479" s="116"/>
      <c r="U479" s="116"/>
      <c r="V479" s="116"/>
      <c r="W479" s="116"/>
      <c r="X479" s="3"/>
      <c r="Y479" s="116"/>
      <c r="Z479" s="116"/>
      <c r="AA479" s="116"/>
      <c r="AB479" s="116"/>
      <c r="AC479" s="116"/>
      <c r="AD479" s="117"/>
      <c r="AE479" s="117"/>
      <c r="AF479" s="117"/>
      <c r="AG479" s="117"/>
      <c r="AH479" s="116"/>
      <c r="AI479">
        <f t="shared" si="175"/>
        <v>557</v>
      </c>
      <c r="AJ479" t="str">
        <f t="shared" si="203"/>
        <v>NA</v>
      </c>
      <c r="AK479" t="str">
        <f>IF(ISERROR(MATCH(AI479&amp;"."&amp;AJ479,AK$91:AK478,0)),AI479&amp;"."&amp;AJ479,AI479&amp;"."&amp;AJ479&amp;COUNTIFS(AI$91:AI478,AI479,AJ$91:AJ478,AJ479))</f>
        <v>557.NA2</v>
      </c>
    </row>
    <row r="480" spans="1:37" ht="15" hidden="1">
      <c r="A480" s="120">
        <f>ROW()</f>
        <v>480</v>
      </c>
      <c r="B480" s="120"/>
      <c r="D480" s="150" t="s">
        <v>285</v>
      </c>
      <c r="E480" s="120"/>
      <c r="F480" s="138"/>
      <c r="G480" s="117"/>
      <c r="H480" s="116"/>
      <c r="I480" s="116"/>
      <c r="J480" s="116"/>
      <c r="K480" s="116"/>
      <c r="L480" s="116"/>
      <c r="O480" s="116"/>
      <c r="P480" s="116"/>
      <c r="Q480" s="116"/>
      <c r="R480" s="116"/>
      <c r="T480" s="116"/>
      <c r="U480" s="116"/>
      <c r="V480" s="116"/>
      <c r="W480" s="116"/>
      <c r="X480" s="3"/>
      <c r="Y480" s="116"/>
      <c r="Z480" s="116"/>
      <c r="AA480" s="116"/>
      <c r="AB480" s="116"/>
      <c r="AC480" s="116"/>
      <c r="AD480" s="117"/>
      <c r="AE480" s="117"/>
      <c r="AF480" s="117"/>
      <c r="AG480" s="117"/>
      <c r="AH480" s="116"/>
      <c r="AI480">
        <f t="shared" si="175"/>
        <v>557</v>
      </c>
      <c r="AJ480" t="str">
        <f t="shared" si="203"/>
        <v>NA</v>
      </c>
      <c r="AK480" t="str">
        <f>IF(ISERROR(MATCH(AI480&amp;"."&amp;AJ480,AK$91:AK479,0)),AI480&amp;"."&amp;AJ480,AI480&amp;"."&amp;AJ480&amp;COUNTIFS(AI$91:AI479,AI480,AJ$91:AJ479,AJ480))</f>
        <v>557.NA3</v>
      </c>
    </row>
    <row r="481" spans="1:37" ht="15" hidden="1">
      <c r="A481" s="120">
        <f>ROW()</f>
        <v>481</v>
      </c>
      <c r="B481" s="120"/>
      <c r="D481" s="180" t="s">
        <v>243</v>
      </c>
      <c r="E481" s="121" t="s">
        <v>17</v>
      </c>
      <c r="F481" s="138" t="str">
        <f>INDEX(FuncAllocOptions,ROW(A481)-ROW($A$92)+1,[4]Inputs!$S$11)</f>
        <v>P</v>
      </c>
      <c r="G481" s="117" t="e">
        <f t="shared" ref="G481:G486" si="205">SUMIF(FERCJAMFactor,AK481,JAMValue)</f>
        <v>#VALUE!</v>
      </c>
      <c r="H481" s="116" t="e">
        <f t="shared" ref="H481:L486" si="206">INDEX(FuncFactorTbl,MATCH($F481,FuncFactors,0),MATCH(H$8,Functions,0))*$G481</f>
        <v>#VALUE!</v>
      </c>
      <c r="I481" s="116" t="e">
        <f t="shared" si="206"/>
        <v>#VALUE!</v>
      </c>
      <c r="J481" s="116" t="e">
        <f t="shared" si="206"/>
        <v>#VALUE!</v>
      </c>
      <c r="K481" s="116" t="e">
        <f t="shared" si="206"/>
        <v>#VALUE!</v>
      </c>
      <c r="L481" s="116" t="e">
        <f t="shared" si="206"/>
        <v>#VALUE!</v>
      </c>
      <c r="N481" s="108">
        <v>0.75</v>
      </c>
      <c r="O481" s="116" t="e">
        <f t="shared" ref="O481:O486" si="207">$H481*$N481*$M481</f>
        <v>#VALUE!</v>
      </c>
      <c r="P481" s="116" t="e">
        <f t="shared" ref="P481:P486" si="208">$H481*(1-$N481)*$M481</f>
        <v>#VALUE!</v>
      </c>
      <c r="Q481" s="116" t="e">
        <f t="shared" ref="Q481:Q486" si="209">$H481*$N481*(1-$M481)</f>
        <v>#VALUE!</v>
      </c>
      <c r="R481" s="116" t="e">
        <f t="shared" ref="R481:R486" si="210">$H481*(1-$N481)*(1-$M481)</f>
        <v>#VALUE!</v>
      </c>
      <c r="T481" s="116"/>
      <c r="U481" s="116"/>
      <c r="V481" s="116"/>
      <c r="W481" s="116"/>
      <c r="X481" s="3"/>
      <c r="Y481" s="116"/>
      <c r="Z481" s="116"/>
      <c r="AA481" s="116"/>
      <c r="AB481" s="116"/>
      <c r="AC481" s="116"/>
      <c r="AD481" s="117" t="e">
        <f t="shared" ref="AD481:AD487" si="211">ROUND(SUM(-G481,H481:L481),0)</f>
        <v>#VALUE!</v>
      </c>
      <c r="AE481" s="117" t="e">
        <f t="shared" ref="AE481:AE487" si="212">ROUND(H481-O481-P481-Q481-R481,0)</f>
        <v>#VALUE!</v>
      </c>
      <c r="AF481" s="117" t="e">
        <f t="shared" ref="AF481:AF487" si="213">ROUND(I481-T481-U481-V481-W481,0)</f>
        <v>#VALUE!</v>
      </c>
      <c r="AG481" s="117" t="e">
        <f t="shared" ref="AG481:AG487" si="214">ROUND(J481-Y481-Z481-AA481-AC481-AB481,0)</f>
        <v>#VALUE!</v>
      </c>
      <c r="AH481" s="116"/>
      <c r="AI481">
        <f t="shared" si="175"/>
        <v>557</v>
      </c>
      <c r="AJ481" t="str">
        <f t="shared" si="203"/>
        <v>DGP</v>
      </c>
      <c r="AK481" t="str">
        <f>IF(ISERROR(MATCH(AI481&amp;"."&amp;AJ481,AK$91:AK480,0)),AI481&amp;"."&amp;AJ481,AI481&amp;"."&amp;AJ481&amp;COUNTIFS(AI$91:AI480,AI481,AJ$91:AJ480,AJ481))</f>
        <v>557.DGP</v>
      </c>
    </row>
    <row r="482" spans="1:37" ht="15" hidden="1">
      <c r="A482" s="120">
        <f>ROW()</f>
        <v>482</v>
      </c>
      <c r="B482" s="120"/>
      <c r="D482" s="180" t="s">
        <v>243</v>
      </c>
      <c r="E482" s="121" t="s">
        <v>15</v>
      </c>
      <c r="F482" s="138" t="str">
        <f>INDEX(FuncAllocOptions,ROW(A482)-ROW($A$92)+1,[4]Inputs!$S$11)</f>
        <v>P</v>
      </c>
      <c r="G482" s="117" t="e">
        <f t="shared" si="205"/>
        <v>#VALUE!</v>
      </c>
      <c r="H482" s="116" t="e">
        <f t="shared" si="206"/>
        <v>#VALUE!</v>
      </c>
      <c r="I482" s="116" t="e">
        <f t="shared" si="206"/>
        <v>#VALUE!</v>
      </c>
      <c r="J482" s="116" t="e">
        <f t="shared" si="206"/>
        <v>#VALUE!</v>
      </c>
      <c r="K482" s="116" t="e">
        <f t="shared" si="206"/>
        <v>#VALUE!</v>
      </c>
      <c r="L482" s="116" t="e">
        <f t="shared" si="206"/>
        <v>#VALUE!</v>
      </c>
      <c r="N482" s="108">
        <v>0.75</v>
      </c>
      <c r="O482" s="116" t="e">
        <f t="shared" si="207"/>
        <v>#VALUE!</v>
      </c>
      <c r="P482" s="116" t="e">
        <f t="shared" si="208"/>
        <v>#VALUE!</v>
      </c>
      <c r="Q482" s="116" t="e">
        <f t="shared" si="209"/>
        <v>#VALUE!</v>
      </c>
      <c r="R482" s="116" t="e">
        <f t="shared" si="210"/>
        <v>#VALUE!</v>
      </c>
      <c r="T482" s="116"/>
      <c r="U482" s="116"/>
      <c r="V482" s="116"/>
      <c r="W482" s="116"/>
      <c r="X482" s="3"/>
      <c r="Y482" s="116"/>
      <c r="Z482" s="116"/>
      <c r="AA482" s="116"/>
      <c r="AB482" s="116"/>
      <c r="AC482" s="116"/>
      <c r="AD482" s="117" t="e">
        <f t="shared" si="211"/>
        <v>#VALUE!</v>
      </c>
      <c r="AE482" s="117" t="e">
        <f t="shared" si="212"/>
        <v>#VALUE!</v>
      </c>
      <c r="AF482" s="117" t="e">
        <f t="shared" si="213"/>
        <v>#VALUE!</v>
      </c>
      <c r="AG482" s="117" t="e">
        <f t="shared" si="214"/>
        <v>#VALUE!</v>
      </c>
      <c r="AH482" s="116"/>
      <c r="AI482">
        <f t="shared" si="175"/>
        <v>557</v>
      </c>
      <c r="AJ482" t="str">
        <f t="shared" si="203"/>
        <v>SG</v>
      </c>
      <c r="AK482" t="str">
        <f>IF(ISERROR(MATCH(AI482&amp;"."&amp;AJ482,AK$91:AK481,0)),AI482&amp;"."&amp;AJ482,AI482&amp;"."&amp;AJ482&amp;COUNTIFS(AI$91:AI481,AI482,AJ$91:AJ481,AJ482))</f>
        <v>557.SG2</v>
      </c>
    </row>
    <row r="483" spans="1:37" ht="15" hidden="1">
      <c r="A483" s="120">
        <f>ROW()</f>
        <v>483</v>
      </c>
      <c r="B483" s="120"/>
      <c r="D483" s="180" t="s">
        <v>252</v>
      </c>
      <c r="E483" s="121" t="s">
        <v>286</v>
      </c>
      <c r="F483" s="138" t="str">
        <f>INDEX(FuncAllocOptions,ROW(A483)-ROW($A$92)+1,[4]Inputs!$S$11)</f>
        <v>P</v>
      </c>
      <c r="G483" s="117" t="e">
        <f t="shared" si="205"/>
        <v>#VALUE!</v>
      </c>
      <c r="H483" s="116" t="e">
        <f t="shared" si="206"/>
        <v>#VALUE!</v>
      </c>
      <c r="I483" s="116" t="e">
        <f t="shared" si="206"/>
        <v>#VALUE!</v>
      </c>
      <c r="J483" s="116" t="e">
        <f t="shared" si="206"/>
        <v>#VALUE!</v>
      </c>
      <c r="K483" s="116" t="e">
        <f t="shared" si="206"/>
        <v>#VALUE!</v>
      </c>
      <c r="L483" s="116" t="e">
        <f t="shared" si="206"/>
        <v>#VALUE!</v>
      </c>
      <c r="N483" s="108">
        <v>0.75</v>
      </c>
      <c r="O483" s="116" t="e">
        <f t="shared" si="207"/>
        <v>#VALUE!</v>
      </c>
      <c r="P483" s="116" t="e">
        <f t="shared" si="208"/>
        <v>#VALUE!</v>
      </c>
      <c r="Q483" s="116" t="e">
        <f t="shared" si="209"/>
        <v>#VALUE!</v>
      </c>
      <c r="R483" s="116" t="e">
        <f t="shared" si="210"/>
        <v>#VALUE!</v>
      </c>
      <c r="T483" s="116"/>
      <c r="U483" s="116"/>
      <c r="V483" s="116"/>
      <c r="W483" s="116"/>
      <c r="X483" s="3"/>
      <c r="Y483" s="116"/>
      <c r="Z483" s="116"/>
      <c r="AA483" s="116"/>
      <c r="AB483" s="116"/>
      <c r="AC483" s="116"/>
      <c r="AD483" s="117" t="e">
        <f t="shared" si="211"/>
        <v>#VALUE!</v>
      </c>
      <c r="AE483" s="117" t="e">
        <f t="shared" si="212"/>
        <v>#VALUE!</v>
      </c>
      <c r="AF483" s="117" t="e">
        <f t="shared" si="213"/>
        <v>#VALUE!</v>
      </c>
      <c r="AG483" s="117" t="e">
        <f t="shared" si="214"/>
        <v>#VALUE!</v>
      </c>
      <c r="AH483" s="116"/>
      <c r="AI483">
        <f t="shared" si="175"/>
        <v>557</v>
      </c>
      <c r="AJ483" t="str">
        <f t="shared" si="203"/>
        <v>MC</v>
      </c>
      <c r="AK483" t="str">
        <f>IF(ISERROR(MATCH(AI483&amp;"."&amp;AJ483,AK$91:AK482,0)),AI483&amp;"."&amp;AJ483,AI483&amp;"."&amp;AJ483&amp;COUNTIFS(AI$91:AI482,AI483,AJ$91:AJ482,AJ483))</f>
        <v>557.MC</v>
      </c>
    </row>
    <row r="484" spans="1:37" ht="15" hidden="1">
      <c r="A484" s="120">
        <f>ROW()</f>
        <v>484</v>
      </c>
      <c r="B484" s="120"/>
      <c r="D484" s="180" t="s">
        <v>252</v>
      </c>
      <c r="E484" s="121" t="s">
        <v>15</v>
      </c>
      <c r="F484" s="138" t="str">
        <f>INDEX(FuncAllocOptions,ROW(A484)-ROW($A$92)+1,[4]Inputs!$S$11)</f>
        <v>P</v>
      </c>
      <c r="G484" s="117" t="e">
        <f t="shared" si="205"/>
        <v>#VALUE!</v>
      </c>
      <c r="H484" s="116" t="e">
        <f t="shared" si="206"/>
        <v>#VALUE!</v>
      </c>
      <c r="I484" s="116" t="e">
        <f t="shared" si="206"/>
        <v>#VALUE!</v>
      </c>
      <c r="J484" s="116" t="e">
        <f t="shared" si="206"/>
        <v>#VALUE!</v>
      </c>
      <c r="K484" s="116" t="e">
        <f t="shared" si="206"/>
        <v>#VALUE!</v>
      </c>
      <c r="L484" s="116" t="e">
        <f t="shared" si="206"/>
        <v>#VALUE!</v>
      </c>
      <c r="N484" s="108">
        <v>0.75</v>
      </c>
      <c r="O484" s="116" t="e">
        <f t="shared" si="207"/>
        <v>#VALUE!</v>
      </c>
      <c r="P484" s="116" t="e">
        <f t="shared" si="208"/>
        <v>#VALUE!</v>
      </c>
      <c r="Q484" s="116" t="e">
        <f t="shared" si="209"/>
        <v>#VALUE!</v>
      </c>
      <c r="R484" s="116" t="e">
        <f t="shared" si="210"/>
        <v>#VALUE!</v>
      </c>
      <c r="T484" s="116"/>
      <c r="U484" s="116"/>
      <c r="V484" s="116"/>
      <c r="W484" s="116"/>
      <c r="X484" s="3"/>
      <c r="Y484" s="116"/>
      <c r="Z484" s="116"/>
      <c r="AA484" s="116"/>
      <c r="AB484" s="116"/>
      <c r="AC484" s="116"/>
      <c r="AD484" s="117" t="e">
        <f t="shared" si="211"/>
        <v>#VALUE!</v>
      </c>
      <c r="AE484" s="117" t="e">
        <f t="shared" si="212"/>
        <v>#VALUE!</v>
      </c>
      <c r="AF484" s="117" t="e">
        <f t="shared" si="213"/>
        <v>#VALUE!</v>
      </c>
      <c r="AG484" s="117" t="e">
        <f t="shared" si="214"/>
        <v>#VALUE!</v>
      </c>
      <c r="AH484" s="116"/>
      <c r="AI484">
        <f t="shared" si="175"/>
        <v>557</v>
      </c>
      <c r="AJ484" t="str">
        <f t="shared" si="203"/>
        <v>SG</v>
      </c>
      <c r="AK484" t="str">
        <f>IF(ISERROR(MATCH(AI484&amp;"."&amp;AJ484,AK$91:AK483,0)),AI484&amp;"."&amp;AJ484,AI484&amp;"."&amp;AJ484&amp;COUNTIFS(AI$91:AI483,AI484,AJ$91:AJ483,AJ484))</f>
        <v>557.SG3</v>
      </c>
    </row>
    <row r="485" spans="1:37" ht="15" hidden="1">
      <c r="A485" s="120">
        <f>ROW()</f>
        <v>485</v>
      </c>
      <c r="B485" s="120"/>
      <c r="D485" s="180" t="s">
        <v>248</v>
      </c>
      <c r="E485" s="121" t="s">
        <v>771</v>
      </c>
      <c r="F485" s="138" t="str">
        <f>INDEX(FuncAllocOptions,ROW(A485)-ROW($A$92)+1,[4]Inputs!$S$11)</f>
        <v>P</v>
      </c>
      <c r="G485" s="117" t="e">
        <f t="shared" si="205"/>
        <v>#VALUE!</v>
      </c>
      <c r="H485" s="116" t="e">
        <f t="shared" si="206"/>
        <v>#VALUE!</v>
      </c>
      <c r="I485" s="116" t="e">
        <f t="shared" si="206"/>
        <v>#VALUE!</v>
      </c>
      <c r="J485" s="116" t="e">
        <f t="shared" si="206"/>
        <v>#VALUE!</v>
      </c>
      <c r="K485" s="116" t="e">
        <f t="shared" si="206"/>
        <v>#VALUE!</v>
      </c>
      <c r="L485" s="116" t="e">
        <f t="shared" si="206"/>
        <v>#VALUE!</v>
      </c>
      <c r="N485" s="108">
        <v>0.75</v>
      </c>
      <c r="O485" s="116" t="e">
        <f t="shared" si="207"/>
        <v>#VALUE!</v>
      </c>
      <c r="P485" s="116" t="e">
        <f t="shared" si="208"/>
        <v>#VALUE!</v>
      </c>
      <c r="Q485" s="116" t="e">
        <f t="shared" si="209"/>
        <v>#VALUE!</v>
      </c>
      <c r="R485" s="116" t="e">
        <f t="shared" si="210"/>
        <v>#VALUE!</v>
      </c>
      <c r="T485" s="116"/>
      <c r="U485" s="116"/>
      <c r="V485" s="116"/>
      <c r="W485" s="116"/>
      <c r="X485" s="3"/>
      <c r="Y485" s="116"/>
      <c r="Z485" s="116"/>
      <c r="AA485" s="116"/>
      <c r="AB485" s="116"/>
      <c r="AC485" s="116"/>
      <c r="AD485" s="117" t="e">
        <f t="shared" si="211"/>
        <v>#VALUE!</v>
      </c>
      <c r="AE485" s="117" t="e">
        <f t="shared" si="212"/>
        <v>#VALUE!</v>
      </c>
      <c r="AF485" s="117" t="e">
        <f t="shared" si="213"/>
        <v>#VALUE!</v>
      </c>
      <c r="AG485" s="117" t="e">
        <f t="shared" si="214"/>
        <v>#VALUE!</v>
      </c>
      <c r="AH485" s="116"/>
      <c r="AI485">
        <f t="shared" si="175"/>
        <v>557</v>
      </c>
      <c r="AJ485" t="str">
        <f t="shared" si="203"/>
        <v xml:space="preserve">S </v>
      </c>
      <c r="AK485" t="str">
        <f>IF(ISERROR(MATCH(AI485&amp;"."&amp;AJ485,AK$91:AK484,0)),AI485&amp;"."&amp;AJ485,AI485&amp;"."&amp;AJ485&amp;COUNTIFS(AI$91:AI484,AI485,AJ$91:AJ484,AJ485))</f>
        <v xml:space="preserve">557.S </v>
      </c>
    </row>
    <row r="486" spans="1:37" ht="15" hidden="1">
      <c r="A486" s="120">
        <f>ROW()</f>
        <v>486</v>
      </c>
      <c r="B486" s="120"/>
      <c r="D486" s="180" t="s">
        <v>248</v>
      </c>
      <c r="E486" s="121"/>
      <c r="F486" s="138" t="str">
        <f>INDEX(FuncAllocOptions,ROW(A486)-ROW($A$92)+1,[4]Inputs!$S$11)</f>
        <v>P</v>
      </c>
      <c r="G486" s="133" t="e">
        <f t="shared" si="205"/>
        <v>#VALUE!</v>
      </c>
      <c r="H486" s="139" t="e">
        <f t="shared" si="206"/>
        <v>#VALUE!</v>
      </c>
      <c r="I486" s="139" t="e">
        <f t="shared" si="206"/>
        <v>#VALUE!</v>
      </c>
      <c r="J486" s="139" t="e">
        <f t="shared" si="206"/>
        <v>#VALUE!</v>
      </c>
      <c r="K486" s="139" t="e">
        <f t="shared" si="206"/>
        <v>#VALUE!</v>
      </c>
      <c r="L486" s="139" t="e">
        <f t="shared" si="206"/>
        <v>#VALUE!</v>
      </c>
      <c r="N486" s="108">
        <v>0.75</v>
      </c>
      <c r="O486" s="116" t="e">
        <f t="shared" si="207"/>
        <v>#VALUE!</v>
      </c>
      <c r="P486" s="116" t="e">
        <f t="shared" si="208"/>
        <v>#VALUE!</v>
      </c>
      <c r="Q486" s="116" t="e">
        <f t="shared" si="209"/>
        <v>#VALUE!</v>
      </c>
      <c r="R486" s="116" t="e">
        <f t="shared" si="210"/>
        <v>#VALUE!</v>
      </c>
      <c r="T486" s="116"/>
      <c r="U486" s="116"/>
      <c r="V486" s="116"/>
      <c r="W486" s="116"/>
      <c r="X486" s="3"/>
      <c r="Y486" s="116"/>
      <c r="Z486" s="116"/>
      <c r="AA486" s="116"/>
      <c r="AB486" s="116"/>
      <c r="AC486" s="116"/>
      <c r="AD486" s="117" t="e">
        <f t="shared" si="211"/>
        <v>#VALUE!</v>
      </c>
      <c r="AE486" s="117" t="e">
        <f t="shared" si="212"/>
        <v>#VALUE!</v>
      </c>
      <c r="AF486" s="117" t="e">
        <f t="shared" si="213"/>
        <v>#VALUE!</v>
      </c>
      <c r="AG486" s="117" t="e">
        <f t="shared" si="214"/>
        <v>#VALUE!</v>
      </c>
      <c r="AH486" s="116"/>
      <c r="AI486">
        <f t="shared" si="175"/>
        <v>557</v>
      </c>
      <c r="AJ486" t="str">
        <f t="shared" si="203"/>
        <v>NA</v>
      </c>
      <c r="AK486" t="str">
        <f>IF(ISERROR(MATCH(AI486&amp;"."&amp;AJ486,AK$91:AK485,0)),AI486&amp;"."&amp;AJ486,AI486&amp;"."&amp;AJ486&amp;COUNTIFS(AI$91:AI485,AI486,AJ$91:AJ485,AJ486))</f>
        <v>557.NA4</v>
      </c>
    </row>
    <row r="487" spans="1:37" ht="15" hidden="1">
      <c r="A487" s="120">
        <f>ROW()</f>
        <v>487</v>
      </c>
      <c r="B487" s="120"/>
      <c r="E487" s="121"/>
      <c r="F487" s="138"/>
      <c r="G487" s="117" t="e">
        <f t="shared" ref="G487:L487" si="215">SUM(G481:G486)</f>
        <v>#VALUE!</v>
      </c>
      <c r="H487" s="116" t="e">
        <f t="shared" si="215"/>
        <v>#VALUE!</v>
      </c>
      <c r="I487" s="116" t="e">
        <f t="shared" si="215"/>
        <v>#VALUE!</v>
      </c>
      <c r="J487" s="116" t="e">
        <f t="shared" si="215"/>
        <v>#VALUE!</v>
      </c>
      <c r="K487" s="116" t="e">
        <f t="shared" si="215"/>
        <v>#VALUE!</v>
      </c>
      <c r="L487" s="116" t="e">
        <f t="shared" si="215"/>
        <v>#VALUE!</v>
      </c>
      <c r="O487" s="116" t="e">
        <f>SUM(O481:O486)</f>
        <v>#VALUE!</v>
      </c>
      <c r="P487" s="116" t="e">
        <f>SUM(P481:P486)</f>
        <v>#VALUE!</v>
      </c>
      <c r="Q487" s="116" t="e">
        <f>SUM(Q481:Q486)</f>
        <v>#VALUE!</v>
      </c>
      <c r="R487" s="116" t="e">
        <f>SUM(R481:R486)</f>
        <v>#VALUE!</v>
      </c>
      <c r="T487" s="116"/>
      <c r="U487" s="116"/>
      <c r="V487" s="116"/>
      <c r="W487" s="116"/>
      <c r="X487" s="3"/>
      <c r="Y487" s="116"/>
      <c r="Z487" s="116"/>
      <c r="AA487" s="116"/>
      <c r="AB487" s="116"/>
      <c r="AC487" s="116"/>
      <c r="AD487" s="117" t="e">
        <f t="shared" si="211"/>
        <v>#VALUE!</v>
      </c>
      <c r="AE487" s="117" t="e">
        <f t="shared" si="212"/>
        <v>#VALUE!</v>
      </c>
      <c r="AF487" s="117" t="e">
        <f t="shared" si="213"/>
        <v>#VALUE!</v>
      </c>
      <c r="AG487" s="117" t="e">
        <f t="shared" si="214"/>
        <v>#VALUE!</v>
      </c>
      <c r="AH487" s="116"/>
      <c r="AI487">
        <f t="shared" si="175"/>
        <v>557</v>
      </c>
      <c r="AJ487" t="str">
        <f t="shared" si="203"/>
        <v>NA</v>
      </c>
      <c r="AK487" t="str">
        <f>IF(ISERROR(MATCH(AI487&amp;"."&amp;AJ487,AK$91:AK486,0)),AI487&amp;"."&amp;AJ487,AI487&amp;"."&amp;AJ487&amp;COUNTIFS(AI$91:AI486,AI487,AJ$91:AJ486,AJ487))</f>
        <v>557.NA5</v>
      </c>
    </row>
    <row r="488" spans="1:37" ht="15" hidden="1">
      <c r="A488" s="120">
        <f>ROW()</f>
        <v>488</v>
      </c>
      <c r="B488" s="120"/>
      <c r="E488" s="121"/>
      <c r="F488" s="138"/>
      <c r="G488" s="117"/>
      <c r="X488" s="3"/>
      <c r="AD488" s="119"/>
      <c r="AE488" s="119"/>
      <c r="AF488" s="119"/>
      <c r="AG488" s="119"/>
      <c r="AI488">
        <f t="shared" si="175"/>
        <v>557</v>
      </c>
      <c r="AJ488" t="str">
        <f t="shared" si="203"/>
        <v>NA</v>
      </c>
      <c r="AK488" t="str">
        <f>IF(ISERROR(MATCH(AI488&amp;"."&amp;AJ488,AK$91:AK487,0)),AI488&amp;"."&amp;AJ488,AI488&amp;"."&amp;AJ488&amp;COUNTIFS(AI$91:AI487,AI488,AJ$91:AJ487,AJ488))</f>
        <v>557.NA6</v>
      </c>
    </row>
    <row r="489" spans="1:37" ht="15" hidden="1">
      <c r="A489" s="120">
        <f>ROW()</f>
        <v>489</v>
      </c>
      <c r="B489" s="120"/>
      <c r="C489" s="179" t="s">
        <v>770</v>
      </c>
      <c r="D489" s="110"/>
      <c r="E489" s="121"/>
      <c r="F489" s="138"/>
      <c r="G489" s="117"/>
      <c r="X489" s="3"/>
      <c r="AD489" s="119"/>
      <c r="AE489" s="119"/>
      <c r="AF489" s="119"/>
      <c r="AG489" s="119"/>
      <c r="AI489" t="str">
        <f t="shared" si="175"/>
        <v>2017 Protocol Adjustment</v>
      </c>
      <c r="AJ489" t="str">
        <f t="shared" si="203"/>
        <v>NA</v>
      </c>
      <c r="AK489" t="str">
        <f>IF(ISERROR(MATCH(AI489&amp;"."&amp;AJ489,AK$91:AK488,0)),AI489&amp;"."&amp;AJ489,AI489&amp;"."&amp;AJ489&amp;COUNTIFS(AI$91:AI488,AI489,AJ$91:AJ488,AJ489))</f>
        <v>2017 Protocol Adjustment.NA</v>
      </c>
    </row>
    <row r="490" spans="1:37" ht="15" hidden="1">
      <c r="A490" s="120">
        <f>ROW()</f>
        <v>490</v>
      </c>
      <c r="B490" s="120"/>
      <c r="D490" s="178"/>
      <c r="E490" s="121" t="s">
        <v>17</v>
      </c>
      <c r="F490" s="138" t="str">
        <f>INDEX(FuncAllocOptions,ROW(A490)-ROW($A$92)+1,[4]Inputs!$S$11)</f>
        <v>P</v>
      </c>
      <c r="G490" s="117" t="e">
        <f>SUMIF(FERCJAMFactor,AK490,JAMValue)</f>
        <v>#VALUE!</v>
      </c>
      <c r="H490" s="177" t="e">
        <f t="shared" ref="H490:L494" si="216">INDEX(FuncFactorTbl,MATCH($F490,FuncFactors,0),MATCH(H$8,Functions,0))*$G490</f>
        <v>#VALUE!</v>
      </c>
      <c r="I490" s="177" t="e">
        <f t="shared" si="216"/>
        <v>#VALUE!</v>
      </c>
      <c r="J490" s="177" t="e">
        <f t="shared" si="216"/>
        <v>#VALUE!</v>
      </c>
      <c r="K490" s="177" t="e">
        <f t="shared" si="216"/>
        <v>#VALUE!</v>
      </c>
      <c r="L490" s="177" t="e">
        <f t="shared" si="216"/>
        <v>#VALUE!</v>
      </c>
      <c r="N490" s="108">
        <v>0.75</v>
      </c>
      <c r="O490" s="116" t="e">
        <f>$H490*$N490*$M490</f>
        <v>#VALUE!</v>
      </c>
      <c r="P490" s="116" t="e">
        <f>$H490*(1-$N490)*$M490</f>
        <v>#VALUE!</v>
      </c>
      <c r="Q490" s="116" t="e">
        <f>$H490*$N490*(1-$M490)</f>
        <v>#VALUE!</v>
      </c>
      <c r="R490" s="116" t="e">
        <f>$H490*(1-$N490)*(1-$M490)</f>
        <v>#VALUE!</v>
      </c>
      <c r="T490" s="116"/>
      <c r="U490" s="116"/>
      <c r="V490" s="116"/>
      <c r="W490" s="116"/>
      <c r="X490" s="3"/>
      <c r="Y490" s="116"/>
      <c r="Z490" s="116"/>
      <c r="AA490" s="116"/>
      <c r="AB490" s="116"/>
      <c r="AC490" s="116"/>
      <c r="AD490" s="117" t="e">
        <f>ROUND(SUM(-G490,H490:L490),0)</f>
        <v>#VALUE!</v>
      </c>
      <c r="AE490" s="117" t="e">
        <f>ROUND(H490-O490-P490-Q490-R490,0)</f>
        <v>#VALUE!</v>
      </c>
      <c r="AF490" s="117" t="e">
        <f>ROUND(I490-T490-U490-V490-W490,0)</f>
        <v>#VALUE!</v>
      </c>
      <c r="AG490" s="117" t="e">
        <f>ROUND(J490-Y490-Z490-AA490-AC490-AB490,0)</f>
        <v>#VALUE!</v>
      </c>
      <c r="AH490" s="116"/>
      <c r="AI490" t="str">
        <f t="shared" si="175"/>
        <v>2017 Protocol Adjustment</v>
      </c>
      <c r="AJ490" t="str">
        <f t="shared" si="203"/>
        <v>DGP</v>
      </c>
      <c r="AK490" t="str">
        <f>IF(ISERROR(MATCH(AI490&amp;"."&amp;AJ490,AK$91:AK489,0)),AI490&amp;"."&amp;AJ490,AI490&amp;"."&amp;AJ490&amp;COUNTIFS(AI$91:AI489,AI490,AJ$91:AJ489,AJ490))</f>
        <v>2017 Protocol Adjustment.DGP</v>
      </c>
    </row>
    <row r="491" spans="1:37" ht="15" hidden="1">
      <c r="A491" s="120">
        <f>ROW()</f>
        <v>491</v>
      </c>
      <c r="B491" s="120"/>
      <c r="D491" s="178"/>
      <c r="E491" s="121" t="s">
        <v>15</v>
      </c>
      <c r="F491" s="138" t="str">
        <f>INDEX(FuncAllocOptions,ROW(A491)-ROW($A$92)+1,[4]Inputs!$S$11)</f>
        <v>P</v>
      </c>
      <c r="G491" s="117" t="e">
        <f>SUMIF(FERCJAMFactor,AK491,JAMValue)</f>
        <v>#VALUE!</v>
      </c>
      <c r="H491" s="177" t="e">
        <f t="shared" si="216"/>
        <v>#VALUE!</v>
      </c>
      <c r="I491" s="116" t="e">
        <f t="shared" si="216"/>
        <v>#VALUE!</v>
      </c>
      <c r="J491" s="116" t="e">
        <f t="shared" si="216"/>
        <v>#VALUE!</v>
      </c>
      <c r="K491" s="116" t="e">
        <f t="shared" si="216"/>
        <v>#VALUE!</v>
      </c>
      <c r="L491" s="116" t="e">
        <f t="shared" si="216"/>
        <v>#VALUE!</v>
      </c>
      <c r="N491" s="108">
        <v>0.75</v>
      </c>
      <c r="O491" s="116" t="e">
        <f>$H491*$N491*$M491</f>
        <v>#VALUE!</v>
      </c>
      <c r="P491" s="116" t="e">
        <f>$H491*(1-$N491)*$M491</f>
        <v>#VALUE!</v>
      </c>
      <c r="Q491" s="116" t="e">
        <f>$H491*$N491*(1-$M491)</f>
        <v>#VALUE!</v>
      </c>
      <c r="R491" s="116" t="e">
        <f>$H491*(1-$N491)*(1-$M491)</f>
        <v>#VALUE!</v>
      </c>
      <c r="T491" s="116"/>
      <c r="U491" s="116"/>
      <c r="V491" s="116"/>
      <c r="W491" s="116"/>
      <c r="X491" s="3"/>
      <c r="Y491" s="116"/>
      <c r="Z491" s="116"/>
      <c r="AA491" s="116"/>
      <c r="AB491" s="116"/>
      <c r="AC491" s="116"/>
      <c r="AD491" s="117" t="e">
        <f>ROUND(SUM(-G491,H491:L491),0)</f>
        <v>#VALUE!</v>
      </c>
      <c r="AE491" s="117" t="e">
        <f>ROUND(H491-O491-P491-Q491-R491,0)</f>
        <v>#VALUE!</v>
      </c>
      <c r="AF491" s="117" t="e">
        <f>ROUND(I491-T491-U491-V491-W491,0)</f>
        <v>#VALUE!</v>
      </c>
      <c r="AG491" s="117" t="e">
        <f>ROUND(J491-Y491-Z491-AA491-AC491-AB491,0)</f>
        <v>#VALUE!</v>
      </c>
      <c r="AH491" s="116"/>
      <c r="AI491" t="str">
        <f t="shared" si="175"/>
        <v>2017 Protocol Adjustment</v>
      </c>
      <c r="AJ491" t="str">
        <f t="shared" si="203"/>
        <v>SG</v>
      </c>
      <c r="AK491" t="str">
        <f>IF(ISERROR(MATCH(AI491&amp;"."&amp;AJ491,AK$91:AK490,0)),AI491&amp;"."&amp;AJ491,AI491&amp;"."&amp;AJ491&amp;COUNTIFS(AI$91:AI490,AI491,AJ$91:AJ490,AJ491))</f>
        <v>2017 Protocol Adjustment.SG</v>
      </c>
    </row>
    <row r="492" spans="1:37" ht="15" hidden="1">
      <c r="A492" s="120">
        <f>ROW()</f>
        <v>492</v>
      </c>
      <c r="B492" s="120"/>
      <c r="D492" s="178"/>
      <c r="E492" s="121" t="s">
        <v>286</v>
      </c>
      <c r="F492" s="138" t="str">
        <f>INDEX(FuncAllocOptions,ROW(A492)-ROW($A$92)+1,[4]Inputs!$S$11)</f>
        <v>P</v>
      </c>
      <c r="G492" s="117" t="e">
        <f>SUMIF(FERCJAMFactor,AK492,JAMValue)</f>
        <v>#VALUE!</v>
      </c>
      <c r="H492" s="177" t="e">
        <f t="shared" si="216"/>
        <v>#VALUE!</v>
      </c>
      <c r="I492" s="116" t="e">
        <f t="shared" si="216"/>
        <v>#VALUE!</v>
      </c>
      <c r="J492" s="116" t="e">
        <f t="shared" si="216"/>
        <v>#VALUE!</v>
      </c>
      <c r="K492" s="116" t="e">
        <f t="shared" si="216"/>
        <v>#VALUE!</v>
      </c>
      <c r="L492" s="116" t="e">
        <f t="shared" si="216"/>
        <v>#VALUE!</v>
      </c>
      <c r="N492" s="108">
        <v>0.75</v>
      </c>
      <c r="O492" s="116" t="e">
        <f>$H492*$N492*$M492</f>
        <v>#VALUE!</v>
      </c>
      <c r="P492" s="116" t="e">
        <f>$H492*(1-$N492)*$M492</f>
        <v>#VALUE!</v>
      </c>
      <c r="Q492" s="116" t="e">
        <f>$H492*$N492*(1-$M492)</f>
        <v>#VALUE!</v>
      </c>
      <c r="R492" s="116" t="e">
        <f>$H492*(1-$N492)*(1-$M492)</f>
        <v>#VALUE!</v>
      </c>
      <c r="T492" s="116"/>
      <c r="U492" s="116"/>
      <c r="V492" s="116"/>
      <c r="W492" s="116"/>
      <c r="X492" s="3"/>
      <c r="Y492" s="116"/>
      <c r="Z492" s="116"/>
      <c r="AA492" s="116"/>
      <c r="AB492" s="116"/>
      <c r="AC492" s="116"/>
      <c r="AD492" s="117" t="e">
        <f>ROUND(SUM(-G492,H492:L492),0)</f>
        <v>#VALUE!</v>
      </c>
      <c r="AE492" s="117" t="e">
        <f>ROUND(H492-O492-P492-Q492-R492,0)</f>
        <v>#VALUE!</v>
      </c>
      <c r="AF492" s="117" t="e">
        <f>ROUND(I492-T492-U492-V492-W492,0)</f>
        <v>#VALUE!</v>
      </c>
      <c r="AG492" s="117" t="e">
        <f>ROUND(J492-Y492-Z492-AA492-AC492-AB492,0)</f>
        <v>#VALUE!</v>
      </c>
      <c r="AH492" s="116"/>
      <c r="AI492" t="str">
        <f t="shared" ref="AI492:AI555" si="217">IF(OR(C492="",C492=" ",C492="  ",C492="   "),AI491,C492)</f>
        <v>2017 Protocol Adjustment</v>
      </c>
      <c r="AJ492" t="str">
        <f t="shared" si="203"/>
        <v>MC</v>
      </c>
      <c r="AK492" t="str">
        <f>IF(ISERROR(MATCH(AI492&amp;"."&amp;AJ492,AK$91:AK491,0)),AI492&amp;"."&amp;AJ492,AI492&amp;"."&amp;AJ492&amp;COUNTIFS(AI$91:AI491,AI492,AJ$91:AJ491,AJ492))</f>
        <v>2017 Protocol Adjustment.MC</v>
      </c>
    </row>
    <row r="493" spans="1:37" ht="15" hidden="1">
      <c r="A493" s="120">
        <f>ROW()</f>
        <v>493</v>
      </c>
      <c r="B493" s="120"/>
      <c r="C493" s="110" t="s">
        <v>288</v>
      </c>
      <c r="D493" s="178"/>
      <c r="E493" s="121" t="s">
        <v>15</v>
      </c>
      <c r="F493" s="138" t="str">
        <f>INDEX(FuncAllocOptions,ROW(A493)-ROW($A$92)+1,[4]Inputs!$S$11)</f>
        <v>P</v>
      </c>
      <c r="G493" s="117" t="e">
        <f>SUMIF(FERCJAMFactor,AK493,JAMValue)</f>
        <v>#VALUE!</v>
      </c>
      <c r="H493" s="177" t="e">
        <f t="shared" si="216"/>
        <v>#VALUE!</v>
      </c>
      <c r="I493" s="116" t="e">
        <f t="shared" si="216"/>
        <v>#VALUE!</v>
      </c>
      <c r="J493" s="116" t="e">
        <f t="shared" si="216"/>
        <v>#VALUE!</v>
      </c>
      <c r="K493" s="116" t="e">
        <f t="shared" si="216"/>
        <v>#VALUE!</v>
      </c>
      <c r="L493" s="116" t="e">
        <f t="shared" si="216"/>
        <v>#VALUE!</v>
      </c>
      <c r="N493" s="108">
        <v>0.75</v>
      </c>
      <c r="O493" s="116" t="e">
        <f>$H493*$N493*$M493</f>
        <v>#VALUE!</v>
      </c>
      <c r="P493" s="116" t="e">
        <f>$H493*(1-$N493)*$M493</f>
        <v>#VALUE!</v>
      </c>
      <c r="Q493" s="116" t="e">
        <f>$H493*$N493*(1-$M493)</f>
        <v>#VALUE!</v>
      </c>
      <c r="R493" s="116" t="e">
        <f>$H493*(1-$N493)*(1-$M493)</f>
        <v>#VALUE!</v>
      </c>
      <c r="T493" s="116"/>
      <c r="U493" s="116"/>
      <c r="V493" s="116"/>
      <c r="W493" s="116"/>
      <c r="X493" s="3"/>
      <c r="Y493" s="116"/>
      <c r="Z493" s="116"/>
      <c r="AA493" s="116"/>
      <c r="AB493" s="116"/>
      <c r="AC493" s="116"/>
      <c r="AD493" s="117" t="e">
        <f>ROUND(SUM(-G493,H493:L493),0)</f>
        <v>#VALUE!</v>
      </c>
      <c r="AE493" s="117" t="e">
        <f>ROUND(H493-O493-P493-Q493-R493,0)</f>
        <v>#VALUE!</v>
      </c>
      <c r="AF493" s="117" t="e">
        <f>ROUND(I493-T493-U493-V493-W493,0)</f>
        <v>#VALUE!</v>
      </c>
      <c r="AG493" s="117" t="e">
        <f>ROUND(J493-Y493-Z493-AA493-AC493-AB493,0)</f>
        <v>#VALUE!</v>
      </c>
      <c r="AH493" s="116"/>
      <c r="AI493" t="str">
        <f t="shared" si="217"/>
        <v xml:space="preserve">  Baseline ECD</v>
      </c>
      <c r="AJ493" t="str">
        <f t="shared" si="203"/>
        <v>SG</v>
      </c>
      <c r="AK493" t="str">
        <f>IF(ISERROR(MATCH(AI493&amp;"."&amp;AJ493,AK$91:AK492,0)),AI493&amp;"."&amp;AJ493,AI493&amp;"."&amp;AJ493&amp;COUNTIFS(AI$91:AI492,AI493,AJ$91:AJ492,AJ493))</f>
        <v xml:space="preserve">  Baseline ECD.SG</v>
      </c>
    </row>
    <row r="494" spans="1:37" ht="15" hidden="1">
      <c r="A494" s="120">
        <f>ROW()</f>
        <v>494</v>
      </c>
      <c r="B494" s="120"/>
      <c r="C494" s="110" t="s">
        <v>769</v>
      </c>
      <c r="D494" s="178"/>
      <c r="E494" s="121" t="s">
        <v>12</v>
      </c>
      <c r="F494" s="138" t="str">
        <f>INDEX(FuncAllocOptions,ROW(A494)-ROW($A$92)+1,[4]Inputs!$S$11)</f>
        <v>P</v>
      </c>
      <c r="G494" s="133" t="e">
        <f>SUMIF(FERCJAMFactor,AK494,JAMValue)</f>
        <v>#VALUE!</v>
      </c>
      <c r="H494" s="171" t="e">
        <f t="shared" si="216"/>
        <v>#VALUE!</v>
      </c>
      <c r="I494" s="139" t="e">
        <f t="shared" si="216"/>
        <v>#VALUE!</v>
      </c>
      <c r="J494" s="139" t="e">
        <f t="shared" si="216"/>
        <v>#VALUE!</v>
      </c>
      <c r="K494" s="139" t="e">
        <f t="shared" si="216"/>
        <v>#VALUE!</v>
      </c>
      <c r="L494" s="139" t="e">
        <f t="shared" si="216"/>
        <v>#VALUE!</v>
      </c>
      <c r="N494" s="108">
        <v>0.75</v>
      </c>
      <c r="O494" s="116" t="e">
        <f>$H494*$N494*$M494</f>
        <v>#VALUE!</v>
      </c>
      <c r="P494" s="116" t="e">
        <f>$H494*(1-$N494)*$M494</f>
        <v>#VALUE!</v>
      </c>
      <c r="Q494" s="116" t="e">
        <f>$H494*$N494*(1-$M494)</f>
        <v>#VALUE!</v>
      </c>
      <c r="R494" s="116" t="e">
        <f>$H494*(1-$N494)*(1-$M494)</f>
        <v>#VALUE!</v>
      </c>
      <c r="T494" s="116"/>
      <c r="U494" s="116"/>
      <c r="V494" s="116"/>
      <c r="W494" s="116"/>
      <c r="X494" s="3"/>
      <c r="Y494" s="116"/>
      <c r="Z494" s="116"/>
      <c r="AA494" s="116"/>
      <c r="AB494" s="116"/>
      <c r="AC494" s="116"/>
      <c r="AD494" s="117" t="e">
        <f>ROUND(SUM(-G494,H494:L494),0)</f>
        <v>#VALUE!</v>
      </c>
      <c r="AE494" s="117" t="e">
        <f>ROUND(H494-O494-P494-Q494-R494,0)</f>
        <v>#VALUE!</v>
      </c>
      <c r="AF494" s="117" t="e">
        <f>ROUND(I494-T494-U494-V494-W494,0)</f>
        <v>#VALUE!</v>
      </c>
      <c r="AG494" s="117" t="e">
        <f>ROUND(J494-Y494-Z494-AA494-AC494-AB494,0)</f>
        <v>#VALUE!</v>
      </c>
      <c r="AH494" s="116"/>
      <c r="AI494" t="str">
        <f t="shared" si="217"/>
        <v xml:space="preserve">  Equalization Adj.</v>
      </c>
      <c r="AJ494" t="str">
        <f t="shared" si="203"/>
        <v>S</v>
      </c>
      <c r="AK494" t="str">
        <f>IF(ISERROR(MATCH(AI494&amp;"."&amp;AJ494,AK$91:AK493,0)),AI494&amp;"."&amp;AJ494,AI494&amp;"."&amp;AJ494&amp;COUNTIFS(AI$91:AI493,AI494,AJ$91:AJ493,AJ494))</f>
        <v xml:space="preserve">  Equalization Adj..S</v>
      </c>
    </row>
    <row r="495" spans="1:37" ht="15" hidden="1">
      <c r="A495" s="120">
        <f>ROW()</f>
        <v>495</v>
      </c>
      <c r="B495" s="120"/>
      <c r="D495" s="132"/>
      <c r="E495" s="121"/>
      <c r="F495" s="138"/>
      <c r="G495" s="117" t="e">
        <f t="shared" ref="G495:L495" si="218">SUM(G490:G494)</f>
        <v>#VALUE!</v>
      </c>
      <c r="H495" s="177" t="e">
        <f t="shared" si="218"/>
        <v>#VALUE!</v>
      </c>
      <c r="I495" s="177" t="e">
        <f t="shared" si="218"/>
        <v>#VALUE!</v>
      </c>
      <c r="J495" s="177" t="e">
        <f t="shared" si="218"/>
        <v>#VALUE!</v>
      </c>
      <c r="K495" s="177" t="e">
        <f t="shared" si="218"/>
        <v>#VALUE!</v>
      </c>
      <c r="L495" s="177" t="e">
        <f t="shared" si="218"/>
        <v>#VALUE!</v>
      </c>
      <c r="O495" s="177" t="e">
        <f>SUM(O490:O494)</f>
        <v>#VALUE!</v>
      </c>
      <c r="P495" s="177" t="e">
        <f>SUM(P490:P494)</f>
        <v>#VALUE!</v>
      </c>
      <c r="Q495" s="177" t="e">
        <f>SUM(Q490:Q494)</f>
        <v>#VALUE!</v>
      </c>
      <c r="R495" s="177" t="e">
        <f>SUM(R490:R494)</f>
        <v>#VALUE!</v>
      </c>
      <c r="X495" s="3"/>
      <c r="AD495" s="119"/>
      <c r="AE495" s="119"/>
      <c r="AF495" s="119"/>
      <c r="AG495" s="119"/>
      <c r="AI495" t="str">
        <f t="shared" si="217"/>
        <v xml:space="preserve">  Equalization Adj.</v>
      </c>
      <c r="AJ495" t="str">
        <f t="shared" si="203"/>
        <v>NA</v>
      </c>
      <c r="AK495" t="str">
        <f>IF(ISERROR(MATCH(AI495&amp;"."&amp;AJ495,AK$91:AK494,0)),AI495&amp;"."&amp;AJ495,AI495&amp;"."&amp;AJ495&amp;COUNTIFS(AI$91:AI494,AI495,AJ$91:AJ494,AJ495))</f>
        <v xml:space="preserve">  Equalization Adj..NA</v>
      </c>
    </row>
    <row r="496" spans="1:37" ht="15" hidden="1">
      <c r="A496" s="120">
        <f>ROW()</f>
        <v>496</v>
      </c>
      <c r="B496" s="120"/>
      <c r="D496" s="132"/>
      <c r="E496" s="121"/>
      <c r="F496" s="138"/>
      <c r="G496" s="119"/>
      <c r="X496" s="3"/>
      <c r="AD496" s="119"/>
      <c r="AE496" s="119"/>
      <c r="AF496" s="119"/>
      <c r="AG496" s="119"/>
      <c r="AI496" t="str">
        <f t="shared" si="217"/>
        <v xml:space="preserve">  Equalization Adj.</v>
      </c>
      <c r="AJ496" t="str">
        <f t="shared" si="203"/>
        <v>NA</v>
      </c>
      <c r="AK496" t="str">
        <f>IF(ISERROR(MATCH(AI496&amp;"."&amp;AJ496,AK$91:AK495,0)),AI496&amp;"."&amp;AJ496,AI496&amp;"."&amp;AJ496&amp;COUNTIFS(AI$91:AI495,AI496,AJ$91:AJ495,AJ496))</f>
        <v xml:space="preserve">  Equalization Adj..NA1</v>
      </c>
    </row>
    <row r="497" spans="1:37" ht="15" hidden="1">
      <c r="A497" s="120">
        <f>ROW()</f>
        <v>497</v>
      </c>
      <c r="B497" s="120"/>
      <c r="C497" s="110" t="s">
        <v>290</v>
      </c>
      <c r="D497" s="168"/>
      <c r="E497" s="121"/>
      <c r="F497" s="138"/>
      <c r="G497" s="117" t="e">
        <f t="shared" ref="G497:L497" si="219">G465+G469+G478+G487+G495</f>
        <v>#VALUE!</v>
      </c>
      <c r="H497" s="116" t="e">
        <f t="shared" si="219"/>
        <v>#VALUE!</v>
      </c>
      <c r="I497" s="116" t="e">
        <f t="shared" si="219"/>
        <v>#VALUE!</v>
      </c>
      <c r="J497" s="116" t="e">
        <f t="shared" si="219"/>
        <v>#VALUE!</v>
      </c>
      <c r="K497" s="116" t="e">
        <f t="shared" si="219"/>
        <v>#VALUE!</v>
      </c>
      <c r="L497" s="116" t="e">
        <f t="shared" si="219"/>
        <v>#VALUE!</v>
      </c>
      <c r="O497" s="116" t="e">
        <f>O465+O469+O478+O487+O495</f>
        <v>#VALUE!</v>
      </c>
      <c r="P497" s="116" t="e">
        <f>P465+P469+P478+P487+P495</f>
        <v>#VALUE!</v>
      </c>
      <c r="Q497" s="116" t="e">
        <f>Q465+Q469+Q478+Q487+Q495</f>
        <v>#VALUE!</v>
      </c>
      <c r="R497" s="116" t="e">
        <f>R465+R469+R478+R487+R495</f>
        <v>#VALUE!</v>
      </c>
      <c r="S497" s="116"/>
      <c r="T497" s="116">
        <f>T465+T469+T478+T487+T495</f>
        <v>0</v>
      </c>
      <c r="U497" s="116">
        <f>U465+U469+U478+U487+U495</f>
        <v>0</v>
      </c>
      <c r="V497" s="116">
        <f>V465+V469+V478+V487+V495</f>
        <v>0</v>
      </c>
      <c r="W497" s="116">
        <f>W465+W469+W478+W487+W495</f>
        <v>0</v>
      </c>
      <c r="X497" s="3"/>
      <c r="Y497" s="116">
        <f>Y465+Y469+Y478+Y487+Y495</f>
        <v>0</v>
      </c>
      <c r="Z497" s="116">
        <f>Z465+Z469+Z478+Z487+Z495</f>
        <v>0</v>
      </c>
      <c r="AA497" s="116">
        <f>AA465+AA469+AA478+AA487+AA495</f>
        <v>0</v>
      </c>
      <c r="AB497" s="116">
        <f>AB465+AB469+AB478+AB487+AB495</f>
        <v>0</v>
      </c>
      <c r="AC497" s="116">
        <f>AC465+AC469+AC478+AC487+AC495</f>
        <v>0</v>
      </c>
      <c r="AD497" s="117" t="e">
        <f>ROUND(SUM(-G497,H497:L497),0)</f>
        <v>#VALUE!</v>
      </c>
      <c r="AE497" s="117" t="e">
        <f>ROUND(H497-O497-P497-Q497-R497,0)</f>
        <v>#VALUE!</v>
      </c>
      <c r="AF497" s="117" t="e">
        <f>ROUND(I497-T497-U497-V497-W497,0)</f>
        <v>#VALUE!</v>
      </c>
      <c r="AG497" s="117" t="e">
        <f>ROUND(J497-Y497-Z497-AA497-AC497-AB497,0)</f>
        <v>#VALUE!</v>
      </c>
      <c r="AH497" s="116"/>
      <c r="AI497" t="str">
        <f t="shared" si="217"/>
        <v>Total Other Power Supply</v>
      </c>
      <c r="AJ497" t="str">
        <f t="shared" si="203"/>
        <v>NA</v>
      </c>
      <c r="AK497" t="str">
        <f>IF(ISERROR(MATCH(AI497&amp;"."&amp;AJ497,AK$91:AK496,0)),AI497&amp;"."&amp;AJ497,AI497&amp;"."&amp;AJ497&amp;COUNTIFS(AI$91:AI496,AI497,AJ$91:AJ496,AJ497))</f>
        <v>Total Other Power Supply.NA</v>
      </c>
    </row>
    <row r="498" spans="1:37" ht="15" hidden="1">
      <c r="A498" s="120">
        <f>ROW()</f>
        <v>498</v>
      </c>
      <c r="B498" s="120"/>
      <c r="E498" s="121"/>
      <c r="F498" s="138"/>
      <c r="G498" s="119"/>
      <c r="X498" s="3"/>
      <c r="AD498" s="119"/>
      <c r="AE498" s="119"/>
      <c r="AF498" s="119"/>
      <c r="AG498" s="119"/>
      <c r="AI498" t="str">
        <f t="shared" si="217"/>
        <v>Total Other Power Supply</v>
      </c>
      <c r="AJ498" t="str">
        <f t="shared" si="203"/>
        <v>NA</v>
      </c>
      <c r="AK498" t="str">
        <f>IF(ISERROR(MATCH(AI498&amp;"."&amp;AJ498,AK$91:AK497,0)),AI498&amp;"."&amp;AJ498,AI498&amp;"."&amp;AJ498&amp;COUNTIFS(AI$91:AI497,AI498,AJ$91:AJ497,AJ498))</f>
        <v>Total Other Power Supply.NA1</v>
      </c>
    </row>
    <row r="499" spans="1:37" ht="15.75" hidden="1" thickBot="1">
      <c r="A499" s="120">
        <f>ROW()</f>
        <v>499</v>
      </c>
      <c r="B499" s="120"/>
      <c r="C499" s="110" t="s">
        <v>768</v>
      </c>
      <c r="D499" s="168"/>
      <c r="E499" s="121"/>
      <c r="F499" s="138"/>
      <c r="G499" s="153" t="e">
        <f t="shared" ref="G499:L499" si="220">G303+G350+G406+G457+G497</f>
        <v>#VALUE!</v>
      </c>
      <c r="H499" s="152" t="e">
        <f t="shared" si="220"/>
        <v>#VALUE!</v>
      </c>
      <c r="I499" s="152" t="e">
        <f t="shared" si="220"/>
        <v>#VALUE!</v>
      </c>
      <c r="J499" s="152" t="e">
        <f t="shared" si="220"/>
        <v>#VALUE!</v>
      </c>
      <c r="K499" s="152" t="e">
        <f t="shared" si="220"/>
        <v>#VALUE!</v>
      </c>
      <c r="L499" s="152" t="e">
        <f t="shared" si="220"/>
        <v>#VALUE!</v>
      </c>
      <c r="O499" s="116" t="e">
        <f>O303+O350+O406+O457+O497</f>
        <v>#VALUE!</v>
      </c>
      <c r="P499" s="116" t="e">
        <f>P303+P350+P406+P457+P497</f>
        <v>#VALUE!</v>
      </c>
      <c r="Q499" s="116" t="e">
        <f>Q303+Q350+Q406+Q457+Q497</f>
        <v>#VALUE!</v>
      </c>
      <c r="R499" s="116" t="e">
        <f>R303+R350+R406+R457+R497</f>
        <v>#VALUE!</v>
      </c>
      <c r="S499" s="116">
        <v>0</v>
      </c>
      <c r="T499" s="116" t="e">
        <f>T303+T350+T406+T457+T497</f>
        <v>#VALUE!</v>
      </c>
      <c r="U499" s="116" t="e">
        <f>U303+U350+U406+U457+U497</f>
        <v>#VALUE!</v>
      </c>
      <c r="V499" s="116" t="e">
        <f>V303+V350+V406+V457+V497</f>
        <v>#VALUE!</v>
      </c>
      <c r="W499" s="116" t="e">
        <f>W303+W350+W406+W457+W497</f>
        <v>#VALUE!</v>
      </c>
      <c r="X499" s="3"/>
      <c r="Y499" s="116">
        <f>Y303+Y350+Y406+Y457+Y497</f>
        <v>0</v>
      </c>
      <c r="Z499" s="116">
        <f>Z303+Z350+Z406+Z457+Z497</f>
        <v>0</v>
      </c>
      <c r="AA499" s="116">
        <f>AA303+AA350+AA406+AA457+AA497</f>
        <v>0</v>
      </c>
      <c r="AB499" s="116">
        <f>AB303+AB350+AB406+AB457+AB497</f>
        <v>0</v>
      </c>
      <c r="AC499" s="116">
        <f>AC303+AC350+AC406+AC457+AC497</f>
        <v>0</v>
      </c>
      <c r="AD499" s="117" t="e">
        <f>ROUND(SUM(-G499,H499:L499),0)</f>
        <v>#VALUE!</v>
      </c>
      <c r="AE499" s="117" t="e">
        <f>ROUND(H499-O499-P499-Q499-R499,0)</f>
        <v>#VALUE!</v>
      </c>
      <c r="AF499" s="117" t="e">
        <f>ROUND(I499-T499-U499-V499-W499,0)</f>
        <v>#VALUE!</v>
      </c>
      <c r="AG499" s="117" t="e">
        <f>ROUND(J499-Y499-Z499-AA499-AC499-AB499,0)</f>
        <v>#VALUE!</v>
      </c>
      <c r="AH499" s="116"/>
      <c r="AI499" t="str">
        <f t="shared" si="217"/>
        <v>TOTAL PRODUCTION EXPENSE</v>
      </c>
      <c r="AJ499" t="str">
        <f t="shared" si="203"/>
        <v>NA</v>
      </c>
      <c r="AK499" t="str">
        <f>IF(ISERROR(MATCH(AI499&amp;"."&amp;AJ499,AK$91:AK498,0)),AI499&amp;"."&amp;AJ499,AI499&amp;"."&amp;AJ499&amp;COUNTIFS(AI$91:AI498,AI499,AJ$91:AJ498,AJ499))</f>
        <v>TOTAL PRODUCTION EXPENSE.NA</v>
      </c>
    </row>
    <row r="500" spans="1:37" ht="15" hidden="1">
      <c r="A500" s="120">
        <f>ROW()</f>
        <v>500</v>
      </c>
      <c r="B500" s="120"/>
      <c r="E500" s="121"/>
      <c r="F500" s="138"/>
      <c r="G500" s="119"/>
      <c r="X500" s="3"/>
      <c r="AD500" s="119"/>
      <c r="AE500" s="119"/>
      <c r="AF500" s="119"/>
      <c r="AG500" s="119"/>
      <c r="AI500" t="str">
        <f t="shared" si="217"/>
        <v>TOTAL PRODUCTION EXPENSE</v>
      </c>
      <c r="AJ500" t="str">
        <f t="shared" si="203"/>
        <v>NA</v>
      </c>
      <c r="AK500" t="str">
        <f>IF(ISERROR(MATCH(AI500&amp;"."&amp;AJ500,AK$91:AK499,0)),AI500&amp;"."&amp;AJ500,AI500&amp;"."&amp;AJ500&amp;COUNTIFS(AI$91:AI499,AI500,AJ$91:AJ499,AJ500))</f>
        <v>TOTAL PRODUCTION EXPENSE.NA1</v>
      </c>
    </row>
    <row r="501" spans="1:37" ht="15" hidden="1">
      <c r="A501" s="120">
        <f>ROW()</f>
        <v>501</v>
      </c>
      <c r="B501" s="120"/>
      <c r="C501" s="1">
        <v>560</v>
      </c>
      <c r="D501" s="2" t="s">
        <v>177</v>
      </c>
      <c r="E501" s="121"/>
      <c r="F501" s="138"/>
      <c r="G501" s="119"/>
      <c r="X501" s="3"/>
      <c r="AD501" s="119"/>
      <c r="AE501" s="119"/>
      <c r="AF501" s="119"/>
      <c r="AG501" s="119"/>
      <c r="AI501">
        <f t="shared" si="217"/>
        <v>560</v>
      </c>
      <c r="AJ501" t="str">
        <f t="shared" si="203"/>
        <v>NA</v>
      </c>
      <c r="AK501" t="str">
        <f>IF(ISERROR(MATCH(AI501&amp;"."&amp;AJ501,AK$91:AK500,0)),AI501&amp;"."&amp;AJ501,AI501&amp;"."&amp;AJ501&amp;COUNTIFS(AI$91:AI500,AI501,AJ$91:AJ500,AJ501))</f>
        <v>560.NA</v>
      </c>
    </row>
    <row r="502" spans="1:37" ht="15" hidden="1">
      <c r="A502" s="120">
        <f>ROW()</f>
        <v>502</v>
      </c>
      <c r="B502" s="120"/>
      <c r="C502" s="1"/>
      <c r="E502" s="121" t="s">
        <v>15</v>
      </c>
      <c r="F502" s="138" t="str">
        <f>INDEX(FuncAllocOptions,ROW(A502)-ROW($A$92)+1,[4]Inputs!$S$11)</f>
        <v>T</v>
      </c>
      <c r="G502" s="119" t="e">
        <f>SUMIF(FERCJAMFactor,AK502,JAMValue)</f>
        <v>#VALUE!</v>
      </c>
      <c r="H502" s="116" t="e">
        <f t="shared" ref="H502:L503" si="221">INDEX(FuncFactorTbl,MATCH($F502,FuncFactors,0),MATCH(H$8,Functions,0))*$G502</f>
        <v>#VALUE!</v>
      </c>
      <c r="I502" s="116" t="e">
        <f t="shared" si="221"/>
        <v>#VALUE!</v>
      </c>
      <c r="J502" s="116" t="e">
        <f t="shared" si="221"/>
        <v>#VALUE!</v>
      </c>
      <c r="K502" s="116" t="e">
        <f t="shared" si="221"/>
        <v>#VALUE!</v>
      </c>
      <c r="L502" s="116" t="e">
        <f t="shared" si="221"/>
        <v>#VALUE!</v>
      </c>
      <c r="S502" s="108">
        <v>0.75</v>
      </c>
      <c r="T502" s="116" t="e">
        <f>$I502*$S502*$M502</f>
        <v>#VALUE!</v>
      </c>
      <c r="U502" s="116" t="e">
        <f>$I502*(1-$S502)*$M502</f>
        <v>#VALUE!</v>
      </c>
      <c r="V502" s="116" t="e">
        <f>$I502*$S502*(1-$M502)</f>
        <v>#VALUE!</v>
      </c>
      <c r="W502" s="116" t="e">
        <f>$I502*(1-$S502)*(1-$M502)</f>
        <v>#VALUE!</v>
      </c>
      <c r="X502" s="3"/>
      <c r="AD502" s="117" t="e">
        <f>ROUND(SUM(-G502,H502:L502),0)</f>
        <v>#VALUE!</v>
      </c>
      <c r="AE502" s="117" t="e">
        <f>ROUND(H502-O502-P502-Q502-R502,0)</f>
        <v>#VALUE!</v>
      </c>
      <c r="AF502" s="117" t="e">
        <f>ROUND(I502-T502-U502-V502-W502,0)</f>
        <v>#VALUE!</v>
      </c>
      <c r="AG502" s="117" t="e">
        <f>ROUND(J502-Y502-Z502-AA502-AC502-AB502,0)</f>
        <v>#VALUE!</v>
      </c>
      <c r="AI502">
        <f t="shared" si="217"/>
        <v>560</v>
      </c>
      <c r="AJ502" t="str">
        <f t="shared" si="203"/>
        <v>SG</v>
      </c>
      <c r="AK502" t="str">
        <f>IF(ISERROR(MATCH(AI502&amp;"."&amp;AJ502,AK$91:AK501,0)),AI502&amp;"."&amp;AJ502,AI502&amp;"."&amp;AJ502&amp;COUNTIFS(AI$91:AI501,AI502,AJ$91:AJ501,AJ502))</f>
        <v>560.SG</v>
      </c>
    </row>
    <row r="503" spans="1:37" ht="15" hidden="1">
      <c r="A503" s="120">
        <f>ROW()</f>
        <v>503</v>
      </c>
      <c r="B503" s="120"/>
      <c r="C503" s="1"/>
      <c r="E503" s="121" t="s">
        <v>15</v>
      </c>
      <c r="F503" s="138" t="str">
        <f>INDEX(FuncAllocOptions,ROW(A503)-ROW($A$92)+1,[4]Inputs!$S$11)</f>
        <v>T</v>
      </c>
      <c r="G503" s="133" t="e">
        <f>SUMIF(FERCJAMFactor,AK503,JAMValue)</f>
        <v>#VALUE!</v>
      </c>
      <c r="H503" s="116" t="e">
        <f t="shared" si="221"/>
        <v>#VALUE!</v>
      </c>
      <c r="I503" s="116" t="e">
        <f t="shared" si="221"/>
        <v>#VALUE!</v>
      </c>
      <c r="J503" s="116" t="e">
        <f t="shared" si="221"/>
        <v>#VALUE!</v>
      </c>
      <c r="K503" s="116" t="e">
        <f t="shared" si="221"/>
        <v>#VALUE!</v>
      </c>
      <c r="L503" s="116" t="e">
        <f t="shared" si="221"/>
        <v>#VALUE!</v>
      </c>
      <c r="S503" s="108">
        <v>0.75</v>
      </c>
      <c r="T503" s="116" t="e">
        <f>$I503*$S503*$M503</f>
        <v>#VALUE!</v>
      </c>
      <c r="U503" s="116" t="e">
        <f>$I503*(1-$S503)*$M503</f>
        <v>#VALUE!</v>
      </c>
      <c r="V503" s="116" t="e">
        <f>$I503*$S503*(1-$M503)</f>
        <v>#VALUE!</v>
      </c>
      <c r="W503" s="116" t="e">
        <f>$I503*(1-$S503)*(1-$M503)</f>
        <v>#VALUE!</v>
      </c>
      <c r="X503" s="3"/>
      <c r="AD503" s="117" t="e">
        <f>ROUND(SUM(-G503,H503:L503),0)</f>
        <v>#VALUE!</v>
      </c>
      <c r="AE503" s="117" t="e">
        <f>ROUND(H503-O503-P503-Q503-R503,0)</f>
        <v>#VALUE!</v>
      </c>
      <c r="AF503" s="117" t="e">
        <f>ROUND(I503-T503-U503-V503-W503,0)</f>
        <v>#VALUE!</v>
      </c>
      <c r="AG503" s="117" t="e">
        <f>ROUND(J503-Y503-Z503-AA503-AC503-AB503,0)</f>
        <v>#VALUE!</v>
      </c>
      <c r="AH503" s="116"/>
      <c r="AI503">
        <f t="shared" si="217"/>
        <v>560</v>
      </c>
      <c r="AJ503" t="str">
        <f t="shared" si="203"/>
        <v>SG</v>
      </c>
      <c r="AK503" t="str">
        <f>IF(ISERROR(MATCH(AI503&amp;"."&amp;AJ503,AK$91:AK502,0)),AI503&amp;"."&amp;AJ503,AI503&amp;"."&amp;AJ503&amp;COUNTIFS(AI$91:AI502,AI503,AJ$91:AJ502,AJ503))</f>
        <v>560.SG1</v>
      </c>
    </row>
    <row r="504" spans="1:37" ht="15" hidden="1">
      <c r="A504" s="120">
        <f>ROW()</f>
        <v>504</v>
      </c>
      <c r="B504" s="120"/>
      <c r="C504" s="1"/>
      <c r="E504" s="121"/>
      <c r="F504" s="138"/>
      <c r="G504" s="146" t="e">
        <f t="shared" ref="G504:L504" si="222">SUM(G502:G503)</f>
        <v>#VALUE!</v>
      </c>
      <c r="H504" s="145" t="e">
        <f t="shared" si="222"/>
        <v>#VALUE!</v>
      </c>
      <c r="I504" s="145" t="e">
        <f t="shared" si="222"/>
        <v>#VALUE!</v>
      </c>
      <c r="J504" s="145" t="e">
        <f t="shared" si="222"/>
        <v>#VALUE!</v>
      </c>
      <c r="K504" s="145" t="e">
        <f t="shared" si="222"/>
        <v>#VALUE!</v>
      </c>
      <c r="L504" s="145" t="e">
        <f t="shared" si="222"/>
        <v>#VALUE!</v>
      </c>
      <c r="O504" s="116">
        <f>SUM(O502:O503)</f>
        <v>0</v>
      </c>
      <c r="P504" s="116">
        <f>SUM(P502:P503)</f>
        <v>0</v>
      </c>
      <c r="Q504" s="116">
        <f>SUM(Q502:Q503)</f>
        <v>0</v>
      </c>
      <c r="R504" s="116">
        <f>SUM(R502:R503)</f>
        <v>0</v>
      </c>
      <c r="T504" s="116" t="e">
        <f>SUM(T502:T503)</f>
        <v>#VALUE!</v>
      </c>
      <c r="U504" s="116" t="e">
        <f>SUM(U502:U503)</f>
        <v>#VALUE!</v>
      </c>
      <c r="V504" s="116" t="e">
        <f>SUM(V502:V503)</f>
        <v>#VALUE!</v>
      </c>
      <c r="W504" s="116" t="e">
        <f>SUM(W502:W503)</f>
        <v>#VALUE!</v>
      </c>
      <c r="X504" s="3"/>
      <c r="Y504" s="116">
        <f>SUM(Y503)</f>
        <v>0</v>
      </c>
      <c r="Z504" s="116">
        <f>SUM(Z503)</f>
        <v>0</v>
      </c>
      <c r="AA504" s="116">
        <f>SUM(AA503)</f>
        <v>0</v>
      </c>
      <c r="AB504" s="116">
        <f>SUM(AB503)</f>
        <v>0</v>
      </c>
      <c r="AC504" s="116">
        <f>SUM(AC503)</f>
        <v>0</v>
      </c>
      <c r="AD504" s="117" t="e">
        <f>ROUND(SUM(-G504,H504:L504),0)</f>
        <v>#VALUE!</v>
      </c>
      <c r="AE504" s="117" t="e">
        <f>ROUND(H504-O504-P504-Q504-R504,0)</f>
        <v>#VALUE!</v>
      </c>
      <c r="AF504" s="117" t="e">
        <f>ROUND(I504-T504-U504-V504-W504,0)</f>
        <v>#VALUE!</v>
      </c>
      <c r="AG504" s="117" t="e">
        <f>ROUND(J504-Y504-Z504-AA504-AC504-AB504,0)</f>
        <v>#VALUE!</v>
      </c>
      <c r="AH504" s="116"/>
      <c r="AI504">
        <f t="shared" si="217"/>
        <v>560</v>
      </c>
      <c r="AJ504" t="str">
        <f t="shared" si="203"/>
        <v>NA</v>
      </c>
      <c r="AK504" t="str">
        <f>IF(ISERROR(MATCH(AI504&amp;"."&amp;AJ504,AK$91:AK503,0)),AI504&amp;"."&amp;AJ504,AI504&amp;"."&amp;AJ504&amp;COUNTIFS(AI$91:AI503,AI504,AJ$91:AJ503,AJ504))</f>
        <v>560.NA1</v>
      </c>
    </row>
    <row r="505" spans="1:37" ht="15" hidden="1">
      <c r="A505" s="120">
        <f>ROW()</f>
        <v>505</v>
      </c>
      <c r="B505" s="120"/>
      <c r="C505" s="1"/>
      <c r="E505" s="121"/>
      <c r="F505" s="138"/>
      <c r="G505" s="119"/>
      <c r="X505" s="3"/>
      <c r="AD505" s="119"/>
      <c r="AE505" s="119"/>
      <c r="AF505" s="119"/>
      <c r="AG505" s="119"/>
      <c r="AI505">
        <f t="shared" si="217"/>
        <v>560</v>
      </c>
      <c r="AJ505" t="str">
        <f t="shared" si="203"/>
        <v>NA</v>
      </c>
      <c r="AK505" t="str">
        <f>IF(ISERROR(MATCH(AI505&amp;"."&amp;AJ505,AK$91:AK504,0)),AI505&amp;"."&amp;AJ505,AI505&amp;"."&amp;AJ505&amp;COUNTIFS(AI$91:AI504,AI505,AJ$91:AJ504,AJ505))</f>
        <v>560.NA2</v>
      </c>
    </row>
    <row r="506" spans="1:37" ht="15" hidden="1">
      <c r="A506" s="120">
        <f>ROW()</f>
        <v>506</v>
      </c>
      <c r="B506" s="120"/>
      <c r="C506" s="1">
        <v>561</v>
      </c>
      <c r="D506" s="2" t="s">
        <v>304</v>
      </c>
      <c r="E506" s="121"/>
      <c r="F506" s="138"/>
      <c r="G506" s="119"/>
      <c r="X506" s="3"/>
      <c r="AD506" s="119"/>
      <c r="AE506" s="119"/>
      <c r="AF506" s="119"/>
      <c r="AG506" s="119"/>
      <c r="AI506">
        <f t="shared" si="217"/>
        <v>561</v>
      </c>
      <c r="AJ506" t="str">
        <f t="shared" si="203"/>
        <v>NA</v>
      </c>
      <c r="AK506" t="str">
        <f>IF(ISERROR(MATCH(AI506&amp;"."&amp;AJ506,AK$91:AK505,0)),AI506&amp;"."&amp;AJ506,AI506&amp;"."&amp;AJ506&amp;COUNTIFS(AI$91:AI505,AI506,AJ$91:AJ505,AJ506))</f>
        <v>561.NA</v>
      </c>
    </row>
    <row r="507" spans="1:37" ht="15" hidden="1">
      <c r="A507" s="120">
        <f>ROW()</f>
        <v>507</v>
      </c>
      <c r="B507" s="120"/>
      <c r="C507" s="1"/>
      <c r="E507" s="121" t="s">
        <v>15</v>
      </c>
      <c r="F507" s="138" t="str">
        <f>INDEX(FuncAllocOptions,ROW(A507)-ROW($A$92)+1,[4]Inputs!$S$11)</f>
        <v>T</v>
      </c>
      <c r="G507" s="133" t="e">
        <f>SUMIF(FERCJAMFactor,AK507,JAMValue)</f>
        <v>#VALUE!</v>
      </c>
      <c r="H507" s="139" t="e">
        <f>INDEX(FuncFactorTbl,MATCH($F507,FuncFactors,0),MATCH(H$8,Functions,0))*$G507</f>
        <v>#VALUE!</v>
      </c>
      <c r="I507" s="139" t="e">
        <f>INDEX(FuncFactorTbl,MATCH($F507,FuncFactors,0),MATCH(I$8,Functions,0))*$G507</f>
        <v>#VALUE!</v>
      </c>
      <c r="J507" s="139" t="e">
        <f>INDEX(FuncFactorTbl,MATCH($F507,FuncFactors,0),MATCH(J$8,Functions,0))*$G507</f>
        <v>#VALUE!</v>
      </c>
      <c r="K507" s="139" t="e">
        <f>INDEX(FuncFactorTbl,MATCH($F507,FuncFactors,0),MATCH(K$8,Functions,0))*$G507</f>
        <v>#VALUE!</v>
      </c>
      <c r="L507" s="139" t="e">
        <f>INDEX(FuncFactorTbl,MATCH($F507,FuncFactors,0),MATCH(L$8,Functions,0))*$G507</f>
        <v>#VALUE!</v>
      </c>
      <c r="S507" s="108">
        <v>0.75</v>
      </c>
      <c r="T507" s="116" t="e">
        <f>$I507*$S507*$M507</f>
        <v>#VALUE!</v>
      </c>
      <c r="U507" s="116" t="e">
        <f>$I507*(1-$S507)*$M507</f>
        <v>#VALUE!</v>
      </c>
      <c r="V507" s="116" t="e">
        <f>$I507*$S507*(1-$M507)</f>
        <v>#VALUE!</v>
      </c>
      <c r="W507" s="116" t="e">
        <f>$I507*(1-$S507)*(1-$M507)</f>
        <v>#VALUE!</v>
      </c>
      <c r="X507" s="3"/>
      <c r="AD507" s="117" t="e">
        <f>ROUND(SUM(-G507,H507:L507),0)</f>
        <v>#VALUE!</v>
      </c>
      <c r="AE507" s="117" t="e">
        <f>ROUND(H507-O507-P507-Q507-R507,0)</f>
        <v>#VALUE!</v>
      </c>
      <c r="AF507" s="117" t="e">
        <f>ROUND(I507-T507-U507-V507-W507,0)</f>
        <v>#VALUE!</v>
      </c>
      <c r="AG507" s="117" t="e">
        <f>ROUND(J507-Y507-Z507-AA507-AC507-AB507,0)</f>
        <v>#VALUE!</v>
      </c>
      <c r="AH507" s="116"/>
      <c r="AI507">
        <f t="shared" si="217"/>
        <v>561</v>
      </c>
      <c r="AJ507" t="str">
        <f t="shared" si="203"/>
        <v>SG</v>
      </c>
      <c r="AK507" t="str">
        <f>IF(ISERROR(MATCH(AI507&amp;"."&amp;AJ507,AK$91:AK506,0)),AI507&amp;"."&amp;AJ507,AI507&amp;"."&amp;AJ507&amp;COUNTIFS(AI$91:AI506,AI507,AJ$91:AJ506,AJ507))</f>
        <v>561.SG</v>
      </c>
    </row>
    <row r="508" spans="1:37" ht="15" hidden="1">
      <c r="A508" s="120">
        <f>ROW()</f>
        <v>508</v>
      </c>
      <c r="B508" s="120"/>
      <c r="C508" s="1"/>
      <c r="E508" s="121"/>
      <c r="F508" s="138"/>
      <c r="G508" s="146" t="e">
        <f t="shared" ref="G508:L508" si="223">SUM(G507)</f>
        <v>#VALUE!</v>
      </c>
      <c r="H508" s="145" t="e">
        <f t="shared" si="223"/>
        <v>#VALUE!</v>
      </c>
      <c r="I508" s="145" t="e">
        <f t="shared" si="223"/>
        <v>#VALUE!</v>
      </c>
      <c r="J508" s="145" t="e">
        <f t="shared" si="223"/>
        <v>#VALUE!</v>
      </c>
      <c r="K508" s="145" t="e">
        <f t="shared" si="223"/>
        <v>#VALUE!</v>
      </c>
      <c r="L508" s="145" t="e">
        <f t="shared" si="223"/>
        <v>#VALUE!</v>
      </c>
      <c r="O508" s="116">
        <f>SUM(O507)</f>
        <v>0</v>
      </c>
      <c r="P508" s="116">
        <f>SUM(P507)</f>
        <v>0</v>
      </c>
      <c r="Q508" s="116">
        <f>SUM(Q507)</f>
        <v>0</v>
      </c>
      <c r="R508" s="116">
        <f>SUM(R507)</f>
        <v>0</v>
      </c>
      <c r="T508" s="116" t="e">
        <f>SUM(T507)</f>
        <v>#VALUE!</v>
      </c>
      <c r="U508" s="116" t="e">
        <f>SUM(U507)</f>
        <v>#VALUE!</v>
      </c>
      <c r="V508" s="116" t="e">
        <f>SUM(V507)</f>
        <v>#VALUE!</v>
      </c>
      <c r="W508" s="116" t="e">
        <f>SUM(W507)</f>
        <v>#VALUE!</v>
      </c>
      <c r="X508" s="3"/>
      <c r="Y508" s="116">
        <f>SUM(Y507)</f>
        <v>0</v>
      </c>
      <c r="Z508" s="116">
        <f>SUM(Z507)</f>
        <v>0</v>
      </c>
      <c r="AA508" s="116">
        <f>SUM(AA507)</f>
        <v>0</v>
      </c>
      <c r="AB508" s="116">
        <f>SUM(AB507)</f>
        <v>0</v>
      </c>
      <c r="AC508" s="116">
        <f>SUM(AC507)</f>
        <v>0</v>
      </c>
      <c r="AD508" s="117" t="e">
        <f>ROUND(SUM(-G508,H508:L508),0)</f>
        <v>#VALUE!</v>
      </c>
      <c r="AE508" s="117" t="e">
        <f>ROUND(H508-O508-P508-Q508-R508,0)</f>
        <v>#VALUE!</v>
      </c>
      <c r="AF508" s="117" t="e">
        <f>ROUND(I508-T508-U508-V508-W508,0)</f>
        <v>#VALUE!</v>
      </c>
      <c r="AG508" s="117" t="e">
        <f>ROUND(J508-Y508-Z508-AA508-AC508-AB508,0)</f>
        <v>#VALUE!</v>
      </c>
      <c r="AH508" s="116"/>
      <c r="AI508">
        <f t="shared" si="217"/>
        <v>561</v>
      </c>
      <c r="AJ508" t="str">
        <f t="shared" si="203"/>
        <v>NA</v>
      </c>
      <c r="AK508" t="str">
        <f>IF(ISERROR(MATCH(AI508&amp;"."&amp;AJ508,AK$91:AK507,0)),AI508&amp;"."&amp;AJ508,AI508&amp;"."&amp;AJ508&amp;COUNTIFS(AI$91:AI507,AI508,AJ$91:AJ507,AJ508))</f>
        <v>561.NA1</v>
      </c>
    </row>
    <row r="509" spans="1:37" ht="15" hidden="1">
      <c r="A509" s="120">
        <f>ROW()</f>
        <v>509</v>
      </c>
      <c r="B509" s="120"/>
      <c r="C509" s="1"/>
      <c r="E509" s="121"/>
      <c r="F509" s="138"/>
      <c r="G509" s="119"/>
      <c r="X509" s="3"/>
      <c r="AD509" s="119"/>
      <c r="AE509" s="119"/>
      <c r="AF509" s="119"/>
      <c r="AG509" s="119"/>
      <c r="AI509">
        <f t="shared" si="217"/>
        <v>561</v>
      </c>
      <c r="AJ509" t="str">
        <f t="shared" si="203"/>
        <v>NA</v>
      </c>
      <c r="AK509" t="str">
        <f>IF(ISERROR(MATCH(AI509&amp;"."&amp;AJ509,AK$91:AK508,0)),AI509&amp;"."&amp;AJ509,AI509&amp;"."&amp;AJ509&amp;COUNTIFS(AI$91:AI508,AI509,AJ$91:AJ508,AJ509))</f>
        <v>561.NA2</v>
      </c>
    </row>
    <row r="510" spans="1:37" ht="15" hidden="1">
      <c r="A510" s="120">
        <f>ROW()</f>
        <v>510</v>
      </c>
      <c r="B510" s="120"/>
      <c r="C510" s="1">
        <v>562</v>
      </c>
      <c r="D510" s="2" t="s">
        <v>305</v>
      </c>
      <c r="E510" s="121"/>
      <c r="F510" s="138"/>
      <c r="G510" s="119"/>
      <c r="X510" s="3"/>
      <c r="AD510" s="119"/>
      <c r="AE510" s="119"/>
      <c r="AF510" s="119"/>
      <c r="AG510" s="119"/>
      <c r="AI510">
        <f t="shared" si="217"/>
        <v>562</v>
      </c>
      <c r="AJ510" t="str">
        <f t="shared" si="203"/>
        <v>NA</v>
      </c>
      <c r="AK510" t="str">
        <f>IF(ISERROR(MATCH(AI510&amp;"."&amp;AJ510,AK$91:AK509,0)),AI510&amp;"."&amp;AJ510,AI510&amp;"."&amp;AJ510&amp;COUNTIFS(AI$91:AI509,AI510,AJ$91:AJ509,AJ510))</f>
        <v>562.NA</v>
      </c>
    </row>
    <row r="511" spans="1:37" ht="15" hidden="1">
      <c r="A511" s="120">
        <f>ROW()</f>
        <v>511</v>
      </c>
      <c r="B511" s="120"/>
      <c r="C511" s="1"/>
      <c r="E511" s="121" t="s">
        <v>15</v>
      </c>
      <c r="F511" s="138" t="str">
        <f>INDEX(FuncAllocOptions,ROW(A511)-ROW($A$92)+1,[4]Inputs!$S$11)</f>
        <v>T</v>
      </c>
      <c r="G511" s="133" t="e">
        <f>SUMIF(FERCJAMFactor,AK511,JAMValue)</f>
        <v>#VALUE!</v>
      </c>
      <c r="H511" s="139" t="e">
        <f>INDEX(FuncFactorTbl,MATCH($F511,FuncFactors,0),MATCH(H$8,Functions,0))*$G511</f>
        <v>#VALUE!</v>
      </c>
      <c r="I511" s="139" t="e">
        <f>INDEX(FuncFactorTbl,MATCH($F511,FuncFactors,0),MATCH(I$8,Functions,0))*$G511</f>
        <v>#VALUE!</v>
      </c>
      <c r="J511" s="139" t="e">
        <f>INDEX(FuncFactorTbl,MATCH($F511,FuncFactors,0),MATCH(J$8,Functions,0))*$G511</f>
        <v>#VALUE!</v>
      </c>
      <c r="K511" s="139" t="e">
        <f>INDEX(FuncFactorTbl,MATCH($F511,FuncFactors,0),MATCH(K$8,Functions,0))*$G511</f>
        <v>#VALUE!</v>
      </c>
      <c r="L511" s="139" t="e">
        <f>INDEX(FuncFactorTbl,MATCH($F511,FuncFactors,0),MATCH(L$8,Functions,0))*$G511</f>
        <v>#VALUE!</v>
      </c>
      <c r="S511" s="108">
        <v>0.75</v>
      </c>
      <c r="T511" s="116" t="e">
        <f>$I511*$S511*$M511</f>
        <v>#VALUE!</v>
      </c>
      <c r="U511" s="116" t="e">
        <f>$I511*(1-$S511)*$M511</f>
        <v>#VALUE!</v>
      </c>
      <c r="V511" s="116" t="e">
        <f>$I511*$S511*(1-$M511)</f>
        <v>#VALUE!</v>
      </c>
      <c r="W511" s="116" t="e">
        <f>$I511*(1-$S511)*(1-$M511)</f>
        <v>#VALUE!</v>
      </c>
      <c r="X511" s="3"/>
      <c r="AD511" s="117" t="e">
        <f>ROUND(SUM(-G511,H511:L511),0)</f>
        <v>#VALUE!</v>
      </c>
      <c r="AE511" s="117" t="e">
        <f>ROUND(H511-O511-P511-Q511-R511,0)</f>
        <v>#VALUE!</v>
      </c>
      <c r="AF511" s="117" t="e">
        <f>ROUND(I511-T511-U511-V511-W511,0)</f>
        <v>#VALUE!</v>
      </c>
      <c r="AG511" s="117" t="e">
        <f>ROUND(J511-Y511-Z511-AA511-AC511-AB511,0)</f>
        <v>#VALUE!</v>
      </c>
      <c r="AH511" s="116"/>
      <c r="AI511">
        <f t="shared" si="217"/>
        <v>562</v>
      </c>
      <c r="AJ511" t="str">
        <f t="shared" si="203"/>
        <v>SG</v>
      </c>
      <c r="AK511" t="str">
        <f>IF(ISERROR(MATCH(AI511&amp;"."&amp;AJ511,AK$91:AK510,0)),AI511&amp;"."&amp;AJ511,AI511&amp;"."&amp;AJ511&amp;COUNTIFS(AI$91:AI510,AI511,AJ$91:AJ510,AJ511))</f>
        <v>562.SG</v>
      </c>
    </row>
    <row r="512" spans="1:37" ht="15" hidden="1">
      <c r="A512" s="120">
        <f>ROW()</f>
        <v>512</v>
      </c>
      <c r="B512" s="120"/>
      <c r="C512" s="1"/>
      <c r="E512" s="121"/>
      <c r="F512" s="138"/>
      <c r="G512" s="146" t="e">
        <f t="shared" ref="G512:L512" si="224">SUM(G511)</f>
        <v>#VALUE!</v>
      </c>
      <c r="H512" s="145" t="e">
        <f t="shared" si="224"/>
        <v>#VALUE!</v>
      </c>
      <c r="I512" s="145" t="e">
        <f t="shared" si="224"/>
        <v>#VALUE!</v>
      </c>
      <c r="J512" s="145" t="e">
        <f t="shared" si="224"/>
        <v>#VALUE!</v>
      </c>
      <c r="K512" s="145" t="e">
        <f t="shared" si="224"/>
        <v>#VALUE!</v>
      </c>
      <c r="L512" s="145" t="e">
        <f t="shared" si="224"/>
        <v>#VALUE!</v>
      </c>
      <c r="O512" s="116">
        <f>SUM(O511)</f>
        <v>0</v>
      </c>
      <c r="P512" s="116">
        <f>SUM(P511)</f>
        <v>0</v>
      </c>
      <c r="Q512" s="116">
        <f>SUM(Q511)</f>
        <v>0</v>
      </c>
      <c r="R512" s="116">
        <f>SUM(R511)</f>
        <v>0</v>
      </c>
      <c r="T512" s="116" t="e">
        <f>SUM(T511)</f>
        <v>#VALUE!</v>
      </c>
      <c r="U512" s="116" t="e">
        <f>SUM(U511)</f>
        <v>#VALUE!</v>
      </c>
      <c r="V512" s="116" t="e">
        <f>SUM(V511)</f>
        <v>#VALUE!</v>
      </c>
      <c r="W512" s="116" t="e">
        <f>SUM(W511)</f>
        <v>#VALUE!</v>
      </c>
      <c r="X512" s="3"/>
      <c r="Y512" s="116">
        <f>SUM(Y511)</f>
        <v>0</v>
      </c>
      <c r="Z512" s="116">
        <f>SUM(Z511)</f>
        <v>0</v>
      </c>
      <c r="AA512" s="116">
        <f>SUM(AA511)</f>
        <v>0</v>
      </c>
      <c r="AB512" s="116">
        <f>SUM(AB511)</f>
        <v>0</v>
      </c>
      <c r="AC512" s="116">
        <f>SUM(AC511)</f>
        <v>0</v>
      </c>
      <c r="AD512" s="117" t="e">
        <f>ROUND(SUM(-G512,H512:L512),0)</f>
        <v>#VALUE!</v>
      </c>
      <c r="AE512" s="117" t="e">
        <f>ROUND(H512-O512-P512-Q512-R512,0)</f>
        <v>#VALUE!</v>
      </c>
      <c r="AF512" s="117" t="e">
        <f>ROUND(I512-T512-U512-V512-W512,0)</f>
        <v>#VALUE!</v>
      </c>
      <c r="AG512" s="117" t="e">
        <f>ROUND(J512-Y512-Z512-AA512-AC512-AB512,0)</f>
        <v>#VALUE!</v>
      </c>
      <c r="AH512" s="116"/>
      <c r="AI512">
        <f t="shared" si="217"/>
        <v>562</v>
      </c>
      <c r="AJ512" t="str">
        <f t="shared" si="203"/>
        <v>NA</v>
      </c>
      <c r="AK512" t="str">
        <f>IF(ISERROR(MATCH(AI512&amp;"."&amp;AJ512,AK$91:AK511,0)),AI512&amp;"."&amp;AJ512,AI512&amp;"."&amp;AJ512&amp;COUNTIFS(AI$91:AI511,AI512,AJ$91:AJ511,AJ512))</f>
        <v>562.NA1</v>
      </c>
    </row>
    <row r="513" spans="1:37" ht="15" hidden="1">
      <c r="A513" s="120">
        <f>ROW()</f>
        <v>513</v>
      </c>
      <c r="B513" s="120"/>
      <c r="C513" s="1"/>
      <c r="E513" s="121"/>
      <c r="F513" s="138"/>
      <c r="G513" s="119"/>
      <c r="X513" s="3"/>
      <c r="AD513" s="119"/>
      <c r="AE513" s="119"/>
      <c r="AF513" s="119"/>
      <c r="AG513" s="119"/>
      <c r="AI513">
        <f t="shared" si="217"/>
        <v>562</v>
      </c>
      <c r="AJ513" t="str">
        <f t="shared" si="203"/>
        <v>NA</v>
      </c>
      <c r="AK513" t="str">
        <f>IF(ISERROR(MATCH(AI513&amp;"."&amp;AJ513,AK$91:AK512,0)),AI513&amp;"."&amp;AJ513,AI513&amp;"."&amp;AJ513&amp;COUNTIFS(AI$91:AI512,AI513,AJ$91:AJ512,AJ513))</f>
        <v>562.NA2</v>
      </c>
    </row>
    <row r="514" spans="1:37" ht="15" hidden="1">
      <c r="A514" s="120">
        <f>ROW()</f>
        <v>514</v>
      </c>
      <c r="B514" s="120"/>
      <c r="C514" s="1">
        <v>563</v>
      </c>
      <c r="D514" s="2" t="s">
        <v>306</v>
      </c>
      <c r="E514" s="121"/>
      <c r="F514" s="138"/>
      <c r="G514" s="119"/>
      <c r="X514" s="3"/>
      <c r="AD514" s="119"/>
      <c r="AE514" s="119"/>
      <c r="AF514" s="119"/>
      <c r="AG514" s="119"/>
      <c r="AI514">
        <f t="shared" si="217"/>
        <v>563</v>
      </c>
      <c r="AJ514" t="str">
        <f t="shared" si="203"/>
        <v>NA</v>
      </c>
      <c r="AK514" t="str">
        <f>IF(ISERROR(MATCH(AI514&amp;"."&amp;AJ514,AK$91:AK513,0)),AI514&amp;"."&amp;AJ514,AI514&amp;"."&amp;AJ514&amp;COUNTIFS(AI$91:AI513,AI514,AJ$91:AJ513,AJ514))</f>
        <v>563.NA</v>
      </c>
    </row>
    <row r="515" spans="1:37" ht="15" hidden="1">
      <c r="A515" s="120">
        <f>ROW()</f>
        <v>515</v>
      </c>
      <c r="B515" s="120"/>
      <c r="C515" s="1"/>
      <c r="E515" s="121" t="s">
        <v>15</v>
      </c>
      <c r="F515" s="138" t="str">
        <f>INDEX(FuncAllocOptions,ROW(A515)-ROW($A$92)+1,[4]Inputs!$S$11)</f>
        <v>T</v>
      </c>
      <c r="G515" s="133" t="e">
        <f>SUMIF(FERCJAMFactor,AK515,JAMValue)</f>
        <v>#VALUE!</v>
      </c>
      <c r="H515" s="139" t="e">
        <f>INDEX(FuncFactorTbl,MATCH($F515,FuncFactors,0),MATCH(H$8,Functions,0))*$G515</f>
        <v>#VALUE!</v>
      </c>
      <c r="I515" s="139" t="e">
        <f>INDEX(FuncFactorTbl,MATCH($F515,FuncFactors,0),MATCH(I$8,Functions,0))*$G515</f>
        <v>#VALUE!</v>
      </c>
      <c r="J515" s="139" t="e">
        <f>INDEX(FuncFactorTbl,MATCH($F515,FuncFactors,0),MATCH(J$8,Functions,0))*$G515</f>
        <v>#VALUE!</v>
      </c>
      <c r="K515" s="139" t="e">
        <f>INDEX(FuncFactorTbl,MATCH($F515,FuncFactors,0),MATCH(K$8,Functions,0))*$G515</f>
        <v>#VALUE!</v>
      </c>
      <c r="L515" s="139" t="e">
        <f>INDEX(FuncFactorTbl,MATCH($F515,FuncFactors,0),MATCH(L$8,Functions,0))*$G515</f>
        <v>#VALUE!</v>
      </c>
      <c r="S515" s="108">
        <v>0.75</v>
      </c>
      <c r="T515" s="116" t="e">
        <f>$I515*$S515*$M515</f>
        <v>#VALUE!</v>
      </c>
      <c r="U515" s="116" t="e">
        <f>$I515*(1-$S515)*$M515</f>
        <v>#VALUE!</v>
      </c>
      <c r="V515" s="116" t="e">
        <f>$I515*$S515*(1-$M515)</f>
        <v>#VALUE!</v>
      </c>
      <c r="W515" s="116" t="e">
        <f>$I515*(1-$S515)*(1-$M515)</f>
        <v>#VALUE!</v>
      </c>
      <c r="X515" s="3"/>
      <c r="AD515" s="117" t="e">
        <f>ROUND(SUM(-G515,H515:L515),0)</f>
        <v>#VALUE!</v>
      </c>
      <c r="AE515" s="117" t="e">
        <f>ROUND(H515-O515-P515-Q515-R515,0)</f>
        <v>#VALUE!</v>
      </c>
      <c r="AF515" s="117" t="e">
        <f>ROUND(I515-T515-U515-V515-W515,0)</f>
        <v>#VALUE!</v>
      </c>
      <c r="AG515" s="117" t="e">
        <f>ROUND(J515-Y515-Z515-AA515-AC515-AB515,0)</f>
        <v>#VALUE!</v>
      </c>
      <c r="AH515" s="116"/>
      <c r="AI515">
        <f t="shared" si="217"/>
        <v>563</v>
      </c>
      <c r="AJ515" t="str">
        <f t="shared" si="203"/>
        <v>SG</v>
      </c>
      <c r="AK515" t="str">
        <f>IF(ISERROR(MATCH(AI515&amp;"."&amp;AJ515,AK$91:AK514,0)),AI515&amp;"."&amp;AJ515,AI515&amp;"."&amp;AJ515&amp;COUNTIFS(AI$91:AI514,AI515,AJ$91:AJ514,AJ515))</f>
        <v>563.SG</v>
      </c>
    </row>
    <row r="516" spans="1:37" ht="15" hidden="1">
      <c r="A516" s="120">
        <f>ROW()</f>
        <v>516</v>
      </c>
      <c r="B516" s="120"/>
      <c r="C516" s="1"/>
      <c r="E516" s="121"/>
      <c r="F516" s="138"/>
      <c r="G516" s="146" t="e">
        <f t="shared" ref="G516:L516" si="225">SUM(G515)</f>
        <v>#VALUE!</v>
      </c>
      <c r="H516" s="145" t="e">
        <f t="shared" si="225"/>
        <v>#VALUE!</v>
      </c>
      <c r="I516" s="145" t="e">
        <f t="shared" si="225"/>
        <v>#VALUE!</v>
      </c>
      <c r="J516" s="145" t="e">
        <f t="shared" si="225"/>
        <v>#VALUE!</v>
      </c>
      <c r="K516" s="145" t="e">
        <f t="shared" si="225"/>
        <v>#VALUE!</v>
      </c>
      <c r="L516" s="145" t="e">
        <f t="shared" si="225"/>
        <v>#VALUE!</v>
      </c>
      <c r="O516" s="116">
        <f>SUM(O515)</f>
        <v>0</v>
      </c>
      <c r="P516" s="116">
        <f>SUM(P515)</f>
        <v>0</v>
      </c>
      <c r="Q516" s="116">
        <f>SUM(Q515)</f>
        <v>0</v>
      </c>
      <c r="R516" s="116">
        <f>SUM(R515)</f>
        <v>0</v>
      </c>
      <c r="T516" s="116" t="e">
        <f>SUM(T515)</f>
        <v>#VALUE!</v>
      </c>
      <c r="U516" s="116" t="e">
        <f>SUM(U515)</f>
        <v>#VALUE!</v>
      </c>
      <c r="V516" s="116" t="e">
        <f>SUM(V515)</f>
        <v>#VALUE!</v>
      </c>
      <c r="W516" s="116" t="e">
        <f>SUM(W515)</f>
        <v>#VALUE!</v>
      </c>
      <c r="X516" s="3"/>
      <c r="Y516" s="116">
        <f>SUM(Y515)</f>
        <v>0</v>
      </c>
      <c r="Z516" s="116">
        <f>SUM(Z515)</f>
        <v>0</v>
      </c>
      <c r="AA516" s="116">
        <f>SUM(AA515)</f>
        <v>0</v>
      </c>
      <c r="AB516" s="116">
        <f>SUM(AB515)</f>
        <v>0</v>
      </c>
      <c r="AC516" s="116">
        <f>SUM(AC515)</f>
        <v>0</v>
      </c>
      <c r="AD516" s="117" t="e">
        <f>ROUND(SUM(-G516,H516:L516),0)</f>
        <v>#VALUE!</v>
      </c>
      <c r="AE516" s="117" t="e">
        <f>ROUND(H516-O516-P516-Q516-R516,0)</f>
        <v>#VALUE!</v>
      </c>
      <c r="AF516" s="117" t="e">
        <f>ROUND(I516-T516-U516-V516-W516,0)</f>
        <v>#VALUE!</v>
      </c>
      <c r="AG516" s="117" t="e">
        <f>ROUND(J516-Y516-Z516-AA516-AC516-AB516,0)</f>
        <v>#VALUE!</v>
      </c>
      <c r="AH516" s="116"/>
      <c r="AI516">
        <f t="shared" si="217"/>
        <v>563</v>
      </c>
      <c r="AJ516" t="str">
        <f t="shared" si="203"/>
        <v>NA</v>
      </c>
      <c r="AK516" t="str">
        <f>IF(ISERROR(MATCH(AI516&amp;"."&amp;AJ516,AK$91:AK515,0)),AI516&amp;"."&amp;AJ516,AI516&amp;"."&amp;AJ516&amp;COUNTIFS(AI$91:AI515,AI516,AJ$91:AJ515,AJ516))</f>
        <v>563.NA1</v>
      </c>
    </row>
    <row r="517" spans="1:37" ht="15" hidden="1">
      <c r="A517" s="120">
        <f>ROW()</f>
        <v>517</v>
      </c>
      <c r="B517" s="120"/>
      <c r="C517" s="1"/>
      <c r="E517" s="121"/>
      <c r="F517" s="138"/>
      <c r="G517" s="119"/>
      <c r="X517" s="3"/>
      <c r="AD517" s="119"/>
      <c r="AE517" s="119"/>
      <c r="AF517" s="119"/>
      <c r="AG517" s="119"/>
      <c r="AI517">
        <f t="shared" si="217"/>
        <v>563</v>
      </c>
      <c r="AJ517" t="str">
        <f t="shared" si="203"/>
        <v>NA</v>
      </c>
      <c r="AK517" t="str">
        <f>IF(ISERROR(MATCH(AI517&amp;"."&amp;AJ517,AK$91:AK516,0)),AI517&amp;"."&amp;AJ517,AI517&amp;"."&amp;AJ517&amp;COUNTIFS(AI$91:AI516,AI517,AJ$91:AJ516,AJ517))</f>
        <v>563.NA2</v>
      </c>
    </row>
    <row r="518" spans="1:37" ht="15" hidden="1">
      <c r="A518" s="120">
        <f>ROW()</f>
        <v>518</v>
      </c>
      <c r="B518" s="120"/>
      <c r="C518" s="1">
        <v>564</v>
      </c>
      <c r="D518" s="2" t="s">
        <v>307</v>
      </c>
      <c r="E518" s="121"/>
      <c r="F518" s="138"/>
      <c r="G518" s="119"/>
      <c r="X518" s="3"/>
      <c r="AD518" s="119"/>
      <c r="AE518" s="119"/>
      <c r="AF518" s="119"/>
      <c r="AG518" s="119"/>
      <c r="AI518">
        <f t="shared" si="217"/>
        <v>564</v>
      </c>
      <c r="AJ518" t="str">
        <f t="shared" si="203"/>
        <v>NA</v>
      </c>
      <c r="AK518" t="str">
        <f>IF(ISERROR(MATCH(AI518&amp;"."&amp;AJ518,AK$91:AK517,0)),AI518&amp;"."&amp;AJ518,AI518&amp;"."&amp;AJ518&amp;COUNTIFS(AI$91:AI517,AI518,AJ$91:AJ517,AJ518))</f>
        <v>564.NA</v>
      </c>
    </row>
    <row r="519" spans="1:37" ht="15" hidden="1">
      <c r="A519" s="120">
        <f>ROW()</f>
        <v>519</v>
      </c>
      <c r="B519" s="120"/>
      <c r="C519" s="1"/>
      <c r="E519" s="121" t="s">
        <v>15</v>
      </c>
      <c r="F519" s="138" t="str">
        <f>INDEX(FuncAllocOptions,ROW(A519)-ROW($A$92)+1,[4]Inputs!$S$11)</f>
        <v>T</v>
      </c>
      <c r="G519" s="133" t="e">
        <f>SUMIF(FERCJAMFactor,AK519,JAMValue)</f>
        <v>#VALUE!</v>
      </c>
      <c r="H519" s="139" t="e">
        <f>INDEX(FuncFactorTbl,MATCH($F519,FuncFactors,0),MATCH(H$8,Functions,0))*$G519</f>
        <v>#VALUE!</v>
      </c>
      <c r="I519" s="139" t="e">
        <f>INDEX(FuncFactorTbl,MATCH($F519,FuncFactors,0),MATCH(I$8,Functions,0))*$G519</f>
        <v>#VALUE!</v>
      </c>
      <c r="J519" s="139" t="e">
        <f>INDEX(FuncFactorTbl,MATCH($F519,FuncFactors,0),MATCH(J$8,Functions,0))*$G519</f>
        <v>#VALUE!</v>
      </c>
      <c r="K519" s="139" t="e">
        <f>INDEX(FuncFactorTbl,MATCH($F519,FuncFactors,0),MATCH(K$8,Functions,0))*$G519</f>
        <v>#VALUE!</v>
      </c>
      <c r="L519" s="139" t="e">
        <f>INDEX(FuncFactorTbl,MATCH($F519,FuncFactors,0),MATCH(L$8,Functions,0))*$G519</f>
        <v>#VALUE!</v>
      </c>
      <c r="S519" s="108">
        <v>0.75</v>
      </c>
      <c r="T519" s="116" t="e">
        <f>$I519*$S519*$M519</f>
        <v>#VALUE!</v>
      </c>
      <c r="U519" s="116" t="e">
        <f>$I519*(1-$S519)*$M519</f>
        <v>#VALUE!</v>
      </c>
      <c r="V519" s="116" t="e">
        <f>$I519*$S519*(1-$M519)</f>
        <v>#VALUE!</v>
      </c>
      <c r="W519" s="116" t="e">
        <f>$I519*(1-$S519)*(1-$M519)</f>
        <v>#VALUE!</v>
      </c>
      <c r="X519" s="3"/>
      <c r="AD519" s="117" t="e">
        <f>ROUND(SUM(-G519,H519:L519),0)</f>
        <v>#VALUE!</v>
      </c>
      <c r="AE519" s="117" t="e">
        <f>ROUND(H519-O519-P519-Q519-R519,0)</f>
        <v>#VALUE!</v>
      </c>
      <c r="AF519" s="117" t="e">
        <f>ROUND(I519-T519-U519-V519-W519,0)</f>
        <v>#VALUE!</v>
      </c>
      <c r="AG519" s="117" t="e">
        <f>ROUND(J519-Y519-Z519-AA519-AC519-AB519,0)</f>
        <v>#VALUE!</v>
      </c>
      <c r="AH519" s="116"/>
      <c r="AI519">
        <f t="shared" si="217"/>
        <v>564</v>
      </c>
      <c r="AJ519" t="str">
        <f t="shared" si="203"/>
        <v>SG</v>
      </c>
      <c r="AK519" t="str">
        <f>IF(ISERROR(MATCH(AI519&amp;"."&amp;AJ519,AK$91:AK518,0)),AI519&amp;"."&amp;AJ519,AI519&amp;"."&amp;AJ519&amp;COUNTIFS(AI$91:AI518,AI519,AJ$91:AJ518,AJ519))</f>
        <v>564.SG</v>
      </c>
    </row>
    <row r="520" spans="1:37" ht="15" hidden="1">
      <c r="A520" s="120">
        <f>ROW()</f>
        <v>520</v>
      </c>
      <c r="B520" s="120"/>
      <c r="C520" s="1"/>
      <c r="E520" s="121"/>
      <c r="F520" s="138"/>
      <c r="G520" s="146" t="e">
        <f t="shared" ref="G520:L520" si="226">SUM(G519)</f>
        <v>#VALUE!</v>
      </c>
      <c r="H520" s="145" t="e">
        <f t="shared" si="226"/>
        <v>#VALUE!</v>
      </c>
      <c r="I520" s="145" t="e">
        <f t="shared" si="226"/>
        <v>#VALUE!</v>
      </c>
      <c r="J520" s="145" t="e">
        <f t="shared" si="226"/>
        <v>#VALUE!</v>
      </c>
      <c r="K520" s="145" t="e">
        <f t="shared" si="226"/>
        <v>#VALUE!</v>
      </c>
      <c r="L520" s="145" t="e">
        <f t="shared" si="226"/>
        <v>#VALUE!</v>
      </c>
      <c r="O520" s="116">
        <f>SUM(O519)</f>
        <v>0</v>
      </c>
      <c r="P520" s="116">
        <f>SUM(P519)</f>
        <v>0</v>
      </c>
      <c r="Q520" s="116">
        <f>SUM(Q519)</f>
        <v>0</v>
      </c>
      <c r="R520" s="116">
        <f>SUM(R519)</f>
        <v>0</v>
      </c>
      <c r="T520" s="116" t="e">
        <f>SUM(T519)</f>
        <v>#VALUE!</v>
      </c>
      <c r="U520" s="116" t="e">
        <f>SUM(U519)</f>
        <v>#VALUE!</v>
      </c>
      <c r="V520" s="116" t="e">
        <f>SUM(V519)</f>
        <v>#VALUE!</v>
      </c>
      <c r="W520" s="116" t="e">
        <f>SUM(W519)</f>
        <v>#VALUE!</v>
      </c>
      <c r="X520" s="3"/>
      <c r="Y520" s="116">
        <f>SUM(Y519)</f>
        <v>0</v>
      </c>
      <c r="Z520" s="116">
        <f>SUM(Z519)</f>
        <v>0</v>
      </c>
      <c r="AA520" s="116">
        <f>SUM(AA519)</f>
        <v>0</v>
      </c>
      <c r="AB520" s="116">
        <f>SUM(AB519)</f>
        <v>0</v>
      </c>
      <c r="AC520" s="116">
        <f>SUM(AC519)</f>
        <v>0</v>
      </c>
      <c r="AD520" s="117" t="e">
        <f>ROUND(SUM(-G520,H520:L520),0)</f>
        <v>#VALUE!</v>
      </c>
      <c r="AE520" s="117" t="e">
        <f>ROUND(H520-O520-P520-Q520-R520,0)</f>
        <v>#VALUE!</v>
      </c>
      <c r="AF520" s="117" t="e">
        <f>ROUND(I520-T520-U520-V520-W520,0)</f>
        <v>#VALUE!</v>
      </c>
      <c r="AG520" s="117" t="e">
        <f>ROUND(J520-Y520-Z520-AA520-AC520-AB520,0)</f>
        <v>#VALUE!</v>
      </c>
      <c r="AH520" s="116"/>
      <c r="AI520">
        <f t="shared" si="217"/>
        <v>564</v>
      </c>
      <c r="AJ520" t="str">
        <f t="shared" si="203"/>
        <v>NA</v>
      </c>
      <c r="AK520" t="str">
        <f>IF(ISERROR(MATCH(AI520&amp;"."&amp;AJ520,AK$91:AK519,0)),AI520&amp;"."&amp;AJ520,AI520&amp;"."&amp;AJ520&amp;COUNTIFS(AI$91:AI519,AI520,AJ$91:AJ519,AJ520))</f>
        <v>564.NA1</v>
      </c>
    </row>
    <row r="521" spans="1:37" ht="15" hidden="1">
      <c r="A521" s="120">
        <f>ROW()</f>
        <v>521</v>
      </c>
      <c r="B521" s="120"/>
      <c r="C521" s="1"/>
      <c r="E521" s="121"/>
      <c r="F521" s="138"/>
      <c r="G521" s="119"/>
      <c r="X521" s="3"/>
      <c r="AD521" s="119"/>
      <c r="AE521" s="119"/>
      <c r="AF521" s="119"/>
      <c r="AG521" s="119"/>
      <c r="AI521">
        <f t="shared" si="217"/>
        <v>564</v>
      </c>
      <c r="AJ521" t="str">
        <f t="shared" si="203"/>
        <v>NA</v>
      </c>
      <c r="AK521" t="str">
        <f>IF(ISERROR(MATCH(AI521&amp;"."&amp;AJ521,AK$91:AK520,0)),AI521&amp;"."&amp;AJ521,AI521&amp;"."&amp;AJ521&amp;COUNTIFS(AI$91:AI520,AI521,AJ$91:AJ520,AJ521))</f>
        <v>564.NA2</v>
      </c>
    </row>
    <row r="522" spans="1:37" ht="15">
      <c r="A522" s="120">
        <f>ROW()</f>
        <v>522</v>
      </c>
      <c r="B522" s="120" t="s">
        <v>105</v>
      </c>
      <c r="C522" s="1" t="s">
        <v>10</v>
      </c>
      <c r="D522" s="2" t="s">
        <v>11</v>
      </c>
      <c r="E522" s="121"/>
      <c r="F522" s="138"/>
      <c r="G522" s="119"/>
      <c r="X522" s="3"/>
      <c r="AD522" s="119"/>
      <c r="AE522" s="119"/>
      <c r="AF522" s="119"/>
      <c r="AG522" s="119"/>
      <c r="AI522" t="str">
        <f t="shared" si="217"/>
        <v>565NPC</v>
      </c>
      <c r="AJ522" t="str">
        <f t="shared" si="203"/>
        <v>NA</v>
      </c>
      <c r="AK522" t="str">
        <f>IF(ISERROR(MATCH(AI522&amp;"."&amp;AJ522,AK$91:AK521,0)),AI522&amp;"."&amp;AJ522,AI522&amp;"."&amp;AJ522&amp;COUNTIFS(AI$91:AI521,AI522,AJ$91:AJ521,AJ522))</f>
        <v>565NPC.NA</v>
      </c>
    </row>
    <row r="523" spans="1:37" ht="15">
      <c r="A523" s="120">
        <f>ROW()</f>
        <v>523</v>
      </c>
      <c r="B523" s="120" t="s">
        <v>105</v>
      </c>
      <c r="C523" s="1"/>
      <c r="E523" s="121" t="s">
        <v>15</v>
      </c>
      <c r="F523" s="138" t="str">
        <f>INDEX(FuncAllocOptions,ROW(A523)-ROW($A$92)+1,[4]Inputs!$S$11)</f>
        <v>T</v>
      </c>
      <c r="G523" s="117" t="e">
        <f>SUMIF(FERCJAMFactor,AK523,JAMValue)</f>
        <v>#VALUE!</v>
      </c>
      <c r="H523" s="116" t="e">
        <f t="shared" ref="H523:L524" si="227">INDEX(FuncFactorTbl,MATCH($F523,FuncFactors,0),MATCH(H$8,Functions,0))*$G523</f>
        <v>#VALUE!</v>
      </c>
      <c r="I523" s="116" t="e">
        <f t="shared" si="227"/>
        <v>#VALUE!</v>
      </c>
      <c r="J523" s="116" t="e">
        <f t="shared" si="227"/>
        <v>#VALUE!</v>
      </c>
      <c r="K523" s="116" t="e">
        <f t="shared" si="227"/>
        <v>#VALUE!</v>
      </c>
      <c r="L523" s="116" t="e">
        <f t="shared" si="227"/>
        <v>#VALUE!</v>
      </c>
      <c r="M523" s="164">
        <v>1</v>
      </c>
      <c r="O523" s="116">
        <v>0</v>
      </c>
      <c r="P523" s="116">
        <v>0</v>
      </c>
      <c r="Q523" s="116">
        <v>0</v>
      </c>
      <c r="R523" s="116">
        <v>0</v>
      </c>
      <c r="S523" s="108">
        <v>0.75</v>
      </c>
      <c r="T523" s="116" t="e">
        <f>$I523*$S523*$M523</f>
        <v>#VALUE!</v>
      </c>
      <c r="U523" s="116" t="e">
        <f>$I523*(1-$S523)*$M523</f>
        <v>#VALUE!</v>
      </c>
      <c r="V523" s="116" t="e">
        <f>$I523*$S523*(1-$M523)</f>
        <v>#VALUE!</v>
      </c>
      <c r="W523" s="116" t="e">
        <f>$I523*(1-$S523)*(1-$M523)</f>
        <v>#VALUE!</v>
      </c>
      <c r="X523" s="3"/>
      <c r="AD523" s="117" t="e">
        <f>ROUND(SUM(-G523,H523:L523),0)</f>
        <v>#VALUE!</v>
      </c>
      <c r="AE523" s="117" t="e">
        <f>ROUND(H523-O523-P523-Q523-R523,0)</f>
        <v>#VALUE!</v>
      </c>
      <c r="AF523" s="117" t="e">
        <f>ROUND(I523-T523-U523-V523-W523,0)</f>
        <v>#VALUE!</v>
      </c>
      <c r="AG523" s="117" t="e">
        <f>ROUND(J523-Y523-Z523-AA523-AC523-AB523,0)</f>
        <v>#VALUE!</v>
      </c>
      <c r="AH523" s="116"/>
      <c r="AI523" t="str">
        <f t="shared" si="217"/>
        <v>565NPC</v>
      </c>
      <c r="AJ523" t="str">
        <f t="shared" si="203"/>
        <v>SG</v>
      </c>
      <c r="AK523" t="str">
        <f>IF(ISERROR(MATCH(AI523&amp;"."&amp;AJ523,AK$91:AK522,0)),AI523&amp;"."&amp;AJ523,AI523&amp;"."&amp;AJ523&amp;COUNTIFS(AI$91:AI522,AI523,AJ$91:AJ522,AJ523))</f>
        <v>565NPC.SG</v>
      </c>
    </row>
    <row r="524" spans="1:37" ht="15">
      <c r="A524" s="120">
        <f>ROW()</f>
        <v>524</v>
      </c>
      <c r="B524" s="120" t="s">
        <v>105</v>
      </c>
      <c r="C524" s="1"/>
      <c r="E524" s="121" t="s">
        <v>16</v>
      </c>
      <c r="F524" s="138" t="str">
        <f>INDEX(FuncAllocOptions,ROW(A524)-ROW($A$92)+1,[4]Inputs!$S$11)</f>
        <v>T</v>
      </c>
      <c r="G524" s="133" t="e">
        <f>SUMIF(FERCJAMFactor,AK524,JAMValue)</f>
        <v>#VALUE!</v>
      </c>
      <c r="H524" s="139" t="e">
        <f t="shared" si="227"/>
        <v>#VALUE!</v>
      </c>
      <c r="I524" s="139" t="e">
        <f t="shared" si="227"/>
        <v>#VALUE!</v>
      </c>
      <c r="J524" s="139" t="e">
        <f t="shared" si="227"/>
        <v>#VALUE!</v>
      </c>
      <c r="K524" s="139" t="e">
        <f t="shared" si="227"/>
        <v>#VALUE!</v>
      </c>
      <c r="L524" s="139" t="e">
        <f t="shared" si="227"/>
        <v>#VALUE!</v>
      </c>
      <c r="M524" s="164">
        <v>1</v>
      </c>
      <c r="O524" s="116">
        <v>0</v>
      </c>
      <c r="P524" s="116">
        <v>0</v>
      </c>
      <c r="Q524" s="116">
        <v>0</v>
      </c>
      <c r="R524" s="116">
        <v>0</v>
      </c>
      <c r="S524" s="108">
        <v>0</v>
      </c>
      <c r="T524" s="116" t="e">
        <f>$I524*$S524*$M524</f>
        <v>#VALUE!</v>
      </c>
      <c r="U524" s="116" t="e">
        <f>$I524*(1-$S524)*$M524</f>
        <v>#VALUE!</v>
      </c>
      <c r="V524" s="116" t="e">
        <f>$I524*$S524*(1-$M524)</f>
        <v>#VALUE!</v>
      </c>
      <c r="W524" s="116" t="e">
        <f>$I524*(1-$S524)*(1-$M524)</f>
        <v>#VALUE!</v>
      </c>
      <c r="X524" s="3"/>
      <c r="AD524" s="117" t="e">
        <f>ROUND(SUM(-G524,H524:L524),0)</f>
        <v>#VALUE!</v>
      </c>
      <c r="AE524" s="117" t="e">
        <f>ROUND(H524-O524-P524-Q524-R524,0)</f>
        <v>#VALUE!</v>
      </c>
      <c r="AF524" s="117" t="e">
        <f>ROUND(I524-T524-U524-V524-W524,0)</f>
        <v>#VALUE!</v>
      </c>
      <c r="AG524" s="117" t="e">
        <f>ROUND(J524-Y524-Z524-AA524-AC524-AB524,0)</f>
        <v>#VALUE!</v>
      </c>
      <c r="AH524" s="116"/>
      <c r="AI524" t="str">
        <f t="shared" si="217"/>
        <v>565NPC</v>
      </c>
      <c r="AJ524" t="str">
        <f t="shared" si="203"/>
        <v>SE</v>
      </c>
      <c r="AK524" t="str">
        <f>IF(ISERROR(MATCH(AI524&amp;"."&amp;AJ524,AK$91:AK523,0)),AI524&amp;"."&amp;AJ524,AI524&amp;"."&amp;AJ524&amp;COUNTIFS(AI$91:AI523,AI524,AJ$91:AJ523,AJ524))</f>
        <v>565NPC.SE</v>
      </c>
    </row>
    <row r="525" spans="1:37" ht="15">
      <c r="A525" s="120">
        <f>ROW()</f>
        <v>525</v>
      </c>
      <c r="B525" s="120" t="s">
        <v>105</v>
      </c>
      <c r="C525" s="1"/>
      <c r="E525" s="121"/>
      <c r="F525" s="138"/>
      <c r="G525" s="117" t="e">
        <f t="shared" ref="G525:L525" si="228">SUM(G523:G524)</f>
        <v>#VALUE!</v>
      </c>
      <c r="H525" s="116" t="e">
        <f t="shared" si="228"/>
        <v>#VALUE!</v>
      </c>
      <c r="I525" s="116" t="e">
        <f t="shared" si="228"/>
        <v>#VALUE!</v>
      </c>
      <c r="J525" s="116" t="e">
        <f t="shared" si="228"/>
        <v>#VALUE!</v>
      </c>
      <c r="K525" s="116" t="e">
        <f t="shared" si="228"/>
        <v>#VALUE!</v>
      </c>
      <c r="L525" s="116" t="e">
        <f t="shared" si="228"/>
        <v>#VALUE!</v>
      </c>
      <c r="O525" s="116">
        <f>SUM(O523:O524)</f>
        <v>0</v>
      </c>
      <c r="P525" s="116">
        <f>SUM(P523:P524)</f>
        <v>0</v>
      </c>
      <c r="Q525" s="116">
        <f>SUM(Q523:Q524)</f>
        <v>0</v>
      </c>
      <c r="R525" s="116">
        <f>SUM(R523:R524)</f>
        <v>0</v>
      </c>
      <c r="T525" s="116" t="e">
        <f>SUM(T523:T524)</f>
        <v>#VALUE!</v>
      </c>
      <c r="U525" s="116" t="e">
        <f>SUM(U523:U524)</f>
        <v>#VALUE!</v>
      </c>
      <c r="V525" s="116" t="e">
        <f>SUM(V523:V524)</f>
        <v>#VALUE!</v>
      </c>
      <c r="W525" s="116" t="e">
        <f>SUM(W523:W524)</f>
        <v>#VALUE!</v>
      </c>
      <c r="X525" s="3"/>
      <c r="Y525" s="116">
        <f>SUM(Y523:Y524)</f>
        <v>0</v>
      </c>
      <c r="Z525" s="116">
        <f>SUM(Z523:Z524)</f>
        <v>0</v>
      </c>
      <c r="AA525" s="116">
        <f>SUM(AA523:AA524)</f>
        <v>0</v>
      </c>
      <c r="AB525" s="116">
        <f>SUM(AB523:AB524)</f>
        <v>0</v>
      </c>
      <c r="AC525" s="116">
        <f>SUM(AC523:AC524)</f>
        <v>0</v>
      </c>
      <c r="AD525" s="117" t="e">
        <f>ROUND(SUM(-G525,H525:L525),0)</f>
        <v>#VALUE!</v>
      </c>
      <c r="AE525" s="117" t="e">
        <f>ROUND(H525-O525-P525-Q525-R525,0)</f>
        <v>#VALUE!</v>
      </c>
      <c r="AF525" s="117" t="e">
        <f>ROUND(I525-T525-U525-V525-W525,0)</f>
        <v>#VALUE!</v>
      </c>
      <c r="AG525" s="117" t="e">
        <f>ROUND(J525-Y525-Z525-AA525-AC525-AB525,0)</f>
        <v>#VALUE!</v>
      </c>
      <c r="AH525" s="116"/>
      <c r="AI525" t="str">
        <f t="shared" si="217"/>
        <v>565NPC</v>
      </c>
      <c r="AJ525" t="str">
        <f t="shared" si="203"/>
        <v>NA</v>
      </c>
      <c r="AK525" t="str">
        <f>IF(ISERROR(MATCH(AI525&amp;"."&amp;AJ525,AK$91:AK524,0)),AI525&amp;"."&amp;AJ525,AI525&amp;"."&amp;AJ525&amp;COUNTIFS(AI$91:AI524,AI525,AJ$91:AJ524,AJ525))</f>
        <v>565NPC.NA1</v>
      </c>
    </row>
    <row r="526" spans="1:37" ht="15" hidden="1">
      <c r="A526" s="120">
        <f>ROW()</f>
        <v>526</v>
      </c>
      <c r="B526" s="120"/>
      <c r="C526" s="1"/>
      <c r="E526" s="121"/>
      <c r="F526" s="138"/>
      <c r="G526" s="119"/>
      <c r="X526" s="3"/>
      <c r="AD526" s="119"/>
      <c r="AE526" s="119"/>
      <c r="AF526" s="119"/>
      <c r="AG526" s="119"/>
      <c r="AI526" t="str">
        <f t="shared" si="217"/>
        <v>565NPC</v>
      </c>
      <c r="AJ526" t="str">
        <f t="shared" si="203"/>
        <v>NA</v>
      </c>
      <c r="AK526" t="str">
        <f>IF(ISERROR(MATCH(AI526&amp;"."&amp;AJ526,AK$91:AK525,0)),AI526&amp;"."&amp;AJ526,AI526&amp;"."&amp;AJ526&amp;COUNTIFS(AI$91:AI525,AI526,AJ$91:AJ525,AJ526))</f>
        <v>565NPC.NA2</v>
      </c>
    </row>
    <row r="527" spans="1:37" ht="15" hidden="1">
      <c r="A527" s="120">
        <f>ROW()</f>
        <v>527</v>
      </c>
      <c r="B527" s="120"/>
      <c r="C527" s="1">
        <v>566</v>
      </c>
      <c r="D527" s="2" t="s">
        <v>311</v>
      </c>
      <c r="E527" s="121"/>
      <c r="F527" s="138"/>
      <c r="G527" s="119"/>
      <c r="X527" s="3"/>
      <c r="AD527" s="119"/>
      <c r="AE527" s="119"/>
      <c r="AF527" s="119"/>
      <c r="AG527" s="119"/>
      <c r="AI527">
        <f t="shared" si="217"/>
        <v>566</v>
      </c>
      <c r="AJ527" t="str">
        <f t="shared" si="203"/>
        <v>NA</v>
      </c>
      <c r="AK527" t="str">
        <f>IF(ISERROR(MATCH(AI527&amp;"."&amp;AJ527,AK$91:AK526,0)),AI527&amp;"."&amp;AJ527,AI527&amp;"."&amp;AJ527&amp;COUNTIFS(AI$91:AI526,AI527,AJ$91:AJ526,AJ527))</f>
        <v>566.NA</v>
      </c>
    </row>
    <row r="528" spans="1:37" ht="15" hidden="1">
      <c r="A528" s="120">
        <f>ROW()</f>
        <v>528</v>
      </c>
      <c r="B528" s="120"/>
      <c r="C528" s="1"/>
      <c r="E528" s="121" t="s">
        <v>15</v>
      </c>
      <c r="F528" s="138" t="str">
        <f>INDEX(FuncAllocOptions,ROW(A528)-ROW($A$92)+1,[4]Inputs!$S$11)</f>
        <v>T</v>
      </c>
      <c r="G528" s="133" t="e">
        <f>SUMIF(FERCJAMFactor,AK528,JAMValue)</f>
        <v>#VALUE!</v>
      </c>
      <c r="H528" s="139" t="e">
        <f>INDEX(FuncFactorTbl,MATCH($F528,FuncFactors,0),MATCH(H$8,Functions,0))*$G528</f>
        <v>#VALUE!</v>
      </c>
      <c r="I528" s="139" t="e">
        <f>INDEX(FuncFactorTbl,MATCH($F528,FuncFactors,0),MATCH(I$8,Functions,0))*$G528</f>
        <v>#VALUE!</v>
      </c>
      <c r="J528" s="139" t="e">
        <f>INDEX(FuncFactorTbl,MATCH($F528,FuncFactors,0),MATCH(J$8,Functions,0))*$G528</f>
        <v>#VALUE!</v>
      </c>
      <c r="K528" s="139" t="e">
        <f>INDEX(FuncFactorTbl,MATCH($F528,FuncFactors,0),MATCH(K$8,Functions,0))*$G528</f>
        <v>#VALUE!</v>
      </c>
      <c r="L528" s="139" t="e">
        <f>INDEX(FuncFactorTbl,MATCH($F528,FuncFactors,0),MATCH(L$8,Functions,0))*$G528</f>
        <v>#VALUE!</v>
      </c>
      <c r="O528" s="116">
        <v>0</v>
      </c>
      <c r="P528" s="116">
        <v>0</v>
      </c>
      <c r="Q528" s="116">
        <v>0</v>
      </c>
      <c r="R528" s="116">
        <v>0</v>
      </c>
      <c r="S528" s="108">
        <v>0.75</v>
      </c>
      <c r="T528" s="116" t="e">
        <f>$I528*$S528*$M528</f>
        <v>#VALUE!</v>
      </c>
      <c r="U528" s="116" t="e">
        <f>$I528*(1-$S528)*$M528</f>
        <v>#VALUE!</v>
      </c>
      <c r="V528" s="116" t="e">
        <f>$I528*$S528*(1-$M528)</f>
        <v>#VALUE!</v>
      </c>
      <c r="W528" s="116" t="e">
        <f>$I528*(1-$S528)*(1-$M528)</f>
        <v>#VALUE!</v>
      </c>
      <c r="X528" s="3"/>
      <c r="AD528" s="117" t="e">
        <f>ROUND(SUM(-G528,H528:L528),0)</f>
        <v>#VALUE!</v>
      </c>
      <c r="AE528" s="117" t="e">
        <f>ROUND(H528-O528-P528-Q528-R528,0)</f>
        <v>#VALUE!</v>
      </c>
      <c r="AF528" s="117" t="e">
        <f>ROUND(I528-T528-U528-V528-W528,0)</f>
        <v>#VALUE!</v>
      </c>
      <c r="AG528" s="117" t="e">
        <f>ROUND(J528-Y528-Z528-AA528-AC528-AB528,0)</f>
        <v>#VALUE!</v>
      </c>
      <c r="AH528" s="116"/>
      <c r="AI528">
        <f t="shared" si="217"/>
        <v>566</v>
      </c>
      <c r="AJ528" t="str">
        <f t="shared" si="203"/>
        <v>SG</v>
      </c>
      <c r="AK528" t="str">
        <f>IF(ISERROR(MATCH(AI528&amp;"."&amp;AJ528,AK$91:AK527,0)),AI528&amp;"."&amp;AJ528,AI528&amp;"."&amp;AJ528&amp;COUNTIFS(AI$91:AI527,AI528,AJ$91:AJ527,AJ528))</f>
        <v>566.SG</v>
      </c>
    </row>
    <row r="529" spans="1:37" ht="15" hidden="1">
      <c r="A529" s="120">
        <f>ROW()</f>
        <v>529</v>
      </c>
      <c r="B529" s="120"/>
      <c r="C529" s="1"/>
      <c r="E529" s="121"/>
      <c r="F529" s="138"/>
      <c r="G529" s="146" t="e">
        <f t="shared" ref="G529:L529" si="229">SUM(G528)</f>
        <v>#VALUE!</v>
      </c>
      <c r="H529" s="145" t="e">
        <f t="shared" si="229"/>
        <v>#VALUE!</v>
      </c>
      <c r="I529" s="145" t="e">
        <f t="shared" si="229"/>
        <v>#VALUE!</v>
      </c>
      <c r="J529" s="145" t="e">
        <f t="shared" si="229"/>
        <v>#VALUE!</v>
      </c>
      <c r="K529" s="145" t="e">
        <f t="shared" si="229"/>
        <v>#VALUE!</v>
      </c>
      <c r="L529" s="145" t="e">
        <f t="shared" si="229"/>
        <v>#VALUE!</v>
      </c>
      <c r="O529" s="116">
        <f>SUM(O528)</f>
        <v>0</v>
      </c>
      <c r="P529" s="116">
        <f>SUM(P528)</f>
        <v>0</v>
      </c>
      <c r="Q529" s="116">
        <f>SUM(Q528)</f>
        <v>0</v>
      </c>
      <c r="R529" s="116">
        <f>SUM(R528)</f>
        <v>0</v>
      </c>
      <c r="T529" s="116" t="e">
        <f>SUM(T528)</f>
        <v>#VALUE!</v>
      </c>
      <c r="U529" s="116" t="e">
        <f>SUM(U528)</f>
        <v>#VALUE!</v>
      </c>
      <c r="V529" s="116" t="e">
        <f>SUM(V528)</f>
        <v>#VALUE!</v>
      </c>
      <c r="W529" s="116" t="e">
        <f>SUM(W528)</f>
        <v>#VALUE!</v>
      </c>
      <c r="X529" s="3"/>
      <c r="Y529" s="116">
        <f>SUM(Y528)</f>
        <v>0</v>
      </c>
      <c r="Z529" s="116">
        <f>SUM(Z528)</f>
        <v>0</v>
      </c>
      <c r="AA529" s="116">
        <f>SUM(AA528)</f>
        <v>0</v>
      </c>
      <c r="AB529" s="116">
        <f>SUM(AB528)</f>
        <v>0</v>
      </c>
      <c r="AC529" s="116">
        <f>SUM(AC528)</f>
        <v>0</v>
      </c>
      <c r="AD529" s="117" t="e">
        <f>ROUND(SUM(-G529,H529:L529),0)</f>
        <v>#VALUE!</v>
      </c>
      <c r="AE529" s="117" t="e">
        <f>ROUND(H529-O529-P529-Q529-R529,0)</f>
        <v>#VALUE!</v>
      </c>
      <c r="AF529" s="117" t="e">
        <f>ROUND(I529-T529-U529-V529-W529,0)</f>
        <v>#VALUE!</v>
      </c>
      <c r="AG529" s="117" t="e">
        <f>ROUND(J529-Y529-Z529-AA529-AC529-AB529,0)</f>
        <v>#VALUE!</v>
      </c>
      <c r="AH529" s="116"/>
      <c r="AI529">
        <f t="shared" si="217"/>
        <v>566</v>
      </c>
      <c r="AJ529" t="str">
        <f t="shared" si="203"/>
        <v>NA</v>
      </c>
      <c r="AK529" t="str">
        <f>IF(ISERROR(MATCH(AI529&amp;"."&amp;AJ529,AK$91:AK528,0)),AI529&amp;"."&amp;AJ529,AI529&amp;"."&amp;AJ529&amp;COUNTIFS(AI$91:AI528,AI529,AJ$91:AJ528,AJ529))</f>
        <v>566.NA1</v>
      </c>
    </row>
    <row r="530" spans="1:37" ht="15" hidden="1">
      <c r="A530" s="120">
        <f>ROW()</f>
        <v>530</v>
      </c>
      <c r="B530" s="120"/>
      <c r="C530" s="1"/>
      <c r="E530" s="121"/>
      <c r="F530" s="138"/>
      <c r="G530" s="119"/>
      <c r="X530" s="3"/>
      <c r="AD530" s="119"/>
      <c r="AE530" s="119"/>
      <c r="AF530" s="119"/>
      <c r="AG530" s="119"/>
      <c r="AI530">
        <f t="shared" si="217"/>
        <v>566</v>
      </c>
      <c r="AJ530" t="str">
        <f t="shared" si="203"/>
        <v>NA</v>
      </c>
      <c r="AK530" t="str">
        <f>IF(ISERROR(MATCH(AI530&amp;"."&amp;AJ530,AK$91:AK529,0)),AI530&amp;"."&amp;AJ530,AI530&amp;"."&amp;AJ530&amp;COUNTIFS(AI$91:AI529,AI530,AJ$91:AJ529,AJ530))</f>
        <v>566.NA2</v>
      </c>
    </row>
    <row r="531" spans="1:37" ht="15" hidden="1">
      <c r="A531" s="120">
        <f>ROW()</f>
        <v>531</v>
      </c>
      <c r="B531" s="120"/>
      <c r="C531" s="1">
        <v>567</v>
      </c>
      <c r="D531" s="2" t="s">
        <v>312</v>
      </c>
      <c r="E531" s="121"/>
      <c r="F531" s="138"/>
      <c r="G531" s="119"/>
      <c r="X531" s="3"/>
      <c r="AD531" s="119"/>
      <c r="AE531" s="119"/>
      <c r="AF531" s="119"/>
      <c r="AG531" s="119"/>
      <c r="AI531">
        <f t="shared" si="217"/>
        <v>567</v>
      </c>
      <c r="AJ531" t="str">
        <f t="shared" si="203"/>
        <v>NA</v>
      </c>
      <c r="AK531" t="str">
        <f>IF(ISERROR(MATCH(AI531&amp;"."&amp;AJ531,AK$91:AK530,0)),AI531&amp;"."&amp;AJ531,AI531&amp;"."&amp;AJ531&amp;COUNTIFS(AI$91:AI530,AI531,AJ$91:AJ530,AJ531))</f>
        <v>567.NA</v>
      </c>
    </row>
    <row r="532" spans="1:37" ht="15" hidden="1">
      <c r="A532" s="120">
        <f>ROW()</f>
        <v>532</v>
      </c>
      <c r="B532" s="120"/>
      <c r="C532" s="1"/>
      <c r="E532" s="121" t="s">
        <v>15</v>
      </c>
      <c r="F532" s="138" t="str">
        <f>INDEX(FuncAllocOptions,ROW(A532)-ROW($A$92)+1,[4]Inputs!$S$11)</f>
        <v>T</v>
      </c>
      <c r="G532" s="133" t="e">
        <f>SUMIF(FERCJAMFactor,AK532,JAMValue)</f>
        <v>#VALUE!</v>
      </c>
      <c r="H532" s="139" t="e">
        <f>INDEX(FuncFactorTbl,MATCH($F532,FuncFactors,0),MATCH(H$8,Functions,0))*$G532</f>
        <v>#VALUE!</v>
      </c>
      <c r="I532" s="139" t="e">
        <f>INDEX(FuncFactorTbl,MATCH($F532,FuncFactors,0),MATCH(I$8,Functions,0))*$G532</f>
        <v>#VALUE!</v>
      </c>
      <c r="J532" s="139" t="e">
        <f>INDEX(FuncFactorTbl,MATCH($F532,FuncFactors,0),MATCH(J$8,Functions,0))*$G532</f>
        <v>#VALUE!</v>
      </c>
      <c r="K532" s="139" t="e">
        <f>INDEX(FuncFactorTbl,MATCH($F532,FuncFactors,0),MATCH(K$8,Functions,0))*$G532</f>
        <v>#VALUE!</v>
      </c>
      <c r="L532" s="139" t="e">
        <f>INDEX(FuncFactorTbl,MATCH($F532,FuncFactors,0),MATCH(L$8,Functions,0))*$G532</f>
        <v>#VALUE!</v>
      </c>
      <c r="O532" s="116">
        <v>0</v>
      </c>
      <c r="P532" s="116">
        <v>0</v>
      </c>
      <c r="Q532" s="116">
        <v>0</v>
      </c>
      <c r="R532" s="116">
        <v>0</v>
      </c>
      <c r="S532" s="108">
        <v>0.75</v>
      </c>
      <c r="T532" s="116" t="e">
        <f>$I532*$S532*$M532</f>
        <v>#VALUE!</v>
      </c>
      <c r="U532" s="116" t="e">
        <f>$I532*(1-$S532)*$M532</f>
        <v>#VALUE!</v>
      </c>
      <c r="V532" s="116" t="e">
        <f>$I532*$S532*(1-$M532)</f>
        <v>#VALUE!</v>
      </c>
      <c r="W532" s="116" t="e">
        <f>$I532*(1-$S532)*(1-$M532)</f>
        <v>#VALUE!</v>
      </c>
      <c r="X532" s="3"/>
      <c r="AD532" s="117" t="e">
        <f>ROUND(SUM(-G532,H532:L532),0)</f>
        <v>#VALUE!</v>
      </c>
      <c r="AE532" s="117" t="e">
        <f>ROUND(H532-O532-P532-Q532-R532,0)</f>
        <v>#VALUE!</v>
      </c>
      <c r="AF532" s="117" t="e">
        <f>ROUND(I532-T532-U532-V532-W532,0)</f>
        <v>#VALUE!</v>
      </c>
      <c r="AG532" s="117" t="e">
        <f>ROUND(J532-Y532-Z532-AA532-AC532-AB532,0)</f>
        <v>#VALUE!</v>
      </c>
      <c r="AH532" s="116"/>
      <c r="AI532">
        <f t="shared" si="217"/>
        <v>567</v>
      </c>
      <c r="AJ532" t="str">
        <f t="shared" si="203"/>
        <v>SG</v>
      </c>
      <c r="AK532" t="str">
        <f>IF(ISERROR(MATCH(AI532&amp;"."&amp;AJ532,AK$91:AK531,0)),AI532&amp;"."&amp;AJ532,AI532&amp;"."&amp;AJ532&amp;COUNTIFS(AI$91:AI531,AI532,AJ$91:AJ531,AJ532))</f>
        <v>567.SG</v>
      </c>
    </row>
    <row r="533" spans="1:37" ht="15" hidden="1">
      <c r="A533" s="120">
        <f>ROW()</f>
        <v>533</v>
      </c>
      <c r="B533" s="120"/>
      <c r="C533" s="1"/>
      <c r="E533" s="121"/>
      <c r="F533" s="138"/>
      <c r="G533" s="146" t="e">
        <f t="shared" ref="G533:L533" si="230">SUM(G532)</f>
        <v>#VALUE!</v>
      </c>
      <c r="H533" s="145" t="e">
        <f t="shared" si="230"/>
        <v>#VALUE!</v>
      </c>
      <c r="I533" s="145" t="e">
        <f t="shared" si="230"/>
        <v>#VALUE!</v>
      </c>
      <c r="J533" s="145" t="e">
        <f t="shared" si="230"/>
        <v>#VALUE!</v>
      </c>
      <c r="K533" s="145" t="e">
        <f t="shared" si="230"/>
        <v>#VALUE!</v>
      </c>
      <c r="L533" s="145" t="e">
        <f t="shared" si="230"/>
        <v>#VALUE!</v>
      </c>
      <c r="O533" s="116">
        <f>SUM(O532)</f>
        <v>0</v>
      </c>
      <c r="P533" s="116">
        <f>SUM(P532)</f>
        <v>0</v>
      </c>
      <c r="Q533" s="116">
        <f>SUM(Q532)</f>
        <v>0</v>
      </c>
      <c r="R533" s="116">
        <f>SUM(R532)</f>
        <v>0</v>
      </c>
      <c r="T533" s="116" t="e">
        <f>SUM(T532)</f>
        <v>#VALUE!</v>
      </c>
      <c r="U533" s="116" t="e">
        <f>SUM(U532)</f>
        <v>#VALUE!</v>
      </c>
      <c r="V533" s="116" t="e">
        <f>SUM(V532)</f>
        <v>#VALUE!</v>
      </c>
      <c r="W533" s="116" t="e">
        <f>SUM(W532)</f>
        <v>#VALUE!</v>
      </c>
      <c r="X533" s="3"/>
      <c r="Y533" s="116">
        <f>SUM(Y532)</f>
        <v>0</v>
      </c>
      <c r="Z533" s="116">
        <f>SUM(Z532)</f>
        <v>0</v>
      </c>
      <c r="AA533" s="116">
        <f>SUM(AA532)</f>
        <v>0</v>
      </c>
      <c r="AB533" s="116">
        <f>SUM(AB532)</f>
        <v>0</v>
      </c>
      <c r="AC533" s="116">
        <f>SUM(AC532)</f>
        <v>0</v>
      </c>
      <c r="AD533" s="117" t="e">
        <f>ROUND(SUM(-G533,H533:L533),0)</f>
        <v>#VALUE!</v>
      </c>
      <c r="AE533" s="117" t="e">
        <f>ROUND(H533-O533-P533-Q533-R533,0)</f>
        <v>#VALUE!</v>
      </c>
      <c r="AF533" s="117" t="e">
        <f>ROUND(I533-T533-U533-V533-W533,0)</f>
        <v>#VALUE!</v>
      </c>
      <c r="AG533" s="117" t="e">
        <f>ROUND(J533-Y533-Z533-AA533-AC533-AB533,0)</f>
        <v>#VALUE!</v>
      </c>
      <c r="AH533" s="116"/>
      <c r="AI533">
        <f t="shared" si="217"/>
        <v>567</v>
      </c>
      <c r="AJ533" t="str">
        <f t="shared" si="203"/>
        <v>NA</v>
      </c>
      <c r="AK533" t="str">
        <f>IF(ISERROR(MATCH(AI533&amp;"."&amp;AJ533,AK$91:AK532,0)),AI533&amp;"."&amp;AJ533,AI533&amp;"."&amp;AJ533&amp;COUNTIFS(AI$91:AI532,AI533,AJ$91:AJ532,AJ533))</f>
        <v>567.NA1</v>
      </c>
    </row>
    <row r="534" spans="1:37" ht="15" hidden="1">
      <c r="A534" s="120">
        <f>ROW()</f>
        <v>534</v>
      </c>
      <c r="B534" s="120"/>
      <c r="C534" s="1"/>
      <c r="E534" s="121"/>
      <c r="F534" s="138"/>
      <c r="G534" s="119"/>
      <c r="X534" s="3"/>
      <c r="AD534" s="119"/>
      <c r="AE534" s="119"/>
      <c r="AF534" s="119"/>
      <c r="AG534" s="119"/>
      <c r="AI534">
        <f t="shared" si="217"/>
        <v>567</v>
      </c>
      <c r="AJ534" t="str">
        <f t="shared" si="203"/>
        <v>NA</v>
      </c>
      <c r="AK534" t="str">
        <f>IF(ISERROR(MATCH(AI534&amp;"."&amp;AJ534,AK$91:AK533,0)),AI534&amp;"."&amp;AJ534,AI534&amp;"."&amp;AJ534&amp;COUNTIFS(AI$91:AI533,AI534,AJ$91:AJ533,AJ534))</f>
        <v>567.NA2</v>
      </c>
    </row>
    <row r="535" spans="1:37" ht="15" hidden="1">
      <c r="A535" s="120">
        <f>ROW()</f>
        <v>535</v>
      </c>
      <c r="B535" s="120"/>
      <c r="C535" s="1">
        <v>568</v>
      </c>
      <c r="D535" s="2" t="s">
        <v>188</v>
      </c>
      <c r="E535" s="121"/>
      <c r="F535" s="138"/>
      <c r="G535" s="119"/>
      <c r="X535" s="3"/>
      <c r="AD535" s="119"/>
      <c r="AE535" s="119"/>
      <c r="AF535" s="119"/>
      <c r="AG535" s="119"/>
      <c r="AI535">
        <f t="shared" si="217"/>
        <v>568</v>
      </c>
      <c r="AJ535" t="str">
        <f t="shared" si="203"/>
        <v>NA</v>
      </c>
      <c r="AK535" t="str">
        <f>IF(ISERROR(MATCH(AI535&amp;"."&amp;AJ535,AK$91:AK534,0)),AI535&amp;"."&amp;AJ535,AI535&amp;"."&amp;AJ535&amp;COUNTIFS(AI$91:AI534,AI535,AJ$91:AJ534,AJ535))</f>
        <v>568.NA</v>
      </c>
    </row>
    <row r="536" spans="1:37" ht="15" hidden="1">
      <c r="A536" s="120">
        <f>ROW()</f>
        <v>536</v>
      </c>
      <c r="B536" s="120"/>
      <c r="C536" s="1"/>
      <c r="E536" s="121" t="s">
        <v>15</v>
      </c>
      <c r="F536" s="138" t="str">
        <f>INDEX(FuncAllocOptions,ROW(A536)-ROW($A$92)+1,[4]Inputs!$S$11)</f>
        <v>T</v>
      </c>
      <c r="G536" s="133" t="e">
        <f>SUMIF(FERCJAMFactor,AK536,JAMValue)</f>
        <v>#VALUE!</v>
      </c>
      <c r="H536" s="139" t="e">
        <f>INDEX(FuncFactorTbl,MATCH($F536,FuncFactors,0),MATCH(H$8,Functions,0))*$G536</f>
        <v>#VALUE!</v>
      </c>
      <c r="I536" s="139" t="e">
        <f>INDEX(FuncFactorTbl,MATCH($F536,FuncFactors,0),MATCH(I$8,Functions,0))*$G536</f>
        <v>#VALUE!</v>
      </c>
      <c r="J536" s="139" t="e">
        <f>INDEX(FuncFactorTbl,MATCH($F536,FuncFactors,0),MATCH(J$8,Functions,0))*$G536</f>
        <v>#VALUE!</v>
      </c>
      <c r="K536" s="139" t="e">
        <f>INDEX(FuncFactorTbl,MATCH($F536,FuncFactors,0),MATCH(K$8,Functions,0))*$G536</f>
        <v>#VALUE!</v>
      </c>
      <c r="L536" s="139" t="e">
        <f>INDEX(FuncFactorTbl,MATCH($F536,FuncFactors,0),MATCH(L$8,Functions,0))*$G536</f>
        <v>#VALUE!</v>
      </c>
      <c r="O536" s="116">
        <v>0</v>
      </c>
      <c r="P536" s="116">
        <v>0</v>
      </c>
      <c r="Q536" s="116">
        <v>0</v>
      </c>
      <c r="R536" s="116">
        <v>0</v>
      </c>
      <c r="S536" s="108">
        <v>0.75</v>
      </c>
      <c r="T536" s="116" t="e">
        <f>$I536*$S536*$M536</f>
        <v>#VALUE!</v>
      </c>
      <c r="U536" s="116" t="e">
        <f>$I536*(1-$S536)*$M536</f>
        <v>#VALUE!</v>
      </c>
      <c r="V536" s="116" t="e">
        <f>$I536*$S536*(1-$M536)</f>
        <v>#VALUE!</v>
      </c>
      <c r="W536" s="116" t="e">
        <f>$I536*(1-$S536)*(1-$M536)</f>
        <v>#VALUE!</v>
      </c>
      <c r="X536" s="3"/>
      <c r="AD536" s="117" t="e">
        <f>ROUND(SUM(-G536,H536:L536),0)</f>
        <v>#VALUE!</v>
      </c>
      <c r="AE536" s="117" t="e">
        <f>ROUND(H536-O536-P536-Q536-R536,0)</f>
        <v>#VALUE!</v>
      </c>
      <c r="AF536" s="117" t="e">
        <f>ROUND(I536-T536-U536-V536-W536,0)</f>
        <v>#VALUE!</v>
      </c>
      <c r="AG536" s="117" t="e">
        <f>ROUND(J536-Y536-Z536-AA536-AC536-AB536,0)</f>
        <v>#VALUE!</v>
      </c>
      <c r="AH536" s="116"/>
      <c r="AI536">
        <f t="shared" si="217"/>
        <v>568</v>
      </c>
      <c r="AJ536" t="str">
        <f t="shared" si="203"/>
        <v>SG</v>
      </c>
      <c r="AK536" t="str">
        <f>IF(ISERROR(MATCH(AI536&amp;"."&amp;AJ536,AK$91:AK535,0)),AI536&amp;"."&amp;AJ536,AI536&amp;"."&amp;AJ536&amp;COUNTIFS(AI$91:AI535,AI536,AJ$91:AJ535,AJ536))</f>
        <v>568.SG</v>
      </c>
    </row>
    <row r="537" spans="1:37" ht="15" hidden="1">
      <c r="A537" s="120">
        <f>ROW()</f>
        <v>537</v>
      </c>
      <c r="B537" s="120"/>
      <c r="C537" s="1"/>
      <c r="E537" s="121"/>
      <c r="F537" s="138"/>
      <c r="G537" s="146" t="e">
        <f t="shared" ref="G537:L537" si="231">SUM(G536)</f>
        <v>#VALUE!</v>
      </c>
      <c r="H537" s="145" t="e">
        <f t="shared" si="231"/>
        <v>#VALUE!</v>
      </c>
      <c r="I537" s="145" t="e">
        <f t="shared" si="231"/>
        <v>#VALUE!</v>
      </c>
      <c r="J537" s="145" t="e">
        <f t="shared" si="231"/>
        <v>#VALUE!</v>
      </c>
      <c r="K537" s="145" t="e">
        <f t="shared" si="231"/>
        <v>#VALUE!</v>
      </c>
      <c r="L537" s="145" t="e">
        <f t="shared" si="231"/>
        <v>#VALUE!</v>
      </c>
      <c r="O537" s="116">
        <f>SUM(O536)</f>
        <v>0</v>
      </c>
      <c r="P537" s="116">
        <f>SUM(P536)</f>
        <v>0</v>
      </c>
      <c r="Q537" s="116">
        <f>SUM(Q536)</f>
        <v>0</v>
      </c>
      <c r="R537" s="116">
        <f>SUM(R536)</f>
        <v>0</v>
      </c>
      <c r="T537" s="116" t="e">
        <f>SUM(T536)</f>
        <v>#VALUE!</v>
      </c>
      <c r="U537" s="116" t="e">
        <f>SUM(U536)</f>
        <v>#VALUE!</v>
      </c>
      <c r="V537" s="116" t="e">
        <f>SUM(V536)</f>
        <v>#VALUE!</v>
      </c>
      <c r="W537" s="116" t="e">
        <f>SUM(W536)</f>
        <v>#VALUE!</v>
      </c>
      <c r="X537" s="3"/>
      <c r="Y537" s="116">
        <f>SUM(Y536)</f>
        <v>0</v>
      </c>
      <c r="Z537" s="116">
        <f>SUM(Z536)</f>
        <v>0</v>
      </c>
      <c r="AA537" s="116">
        <f>SUM(AA536)</f>
        <v>0</v>
      </c>
      <c r="AB537" s="116">
        <f>SUM(AB536)</f>
        <v>0</v>
      </c>
      <c r="AC537" s="116">
        <f>SUM(AC536)</f>
        <v>0</v>
      </c>
      <c r="AD537" s="117" t="e">
        <f>ROUND(SUM(-G537,H537:L537),0)</f>
        <v>#VALUE!</v>
      </c>
      <c r="AE537" s="117" t="e">
        <f>ROUND(H537-O537-P537-Q537-R537,0)</f>
        <v>#VALUE!</v>
      </c>
      <c r="AF537" s="117" t="e">
        <f>ROUND(I537-T537-U537-V537-W537,0)</f>
        <v>#VALUE!</v>
      </c>
      <c r="AG537" s="117" t="e">
        <f>ROUND(J537-Y537-Z537-AA537-AC537-AB537,0)</f>
        <v>#VALUE!</v>
      </c>
      <c r="AH537" s="116"/>
      <c r="AI537">
        <f t="shared" si="217"/>
        <v>568</v>
      </c>
      <c r="AJ537" t="str">
        <f t="shared" si="203"/>
        <v>NA</v>
      </c>
      <c r="AK537" t="str">
        <f>IF(ISERROR(MATCH(AI537&amp;"."&amp;AJ537,AK$91:AK536,0)),AI537&amp;"."&amp;AJ537,AI537&amp;"."&amp;AJ537&amp;COUNTIFS(AI$91:AI536,AI537,AJ$91:AJ536,AJ537))</f>
        <v>568.NA1</v>
      </c>
    </row>
    <row r="538" spans="1:37" ht="15" hidden="1">
      <c r="A538" s="120">
        <f>ROW()</f>
        <v>538</v>
      </c>
      <c r="B538" s="120"/>
      <c r="C538" s="1"/>
      <c r="E538" s="121"/>
      <c r="F538" s="138"/>
      <c r="G538" s="119"/>
      <c r="X538" s="3"/>
      <c r="AD538" s="119"/>
      <c r="AE538" s="119"/>
      <c r="AF538" s="119"/>
      <c r="AG538" s="119"/>
      <c r="AI538">
        <f t="shared" si="217"/>
        <v>568</v>
      </c>
      <c r="AJ538" t="str">
        <f t="shared" si="203"/>
        <v>NA</v>
      </c>
      <c r="AK538" t="str">
        <f>IF(ISERROR(MATCH(AI538&amp;"."&amp;AJ538,AK$91:AK537,0)),AI538&amp;"."&amp;AJ538,AI538&amp;"."&amp;AJ538&amp;COUNTIFS(AI$91:AI537,AI538,AJ$91:AJ537,AJ538))</f>
        <v>568.NA2</v>
      </c>
    </row>
    <row r="539" spans="1:37" ht="15" hidden="1">
      <c r="A539" s="120">
        <f>ROW()</f>
        <v>539</v>
      </c>
      <c r="B539" s="120"/>
      <c r="C539" s="1">
        <v>569</v>
      </c>
      <c r="D539" s="2" t="s">
        <v>189</v>
      </c>
      <c r="E539" s="121"/>
      <c r="F539" s="138"/>
      <c r="G539" s="119"/>
      <c r="X539" s="3"/>
      <c r="AD539" s="119"/>
      <c r="AE539" s="119"/>
      <c r="AF539" s="119"/>
      <c r="AG539" s="119"/>
      <c r="AI539">
        <f t="shared" si="217"/>
        <v>569</v>
      </c>
      <c r="AJ539" t="str">
        <f t="shared" si="203"/>
        <v>NA</v>
      </c>
      <c r="AK539" t="str">
        <f>IF(ISERROR(MATCH(AI539&amp;"."&amp;AJ539,AK$91:AK538,0)),AI539&amp;"."&amp;AJ539,AI539&amp;"."&amp;AJ539&amp;COUNTIFS(AI$91:AI538,AI539,AJ$91:AJ538,AJ539))</f>
        <v>569.NA</v>
      </c>
    </row>
    <row r="540" spans="1:37" ht="15" hidden="1">
      <c r="A540" s="120">
        <f>ROW()</f>
        <v>540</v>
      </c>
      <c r="B540" s="120"/>
      <c r="C540" s="1"/>
      <c r="E540" s="121" t="s">
        <v>15</v>
      </c>
      <c r="F540" s="138" t="str">
        <f>INDEX(FuncAllocOptions,ROW(A540)-ROW($A$92)+1,[4]Inputs!$S$11)</f>
        <v>T</v>
      </c>
      <c r="G540" s="133" t="e">
        <f>SUMIF(FERCJAMFactor,AK540,JAMValue)</f>
        <v>#VALUE!</v>
      </c>
      <c r="H540" s="139" t="e">
        <f>INDEX(FuncFactorTbl,MATCH($F540,FuncFactors,0),MATCH(H$8,Functions,0))*$G540</f>
        <v>#VALUE!</v>
      </c>
      <c r="I540" s="139" t="e">
        <f>INDEX(FuncFactorTbl,MATCH($F540,FuncFactors,0),MATCH(I$8,Functions,0))*$G540</f>
        <v>#VALUE!</v>
      </c>
      <c r="J540" s="139" t="e">
        <f>INDEX(FuncFactorTbl,MATCH($F540,FuncFactors,0),MATCH(J$8,Functions,0))*$G540</f>
        <v>#VALUE!</v>
      </c>
      <c r="K540" s="139" t="e">
        <f>INDEX(FuncFactorTbl,MATCH($F540,FuncFactors,0),MATCH(K$8,Functions,0))*$G540</f>
        <v>#VALUE!</v>
      </c>
      <c r="L540" s="139" t="e">
        <f>INDEX(FuncFactorTbl,MATCH($F540,FuncFactors,0),MATCH(L$8,Functions,0))*$G540</f>
        <v>#VALUE!</v>
      </c>
      <c r="O540" s="116">
        <v>0</v>
      </c>
      <c r="P540" s="116">
        <v>0</v>
      </c>
      <c r="Q540" s="116">
        <v>0</v>
      </c>
      <c r="R540" s="116">
        <v>0</v>
      </c>
      <c r="S540" s="108">
        <v>0.75</v>
      </c>
      <c r="T540" s="116" t="e">
        <f>$I540*$S540*$M540</f>
        <v>#VALUE!</v>
      </c>
      <c r="U540" s="116" t="e">
        <f>$I540*(1-$S540)*$M540</f>
        <v>#VALUE!</v>
      </c>
      <c r="V540" s="116" t="e">
        <f>$I540*$S540*(1-$M540)</f>
        <v>#VALUE!</v>
      </c>
      <c r="W540" s="116" t="e">
        <f>$I540*(1-$S540)*(1-$M540)</f>
        <v>#VALUE!</v>
      </c>
      <c r="X540" s="3"/>
      <c r="AD540" s="117" t="e">
        <f>ROUND(SUM(-G540,H540:L540),0)</f>
        <v>#VALUE!</v>
      </c>
      <c r="AE540" s="117" t="e">
        <f>ROUND(H540-O540-P540-Q540-R540,0)</f>
        <v>#VALUE!</v>
      </c>
      <c r="AF540" s="117" t="e">
        <f>ROUND(I540-T540-U540-V540-W540,0)</f>
        <v>#VALUE!</v>
      </c>
      <c r="AG540" s="117" t="e">
        <f>ROUND(J540-Y540-Z540-AA540-AC540-AB540,0)</f>
        <v>#VALUE!</v>
      </c>
      <c r="AH540" s="116"/>
      <c r="AI540">
        <f t="shared" si="217"/>
        <v>569</v>
      </c>
      <c r="AJ540" t="str">
        <f t="shared" si="203"/>
        <v>SG</v>
      </c>
      <c r="AK540" t="str">
        <f>IF(ISERROR(MATCH(AI540&amp;"."&amp;AJ540,AK$91:AK539,0)),AI540&amp;"."&amp;AJ540,AI540&amp;"."&amp;AJ540&amp;COUNTIFS(AI$91:AI539,AI540,AJ$91:AJ539,AJ540))</f>
        <v>569.SG</v>
      </c>
    </row>
    <row r="541" spans="1:37" ht="15" hidden="1">
      <c r="A541" s="120">
        <f>ROW()</f>
        <v>541</v>
      </c>
      <c r="B541" s="120"/>
      <c r="C541" s="1"/>
      <c r="E541" s="121"/>
      <c r="F541" s="138"/>
      <c r="G541" s="146" t="e">
        <f t="shared" ref="G541:L541" si="232">SUM(G540)</f>
        <v>#VALUE!</v>
      </c>
      <c r="H541" s="145" t="e">
        <f t="shared" si="232"/>
        <v>#VALUE!</v>
      </c>
      <c r="I541" s="145" t="e">
        <f t="shared" si="232"/>
        <v>#VALUE!</v>
      </c>
      <c r="J541" s="145" t="e">
        <f t="shared" si="232"/>
        <v>#VALUE!</v>
      </c>
      <c r="K541" s="145" t="e">
        <f t="shared" si="232"/>
        <v>#VALUE!</v>
      </c>
      <c r="L541" s="145" t="e">
        <f t="shared" si="232"/>
        <v>#VALUE!</v>
      </c>
      <c r="O541" s="116">
        <f>SUM(O540)</f>
        <v>0</v>
      </c>
      <c r="P541" s="116">
        <f>SUM(P540)</f>
        <v>0</v>
      </c>
      <c r="Q541" s="116">
        <f>SUM(Q540)</f>
        <v>0</v>
      </c>
      <c r="R541" s="116">
        <f>SUM(R540)</f>
        <v>0</v>
      </c>
      <c r="T541" s="116" t="e">
        <f>SUM(T540)</f>
        <v>#VALUE!</v>
      </c>
      <c r="U541" s="116" t="e">
        <f>SUM(U540)</f>
        <v>#VALUE!</v>
      </c>
      <c r="V541" s="116" t="e">
        <f>SUM(V540)</f>
        <v>#VALUE!</v>
      </c>
      <c r="W541" s="116" t="e">
        <f>SUM(W540)</f>
        <v>#VALUE!</v>
      </c>
      <c r="X541" s="3"/>
      <c r="Y541" s="116">
        <f>SUM(Y540)</f>
        <v>0</v>
      </c>
      <c r="Z541" s="116">
        <f>SUM(Z540)</f>
        <v>0</v>
      </c>
      <c r="AA541" s="116">
        <f>SUM(AA540)</f>
        <v>0</v>
      </c>
      <c r="AB541" s="116">
        <f>SUM(AB540)</f>
        <v>0</v>
      </c>
      <c r="AC541" s="116">
        <f>SUM(AC540)</f>
        <v>0</v>
      </c>
      <c r="AD541" s="117" t="e">
        <f>ROUND(SUM(-G541,H541:L541),0)</f>
        <v>#VALUE!</v>
      </c>
      <c r="AE541" s="117" t="e">
        <f>ROUND(H541-O541-P541-Q541-R541,0)</f>
        <v>#VALUE!</v>
      </c>
      <c r="AF541" s="117" t="e">
        <f>ROUND(I541-T541-U541-V541-W541,0)</f>
        <v>#VALUE!</v>
      </c>
      <c r="AG541" s="117" t="e">
        <f>ROUND(J541-Y541-Z541-AA541-AC541-AB541,0)</f>
        <v>#VALUE!</v>
      </c>
      <c r="AH541" s="116"/>
      <c r="AI541">
        <f t="shared" si="217"/>
        <v>569</v>
      </c>
      <c r="AJ541" t="str">
        <f t="shared" ref="AJ541:AJ604" si="233">IF(E541="","NA",E541)</f>
        <v>NA</v>
      </c>
      <c r="AK541" t="str">
        <f>IF(ISERROR(MATCH(AI541&amp;"."&amp;AJ541,AK$91:AK540,0)),AI541&amp;"."&amp;AJ541,AI541&amp;"."&amp;AJ541&amp;COUNTIFS(AI$91:AI540,AI541,AJ$91:AJ540,AJ541))</f>
        <v>569.NA1</v>
      </c>
    </row>
    <row r="542" spans="1:37" ht="15" hidden="1">
      <c r="A542" s="120">
        <f>ROW()</f>
        <v>542</v>
      </c>
      <c r="B542" s="120"/>
      <c r="C542" s="1"/>
      <c r="E542" s="121"/>
      <c r="F542" s="138"/>
      <c r="G542" s="119"/>
      <c r="X542" s="3"/>
      <c r="AD542" s="119"/>
      <c r="AE542" s="119"/>
      <c r="AF542" s="119"/>
      <c r="AG542" s="119"/>
      <c r="AI542">
        <f t="shared" si="217"/>
        <v>569</v>
      </c>
      <c r="AJ542" t="str">
        <f t="shared" si="233"/>
        <v>NA</v>
      </c>
      <c r="AK542" t="str">
        <f>IF(ISERROR(MATCH(AI542&amp;"."&amp;AJ542,AK$91:AK541,0)),AI542&amp;"."&amp;AJ542,AI542&amp;"."&amp;AJ542&amp;COUNTIFS(AI$91:AI541,AI542,AJ$91:AJ541,AJ542))</f>
        <v>569.NA2</v>
      </c>
    </row>
    <row r="543" spans="1:37" ht="15" hidden="1">
      <c r="A543" s="120">
        <f>ROW()</f>
        <v>543</v>
      </c>
      <c r="B543" s="120"/>
      <c r="C543" s="1">
        <v>570</v>
      </c>
      <c r="D543" s="2" t="s">
        <v>313</v>
      </c>
      <c r="E543" s="121"/>
      <c r="F543" s="138"/>
      <c r="G543" s="119"/>
      <c r="X543" s="3"/>
      <c r="AD543" s="119"/>
      <c r="AE543" s="119"/>
      <c r="AF543" s="119"/>
      <c r="AG543" s="119"/>
      <c r="AI543">
        <f t="shared" si="217"/>
        <v>570</v>
      </c>
      <c r="AJ543" t="str">
        <f t="shared" si="233"/>
        <v>NA</v>
      </c>
      <c r="AK543" t="str">
        <f>IF(ISERROR(MATCH(AI543&amp;"."&amp;AJ543,AK$91:AK542,0)),AI543&amp;"."&amp;AJ543,AI543&amp;"."&amp;AJ543&amp;COUNTIFS(AI$91:AI542,AI543,AJ$91:AJ542,AJ543))</f>
        <v>570.NA</v>
      </c>
    </row>
    <row r="544" spans="1:37" ht="15" hidden="1">
      <c r="A544" s="120">
        <f>ROW()</f>
        <v>544</v>
      </c>
      <c r="B544" s="120"/>
      <c r="C544" s="1"/>
      <c r="E544" s="121" t="s">
        <v>15</v>
      </c>
      <c r="F544" s="138" t="str">
        <f>INDEX(FuncAllocOptions,ROW(A544)-ROW($A$92)+1,[4]Inputs!$S$11)</f>
        <v>T</v>
      </c>
      <c r="G544" s="133" t="e">
        <f>SUMIF(FERCJAMFactor,AK544,JAMValue)</f>
        <v>#VALUE!</v>
      </c>
      <c r="H544" s="139" t="e">
        <f>INDEX(FuncFactorTbl,MATCH($F544,FuncFactors,0),MATCH(H$8,Functions,0))*$G544</f>
        <v>#VALUE!</v>
      </c>
      <c r="I544" s="139" t="e">
        <f>INDEX(FuncFactorTbl,MATCH($F544,FuncFactors,0),MATCH(I$8,Functions,0))*$G544</f>
        <v>#VALUE!</v>
      </c>
      <c r="J544" s="139" t="e">
        <f>INDEX(FuncFactorTbl,MATCH($F544,FuncFactors,0),MATCH(J$8,Functions,0))*$G544</f>
        <v>#VALUE!</v>
      </c>
      <c r="K544" s="139" t="e">
        <f>INDEX(FuncFactorTbl,MATCH($F544,FuncFactors,0),MATCH(K$8,Functions,0))*$G544</f>
        <v>#VALUE!</v>
      </c>
      <c r="L544" s="139" t="e">
        <f>INDEX(FuncFactorTbl,MATCH($F544,FuncFactors,0),MATCH(L$8,Functions,0))*$G544</f>
        <v>#VALUE!</v>
      </c>
      <c r="S544" s="108">
        <v>0.75</v>
      </c>
      <c r="T544" s="116" t="e">
        <f>$I544*$S544*$M544</f>
        <v>#VALUE!</v>
      </c>
      <c r="U544" s="116" t="e">
        <f>$I544*(1-$S544)*$M544</f>
        <v>#VALUE!</v>
      </c>
      <c r="V544" s="116" t="e">
        <f>$I544*$S544*(1-$M544)</f>
        <v>#VALUE!</v>
      </c>
      <c r="W544" s="116" t="e">
        <f>$I544*(1-$S544)*(1-$M544)</f>
        <v>#VALUE!</v>
      </c>
      <c r="X544" s="3"/>
      <c r="AD544" s="117" t="e">
        <f>ROUND(SUM(-G544,H544:L544),0)</f>
        <v>#VALUE!</v>
      </c>
      <c r="AE544" s="117" t="e">
        <f>ROUND(H544-O544-P544-Q544-R544,0)</f>
        <v>#VALUE!</v>
      </c>
      <c r="AF544" s="117" t="e">
        <f>ROUND(I544-T544-U544-V544-W544,0)</f>
        <v>#VALUE!</v>
      </c>
      <c r="AG544" s="117" t="e">
        <f>ROUND(J544-Y544-Z544-AA544-AC544-AB544,0)</f>
        <v>#VALUE!</v>
      </c>
      <c r="AH544" s="116"/>
      <c r="AI544">
        <f t="shared" si="217"/>
        <v>570</v>
      </c>
      <c r="AJ544" t="str">
        <f t="shared" si="233"/>
        <v>SG</v>
      </c>
      <c r="AK544" t="str">
        <f>IF(ISERROR(MATCH(AI544&amp;"."&amp;AJ544,AK$91:AK543,0)),AI544&amp;"."&amp;AJ544,AI544&amp;"."&amp;AJ544&amp;COUNTIFS(AI$91:AI543,AI544,AJ$91:AJ543,AJ544))</f>
        <v>570.SG</v>
      </c>
    </row>
    <row r="545" spans="1:37" ht="15" hidden="1">
      <c r="A545" s="120">
        <f>ROW()</f>
        <v>545</v>
      </c>
      <c r="B545" s="120"/>
      <c r="C545" s="1"/>
      <c r="E545" s="121"/>
      <c r="F545" s="138"/>
      <c r="G545" s="146" t="e">
        <f t="shared" ref="G545:L545" si="234">SUM(G544)</f>
        <v>#VALUE!</v>
      </c>
      <c r="H545" s="145" t="e">
        <f t="shared" si="234"/>
        <v>#VALUE!</v>
      </c>
      <c r="I545" s="145" t="e">
        <f t="shared" si="234"/>
        <v>#VALUE!</v>
      </c>
      <c r="J545" s="145" t="e">
        <f t="shared" si="234"/>
        <v>#VALUE!</v>
      </c>
      <c r="K545" s="145" t="e">
        <f t="shared" si="234"/>
        <v>#VALUE!</v>
      </c>
      <c r="L545" s="145" t="e">
        <f t="shared" si="234"/>
        <v>#VALUE!</v>
      </c>
      <c r="O545" s="116">
        <f>SUM(O544)</f>
        <v>0</v>
      </c>
      <c r="P545" s="116">
        <f>SUM(P544)</f>
        <v>0</v>
      </c>
      <c r="Q545" s="116">
        <f>SUM(Q544)</f>
        <v>0</v>
      </c>
      <c r="R545" s="116">
        <f>SUM(R544)</f>
        <v>0</v>
      </c>
      <c r="T545" s="116" t="e">
        <f>SUM(T544)</f>
        <v>#VALUE!</v>
      </c>
      <c r="U545" s="116" t="e">
        <f>SUM(U544)</f>
        <v>#VALUE!</v>
      </c>
      <c r="V545" s="116" t="e">
        <f>SUM(V544)</f>
        <v>#VALUE!</v>
      </c>
      <c r="W545" s="116" t="e">
        <f>SUM(W544)</f>
        <v>#VALUE!</v>
      </c>
      <c r="X545" s="3"/>
      <c r="Y545" s="116">
        <f>SUM(Y544)</f>
        <v>0</v>
      </c>
      <c r="Z545" s="116">
        <f>SUM(Z544)</f>
        <v>0</v>
      </c>
      <c r="AA545" s="116">
        <f>SUM(AA544)</f>
        <v>0</v>
      </c>
      <c r="AB545" s="116">
        <f>SUM(AB544)</f>
        <v>0</v>
      </c>
      <c r="AC545" s="116">
        <f>SUM(AC544)</f>
        <v>0</v>
      </c>
      <c r="AD545" s="117" t="e">
        <f>ROUND(SUM(-G545,H545:L545),0)</f>
        <v>#VALUE!</v>
      </c>
      <c r="AE545" s="117" t="e">
        <f>ROUND(H545-O545-P545-Q545-R545,0)</f>
        <v>#VALUE!</v>
      </c>
      <c r="AF545" s="117" t="e">
        <f>ROUND(I545-T545-U545-V545-W545,0)</f>
        <v>#VALUE!</v>
      </c>
      <c r="AG545" s="117" t="e">
        <f>ROUND(J545-Y545-Z545-AA545-AC545-AB545,0)</f>
        <v>#VALUE!</v>
      </c>
      <c r="AH545" s="116"/>
      <c r="AI545">
        <f t="shared" si="217"/>
        <v>570</v>
      </c>
      <c r="AJ545" t="str">
        <f t="shared" si="233"/>
        <v>NA</v>
      </c>
      <c r="AK545" t="str">
        <f>IF(ISERROR(MATCH(AI545&amp;"."&amp;AJ545,AK$91:AK544,0)),AI545&amp;"."&amp;AJ545,AI545&amp;"."&amp;AJ545&amp;COUNTIFS(AI$91:AI544,AI545,AJ$91:AJ544,AJ545))</f>
        <v>570.NA1</v>
      </c>
    </row>
    <row r="546" spans="1:37" ht="15" hidden="1">
      <c r="A546" s="120">
        <f>ROW()</f>
        <v>546</v>
      </c>
      <c r="B546" s="120"/>
      <c r="C546" s="1"/>
      <c r="E546" s="121"/>
      <c r="F546" s="138"/>
      <c r="G546" s="119"/>
      <c r="X546" s="3"/>
      <c r="AD546" s="119"/>
      <c r="AE546" s="119"/>
      <c r="AF546" s="119"/>
      <c r="AG546" s="119"/>
      <c r="AI546">
        <f t="shared" si="217"/>
        <v>570</v>
      </c>
      <c r="AJ546" t="str">
        <f t="shared" si="233"/>
        <v>NA</v>
      </c>
      <c r="AK546" t="str">
        <f>IF(ISERROR(MATCH(AI546&amp;"."&amp;AJ546,AK$91:AK545,0)),AI546&amp;"."&amp;AJ546,AI546&amp;"."&amp;AJ546&amp;COUNTIFS(AI$91:AI545,AI546,AJ$91:AJ545,AJ546))</f>
        <v>570.NA2</v>
      </c>
    </row>
    <row r="547" spans="1:37" ht="15" hidden="1">
      <c r="A547" s="120">
        <f>ROW()</f>
        <v>547</v>
      </c>
      <c r="B547" s="120"/>
      <c r="C547" s="1">
        <v>571</v>
      </c>
      <c r="D547" s="2" t="s">
        <v>314</v>
      </c>
      <c r="E547" s="121"/>
      <c r="F547" s="138"/>
      <c r="G547" s="119"/>
      <c r="X547" s="3"/>
      <c r="AD547" s="119"/>
      <c r="AE547" s="119"/>
      <c r="AF547" s="119"/>
      <c r="AG547" s="119"/>
      <c r="AI547">
        <f t="shared" si="217"/>
        <v>571</v>
      </c>
      <c r="AJ547" t="str">
        <f t="shared" si="233"/>
        <v>NA</v>
      </c>
      <c r="AK547" t="str">
        <f>IF(ISERROR(MATCH(AI547&amp;"."&amp;AJ547,AK$91:AK546,0)),AI547&amp;"."&amp;AJ547,AI547&amp;"."&amp;AJ547&amp;COUNTIFS(AI$91:AI546,AI547,AJ$91:AJ546,AJ547))</f>
        <v>571.NA</v>
      </c>
    </row>
    <row r="548" spans="1:37" ht="15" hidden="1">
      <c r="A548" s="120">
        <f>ROW()</f>
        <v>548</v>
      </c>
      <c r="B548" s="120"/>
      <c r="C548" s="1"/>
      <c r="E548" s="121" t="s">
        <v>15</v>
      </c>
      <c r="F548" s="138" t="str">
        <f>INDEX(FuncAllocOptions,ROW(A548)-ROW($A$92)+1,[4]Inputs!$S$11)</f>
        <v>T</v>
      </c>
      <c r="G548" s="133" t="e">
        <f>SUMIF(FERCJAMFactor,AK548,JAMValue)</f>
        <v>#VALUE!</v>
      </c>
      <c r="H548" s="139" t="e">
        <f>INDEX(FuncFactorTbl,MATCH($F548,FuncFactors,0),MATCH(H$8,Functions,0))*$G548</f>
        <v>#VALUE!</v>
      </c>
      <c r="I548" s="139" t="e">
        <f>INDEX(FuncFactorTbl,MATCH($F548,FuncFactors,0),MATCH(I$8,Functions,0))*$G548</f>
        <v>#VALUE!</v>
      </c>
      <c r="J548" s="139" t="e">
        <f>INDEX(FuncFactorTbl,MATCH($F548,FuncFactors,0),MATCH(J$8,Functions,0))*$G548</f>
        <v>#VALUE!</v>
      </c>
      <c r="K548" s="139" t="e">
        <f>INDEX(FuncFactorTbl,MATCH($F548,FuncFactors,0),MATCH(K$8,Functions,0))*$G548</f>
        <v>#VALUE!</v>
      </c>
      <c r="L548" s="139" t="e">
        <f>INDEX(FuncFactorTbl,MATCH($F548,FuncFactors,0),MATCH(L$8,Functions,0))*$G548</f>
        <v>#VALUE!</v>
      </c>
      <c r="S548" s="108">
        <v>0.75</v>
      </c>
      <c r="T548" s="116" t="e">
        <f>$I548*$S548*$M548</f>
        <v>#VALUE!</v>
      </c>
      <c r="U548" s="116" t="e">
        <f>$I548*(1-$S548)*$M548</f>
        <v>#VALUE!</v>
      </c>
      <c r="V548" s="116" t="e">
        <f>$I548*$S548*(1-$M548)</f>
        <v>#VALUE!</v>
      </c>
      <c r="W548" s="116" t="e">
        <f>$I548*(1-$S548)*(1-$M548)</f>
        <v>#VALUE!</v>
      </c>
      <c r="X548" s="3"/>
      <c r="AD548" s="117" t="e">
        <f>ROUND(SUM(-G548,H548:L548),0)</f>
        <v>#VALUE!</v>
      </c>
      <c r="AE548" s="117" t="e">
        <f>ROUND(H548-O548-P548-Q548-R548,0)</f>
        <v>#VALUE!</v>
      </c>
      <c r="AF548" s="117" t="e">
        <f>ROUND(I548-T548-U548-V548-W548,0)</f>
        <v>#VALUE!</v>
      </c>
      <c r="AG548" s="117" t="e">
        <f>ROUND(J548-Y548-Z548-AA548-AC548-AB548,0)</f>
        <v>#VALUE!</v>
      </c>
      <c r="AH548" s="116"/>
      <c r="AI548">
        <f t="shared" si="217"/>
        <v>571</v>
      </c>
      <c r="AJ548" t="str">
        <f t="shared" si="233"/>
        <v>SG</v>
      </c>
      <c r="AK548" t="str">
        <f>IF(ISERROR(MATCH(AI548&amp;"."&amp;AJ548,AK$91:AK547,0)),AI548&amp;"."&amp;AJ548,AI548&amp;"."&amp;AJ548&amp;COUNTIFS(AI$91:AI547,AI548,AJ$91:AJ547,AJ548))</f>
        <v>571.SG</v>
      </c>
    </row>
    <row r="549" spans="1:37" ht="15" hidden="1">
      <c r="A549" s="120">
        <f>ROW()</f>
        <v>549</v>
      </c>
      <c r="B549" s="120"/>
      <c r="C549" s="1"/>
      <c r="E549" s="121"/>
      <c r="F549" s="138"/>
      <c r="G549" s="146" t="e">
        <f t="shared" ref="G549:L549" si="235">SUM(G548)</f>
        <v>#VALUE!</v>
      </c>
      <c r="H549" s="145" t="e">
        <f t="shared" si="235"/>
        <v>#VALUE!</v>
      </c>
      <c r="I549" s="145" t="e">
        <f t="shared" si="235"/>
        <v>#VALUE!</v>
      </c>
      <c r="J549" s="145" t="e">
        <f t="shared" si="235"/>
        <v>#VALUE!</v>
      </c>
      <c r="K549" s="145" t="e">
        <f t="shared" si="235"/>
        <v>#VALUE!</v>
      </c>
      <c r="L549" s="145" t="e">
        <f t="shared" si="235"/>
        <v>#VALUE!</v>
      </c>
      <c r="O549" s="116">
        <f>SUM(O548)</f>
        <v>0</v>
      </c>
      <c r="P549" s="116">
        <f>SUM(P548)</f>
        <v>0</v>
      </c>
      <c r="Q549" s="116">
        <f>SUM(Q548)</f>
        <v>0</v>
      </c>
      <c r="R549" s="116">
        <f>SUM(R548)</f>
        <v>0</v>
      </c>
      <c r="T549" s="116" t="e">
        <f>SUM(T548)</f>
        <v>#VALUE!</v>
      </c>
      <c r="U549" s="116" t="e">
        <f>SUM(U548)</f>
        <v>#VALUE!</v>
      </c>
      <c r="V549" s="116" t="e">
        <f>SUM(V548)</f>
        <v>#VALUE!</v>
      </c>
      <c r="W549" s="116" t="e">
        <f>SUM(W548)</f>
        <v>#VALUE!</v>
      </c>
      <c r="X549" s="3"/>
      <c r="Y549" s="116">
        <f>SUM(Y548)</f>
        <v>0</v>
      </c>
      <c r="Z549" s="116">
        <f>SUM(Z548)</f>
        <v>0</v>
      </c>
      <c r="AA549" s="116">
        <f>SUM(AA548)</f>
        <v>0</v>
      </c>
      <c r="AB549" s="116">
        <f>SUM(AB548)</f>
        <v>0</v>
      </c>
      <c r="AC549" s="116">
        <f>SUM(AC548)</f>
        <v>0</v>
      </c>
      <c r="AD549" s="117" t="e">
        <f>ROUND(SUM(-G549,H549:L549),0)</f>
        <v>#VALUE!</v>
      </c>
      <c r="AE549" s="117" t="e">
        <f>ROUND(H549-O549-P549-Q549-R549,0)</f>
        <v>#VALUE!</v>
      </c>
      <c r="AF549" s="117" t="e">
        <f>ROUND(I549-T549-U549-V549-W549,0)</f>
        <v>#VALUE!</v>
      </c>
      <c r="AG549" s="117" t="e">
        <f>ROUND(J549-Y549-Z549-AA549-AC549-AB549,0)</f>
        <v>#VALUE!</v>
      </c>
      <c r="AH549" s="116"/>
      <c r="AI549">
        <f t="shared" si="217"/>
        <v>571</v>
      </c>
      <c r="AJ549" t="str">
        <f t="shared" si="233"/>
        <v>NA</v>
      </c>
      <c r="AK549" t="str">
        <f>IF(ISERROR(MATCH(AI549&amp;"."&amp;AJ549,AK$91:AK548,0)),AI549&amp;"."&amp;AJ549,AI549&amp;"."&amp;AJ549&amp;COUNTIFS(AI$91:AI548,AI549,AJ$91:AJ548,AJ549))</f>
        <v>571.NA1</v>
      </c>
    </row>
    <row r="550" spans="1:37" ht="15" hidden="1">
      <c r="A550" s="120">
        <f>ROW()</f>
        <v>550</v>
      </c>
      <c r="B550" s="120"/>
      <c r="C550" s="1"/>
      <c r="E550" s="121"/>
      <c r="F550" s="138"/>
      <c r="G550" s="119"/>
      <c r="X550" s="3"/>
      <c r="AD550" s="119"/>
      <c r="AE550" s="119"/>
      <c r="AF550" s="119"/>
      <c r="AG550" s="119"/>
      <c r="AI550">
        <f t="shared" si="217"/>
        <v>571</v>
      </c>
      <c r="AJ550" t="str">
        <f t="shared" si="233"/>
        <v>NA</v>
      </c>
      <c r="AK550" t="str">
        <f>IF(ISERROR(MATCH(AI550&amp;"."&amp;AJ550,AK$91:AK549,0)),AI550&amp;"."&amp;AJ550,AI550&amp;"."&amp;AJ550&amp;COUNTIFS(AI$91:AI549,AI550,AJ$91:AJ549,AJ550))</f>
        <v>571.NA2</v>
      </c>
    </row>
    <row r="551" spans="1:37" ht="15" hidden="1">
      <c r="A551" s="120">
        <f>ROW()</f>
        <v>551</v>
      </c>
      <c r="B551" s="120"/>
      <c r="C551" s="1">
        <v>572</v>
      </c>
      <c r="D551" s="2" t="s">
        <v>315</v>
      </c>
      <c r="E551" s="121"/>
      <c r="F551" s="138"/>
      <c r="G551" s="119"/>
      <c r="X551" s="3"/>
      <c r="AD551" s="119"/>
      <c r="AE551" s="119"/>
      <c r="AF551" s="119"/>
      <c r="AG551" s="119"/>
      <c r="AI551">
        <f t="shared" si="217"/>
        <v>572</v>
      </c>
      <c r="AJ551" t="str">
        <f t="shared" si="233"/>
        <v>NA</v>
      </c>
      <c r="AK551" t="str">
        <f>IF(ISERROR(MATCH(AI551&amp;"."&amp;AJ551,AK$91:AK550,0)),AI551&amp;"."&amp;AJ551,AI551&amp;"."&amp;AJ551&amp;COUNTIFS(AI$91:AI550,AI551,AJ$91:AJ550,AJ551))</f>
        <v>572.NA</v>
      </c>
    </row>
    <row r="552" spans="1:37" ht="15" hidden="1">
      <c r="A552" s="120">
        <f>ROW()</f>
        <v>552</v>
      </c>
      <c r="B552" s="120"/>
      <c r="C552" s="1"/>
      <c r="E552" s="121" t="s">
        <v>15</v>
      </c>
      <c r="F552" s="138" t="str">
        <f>INDEX(FuncAllocOptions,ROW(A552)-ROW($A$92)+1,[4]Inputs!$S$11)</f>
        <v>T</v>
      </c>
      <c r="G552" s="133" t="e">
        <f>SUMIF(FERCJAMFactor,AK552,JAMValue)</f>
        <v>#VALUE!</v>
      </c>
      <c r="H552" s="139" t="e">
        <f>INDEX(FuncFactorTbl,MATCH($F552,FuncFactors,0),MATCH(H$8,Functions,0))*$G552</f>
        <v>#VALUE!</v>
      </c>
      <c r="I552" s="139" t="e">
        <f>INDEX(FuncFactorTbl,MATCH($F552,FuncFactors,0),MATCH(I$8,Functions,0))*$G552</f>
        <v>#VALUE!</v>
      </c>
      <c r="J552" s="139" t="e">
        <f>INDEX(FuncFactorTbl,MATCH($F552,FuncFactors,0),MATCH(J$8,Functions,0))*$G552</f>
        <v>#VALUE!</v>
      </c>
      <c r="K552" s="139" t="e">
        <f>INDEX(FuncFactorTbl,MATCH($F552,FuncFactors,0),MATCH(K$8,Functions,0))*$G552</f>
        <v>#VALUE!</v>
      </c>
      <c r="L552" s="139" t="e">
        <f>INDEX(FuncFactorTbl,MATCH($F552,FuncFactors,0),MATCH(L$8,Functions,0))*$G552</f>
        <v>#VALUE!</v>
      </c>
      <c r="S552" s="108">
        <v>0.75</v>
      </c>
      <c r="T552" s="116" t="e">
        <f>$I552*$S552*$M552</f>
        <v>#VALUE!</v>
      </c>
      <c r="U552" s="116" t="e">
        <f>$I552*(1-$S552)*$M552</f>
        <v>#VALUE!</v>
      </c>
      <c r="V552" s="116" t="e">
        <f>$I552*$S552*(1-$M552)</f>
        <v>#VALUE!</v>
      </c>
      <c r="W552" s="116" t="e">
        <f>$I552*(1-$S552)*(1-$M552)</f>
        <v>#VALUE!</v>
      </c>
      <c r="X552" s="3"/>
      <c r="AD552" s="117" t="e">
        <f>ROUND(SUM(-G552,H552:L552),0)</f>
        <v>#VALUE!</v>
      </c>
      <c r="AE552" s="117" t="e">
        <f>ROUND(H552-O552-P552-Q552-R552,0)</f>
        <v>#VALUE!</v>
      </c>
      <c r="AF552" s="117" t="e">
        <f>ROUND(I552-T552-U552-V552-W552,0)</f>
        <v>#VALUE!</v>
      </c>
      <c r="AG552" s="117" t="e">
        <f>ROUND(J552-Y552-Z552-AA552-AC552-AB552,0)</f>
        <v>#VALUE!</v>
      </c>
      <c r="AH552" s="116"/>
      <c r="AI552">
        <f t="shared" si="217"/>
        <v>572</v>
      </c>
      <c r="AJ552" t="str">
        <f t="shared" si="233"/>
        <v>SG</v>
      </c>
      <c r="AK552" t="str">
        <f>IF(ISERROR(MATCH(AI552&amp;"."&amp;AJ552,AK$91:AK551,0)),AI552&amp;"."&amp;AJ552,AI552&amp;"."&amp;AJ552&amp;COUNTIFS(AI$91:AI551,AI552,AJ$91:AJ551,AJ552))</f>
        <v>572.SG</v>
      </c>
    </row>
    <row r="553" spans="1:37" ht="15" hidden="1">
      <c r="A553" s="120">
        <f>ROW()</f>
        <v>553</v>
      </c>
      <c r="B553" s="120"/>
      <c r="C553" s="1"/>
      <c r="E553" s="121"/>
      <c r="F553" s="138"/>
      <c r="G553" s="146" t="e">
        <f t="shared" ref="G553:L553" si="236">SUM(G552)</f>
        <v>#VALUE!</v>
      </c>
      <c r="H553" s="145" t="e">
        <f t="shared" si="236"/>
        <v>#VALUE!</v>
      </c>
      <c r="I553" s="145" t="e">
        <f t="shared" si="236"/>
        <v>#VALUE!</v>
      </c>
      <c r="J553" s="145" t="e">
        <f t="shared" si="236"/>
        <v>#VALUE!</v>
      </c>
      <c r="K553" s="145" t="e">
        <f t="shared" si="236"/>
        <v>#VALUE!</v>
      </c>
      <c r="L553" s="145" t="e">
        <f t="shared" si="236"/>
        <v>#VALUE!</v>
      </c>
      <c r="O553" s="116">
        <f>SUM(O552)</f>
        <v>0</v>
      </c>
      <c r="P553" s="116">
        <f>SUM(P552)</f>
        <v>0</v>
      </c>
      <c r="Q553" s="116">
        <f>SUM(Q552)</f>
        <v>0</v>
      </c>
      <c r="R553" s="116">
        <f>SUM(R552)</f>
        <v>0</v>
      </c>
      <c r="T553" s="116" t="e">
        <f>SUM(T552)</f>
        <v>#VALUE!</v>
      </c>
      <c r="U553" s="116" t="e">
        <f>SUM(U552)</f>
        <v>#VALUE!</v>
      </c>
      <c r="V553" s="116" t="e">
        <f>SUM(V552)</f>
        <v>#VALUE!</v>
      </c>
      <c r="W553" s="116" t="e">
        <f>SUM(W552)</f>
        <v>#VALUE!</v>
      </c>
      <c r="X553" s="3"/>
      <c r="Y553" s="116">
        <f>SUM(Y552)</f>
        <v>0</v>
      </c>
      <c r="Z553" s="116">
        <f>SUM(Z552)</f>
        <v>0</v>
      </c>
      <c r="AA553" s="116">
        <f>SUM(AA552)</f>
        <v>0</v>
      </c>
      <c r="AB553" s="116">
        <f>SUM(AB552)</f>
        <v>0</v>
      </c>
      <c r="AC553" s="116">
        <f>SUM(AC552)</f>
        <v>0</v>
      </c>
      <c r="AD553" s="117" t="e">
        <f>ROUND(SUM(-G553,H553:L553),0)</f>
        <v>#VALUE!</v>
      </c>
      <c r="AE553" s="117" t="e">
        <f>ROUND(H553-O553-P553-Q553-R553,0)</f>
        <v>#VALUE!</v>
      </c>
      <c r="AF553" s="117" t="e">
        <f>ROUND(I553-T553-U553-V553-W553,0)</f>
        <v>#VALUE!</v>
      </c>
      <c r="AG553" s="117" t="e">
        <f>ROUND(J553-Y553-Z553-AA553-AC553-AB553,0)</f>
        <v>#VALUE!</v>
      </c>
      <c r="AH553" s="116"/>
      <c r="AI553">
        <f t="shared" si="217"/>
        <v>572</v>
      </c>
      <c r="AJ553" t="str">
        <f t="shared" si="233"/>
        <v>NA</v>
      </c>
      <c r="AK553" t="str">
        <f>IF(ISERROR(MATCH(AI553&amp;"."&amp;AJ553,AK$91:AK552,0)),AI553&amp;"."&amp;AJ553,AI553&amp;"."&amp;AJ553&amp;COUNTIFS(AI$91:AI552,AI553,AJ$91:AJ552,AJ553))</f>
        <v>572.NA1</v>
      </c>
    </row>
    <row r="554" spans="1:37" ht="15" hidden="1">
      <c r="A554" s="120">
        <f>ROW()</f>
        <v>554</v>
      </c>
      <c r="B554" s="120"/>
      <c r="C554" s="1"/>
      <c r="E554" s="121"/>
      <c r="F554" s="138"/>
      <c r="G554" s="119"/>
      <c r="X554" s="3"/>
      <c r="AD554" s="119"/>
      <c r="AE554" s="119"/>
      <c r="AF554" s="119"/>
      <c r="AG554" s="119"/>
      <c r="AI554">
        <f t="shared" si="217"/>
        <v>572</v>
      </c>
      <c r="AJ554" t="str">
        <f t="shared" si="233"/>
        <v>NA</v>
      </c>
      <c r="AK554" t="str">
        <f>IF(ISERROR(MATCH(AI554&amp;"."&amp;AJ554,AK$91:AK553,0)),AI554&amp;"."&amp;AJ554,AI554&amp;"."&amp;AJ554&amp;COUNTIFS(AI$91:AI553,AI554,AJ$91:AJ553,AJ554))</f>
        <v>572.NA2</v>
      </c>
    </row>
    <row r="555" spans="1:37" ht="15" hidden="1">
      <c r="A555" s="120">
        <f>ROW()</f>
        <v>555</v>
      </c>
      <c r="B555" s="120"/>
      <c r="C555" s="1">
        <v>573</v>
      </c>
      <c r="D555" s="2" t="s">
        <v>316</v>
      </c>
      <c r="E555" s="121"/>
      <c r="F555" s="138"/>
      <c r="G555" s="119"/>
      <c r="X555" s="3"/>
      <c r="AD555" s="119"/>
      <c r="AE555" s="119"/>
      <c r="AF555" s="119"/>
      <c r="AG555" s="119"/>
      <c r="AI555">
        <f t="shared" si="217"/>
        <v>573</v>
      </c>
      <c r="AJ555" t="str">
        <f t="shared" si="233"/>
        <v>NA</v>
      </c>
      <c r="AK555" t="str">
        <f>IF(ISERROR(MATCH(AI555&amp;"."&amp;AJ555,AK$91:AK554,0)),AI555&amp;"."&amp;AJ555,AI555&amp;"."&amp;AJ555&amp;COUNTIFS(AI$91:AI554,AI555,AJ$91:AJ554,AJ555))</f>
        <v>573.NA</v>
      </c>
    </row>
    <row r="556" spans="1:37" ht="15" hidden="1">
      <c r="A556" s="120">
        <f>ROW()</f>
        <v>556</v>
      </c>
      <c r="B556" s="120"/>
      <c r="E556" s="121" t="s">
        <v>15</v>
      </c>
      <c r="F556" s="138" t="str">
        <f>INDEX(FuncAllocOptions,ROW(A556)-ROW($A$92)+1,[4]Inputs!$S$11)</f>
        <v>T</v>
      </c>
      <c r="G556" s="133" t="e">
        <f>SUMIF(FERCJAMFactor,AK556,JAMValue)</f>
        <v>#VALUE!</v>
      </c>
      <c r="H556" s="139" t="e">
        <f>INDEX(FuncFactorTbl,MATCH($F556,FuncFactors,0),MATCH(H$8,Functions,0))*$G556</f>
        <v>#VALUE!</v>
      </c>
      <c r="I556" s="139" t="e">
        <f>INDEX(FuncFactorTbl,MATCH($F556,FuncFactors,0),MATCH(I$8,Functions,0))*$G556</f>
        <v>#VALUE!</v>
      </c>
      <c r="J556" s="139" t="e">
        <f>INDEX(FuncFactorTbl,MATCH($F556,FuncFactors,0),MATCH(J$8,Functions,0))*$G556</f>
        <v>#VALUE!</v>
      </c>
      <c r="K556" s="139" t="e">
        <f>INDEX(FuncFactorTbl,MATCH($F556,FuncFactors,0),MATCH(K$8,Functions,0))*$G556</f>
        <v>#VALUE!</v>
      </c>
      <c r="L556" s="139" t="e">
        <f>INDEX(FuncFactorTbl,MATCH($F556,FuncFactors,0),MATCH(L$8,Functions,0))*$G556</f>
        <v>#VALUE!</v>
      </c>
      <c r="S556" s="108">
        <v>0.75</v>
      </c>
      <c r="T556" s="116" t="e">
        <f>$I556*$S556*$M556</f>
        <v>#VALUE!</v>
      </c>
      <c r="U556" s="116" t="e">
        <f>$I556*(1-$S556)*$M556</f>
        <v>#VALUE!</v>
      </c>
      <c r="V556" s="116" t="e">
        <f>$I556*$S556*(1-$M556)</f>
        <v>#VALUE!</v>
      </c>
      <c r="W556" s="116" t="e">
        <f>$I556*(1-$S556)*(1-$M556)</f>
        <v>#VALUE!</v>
      </c>
      <c r="X556" s="3"/>
      <c r="AD556" s="117" t="e">
        <f>ROUND(SUM(-G556,H556:L556),0)</f>
        <v>#VALUE!</v>
      </c>
      <c r="AE556" s="117" t="e">
        <f>ROUND(H556-O556-P556-Q556-R556,0)</f>
        <v>#VALUE!</v>
      </c>
      <c r="AF556" s="117" t="e">
        <f>ROUND(I556-T556-U556-V556-W556,0)</f>
        <v>#VALUE!</v>
      </c>
      <c r="AG556" s="117" t="e">
        <f>ROUND(J556-Y556-Z556-AA556-AC556-AB556,0)</f>
        <v>#VALUE!</v>
      </c>
      <c r="AH556" s="116"/>
      <c r="AI556">
        <f t="shared" ref="AI556:AI619" si="237">IF(OR(C556="",C556=" ",C556="  ",C556="   "),AI555,C556)</f>
        <v>573</v>
      </c>
      <c r="AJ556" t="str">
        <f t="shared" si="233"/>
        <v>SG</v>
      </c>
      <c r="AK556" t="str">
        <f>IF(ISERROR(MATCH(AI556&amp;"."&amp;AJ556,AK$91:AK555,0)),AI556&amp;"."&amp;AJ556,AI556&amp;"."&amp;AJ556&amp;COUNTIFS(AI$91:AI555,AI556,AJ$91:AJ555,AJ556))</f>
        <v>573.SG</v>
      </c>
    </row>
    <row r="557" spans="1:37" ht="15" hidden="1">
      <c r="A557" s="120">
        <f>ROW()</f>
        <v>557</v>
      </c>
      <c r="B557" s="120"/>
      <c r="E557" s="121"/>
      <c r="F557" s="138"/>
      <c r="G557" s="146" t="e">
        <f t="shared" ref="G557:L557" si="238">SUM(G556)</f>
        <v>#VALUE!</v>
      </c>
      <c r="H557" s="145" t="e">
        <f t="shared" si="238"/>
        <v>#VALUE!</v>
      </c>
      <c r="I557" s="145" t="e">
        <f t="shared" si="238"/>
        <v>#VALUE!</v>
      </c>
      <c r="J557" s="145" t="e">
        <f t="shared" si="238"/>
        <v>#VALUE!</v>
      </c>
      <c r="K557" s="145" t="e">
        <f t="shared" si="238"/>
        <v>#VALUE!</v>
      </c>
      <c r="L557" s="145" t="e">
        <f t="shared" si="238"/>
        <v>#VALUE!</v>
      </c>
      <c r="O557" s="116">
        <f>SUM(O556)</f>
        <v>0</v>
      </c>
      <c r="P557" s="116">
        <f>SUM(P556)</f>
        <v>0</v>
      </c>
      <c r="Q557" s="116">
        <f>SUM(Q556)</f>
        <v>0</v>
      </c>
      <c r="R557" s="116">
        <f>SUM(R556)</f>
        <v>0</v>
      </c>
      <c r="T557" s="116" t="e">
        <f>SUM(T556)</f>
        <v>#VALUE!</v>
      </c>
      <c r="U557" s="116" t="e">
        <f>SUM(U556)</f>
        <v>#VALUE!</v>
      </c>
      <c r="V557" s="116" t="e">
        <f>SUM(V556)</f>
        <v>#VALUE!</v>
      </c>
      <c r="W557" s="116" t="e">
        <f>SUM(W556)</f>
        <v>#VALUE!</v>
      </c>
      <c r="X557" s="3"/>
      <c r="Y557" s="116">
        <f>SUM(Y556)</f>
        <v>0</v>
      </c>
      <c r="Z557" s="116">
        <f>SUM(Z556)</f>
        <v>0</v>
      </c>
      <c r="AA557" s="116">
        <f>SUM(AA556)</f>
        <v>0</v>
      </c>
      <c r="AB557" s="116">
        <f>SUM(AB556)</f>
        <v>0</v>
      </c>
      <c r="AC557" s="116">
        <f>SUM(AC556)</f>
        <v>0</v>
      </c>
      <c r="AD557" s="117" t="e">
        <f>ROUND(SUM(-G557,H557:L557),0)</f>
        <v>#VALUE!</v>
      </c>
      <c r="AE557" s="117" t="e">
        <f>ROUND(H557-O557-P557-Q557-R557,0)</f>
        <v>#VALUE!</v>
      </c>
      <c r="AF557" s="117" t="e">
        <f>ROUND(I557-T557-U557-V557-W557,0)</f>
        <v>#VALUE!</v>
      </c>
      <c r="AG557" s="117" t="e">
        <f>ROUND(J557-Y557-Z557-AA557-AC557-AB557,0)</f>
        <v>#VALUE!</v>
      </c>
      <c r="AH557" s="116"/>
      <c r="AI557">
        <f t="shared" si="237"/>
        <v>573</v>
      </c>
      <c r="AJ557" t="str">
        <f t="shared" si="233"/>
        <v>NA</v>
      </c>
      <c r="AK557" t="str">
        <f>IF(ISERROR(MATCH(AI557&amp;"."&amp;AJ557,AK$91:AK556,0)),AI557&amp;"."&amp;AJ557,AI557&amp;"."&amp;AJ557&amp;COUNTIFS(AI$91:AI556,AI557,AJ$91:AJ556,AJ557))</f>
        <v>573.NA1</v>
      </c>
    </row>
    <row r="558" spans="1:37" ht="15" hidden="1">
      <c r="A558" s="120">
        <f>ROW()</f>
        <v>558</v>
      </c>
      <c r="B558" s="120"/>
      <c r="E558" s="121"/>
      <c r="F558" s="138"/>
      <c r="G558" s="119"/>
      <c r="X558" s="3"/>
      <c r="AD558" s="119"/>
      <c r="AE558" s="119"/>
      <c r="AF558" s="119"/>
      <c r="AG558" s="119"/>
      <c r="AI558">
        <f t="shared" si="237"/>
        <v>573</v>
      </c>
      <c r="AJ558" t="str">
        <f t="shared" si="233"/>
        <v>NA</v>
      </c>
      <c r="AK558" t="str">
        <f>IF(ISERROR(MATCH(AI558&amp;"."&amp;AJ558,AK$91:AK557,0)),AI558&amp;"."&amp;AJ558,AI558&amp;"."&amp;AJ558&amp;COUNTIFS(AI$91:AI557,AI558,AJ$91:AJ557,AJ558))</f>
        <v>573.NA2</v>
      </c>
    </row>
    <row r="559" spans="1:37" ht="15.75" hidden="1" thickBot="1">
      <c r="A559" s="120">
        <f>ROW()</f>
        <v>559</v>
      </c>
      <c r="B559" s="120"/>
      <c r="C559" s="110" t="s">
        <v>767</v>
      </c>
      <c r="E559" s="121"/>
      <c r="F559" s="138"/>
      <c r="G559" s="153" t="e">
        <f t="shared" ref="G559:L559" si="239">G504+G508+G512+G516+G520+G525+G529+G533+G537+G541+G545+G549+G553+G557</f>
        <v>#VALUE!</v>
      </c>
      <c r="H559" s="152" t="e">
        <f t="shared" si="239"/>
        <v>#VALUE!</v>
      </c>
      <c r="I559" s="152" t="e">
        <f t="shared" si="239"/>
        <v>#VALUE!</v>
      </c>
      <c r="J559" s="152" t="e">
        <f t="shared" si="239"/>
        <v>#VALUE!</v>
      </c>
      <c r="K559" s="152" t="e">
        <f t="shared" si="239"/>
        <v>#VALUE!</v>
      </c>
      <c r="L559" s="152" t="e">
        <f t="shared" si="239"/>
        <v>#VALUE!</v>
      </c>
      <c r="O559" s="116">
        <f>O504+O508+O512+O516+O520+O525+O529+O533+O537+O541+O545+O549+O553+O557</f>
        <v>0</v>
      </c>
      <c r="P559" s="116">
        <f>P504+P508+P512+P516+P520+P525+P529+P533+P537+P541+P545+P549+P553+P557</f>
        <v>0</v>
      </c>
      <c r="Q559" s="116">
        <f>Q504+Q508+Q512+Q516+Q520+Q525+Q529+Q533+Q537+Q541+Q545+Q549+Q553+Q557</f>
        <v>0</v>
      </c>
      <c r="R559" s="116">
        <f>R504+R508+R512+R516+R520+R525+R529+R533+R537+R541+R545+R549+R553+R557</f>
        <v>0</v>
      </c>
      <c r="S559" s="116"/>
      <c r="T559" s="116" t="e">
        <f>T504+T508+T512+T516+T520+T525+T529+T533+T537+T541+T545+T549+T553+T557</f>
        <v>#VALUE!</v>
      </c>
      <c r="U559" s="116" t="e">
        <f>U504+U508+U512+U516+U520+U525+U529+U533+U537+U541+U545+U549+U553+U557</f>
        <v>#VALUE!</v>
      </c>
      <c r="V559" s="116" t="e">
        <f>V504+V508+V512+V516+V520+V525+V529+V533+V537+V541+V545+V549+V553+V557</f>
        <v>#VALUE!</v>
      </c>
      <c r="W559" s="116" t="e">
        <f>W504+W508+W512+W516+W520+W525+W529+W533+W537+W541+W545+W549+W553+W557</f>
        <v>#VALUE!</v>
      </c>
      <c r="X559" s="3"/>
      <c r="Y559" s="116">
        <f>Y504+Y508+Y512+Y516+Y520+Y525+Y529+Y533+Y537+Y541+Y545+Y549+Y553+Y557</f>
        <v>0</v>
      </c>
      <c r="Z559" s="116">
        <f>Z504+Z508+Z512+Z516+Z520+Z525+Z529+Z533+Z537+Z541+Z545+Z549+Z553+Z557</f>
        <v>0</v>
      </c>
      <c r="AA559" s="116">
        <f>AA504+AA508+AA512+AA516+AA520+AA525+AA529+AA533+AA537+AA541+AA545+AA549+AA553+AA557</f>
        <v>0</v>
      </c>
      <c r="AB559" s="116">
        <f>AB504+AB508+AB512+AB516+AB520+AB525+AB529+AB533+AB537+AB541+AB545+AB549+AB553+AB557</f>
        <v>0</v>
      </c>
      <c r="AC559" s="116">
        <f>AC504+AC508+AC512+AC516+AC520+AC525+AC529+AC533+AC537+AC541+AC545+AC549+AC553+AC557</f>
        <v>0</v>
      </c>
      <c r="AD559" s="117" t="e">
        <f>ROUND(SUM(-G559,H559:L559),0)</f>
        <v>#VALUE!</v>
      </c>
      <c r="AE559" s="117" t="e">
        <f>ROUND(H559-O559-P559-Q559-R559,0)</f>
        <v>#VALUE!</v>
      </c>
      <c r="AF559" s="117" t="e">
        <f>ROUND(I559-T559-U559-V559-W559,0)</f>
        <v>#VALUE!</v>
      </c>
      <c r="AG559" s="117" t="e">
        <f>ROUND(J559-Y559-Z559-AA559-AC559-AB559,0)</f>
        <v>#VALUE!</v>
      </c>
      <c r="AH559" s="116"/>
      <c r="AI559" t="str">
        <f t="shared" si="237"/>
        <v>TOTAL TRANSMISSION EXPENSE</v>
      </c>
      <c r="AJ559" t="str">
        <f t="shared" si="233"/>
        <v>NA</v>
      </c>
      <c r="AK559" t="str">
        <f>IF(ISERROR(MATCH(AI559&amp;"."&amp;AJ559,AK$91:AK558,0)),AI559&amp;"."&amp;AJ559,AI559&amp;"."&amp;AJ559&amp;COUNTIFS(AI$91:AI558,AI559,AJ$91:AJ558,AJ559))</f>
        <v>TOTAL TRANSMISSION EXPENSE.NA</v>
      </c>
    </row>
    <row r="560" spans="1:37" ht="15" hidden="1">
      <c r="A560" s="120">
        <f>ROW()</f>
        <v>560</v>
      </c>
      <c r="B560" s="120"/>
      <c r="E560" s="121"/>
      <c r="F560" s="138"/>
      <c r="G560" s="119"/>
      <c r="X560" s="3"/>
      <c r="AD560" s="119"/>
      <c r="AE560" s="119"/>
      <c r="AF560" s="119"/>
      <c r="AG560" s="119"/>
      <c r="AI560" t="str">
        <f t="shared" si="237"/>
        <v>TOTAL TRANSMISSION EXPENSE</v>
      </c>
      <c r="AJ560" t="str">
        <f t="shared" si="233"/>
        <v>NA</v>
      </c>
      <c r="AK560" t="str">
        <f>IF(ISERROR(MATCH(AI560&amp;"."&amp;AJ560,AK$91:AK559,0)),AI560&amp;"."&amp;AJ560,AI560&amp;"."&amp;AJ560&amp;COUNTIFS(AI$91:AI559,AI560,AJ$91:AJ559,AJ560))</f>
        <v>TOTAL TRANSMISSION EXPENSE.NA1</v>
      </c>
    </row>
    <row r="561" spans="1:37" ht="15" hidden="1">
      <c r="A561" s="120">
        <f>ROW()</f>
        <v>561</v>
      </c>
      <c r="B561" s="120"/>
      <c r="C561" s="1">
        <v>580</v>
      </c>
      <c r="D561" s="2" t="s">
        <v>177</v>
      </c>
      <c r="E561" s="121"/>
      <c r="F561" s="138"/>
      <c r="G561" s="119"/>
      <c r="X561" s="3"/>
      <c r="AD561" s="119"/>
      <c r="AE561" s="119"/>
      <c r="AF561" s="119"/>
      <c r="AG561" s="119"/>
      <c r="AI561">
        <f t="shared" si="237"/>
        <v>580</v>
      </c>
      <c r="AJ561" t="str">
        <f t="shared" si="233"/>
        <v>NA</v>
      </c>
      <c r="AK561" t="str">
        <f>IF(ISERROR(MATCH(AI561&amp;"."&amp;AJ561,AK$91:AK560,0)),AI561&amp;"."&amp;AJ561,AI561&amp;"."&amp;AJ561&amp;COUNTIFS(AI$91:AI560,AI561,AJ$91:AJ560,AJ561))</f>
        <v>580.NA</v>
      </c>
    </row>
    <row r="562" spans="1:37" ht="15" hidden="1">
      <c r="A562" s="120">
        <f>ROW()</f>
        <v>562</v>
      </c>
      <c r="B562" s="120"/>
      <c r="C562" s="1"/>
      <c r="E562" s="121" t="s">
        <v>12</v>
      </c>
      <c r="F562" s="138" t="str">
        <f>INDEX(FuncAllocOptions,ROW(A562)-ROW($A$92)+1,[4]Inputs!$S$11)</f>
        <v>DPW</v>
      </c>
      <c r="G562" s="117" t="e">
        <f>SUMIF(FERCJAMFactor,AK562,JAMValue)</f>
        <v>#VALUE!</v>
      </c>
      <c r="H562" s="116" t="e">
        <f t="shared" ref="H562:L563" si="240">INDEX(FuncFactorTbl,MATCH($F562,FuncFactors,0),MATCH(H$8,Functions,0))*$G562</f>
        <v>#VALUE!</v>
      </c>
      <c r="I562" s="116" t="e">
        <f t="shared" si="240"/>
        <v>#VALUE!</v>
      </c>
      <c r="J562" s="116" t="e">
        <f t="shared" si="240"/>
        <v>#VALUE!</v>
      </c>
      <c r="K562" s="116" t="e">
        <f t="shared" si="240"/>
        <v>#VALUE!</v>
      </c>
      <c r="L562" s="116" t="e">
        <f t="shared" si="240"/>
        <v>#VALUE!</v>
      </c>
      <c r="X562" s="3" t="str">
        <f>INDEX(DistFuncAllocOptions,ROW(A562)-ROW($A$92)+1,[4]Inputs!$S$11)</f>
        <v>PLNT</v>
      </c>
      <c r="Y562" s="116" t="e">
        <f t="shared" ref="Y562:AC563" si="241">INDEX(DistFuncFactorTbl,MATCH($X562,DistFuncFactors,0),MATCH(Y$91,DistFunctions,0))*$J562</f>
        <v>#VALUE!</v>
      </c>
      <c r="Z562" s="116" t="e">
        <f t="shared" si="241"/>
        <v>#VALUE!</v>
      </c>
      <c r="AA562" s="116" t="e">
        <f t="shared" si="241"/>
        <v>#VALUE!</v>
      </c>
      <c r="AB562" s="116" t="e">
        <f t="shared" si="241"/>
        <v>#VALUE!</v>
      </c>
      <c r="AC562" s="116" t="e">
        <f t="shared" si="241"/>
        <v>#VALUE!</v>
      </c>
      <c r="AD562" s="117" t="e">
        <f>ROUND(SUM(-G562,H562:L562),0)</f>
        <v>#VALUE!</v>
      </c>
      <c r="AE562" s="117" t="e">
        <f>ROUND(H562-O562-P562-Q562-R562,0)</f>
        <v>#VALUE!</v>
      </c>
      <c r="AF562" s="117" t="e">
        <f>ROUND(I562-T562-U562-V562-W562,0)</f>
        <v>#VALUE!</v>
      </c>
      <c r="AG562" s="117" t="e">
        <f>ROUND(J562-Y562-Z562-AA562-AC562-AB562,0)</f>
        <v>#VALUE!</v>
      </c>
      <c r="AH562" s="116"/>
      <c r="AI562">
        <f t="shared" si="237"/>
        <v>580</v>
      </c>
      <c r="AJ562" t="str">
        <f t="shared" si="233"/>
        <v>S</v>
      </c>
      <c r="AK562" t="str">
        <f>IF(ISERROR(MATCH(AI562&amp;"."&amp;AJ562,AK$91:AK561,0)),AI562&amp;"."&amp;AJ562,AI562&amp;"."&amp;AJ562&amp;COUNTIFS(AI$91:AI561,AI562,AJ$91:AJ561,AJ562))</f>
        <v>580.S</v>
      </c>
    </row>
    <row r="563" spans="1:37" ht="15" hidden="1">
      <c r="A563" s="120">
        <f>ROW()</f>
        <v>563</v>
      </c>
      <c r="B563" s="120"/>
      <c r="C563" s="1"/>
      <c r="E563" s="121" t="s">
        <v>321</v>
      </c>
      <c r="F563" s="138" t="str">
        <f>INDEX(FuncAllocOptions,ROW(A563)-ROW($A$92)+1,[4]Inputs!$S$11)</f>
        <v>DPW</v>
      </c>
      <c r="G563" s="133" t="e">
        <f>SUMIF(FERCJAMFactor,AK563,JAMValue)</f>
        <v>#VALUE!</v>
      </c>
      <c r="H563" s="139" t="e">
        <f t="shared" si="240"/>
        <v>#VALUE!</v>
      </c>
      <c r="I563" s="139" t="e">
        <f t="shared" si="240"/>
        <v>#VALUE!</v>
      </c>
      <c r="J563" s="139" t="e">
        <f t="shared" si="240"/>
        <v>#VALUE!</v>
      </c>
      <c r="K563" s="139" t="e">
        <f t="shared" si="240"/>
        <v>#VALUE!</v>
      </c>
      <c r="L563" s="139" t="e">
        <f t="shared" si="240"/>
        <v>#VALUE!</v>
      </c>
      <c r="X563" s="3" t="str">
        <f>INDEX(DistFuncAllocOptions,ROW(A563)-ROW($A$92)+1,[4]Inputs!$S$11)</f>
        <v>PLNT</v>
      </c>
      <c r="Y563" s="116" t="e">
        <f t="shared" si="241"/>
        <v>#VALUE!</v>
      </c>
      <c r="Z563" s="116" t="e">
        <f t="shared" si="241"/>
        <v>#VALUE!</v>
      </c>
      <c r="AA563" s="116" t="e">
        <f t="shared" si="241"/>
        <v>#VALUE!</v>
      </c>
      <c r="AB563" s="116" t="e">
        <f t="shared" si="241"/>
        <v>#VALUE!</v>
      </c>
      <c r="AC563" s="116" t="e">
        <f t="shared" si="241"/>
        <v>#VALUE!</v>
      </c>
      <c r="AD563" s="117" t="e">
        <f>ROUND(SUM(-G563,H563:L563),0)</f>
        <v>#VALUE!</v>
      </c>
      <c r="AE563" s="117" t="e">
        <f>ROUND(H563-O563-P563-Q563-R563,0)</f>
        <v>#VALUE!</v>
      </c>
      <c r="AF563" s="117" t="e">
        <f>ROUND(I563-T563-U563-V563-W563,0)</f>
        <v>#VALUE!</v>
      </c>
      <c r="AG563" s="117" t="e">
        <f>ROUND(J563-Y563-Z563-AA563-AC563-AB563,0)</f>
        <v>#VALUE!</v>
      </c>
      <c r="AH563" s="116"/>
      <c r="AI563">
        <f t="shared" si="237"/>
        <v>580</v>
      </c>
      <c r="AJ563" t="str">
        <f t="shared" si="233"/>
        <v>SNPD</v>
      </c>
      <c r="AK563" t="str">
        <f>IF(ISERROR(MATCH(AI563&amp;"."&amp;AJ563,AK$91:AK562,0)),AI563&amp;"."&amp;AJ563,AI563&amp;"."&amp;AJ563&amp;COUNTIFS(AI$91:AI562,AI563,AJ$91:AJ562,AJ563))</f>
        <v>580.SNPD</v>
      </c>
    </row>
    <row r="564" spans="1:37" ht="15" hidden="1">
      <c r="A564" s="120">
        <f>ROW()</f>
        <v>564</v>
      </c>
      <c r="B564" s="120"/>
      <c r="C564" s="1"/>
      <c r="E564" s="121"/>
      <c r="F564" s="138"/>
      <c r="G564" s="117" t="e">
        <f t="shared" ref="G564:L564" si="242">SUM(G562:G563)</f>
        <v>#VALUE!</v>
      </c>
      <c r="H564" s="116" t="e">
        <f t="shared" si="242"/>
        <v>#VALUE!</v>
      </c>
      <c r="I564" s="116" t="e">
        <f t="shared" si="242"/>
        <v>#VALUE!</v>
      </c>
      <c r="J564" s="116" t="e">
        <f t="shared" si="242"/>
        <v>#VALUE!</v>
      </c>
      <c r="K564" s="116" t="e">
        <f t="shared" si="242"/>
        <v>#VALUE!</v>
      </c>
      <c r="L564" s="116" t="e">
        <f t="shared" si="242"/>
        <v>#VALUE!</v>
      </c>
      <c r="O564" s="116">
        <f>SUM(O562:O563)</f>
        <v>0</v>
      </c>
      <c r="P564" s="116">
        <f>SUM(P562:P563)</f>
        <v>0</v>
      </c>
      <c r="Q564" s="116">
        <f>SUM(Q562:Q563)</f>
        <v>0</v>
      </c>
      <c r="R564" s="116">
        <f>SUM(R562:R563)</f>
        <v>0</v>
      </c>
      <c r="T564" s="116">
        <f>SUM(T562:T563)</f>
        <v>0</v>
      </c>
      <c r="U564" s="116">
        <f>SUM(U562:U563)</f>
        <v>0</v>
      </c>
      <c r="V564" s="116">
        <f>SUM(V562:V563)</f>
        <v>0</v>
      </c>
      <c r="W564" s="116">
        <f>SUM(W562:W563)</f>
        <v>0</v>
      </c>
      <c r="X564" s="3"/>
      <c r="Y564" s="116" t="e">
        <f>SUM(Y562:Y563)</f>
        <v>#VALUE!</v>
      </c>
      <c r="Z564" s="116" t="e">
        <f>SUM(Z562:Z563)</f>
        <v>#VALUE!</v>
      </c>
      <c r="AA564" s="116" t="e">
        <f>SUM(AA562:AA563)</f>
        <v>#VALUE!</v>
      </c>
      <c r="AB564" s="116" t="e">
        <f>SUM(AB562:AB563)</f>
        <v>#VALUE!</v>
      </c>
      <c r="AC564" s="116" t="e">
        <f>SUM(AC562:AC563)</f>
        <v>#VALUE!</v>
      </c>
      <c r="AD564" s="117" t="e">
        <f>ROUND(SUM(-G564,H564:L564),0)</f>
        <v>#VALUE!</v>
      </c>
      <c r="AE564" s="117" t="e">
        <f>ROUND(H564-O564-P564-Q564-R564,0)</f>
        <v>#VALUE!</v>
      </c>
      <c r="AF564" s="117" t="e">
        <f>ROUND(I564-T564-U564-V564-W564,0)</f>
        <v>#VALUE!</v>
      </c>
      <c r="AG564" s="117" t="e">
        <f>ROUND(J564-Y564-Z564-AA564-AC564-AB564,0)</f>
        <v>#VALUE!</v>
      </c>
      <c r="AH564" s="116"/>
      <c r="AI564">
        <f t="shared" si="237"/>
        <v>580</v>
      </c>
      <c r="AJ564" t="str">
        <f t="shared" si="233"/>
        <v>NA</v>
      </c>
      <c r="AK564" t="str">
        <f>IF(ISERROR(MATCH(AI564&amp;"."&amp;AJ564,AK$91:AK563,0)),AI564&amp;"."&amp;AJ564,AI564&amp;"."&amp;AJ564&amp;COUNTIFS(AI$91:AI563,AI564,AJ$91:AJ563,AJ564))</f>
        <v>580.NA1</v>
      </c>
    </row>
    <row r="565" spans="1:37" ht="15" hidden="1">
      <c r="A565" s="120">
        <f>ROW()</f>
        <v>565</v>
      </c>
      <c r="B565" s="120"/>
      <c r="C565" s="1"/>
      <c r="E565" s="121"/>
      <c r="F565" s="138"/>
      <c r="G565" s="119"/>
      <c r="X565" s="3"/>
      <c r="AD565" s="119"/>
      <c r="AE565" s="119"/>
      <c r="AF565" s="119"/>
      <c r="AG565" s="119"/>
      <c r="AI565">
        <f t="shared" si="237"/>
        <v>580</v>
      </c>
      <c r="AJ565" t="str">
        <f t="shared" si="233"/>
        <v>NA</v>
      </c>
      <c r="AK565" t="str">
        <f>IF(ISERROR(MATCH(AI565&amp;"."&amp;AJ565,AK$91:AK564,0)),AI565&amp;"."&amp;AJ565,AI565&amp;"."&amp;AJ565&amp;COUNTIFS(AI$91:AI564,AI565,AJ$91:AJ564,AJ565))</f>
        <v>580.NA2</v>
      </c>
    </row>
    <row r="566" spans="1:37" ht="15" hidden="1">
      <c r="A566" s="120">
        <f>ROW()</f>
        <v>566</v>
      </c>
      <c r="B566" s="120"/>
      <c r="C566" s="1">
        <v>581</v>
      </c>
      <c r="D566" s="2" t="s">
        <v>304</v>
      </c>
      <c r="E566" s="121"/>
      <c r="F566" s="138"/>
      <c r="G566" s="119"/>
      <c r="X566" s="3"/>
      <c r="AD566" s="119"/>
      <c r="AE566" s="119"/>
      <c r="AF566" s="119"/>
      <c r="AG566" s="119"/>
      <c r="AI566">
        <f t="shared" si="237"/>
        <v>581</v>
      </c>
      <c r="AJ566" t="str">
        <f t="shared" si="233"/>
        <v>NA</v>
      </c>
      <c r="AK566" t="str">
        <f>IF(ISERROR(MATCH(AI566&amp;"."&amp;AJ566,AK$91:AK565,0)),AI566&amp;"."&amp;AJ566,AI566&amp;"."&amp;AJ566&amp;COUNTIFS(AI$91:AI565,AI566,AJ$91:AJ565,AJ566))</f>
        <v>581.NA</v>
      </c>
    </row>
    <row r="567" spans="1:37" ht="15" hidden="1">
      <c r="A567" s="120">
        <f>ROW()</f>
        <v>567</v>
      </c>
      <c r="B567" s="120"/>
      <c r="C567" s="1"/>
      <c r="E567" s="121" t="s">
        <v>12</v>
      </c>
      <c r="F567" s="138" t="str">
        <f>INDEX(FuncAllocOptions,ROW(A567)-ROW($A$92)+1,[4]Inputs!$S$11)</f>
        <v>DPW</v>
      </c>
      <c r="G567" s="117" t="e">
        <f>SUMIF(FERCJAMFactor,AK567,JAMValue)</f>
        <v>#VALUE!</v>
      </c>
      <c r="H567" s="116" t="e">
        <f t="shared" ref="H567:L568" si="243">INDEX(FuncFactorTbl,MATCH($F567,FuncFactors,0),MATCH(H$8,Functions,0))*$G567</f>
        <v>#VALUE!</v>
      </c>
      <c r="I567" s="116" t="e">
        <f t="shared" si="243"/>
        <v>#VALUE!</v>
      </c>
      <c r="J567" s="116" t="e">
        <f t="shared" si="243"/>
        <v>#VALUE!</v>
      </c>
      <c r="K567" s="116" t="e">
        <f t="shared" si="243"/>
        <v>#VALUE!</v>
      </c>
      <c r="L567" s="116" t="e">
        <f t="shared" si="243"/>
        <v>#VALUE!</v>
      </c>
      <c r="X567" s="3" t="str">
        <f>INDEX(DistFuncAllocOptions,ROW(A567)-ROW($A$92)+1,[4]Inputs!$S$11)</f>
        <v>SUBS</v>
      </c>
      <c r="Y567" s="116" t="e">
        <f t="shared" ref="Y567:AC568" si="244">INDEX(DistFuncFactorTbl,MATCH($X567,DistFuncFactors,0),MATCH(Y$91,DistFunctions,0))*$J567</f>
        <v>#VALUE!</v>
      </c>
      <c r="Z567" s="116" t="e">
        <f t="shared" si="244"/>
        <v>#VALUE!</v>
      </c>
      <c r="AA567" s="116" t="e">
        <f t="shared" si="244"/>
        <v>#VALUE!</v>
      </c>
      <c r="AB567" s="116" t="e">
        <f t="shared" si="244"/>
        <v>#VALUE!</v>
      </c>
      <c r="AC567" s="116" t="e">
        <f t="shared" si="244"/>
        <v>#VALUE!</v>
      </c>
      <c r="AD567" s="117" t="e">
        <f>ROUND(SUM(-G567,H567:L567),0)</f>
        <v>#VALUE!</v>
      </c>
      <c r="AE567" s="117" t="e">
        <f>ROUND(H567-O567-P567-Q567-R567,0)</f>
        <v>#VALUE!</v>
      </c>
      <c r="AF567" s="117" t="e">
        <f>ROUND(I567-T567-U567-V567-W567,0)</f>
        <v>#VALUE!</v>
      </c>
      <c r="AG567" s="117" t="e">
        <f>ROUND(J567-Y567-Z567-AA567-AC567-AB567,0)</f>
        <v>#VALUE!</v>
      </c>
      <c r="AH567" s="116"/>
      <c r="AI567">
        <f t="shared" si="237"/>
        <v>581</v>
      </c>
      <c r="AJ567" t="str">
        <f t="shared" si="233"/>
        <v>S</v>
      </c>
      <c r="AK567" t="str">
        <f>IF(ISERROR(MATCH(AI567&amp;"."&amp;AJ567,AK$91:AK566,0)),AI567&amp;"."&amp;AJ567,AI567&amp;"."&amp;AJ567&amp;COUNTIFS(AI$91:AI566,AI567,AJ$91:AJ566,AJ567))</f>
        <v>581.S</v>
      </c>
    </row>
    <row r="568" spans="1:37" ht="15" hidden="1">
      <c r="A568" s="120">
        <f>ROW()</f>
        <v>568</v>
      </c>
      <c r="B568" s="120"/>
      <c r="C568" s="1"/>
      <c r="E568" s="121" t="s">
        <v>321</v>
      </c>
      <c r="F568" s="138" t="str">
        <f>INDEX(FuncAllocOptions,ROW(A568)-ROW($A$92)+1,[4]Inputs!$S$11)</f>
        <v>DPW</v>
      </c>
      <c r="G568" s="133" t="e">
        <f>SUMIF(FERCJAMFactor,AK568,JAMValue)</f>
        <v>#VALUE!</v>
      </c>
      <c r="H568" s="139" t="e">
        <f t="shared" si="243"/>
        <v>#VALUE!</v>
      </c>
      <c r="I568" s="139" t="e">
        <f t="shared" si="243"/>
        <v>#VALUE!</v>
      </c>
      <c r="J568" s="139" t="e">
        <f t="shared" si="243"/>
        <v>#VALUE!</v>
      </c>
      <c r="K568" s="139" t="e">
        <f t="shared" si="243"/>
        <v>#VALUE!</v>
      </c>
      <c r="L568" s="139" t="e">
        <f t="shared" si="243"/>
        <v>#VALUE!</v>
      </c>
      <c r="X568" s="3" t="str">
        <f>INDEX(DistFuncAllocOptions,ROW(A568)-ROW($A$92)+1,[4]Inputs!$S$11)</f>
        <v>SUBS</v>
      </c>
      <c r="Y568" s="116" t="e">
        <f t="shared" si="244"/>
        <v>#VALUE!</v>
      </c>
      <c r="Z568" s="116" t="e">
        <f t="shared" si="244"/>
        <v>#VALUE!</v>
      </c>
      <c r="AA568" s="116" t="e">
        <f t="shared" si="244"/>
        <v>#VALUE!</v>
      </c>
      <c r="AB568" s="116" t="e">
        <f t="shared" si="244"/>
        <v>#VALUE!</v>
      </c>
      <c r="AC568" s="116" t="e">
        <f t="shared" si="244"/>
        <v>#VALUE!</v>
      </c>
      <c r="AD568" s="117" t="e">
        <f>ROUND(SUM(-G568,H568:L568),0)</f>
        <v>#VALUE!</v>
      </c>
      <c r="AE568" s="117" t="e">
        <f>ROUND(H568-O568-P568-Q568-R568,0)</f>
        <v>#VALUE!</v>
      </c>
      <c r="AF568" s="117" t="e">
        <f>ROUND(I568-T568-U568-V568-W568,0)</f>
        <v>#VALUE!</v>
      </c>
      <c r="AG568" s="117" t="e">
        <f>ROUND(J568-Y568-Z568-AA568-AC568-AB568,0)</f>
        <v>#VALUE!</v>
      </c>
      <c r="AH568" s="116"/>
      <c r="AI568">
        <f t="shared" si="237"/>
        <v>581</v>
      </c>
      <c r="AJ568" t="str">
        <f t="shared" si="233"/>
        <v>SNPD</v>
      </c>
      <c r="AK568" t="str">
        <f>IF(ISERROR(MATCH(AI568&amp;"."&amp;AJ568,AK$91:AK567,0)),AI568&amp;"."&amp;AJ568,AI568&amp;"."&amp;AJ568&amp;COUNTIFS(AI$91:AI567,AI568,AJ$91:AJ567,AJ568))</f>
        <v>581.SNPD</v>
      </c>
    </row>
    <row r="569" spans="1:37" ht="15" hidden="1">
      <c r="A569" s="120">
        <f>ROW()</f>
        <v>569</v>
      </c>
      <c r="B569" s="120"/>
      <c r="C569" s="1"/>
      <c r="E569" s="121"/>
      <c r="F569" s="138"/>
      <c r="G569" s="117" t="e">
        <f t="shared" ref="G569:L569" si="245">SUM(G567:G568)</f>
        <v>#VALUE!</v>
      </c>
      <c r="H569" s="116" t="e">
        <f t="shared" si="245"/>
        <v>#VALUE!</v>
      </c>
      <c r="I569" s="116" t="e">
        <f t="shared" si="245"/>
        <v>#VALUE!</v>
      </c>
      <c r="J569" s="116" t="e">
        <f t="shared" si="245"/>
        <v>#VALUE!</v>
      </c>
      <c r="K569" s="116" t="e">
        <f t="shared" si="245"/>
        <v>#VALUE!</v>
      </c>
      <c r="L569" s="116" t="e">
        <f t="shared" si="245"/>
        <v>#VALUE!</v>
      </c>
      <c r="O569" s="116">
        <f>SUM(O567:O568)</f>
        <v>0</v>
      </c>
      <c r="P569" s="116">
        <f>SUM(P567:P568)</f>
        <v>0</v>
      </c>
      <c r="Q569" s="116">
        <f>SUM(Q567:Q568)</f>
        <v>0</v>
      </c>
      <c r="R569" s="116">
        <f>SUM(R567:R568)</f>
        <v>0</v>
      </c>
      <c r="T569" s="116">
        <f>SUM(T567:T568)</f>
        <v>0</v>
      </c>
      <c r="U569" s="116">
        <f>SUM(U567:U568)</f>
        <v>0</v>
      </c>
      <c r="V569" s="116">
        <f>SUM(V567:V568)</f>
        <v>0</v>
      </c>
      <c r="W569" s="116">
        <f>SUM(W567:W568)</f>
        <v>0</v>
      </c>
      <c r="X569" s="3"/>
      <c r="Y569" s="116" t="e">
        <f>SUM(Y567:Y568)</f>
        <v>#VALUE!</v>
      </c>
      <c r="Z569" s="116" t="e">
        <f>SUM(Z567:Z568)</f>
        <v>#VALUE!</v>
      </c>
      <c r="AA569" s="116" t="e">
        <f>SUM(AA567:AA568)</f>
        <v>#VALUE!</v>
      </c>
      <c r="AB569" s="116" t="e">
        <f>SUM(AB567:AB568)</f>
        <v>#VALUE!</v>
      </c>
      <c r="AC569" s="116" t="e">
        <f>SUM(AC567:AC568)</f>
        <v>#VALUE!</v>
      </c>
      <c r="AD569" s="117" t="e">
        <f>ROUND(SUM(-G569,H569:L569),0)</f>
        <v>#VALUE!</v>
      </c>
      <c r="AE569" s="117" t="e">
        <f>ROUND(H569-O569-P569-Q569-R569,0)</f>
        <v>#VALUE!</v>
      </c>
      <c r="AF569" s="117" t="e">
        <f>ROUND(I569-T569-U569-V569-W569,0)</f>
        <v>#VALUE!</v>
      </c>
      <c r="AG569" s="117" t="e">
        <f>ROUND(J569-Y569-Z569-AA569-AC569-AB569,0)</f>
        <v>#VALUE!</v>
      </c>
      <c r="AH569" s="116"/>
      <c r="AI569">
        <f t="shared" si="237"/>
        <v>581</v>
      </c>
      <c r="AJ569" t="str">
        <f t="shared" si="233"/>
        <v>NA</v>
      </c>
      <c r="AK569" t="str">
        <f>IF(ISERROR(MATCH(AI569&amp;"."&amp;AJ569,AK$91:AK568,0)),AI569&amp;"."&amp;AJ569,AI569&amp;"."&amp;AJ569&amp;COUNTIFS(AI$91:AI568,AI569,AJ$91:AJ568,AJ569))</f>
        <v>581.NA1</v>
      </c>
    </row>
    <row r="570" spans="1:37" ht="15" hidden="1">
      <c r="A570" s="120">
        <f>ROW()</f>
        <v>570</v>
      </c>
      <c r="B570" s="120"/>
      <c r="C570" s="1"/>
      <c r="E570" s="121"/>
      <c r="F570" s="138"/>
      <c r="G570" s="119"/>
      <c r="X570" s="3"/>
      <c r="AD570" s="119"/>
      <c r="AE570" s="119"/>
      <c r="AF570" s="119"/>
      <c r="AG570" s="119"/>
      <c r="AI570">
        <f t="shared" si="237"/>
        <v>581</v>
      </c>
      <c r="AJ570" t="str">
        <f t="shared" si="233"/>
        <v>NA</v>
      </c>
      <c r="AK570" t="str">
        <f>IF(ISERROR(MATCH(AI570&amp;"."&amp;AJ570,AK$91:AK569,0)),AI570&amp;"."&amp;AJ570,AI570&amp;"."&amp;AJ570&amp;COUNTIFS(AI$91:AI569,AI570,AJ$91:AJ569,AJ570))</f>
        <v>581.NA2</v>
      </c>
    </row>
    <row r="571" spans="1:37" ht="15" hidden="1">
      <c r="A571" s="120">
        <f>ROW()</f>
        <v>571</v>
      </c>
      <c r="B571" s="120"/>
      <c r="C571" s="1">
        <v>582</v>
      </c>
      <c r="D571" s="2" t="s">
        <v>305</v>
      </c>
      <c r="E571" s="121"/>
      <c r="F571" s="138"/>
      <c r="G571" s="119"/>
      <c r="X571" s="3"/>
      <c r="AD571" s="119"/>
      <c r="AE571" s="119"/>
      <c r="AF571" s="119"/>
      <c r="AG571" s="119"/>
      <c r="AI571">
        <f t="shared" si="237"/>
        <v>582</v>
      </c>
      <c r="AJ571" t="str">
        <f t="shared" si="233"/>
        <v>NA</v>
      </c>
      <c r="AK571" t="str">
        <f>IF(ISERROR(MATCH(AI571&amp;"."&amp;AJ571,AK$91:AK570,0)),AI571&amp;"."&amp;AJ571,AI571&amp;"."&amp;AJ571&amp;COUNTIFS(AI$91:AI570,AI571,AJ$91:AJ570,AJ571))</f>
        <v>582.NA</v>
      </c>
    </row>
    <row r="572" spans="1:37" ht="15" hidden="1">
      <c r="A572" s="120">
        <f>ROW()</f>
        <v>572</v>
      </c>
      <c r="B572" s="120"/>
      <c r="C572" s="1"/>
      <c r="E572" s="121" t="s">
        <v>12</v>
      </c>
      <c r="F572" s="138" t="str">
        <f>INDEX(FuncAllocOptions,ROW(A572)-ROW($A$92)+1,[4]Inputs!$S$11)</f>
        <v>DPW</v>
      </c>
      <c r="G572" s="117" t="e">
        <f>SUMIF(FERCJAMFactor,AK572,JAMValue)</f>
        <v>#VALUE!</v>
      </c>
      <c r="H572" s="116" t="e">
        <f t="shared" ref="H572:L573" si="246">INDEX(FuncFactorTbl,MATCH($F572,FuncFactors,0),MATCH(H$8,Functions,0))*$G572</f>
        <v>#VALUE!</v>
      </c>
      <c r="I572" s="116" t="e">
        <f t="shared" si="246"/>
        <v>#VALUE!</v>
      </c>
      <c r="J572" s="116" t="e">
        <f t="shared" si="246"/>
        <v>#VALUE!</v>
      </c>
      <c r="K572" s="116" t="e">
        <f t="shared" si="246"/>
        <v>#VALUE!</v>
      </c>
      <c r="L572" s="116" t="e">
        <f t="shared" si="246"/>
        <v>#VALUE!</v>
      </c>
      <c r="X572" s="3" t="str">
        <f>INDEX(DistFuncAllocOptions,ROW(A572)-ROW($A$92)+1,[4]Inputs!$S$11)</f>
        <v>SUBS</v>
      </c>
      <c r="Y572" s="116" t="e">
        <f t="shared" ref="Y572:AC573" si="247">INDEX(DistFuncFactorTbl,MATCH($X572,DistFuncFactors,0),MATCH(Y$91,DistFunctions,0))*$J572</f>
        <v>#VALUE!</v>
      </c>
      <c r="Z572" s="116" t="e">
        <f t="shared" si="247"/>
        <v>#VALUE!</v>
      </c>
      <c r="AA572" s="116" t="e">
        <f t="shared" si="247"/>
        <v>#VALUE!</v>
      </c>
      <c r="AB572" s="116" t="e">
        <f t="shared" si="247"/>
        <v>#VALUE!</v>
      </c>
      <c r="AC572" s="116" t="e">
        <f t="shared" si="247"/>
        <v>#VALUE!</v>
      </c>
      <c r="AD572" s="117" t="e">
        <f>ROUND(SUM(-G572,H572:L572),0)</f>
        <v>#VALUE!</v>
      </c>
      <c r="AE572" s="117" t="e">
        <f>ROUND(H572-O572-P572-Q572-R572,0)</f>
        <v>#VALUE!</v>
      </c>
      <c r="AF572" s="117" t="e">
        <f>ROUND(I572-T572-U572-V572-W572,0)</f>
        <v>#VALUE!</v>
      </c>
      <c r="AG572" s="117" t="e">
        <f>ROUND(J572-Y572-Z572-AA572-AC572-AB572,0)</f>
        <v>#VALUE!</v>
      </c>
      <c r="AH572" s="116"/>
      <c r="AI572">
        <f t="shared" si="237"/>
        <v>582</v>
      </c>
      <c r="AJ572" t="str">
        <f t="shared" si="233"/>
        <v>S</v>
      </c>
      <c r="AK572" t="str">
        <f>IF(ISERROR(MATCH(AI572&amp;"."&amp;AJ572,AK$91:AK571,0)),AI572&amp;"."&amp;AJ572,AI572&amp;"."&amp;AJ572&amp;COUNTIFS(AI$91:AI571,AI572,AJ$91:AJ571,AJ572))</f>
        <v>582.S</v>
      </c>
    </row>
    <row r="573" spans="1:37" ht="15" hidden="1">
      <c r="A573" s="120">
        <f>ROW()</f>
        <v>573</v>
      </c>
      <c r="B573" s="120"/>
      <c r="C573" s="1"/>
      <c r="E573" s="121" t="s">
        <v>321</v>
      </c>
      <c r="F573" s="138" t="str">
        <f>INDEX(FuncAllocOptions,ROW(A573)-ROW($A$92)+1,[4]Inputs!$S$11)</f>
        <v>DPW</v>
      </c>
      <c r="G573" s="133" t="e">
        <f>SUMIF(FERCJAMFactor,AK573,JAMValue)</f>
        <v>#VALUE!</v>
      </c>
      <c r="H573" s="139" t="e">
        <f t="shared" si="246"/>
        <v>#VALUE!</v>
      </c>
      <c r="I573" s="139" t="e">
        <f t="shared" si="246"/>
        <v>#VALUE!</v>
      </c>
      <c r="J573" s="139" t="e">
        <f t="shared" si="246"/>
        <v>#VALUE!</v>
      </c>
      <c r="K573" s="139" t="e">
        <f t="shared" si="246"/>
        <v>#VALUE!</v>
      </c>
      <c r="L573" s="139" t="e">
        <f t="shared" si="246"/>
        <v>#VALUE!</v>
      </c>
      <c r="X573" s="3" t="str">
        <f>INDEX(DistFuncAllocOptions,ROW(A573)-ROW($A$92)+1,[4]Inputs!$S$11)</f>
        <v>SUBS</v>
      </c>
      <c r="Y573" s="116" t="e">
        <f t="shared" si="247"/>
        <v>#VALUE!</v>
      </c>
      <c r="Z573" s="116" t="e">
        <f t="shared" si="247"/>
        <v>#VALUE!</v>
      </c>
      <c r="AA573" s="116" t="e">
        <f t="shared" si="247"/>
        <v>#VALUE!</v>
      </c>
      <c r="AB573" s="116" t="e">
        <f t="shared" si="247"/>
        <v>#VALUE!</v>
      </c>
      <c r="AC573" s="116" t="e">
        <f t="shared" si="247"/>
        <v>#VALUE!</v>
      </c>
      <c r="AD573" s="117" t="e">
        <f>ROUND(SUM(-G573,H573:L573),0)</f>
        <v>#VALUE!</v>
      </c>
      <c r="AE573" s="117" t="e">
        <f>ROUND(H573-O573-P573-Q573-R573,0)</f>
        <v>#VALUE!</v>
      </c>
      <c r="AF573" s="117" t="e">
        <f>ROUND(I573-T573-U573-V573-W573,0)</f>
        <v>#VALUE!</v>
      </c>
      <c r="AG573" s="117" t="e">
        <f>ROUND(J573-Y573-Z573-AA573-AC573-AB573,0)</f>
        <v>#VALUE!</v>
      </c>
      <c r="AH573" s="116"/>
      <c r="AI573">
        <f t="shared" si="237"/>
        <v>582</v>
      </c>
      <c r="AJ573" t="str">
        <f t="shared" si="233"/>
        <v>SNPD</v>
      </c>
      <c r="AK573" t="str">
        <f>IF(ISERROR(MATCH(AI573&amp;"."&amp;AJ573,AK$91:AK572,0)),AI573&amp;"."&amp;AJ573,AI573&amp;"."&amp;AJ573&amp;COUNTIFS(AI$91:AI572,AI573,AJ$91:AJ572,AJ573))</f>
        <v>582.SNPD</v>
      </c>
    </row>
    <row r="574" spans="1:37" ht="15" hidden="1">
      <c r="A574" s="120">
        <f>ROW()</f>
        <v>574</v>
      </c>
      <c r="B574" s="120"/>
      <c r="C574" s="1"/>
      <c r="E574" s="121"/>
      <c r="F574" s="138"/>
      <c r="G574" s="117" t="e">
        <f t="shared" ref="G574:L574" si="248">SUM(G572:G573)</f>
        <v>#VALUE!</v>
      </c>
      <c r="H574" s="116" t="e">
        <f t="shared" si="248"/>
        <v>#VALUE!</v>
      </c>
      <c r="I574" s="116" t="e">
        <f t="shared" si="248"/>
        <v>#VALUE!</v>
      </c>
      <c r="J574" s="116" t="e">
        <f t="shared" si="248"/>
        <v>#VALUE!</v>
      </c>
      <c r="K574" s="116" t="e">
        <f t="shared" si="248"/>
        <v>#VALUE!</v>
      </c>
      <c r="L574" s="116" t="e">
        <f t="shared" si="248"/>
        <v>#VALUE!</v>
      </c>
      <c r="O574" s="116">
        <f>SUM(O572:O573)</f>
        <v>0</v>
      </c>
      <c r="P574" s="116">
        <f>SUM(P572:P573)</f>
        <v>0</v>
      </c>
      <c r="Q574" s="116">
        <f>SUM(Q572:Q573)</f>
        <v>0</v>
      </c>
      <c r="R574" s="116">
        <f>SUM(R572:R573)</f>
        <v>0</v>
      </c>
      <c r="T574" s="116">
        <f>SUM(T572:T573)</f>
        <v>0</v>
      </c>
      <c r="U574" s="116">
        <f>SUM(U572:U573)</f>
        <v>0</v>
      </c>
      <c r="V574" s="116">
        <f>SUM(V572:V573)</f>
        <v>0</v>
      </c>
      <c r="W574" s="116">
        <f>SUM(W572:W573)</f>
        <v>0</v>
      </c>
      <c r="X574" s="3"/>
      <c r="Y574" s="116" t="e">
        <f>SUM(Y572:Y573)</f>
        <v>#VALUE!</v>
      </c>
      <c r="Z574" s="116" t="e">
        <f>SUM(Z572:Z573)</f>
        <v>#VALUE!</v>
      </c>
      <c r="AA574" s="116" t="e">
        <f>SUM(AA572:AA573)</f>
        <v>#VALUE!</v>
      </c>
      <c r="AB574" s="116" t="e">
        <f>SUM(AB572:AB573)</f>
        <v>#VALUE!</v>
      </c>
      <c r="AC574" s="116" t="e">
        <f>SUM(AC572:AC573)</f>
        <v>#VALUE!</v>
      </c>
      <c r="AD574" s="117" t="e">
        <f>ROUND(SUM(-G574,H574:L574),0)</f>
        <v>#VALUE!</v>
      </c>
      <c r="AE574" s="117" t="e">
        <f>ROUND(H574-O574-P574-Q574-R574,0)</f>
        <v>#VALUE!</v>
      </c>
      <c r="AF574" s="117" t="e">
        <f>ROUND(I574-T574-U574-V574-W574,0)</f>
        <v>#VALUE!</v>
      </c>
      <c r="AG574" s="117" t="e">
        <f>ROUND(J574-Y574-Z574-AA574-AC574-AB574,0)</f>
        <v>#VALUE!</v>
      </c>
      <c r="AH574" s="116"/>
      <c r="AI574">
        <f t="shared" si="237"/>
        <v>582</v>
      </c>
      <c r="AJ574" t="str">
        <f t="shared" si="233"/>
        <v>NA</v>
      </c>
      <c r="AK574" t="str">
        <f>IF(ISERROR(MATCH(AI574&amp;"."&amp;AJ574,AK$91:AK573,0)),AI574&amp;"."&amp;AJ574,AI574&amp;"."&amp;AJ574&amp;COUNTIFS(AI$91:AI573,AI574,AJ$91:AJ573,AJ574))</f>
        <v>582.NA1</v>
      </c>
    </row>
    <row r="575" spans="1:37" ht="15" hidden="1">
      <c r="A575" s="120">
        <f>ROW()</f>
        <v>575</v>
      </c>
      <c r="B575" s="120"/>
      <c r="C575" s="1"/>
      <c r="E575" s="121"/>
      <c r="F575" s="138"/>
      <c r="G575" s="119"/>
      <c r="X575" s="3"/>
      <c r="AD575" s="119"/>
      <c r="AE575" s="119"/>
      <c r="AF575" s="119"/>
      <c r="AG575" s="119"/>
      <c r="AI575">
        <f t="shared" si="237"/>
        <v>582</v>
      </c>
      <c r="AJ575" t="str">
        <f t="shared" si="233"/>
        <v>NA</v>
      </c>
      <c r="AK575" t="str">
        <f>IF(ISERROR(MATCH(AI575&amp;"."&amp;AJ575,AK$91:AK574,0)),AI575&amp;"."&amp;AJ575,AI575&amp;"."&amp;AJ575&amp;COUNTIFS(AI$91:AI574,AI575,AJ$91:AJ574,AJ575))</f>
        <v>582.NA2</v>
      </c>
    </row>
    <row r="576" spans="1:37" ht="15" hidden="1">
      <c r="A576" s="120">
        <f>ROW()</f>
        <v>576</v>
      </c>
      <c r="B576" s="120"/>
      <c r="C576" s="1">
        <v>583</v>
      </c>
      <c r="D576" s="2" t="s">
        <v>322</v>
      </c>
      <c r="E576" s="121"/>
      <c r="F576" s="138"/>
      <c r="G576" s="119"/>
      <c r="X576" s="3"/>
      <c r="AD576" s="119"/>
      <c r="AE576" s="119"/>
      <c r="AF576" s="119"/>
      <c r="AG576" s="119"/>
      <c r="AI576">
        <f t="shared" si="237"/>
        <v>583</v>
      </c>
      <c r="AJ576" t="str">
        <f t="shared" si="233"/>
        <v>NA</v>
      </c>
      <c r="AK576" t="str">
        <f>IF(ISERROR(MATCH(AI576&amp;"."&amp;AJ576,AK$91:AK575,0)),AI576&amp;"."&amp;AJ576,AI576&amp;"."&amp;AJ576&amp;COUNTIFS(AI$91:AI575,AI576,AJ$91:AJ575,AJ576))</f>
        <v>583.NA</v>
      </c>
    </row>
    <row r="577" spans="1:37" ht="15" hidden="1">
      <c r="A577" s="120">
        <f>ROW()</f>
        <v>577</v>
      </c>
      <c r="B577" s="120"/>
      <c r="C577" s="1"/>
      <c r="E577" s="121" t="s">
        <v>12</v>
      </c>
      <c r="F577" s="138" t="str">
        <f>INDEX(FuncAllocOptions,ROW(A577)-ROW($A$92)+1,[4]Inputs!$S$11)</f>
        <v>DPW</v>
      </c>
      <c r="G577" s="117" t="e">
        <f>SUMIF(FERCJAMFactor,AK577,JAMValue)</f>
        <v>#VALUE!</v>
      </c>
      <c r="H577" s="116" t="e">
        <f t="shared" ref="H577:L578" si="249">INDEX(FuncFactorTbl,MATCH($F577,FuncFactors,0),MATCH(H$8,Functions,0))*$G577</f>
        <v>#VALUE!</v>
      </c>
      <c r="I577" s="116" t="e">
        <f t="shared" si="249"/>
        <v>#VALUE!</v>
      </c>
      <c r="J577" s="116" t="e">
        <f t="shared" si="249"/>
        <v>#VALUE!</v>
      </c>
      <c r="K577" s="116" t="e">
        <f t="shared" si="249"/>
        <v>#VALUE!</v>
      </c>
      <c r="L577" s="116" t="e">
        <f t="shared" si="249"/>
        <v>#VALUE!</v>
      </c>
      <c r="X577" s="3" t="str">
        <f>INDEX(DistFuncAllocOptions,ROW(A577)-ROW($A$92)+1,[4]Inputs!$S$11)</f>
        <v>PC</v>
      </c>
      <c r="Y577" s="116" t="e">
        <f t="shared" ref="Y577:AC578" si="250">INDEX(DistFuncFactorTbl,MATCH($X577,DistFuncFactors,0),MATCH(Y$91,DistFunctions,0))*$J577</f>
        <v>#VALUE!</v>
      </c>
      <c r="Z577" s="116" t="e">
        <f t="shared" si="250"/>
        <v>#VALUE!</v>
      </c>
      <c r="AA577" s="116" t="e">
        <f t="shared" si="250"/>
        <v>#VALUE!</v>
      </c>
      <c r="AB577" s="116" t="e">
        <f t="shared" si="250"/>
        <v>#VALUE!</v>
      </c>
      <c r="AC577" s="116" t="e">
        <f t="shared" si="250"/>
        <v>#VALUE!</v>
      </c>
      <c r="AD577" s="117" t="e">
        <f>ROUND(SUM(-G577,H577:L577),0)</f>
        <v>#VALUE!</v>
      </c>
      <c r="AE577" s="117" t="e">
        <f>ROUND(H577-O577-P577-Q577-R577,0)</f>
        <v>#VALUE!</v>
      </c>
      <c r="AF577" s="117" t="e">
        <f>ROUND(I577-T577-U577-V577-W577,0)</f>
        <v>#VALUE!</v>
      </c>
      <c r="AG577" s="117" t="e">
        <f>ROUND(J577-Y577-Z577-AA577-AC577-AB577,0)</f>
        <v>#VALUE!</v>
      </c>
      <c r="AH577" s="116"/>
      <c r="AI577">
        <f t="shared" si="237"/>
        <v>583</v>
      </c>
      <c r="AJ577" t="str">
        <f t="shared" si="233"/>
        <v>S</v>
      </c>
      <c r="AK577" t="str">
        <f>IF(ISERROR(MATCH(AI577&amp;"."&amp;AJ577,AK$91:AK576,0)),AI577&amp;"."&amp;AJ577,AI577&amp;"."&amp;AJ577&amp;COUNTIFS(AI$91:AI576,AI577,AJ$91:AJ576,AJ577))</f>
        <v>583.S</v>
      </c>
    </row>
    <row r="578" spans="1:37" ht="15" hidden="1">
      <c r="A578" s="120">
        <f>ROW()</f>
        <v>578</v>
      </c>
      <c r="B578" s="120"/>
      <c r="C578" s="1"/>
      <c r="E578" s="121" t="s">
        <v>321</v>
      </c>
      <c r="F578" s="138" t="str">
        <f>INDEX(FuncAllocOptions,ROW(A578)-ROW($A$92)+1,[4]Inputs!$S$11)</f>
        <v>DPW</v>
      </c>
      <c r="G578" s="133" t="e">
        <f>SUMIF(FERCJAMFactor,AK578,JAMValue)</f>
        <v>#VALUE!</v>
      </c>
      <c r="H578" s="139" t="e">
        <f t="shared" si="249"/>
        <v>#VALUE!</v>
      </c>
      <c r="I578" s="139" t="e">
        <f t="shared" si="249"/>
        <v>#VALUE!</v>
      </c>
      <c r="J578" s="139" t="e">
        <f t="shared" si="249"/>
        <v>#VALUE!</v>
      </c>
      <c r="K578" s="139" t="e">
        <f t="shared" si="249"/>
        <v>#VALUE!</v>
      </c>
      <c r="L578" s="139" t="e">
        <f t="shared" si="249"/>
        <v>#VALUE!</v>
      </c>
      <c r="X578" s="3" t="str">
        <f>INDEX(DistFuncAllocOptions,ROW(A578)-ROW($A$92)+1,[4]Inputs!$S$11)</f>
        <v>PC</v>
      </c>
      <c r="Y578" s="116" t="e">
        <f t="shared" si="250"/>
        <v>#VALUE!</v>
      </c>
      <c r="Z578" s="116" t="e">
        <f t="shared" si="250"/>
        <v>#VALUE!</v>
      </c>
      <c r="AA578" s="116" t="e">
        <f t="shared" si="250"/>
        <v>#VALUE!</v>
      </c>
      <c r="AB578" s="116" t="e">
        <f t="shared" si="250"/>
        <v>#VALUE!</v>
      </c>
      <c r="AC578" s="116" t="e">
        <f t="shared" si="250"/>
        <v>#VALUE!</v>
      </c>
      <c r="AD578" s="117" t="e">
        <f>ROUND(SUM(-G578,H578:L578),0)</f>
        <v>#VALUE!</v>
      </c>
      <c r="AE578" s="117" t="e">
        <f>ROUND(H578-O578-P578-Q578-R578,0)</f>
        <v>#VALUE!</v>
      </c>
      <c r="AF578" s="117" t="e">
        <f>ROUND(I578-T578-U578-V578-W578,0)</f>
        <v>#VALUE!</v>
      </c>
      <c r="AG578" s="117" t="e">
        <f>ROUND(J578-Y578-Z578-AA578-AC578-AB578,0)</f>
        <v>#VALUE!</v>
      </c>
      <c r="AH578" s="116"/>
      <c r="AI578">
        <f t="shared" si="237"/>
        <v>583</v>
      </c>
      <c r="AJ578" t="str">
        <f t="shared" si="233"/>
        <v>SNPD</v>
      </c>
      <c r="AK578" t="str">
        <f>IF(ISERROR(MATCH(AI578&amp;"."&amp;AJ578,AK$91:AK577,0)),AI578&amp;"."&amp;AJ578,AI578&amp;"."&amp;AJ578&amp;COUNTIFS(AI$91:AI577,AI578,AJ$91:AJ577,AJ578))</f>
        <v>583.SNPD</v>
      </c>
    </row>
    <row r="579" spans="1:37" ht="15" hidden="1">
      <c r="A579" s="120">
        <f>ROW()</f>
        <v>579</v>
      </c>
      <c r="B579" s="120"/>
      <c r="C579" s="1"/>
      <c r="E579" s="121"/>
      <c r="F579" s="138"/>
      <c r="G579" s="117" t="e">
        <f t="shared" ref="G579:L579" si="251">SUM(G577:G578)</f>
        <v>#VALUE!</v>
      </c>
      <c r="H579" s="116" t="e">
        <f t="shared" si="251"/>
        <v>#VALUE!</v>
      </c>
      <c r="I579" s="116" t="e">
        <f t="shared" si="251"/>
        <v>#VALUE!</v>
      </c>
      <c r="J579" s="116" t="e">
        <f t="shared" si="251"/>
        <v>#VALUE!</v>
      </c>
      <c r="K579" s="116" t="e">
        <f t="shared" si="251"/>
        <v>#VALUE!</v>
      </c>
      <c r="L579" s="116" t="e">
        <f t="shared" si="251"/>
        <v>#VALUE!</v>
      </c>
      <c r="O579" s="116">
        <f>SUM(O577:O578)</f>
        <v>0</v>
      </c>
      <c r="P579" s="116">
        <f>SUM(P577:P578)</f>
        <v>0</v>
      </c>
      <c r="Q579" s="116">
        <f>SUM(Q577:Q578)</f>
        <v>0</v>
      </c>
      <c r="R579" s="116">
        <f>SUM(R577:R578)</f>
        <v>0</v>
      </c>
      <c r="T579" s="116">
        <v>0</v>
      </c>
      <c r="U579" s="116">
        <v>0</v>
      </c>
      <c r="V579" s="116">
        <v>0</v>
      </c>
      <c r="W579" s="116">
        <v>0</v>
      </c>
      <c r="X579" s="3"/>
      <c r="Y579" s="116" t="e">
        <f>SUM(Y577:Y578)</f>
        <v>#VALUE!</v>
      </c>
      <c r="Z579" s="116" t="e">
        <f>SUM(Z577:Z578)</f>
        <v>#VALUE!</v>
      </c>
      <c r="AA579" s="116" t="e">
        <f>SUM(AA577:AA578)</f>
        <v>#VALUE!</v>
      </c>
      <c r="AB579" s="116" t="e">
        <f>SUM(AB577:AB578)</f>
        <v>#VALUE!</v>
      </c>
      <c r="AC579" s="116" t="e">
        <f>SUM(AC577:AC578)</f>
        <v>#VALUE!</v>
      </c>
      <c r="AD579" s="117" t="e">
        <f>ROUND(SUM(-G579,H579:L579),0)</f>
        <v>#VALUE!</v>
      </c>
      <c r="AE579" s="117" t="e">
        <f>ROUND(H579-O579-P579-Q579-R579,0)</f>
        <v>#VALUE!</v>
      </c>
      <c r="AF579" s="117" t="e">
        <f>ROUND(I579-T579-U579-V579-W579,0)</f>
        <v>#VALUE!</v>
      </c>
      <c r="AG579" s="117" t="e">
        <f>ROUND(J579-Y579-Z579-AA579-AC579-AB579,0)</f>
        <v>#VALUE!</v>
      </c>
      <c r="AH579" s="116"/>
      <c r="AI579">
        <f t="shared" si="237"/>
        <v>583</v>
      </c>
      <c r="AJ579" t="str">
        <f t="shared" si="233"/>
        <v>NA</v>
      </c>
      <c r="AK579" t="str">
        <f>IF(ISERROR(MATCH(AI579&amp;"."&amp;AJ579,AK$91:AK578,0)),AI579&amp;"."&amp;AJ579,AI579&amp;"."&amp;AJ579&amp;COUNTIFS(AI$91:AI578,AI579,AJ$91:AJ578,AJ579))</f>
        <v>583.NA1</v>
      </c>
    </row>
    <row r="580" spans="1:37" ht="15" hidden="1">
      <c r="A580" s="120">
        <f>ROW()</f>
        <v>580</v>
      </c>
      <c r="B580" s="120"/>
      <c r="C580" s="1"/>
      <c r="E580" s="121"/>
      <c r="F580" s="138"/>
      <c r="G580" s="119"/>
      <c r="X580" s="3"/>
      <c r="AD580" s="119"/>
      <c r="AE580" s="119"/>
      <c r="AF580" s="119"/>
      <c r="AG580" s="119"/>
      <c r="AI580">
        <f t="shared" si="237"/>
        <v>583</v>
      </c>
      <c r="AJ580" t="str">
        <f t="shared" si="233"/>
        <v>NA</v>
      </c>
      <c r="AK580" t="str">
        <f>IF(ISERROR(MATCH(AI580&amp;"."&amp;AJ580,AK$91:AK579,0)),AI580&amp;"."&amp;AJ580,AI580&amp;"."&amp;AJ580&amp;COUNTIFS(AI$91:AI579,AI580,AJ$91:AJ579,AJ580))</f>
        <v>583.NA2</v>
      </c>
    </row>
    <row r="581" spans="1:37" ht="15" hidden="1">
      <c r="A581" s="120">
        <f>ROW()</f>
        <v>581</v>
      </c>
      <c r="B581" s="120"/>
      <c r="C581" s="1">
        <v>584</v>
      </c>
      <c r="D581" s="2" t="s">
        <v>307</v>
      </c>
      <c r="E581" s="121"/>
      <c r="F581" s="138"/>
      <c r="G581" s="119"/>
      <c r="X581" s="3"/>
      <c r="AD581" s="119"/>
      <c r="AE581" s="119"/>
      <c r="AF581" s="119"/>
      <c r="AG581" s="119"/>
      <c r="AI581">
        <f t="shared" si="237"/>
        <v>584</v>
      </c>
      <c r="AJ581" t="str">
        <f t="shared" si="233"/>
        <v>NA</v>
      </c>
      <c r="AK581" t="str">
        <f>IF(ISERROR(MATCH(AI581&amp;"."&amp;AJ581,AK$91:AK580,0)),AI581&amp;"."&amp;AJ581,AI581&amp;"."&amp;AJ581&amp;COUNTIFS(AI$91:AI580,AI581,AJ$91:AJ580,AJ581))</f>
        <v>584.NA</v>
      </c>
    </row>
    <row r="582" spans="1:37" ht="15" hidden="1">
      <c r="A582" s="120">
        <f>ROW()</f>
        <v>582</v>
      </c>
      <c r="B582" s="120"/>
      <c r="C582" s="1"/>
      <c r="E582" s="121" t="s">
        <v>12</v>
      </c>
      <c r="F582" s="138" t="str">
        <f>INDEX(FuncAllocOptions,ROW(A582)-ROW($A$92)+1,[4]Inputs!$S$11)</f>
        <v>DPW</v>
      </c>
      <c r="G582" s="117" t="e">
        <f>SUMIF(FERCJAMFactor,AK582,JAMValue)</f>
        <v>#VALUE!</v>
      </c>
      <c r="H582" s="116" t="e">
        <f t="shared" ref="H582:L583" si="252">INDEX(FuncFactorTbl,MATCH($F582,FuncFactors,0),MATCH(H$8,Functions,0))*$G582</f>
        <v>#VALUE!</v>
      </c>
      <c r="I582" s="116" t="e">
        <f t="shared" si="252"/>
        <v>#VALUE!</v>
      </c>
      <c r="J582" s="116" t="e">
        <f t="shared" si="252"/>
        <v>#VALUE!</v>
      </c>
      <c r="K582" s="116" t="e">
        <f t="shared" si="252"/>
        <v>#VALUE!</v>
      </c>
      <c r="L582" s="116" t="e">
        <f t="shared" si="252"/>
        <v>#VALUE!</v>
      </c>
      <c r="X582" s="3" t="str">
        <f>INDEX(DistFuncAllocOptions,ROW(A582)-ROW($A$92)+1,[4]Inputs!$S$11)</f>
        <v>PC</v>
      </c>
      <c r="Y582" s="116" t="e">
        <f t="shared" ref="Y582:AC583" si="253">INDEX(DistFuncFactorTbl,MATCH($X582,DistFuncFactors,0),MATCH(Y$91,DistFunctions,0))*$J582</f>
        <v>#VALUE!</v>
      </c>
      <c r="Z582" s="116" t="e">
        <f t="shared" si="253"/>
        <v>#VALUE!</v>
      </c>
      <c r="AA582" s="116" t="e">
        <f t="shared" si="253"/>
        <v>#VALUE!</v>
      </c>
      <c r="AB582" s="116" t="e">
        <f t="shared" si="253"/>
        <v>#VALUE!</v>
      </c>
      <c r="AC582" s="116" t="e">
        <f t="shared" si="253"/>
        <v>#VALUE!</v>
      </c>
      <c r="AD582" s="117" t="e">
        <f>ROUND(SUM(-G582,H582:L582),0)</f>
        <v>#VALUE!</v>
      </c>
      <c r="AE582" s="117" t="e">
        <f>ROUND(H582-O582-P582-Q582-R582,0)</f>
        <v>#VALUE!</v>
      </c>
      <c r="AF582" s="117" t="e">
        <f>ROUND(I582-T582-U582-V582-W582,0)</f>
        <v>#VALUE!</v>
      </c>
      <c r="AG582" s="117" t="e">
        <f>ROUND(J582-Y582-Z582-AA582-AC582-AB582,0)</f>
        <v>#VALUE!</v>
      </c>
      <c r="AH582" s="116"/>
      <c r="AI582">
        <f t="shared" si="237"/>
        <v>584</v>
      </c>
      <c r="AJ582" t="str">
        <f t="shared" si="233"/>
        <v>S</v>
      </c>
      <c r="AK582" t="str">
        <f>IF(ISERROR(MATCH(AI582&amp;"."&amp;AJ582,AK$91:AK581,0)),AI582&amp;"."&amp;AJ582,AI582&amp;"."&amp;AJ582&amp;COUNTIFS(AI$91:AI581,AI582,AJ$91:AJ581,AJ582))</f>
        <v>584.S</v>
      </c>
    </row>
    <row r="583" spans="1:37" ht="15" hidden="1">
      <c r="A583" s="120">
        <f>ROW()</f>
        <v>583</v>
      </c>
      <c r="B583" s="120"/>
      <c r="C583" s="1"/>
      <c r="E583" s="121" t="s">
        <v>321</v>
      </c>
      <c r="F583" s="138" t="str">
        <f>INDEX(FuncAllocOptions,ROW(A583)-ROW($A$92)+1,[4]Inputs!$S$11)</f>
        <v>DPW</v>
      </c>
      <c r="G583" s="133" t="e">
        <f>SUMIF(FERCJAMFactor,AK583,JAMValue)</f>
        <v>#VALUE!</v>
      </c>
      <c r="H583" s="139" t="e">
        <f t="shared" si="252"/>
        <v>#VALUE!</v>
      </c>
      <c r="I583" s="139" t="e">
        <f t="shared" si="252"/>
        <v>#VALUE!</v>
      </c>
      <c r="J583" s="139" t="e">
        <f t="shared" si="252"/>
        <v>#VALUE!</v>
      </c>
      <c r="K583" s="139" t="e">
        <f t="shared" si="252"/>
        <v>#VALUE!</v>
      </c>
      <c r="L583" s="139" t="e">
        <f t="shared" si="252"/>
        <v>#VALUE!</v>
      </c>
      <c r="X583" s="3" t="str">
        <f>INDEX(DistFuncAllocOptions,ROW(A583)-ROW($A$92)+1,[4]Inputs!$S$11)</f>
        <v>PC</v>
      </c>
      <c r="Y583" s="116" t="e">
        <f t="shared" si="253"/>
        <v>#VALUE!</v>
      </c>
      <c r="Z583" s="116" t="e">
        <f t="shared" si="253"/>
        <v>#VALUE!</v>
      </c>
      <c r="AA583" s="116" t="e">
        <f t="shared" si="253"/>
        <v>#VALUE!</v>
      </c>
      <c r="AB583" s="116" t="e">
        <f t="shared" si="253"/>
        <v>#VALUE!</v>
      </c>
      <c r="AC583" s="116" t="e">
        <f t="shared" si="253"/>
        <v>#VALUE!</v>
      </c>
      <c r="AD583" s="117" t="e">
        <f>ROUND(SUM(-G583,H583:L583),0)</f>
        <v>#VALUE!</v>
      </c>
      <c r="AE583" s="117" t="e">
        <f>ROUND(H583-O583-P583-Q583-R583,0)</f>
        <v>#VALUE!</v>
      </c>
      <c r="AF583" s="117" t="e">
        <f>ROUND(I583-T583-U583-V583-W583,0)</f>
        <v>#VALUE!</v>
      </c>
      <c r="AG583" s="117" t="e">
        <f>ROUND(J583-Y583-Z583-AA583-AC583-AB583,0)</f>
        <v>#VALUE!</v>
      </c>
      <c r="AH583" s="116"/>
      <c r="AI583">
        <f t="shared" si="237"/>
        <v>584</v>
      </c>
      <c r="AJ583" t="str">
        <f t="shared" si="233"/>
        <v>SNPD</v>
      </c>
      <c r="AK583" t="str">
        <f>IF(ISERROR(MATCH(AI583&amp;"."&amp;AJ583,AK$91:AK582,0)),AI583&amp;"."&amp;AJ583,AI583&amp;"."&amp;AJ583&amp;COUNTIFS(AI$91:AI582,AI583,AJ$91:AJ582,AJ583))</f>
        <v>584.SNPD</v>
      </c>
    </row>
    <row r="584" spans="1:37" ht="15" hidden="1">
      <c r="A584" s="120">
        <f>ROW()</f>
        <v>584</v>
      </c>
      <c r="B584" s="120"/>
      <c r="C584" s="1"/>
      <c r="E584" s="121"/>
      <c r="F584" s="138"/>
      <c r="G584" s="117" t="e">
        <f t="shared" ref="G584:L584" si="254">SUM(G582:G583)</f>
        <v>#VALUE!</v>
      </c>
      <c r="H584" s="116" t="e">
        <f t="shared" si="254"/>
        <v>#VALUE!</v>
      </c>
      <c r="I584" s="116" t="e">
        <f t="shared" si="254"/>
        <v>#VALUE!</v>
      </c>
      <c r="J584" s="116" t="e">
        <f t="shared" si="254"/>
        <v>#VALUE!</v>
      </c>
      <c r="K584" s="116" t="e">
        <f t="shared" si="254"/>
        <v>#VALUE!</v>
      </c>
      <c r="L584" s="116" t="e">
        <f t="shared" si="254"/>
        <v>#VALUE!</v>
      </c>
      <c r="O584" s="116">
        <f>SUM(O582:O583)</f>
        <v>0</v>
      </c>
      <c r="P584" s="116">
        <f>SUM(P582:P583)</f>
        <v>0</v>
      </c>
      <c r="Q584" s="116">
        <f>SUM(Q582:Q583)</f>
        <v>0</v>
      </c>
      <c r="R584" s="116">
        <f>SUM(R582:R583)</f>
        <v>0</v>
      </c>
      <c r="T584" s="116">
        <f>SUM(T582:T583)</f>
        <v>0</v>
      </c>
      <c r="U584" s="116">
        <f>SUM(U582:U583)</f>
        <v>0</v>
      </c>
      <c r="V584" s="116">
        <f>SUM(V582:V583)</f>
        <v>0</v>
      </c>
      <c r="W584" s="116">
        <f>SUM(W582:W583)</f>
        <v>0</v>
      </c>
      <c r="X584" s="3"/>
      <c r="Y584" s="116" t="e">
        <f>SUM(Y582:Y583)</f>
        <v>#VALUE!</v>
      </c>
      <c r="Z584" s="116" t="e">
        <f>SUM(Z582:Z583)</f>
        <v>#VALUE!</v>
      </c>
      <c r="AA584" s="116" t="e">
        <f>SUM(AA582:AA583)</f>
        <v>#VALUE!</v>
      </c>
      <c r="AB584" s="116" t="e">
        <f>SUM(AB582:AB583)</f>
        <v>#VALUE!</v>
      </c>
      <c r="AC584" s="116" t="e">
        <f>SUM(AC582:AC583)</f>
        <v>#VALUE!</v>
      </c>
      <c r="AD584" s="117" t="e">
        <f>ROUND(SUM(-G584,H584:L584),0)</f>
        <v>#VALUE!</v>
      </c>
      <c r="AE584" s="117" t="e">
        <f>ROUND(H584-O584-P584-Q584-R584,0)</f>
        <v>#VALUE!</v>
      </c>
      <c r="AF584" s="117" t="e">
        <f>ROUND(I584-T584-U584-V584-W584,0)</f>
        <v>#VALUE!</v>
      </c>
      <c r="AG584" s="117" t="e">
        <f>ROUND(J584-Y584-Z584-AA584-AC584-AB584,0)</f>
        <v>#VALUE!</v>
      </c>
      <c r="AH584" s="116"/>
      <c r="AI584">
        <f t="shared" si="237"/>
        <v>584</v>
      </c>
      <c r="AJ584" t="str">
        <f t="shared" si="233"/>
        <v>NA</v>
      </c>
      <c r="AK584" t="str">
        <f>IF(ISERROR(MATCH(AI584&amp;"."&amp;AJ584,AK$91:AK583,0)),AI584&amp;"."&amp;AJ584,AI584&amp;"."&amp;AJ584&amp;COUNTIFS(AI$91:AI583,AI584,AJ$91:AJ583,AJ584))</f>
        <v>584.NA1</v>
      </c>
    </row>
    <row r="585" spans="1:37" ht="15" hidden="1">
      <c r="A585" s="120">
        <f>ROW()</f>
        <v>585</v>
      </c>
      <c r="B585" s="120"/>
      <c r="C585" s="1"/>
      <c r="E585" s="121"/>
      <c r="F585" s="138"/>
      <c r="G585" s="119"/>
      <c r="X585" s="3"/>
      <c r="AD585" s="119"/>
      <c r="AE585" s="119"/>
      <c r="AF585" s="119"/>
      <c r="AG585" s="119"/>
      <c r="AI585">
        <f t="shared" si="237"/>
        <v>584</v>
      </c>
      <c r="AJ585" t="str">
        <f t="shared" si="233"/>
        <v>NA</v>
      </c>
      <c r="AK585" t="str">
        <f>IF(ISERROR(MATCH(AI585&amp;"."&amp;AJ585,AK$91:AK584,0)),AI585&amp;"."&amp;AJ585,AI585&amp;"."&amp;AJ585&amp;COUNTIFS(AI$91:AI584,AI585,AJ$91:AJ584,AJ585))</f>
        <v>584.NA2</v>
      </c>
    </row>
    <row r="586" spans="1:37" ht="15" hidden="1">
      <c r="A586" s="120">
        <f>ROW()</f>
        <v>586</v>
      </c>
      <c r="B586" s="120"/>
      <c r="C586" s="1">
        <v>585</v>
      </c>
      <c r="D586" s="2" t="s">
        <v>323</v>
      </c>
      <c r="E586" s="121"/>
      <c r="F586" s="138"/>
      <c r="G586" s="119"/>
      <c r="X586" s="3"/>
      <c r="AD586" s="119"/>
      <c r="AE586" s="119"/>
      <c r="AF586" s="119"/>
      <c r="AG586" s="119"/>
      <c r="AI586">
        <f t="shared" si="237"/>
        <v>585</v>
      </c>
      <c r="AJ586" t="str">
        <f t="shared" si="233"/>
        <v>NA</v>
      </c>
      <c r="AK586" t="str">
        <f>IF(ISERROR(MATCH(AI586&amp;"."&amp;AJ586,AK$91:AK585,0)),AI586&amp;"."&amp;AJ586,AI586&amp;"."&amp;AJ586&amp;COUNTIFS(AI$91:AI585,AI586,AJ$91:AJ585,AJ586))</f>
        <v>585.NA</v>
      </c>
    </row>
    <row r="587" spans="1:37" ht="15" hidden="1">
      <c r="A587" s="120">
        <f>ROW()</f>
        <v>587</v>
      </c>
      <c r="B587" s="120"/>
      <c r="C587" s="1"/>
      <c r="E587" s="121" t="s">
        <v>12</v>
      </c>
      <c r="F587" s="138" t="str">
        <f>INDEX(FuncAllocOptions,ROW(A587)-ROW($A$92)+1,[4]Inputs!$S$11)</f>
        <v>DPW</v>
      </c>
      <c r="G587" s="117" t="e">
        <f>SUMIF(FERCJAMFactor,AK587,JAMValue)</f>
        <v>#VALUE!</v>
      </c>
      <c r="H587" s="116" t="e">
        <f t="shared" ref="H587:L588" si="255">INDEX(FuncFactorTbl,MATCH($F587,FuncFactors,0),MATCH(H$8,Functions,0))*$G587</f>
        <v>#VALUE!</v>
      </c>
      <c r="I587" s="116" t="e">
        <f t="shared" si="255"/>
        <v>#VALUE!</v>
      </c>
      <c r="J587" s="116" t="e">
        <f t="shared" si="255"/>
        <v>#VALUE!</v>
      </c>
      <c r="K587" s="116" t="e">
        <f t="shared" si="255"/>
        <v>#VALUE!</v>
      </c>
      <c r="L587" s="116" t="e">
        <f t="shared" si="255"/>
        <v>#VALUE!</v>
      </c>
      <c r="X587" s="3" t="str">
        <f>INDEX(DistFuncAllocOptions,ROW(A587)-ROW($A$92)+1,[4]Inputs!$S$11)</f>
        <v>PC</v>
      </c>
      <c r="Y587" s="116" t="e">
        <f t="shared" ref="Y587:AC588" si="256">INDEX(DistFuncFactorTbl,MATCH($X587,DistFuncFactors,0),MATCH(Y$91,DistFunctions,0))*$J587</f>
        <v>#VALUE!</v>
      </c>
      <c r="Z587" s="116" t="e">
        <f t="shared" si="256"/>
        <v>#VALUE!</v>
      </c>
      <c r="AA587" s="116" t="e">
        <f t="shared" si="256"/>
        <v>#VALUE!</v>
      </c>
      <c r="AB587" s="116" t="e">
        <f t="shared" si="256"/>
        <v>#VALUE!</v>
      </c>
      <c r="AC587" s="116" t="e">
        <f t="shared" si="256"/>
        <v>#VALUE!</v>
      </c>
      <c r="AD587" s="117" t="e">
        <f>ROUND(SUM(-G587,H587:L587),0)</f>
        <v>#VALUE!</v>
      </c>
      <c r="AE587" s="117" t="e">
        <f>ROUND(H587-O587-P587-Q587-R587,0)</f>
        <v>#VALUE!</v>
      </c>
      <c r="AF587" s="117" t="e">
        <f>ROUND(I587-T587-U587-V587-W587,0)</f>
        <v>#VALUE!</v>
      </c>
      <c r="AG587" s="117" t="e">
        <f>ROUND(J587-Y587-Z587-AA587-AC587-AB587,0)</f>
        <v>#VALUE!</v>
      </c>
      <c r="AH587" s="116"/>
      <c r="AI587">
        <f t="shared" si="237"/>
        <v>585</v>
      </c>
      <c r="AJ587" t="str">
        <f t="shared" si="233"/>
        <v>S</v>
      </c>
      <c r="AK587" t="str">
        <f>IF(ISERROR(MATCH(AI587&amp;"."&amp;AJ587,AK$91:AK586,0)),AI587&amp;"."&amp;AJ587,AI587&amp;"."&amp;AJ587&amp;COUNTIFS(AI$91:AI586,AI587,AJ$91:AJ586,AJ587))</f>
        <v>585.S</v>
      </c>
    </row>
    <row r="588" spans="1:37" ht="15" hidden="1">
      <c r="A588" s="120">
        <f>ROW()</f>
        <v>588</v>
      </c>
      <c r="B588" s="120"/>
      <c r="C588" s="1"/>
      <c r="E588" s="121" t="s">
        <v>321</v>
      </c>
      <c r="F588" s="138" t="str">
        <f>INDEX(FuncAllocOptions,ROW(A588)-ROW($A$92)+1,[4]Inputs!$S$11)</f>
        <v>DPW</v>
      </c>
      <c r="G588" s="133" t="e">
        <f>SUMIF(FERCJAMFactor,AK588,JAMValue)</f>
        <v>#VALUE!</v>
      </c>
      <c r="H588" s="139" t="e">
        <f t="shared" si="255"/>
        <v>#VALUE!</v>
      </c>
      <c r="I588" s="139" t="e">
        <f t="shared" si="255"/>
        <v>#VALUE!</v>
      </c>
      <c r="J588" s="139" t="e">
        <f t="shared" si="255"/>
        <v>#VALUE!</v>
      </c>
      <c r="K588" s="139" t="e">
        <f t="shared" si="255"/>
        <v>#VALUE!</v>
      </c>
      <c r="L588" s="139" t="e">
        <f t="shared" si="255"/>
        <v>#VALUE!</v>
      </c>
      <c r="X588" s="3" t="str">
        <f>INDEX(DistFuncAllocOptions,ROW(A588)-ROW($A$92)+1,[4]Inputs!$S$11)</f>
        <v>METR</v>
      </c>
      <c r="Y588" s="116" t="e">
        <f t="shared" si="256"/>
        <v>#VALUE!</v>
      </c>
      <c r="Z588" s="116" t="e">
        <f t="shared" si="256"/>
        <v>#VALUE!</v>
      </c>
      <c r="AA588" s="116" t="e">
        <f t="shared" si="256"/>
        <v>#VALUE!</v>
      </c>
      <c r="AB588" s="116" t="e">
        <f t="shared" si="256"/>
        <v>#VALUE!</v>
      </c>
      <c r="AC588" s="116" t="e">
        <f t="shared" si="256"/>
        <v>#VALUE!</v>
      </c>
      <c r="AD588" s="117" t="e">
        <f>ROUND(SUM(-G588,H588:L588),0)</f>
        <v>#VALUE!</v>
      </c>
      <c r="AE588" s="117" t="e">
        <f>ROUND(H588-O588-P588-Q588-R588,0)</f>
        <v>#VALUE!</v>
      </c>
      <c r="AF588" s="117" t="e">
        <f>ROUND(I588-T588-U588-V588-W588,0)</f>
        <v>#VALUE!</v>
      </c>
      <c r="AG588" s="117" t="e">
        <f>ROUND(J588-Y588-Z588-AA588-AC588-AB588,0)</f>
        <v>#VALUE!</v>
      </c>
      <c r="AH588" s="116"/>
      <c r="AI588">
        <f t="shared" si="237"/>
        <v>585</v>
      </c>
      <c r="AJ588" t="str">
        <f t="shared" si="233"/>
        <v>SNPD</v>
      </c>
      <c r="AK588" t="str">
        <f>IF(ISERROR(MATCH(AI588&amp;"."&amp;AJ588,AK$91:AK587,0)),AI588&amp;"."&amp;AJ588,AI588&amp;"."&amp;AJ588&amp;COUNTIFS(AI$91:AI587,AI588,AJ$91:AJ587,AJ588))</f>
        <v>585.SNPD</v>
      </c>
    </row>
    <row r="589" spans="1:37" ht="15" hidden="1">
      <c r="A589" s="120">
        <f>ROW()</f>
        <v>589</v>
      </c>
      <c r="B589" s="120"/>
      <c r="C589" s="1"/>
      <c r="E589" s="121"/>
      <c r="F589" s="138"/>
      <c r="G589" s="117" t="e">
        <f t="shared" ref="G589:L589" si="257">SUM(G587:G588)</f>
        <v>#VALUE!</v>
      </c>
      <c r="H589" s="116" t="e">
        <f t="shared" si="257"/>
        <v>#VALUE!</v>
      </c>
      <c r="I589" s="116" t="e">
        <f t="shared" si="257"/>
        <v>#VALUE!</v>
      </c>
      <c r="J589" s="116" t="e">
        <f t="shared" si="257"/>
        <v>#VALUE!</v>
      </c>
      <c r="K589" s="116" t="e">
        <f t="shared" si="257"/>
        <v>#VALUE!</v>
      </c>
      <c r="L589" s="116" t="e">
        <f t="shared" si="257"/>
        <v>#VALUE!</v>
      </c>
      <c r="O589" s="116">
        <f>SUM(O587:O588)</f>
        <v>0</v>
      </c>
      <c r="P589" s="116">
        <f>SUM(P587:P588)</f>
        <v>0</v>
      </c>
      <c r="Q589" s="116">
        <f>SUM(Q587:Q588)</f>
        <v>0</v>
      </c>
      <c r="R589" s="116">
        <f>SUM(R587:R588)</f>
        <v>0</v>
      </c>
      <c r="T589" s="116">
        <f>SUM(T587:T588)</f>
        <v>0</v>
      </c>
      <c r="U589" s="116">
        <f>SUM(U587:U588)</f>
        <v>0</v>
      </c>
      <c r="V589" s="116">
        <f>SUM(V587:V588)</f>
        <v>0</v>
      </c>
      <c r="W589" s="116">
        <f>SUM(W587:W588)</f>
        <v>0</v>
      </c>
      <c r="X589" s="3"/>
      <c r="Y589" s="116" t="e">
        <f>SUM(Y587:Y588)</f>
        <v>#VALUE!</v>
      </c>
      <c r="Z589" s="116" t="e">
        <f>SUM(Z587:Z588)</f>
        <v>#VALUE!</v>
      </c>
      <c r="AA589" s="116" t="e">
        <f>SUM(AA587:AA588)</f>
        <v>#VALUE!</v>
      </c>
      <c r="AB589" s="116" t="e">
        <f>SUM(AB587:AB588)</f>
        <v>#VALUE!</v>
      </c>
      <c r="AC589" s="116" t="e">
        <f>SUM(AC587:AC588)</f>
        <v>#VALUE!</v>
      </c>
      <c r="AD589" s="117" t="e">
        <f>ROUND(SUM(-G589,H589:L589),0)</f>
        <v>#VALUE!</v>
      </c>
      <c r="AE589" s="117" t="e">
        <f>ROUND(H589-O589-P589-Q589-R589,0)</f>
        <v>#VALUE!</v>
      </c>
      <c r="AF589" s="117" t="e">
        <f>ROUND(I589-T589-U589-V589-W589,0)</f>
        <v>#VALUE!</v>
      </c>
      <c r="AG589" s="117" t="e">
        <f>ROUND(J589-Y589-Z589-AA589-AC589-AB589,0)</f>
        <v>#VALUE!</v>
      </c>
      <c r="AH589" s="116"/>
      <c r="AI589">
        <f t="shared" si="237"/>
        <v>585</v>
      </c>
      <c r="AJ589" t="str">
        <f t="shared" si="233"/>
        <v>NA</v>
      </c>
      <c r="AK589" t="str">
        <f>IF(ISERROR(MATCH(AI589&amp;"."&amp;AJ589,AK$91:AK588,0)),AI589&amp;"."&amp;AJ589,AI589&amp;"."&amp;AJ589&amp;COUNTIFS(AI$91:AI588,AI589,AJ$91:AJ588,AJ589))</f>
        <v>585.NA1</v>
      </c>
    </row>
    <row r="590" spans="1:37" ht="15" hidden="1">
      <c r="A590" s="120">
        <f>ROW()</f>
        <v>590</v>
      </c>
      <c r="B590" s="120"/>
      <c r="C590" s="1"/>
      <c r="E590" s="121"/>
      <c r="F590" s="138"/>
      <c r="G590" s="119"/>
      <c r="X590" s="3"/>
      <c r="AD590" s="119"/>
      <c r="AE590" s="119"/>
      <c r="AF590" s="119"/>
      <c r="AG590" s="119"/>
      <c r="AI590">
        <f t="shared" si="237"/>
        <v>585</v>
      </c>
      <c r="AJ590" t="str">
        <f t="shared" si="233"/>
        <v>NA</v>
      </c>
      <c r="AK590" t="str">
        <f>IF(ISERROR(MATCH(AI590&amp;"."&amp;AJ590,AK$91:AK589,0)),AI590&amp;"."&amp;AJ590,AI590&amp;"."&amp;AJ590&amp;COUNTIFS(AI$91:AI589,AI590,AJ$91:AJ589,AJ590))</f>
        <v>585.NA2</v>
      </c>
    </row>
    <row r="591" spans="1:37" ht="15" hidden="1">
      <c r="A591" s="120">
        <f>ROW()</f>
        <v>591</v>
      </c>
      <c r="B591" s="120"/>
      <c r="C591" s="1">
        <v>586</v>
      </c>
      <c r="D591" s="2" t="s">
        <v>324</v>
      </c>
      <c r="E591" s="121"/>
      <c r="F591" s="138"/>
      <c r="G591" s="119"/>
      <c r="X591" s="3"/>
      <c r="AD591" s="119"/>
      <c r="AE591" s="119"/>
      <c r="AF591" s="119"/>
      <c r="AG591" s="119"/>
      <c r="AI591">
        <f t="shared" si="237"/>
        <v>586</v>
      </c>
      <c r="AJ591" t="str">
        <f t="shared" si="233"/>
        <v>NA</v>
      </c>
      <c r="AK591" t="str">
        <f>IF(ISERROR(MATCH(AI591&amp;"."&amp;AJ591,AK$91:AK590,0)),AI591&amp;"."&amp;AJ591,AI591&amp;"."&amp;AJ591&amp;COUNTIFS(AI$91:AI590,AI591,AJ$91:AJ590,AJ591))</f>
        <v>586.NA</v>
      </c>
    </row>
    <row r="592" spans="1:37" ht="15" hidden="1">
      <c r="A592" s="120">
        <f>ROW()</f>
        <v>592</v>
      </c>
      <c r="B592" s="120"/>
      <c r="C592" s="1"/>
      <c r="E592" s="121" t="s">
        <v>12</v>
      </c>
      <c r="F592" s="138" t="str">
        <f>INDEX(FuncAllocOptions,ROW(A592)-ROW($A$92)+1,[4]Inputs!$S$11)</f>
        <v>DPW</v>
      </c>
      <c r="G592" s="117" t="e">
        <f>SUMIF(FERCJAMFactor,AK592,JAMValue)</f>
        <v>#VALUE!</v>
      </c>
      <c r="H592" s="116" t="e">
        <f t="shared" ref="H592:L593" si="258">INDEX(FuncFactorTbl,MATCH($F592,FuncFactors,0),MATCH(H$8,Functions,0))*$G592</f>
        <v>#VALUE!</v>
      </c>
      <c r="I592" s="116" t="e">
        <f t="shared" si="258"/>
        <v>#VALUE!</v>
      </c>
      <c r="J592" s="116" t="e">
        <f t="shared" si="258"/>
        <v>#VALUE!</v>
      </c>
      <c r="K592" s="116" t="e">
        <f t="shared" si="258"/>
        <v>#VALUE!</v>
      </c>
      <c r="L592" s="116" t="e">
        <f t="shared" si="258"/>
        <v>#VALUE!</v>
      </c>
      <c r="X592" s="3" t="str">
        <f>INDEX(DistFuncAllocOptions,ROW(A592)-ROW($A$92)+1,[4]Inputs!$S$11)</f>
        <v>METR</v>
      </c>
      <c r="Y592" s="116" t="e">
        <f t="shared" ref="Y592:AC593" si="259">INDEX(DistFuncFactorTbl,MATCH($X592,DistFuncFactors,0),MATCH(Y$91,DistFunctions,0))*$J592</f>
        <v>#VALUE!</v>
      </c>
      <c r="Z592" s="116" t="e">
        <f t="shared" si="259"/>
        <v>#VALUE!</v>
      </c>
      <c r="AA592" s="116" t="e">
        <f t="shared" si="259"/>
        <v>#VALUE!</v>
      </c>
      <c r="AB592" s="116" t="e">
        <f t="shared" si="259"/>
        <v>#VALUE!</v>
      </c>
      <c r="AC592" s="116" t="e">
        <f t="shared" si="259"/>
        <v>#VALUE!</v>
      </c>
      <c r="AD592" s="117" t="e">
        <f>ROUND(SUM(-G592,H592:L592),0)</f>
        <v>#VALUE!</v>
      </c>
      <c r="AE592" s="117" t="e">
        <f>ROUND(H592-O592-P592-Q592-R592,0)</f>
        <v>#VALUE!</v>
      </c>
      <c r="AF592" s="117" t="e">
        <f>ROUND(I592-T592-U592-V592-W592,0)</f>
        <v>#VALUE!</v>
      </c>
      <c r="AG592" s="117" t="e">
        <f>ROUND(J592-Y592-Z592-AA592-AC592-AB592,0)</f>
        <v>#VALUE!</v>
      </c>
      <c r="AH592" s="116"/>
      <c r="AI592">
        <f t="shared" si="237"/>
        <v>586</v>
      </c>
      <c r="AJ592" t="str">
        <f t="shared" si="233"/>
        <v>S</v>
      </c>
      <c r="AK592" t="str">
        <f>IF(ISERROR(MATCH(AI592&amp;"."&amp;AJ592,AK$91:AK591,0)),AI592&amp;"."&amp;AJ592,AI592&amp;"."&amp;AJ592&amp;COUNTIFS(AI$91:AI591,AI592,AJ$91:AJ591,AJ592))</f>
        <v>586.S</v>
      </c>
    </row>
    <row r="593" spans="1:37" ht="15" hidden="1">
      <c r="A593" s="120">
        <f>ROW()</f>
        <v>593</v>
      </c>
      <c r="B593" s="120"/>
      <c r="C593" s="1"/>
      <c r="E593" s="121" t="s">
        <v>321</v>
      </c>
      <c r="F593" s="138" t="str">
        <f>INDEX(FuncAllocOptions,ROW(A593)-ROW($A$92)+1,[4]Inputs!$S$11)</f>
        <v>DPW</v>
      </c>
      <c r="G593" s="133" t="e">
        <f>SUMIF(FERCJAMFactor,AK593,JAMValue)</f>
        <v>#VALUE!</v>
      </c>
      <c r="H593" s="139" t="e">
        <f t="shared" si="258"/>
        <v>#VALUE!</v>
      </c>
      <c r="I593" s="139" t="e">
        <f t="shared" si="258"/>
        <v>#VALUE!</v>
      </c>
      <c r="J593" s="139" t="e">
        <f t="shared" si="258"/>
        <v>#VALUE!</v>
      </c>
      <c r="K593" s="139" t="e">
        <f t="shared" si="258"/>
        <v>#VALUE!</v>
      </c>
      <c r="L593" s="139" t="e">
        <f t="shared" si="258"/>
        <v>#VALUE!</v>
      </c>
      <c r="X593" s="3" t="str">
        <f>INDEX(DistFuncAllocOptions,ROW(A593)-ROW($A$92)+1,[4]Inputs!$S$11)</f>
        <v>METR</v>
      </c>
      <c r="Y593" s="116" t="e">
        <f t="shared" si="259"/>
        <v>#VALUE!</v>
      </c>
      <c r="Z593" s="116" t="e">
        <f t="shared" si="259"/>
        <v>#VALUE!</v>
      </c>
      <c r="AA593" s="116" t="e">
        <f t="shared" si="259"/>
        <v>#VALUE!</v>
      </c>
      <c r="AB593" s="116" t="e">
        <f t="shared" si="259"/>
        <v>#VALUE!</v>
      </c>
      <c r="AC593" s="116" t="e">
        <f t="shared" si="259"/>
        <v>#VALUE!</v>
      </c>
      <c r="AD593" s="117" t="e">
        <f>ROUND(SUM(-G593,H593:L593),0)</f>
        <v>#VALUE!</v>
      </c>
      <c r="AE593" s="117" t="e">
        <f>ROUND(H593-O593-P593-Q593-R593,0)</f>
        <v>#VALUE!</v>
      </c>
      <c r="AF593" s="117" t="e">
        <f>ROUND(I593-T593-U593-V593-W593,0)</f>
        <v>#VALUE!</v>
      </c>
      <c r="AG593" s="117" t="e">
        <f>ROUND(J593-Y593-Z593-AA593-AC593-AB593,0)</f>
        <v>#VALUE!</v>
      </c>
      <c r="AH593" s="116"/>
      <c r="AI593">
        <f t="shared" si="237"/>
        <v>586</v>
      </c>
      <c r="AJ593" t="str">
        <f t="shared" si="233"/>
        <v>SNPD</v>
      </c>
      <c r="AK593" t="str">
        <f>IF(ISERROR(MATCH(AI593&amp;"."&amp;AJ593,AK$91:AK592,0)),AI593&amp;"."&amp;AJ593,AI593&amp;"."&amp;AJ593&amp;COUNTIFS(AI$91:AI592,AI593,AJ$91:AJ592,AJ593))</f>
        <v>586.SNPD</v>
      </c>
    </row>
    <row r="594" spans="1:37" ht="15" hidden="1">
      <c r="A594" s="120">
        <f>ROW()</f>
        <v>594</v>
      </c>
      <c r="B594" s="120"/>
      <c r="C594" s="1"/>
      <c r="E594" s="121"/>
      <c r="F594" s="138"/>
      <c r="G594" s="117" t="e">
        <f t="shared" ref="G594:L594" si="260">SUM(G592:G593)</f>
        <v>#VALUE!</v>
      </c>
      <c r="H594" s="116" t="e">
        <f t="shared" si="260"/>
        <v>#VALUE!</v>
      </c>
      <c r="I594" s="116" t="e">
        <f t="shared" si="260"/>
        <v>#VALUE!</v>
      </c>
      <c r="J594" s="116" t="e">
        <f t="shared" si="260"/>
        <v>#VALUE!</v>
      </c>
      <c r="K594" s="116" t="e">
        <f t="shared" si="260"/>
        <v>#VALUE!</v>
      </c>
      <c r="L594" s="116" t="e">
        <f t="shared" si="260"/>
        <v>#VALUE!</v>
      </c>
      <c r="O594" s="116">
        <f>SUM(O592:O593)</f>
        <v>0</v>
      </c>
      <c r="P594" s="116">
        <f>SUM(P592:P593)</f>
        <v>0</v>
      </c>
      <c r="Q594" s="116">
        <f>SUM(Q592:Q593)</f>
        <v>0</v>
      </c>
      <c r="R594" s="116">
        <f>SUM(R592:R593)</f>
        <v>0</v>
      </c>
      <c r="T594" s="116">
        <f>SUM(T592:T593)</f>
        <v>0</v>
      </c>
      <c r="U594" s="116">
        <f>SUM(U592:U593)</f>
        <v>0</v>
      </c>
      <c r="V594" s="116">
        <f>SUM(V592:V593)</f>
        <v>0</v>
      </c>
      <c r="W594" s="116">
        <f>SUM(W592:W593)</f>
        <v>0</v>
      </c>
      <c r="X594" s="3"/>
      <c r="Y594" s="116" t="e">
        <f>SUM(Y592:Y593)</f>
        <v>#VALUE!</v>
      </c>
      <c r="Z594" s="116" t="e">
        <f>SUM(Z592:Z593)</f>
        <v>#VALUE!</v>
      </c>
      <c r="AA594" s="116" t="e">
        <f>SUM(AA592:AA593)</f>
        <v>#VALUE!</v>
      </c>
      <c r="AB594" s="116" t="e">
        <f>SUM(AB592:AB593)</f>
        <v>#VALUE!</v>
      </c>
      <c r="AC594" s="116" t="e">
        <f>SUM(AC592:AC593)</f>
        <v>#VALUE!</v>
      </c>
      <c r="AD594" s="117" t="e">
        <f>ROUND(SUM(-G594,H594:L594),0)</f>
        <v>#VALUE!</v>
      </c>
      <c r="AE594" s="117" t="e">
        <f>ROUND(H594-O594-P594-Q594-R594,0)</f>
        <v>#VALUE!</v>
      </c>
      <c r="AF594" s="117" t="e">
        <f>ROUND(I594-T594-U594-V594-W594,0)</f>
        <v>#VALUE!</v>
      </c>
      <c r="AG594" s="117" t="e">
        <f>ROUND(J594-Y594-Z594-AA594-AC594-AB594,0)</f>
        <v>#VALUE!</v>
      </c>
      <c r="AH594" s="116"/>
      <c r="AI594">
        <f t="shared" si="237"/>
        <v>586</v>
      </c>
      <c r="AJ594" t="str">
        <f t="shared" si="233"/>
        <v>NA</v>
      </c>
      <c r="AK594" t="str">
        <f>IF(ISERROR(MATCH(AI594&amp;"."&amp;AJ594,AK$91:AK593,0)),AI594&amp;"."&amp;AJ594,AI594&amp;"."&amp;AJ594&amp;COUNTIFS(AI$91:AI593,AI594,AJ$91:AJ593,AJ594))</f>
        <v>586.NA1</v>
      </c>
    </row>
    <row r="595" spans="1:37" ht="15" hidden="1">
      <c r="A595" s="120">
        <f>ROW()</f>
        <v>595</v>
      </c>
      <c r="B595" s="120"/>
      <c r="C595" s="1"/>
      <c r="E595" s="121"/>
      <c r="F595" s="138"/>
      <c r="G595" s="119"/>
      <c r="X595" s="3"/>
      <c r="AD595" s="119"/>
      <c r="AE595" s="119"/>
      <c r="AF595" s="119"/>
      <c r="AG595" s="119"/>
      <c r="AI595">
        <f t="shared" si="237"/>
        <v>586</v>
      </c>
      <c r="AJ595" t="str">
        <f t="shared" si="233"/>
        <v>NA</v>
      </c>
      <c r="AK595" t="str">
        <f>IF(ISERROR(MATCH(AI595&amp;"."&amp;AJ595,AK$91:AK594,0)),AI595&amp;"."&amp;AJ595,AI595&amp;"."&amp;AJ595&amp;COUNTIFS(AI$91:AI594,AI595,AJ$91:AJ594,AJ595))</f>
        <v>586.NA2</v>
      </c>
    </row>
    <row r="596" spans="1:37" ht="15" hidden="1">
      <c r="A596" s="120">
        <f>ROW()</f>
        <v>596</v>
      </c>
      <c r="B596" s="120"/>
      <c r="C596" s="1">
        <v>587</v>
      </c>
      <c r="D596" s="2" t="s">
        <v>325</v>
      </c>
      <c r="E596" s="121"/>
      <c r="F596" s="138"/>
      <c r="G596" s="119"/>
      <c r="X596" s="3"/>
      <c r="AD596" s="119"/>
      <c r="AE596" s="119"/>
      <c r="AF596" s="119"/>
      <c r="AG596" s="119"/>
      <c r="AI596">
        <f t="shared" si="237"/>
        <v>587</v>
      </c>
      <c r="AJ596" t="str">
        <f t="shared" si="233"/>
        <v>NA</v>
      </c>
      <c r="AK596" t="str">
        <f>IF(ISERROR(MATCH(AI596&amp;"."&amp;AJ596,AK$91:AK595,0)),AI596&amp;"."&amp;AJ596,AI596&amp;"."&amp;AJ596&amp;COUNTIFS(AI$91:AI595,AI596,AJ$91:AJ595,AJ596))</f>
        <v>587.NA</v>
      </c>
    </row>
    <row r="597" spans="1:37" ht="15" hidden="1">
      <c r="A597" s="120">
        <f>ROW()</f>
        <v>597</v>
      </c>
      <c r="B597" s="120"/>
      <c r="C597" s="1"/>
      <c r="E597" s="121" t="s">
        <v>12</v>
      </c>
      <c r="F597" s="138" t="str">
        <f>INDEX(FuncAllocOptions,ROW(A597)-ROW($A$92)+1,[4]Inputs!$S$11)</f>
        <v>DPW</v>
      </c>
      <c r="G597" s="117" t="e">
        <f>SUMIF(FERCJAMFactor,AK597,JAMValue)</f>
        <v>#VALUE!</v>
      </c>
      <c r="H597" s="116" t="e">
        <f t="shared" ref="H597:L598" si="261">INDEX(FuncFactorTbl,MATCH($F597,FuncFactors,0),MATCH(H$8,Functions,0))*$G597</f>
        <v>#VALUE!</v>
      </c>
      <c r="I597" s="116" t="e">
        <f t="shared" si="261"/>
        <v>#VALUE!</v>
      </c>
      <c r="J597" s="116" t="e">
        <f t="shared" si="261"/>
        <v>#VALUE!</v>
      </c>
      <c r="K597" s="116" t="e">
        <f t="shared" si="261"/>
        <v>#VALUE!</v>
      </c>
      <c r="L597" s="116" t="e">
        <f t="shared" si="261"/>
        <v>#VALUE!</v>
      </c>
      <c r="X597" s="3" t="str">
        <f>INDEX(DistFuncAllocOptions,ROW(A597)-ROW($A$92)+1,[4]Inputs!$S$11)</f>
        <v>PC</v>
      </c>
      <c r="Y597" s="116" t="e">
        <f t="shared" ref="Y597:AC598" si="262">INDEX(DistFuncFactorTbl,MATCH($X597,DistFuncFactors,0),MATCH(Y$91,DistFunctions,0))*$J597</f>
        <v>#VALUE!</v>
      </c>
      <c r="Z597" s="116" t="e">
        <f t="shared" si="262"/>
        <v>#VALUE!</v>
      </c>
      <c r="AA597" s="116" t="e">
        <f t="shared" si="262"/>
        <v>#VALUE!</v>
      </c>
      <c r="AB597" s="116" t="e">
        <f t="shared" si="262"/>
        <v>#VALUE!</v>
      </c>
      <c r="AC597" s="116" t="e">
        <f t="shared" si="262"/>
        <v>#VALUE!</v>
      </c>
      <c r="AD597" s="117" t="e">
        <f>ROUND(SUM(-G597,H597:L597),0)</f>
        <v>#VALUE!</v>
      </c>
      <c r="AE597" s="117" t="e">
        <f>ROUND(H597-O597-P597-Q597-R597,0)</f>
        <v>#VALUE!</v>
      </c>
      <c r="AF597" s="117" t="e">
        <f>ROUND(I597-T597-U597-V597-W597,0)</f>
        <v>#VALUE!</v>
      </c>
      <c r="AG597" s="117" t="e">
        <f>ROUND(J597-Y597-Z597-AA597-AC597-AB597,0)</f>
        <v>#VALUE!</v>
      </c>
      <c r="AH597" s="116"/>
      <c r="AI597">
        <f t="shared" si="237"/>
        <v>587</v>
      </c>
      <c r="AJ597" t="str">
        <f t="shared" si="233"/>
        <v>S</v>
      </c>
      <c r="AK597" t="str">
        <f>IF(ISERROR(MATCH(AI597&amp;"."&amp;AJ597,AK$91:AK596,0)),AI597&amp;"."&amp;AJ597,AI597&amp;"."&amp;AJ597&amp;COUNTIFS(AI$91:AI596,AI597,AJ$91:AJ596,AJ597))</f>
        <v>587.S</v>
      </c>
    </row>
    <row r="598" spans="1:37" ht="15" hidden="1">
      <c r="A598" s="120">
        <f>ROW()</f>
        <v>598</v>
      </c>
      <c r="B598" s="120"/>
      <c r="C598" s="1"/>
      <c r="E598" s="121" t="s">
        <v>321</v>
      </c>
      <c r="F598" s="138" t="str">
        <f>INDEX(FuncAllocOptions,ROW(A598)-ROW($A$92)+1,[4]Inputs!$S$11)</f>
        <v>DPW</v>
      </c>
      <c r="G598" s="133" t="e">
        <f>SUMIF(FERCJAMFactor,AK598,JAMValue)</f>
        <v>#VALUE!</v>
      </c>
      <c r="H598" s="139" t="e">
        <f t="shared" si="261"/>
        <v>#VALUE!</v>
      </c>
      <c r="I598" s="139" t="e">
        <f t="shared" si="261"/>
        <v>#VALUE!</v>
      </c>
      <c r="J598" s="139" t="e">
        <f t="shared" si="261"/>
        <v>#VALUE!</v>
      </c>
      <c r="K598" s="139" t="e">
        <f t="shared" si="261"/>
        <v>#VALUE!</v>
      </c>
      <c r="L598" s="139" t="e">
        <f t="shared" si="261"/>
        <v>#VALUE!</v>
      </c>
      <c r="X598" s="3" t="str">
        <f>INDEX(DistFuncAllocOptions,ROW(A598)-ROW($A$92)+1,[4]Inputs!$S$11)</f>
        <v>PC</v>
      </c>
      <c r="Y598" s="116" t="e">
        <f t="shared" si="262"/>
        <v>#VALUE!</v>
      </c>
      <c r="Z598" s="116" t="e">
        <f t="shared" si="262"/>
        <v>#VALUE!</v>
      </c>
      <c r="AA598" s="116" t="e">
        <f t="shared" si="262"/>
        <v>#VALUE!</v>
      </c>
      <c r="AB598" s="116" t="e">
        <f t="shared" si="262"/>
        <v>#VALUE!</v>
      </c>
      <c r="AC598" s="116" t="e">
        <f t="shared" si="262"/>
        <v>#VALUE!</v>
      </c>
      <c r="AD598" s="117" t="e">
        <f>ROUND(SUM(-G598,H598:L598),0)</f>
        <v>#VALUE!</v>
      </c>
      <c r="AE598" s="117" t="e">
        <f>ROUND(H598-O598-P598-Q598-R598,0)</f>
        <v>#VALUE!</v>
      </c>
      <c r="AF598" s="117" t="e">
        <f>ROUND(I598-T598-U598-V598-W598,0)</f>
        <v>#VALUE!</v>
      </c>
      <c r="AG598" s="117" t="e">
        <f>ROUND(J598-Y598-Z598-AA598-AC598-AB598,0)</f>
        <v>#VALUE!</v>
      </c>
      <c r="AH598" s="116"/>
      <c r="AI598">
        <f t="shared" si="237"/>
        <v>587</v>
      </c>
      <c r="AJ598" t="str">
        <f t="shared" si="233"/>
        <v>SNPD</v>
      </c>
      <c r="AK598" t="str">
        <f>IF(ISERROR(MATCH(AI598&amp;"."&amp;AJ598,AK$91:AK597,0)),AI598&amp;"."&amp;AJ598,AI598&amp;"."&amp;AJ598&amp;COUNTIFS(AI$91:AI597,AI598,AJ$91:AJ597,AJ598))</f>
        <v>587.SNPD</v>
      </c>
    </row>
    <row r="599" spans="1:37" ht="15" hidden="1">
      <c r="A599" s="120">
        <f>ROW()</f>
        <v>599</v>
      </c>
      <c r="B599" s="120"/>
      <c r="C599" s="1"/>
      <c r="E599" s="121"/>
      <c r="F599" s="138"/>
      <c r="G599" s="117" t="e">
        <f t="shared" ref="G599:L599" si="263">SUM(G597:G598)</f>
        <v>#VALUE!</v>
      </c>
      <c r="H599" s="116" t="e">
        <f t="shared" si="263"/>
        <v>#VALUE!</v>
      </c>
      <c r="I599" s="116" t="e">
        <f t="shared" si="263"/>
        <v>#VALUE!</v>
      </c>
      <c r="J599" s="116" t="e">
        <f t="shared" si="263"/>
        <v>#VALUE!</v>
      </c>
      <c r="K599" s="116" t="e">
        <f t="shared" si="263"/>
        <v>#VALUE!</v>
      </c>
      <c r="L599" s="116" t="e">
        <f t="shared" si="263"/>
        <v>#VALUE!</v>
      </c>
      <c r="O599" s="116">
        <f>SUM(O597:O598)</f>
        <v>0</v>
      </c>
      <c r="P599" s="116">
        <f>SUM(P597:P598)</f>
        <v>0</v>
      </c>
      <c r="Q599" s="116">
        <f>SUM(Q597:Q598)</f>
        <v>0</v>
      </c>
      <c r="R599" s="116">
        <f>SUM(R597:R598)</f>
        <v>0</v>
      </c>
      <c r="T599" s="116">
        <f>SUM(T597:T598)</f>
        <v>0</v>
      </c>
      <c r="U599" s="116">
        <f>SUM(U597:U598)</f>
        <v>0</v>
      </c>
      <c r="V599" s="116">
        <f>SUM(V597:V598)</f>
        <v>0</v>
      </c>
      <c r="W599" s="116">
        <f>SUM(W597:W598)</f>
        <v>0</v>
      </c>
      <c r="X599" s="3"/>
      <c r="Y599" s="116" t="e">
        <f>SUM(Y597:Y598)</f>
        <v>#VALUE!</v>
      </c>
      <c r="Z599" s="116" t="e">
        <f>SUM(Z597:Z598)</f>
        <v>#VALUE!</v>
      </c>
      <c r="AA599" s="116" t="e">
        <f>SUM(AA597:AA598)</f>
        <v>#VALUE!</v>
      </c>
      <c r="AB599" s="116" t="e">
        <f>SUM(AB597:AB598)</f>
        <v>#VALUE!</v>
      </c>
      <c r="AC599" s="116" t="e">
        <f>SUM(AC597:AC598)</f>
        <v>#VALUE!</v>
      </c>
      <c r="AD599" s="117" t="e">
        <f>ROUND(SUM(-G599,H599:L599),0)</f>
        <v>#VALUE!</v>
      </c>
      <c r="AE599" s="117" t="e">
        <f>ROUND(H599-O599-P599-Q599-R599,0)</f>
        <v>#VALUE!</v>
      </c>
      <c r="AF599" s="117" t="e">
        <f>ROUND(I599-T599-U599-V599-W599,0)</f>
        <v>#VALUE!</v>
      </c>
      <c r="AG599" s="117" t="e">
        <f>ROUND(J599-Y599-Z599-AA599-AC599-AB599,0)</f>
        <v>#VALUE!</v>
      </c>
      <c r="AH599" s="116"/>
      <c r="AI599">
        <f t="shared" si="237"/>
        <v>587</v>
      </c>
      <c r="AJ599" t="str">
        <f t="shared" si="233"/>
        <v>NA</v>
      </c>
      <c r="AK599" t="str">
        <f>IF(ISERROR(MATCH(AI599&amp;"."&amp;AJ599,AK$91:AK598,0)),AI599&amp;"."&amp;AJ599,AI599&amp;"."&amp;AJ599&amp;COUNTIFS(AI$91:AI598,AI599,AJ$91:AJ598,AJ599))</f>
        <v>587.NA1</v>
      </c>
    </row>
    <row r="600" spans="1:37" ht="15" hidden="1">
      <c r="A600" s="120">
        <f>ROW()</f>
        <v>600</v>
      </c>
      <c r="B600" s="120"/>
      <c r="C600" s="1"/>
      <c r="E600" s="121"/>
      <c r="F600" s="138"/>
      <c r="G600" s="119"/>
      <c r="X600" s="3"/>
      <c r="AD600" s="119"/>
      <c r="AE600" s="119"/>
      <c r="AF600" s="119"/>
      <c r="AG600" s="119"/>
      <c r="AI600">
        <f t="shared" si="237"/>
        <v>587</v>
      </c>
      <c r="AJ600" t="str">
        <f t="shared" si="233"/>
        <v>NA</v>
      </c>
      <c r="AK600" t="str">
        <f>IF(ISERROR(MATCH(AI600&amp;"."&amp;AJ600,AK$91:AK599,0)),AI600&amp;"."&amp;AJ600,AI600&amp;"."&amp;AJ600&amp;COUNTIFS(AI$91:AI599,AI600,AJ$91:AJ599,AJ600))</f>
        <v>587.NA2</v>
      </c>
    </row>
    <row r="601" spans="1:37" ht="15" hidden="1">
      <c r="A601" s="120">
        <f>ROW()</f>
        <v>601</v>
      </c>
      <c r="B601" s="120"/>
      <c r="C601" s="1">
        <v>588</v>
      </c>
      <c r="D601" s="2" t="s">
        <v>326</v>
      </c>
      <c r="E601" s="121"/>
      <c r="F601" s="138"/>
      <c r="G601" s="119"/>
      <c r="X601" s="3"/>
      <c r="AD601" s="119"/>
      <c r="AE601" s="119"/>
      <c r="AF601" s="119"/>
      <c r="AG601" s="119"/>
      <c r="AI601">
        <f t="shared" si="237"/>
        <v>588</v>
      </c>
      <c r="AJ601" t="str">
        <f t="shared" si="233"/>
        <v>NA</v>
      </c>
      <c r="AK601" t="str">
        <f>IF(ISERROR(MATCH(AI601&amp;"."&amp;AJ601,AK$91:AK600,0)),AI601&amp;"."&amp;AJ601,AI601&amp;"."&amp;AJ601&amp;COUNTIFS(AI$91:AI600,AI601,AJ$91:AJ600,AJ601))</f>
        <v>588.NA</v>
      </c>
    </row>
    <row r="602" spans="1:37" ht="15" hidden="1">
      <c r="A602" s="120">
        <f>ROW()</f>
        <v>602</v>
      </c>
      <c r="B602" s="120"/>
      <c r="C602" s="1"/>
      <c r="E602" s="121" t="s">
        <v>12</v>
      </c>
      <c r="F602" s="138" t="str">
        <f>INDEX(FuncAllocOptions,ROW(A602)-ROW($A$92)+1,[4]Inputs!$S$11)</f>
        <v>DPW</v>
      </c>
      <c r="G602" s="117" t="e">
        <f>SUMIF(FERCJAMFactor,AK602,JAMValue)</f>
        <v>#VALUE!</v>
      </c>
      <c r="H602" s="116" t="e">
        <f t="shared" ref="H602:L603" si="264">INDEX(FuncFactorTbl,MATCH($F602,FuncFactors,0),MATCH(H$8,Functions,0))*$G602</f>
        <v>#VALUE!</v>
      </c>
      <c r="I602" s="116" t="e">
        <f t="shared" si="264"/>
        <v>#VALUE!</v>
      </c>
      <c r="J602" s="116" t="e">
        <f t="shared" si="264"/>
        <v>#VALUE!</v>
      </c>
      <c r="K602" s="116" t="e">
        <f t="shared" si="264"/>
        <v>#VALUE!</v>
      </c>
      <c r="L602" s="116" t="e">
        <f t="shared" si="264"/>
        <v>#VALUE!</v>
      </c>
      <c r="X602" s="3" t="str">
        <f>INDEX(DistFuncAllocOptions,ROW(A602)-ROW($A$92)+1,[4]Inputs!$S$11)</f>
        <v>PLNT2</v>
      </c>
      <c r="Y602" s="116" t="e">
        <f t="shared" ref="Y602:AC603" si="265">INDEX(DistFuncFactorTbl,MATCH($X602,DistFuncFactors,0),MATCH(Y$91,DistFunctions,0))*$J602</f>
        <v>#VALUE!</v>
      </c>
      <c r="Z602" s="116" t="e">
        <f t="shared" si="265"/>
        <v>#VALUE!</v>
      </c>
      <c r="AA602" s="116" t="e">
        <f t="shared" si="265"/>
        <v>#VALUE!</v>
      </c>
      <c r="AB602" s="116" t="e">
        <f t="shared" si="265"/>
        <v>#VALUE!</v>
      </c>
      <c r="AC602" s="116" t="e">
        <f t="shared" si="265"/>
        <v>#VALUE!</v>
      </c>
      <c r="AD602" s="117" t="e">
        <f>ROUND(SUM(-G602,H602:L602),0)</f>
        <v>#VALUE!</v>
      </c>
      <c r="AE602" s="117" t="e">
        <f>ROUND(H602-O602-P602-Q602-R602,0)</f>
        <v>#VALUE!</v>
      </c>
      <c r="AF602" s="117" t="e">
        <f>ROUND(I602-T602-U602-V602-W602,0)</f>
        <v>#VALUE!</v>
      </c>
      <c r="AG602" s="117" t="e">
        <f>ROUND(J602-Y602-Z602-AA602-AC602-AB602,0)</f>
        <v>#VALUE!</v>
      </c>
      <c r="AH602" s="116"/>
      <c r="AI602">
        <f t="shared" si="237"/>
        <v>588</v>
      </c>
      <c r="AJ602" t="str">
        <f t="shared" si="233"/>
        <v>S</v>
      </c>
      <c r="AK602" t="str">
        <f>IF(ISERROR(MATCH(AI602&amp;"."&amp;AJ602,AK$91:AK601,0)),AI602&amp;"."&amp;AJ602,AI602&amp;"."&amp;AJ602&amp;COUNTIFS(AI$91:AI601,AI602,AJ$91:AJ601,AJ602))</f>
        <v>588.S</v>
      </c>
    </row>
    <row r="603" spans="1:37" ht="15" hidden="1">
      <c r="A603" s="120">
        <f>ROW()</f>
        <v>603</v>
      </c>
      <c r="B603" s="120"/>
      <c r="C603" s="1"/>
      <c r="E603" s="121" t="s">
        <v>321</v>
      </c>
      <c r="F603" s="138" t="str">
        <f>INDEX(FuncAllocOptions,ROW(A603)-ROW($A$92)+1,[4]Inputs!$S$11)</f>
        <v>DPW</v>
      </c>
      <c r="G603" s="133" t="e">
        <f>SUMIF(FERCJAMFactor,AK603,JAMValue)</f>
        <v>#VALUE!</v>
      </c>
      <c r="H603" s="139" t="e">
        <f t="shared" si="264"/>
        <v>#VALUE!</v>
      </c>
      <c r="I603" s="139" t="e">
        <f t="shared" si="264"/>
        <v>#VALUE!</v>
      </c>
      <c r="J603" s="139" t="e">
        <f t="shared" si="264"/>
        <v>#VALUE!</v>
      </c>
      <c r="K603" s="139" t="e">
        <f t="shared" si="264"/>
        <v>#VALUE!</v>
      </c>
      <c r="L603" s="139" t="e">
        <f t="shared" si="264"/>
        <v>#VALUE!</v>
      </c>
      <c r="X603" s="3" t="str">
        <f>INDEX(DistFuncAllocOptions,ROW(A603)-ROW($A$92)+1,[4]Inputs!$S$11)</f>
        <v>PLNT2</v>
      </c>
      <c r="Y603" s="116" t="e">
        <f t="shared" si="265"/>
        <v>#VALUE!</v>
      </c>
      <c r="Z603" s="116" t="e">
        <f t="shared" si="265"/>
        <v>#VALUE!</v>
      </c>
      <c r="AA603" s="116" t="e">
        <f t="shared" si="265"/>
        <v>#VALUE!</v>
      </c>
      <c r="AB603" s="116" t="e">
        <f t="shared" si="265"/>
        <v>#VALUE!</v>
      </c>
      <c r="AC603" s="116" t="e">
        <f t="shared" si="265"/>
        <v>#VALUE!</v>
      </c>
      <c r="AD603" s="117" t="e">
        <f>ROUND(SUM(-G603,H603:L603),0)</f>
        <v>#VALUE!</v>
      </c>
      <c r="AE603" s="117" t="e">
        <f>ROUND(H603-O603-P603-Q603-R603,0)</f>
        <v>#VALUE!</v>
      </c>
      <c r="AF603" s="117" t="e">
        <f>ROUND(I603-T603-U603-V603-W603,0)</f>
        <v>#VALUE!</v>
      </c>
      <c r="AG603" s="117" t="e">
        <f>ROUND(J603-Y603-Z603-AA603-AC603-AB603,0)</f>
        <v>#VALUE!</v>
      </c>
      <c r="AH603" s="116"/>
      <c r="AI603">
        <f t="shared" si="237"/>
        <v>588</v>
      </c>
      <c r="AJ603" t="str">
        <f t="shared" si="233"/>
        <v>SNPD</v>
      </c>
      <c r="AK603" t="str">
        <f>IF(ISERROR(MATCH(AI603&amp;"."&amp;AJ603,AK$91:AK602,0)),AI603&amp;"."&amp;AJ603,AI603&amp;"."&amp;AJ603&amp;COUNTIFS(AI$91:AI602,AI603,AJ$91:AJ602,AJ603))</f>
        <v>588.SNPD</v>
      </c>
    </row>
    <row r="604" spans="1:37" ht="15" hidden="1">
      <c r="A604" s="120">
        <f>ROW()</f>
        <v>604</v>
      </c>
      <c r="B604" s="120"/>
      <c r="C604" s="1"/>
      <c r="E604" s="121"/>
      <c r="F604" s="138"/>
      <c r="G604" s="117" t="e">
        <f t="shared" ref="G604:L604" si="266">SUM(G602:G603)</f>
        <v>#VALUE!</v>
      </c>
      <c r="H604" s="116" t="e">
        <f t="shared" si="266"/>
        <v>#VALUE!</v>
      </c>
      <c r="I604" s="116" t="e">
        <f t="shared" si="266"/>
        <v>#VALUE!</v>
      </c>
      <c r="J604" s="116" t="e">
        <f t="shared" si="266"/>
        <v>#VALUE!</v>
      </c>
      <c r="K604" s="116" t="e">
        <f t="shared" si="266"/>
        <v>#VALUE!</v>
      </c>
      <c r="L604" s="116" t="e">
        <f t="shared" si="266"/>
        <v>#VALUE!</v>
      </c>
      <c r="O604" s="116">
        <f>SUM(O602:O603)</f>
        <v>0</v>
      </c>
      <c r="P604" s="116">
        <f>SUM(P602:P603)</f>
        <v>0</v>
      </c>
      <c r="Q604" s="116">
        <f>SUM(Q602:Q603)</f>
        <v>0</v>
      </c>
      <c r="R604" s="116">
        <f>SUM(R602:R603)</f>
        <v>0</v>
      </c>
      <c r="T604" s="116">
        <f>SUM(T602:T603)</f>
        <v>0</v>
      </c>
      <c r="U604" s="116">
        <f>SUM(U602:U603)</f>
        <v>0</v>
      </c>
      <c r="V604" s="116">
        <f>SUM(V602:V603)</f>
        <v>0</v>
      </c>
      <c r="W604" s="116">
        <f>SUM(W602:W603)</f>
        <v>0</v>
      </c>
      <c r="X604" s="3"/>
      <c r="Y604" s="116" t="e">
        <f>SUM(Y602:Y603)</f>
        <v>#VALUE!</v>
      </c>
      <c r="Z604" s="116" t="e">
        <f>SUM(Z602:Z603)</f>
        <v>#VALUE!</v>
      </c>
      <c r="AA604" s="116" t="e">
        <f>SUM(AA602:AA603)</f>
        <v>#VALUE!</v>
      </c>
      <c r="AB604" s="116" t="e">
        <f>SUM(AB602:AB603)</f>
        <v>#VALUE!</v>
      </c>
      <c r="AC604" s="116" t="e">
        <f>SUM(AC602:AC603)</f>
        <v>#VALUE!</v>
      </c>
      <c r="AD604" s="117" t="e">
        <f>ROUND(SUM(-G604,H604:L604),0)</f>
        <v>#VALUE!</v>
      </c>
      <c r="AE604" s="117" t="e">
        <f>ROUND(H604-O604-P604-Q604-R604,0)</f>
        <v>#VALUE!</v>
      </c>
      <c r="AF604" s="117" t="e">
        <f>ROUND(I604-T604-U604-V604-W604,0)</f>
        <v>#VALUE!</v>
      </c>
      <c r="AG604" s="117" t="e">
        <f>ROUND(J604-Y604-Z604-AA604-AC604-AB604,0)</f>
        <v>#VALUE!</v>
      </c>
      <c r="AH604" s="116"/>
      <c r="AI604">
        <f t="shared" si="237"/>
        <v>588</v>
      </c>
      <c r="AJ604" t="str">
        <f t="shared" si="233"/>
        <v>NA</v>
      </c>
      <c r="AK604" t="str">
        <f>IF(ISERROR(MATCH(AI604&amp;"."&amp;AJ604,AK$91:AK603,0)),AI604&amp;"."&amp;AJ604,AI604&amp;"."&amp;AJ604&amp;COUNTIFS(AI$91:AI603,AI604,AJ$91:AJ603,AJ604))</f>
        <v>588.NA1</v>
      </c>
    </row>
    <row r="605" spans="1:37" ht="15" hidden="1">
      <c r="A605" s="120">
        <f>ROW()</f>
        <v>605</v>
      </c>
      <c r="B605" s="120"/>
      <c r="C605" s="1"/>
      <c r="E605" s="121"/>
      <c r="F605" s="138"/>
      <c r="G605" s="119"/>
      <c r="X605" s="3"/>
      <c r="AD605" s="119"/>
      <c r="AE605" s="119"/>
      <c r="AF605" s="119"/>
      <c r="AG605" s="119"/>
      <c r="AI605">
        <f t="shared" si="237"/>
        <v>588</v>
      </c>
      <c r="AJ605" t="str">
        <f t="shared" ref="AJ605:AJ668" si="267">IF(E605="","NA",E605)</f>
        <v>NA</v>
      </c>
      <c r="AK605" t="str">
        <f>IF(ISERROR(MATCH(AI605&amp;"."&amp;AJ605,AK$91:AK604,0)),AI605&amp;"."&amp;AJ605,AI605&amp;"."&amp;AJ605&amp;COUNTIFS(AI$91:AI604,AI605,AJ$91:AJ604,AJ605))</f>
        <v>588.NA2</v>
      </c>
    </row>
    <row r="606" spans="1:37" ht="15" hidden="1">
      <c r="A606" s="120">
        <f>ROW()</f>
        <v>606</v>
      </c>
      <c r="B606" s="120"/>
      <c r="C606" s="1">
        <v>589</v>
      </c>
      <c r="D606" s="2" t="s">
        <v>187</v>
      </c>
      <c r="E606" s="121"/>
      <c r="F606" s="138"/>
      <c r="G606" s="119"/>
      <c r="X606" s="3"/>
      <c r="AD606" s="119"/>
      <c r="AE606" s="119"/>
      <c r="AF606" s="119"/>
      <c r="AG606" s="119"/>
      <c r="AI606">
        <f t="shared" si="237"/>
        <v>589</v>
      </c>
      <c r="AJ606" t="str">
        <f t="shared" si="267"/>
        <v>NA</v>
      </c>
      <c r="AK606" t="str">
        <f>IF(ISERROR(MATCH(AI606&amp;"."&amp;AJ606,AK$91:AK605,0)),AI606&amp;"."&amp;AJ606,AI606&amp;"."&amp;AJ606&amp;COUNTIFS(AI$91:AI605,AI606,AJ$91:AJ605,AJ606))</f>
        <v>589.NA</v>
      </c>
    </row>
    <row r="607" spans="1:37" ht="15" hidden="1">
      <c r="A607" s="120">
        <f>ROW()</f>
        <v>607</v>
      </c>
      <c r="B607" s="120"/>
      <c r="C607" s="1"/>
      <c r="E607" s="121" t="s">
        <v>12</v>
      </c>
      <c r="F607" s="138" t="str">
        <f>INDEX(FuncAllocOptions,ROW(A607)-ROW($A$92)+1,[4]Inputs!$S$11)</f>
        <v>DPW</v>
      </c>
      <c r="G607" s="117" t="e">
        <f>SUMIF(FERCJAMFactor,AK607,JAMValue)</f>
        <v>#VALUE!</v>
      </c>
      <c r="H607" s="116" t="e">
        <f t="shared" ref="H607:L608" si="268">INDEX(FuncFactorTbl,MATCH($F607,FuncFactors,0),MATCH(H$8,Functions,0))*$G607</f>
        <v>#VALUE!</v>
      </c>
      <c r="I607" s="116" t="e">
        <f t="shared" si="268"/>
        <v>#VALUE!</v>
      </c>
      <c r="J607" s="116" t="e">
        <f t="shared" si="268"/>
        <v>#VALUE!</v>
      </c>
      <c r="K607" s="116" t="e">
        <f t="shared" si="268"/>
        <v>#VALUE!</v>
      </c>
      <c r="L607" s="116" t="e">
        <f t="shared" si="268"/>
        <v>#VALUE!</v>
      </c>
      <c r="X607" s="3" t="str">
        <f>INDEX(DistFuncAllocOptions,ROW(A607)-ROW($A$92)+1,[4]Inputs!$S$11)</f>
        <v>PLNT2</v>
      </c>
      <c r="Y607" s="116" t="e">
        <f t="shared" ref="Y607:AC608" si="269">INDEX(DistFuncFactorTbl,MATCH($X607,DistFuncFactors,0),MATCH(Y$91,DistFunctions,0))*$J607</f>
        <v>#VALUE!</v>
      </c>
      <c r="Z607" s="116" t="e">
        <f t="shared" si="269"/>
        <v>#VALUE!</v>
      </c>
      <c r="AA607" s="116" t="e">
        <f t="shared" si="269"/>
        <v>#VALUE!</v>
      </c>
      <c r="AB607" s="116" t="e">
        <f t="shared" si="269"/>
        <v>#VALUE!</v>
      </c>
      <c r="AC607" s="116" t="e">
        <f t="shared" si="269"/>
        <v>#VALUE!</v>
      </c>
      <c r="AD607" s="117" t="e">
        <f>ROUND(SUM(-G607,H607:L607),0)</f>
        <v>#VALUE!</v>
      </c>
      <c r="AE607" s="117" t="e">
        <f>ROUND(H607-O607-P607-Q607-R607,0)</f>
        <v>#VALUE!</v>
      </c>
      <c r="AF607" s="117" t="e">
        <f>ROUND(I607-T607-U607-V607-W607,0)</f>
        <v>#VALUE!</v>
      </c>
      <c r="AG607" s="117" t="e">
        <f>ROUND(J607-Y607-Z607-AA607-AC607-AB607,0)</f>
        <v>#VALUE!</v>
      </c>
      <c r="AH607" s="116"/>
      <c r="AI607">
        <f t="shared" si="237"/>
        <v>589</v>
      </c>
      <c r="AJ607" t="str">
        <f t="shared" si="267"/>
        <v>S</v>
      </c>
      <c r="AK607" t="str">
        <f>IF(ISERROR(MATCH(AI607&amp;"."&amp;AJ607,AK$91:AK606,0)),AI607&amp;"."&amp;AJ607,AI607&amp;"."&amp;AJ607&amp;COUNTIFS(AI$91:AI606,AI607,AJ$91:AJ606,AJ607))</f>
        <v>589.S</v>
      </c>
    </row>
    <row r="608" spans="1:37" ht="15" hidden="1">
      <c r="A608" s="120">
        <f>ROW()</f>
        <v>608</v>
      </c>
      <c r="B608" s="120"/>
      <c r="C608" s="1"/>
      <c r="E608" s="121" t="s">
        <v>321</v>
      </c>
      <c r="F608" s="138" t="str">
        <f>INDEX(FuncAllocOptions,ROW(A608)-ROW($A$92)+1,[4]Inputs!$S$11)</f>
        <v>DPW</v>
      </c>
      <c r="G608" s="133" t="e">
        <f>SUMIF(FERCJAMFactor,AK608,JAMValue)</f>
        <v>#VALUE!</v>
      </c>
      <c r="H608" s="139" t="e">
        <f t="shared" si="268"/>
        <v>#VALUE!</v>
      </c>
      <c r="I608" s="139" t="e">
        <f t="shared" si="268"/>
        <v>#VALUE!</v>
      </c>
      <c r="J608" s="139" t="e">
        <f t="shared" si="268"/>
        <v>#VALUE!</v>
      </c>
      <c r="K608" s="139" t="e">
        <f t="shared" si="268"/>
        <v>#VALUE!</v>
      </c>
      <c r="L608" s="139" t="e">
        <f t="shared" si="268"/>
        <v>#VALUE!</v>
      </c>
      <c r="X608" s="3" t="str">
        <f>INDEX(DistFuncAllocOptions,ROW(A608)-ROW($A$92)+1,[4]Inputs!$S$11)</f>
        <v>PLNT2</v>
      </c>
      <c r="Y608" s="116" t="e">
        <f t="shared" si="269"/>
        <v>#VALUE!</v>
      </c>
      <c r="Z608" s="116" t="e">
        <f t="shared" si="269"/>
        <v>#VALUE!</v>
      </c>
      <c r="AA608" s="116" t="e">
        <f t="shared" si="269"/>
        <v>#VALUE!</v>
      </c>
      <c r="AB608" s="116" t="e">
        <f t="shared" si="269"/>
        <v>#VALUE!</v>
      </c>
      <c r="AC608" s="116" t="e">
        <f t="shared" si="269"/>
        <v>#VALUE!</v>
      </c>
      <c r="AD608" s="117" t="e">
        <f>ROUND(SUM(-G608,H608:L608),0)</f>
        <v>#VALUE!</v>
      </c>
      <c r="AE608" s="117" t="e">
        <f>ROUND(H608-O608-P608-Q608-R608,0)</f>
        <v>#VALUE!</v>
      </c>
      <c r="AF608" s="117" t="e">
        <f>ROUND(I608-T608-U608-V608-W608,0)</f>
        <v>#VALUE!</v>
      </c>
      <c r="AG608" s="117" t="e">
        <f>ROUND(J608-Y608-Z608-AA608-AC608-AB608,0)</f>
        <v>#VALUE!</v>
      </c>
      <c r="AH608" s="116"/>
      <c r="AI608">
        <f t="shared" si="237"/>
        <v>589</v>
      </c>
      <c r="AJ608" t="str">
        <f t="shared" si="267"/>
        <v>SNPD</v>
      </c>
      <c r="AK608" t="str">
        <f>IF(ISERROR(MATCH(AI608&amp;"."&amp;AJ608,AK$91:AK607,0)),AI608&amp;"."&amp;AJ608,AI608&amp;"."&amp;AJ608&amp;COUNTIFS(AI$91:AI607,AI608,AJ$91:AJ607,AJ608))</f>
        <v>589.SNPD</v>
      </c>
    </row>
    <row r="609" spans="1:37" ht="15" hidden="1">
      <c r="A609" s="120">
        <f>ROW()</f>
        <v>609</v>
      </c>
      <c r="B609" s="120"/>
      <c r="C609" s="1"/>
      <c r="E609" s="121"/>
      <c r="F609" s="138"/>
      <c r="G609" s="117" t="e">
        <f t="shared" ref="G609:L609" si="270">SUM(G607:G608)</f>
        <v>#VALUE!</v>
      </c>
      <c r="H609" s="116" t="e">
        <f t="shared" si="270"/>
        <v>#VALUE!</v>
      </c>
      <c r="I609" s="116" t="e">
        <f t="shared" si="270"/>
        <v>#VALUE!</v>
      </c>
      <c r="J609" s="116" t="e">
        <f t="shared" si="270"/>
        <v>#VALUE!</v>
      </c>
      <c r="K609" s="116" t="e">
        <f t="shared" si="270"/>
        <v>#VALUE!</v>
      </c>
      <c r="L609" s="116" t="e">
        <f t="shared" si="270"/>
        <v>#VALUE!</v>
      </c>
      <c r="O609" s="116">
        <f>SUM(O607:O608)</f>
        <v>0</v>
      </c>
      <c r="P609" s="116">
        <f>SUM(P607:P608)</f>
        <v>0</v>
      </c>
      <c r="Q609" s="116">
        <f>SUM(Q607:Q608)</f>
        <v>0</v>
      </c>
      <c r="R609" s="116">
        <f>SUM(R607:R608)</f>
        <v>0</v>
      </c>
      <c r="T609" s="116">
        <f>SUM(T607:T608)</f>
        <v>0</v>
      </c>
      <c r="U609" s="116">
        <f>SUM(U607:U608)</f>
        <v>0</v>
      </c>
      <c r="V609" s="116">
        <f>SUM(V607:V608)</f>
        <v>0</v>
      </c>
      <c r="W609" s="116">
        <f>SUM(W607:W608)</f>
        <v>0</v>
      </c>
      <c r="X609" s="3"/>
      <c r="Y609" s="116" t="e">
        <f>SUM(Y607:Y608)</f>
        <v>#VALUE!</v>
      </c>
      <c r="Z609" s="116" t="e">
        <f>SUM(Z607:Z608)</f>
        <v>#VALUE!</v>
      </c>
      <c r="AA609" s="116" t="e">
        <f>SUM(AA607:AA608)</f>
        <v>#VALUE!</v>
      </c>
      <c r="AB609" s="116" t="e">
        <f>SUM(AB607:AB608)</f>
        <v>#VALUE!</v>
      </c>
      <c r="AC609" s="116" t="e">
        <f>SUM(AC607:AC608)</f>
        <v>#VALUE!</v>
      </c>
      <c r="AD609" s="117" t="e">
        <f>ROUND(SUM(-G609,H609:L609),0)</f>
        <v>#VALUE!</v>
      </c>
      <c r="AE609" s="117" t="e">
        <f>ROUND(H609-O609-P609-Q609-R609,0)</f>
        <v>#VALUE!</v>
      </c>
      <c r="AF609" s="117" t="e">
        <f>ROUND(I609-T609-U609-V609-W609,0)</f>
        <v>#VALUE!</v>
      </c>
      <c r="AG609" s="117" t="e">
        <f>ROUND(J609-Y609-Z609-AA609-AC609-AB609,0)</f>
        <v>#VALUE!</v>
      </c>
      <c r="AH609" s="116"/>
      <c r="AI609">
        <f t="shared" si="237"/>
        <v>589</v>
      </c>
      <c r="AJ609" t="str">
        <f t="shared" si="267"/>
        <v>NA</v>
      </c>
      <c r="AK609" t="str">
        <f>IF(ISERROR(MATCH(AI609&amp;"."&amp;AJ609,AK$91:AK608,0)),AI609&amp;"."&amp;AJ609,AI609&amp;"."&amp;AJ609&amp;COUNTIFS(AI$91:AI608,AI609,AJ$91:AJ608,AJ609))</f>
        <v>589.NA1</v>
      </c>
    </row>
    <row r="610" spans="1:37" ht="15" hidden="1">
      <c r="A610" s="120">
        <f>ROW()</f>
        <v>610</v>
      </c>
      <c r="B610" s="120"/>
      <c r="C610" s="1"/>
      <c r="E610" s="121"/>
      <c r="F610" s="138"/>
      <c r="G610" s="119"/>
      <c r="X610" s="3"/>
      <c r="AD610" s="119"/>
      <c r="AE610" s="119"/>
      <c r="AF610" s="119"/>
      <c r="AG610" s="119"/>
      <c r="AI610">
        <f t="shared" si="237"/>
        <v>589</v>
      </c>
      <c r="AJ610" t="str">
        <f t="shared" si="267"/>
        <v>NA</v>
      </c>
      <c r="AK610" t="str">
        <f>IF(ISERROR(MATCH(AI610&amp;"."&amp;AJ610,AK$91:AK609,0)),AI610&amp;"."&amp;AJ610,AI610&amp;"."&amp;AJ610&amp;COUNTIFS(AI$91:AI609,AI610,AJ$91:AJ609,AJ610))</f>
        <v>589.NA2</v>
      </c>
    </row>
    <row r="611" spans="1:37" ht="15" hidden="1">
      <c r="A611" s="120">
        <f>ROW()</f>
        <v>611</v>
      </c>
      <c r="B611" s="120"/>
      <c r="C611" s="1">
        <v>590</v>
      </c>
      <c r="D611" s="2" t="s">
        <v>188</v>
      </c>
      <c r="E611" s="121"/>
      <c r="F611" s="138"/>
      <c r="G611" s="119"/>
      <c r="X611" s="3"/>
      <c r="AD611" s="119"/>
      <c r="AE611" s="119"/>
      <c r="AF611" s="119"/>
      <c r="AG611" s="119"/>
      <c r="AI611">
        <f t="shared" si="237"/>
        <v>590</v>
      </c>
      <c r="AJ611" t="str">
        <f t="shared" si="267"/>
        <v>NA</v>
      </c>
      <c r="AK611" t="str">
        <f>IF(ISERROR(MATCH(AI611&amp;"."&amp;AJ611,AK$91:AK610,0)),AI611&amp;"."&amp;AJ611,AI611&amp;"."&amp;AJ611&amp;COUNTIFS(AI$91:AI610,AI611,AJ$91:AJ610,AJ611))</f>
        <v>590.NA</v>
      </c>
    </row>
    <row r="612" spans="1:37" ht="15" hidden="1">
      <c r="A612" s="120">
        <f>ROW()</f>
        <v>612</v>
      </c>
      <c r="B612" s="120"/>
      <c r="C612" s="1"/>
      <c r="E612" s="121" t="s">
        <v>12</v>
      </c>
      <c r="F612" s="138" t="str">
        <f>INDEX(FuncAllocOptions,ROW(A612)-ROW($A$92)+1,[4]Inputs!$S$11)</f>
        <v>DPW</v>
      </c>
      <c r="G612" s="117" t="e">
        <f>SUMIF(FERCJAMFactor,AK612,JAMValue)</f>
        <v>#VALUE!</v>
      </c>
      <c r="H612" s="116" t="e">
        <f t="shared" ref="H612:L613" si="271">INDEX(FuncFactorTbl,MATCH($F612,FuncFactors,0),MATCH(H$8,Functions,0))*$G612</f>
        <v>#VALUE!</v>
      </c>
      <c r="I612" s="116" t="e">
        <f t="shared" si="271"/>
        <v>#VALUE!</v>
      </c>
      <c r="J612" s="116" t="e">
        <f t="shared" si="271"/>
        <v>#VALUE!</v>
      </c>
      <c r="K612" s="116" t="e">
        <f t="shared" si="271"/>
        <v>#VALUE!</v>
      </c>
      <c r="L612" s="116" t="e">
        <f t="shared" si="271"/>
        <v>#VALUE!</v>
      </c>
      <c r="X612" s="3" t="str">
        <f>INDEX(DistFuncAllocOptions,ROW(A612)-ROW($A$92)+1,[4]Inputs!$S$11)</f>
        <v>PLNT</v>
      </c>
      <c r="Y612" s="116" t="e">
        <f t="shared" ref="Y612:AC613" si="272">INDEX(DistFuncFactorTbl,MATCH($X612,DistFuncFactors,0),MATCH(Y$91,DistFunctions,0))*$J612</f>
        <v>#VALUE!</v>
      </c>
      <c r="Z612" s="116" t="e">
        <f t="shared" si="272"/>
        <v>#VALUE!</v>
      </c>
      <c r="AA612" s="116" t="e">
        <f t="shared" si="272"/>
        <v>#VALUE!</v>
      </c>
      <c r="AB612" s="116" t="e">
        <f t="shared" si="272"/>
        <v>#VALUE!</v>
      </c>
      <c r="AC612" s="116" t="e">
        <f t="shared" si="272"/>
        <v>#VALUE!</v>
      </c>
      <c r="AD612" s="117" t="e">
        <f>ROUND(SUM(-G612,H612:L612),0)</f>
        <v>#VALUE!</v>
      </c>
      <c r="AE612" s="117" t="e">
        <f>ROUND(H612-O612-P612-Q612-R612,0)</f>
        <v>#VALUE!</v>
      </c>
      <c r="AF612" s="117" t="e">
        <f>ROUND(I612-T612-U612-V612-W612,0)</f>
        <v>#VALUE!</v>
      </c>
      <c r="AG612" s="117" t="e">
        <f>ROUND(J612-Y612-Z612-AA612-AC612-AB612,0)</f>
        <v>#VALUE!</v>
      </c>
      <c r="AH612" s="116"/>
      <c r="AI612">
        <f t="shared" si="237"/>
        <v>590</v>
      </c>
      <c r="AJ612" t="str">
        <f t="shared" si="267"/>
        <v>S</v>
      </c>
      <c r="AK612" t="str">
        <f>IF(ISERROR(MATCH(AI612&amp;"."&amp;AJ612,AK$91:AK611,0)),AI612&amp;"."&amp;AJ612,AI612&amp;"."&amp;AJ612&amp;COUNTIFS(AI$91:AI611,AI612,AJ$91:AJ611,AJ612))</f>
        <v>590.S</v>
      </c>
    </row>
    <row r="613" spans="1:37" ht="15" hidden="1">
      <c r="A613" s="120">
        <f>ROW()</f>
        <v>613</v>
      </c>
      <c r="B613" s="120"/>
      <c r="C613" s="1"/>
      <c r="E613" s="121" t="s">
        <v>321</v>
      </c>
      <c r="F613" s="138" t="str">
        <f>INDEX(FuncAllocOptions,ROW(A613)-ROW($A$92)+1,[4]Inputs!$S$11)</f>
        <v>DPW</v>
      </c>
      <c r="G613" s="133" t="e">
        <f>SUMIF(FERCJAMFactor,AK613,JAMValue)</f>
        <v>#VALUE!</v>
      </c>
      <c r="H613" s="139" t="e">
        <f t="shared" si="271"/>
        <v>#VALUE!</v>
      </c>
      <c r="I613" s="139" t="e">
        <f t="shared" si="271"/>
        <v>#VALUE!</v>
      </c>
      <c r="J613" s="139" t="e">
        <f t="shared" si="271"/>
        <v>#VALUE!</v>
      </c>
      <c r="K613" s="139" t="e">
        <f t="shared" si="271"/>
        <v>#VALUE!</v>
      </c>
      <c r="L613" s="139" t="e">
        <f t="shared" si="271"/>
        <v>#VALUE!</v>
      </c>
      <c r="X613" s="3" t="str">
        <f>INDEX(DistFuncAllocOptions,ROW(A613)-ROW($A$92)+1,[4]Inputs!$S$11)</f>
        <v>PLNT</v>
      </c>
      <c r="Y613" s="116" t="e">
        <f t="shared" si="272"/>
        <v>#VALUE!</v>
      </c>
      <c r="Z613" s="116" t="e">
        <f t="shared" si="272"/>
        <v>#VALUE!</v>
      </c>
      <c r="AA613" s="116" t="e">
        <f t="shared" si="272"/>
        <v>#VALUE!</v>
      </c>
      <c r="AB613" s="116" t="e">
        <f t="shared" si="272"/>
        <v>#VALUE!</v>
      </c>
      <c r="AC613" s="116" t="e">
        <f t="shared" si="272"/>
        <v>#VALUE!</v>
      </c>
      <c r="AD613" s="117" t="e">
        <f>ROUND(SUM(-G613,H613:L613),0)</f>
        <v>#VALUE!</v>
      </c>
      <c r="AE613" s="117" t="e">
        <f>ROUND(H613-O613-P613-Q613-R613,0)</f>
        <v>#VALUE!</v>
      </c>
      <c r="AF613" s="117" t="e">
        <f>ROUND(I613-T613-U613-V613-W613,0)</f>
        <v>#VALUE!</v>
      </c>
      <c r="AG613" s="117" t="e">
        <f>ROUND(J613-Y613-Z613-AA613-AC613-AB613,0)</f>
        <v>#VALUE!</v>
      </c>
      <c r="AH613" s="116"/>
      <c r="AI613">
        <f t="shared" si="237"/>
        <v>590</v>
      </c>
      <c r="AJ613" t="str">
        <f t="shared" si="267"/>
        <v>SNPD</v>
      </c>
      <c r="AK613" t="str">
        <f>IF(ISERROR(MATCH(AI613&amp;"."&amp;AJ613,AK$91:AK612,0)),AI613&amp;"."&amp;AJ613,AI613&amp;"."&amp;AJ613&amp;COUNTIFS(AI$91:AI612,AI613,AJ$91:AJ612,AJ613))</f>
        <v>590.SNPD</v>
      </c>
    </row>
    <row r="614" spans="1:37" ht="15" hidden="1">
      <c r="A614" s="120">
        <f>ROW()</f>
        <v>614</v>
      </c>
      <c r="B614" s="120"/>
      <c r="C614" s="1"/>
      <c r="E614" s="121"/>
      <c r="F614" s="138"/>
      <c r="G614" s="117" t="e">
        <f t="shared" ref="G614:L614" si="273">SUM(G612:G613)</f>
        <v>#VALUE!</v>
      </c>
      <c r="H614" s="116" t="e">
        <f t="shared" si="273"/>
        <v>#VALUE!</v>
      </c>
      <c r="I614" s="116" t="e">
        <f t="shared" si="273"/>
        <v>#VALUE!</v>
      </c>
      <c r="J614" s="116" t="e">
        <f t="shared" si="273"/>
        <v>#VALUE!</v>
      </c>
      <c r="K614" s="116" t="e">
        <f t="shared" si="273"/>
        <v>#VALUE!</v>
      </c>
      <c r="L614" s="116" t="e">
        <f t="shared" si="273"/>
        <v>#VALUE!</v>
      </c>
      <c r="O614" s="116">
        <f>SUM(O612:O613)</f>
        <v>0</v>
      </c>
      <c r="P614" s="116">
        <f>SUM(P612:P613)</f>
        <v>0</v>
      </c>
      <c r="Q614" s="116">
        <f>SUM(Q612:Q613)</f>
        <v>0</v>
      </c>
      <c r="R614" s="116">
        <f>SUM(R612:R613)</f>
        <v>0</v>
      </c>
      <c r="T614" s="116">
        <f>SUM(T612:T613)</f>
        <v>0</v>
      </c>
      <c r="U614" s="116">
        <f>SUM(U612:U613)</f>
        <v>0</v>
      </c>
      <c r="V614" s="116">
        <f>SUM(V612:V613)</f>
        <v>0</v>
      </c>
      <c r="W614" s="116">
        <f>SUM(W612:W613)</f>
        <v>0</v>
      </c>
      <c r="X614" s="3"/>
      <c r="Y614" s="116" t="e">
        <f>SUM(Y612:Y613)</f>
        <v>#VALUE!</v>
      </c>
      <c r="Z614" s="116" t="e">
        <f>SUM(Z612:Z613)</f>
        <v>#VALUE!</v>
      </c>
      <c r="AA614" s="116" t="e">
        <f>SUM(AA612:AA613)</f>
        <v>#VALUE!</v>
      </c>
      <c r="AB614" s="116" t="e">
        <f>SUM(AB612:AB613)</f>
        <v>#VALUE!</v>
      </c>
      <c r="AC614" s="116" t="e">
        <f>SUM(AC612:AC613)</f>
        <v>#VALUE!</v>
      </c>
      <c r="AD614" s="117" t="e">
        <f>ROUND(SUM(-G614,H614:L614),0)</f>
        <v>#VALUE!</v>
      </c>
      <c r="AE614" s="117" t="e">
        <f>ROUND(H614-O614-P614-Q614-R614,0)</f>
        <v>#VALUE!</v>
      </c>
      <c r="AF614" s="117" t="e">
        <f>ROUND(I614-T614-U614-V614-W614,0)</f>
        <v>#VALUE!</v>
      </c>
      <c r="AG614" s="117" t="e">
        <f>ROUND(J614-Y614-Z614-AA614-AC614-AB614,0)</f>
        <v>#VALUE!</v>
      </c>
      <c r="AH614" s="116"/>
      <c r="AI614">
        <f t="shared" si="237"/>
        <v>590</v>
      </c>
      <c r="AJ614" t="str">
        <f t="shared" si="267"/>
        <v>NA</v>
      </c>
      <c r="AK614" t="str">
        <f>IF(ISERROR(MATCH(AI614&amp;"."&amp;AJ614,AK$91:AK613,0)),AI614&amp;"."&amp;AJ614,AI614&amp;"."&amp;AJ614&amp;COUNTIFS(AI$91:AI613,AI614,AJ$91:AJ613,AJ614))</f>
        <v>590.NA1</v>
      </c>
    </row>
    <row r="615" spans="1:37" ht="15" hidden="1">
      <c r="A615" s="120">
        <f>ROW()</f>
        <v>615</v>
      </c>
      <c r="B615" s="120"/>
      <c r="C615" s="1"/>
      <c r="E615" s="121"/>
      <c r="F615" s="138"/>
      <c r="G615" s="119"/>
      <c r="X615" s="3"/>
      <c r="AD615" s="119"/>
      <c r="AE615" s="119"/>
      <c r="AF615" s="119"/>
      <c r="AG615" s="119"/>
      <c r="AI615">
        <f t="shared" si="237"/>
        <v>590</v>
      </c>
      <c r="AJ615" t="str">
        <f t="shared" si="267"/>
        <v>NA</v>
      </c>
      <c r="AK615" t="str">
        <f>IF(ISERROR(MATCH(AI615&amp;"."&amp;AJ615,AK$91:AK614,0)),AI615&amp;"."&amp;AJ615,AI615&amp;"."&amp;AJ615&amp;COUNTIFS(AI$91:AI614,AI615,AJ$91:AJ614,AJ615))</f>
        <v>590.NA2</v>
      </c>
    </row>
    <row r="616" spans="1:37" ht="15" hidden="1">
      <c r="A616" s="120">
        <f>ROW()</f>
        <v>616</v>
      </c>
      <c r="B616" s="120"/>
      <c r="C616" s="1">
        <v>591</v>
      </c>
      <c r="D616" s="2" t="s">
        <v>189</v>
      </c>
      <c r="E616" s="121"/>
      <c r="F616" s="138"/>
      <c r="G616" s="119"/>
      <c r="X616" s="3"/>
      <c r="AD616" s="119"/>
      <c r="AE616" s="119"/>
      <c r="AF616" s="119"/>
      <c r="AG616" s="119"/>
      <c r="AI616">
        <f t="shared" si="237"/>
        <v>591</v>
      </c>
      <c r="AJ616" t="str">
        <f t="shared" si="267"/>
        <v>NA</v>
      </c>
      <c r="AK616" t="str">
        <f>IF(ISERROR(MATCH(AI616&amp;"."&amp;AJ616,AK$91:AK615,0)),AI616&amp;"."&amp;AJ616,AI616&amp;"."&amp;AJ616&amp;COUNTIFS(AI$91:AI615,AI616,AJ$91:AJ615,AJ616))</f>
        <v>591.NA</v>
      </c>
    </row>
    <row r="617" spans="1:37" ht="15" hidden="1">
      <c r="A617" s="120">
        <f>ROW()</f>
        <v>617</v>
      </c>
      <c r="B617" s="120"/>
      <c r="C617" s="1"/>
      <c r="E617" s="121" t="s">
        <v>12</v>
      </c>
      <c r="F617" s="138" t="str">
        <f>INDEX(FuncAllocOptions,ROW(A617)-ROW($A$92)+1,[4]Inputs!$S$11)</f>
        <v>DPW</v>
      </c>
      <c r="G617" s="117" t="e">
        <f>SUMIF(FERCJAMFactor,AK617,JAMValue)</f>
        <v>#VALUE!</v>
      </c>
      <c r="H617" s="116" t="e">
        <f t="shared" ref="H617:L618" si="274">INDEX(FuncFactorTbl,MATCH($F617,FuncFactors,0),MATCH(H$8,Functions,0))*$G617</f>
        <v>#VALUE!</v>
      </c>
      <c r="I617" s="116" t="e">
        <f t="shared" si="274"/>
        <v>#VALUE!</v>
      </c>
      <c r="J617" s="116" t="e">
        <f t="shared" si="274"/>
        <v>#VALUE!</v>
      </c>
      <c r="K617" s="116" t="e">
        <f t="shared" si="274"/>
        <v>#VALUE!</v>
      </c>
      <c r="L617" s="116" t="e">
        <f t="shared" si="274"/>
        <v>#VALUE!</v>
      </c>
      <c r="X617" s="3" t="str">
        <f>INDEX(DistFuncAllocOptions,ROW(A617)-ROW($A$92)+1,[4]Inputs!$S$11)</f>
        <v>PLNT2</v>
      </c>
      <c r="Y617" s="116" t="e">
        <f t="shared" ref="Y617:AC618" si="275">INDEX(DistFuncFactorTbl,MATCH($X617,DistFuncFactors,0),MATCH(Y$91,DistFunctions,0))*$J617</f>
        <v>#VALUE!</v>
      </c>
      <c r="Z617" s="116" t="e">
        <f t="shared" si="275"/>
        <v>#VALUE!</v>
      </c>
      <c r="AA617" s="116" t="e">
        <f t="shared" si="275"/>
        <v>#VALUE!</v>
      </c>
      <c r="AB617" s="116" t="e">
        <f t="shared" si="275"/>
        <v>#VALUE!</v>
      </c>
      <c r="AC617" s="116" t="e">
        <f t="shared" si="275"/>
        <v>#VALUE!</v>
      </c>
      <c r="AD617" s="117" t="e">
        <f>ROUND(SUM(-G617,H617:L617),0)</f>
        <v>#VALUE!</v>
      </c>
      <c r="AE617" s="117" t="e">
        <f>ROUND(H617-O617-P617-Q617-R617,0)</f>
        <v>#VALUE!</v>
      </c>
      <c r="AF617" s="117" t="e">
        <f>ROUND(I617-T617-U617-V617-W617,0)</f>
        <v>#VALUE!</v>
      </c>
      <c r="AG617" s="117" t="e">
        <f>ROUND(J617-Y617-Z617-AA617-AC617-AB617,0)</f>
        <v>#VALUE!</v>
      </c>
      <c r="AH617" s="116"/>
      <c r="AI617">
        <f t="shared" si="237"/>
        <v>591</v>
      </c>
      <c r="AJ617" t="str">
        <f t="shared" si="267"/>
        <v>S</v>
      </c>
      <c r="AK617" t="str">
        <f>IF(ISERROR(MATCH(AI617&amp;"."&amp;AJ617,AK$91:AK616,0)),AI617&amp;"."&amp;AJ617,AI617&amp;"."&amp;AJ617&amp;COUNTIFS(AI$91:AI616,AI617,AJ$91:AJ616,AJ617))</f>
        <v>591.S</v>
      </c>
    </row>
    <row r="618" spans="1:37" ht="15" hidden="1">
      <c r="A618" s="120">
        <f>ROW()</f>
        <v>618</v>
      </c>
      <c r="B618" s="120"/>
      <c r="C618" s="1"/>
      <c r="E618" s="121" t="s">
        <v>321</v>
      </c>
      <c r="F618" s="138" t="str">
        <f>INDEX(FuncAllocOptions,ROW(A618)-ROW($A$92)+1,[4]Inputs!$S$11)</f>
        <v>DPW</v>
      </c>
      <c r="G618" s="133" t="e">
        <f>SUMIF(FERCJAMFactor,AK618,JAMValue)</f>
        <v>#VALUE!</v>
      </c>
      <c r="H618" s="139" t="e">
        <f t="shared" si="274"/>
        <v>#VALUE!</v>
      </c>
      <c r="I618" s="139" t="e">
        <f t="shared" si="274"/>
        <v>#VALUE!</v>
      </c>
      <c r="J618" s="139" t="e">
        <f t="shared" si="274"/>
        <v>#VALUE!</v>
      </c>
      <c r="K618" s="139" t="e">
        <f t="shared" si="274"/>
        <v>#VALUE!</v>
      </c>
      <c r="L618" s="139" t="e">
        <f t="shared" si="274"/>
        <v>#VALUE!</v>
      </c>
      <c r="X618" s="3" t="str">
        <f>INDEX(DistFuncAllocOptions,ROW(A618)-ROW($A$92)+1,[4]Inputs!$S$11)</f>
        <v>PLNT2</v>
      </c>
      <c r="Y618" s="116" t="e">
        <f t="shared" si="275"/>
        <v>#VALUE!</v>
      </c>
      <c r="Z618" s="116" t="e">
        <f t="shared" si="275"/>
        <v>#VALUE!</v>
      </c>
      <c r="AA618" s="116" t="e">
        <f t="shared" si="275"/>
        <v>#VALUE!</v>
      </c>
      <c r="AB618" s="116" t="e">
        <f t="shared" si="275"/>
        <v>#VALUE!</v>
      </c>
      <c r="AC618" s="116" t="e">
        <f t="shared" si="275"/>
        <v>#VALUE!</v>
      </c>
      <c r="AD618" s="117" t="e">
        <f>ROUND(SUM(-G618,H618:L618),0)</f>
        <v>#VALUE!</v>
      </c>
      <c r="AE618" s="117" t="e">
        <f>ROUND(H618-O618-P618-Q618-R618,0)</f>
        <v>#VALUE!</v>
      </c>
      <c r="AF618" s="117" t="e">
        <f>ROUND(I618-T618-U618-V618-W618,0)</f>
        <v>#VALUE!</v>
      </c>
      <c r="AG618" s="117" t="e">
        <f>ROUND(J618-Y618-Z618-AA618-AC618-AB618,0)</f>
        <v>#VALUE!</v>
      </c>
      <c r="AH618" s="116"/>
      <c r="AI618">
        <f t="shared" si="237"/>
        <v>591</v>
      </c>
      <c r="AJ618" t="str">
        <f t="shared" si="267"/>
        <v>SNPD</v>
      </c>
      <c r="AK618" t="str">
        <f>IF(ISERROR(MATCH(AI618&amp;"."&amp;AJ618,AK$91:AK617,0)),AI618&amp;"."&amp;AJ618,AI618&amp;"."&amp;AJ618&amp;COUNTIFS(AI$91:AI617,AI618,AJ$91:AJ617,AJ618))</f>
        <v>591.SNPD</v>
      </c>
    </row>
    <row r="619" spans="1:37" ht="15" hidden="1">
      <c r="A619" s="120">
        <f>ROW()</f>
        <v>619</v>
      </c>
      <c r="B619" s="120"/>
      <c r="C619" s="1"/>
      <c r="E619" s="121"/>
      <c r="F619" s="138"/>
      <c r="G619" s="117" t="e">
        <f t="shared" ref="G619:L619" si="276">SUM(G617:G618)</f>
        <v>#VALUE!</v>
      </c>
      <c r="H619" s="116" t="e">
        <f t="shared" si="276"/>
        <v>#VALUE!</v>
      </c>
      <c r="I619" s="116" t="e">
        <f t="shared" si="276"/>
        <v>#VALUE!</v>
      </c>
      <c r="J619" s="116" t="e">
        <f t="shared" si="276"/>
        <v>#VALUE!</v>
      </c>
      <c r="K619" s="116" t="e">
        <f t="shared" si="276"/>
        <v>#VALUE!</v>
      </c>
      <c r="L619" s="116" t="e">
        <f t="shared" si="276"/>
        <v>#VALUE!</v>
      </c>
      <c r="O619" s="116">
        <f>SUM(O617:O618)</f>
        <v>0</v>
      </c>
      <c r="P619" s="116">
        <f>SUM(P617:P618)</f>
        <v>0</v>
      </c>
      <c r="Q619" s="116">
        <f>SUM(Q617:Q618)</f>
        <v>0</v>
      </c>
      <c r="R619" s="116">
        <f>SUM(R617:R618)</f>
        <v>0</v>
      </c>
      <c r="T619" s="116">
        <f>SUM(T617:T618)</f>
        <v>0</v>
      </c>
      <c r="U619" s="116">
        <f>SUM(U617:U618)</f>
        <v>0</v>
      </c>
      <c r="V619" s="116">
        <f>SUM(V617:V618)</f>
        <v>0</v>
      </c>
      <c r="W619" s="116">
        <f>SUM(W617:W618)</f>
        <v>0</v>
      </c>
      <c r="X619" s="3"/>
      <c r="Y619" s="116" t="e">
        <f>SUM(Y617:Y618)</f>
        <v>#VALUE!</v>
      </c>
      <c r="Z619" s="116" t="e">
        <f>SUM(Z617:Z618)</f>
        <v>#VALUE!</v>
      </c>
      <c r="AA619" s="116" t="e">
        <f>SUM(AA617:AA618)</f>
        <v>#VALUE!</v>
      </c>
      <c r="AB619" s="116" t="e">
        <f>SUM(AB617:AB618)</f>
        <v>#VALUE!</v>
      </c>
      <c r="AC619" s="116" t="e">
        <f>SUM(AC617:AC618)</f>
        <v>#VALUE!</v>
      </c>
      <c r="AD619" s="117" t="e">
        <f>ROUND(SUM(-G619,H619:L619),0)</f>
        <v>#VALUE!</v>
      </c>
      <c r="AE619" s="117" t="e">
        <f>ROUND(H619-O619-P619-Q619-R619,0)</f>
        <v>#VALUE!</v>
      </c>
      <c r="AF619" s="117" t="e">
        <f>ROUND(I619-T619-U619-V619-W619,0)</f>
        <v>#VALUE!</v>
      </c>
      <c r="AG619" s="117" t="e">
        <f>ROUND(J619-Y619-Z619-AA619-AC619-AB619,0)</f>
        <v>#VALUE!</v>
      </c>
      <c r="AH619" s="116"/>
      <c r="AI619">
        <f t="shared" si="237"/>
        <v>591</v>
      </c>
      <c r="AJ619" t="str">
        <f t="shared" si="267"/>
        <v>NA</v>
      </c>
      <c r="AK619" t="str">
        <f>IF(ISERROR(MATCH(AI619&amp;"."&amp;AJ619,AK$91:AK618,0)),AI619&amp;"."&amp;AJ619,AI619&amp;"."&amp;AJ619&amp;COUNTIFS(AI$91:AI618,AI619,AJ$91:AJ618,AJ619))</f>
        <v>591.NA1</v>
      </c>
    </row>
    <row r="620" spans="1:37" ht="15" hidden="1">
      <c r="A620" s="120">
        <f>ROW()</f>
        <v>620</v>
      </c>
      <c r="B620" s="120"/>
      <c r="C620" s="1"/>
      <c r="E620" s="121"/>
      <c r="F620" s="138"/>
      <c r="G620" s="119"/>
      <c r="X620" s="3"/>
      <c r="AD620" s="119"/>
      <c r="AE620" s="119"/>
      <c r="AF620" s="119"/>
      <c r="AG620" s="119"/>
      <c r="AI620">
        <f t="shared" ref="AI620:AI683" si="277">IF(OR(C620="",C620=" ",C620="  ",C620="   "),AI619,C620)</f>
        <v>591</v>
      </c>
      <c r="AJ620" t="str">
        <f t="shared" si="267"/>
        <v>NA</v>
      </c>
      <c r="AK620" t="str">
        <f>IF(ISERROR(MATCH(AI620&amp;"."&amp;AJ620,AK$91:AK619,0)),AI620&amp;"."&amp;AJ620,AI620&amp;"."&amp;AJ620&amp;COUNTIFS(AI$91:AI619,AI620,AJ$91:AJ619,AJ620))</f>
        <v>591.NA2</v>
      </c>
    </row>
    <row r="621" spans="1:37" ht="15" hidden="1">
      <c r="A621" s="120">
        <f>ROW()</f>
        <v>621</v>
      </c>
      <c r="B621" s="120"/>
      <c r="C621" s="1">
        <v>592</v>
      </c>
      <c r="D621" s="2" t="s">
        <v>313</v>
      </c>
      <c r="E621" s="121"/>
      <c r="F621" s="138"/>
      <c r="G621" s="119"/>
      <c r="X621" s="3"/>
      <c r="AD621" s="119"/>
      <c r="AE621" s="119"/>
      <c r="AF621" s="119"/>
      <c r="AG621" s="119"/>
      <c r="AI621">
        <f t="shared" si="277"/>
        <v>592</v>
      </c>
      <c r="AJ621" t="str">
        <f t="shared" si="267"/>
        <v>NA</v>
      </c>
      <c r="AK621" t="str">
        <f>IF(ISERROR(MATCH(AI621&amp;"."&amp;AJ621,AK$91:AK620,0)),AI621&amp;"."&amp;AJ621,AI621&amp;"."&amp;AJ621&amp;COUNTIFS(AI$91:AI620,AI621,AJ$91:AJ620,AJ621))</f>
        <v>592.NA</v>
      </c>
    </row>
    <row r="622" spans="1:37" ht="15" hidden="1">
      <c r="A622" s="120">
        <f>ROW()</f>
        <v>622</v>
      </c>
      <c r="B622" s="120"/>
      <c r="C622" s="1"/>
      <c r="E622" s="121" t="s">
        <v>12</v>
      </c>
      <c r="F622" s="138" t="str">
        <f>INDEX(FuncAllocOptions,ROW(A622)-ROW($A$92)+1,[4]Inputs!$S$11)</f>
        <v>DPW</v>
      </c>
      <c r="G622" s="117" t="e">
        <f>SUMIF(FERCJAMFactor,AK622,JAMValue)</f>
        <v>#VALUE!</v>
      </c>
      <c r="H622" s="116" t="e">
        <f t="shared" ref="H622:L623" si="278">INDEX(FuncFactorTbl,MATCH($F622,FuncFactors,0),MATCH(H$8,Functions,0))*$G622</f>
        <v>#VALUE!</v>
      </c>
      <c r="I622" s="116" t="e">
        <f t="shared" si="278"/>
        <v>#VALUE!</v>
      </c>
      <c r="J622" s="116" t="e">
        <f t="shared" si="278"/>
        <v>#VALUE!</v>
      </c>
      <c r="K622" s="116" t="e">
        <f t="shared" si="278"/>
        <v>#VALUE!</v>
      </c>
      <c r="L622" s="116" t="e">
        <f t="shared" si="278"/>
        <v>#VALUE!</v>
      </c>
      <c r="X622" s="3" t="str">
        <f>INDEX(DistFuncAllocOptions,ROW(A622)-ROW($A$92)+1,[4]Inputs!$S$11)</f>
        <v>SUBS</v>
      </c>
      <c r="Y622" s="116" t="e">
        <f t="shared" ref="Y622:AC623" si="279">INDEX(DistFuncFactorTbl,MATCH($X622,DistFuncFactors,0),MATCH(Y$91,DistFunctions,0))*$J622</f>
        <v>#VALUE!</v>
      </c>
      <c r="Z622" s="116" t="e">
        <f t="shared" si="279"/>
        <v>#VALUE!</v>
      </c>
      <c r="AA622" s="116" t="e">
        <f t="shared" si="279"/>
        <v>#VALUE!</v>
      </c>
      <c r="AB622" s="116" t="e">
        <f t="shared" si="279"/>
        <v>#VALUE!</v>
      </c>
      <c r="AC622" s="116" t="e">
        <f t="shared" si="279"/>
        <v>#VALUE!</v>
      </c>
      <c r="AD622" s="117" t="e">
        <f>ROUND(SUM(-G622,H622:L622),0)</f>
        <v>#VALUE!</v>
      </c>
      <c r="AE622" s="117" t="e">
        <f>ROUND(H622-O622-P622-Q622-R622,0)</f>
        <v>#VALUE!</v>
      </c>
      <c r="AF622" s="117" t="e">
        <f>ROUND(I622-T622-U622-V622-W622,0)</f>
        <v>#VALUE!</v>
      </c>
      <c r="AG622" s="117" t="e">
        <f>ROUND(J622-Y622-Z622-AA622-AC622-AB622,0)</f>
        <v>#VALUE!</v>
      </c>
      <c r="AH622" s="116"/>
      <c r="AI622">
        <f t="shared" si="277"/>
        <v>592</v>
      </c>
      <c r="AJ622" t="str">
        <f t="shared" si="267"/>
        <v>S</v>
      </c>
      <c r="AK622" t="str">
        <f>IF(ISERROR(MATCH(AI622&amp;"."&amp;AJ622,AK$91:AK621,0)),AI622&amp;"."&amp;AJ622,AI622&amp;"."&amp;AJ622&amp;COUNTIFS(AI$91:AI621,AI622,AJ$91:AJ621,AJ622))</f>
        <v>592.S</v>
      </c>
    </row>
    <row r="623" spans="1:37" ht="15" hidden="1">
      <c r="A623" s="120">
        <f>ROW()</f>
        <v>623</v>
      </c>
      <c r="B623" s="120"/>
      <c r="C623" s="1"/>
      <c r="E623" s="121" t="s">
        <v>321</v>
      </c>
      <c r="F623" s="138" t="str">
        <f>INDEX(FuncAllocOptions,ROW(A623)-ROW($A$92)+1,[4]Inputs!$S$11)</f>
        <v>DPW</v>
      </c>
      <c r="G623" s="133" t="e">
        <f>SUMIF(FERCJAMFactor,AK623,JAMValue)</f>
        <v>#VALUE!</v>
      </c>
      <c r="H623" s="139" t="e">
        <f t="shared" si="278"/>
        <v>#VALUE!</v>
      </c>
      <c r="I623" s="139" t="e">
        <f t="shared" si="278"/>
        <v>#VALUE!</v>
      </c>
      <c r="J623" s="139" t="e">
        <f t="shared" si="278"/>
        <v>#VALUE!</v>
      </c>
      <c r="K623" s="139" t="e">
        <f t="shared" si="278"/>
        <v>#VALUE!</v>
      </c>
      <c r="L623" s="139" t="e">
        <f t="shared" si="278"/>
        <v>#VALUE!</v>
      </c>
      <c r="X623" s="3" t="str">
        <f>INDEX(DistFuncAllocOptions,ROW(A623)-ROW($A$92)+1,[4]Inputs!$S$11)</f>
        <v>SUBS</v>
      </c>
      <c r="Y623" s="116" t="e">
        <f t="shared" si="279"/>
        <v>#VALUE!</v>
      </c>
      <c r="Z623" s="116" t="e">
        <f t="shared" si="279"/>
        <v>#VALUE!</v>
      </c>
      <c r="AA623" s="116" t="e">
        <f t="shared" si="279"/>
        <v>#VALUE!</v>
      </c>
      <c r="AB623" s="116" t="e">
        <f t="shared" si="279"/>
        <v>#VALUE!</v>
      </c>
      <c r="AC623" s="116" t="e">
        <f t="shared" si="279"/>
        <v>#VALUE!</v>
      </c>
      <c r="AD623" s="117" t="e">
        <f>ROUND(SUM(-G623,H623:L623),0)</f>
        <v>#VALUE!</v>
      </c>
      <c r="AE623" s="117" t="e">
        <f>ROUND(H623-O623-P623-Q623-R623,0)</f>
        <v>#VALUE!</v>
      </c>
      <c r="AF623" s="117" t="e">
        <f>ROUND(I623-T623-U623-V623-W623,0)</f>
        <v>#VALUE!</v>
      </c>
      <c r="AG623" s="117" t="e">
        <f>ROUND(J623-Y623-Z623-AA623-AC623-AB623,0)</f>
        <v>#VALUE!</v>
      </c>
      <c r="AH623" s="116"/>
      <c r="AI623">
        <f t="shared" si="277"/>
        <v>592</v>
      </c>
      <c r="AJ623" t="str">
        <f t="shared" si="267"/>
        <v>SNPD</v>
      </c>
      <c r="AK623" t="str">
        <f>IF(ISERROR(MATCH(AI623&amp;"."&amp;AJ623,AK$91:AK622,0)),AI623&amp;"."&amp;AJ623,AI623&amp;"."&amp;AJ623&amp;COUNTIFS(AI$91:AI622,AI623,AJ$91:AJ622,AJ623))</f>
        <v>592.SNPD</v>
      </c>
    </row>
    <row r="624" spans="1:37" ht="15" hidden="1">
      <c r="A624" s="120">
        <f>ROW()</f>
        <v>624</v>
      </c>
      <c r="B624" s="120"/>
      <c r="C624" s="1"/>
      <c r="E624" s="121"/>
      <c r="F624" s="138"/>
      <c r="G624" s="117" t="e">
        <f t="shared" ref="G624:L624" si="280">SUM(G622:G623)</f>
        <v>#VALUE!</v>
      </c>
      <c r="H624" s="116" t="e">
        <f t="shared" si="280"/>
        <v>#VALUE!</v>
      </c>
      <c r="I624" s="116" t="e">
        <f t="shared" si="280"/>
        <v>#VALUE!</v>
      </c>
      <c r="J624" s="116" t="e">
        <f t="shared" si="280"/>
        <v>#VALUE!</v>
      </c>
      <c r="K624" s="116" t="e">
        <f t="shared" si="280"/>
        <v>#VALUE!</v>
      </c>
      <c r="L624" s="116" t="e">
        <f t="shared" si="280"/>
        <v>#VALUE!</v>
      </c>
      <c r="O624" s="116">
        <f>SUM(O622:O623)</f>
        <v>0</v>
      </c>
      <c r="P624" s="116">
        <f>SUM(P622:P623)</f>
        <v>0</v>
      </c>
      <c r="Q624" s="116">
        <f>SUM(Q622:Q623)</f>
        <v>0</v>
      </c>
      <c r="R624" s="116">
        <f>SUM(R622:R623)</f>
        <v>0</v>
      </c>
      <c r="T624" s="116">
        <f>SUM(T622:T623)</f>
        <v>0</v>
      </c>
      <c r="U624" s="116">
        <f>SUM(U622:U623)</f>
        <v>0</v>
      </c>
      <c r="V624" s="116">
        <f>SUM(V622:V623)</f>
        <v>0</v>
      </c>
      <c r="W624" s="116">
        <f>SUM(W622:W623)</f>
        <v>0</v>
      </c>
      <c r="X624" s="3"/>
      <c r="Y624" s="116" t="e">
        <f>SUM(Y622:Y623)</f>
        <v>#VALUE!</v>
      </c>
      <c r="Z624" s="116" t="e">
        <f>SUM(Z622:Z623)</f>
        <v>#VALUE!</v>
      </c>
      <c r="AA624" s="116" t="e">
        <f>SUM(AA622:AA623)</f>
        <v>#VALUE!</v>
      </c>
      <c r="AB624" s="116" t="e">
        <f>SUM(AB622:AB623)</f>
        <v>#VALUE!</v>
      </c>
      <c r="AC624" s="116" t="e">
        <f>SUM(AC622:AC623)</f>
        <v>#VALUE!</v>
      </c>
      <c r="AD624" s="117" t="e">
        <f>ROUND(SUM(-G624,H624:L624),0)</f>
        <v>#VALUE!</v>
      </c>
      <c r="AE624" s="117" t="e">
        <f>ROUND(H624-O624-P624-Q624-R624,0)</f>
        <v>#VALUE!</v>
      </c>
      <c r="AF624" s="117" t="e">
        <f>ROUND(I624-T624-U624-V624-W624,0)</f>
        <v>#VALUE!</v>
      </c>
      <c r="AG624" s="117" t="e">
        <f>ROUND(J624-Y624-Z624-AA624-AC624-AB624,0)</f>
        <v>#VALUE!</v>
      </c>
      <c r="AH624" s="116"/>
      <c r="AI624">
        <f t="shared" si="277"/>
        <v>592</v>
      </c>
      <c r="AJ624" t="str">
        <f t="shared" si="267"/>
        <v>NA</v>
      </c>
      <c r="AK624" t="str">
        <f>IF(ISERROR(MATCH(AI624&amp;"."&amp;AJ624,AK$91:AK623,0)),AI624&amp;"."&amp;AJ624,AI624&amp;"."&amp;AJ624&amp;COUNTIFS(AI$91:AI623,AI624,AJ$91:AJ623,AJ624))</f>
        <v>592.NA1</v>
      </c>
    </row>
    <row r="625" spans="1:37" ht="15" hidden="1">
      <c r="A625" s="120">
        <f>ROW()</f>
        <v>625</v>
      </c>
      <c r="B625" s="120"/>
      <c r="C625" s="1"/>
      <c r="E625" s="121"/>
      <c r="F625" s="138"/>
      <c r="G625" s="119"/>
      <c r="X625" s="3"/>
      <c r="AD625" s="119"/>
      <c r="AE625" s="119"/>
      <c r="AF625" s="119"/>
      <c r="AG625" s="119"/>
      <c r="AI625">
        <f t="shared" si="277"/>
        <v>592</v>
      </c>
      <c r="AJ625" t="str">
        <f t="shared" si="267"/>
        <v>NA</v>
      </c>
      <c r="AK625" t="str">
        <f>IF(ISERROR(MATCH(AI625&amp;"."&amp;AJ625,AK$91:AK624,0)),AI625&amp;"."&amp;AJ625,AI625&amp;"."&amp;AJ625&amp;COUNTIFS(AI$91:AI624,AI625,AJ$91:AJ624,AJ625))</f>
        <v>592.NA2</v>
      </c>
    </row>
    <row r="626" spans="1:37" ht="15" hidden="1">
      <c r="A626" s="120">
        <f>ROW()</f>
        <v>626</v>
      </c>
      <c r="B626" s="120"/>
      <c r="C626" s="1">
        <v>593</v>
      </c>
      <c r="D626" s="2" t="s">
        <v>314</v>
      </c>
      <c r="E626" s="121"/>
      <c r="F626" s="138"/>
      <c r="G626" s="119"/>
      <c r="X626" s="3"/>
      <c r="AD626" s="119"/>
      <c r="AE626" s="119"/>
      <c r="AF626" s="119"/>
      <c r="AG626" s="119"/>
      <c r="AI626">
        <f t="shared" si="277"/>
        <v>593</v>
      </c>
      <c r="AJ626" t="str">
        <f t="shared" si="267"/>
        <v>NA</v>
      </c>
      <c r="AK626" t="str">
        <f>IF(ISERROR(MATCH(AI626&amp;"."&amp;AJ626,AK$91:AK625,0)),AI626&amp;"."&amp;AJ626,AI626&amp;"."&amp;AJ626&amp;COUNTIFS(AI$91:AI625,AI626,AJ$91:AJ625,AJ626))</f>
        <v>593.NA</v>
      </c>
    </row>
    <row r="627" spans="1:37" ht="15" hidden="1">
      <c r="A627" s="120">
        <f>ROW()</f>
        <v>627</v>
      </c>
      <c r="B627" s="120"/>
      <c r="C627" s="1"/>
      <c r="E627" s="121" t="s">
        <v>12</v>
      </c>
      <c r="F627" s="138" t="str">
        <f>INDEX(FuncAllocOptions,ROW(A627)-ROW($A$92)+1,[4]Inputs!$S$11)</f>
        <v>DPW</v>
      </c>
      <c r="G627" s="117" t="e">
        <f>SUMIF(FERCJAMFactor,AK627,JAMValue)</f>
        <v>#VALUE!</v>
      </c>
      <c r="H627" s="116" t="e">
        <f t="shared" ref="H627:L628" si="281">INDEX(FuncFactorTbl,MATCH($F627,FuncFactors,0),MATCH(H$8,Functions,0))*$G627</f>
        <v>#VALUE!</v>
      </c>
      <c r="I627" s="116" t="e">
        <f t="shared" si="281"/>
        <v>#VALUE!</v>
      </c>
      <c r="J627" s="116" t="e">
        <f t="shared" si="281"/>
        <v>#VALUE!</v>
      </c>
      <c r="K627" s="116" t="e">
        <f t="shared" si="281"/>
        <v>#VALUE!</v>
      </c>
      <c r="L627" s="116" t="e">
        <f t="shared" si="281"/>
        <v>#VALUE!</v>
      </c>
      <c r="X627" s="3" t="str">
        <f>INDEX(DistFuncAllocOptions,ROW(A627)-ROW($A$92)+1,[4]Inputs!$S$11)</f>
        <v>PC</v>
      </c>
      <c r="Y627" s="116" t="e">
        <f t="shared" ref="Y627:AC628" si="282">INDEX(DistFuncFactorTbl,MATCH($X627,DistFuncFactors,0),MATCH(Y$91,DistFunctions,0))*$J627</f>
        <v>#VALUE!</v>
      </c>
      <c r="Z627" s="116" t="e">
        <f t="shared" si="282"/>
        <v>#VALUE!</v>
      </c>
      <c r="AA627" s="116" t="e">
        <f t="shared" si="282"/>
        <v>#VALUE!</v>
      </c>
      <c r="AB627" s="116" t="e">
        <f t="shared" si="282"/>
        <v>#VALUE!</v>
      </c>
      <c r="AC627" s="116" t="e">
        <f t="shared" si="282"/>
        <v>#VALUE!</v>
      </c>
      <c r="AD627" s="117" t="e">
        <f>ROUND(SUM(-G627,H627:L627),0)</f>
        <v>#VALUE!</v>
      </c>
      <c r="AE627" s="117" t="e">
        <f>ROUND(H627-O627-P627-Q627-R627,0)</f>
        <v>#VALUE!</v>
      </c>
      <c r="AF627" s="117" t="e">
        <f>ROUND(I627-T627-U627-V627-W627,0)</f>
        <v>#VALUE!</v>
      </c>
      <c r="AG627" s="117" t="e">
        <f>ROUND(J627-Y627-Z627-AA627-AC627-AB627,0)</f>
        <v>#VALUE!</v>
      </c>
      <c r="AH627" s="116"/>
      <c r="AI627">
        <f t="shared" si="277"/>
        <v>593</v>
      </c>
      <c r="AJ627" t="str">
        <f t="shared" si="267"/>
        <v>S</v>
      </c>
      <c r="AK627" t="str">
        <f>IF(ISERROR(MATCH(AI627&amp;"."&amp;AJ627,AK$91:AK626,0)),AI627&amp;"."&amp;AJ627,AI627&amp;"."&amp;AJ627&amp;COUNTIFS(AI$91:AI626,AI627,AJ$91:AJ626,AJ627))</f>
        <v>593.S</v>
      </c>
    </row>
    <row r="628" spans="1:37" ht="15" hidden="1">
      <c r="A628" s="120">
        <f>ROW()</f>
        <v>628</v>
      </c>
      <c r="B628" s="120"/>
      <c r="C628" s="1"/>
      <c r="E628" s="121" t="s">
        <v>321</v>
      </c>
      <c r="F628" s="138" t="str">
        <f>INDEX(FuncAllocOptions,ROW(A628)-ROW($A$92)+1,[4]Inputs!$S$11)</f>
        <v>DPW</v>
      </c>
      <c r="G628" s="133" t="e">
        <f>SUMIF(FERCJAMFactor,AK628,JAMValue)</f>
        <v>#VALUE!</v>
      </c>
      <c r="H628" s="139" t="e">
        <f t="shared" si="281"/>
        <v>#VALUE!</v>
      </c>
      <c r="I628" s="139" t="e">
        <f t="shared" si="281"/>
        <v>#VALUE!</v>
      </c>
      <c r="J628" s="139" t="e">
        <f t="shared" si="281"/>
        <v>#VALUE!</v>
      </c>
      <c r="K628" s="139" t="e">
        <f t="shared" si="281"/>
        <v>#VALUE!</v>
      </c>
      <c r="L628" s="139" t="e">
        <f t="shared" si="281"/>
        <v>#VALUE!</v>
      </c>
      <c r="X628" s="3" t="str">
        <f>INDEX(DistFuncAllocOptions,ROW(A628)-ROW($A$92)+1,[4]Inputs!$S$11)</f>
        <v>PC</v>
      </c>
      <c r="Y628" s="116" t="e">
        <f t="shared" si="282"/>
        <v>#VALUE!</v>
      </c>
      <c r="Z628" s="116" t="e">
        <f t="shared" si="282"/>
        <v>#VALUE!</v>
      </c>
      <c r="AA628" s="116" t="e">
        <f t="shared" si="282"/>
        <v>#VALUE!</v>
      </c>
      <c r="AB628" s="116" t="e">
        <f t="shared" si="282"/>
        <v>#VALUE!</v>
      </c>
      <c r="AC628" s="116" t="e">
        <f t="shared" si="282"/>
        <v>#VALUE!</v>
      </c>
      <c r="AD628" s="117" t="e">
        <f>ROUND(SUM(-G628,H628:L628),0)</f>
        <v>#VALUE!</v>
      </c>
      <c r="AE628" s="117" t="e">
        <f>ROUND(H628-O628-P628-Q628-R628,0)</f>
        <v>#VALUE!</v>
      </c>
      <c r="AF628" s="117" t="e">
        <f>ROUND(I628-T628-U628-V628-W628,0)</f>
        <v>#VALUE!</v>
      </c>
      <c r="AG628" s="117" t="e">
        <f>ROUND(J628-Y628-Z628-AA628-AC628-AB628,0)</f>
        <v>#VALUE!</v>
      </c>
      <c r="AH628" s="116"/>
      <c r="AI628">
        <f t="shared" si="277"/>
        <v>593</v>
      </c>
      <c r="AJ628" t="str">
        <f t="shared" si="267"/>
        <v>SNPD</v>
      </c>
      <c r="AK628" t="str">
        <f>IF(ISERROR(MATCH(AI628&amp;"."&amp;AJ628,AK$91:AK627,0)),AI628&amp;"."&amp;AJ628,AI628&amp;"."&amp;AJ628&amp;COUNTIFS(AI$91:AI627,AI628,AJ$91:AJ627,AJ628))</f>
        <v>593.SNPD</v>
      </c>
    </row>
    <row r="629" spans="1:37" ht="15" hidden="1">
      <c r="A629" s="120">
        <f>ROW()</f>
        <v>629</v>
      </c>
      <c r="B629" s="120"/>
      <c r="C629" s="1"/>
      <c r="E629" s="121"/>
      <c r="F629" s="138"/>
      <c r="G629" s="117" t="e">
        <f t="shared" ref="G629:L629" si="283">SUM(G627:G628)</f>
        <v>#VALUE!</v>
      </c>
      <c r="H629" s="116" t="e">
        <f t="shared" si="283"/>
        <v>#VALUE!</v>
      </c>
      <c r="I629" s="116" t="e">
        <f t="shared" si="283"/>
        <v>#VALUE!</v>
      </c>
      <c r="J629" s="116" t="e">
        <f t="shared" si="283"/>
        <v>#VALUE!</v>
      </c>
      <c r="K629" s="116" t="e">
        <f t="shared" si="283"/>
        <v>#VALUE!</v>
      </c>
      <c r="L629" s="116" t="e">
        <f t="shared" si="283"/>
        <v>#VALUE!</v>
      </c>
      <c r="O629" s="116">
        <f>SUM(O627:O628)</f>
        <v>0</v>
      </c>
      <c r="P629" s="116">
        <f>SUM(P627:P628)</f>
        <v>0</v>
      </c>
      <c r="Q629" s="116">
        <f>SUM(Q627:Q628)</f>
        <v>0</v>
      </c>
      <c r="R629" s="116">
        <f>SUM(R627:R628)</f>
        <v>0</v>
      </c>
      <c r="T629" s="116">
        <f>SUM(T627:T628)</f>
        <v>0</v>
      </c>
      <c r="U629" s="116">
        <f>SUM(U627:U628)</f>
        <v>0</v>
      </c>
      <c r="V629" s="116">
        <f>SUM(V627:V628)</f>
        <v>0</v>
      </c>
      <c r="W629" s="116">
        <f>SUM(W627:W628)</f>
        <v>0</v>
      </c>
      <c r="X629" s="3"/>
      <c r="Y629" s="116" t="e">
        <f>SUM(Y627:Y628)</f>
        <v>#VALUE!</v>
      </c>
      <c r="Z629" s="116" t="e">
        <f>SUM(Z627:Z628)</f>
        <v>#VALUE!</v>
      </c>
      <c r="AA629" s="116" t="e">
        <f>SUM(AA627:AA628)</f>
        <v>#VALUE!</v>
      </c>
      <c r="AB629" s="116" t="e">
        <f>SUM(AB627:AB628)</f>
        <v>#VALUE!</v>
      </c>
      <c r="AC629" s="116" t="e">
        <f>SUM(AC627:AC628)</f>
        <v>#VALUE!</v>
      </c>
      <c r="AD629" s="117" t="e">
        <f>ROUND(SUM(-G629,H629:L629),0)</f>
        <v>#VALUE!</v>
      </c>
      <c r="AE629" s="117" t="e">
        <f>ROUND(H629-O629-P629-Q629-R629,0)</f>
        <v>#VALUE!</v>
      </c>
      <c r="AF629" s="117" t="e">
        <f>ROUND(I629-T629-U629-V629-W629,0)</f>
        <v>#VALUE!</v>
      </c>
      <c r="AG629" s="117" t="e">
        <f>ROUND(J629-Y629-Z629-AA629-AC629-AB629,0)</f>
        <v>#VALUE!</v>
      </c>
      <c r="AH629" s="116"/>
      <c r="AI629">
        <f t="shared" si="277"/>
        <v>593</v>
      </c>
      <c r="AJ629" t="str">
        <f t="shared" si="267"/>
        <v>NA</v>
      </c>
      <c r="AK629" t="str">
        <f>IF(ISERROR(MATCH(AI629&amp;"."&amp;AJ629,AK$91:AK628,0)),AI629&amp;"."&amp;AJ629,AI629&amp;"."&amp;AJ629&amp;COUNTIFS(AI$91:AI628,AI629,AJ$91:AJ628,AJ629))</f>
        <v>593.NA1</v>
      </c>
    </row>
    <row r="630" spans="1:37" ht="15" hidden="1">
      <c r="A630" s="120">
        <f>ROW()</f>
        <v>630</v>
      </c>
      <c r="B630" s="120"/>
      <c r="C630" s="1"/>
      <c r="E630" s="121"/>
      <c r="F630" s="138"/>
      <c r="G630" s="119"/>
      <c r="X630" s="3"/>
      <c r="AD630" s="119"/>
      <c r="AE630" s="119"/>
      <c r="AF630" s="119"/>
      <c r="AG630" s="119"/>
      <c r="AI630">
        <f t="shared" si="277"/>
        <v>593</v>
      </c>
      <c r="AJ630" t="str">
        <f t="shared" si="267"/>
        <v>NA</v>
      </c>
      <c r="AK630" t="str">
        <f>IF(ISERROR(MATCH(AI630&amp;"."&amp;AJ630,AK$91:AK629,0)),AI630&amp;"."&amp;AJ630,AI630&amp;"."&amp;AJ630&amp;COUNTIFS(AI$91:AI629,AI630,AJ$91:AJ629,AJ630))</f>
        <v>593.NA2</v>
      </c>
    </row>
    <row r="631" spans="1:37" ht="15" hidden="1">
      <c r="A631" s="120">
        <f>ROW()</f>
        <v>631</v>
      </c>
      <c r="B631" s="120"/>
      <c r="C631" s="1">
        <v>594</v>
      </c>
      <c r="D631" s="2" t="s">
        <v>315</v>
      </c>
      <c r="E631" s="121"/>
      <c r="F631" s="138"/>
      <c r="G631" s="119"/>
      <c r="X631" s="3"/>
      <c r="AD631" s="119"/>
      <c r="AE631" s="119"/>
      <c r="AF631" s="119"/>
      <c r="AG631" s="119"/>
      <c r="AI631">
        <f t="shared" si="277"/>
        <v>594</v>
      </c>
      <c r="AJ631" t="str">
        <f t="shared" si="267"/>
        <v>NA</v>
      </c>
      <c r="AK631" t="str">
        <f>IF(ISERROR(MATCH(AI631&amp;"."&amp;AJ631,AK$91:AK630,0)),AI631&amp;"."&amp;AJ631,AI631&amp;"."&amp;AJ631&amp;COUNTIFS(AI$91:AI630,AI631,AJ$91:AJ630,AJ631))</f>
        <v>594.NA</v>
      </c>
    </row>
    <row r="632" spans="1:37" ht="15" hidden="1">
      <c r="A632" s="120">
        <f>ROW()</f>
        <v>632</v>
      </c>
      <c r="B632" s="120"/>
      <c r="C632" s="1"/>
      <c r="E632" s="121" t="s">
        <v>12</v>
      </c>
      <c r="F632" s="138" t="str">
        <f>INDEX(FuncAllocOptions,ROW(A632)-ROW($A$92)+1,[4]Inputs!$S$11)</f>
        <v>DPW</v>
      </c>
      <c r="G632" s="117" t="e">
        <f>SUMIF(FERCJAMFactor,AK632,JAMValue)</f>
        <v>#VALUE!</v>
      </c>
      <c r="H632" s="116" t="e">
        <f t="shared" ref="H632:L633" si="284">INDEX(FuncFactorTbl,MATCH($F632,FuncFactors,0),MATCH(H$8,Functions,0))*$G632</f>
        <v>#VALUE!</v>
      </c>
      <c r="I632" s="116" t="e">
        <f t="shared" si="284"/>
        <v>#VALUE!</v>
      </c>
      <c r="J632" s="116" t="e">
        <f t="shared" si="284"/>
        <v>#VALUE!</v>
      </c>
      <c r="K632" s="116" t="e">
        <f t="shared" si="284"/>
        <v>#VALUE!</v>
      </c>
      <c r="L632" s="116" t="e">
        <f t="shared" si="284"/>
        <v>#VALUE!</v>
      </c>
      <c r="X632" s="3" t="str">
        <f>INDEX(DistFuncAllocOptions,ROW(A632)-ROW($A$92)+1,[4]Inputs!$S$11)</f>
        <v>PC</v>
      </c>
      <c r="Y632" s="116" t="e">
        <f t="shared" ref="Y632:AC633" si="285">INDEX(DistFuncFactorTbl,MATCH($X632,DistFuncFactors,0),MATCH(Y$91,DistFunctions,0))*$J632</f>
        <v>#VALUE!</v>
      </c>
      <c r="Z632" s="116" t="e">
        <f t="shared" si="285"/>
        <v>#VALUE!</v>
      </c>
      <c r="AA632" s="116" t="e">
        <f t="shared" si="285"/>
        <v>#VALUE!</v>
      </c>
      <c r="AB632" s="116" t="e">
        <f t="shared" si="285"/>
        <v>#VALUE!</v>
      </c>
      <c r="AC632" s="116" t="e">
        <f t="shared" si="285"/>
        <v>#VALUE!</v>
      </c>
      <c r="AD632" s="117" t="e">
        <f>ROUND(SUM(-G632,H632:L632),0)</f>
        <v>#VALUE!</v>
      </c>
      <c r="AE632" s="117" t="e">
        <f>ROUND(H632-O632-P632-Q632-R632,0)</f>
        <v>#VALUE!</v>
      </c>
      <c r="AF632" s="117" t="e">
        <f>ROUND(I632-T632-U632-V632-W632,0)</f>
        <v>#VALUE!</v>
      </c>
      <c r="AG632" s="117" t="e">
        <f>ROUND(J632-Y632-Z632-AA632-AC632-AB632,0)</f>
        <v>#VALUE!</v>
      </c>
      <c r="AH632" s="116"/>
      <c r="AI632">
        <f t="shared" si="277"/>
        <v>594</v>
      </c>
      <c r="AJ632" t="str">
        <f t="shared" si="267"/>
        <v>S</v>
      </c>
      <c r="AK632" t="str">
        <f>IF(ISERROR(MATCH(AI632&amp;"."&amp;AJ632,AK$91:AK631,0)),AI632&amp;"."&amp;AJ632,AI632&amp;"."&amp;AJ632&amp;COUNTIFS(AI$91:AI631,AI632,AJ$91:AJ631,AJ632))</f>
        <v>594.S</v>
      </c>
    </row>
    <row r="633" spans="1:37" ht="15" hidden="1">
      <c r="A633" s="120">
        <f>ROW()</f>
        <v>633</v>
      </c>
      <c r="B633" s="120"/>
      <c r="C633" s="1"/>
      <c r="E633" s="121" t="s">
        <v>321</v>
      </c>
      <c r="F633" s="138" t="str">
        <f>INDEX(FuncAllocOptions,ROW(A633)-ROW($A$92)+1,[4]Inputs!$S$11)</f>
        <v>DPW</v>
      </c>
      <c r="G633" s="133" t="e">
        <f>SUMIF(FERCJAMFactor,AK633,JAMValue)</f>
        <v>#VALUE!</v>
      </c>
      <c r="H633" s="139" t="e">
        <f t="shared" si="284"/>
        <v>#VALUE!</v>
      </c>
      <c r="I633" s="139" t="e">
        <f t="shared" si="284"/>
        <v>#VALUE!</v>
      </c>
      <c r="J633" s="139" t="e">
        <f t="shared" si="284"/>
        <v>#VALUE!</v>
      </c>
      <c r="K633" s="139" t="e">
        <f t="shared" si="284"/>
        <v>#VALUE!</v>
      </c>
      <c r="L633" s="139" t="e">
        <f t="shared" si="284"/>
        <v>#VALUE!</v>
      </c>
      <c r="X633" s="3" t="str">
        <f>INDEX(DistFuncAllocOptions,ROW(A633)-ROW($A$92)+1,[4]Inputs!$S$11)</f>
        <v>PC</v>
      </c>
      <c r="Y633" s="116" t="e">
        <f t="shared" si="285"/>
        <v>#VALUE!</v>
      </c>
      <c r="Z633" s="116" t="e">
        <f t="shared" si="285"/>
        <v>#VALUE!</v>
      </c>
      <c r="AA633" s="116" t="e">
        <f t="shared" si="285"/>
        <v>#VALUE!</v>
      </c>
      <c r="AB633" s="116" t="e">
        <f t="shared" si="285"/>
        <v>#VALUE!</v>
      </c>
      <c r="AC633" s="116" t="e">
        <f t="shared" si="285"/>
        <v>#VALUE!</v>
      </c>
      <c r="AD633" s="117" t="e">
        <f>ROUND(SUM(-G633,H633:L633),0)</f>
        <v>#VALUE!</v>
      </c>
      <c r="AE633" s="117" t="e">
        <f>ROUND(H633-O633-P633-Q633-R633,0)</f>
        <v>#VALUE!</v>
      </c>
      <c r="AF633" s="117" t="e">
        <f>ROUND(I633-T633-U633-V633-W633,0)</f>
        <v>#VALUE!</v>
      </c>
      <c r="AG633" s="117" t="e">
        <f>ROUND(J633-Y633-Z633-AA633-AC633-AB633,0)</f>
        <v>#VALUE!</v>
      </c>
      <c r="AH633" s="116"/>
      <c r="AI633">
        <f t="shared" si="277"/>
        <v>594</v>
      </c>
      <c r="AJ633" t="str">
        <f t="shared" si="267"/>
        <v>SNPD</v>
      </c>
      <c r="AK633" t="str">
        <f>IF(ISERROR(MATCH(AI633&amp;"."&amp;AJ633,AK$91:AK632,0)),AI633&amp;"."&amp;AJ633,AI633&amp;"."&amp;AJ633&amp;COUNTIFS(AI$91:AI632,AI633,AJ$91:AJ632,AJ633))</f>
        <v>594.SNPD</v>
      </c>
    </row>
    <row r="634" spans="1:37" ht="15" hidden="1">
      <c r="A634" s="120">
        <f>ROW()</f>
        <v>634</v>
      </c>
      <c r="B634" s="120"/>
      <c r="C634" s="1"/>
      <c r="E634" s="121"/>
      <c r="F634" s="138"/>
      <c r="G634" s="117" t="e">
        <f t="shared" ref="G634:L634" si="286">SUM(G632:G633)</f>
        <v>#VALUE!</v>
      </c>
      <c r="H634" s="116" t="e">
        <f t="shared" si="286"/>
        <v>#VALUE!</v>
      </c>
      <c r="I634" s="116" t="e">
        <f t="shared" si="286"/>
        <v>#VALUE!</v>
      </c>
      <c r="J634" s="116" t="e">
        <f t="shared" si="286"/>
        <v>#VALUE!</v>
      </c>
      <c r="K634" s="116" t="e">
        <f t="shared" si="286"/>
        <v>#VALUE!</v>
      </c>
      <c r="L634" s="116" t="e">
        <f t="shared" si="286"/>
        <v>#VALUE!</v>
      </c>
      <c r="O634" s="116">
        <f>SUM(O632:O633)</f>
        <v>0</v>
      </c>
      <c r="P634" s="116">
        <f>SUM(P632:P633)</f>
        <v>0</v>
      </c>
      <c r="Q634" s="116">
        <f>SUM(Q632:Q633)</f>
        <v>0</v>
      </c>
      <c r="R634" s="116">
        <f>SUM(R632:R633)</f>
        <v>0</v>
      </c>
      <c r="T634" s="116">
        <f>SUM(T632:T633)</f>
        <v>0</v>
      </c>
      <c r="U634" s="116">
        <f>SUM(U632:U633)</f>
        <v>0</v>
      </c>
      <c r="V634" s="116">
        <f>SUM(V632:V633)</f>
        <v>0</v>
      </c>
      <c r="W634" s="116">
        <f>SUM(W632:W633)</f>
        <v>0</v>
      </c>
      <c r="X634" s="3"/>
      <c r="Y634" s="116" t="e">
        <f>SUM(Y632:Y633)</f>
        <v>#VALUE!</v>
      </c>
      <c r="Z634" s="116" t="e">
        <f>SUM(Z632:Z633)</f>
        <v>#VALUE!</v>
      </c>
      <c r="AA634" s="116" t="e">
        <f>SUM(AA632:AA633)</f>
        <v>#VALUE!</v>
      </c>
      <c r="AB634" s="116" t="e">
        <f>SUM(AB632:AB633)</f>
        <v>#VALUE!</v>
      </c>
      <c r="AC634" s="116" t="e">
        <f>SUM(AC632:AC633)</f>
        <v>#VALUE!</v>
      </c>
      <c r="AD634" s="117" t="e">
        <f>ROUND(SUM(-G634,H634:L634),0)</f>
        <v>#VALUE!</v>
      </c>
      <c r="AE634" s="117" t="e">
        <f>ROUND(H634-O634-P634-Q634-R634,0)</f>
        <v>#VALUE!</v>
      </c>
      <c r="AF634" s="117" t="e">
        <f>ROUND(I634-T634-U634-V634-W634,0)</f>
        <v>#VALUE!</v>
      </c>
      <c r="AG634" s="117" t="e">
        <f>ROUND(J634-Y634-Z634-AA634-AC634-AB634,0)</f>
        <v>#VALUE!</v>
      </c>
      <c r="AH634" s="116"/>
      <c r="AI634">
        <f t="shared" si="277"/>
        <v>594</v>
      </c>
      <c r="AJ634" t="str">
        <f t="shared" si="267"/>
        <v>NA</v>
      </c>
      <c r="AK634" t="str">
        <f>IF(ISERROR(MATCH(AI634&amp;"."&amp;AJ634,AK$91:AK633,0)),AI634&amp;"."&amp;AJ634,AI634&amp;"."&amp;AJ634&amp;COUNTIFS(AI$91:AI633,AI634,AJ$91:AJ633,AJ634))</f>
        <v>594.NA1</v>
      </c>
    </row>
    <row r="635" spans="1:37" ht="15" hidden="1">
      <c r="A635" s="120">
        <f>ROW()</f>
        <v>635</v>
      </c>
      <c r="B635" s="120"/>
      <c r="C635" s="1"/>
      <c r="E635" s="121"/>
      <c r="F635" s="138"/>
      <c r="G635" s="119"/>
      <c r="X635" s="3"/>
      <c r="AD635" s="119"/>
      <c r="AE635" s="119"/>
      <c r="AF635" s="119"/>
      <c r="AG635" s="119"/>
      <c r="AI635">
        <f t="shared" si="277"/>
        <v>594</v>
      </c>
      <c r="AJ635" t="str">
        <f t="shared" si="267"/>
        <v>NA</v>
      </c>
      <c r="AK635" t="str">
        <f>IF(ISERROR(MATCH(AI635&amp;"."&amp;AJ635,AK$91:AK634,0)),AI635&amp;"."&amp;AJ635,AI635&amp;"."&amp;AJ635&amp;COUNTIFS(AI$91:AI634,AI635,AJ$91:AJ634,AJ635))</f>
        <v>594.NA2</v>
      </c>
    </row>
    <row r="636" spans="1:37" ht="15" hidden="1">
      <c r="A636" s="120">
        <f>ROW()</f>
        <v>636</v>
      </c>
      <c r="B636" s="120"/>
      <c r="C636" s="1">
        <v>595</v>
      </c>
      <c r="D636" s="2" t="s">
        <v>327</v>
      </c>
      <c r="E636" s="121"/>
      <c r="F636" s="138"/>
      <c r="G636" s="119"/>
      <c r="X636" s="3"/>
      <c r="AD636" s="119"/>
      <c r="AE636" s="119"/>
      <c r="AF636" s="119"/>
      <c r="AG636" s="119"/>
      <c r="AI636">
        <f t="shared" si="277"/>
        <v>595</v>
      </c>
      <c r="AJ636" t="str">
        <f t="shared" si="267"/>
        <v>NA</v>
      </c>
      <c r="AK636" t="str">
        <f>IF(ISERROR(MATCH(AI636&amp;"."&amp;AJ636,AK$91:AK635,0)),AI636&amp;"."&amp;AJ636,AI636&amp;"."&amp;AJ636&amp;COUNTIFS(AI$91:AI635,AI636,AJ$91:AJ635,AJ636))</f>
        <v>595.NA</v>
      </c>
    </row>
    <row r="637" spans="1:37" ht="15" hidden="1">
      <c r="A637" s="120">
        <f>ROW()</f>
        <v>637</v>
      </c>
      <c r="B637" s="120"/>
      <c r="E637" s="121" t="s">
        <v>12</v>
      </c>
      <c r="F637" s="138" t="str">
        <f>INDEX(FuncAllocOptions,ROW(A637)-ROW($A$92)+1,[4]Inputs!$S$11)</f>
        <v>DPW</v>
      </c>
      <c r="G637" s="117" t="e">
        <f>SUMIF(FERCJAMFactor,AK637,JAMValue)</f>
        <v>#VALUE!</v>
      </c>
      <c r="H637" s="116" t="e">
        <f t="shared" ref="H637:L638" si="287">INDEX(FuncFactorTbl,MATCH($F637,FuncFactors,0),MATCH(H$8,Functions,0))*$G637</f>
        <v>#VALUE!</v>
      </c>
      <c r="I637" s="116" t="e">
        <f t="shared" si="287"/>
        <v>#VALUE!</v>
      </c>
      <c r="J637" s="116" t="e">
        <f t="shared" si="287"/>
        <v>#VALUE!</v>
      </c>
      <c r="K637" s="116" t="e">
        <f t="shared" si="287"/>
        <v>#VALUE!</v>
      </c>
      <c r="L637" s="116" t="e">
        <f t="shared" si="287"/>
        <v>#VALUE!</v>
      </c>
      <c r="X637" s="3" t="str">
        <f>INDEX(DistFuncAllocOptions,ROW(A637)-ROW($A$92)+1,[4]Inputs!$S$11)</f>
        <v>XFMR</v>
      </c>
      <c r="Y637" s="116" t="e">
        <f t="shared" ref="Y637:AC638" si="288">INDEX(DistFuncFactorTbl,MATCH($X637,DistFuncFactors,0),MATCH(Y$91,DistFunctions,0))*$J637</f>
        <v>#VALUE!</v>
      </c>
      <c r="Z637" s="116" t="e">
        <f t="shared" si="288"/>
        <v>#VALUE!</v>
      </c>
      <c r="AA637" s="116" t="e">
        <f t="shared" si="288"/>
        <v>#VALUE!</v>
      </c>
      <c r="AB637" s="116" t="e">
        <f t="shared" si="288"/>
        <v>#VALUE!</v>
      </c>
      <c r="AC637" s="116" t="e">
        <f t="shared" si="288"/>
        <v>#VALUE!</v>
      </c>
      <c r="AD637" s="117" t="e">
        <f>ROUND(SUM(-G637,H637:L637),0)</f>
        <v>#VALUE!</v>
      </c>
      <c r="AE637" s="117" t="e">
        <f>ROUND(H637-O637-P637-Q637-R637,0)</f>
        <v>#VALUE!</v>
      </c>
      <c r="AF637" s="117" t="e">
        <f>ROUND(I637-T637-U637-V637-W637,0)</f>
        <v>#VALUE!</v>
      </c>
      <c r="AG637" s="117" t="e">
        <f>ROUND(J637-Y637-Z637-AA637-AC637-AB637,0)</f>
        <v>#VALUE!</v>
      </c>
      <c r="AH637" s="116"/>
      <c r="AI637">
        <f t="shared" si="277"/>
        <v>595</v>
      </c>
      <c r="AJ637" t="str">
        <f t="shared" si="267"/>
        <v>S</v>
      </c>
      <c r="AK637" t="str">
        <f>IF(ISERROR(MATCH(AI637&amp;"."&amp;AJ637,AK$91:AK636,0)),AI637&amp;"."&amp;AJ637,AI637&amp;"."&amp;AJ637&amp;COUNTIFS(AI$91:AI636,AI637,AJ$91:AJ636,AJ637))</f>
        <v>595.S</v>
      </c>
    </row>
    <row r="638" spans="1:37" ht="15" hidden="1">
      <c r="A638" s="120">
        <f>ROW()</f>
        <v>638</v>
      </c>
      <c r="B638" s="120"/>
      <c r="E638" s="121" t="s">
        <v>321</v>
      </c>
      <c r="F638" s="138" t="str">
        <f>INDEX(FuncAllocOptions,ROW(A638)-ROW($A$92)+1,[4]Inputs!$S$11)</f>
        <v>DPW</v>
      </c>
      <c r="G638" s="133" t="e">
        <f>SUMIF(FERCJAMFactor,AK638,JAMValue)</f>
        <v>#VALUE!</v>
      </c>
      <c r="H638" s="139" t="e">
        <f t="shared" si="287"/>
        <v>#VALUE!</v>
      </c>
      <c r="I638" s="139" t="e">
        <f t="shared" si="287"/>
        <v>#VALUE!</v>
      </c>
      <c r="J638" s="139" t="e">
        <f t="shared" si="287"/>
        <v>#VALUE!</v>
      </c>
      <c r="K638" s="139" t="e">
        <f t="shared" si="287"/>
        <v>#VALUE!</v>
      </c>
      <c r="L638" s="139" t="e">
        <f t="shared" si="287"/>
        <v>#VALUE!</v>
      </c>
      <c r="X638" s="3" t="str">
        <f>INDEX(DistFuncAllocOptions,ROW(A638)-ROW($A$92)+1,[4]Inputs!$S$11)</f>
        <v>XFMR</v>
      </c>
      <c r="Y638" s="116" t="e">
        <f t="shared" si="288"/>
        <v>#VALUE!</v>
      </c>
      <c r="Z638" s="116" t="e">
        <f t="shared" si="288"/>
        <v>#VALUE!</v>
      </c>
      <c r="AA638" s="116" t="e">
        <f t="shared" si="288"/>
        <v>#VALUE!</v>
      </c>
      <c r="AB638" s="116" t="e">
        <f t="shared" si="288"/>
        <v>#VALUE!</v>
      </c>
      <c r="AC638" s="116" t="e">
        <f t="shared" si="288"/>
        <v>#VALUE!</v>
      </c>
      <c r="AD638" s="117" t="e">
        <f>ROUND(SUM(-G638,H638:L638),0)</f>
        <v>#VALUE!</v>
      </c>
      <c r="AE638" s="117" t="e">
        <f>ROUND(H638-O638-P638-Q638-R638,0)</f>
        <v>#VALUE!</v>
      </c>
      <c r="AF638" s="117" t="e">
        <f>ROUND(I638-T638-U638-V638-W638,0)</f>
        <v>#VALUE!</v>
      </c>
      <c r="AG638" s="117" t="e">
        <f>ROUND(J638-Y638-Z638-AA638-AC638-AB638,0)</f>
        <v>#VALUE!</v>
      </c>
      <c r="AH638" s="116"/>
      <c r="AI638">
        <f t="shared" si="277"/>
        <v>595</v>
      </c>
      <c r="AJ638" t="str">
        <f t="shared" si="267"/>
        <v>SNPD</v>
      </c>
      <c r="AK638" t="str">
        <f>IF(ISERROR(MATCH(AI638&amp;"."&amp;AJ638,AK$91:AK637,0)),AI638&amp;"."&amp;AJ638,AI638&amp;"."&amp;AJ638&amp;COUNTIFS(AI$91:AI637,AI638,AJ$91:AJ637,AJ638))</f>
        <v>595.SNPD</v>
      </c>
    </row>
    <row r="639" spans="1:37" ht="15" hidden="1">
      <c r="A639" s="120">
        <f>ROW()</f>
        <v>639</v>
      </c>
      <c r="B639" s="120"/>
      <c r="E639" s="121"/>
      <c r="F639" s="138"/>
      <c r="G639" s="117" t="e">
        <f t="shared" ref="G639:L639" si="289">SUM(G637:G638)</f>
        <v>#VALUE!</v>
      </c>
      <c r="H639" s="116" t="e">
        <f t="shared" si="289"/>
        <v>#VALUE!</v>
      </c>
      <c r="I639" s="116" t="e">
        <f t="shared" si="289"/>
        <v>#VALUE!</v>
      </c>
      <c r="J639" s="116" t="e">
        <f t="shared" si="289"/>
        <v>#VALUE!</v>
      </c>
      <c r="K639" s="116" t="e">
        <f t="shared" si="289"/>
        <v>#VALUE!</v>
      </c>
      <c r="L639" s="116" t="e">
        <f t="shared" si="289"/>
        <v>#VALUE!</v>
      </c>
      <c r="O639" s="116">
        <f>SUM(O637:O638)</f>
        <v>0</v>
      </c>
      <c r="P639" s="116">
        <f>SUM(P637:P638)</f>
        <v>0</v>
      </c>
      <c r="Q639" s="116">
        <f>SUM(Q637:Q638)</f>
        <v>0</v>
      </c>
      <c r="R639" s="116">
        <f>SUM(R637:R638)</f>
        <v>0</v>
      </c>
      <c r="T639" s="116">
        <f>SUM(T637:T638)</f>
        <v>0</v>
      </c>
      <c r="U639" s="116">
        <f>SUM(U637:U638)</f>
        <v>0</v>
      </c>
      <c r="V639" s="116">
        <f>SUM(V637:V638)</f>
        <v>0</v>
      </c>
      <c r="W639" s="116">
        <f>SUM(W637:W638)</f>
        <v>0</v>
      </c>
      <c r="X639" s="3"/>
      <c r="Y639" s="116" t="e">
        <f>SUM(Y637:Y638)</f>
        <v>#VALUE!</v>
      </c>
      <c r="Z639" s="116" t="e">
        <f>SUM(Z637:Z638)</f>
        <v>#VALUE!</v>
      </c>
      <c r="AA639" s="116" t="e">
        <f>SUM(AA637:AA638)</f>
        <v>#VALUE!</v>
      </c>
      <c r="AB639" s="116" t="e">
        <f>SUM(AB637:AB638)</f>
        <v>#VALUE!</v>
      </c>
      <c r="AC639" s="116" t="e">
        <f>SUM(AC637:AC638)</f>
        <v>#VALUE!</v>
      </c>
      <c r="AD639" s="117" t="e">
        <f>ROUND(SUM(-G639,H639:L639),0)</f>
        <v>#VALUE!</v>
      </c>
      <c r="AE639" s="117" t="e">
        <f>ROUND(H639-O639-P639-Q639-R639,0)</f>
        <v>#VALUE!</v>
      </c>
      <c r="AF639" s="117" t="e">
        <f>ROUND(I639-T639-U639-V639-W639,0)</f>
        <v>#VALUE!</v>
      </c>
      <c r="AG639" s="117" t="e">
        <f>ROUND(J639-Y639-Z639-AA639-AC639-AB639,0)</f>
        <v>#VALUE!</v>
      </c>
      <c r="AH639" s="116"/>
      <c r="AI639">
        <f t="shared" si="277"/>
        <v>595</v>
      </c>
      <c r="AJ639" t="str">
        <f t="shared" si="267"/>
        <v>NA</v>
      </c>
      <c r="AK639" t="str">
        <f>IF(ISERROR(MATCH(AI639&amp;"."&amp;AJ639,AK$91:AK638,0)),AI639&amp;"."&amp;AJ639,AI639&amp;"."&amp;AJ639&amp;COUNTIFS(AI$91:AI638,AI639,AJ$91:AJ638,AJ639))</f>
        <v>595.NA1</v>
      </c>
    </row>
    <row r="640" spans="1:37" ht="15" hidden="1">
      <c r="A640" s="120">
        <f>ROW()</f>
        <v>640</v>
      </c>
      <c r="B640" s="120"/>
      <c r="E640" s="121"/>
      <c r="F640" s="138"/>
      <c r="G640" s="119"/>
      <c r="X640" s="3"/>
      <c r="AD640" s="119"/>
      <c r="AE640" s="119"/>
      <c r="AF640" s="119"/>
      <c r="AG640" s="119"/>
      <c r="AI640">
        <f t="shared" si="277"/>
        <v>595</v>
      </c>
      <c r="AJ640" t="str">
        <f t="shared" si="267"/>
        <v>NA</v>
      </c>
      <c r="AK640" t="str">
        <f>IF(ISERROR(MATCH(AI640&amp;"."&amp;AJ640,AK$91:AK639,0)),AI640&amp;"."&amp;AJ640,AI640&amp;"."&amp;AJ640&amp;COUNTIFS(AI$91:AI639,AI640,AJ$91:AJ639,AJ640))</f>
        <v>595.NA2</v>
      </c>
    </row>
    <row r="641" spans="1:37" ht="15" hidden="1">
      <c r="A641" s="120">
        <f>ROW()</f>
        <v>641</v>
      </c>
      <c r="B641" s="120"/>
      <c r="C641" s="1">
        <v>596</v>
      </c>
      <c r="D641" s="2" t="s">
        <v>328</v>
      </c>
      <c r="E641" s="121"/>
      <c r="F641" s="138"/>
      <c r="G641" s="119"/>
      <c r="X641" s="3"/>
      <c r="AD641" s="119"/>
      <c r="AE641" s="119"/>
      <c r="AF641" s="119"/>
      <c r="AG641" s="119"/>
      <c r="AI641">
        <f t="shared" si="277"/>
        <v>596</v>
      </c>
      <c r="AJ641" t="str">
        <f t="shared" si="267"/>
        <v>NA</v>
      </c>
      <c r="AK641" t="str">
        <f>IF(ISERROR(MATCH(AI641&amp;"."&amp;AJ641,AK$91:AK640,0)),AI641&amp;"."&amp;AJ641,AI641&amp;"."&amp;AJ641&amp;COUNTIFS(AI$91:AI640,AI641,AJ$91:AJ640,AJ641))</f>
        <v>596.NA</v>
      </c>
    </row>
    <row r="642" spans="1:37" ht="15" hidden="1">
      <c r="A642" s="120">
        <f>ROW()</f>
        <v>642</v>
      </c>
      <c r="B642" s="120"/>
      <c r="C642" s="1"/>
      <c r="E642" s="121" t="s">
        <v>12</v>
      </c>
      <c r="F642" s="138" t="str">
        <f>INDEX(FuncAllocOptions,ROW(A642)-ROW($A$92)+1,[4]Inputs!$S$11)</f>
        <v>DPW</v>
      </c>
      <c r="G642" s="117" t="e">
        <f>SUMIF(FERCJAMFactor,AK642,JAMValue)</f>
        <v>#VALUE!</v>
      </c>
      <c r="H642" s="116" t="e">
        <f t="shared" ref="H642:L643" si="290">INDEX(FuncFactorTbl,MATCH($F642,FuncFactors,0),MATCH(H$8,Functions,0))*$G642</f>
        <v>#VALUE!</v>
      </c>
      <c r="I642" s="116" t="e">
        <f t="shared" si="290"/>
        <v>#VALUE!</v>
      </c>
      <c r="J642" s="116" t="e">
        <f t="shared" si="290"/>
        <v>#VALUE!</v>
      </c>
      <c r="K642" s="116" t="e">
        <f t="shared" si="290"/>
        <v>#VALUE!</v>
      </c>
      <c r="L642" s="116" t="e">
        <f t="shared" si="290"/>
        <v>#VALUE!</v>
      </c>
      <c r="X642" s="3" t="str">
        <f>INDEX(DistFuncAllocOptions,ROW(A642)-ROW($A$92)+1,[4]Inputs!$S$11)</f>
        <v>PC</v>
      </c>
      <c r="Y642" s="116" t="e">
        <f t="shared" ref="Y642:AC643" si="291">INDEX(DistFuncFactorTbl,MATCH($X642,DistFuncFactors,0),MATCH(Y$91,DistFunctions,0))*$J642</f>
        <v>#VALUE!</v>
      </c>
      <c r="Z642" s="116" t="e">
        <f t="shared" si="291"/>
        <v>#VALUE!</v>
      </c>
      <c r="AA642" s="116" t="e">
        <f t="shared" si="291"/>
        <v>#VALUE!</v>
      </c>
      <c r="AB642" s="116" t="e">
        <f t="shared" si="291"/>
        <v>#VALUE!</v>
      </c>
      <c r="AC642" s="116" t="e">
        <f t="shared" si="291"/>
        <v>#VALUE!</v>
      </c>
      <c r="AD642" s="117" t="e">
        <f>ROUND(SUM(-G642,H642:L642),0)</f>
        <v>#VALUE!</v>
      </c>
      <c r="AE642" s="117" t="e">
        <f>ROUND(H642-O642-P642-Q642-R642,0)</f>
        <v>#VALUE!</v>
      </c>
      <c r="AF642" s="117" t="e">
        <f>ROUND(I642-T642-U642-V642-W642,0)</f>
        <v>#VALUE!</v>
      </c>
      <c r="AG642" s="117" t="e">
        <f>ROUND(J642-Y642-Z642-AA642-AC642-AB642,0)</f>
        <v>#VALUE!</v>
      </c>
      <c r="AH642" s="116"/>
      <c r="AI642">
        <f t="shared" si="277"/>
        <v>596</v>
      </c>
      <c r="AJ642" t="str">
        <f t="shared" si="267"/>
        <v>S</v>
      </c>
      <c r="AK642" t="str">
        <f>IF(ISERROR(MATCH(AI642&amp;"."&amp;AJ642,AK$91:AK641,0)),AI642&amp;"."&amp;AJ642,AI642&amp;"."&amp;AJ642&amp;COUNTIFS(AI$91:AI641,AI642,AJ$91:AJ641,AJ642))</f>
        <v>596.S</v>
      </c>
    </row>
    <row r="643" spans="1:37" ht="15" hidden="1">
      <c r="A643" s="120">
        <f>ROW()</f>
        <v>643</v>
      </c>
      <c r="B643" s="120"/>
      <c r="C643" s="1"/>
      <c r="E643" s="121" t="s">
        <v>321</v>
      </c>
      <c r="F643" s="138" t="str">
        <f>INDEX(FuncAllocOptions,ROW(A643)-ROW($A$92)+1,[4]Inputs!$S$11)</f>
        <v>DPW</v>
      </c>
      <c r="G643" s="133" t="e">
        <f>SUMIF(FERCJAMFactor,AK643,JAMValue)</f>
        <v>#VALUE!</v>
      </c>
      <c r="H643" s="139" t="e">
        <f t="shared" si="290"/>
        <v>#VALUE!</v>
      </c>
      <c r="I643" s="139" t="e">
        <f t="shared" si="290"/>
        <v>#VALUE!</v>
      </c>
      <c r="J643" s="139" t="e">
        <f t="shared" si="290"/>
        <v>#VALUE!</v>
      </c>
      <c r="K643" s="139" t="e">
        <f t="shared" si="290"/>
        <v>#VALUE!</v>
      </c>
      <c r="L643" s="139" t="e">
        <f t="shared" si="290"/>
        <v>#VALUE!</v>
      </c>
      <c r="X643" s="3" t="str">
        <f>INDEX(DistFuncAllocOptions,ROW(A643)-ROW($A$92)+1,[4]Inputs!$S$11)</f>
        <v>PC</v>
      </c>
      <c r="Y643" s="116" t="e">
        <f t="shared" si="291"/>
        <v>#VALUE!</v>
      </c>
      <c r="Z643" s="116" t="e">
        <f t="shared" si="291"/>
        <v>#VALUE!</v>
      </c>
      <c r="AA643" s="116" t="e">
        <f t="shared" si="291"/>
        <v>#VALUE!</v>
      </c>
      <c r="AB643" s="116" t="e">
        <f t="shared" si="291"/>
        <v>#VALUE!</v>
      </c>
      <c r="AC643" s="116" t="e">
        <f t="shared" si="291"/>
        <v>#VALUE!</v>
      </c>
      <c r="AD643" s="117" t="e">
        <f>ROUND(SUM(-G643,H643:L643),0)</f>
        <v>#VALUE!</v>
      </c>
      <c r="AE643" s="117" t="e">
        <f>ROUND(H643-O643-P643-Q643-R643,0)</f>
        <v>#VALUE!</v>
      </c>
      <c r="AF643" s="117" t="e">
        <f>ROUND(I643-T643-U643-V643-W643,0)</f>
        <v>#VALUE!</v>
      </c>
      <c r="AG643" s="117" t="e">
        <f>ROUND(J643-Y643-Z643-AA643-AC643-AB643,0)</f>
        <v>#VALUE!</v>
      </c>
      <c r="AH643" s="116"/>
      <c r="AI643">
        <f t="shared" si="277"/>
        <v>596</v>
      </c>
      <c r="AJ643" t="str">
        <f t="shared" si="267"/>
        <v>SNPD</v>
      </c>
      <c r="AK643" t="str">
        <f>IF(ISERROR(MATCH(AI643&amp;"."&amp;AJ643,AK$91:AK642,0)),AI643&amp;"."&amp;AJ643,AI643&amp;"."&amp;AJ643&amp;COUNTIFS(AI$91:AI642,AI643,AJ$91:AJ642,AJ643))</f>
        <v>596.SNPD</v>
      </c>
    </row>
    <row r="644" spans="1:37" ht="15" hidden="1">
      <c r="A644" s="120">
        <f>ROW()</f>
        <v>644</v>
      </c>
      <c r="B644" s="120"/>
      <c r="C644" s="1"/>
      <c r="E644" s="121"/>
      <c r="F644" s="138"/>
      <c r="G644" s="117" t="e">
        <f t="shared" ref="G644:L644" si="292">SUM(G642:G643)</f>
        <v>#VALUE!</v>
      </c>
      <c r="H644" s="116" t="e">
        <f t="shared" si="292"/>
        <v>#VALUE!</v>
      </c>
      <c r="I644" s="116" t="e">
        <f t="shared" si="292"/>
        <v>#VALUE!</v>
      </c>
      <c r="J644" s="116" t="e">
        <f t="shared" si="292"/>
        <v>#VALUE!</v>
      </c>
      <c r="K644" s="116" t="e">
        <f t="shared" si="292"/>
        <v>#VALUE!</v>
      </c>
      <c r="L644" s="116" t="e">
        <f t="shared" si="292"/>
        <v>#VALUE!</v>
      </c>
      <c r="O644" s="116">
        <f>SUM(O642:O643)</f>
        <v>0</v>
      </c>
      <c r="P644" s="116">
        <f>SUM(P642:P643)</f>
        <v>0</v>
      </c>
      <c r="Q644" s="116">
        <f>SUM(Q642:Q643)</f>
        <v>0</v>
      </c>
      <c r="R644" s="116">
        <f>SUM(R642:R643)</f>
        <v>0</v>
      </c>
      <c r="T644" s="116">
        <f>SUM(T642:T643)</f>
        <v>0</v>
      </c>
      <c r="U644" s="116">
        <f>SUM(U642:U643)</f>
        <v>0</v>
      </c>
      <c r="V644" s="116">
        <f>SUM(V642:V643)</f>
        <v>0</v>
      </c>
      <c r="W644" s="116">
        <f>SUM(W642:W643)</f>
        <v>0</v>
      </c>
      <c r="X644" s="3"/>
      <c r="Y644" s="116" t="e">
        <f>SUM(Y642:Y643)</f>
        <v>#VALUE!</v>
      </c>
      <c r="Z644" s="116" t="e">
        <f>SUM(Z642:Z643)</f>
        <v>#VALUE!</v>
      </c>
      <c r="AA644" s="116" t="e">
        <f>SUM(AA642:AA643)</f>
        <v>#VALUE!</v>
      </c>
      <c r="AB644" s="116" t="e">
        <f>SUM(AB642:AB643)</f>
        <v>#VALUE!</v>
      </c>
      <c r="AC644" s="116" t="e">
        <f>SUM(AC642:AC643)</f>
        <v>#VALUE!</v>
      </c>
      <c r="AD644" s="117" t="e">
        <f>ROUND(SUM(-G644,H644:L644),0)</f>
        <v>#VALUE!</v>
      </c>
      <c r="AE644" s="117" t="e">
        <f>ROUND(H644-O644-P644-Q644-R644,0)</f>
        <v>#VALUE!</v>
      </c>
      <c r="AF644" s="117" t="e">
        <f>ROUND(I644-T644-U644-V644-W644,0)</f>
        <v>#VALUE!</v>
      </c>
      <c r="AG644" s="117" t="e">
        <f>ROUND(J644-Y644-Z644-AA644-AC644-AB644,0)</f>
        <v>#VALUE!</v>
      </c>
      <c r="AH644" s="116"/>
      <c r="AI644">
        <f t="shared" si="277"/>
        <v>596</v>
      </c>
      <c r="AJ644" t="str">
        <f t="shared" si="267"/>
        <v>NA</v>
      </c>
      <c r="AK644" t="str">
        <f>IF(ISERROR(MATCH(AI644&amp;"."&amp;AJ644,AK$91:AK643,0)),AI644&amp;"."&amp;AJ644,AI644&amp;"."&amp;AJ644&amp;COUNTIFS(AI$91:AI643,AI644,AJ$91:AJ643,AJ644))</f>
        <v>596.NA1</v>
      </c>
    </row>
    <row r="645" spans="1:37" ht="15" hidden="1">
      <c r="A645" s="120">
        <f>ROW()</f>
        <v>645</v>
      </c>
      <c r="B645" s="120"/>
      <c r="C645" s="1"/>
      <c r="E645" s="121"/>
      <c r="F645" s="138"/>
      <c r="G645" s="119"/>
      <c r="X645" s="3"/>
      <c r="AD645" s="119"/>
      <c r="AE645" s="119"/>
      <c r="AF645" s="119"/>
      <c r="AG645" s="119"/>
      <c r="AI645">
        <f t="shared" si="277"/>
        <v>596</v>
      </c>
      <c r="AJ645" t="str">
        <f t="shared" si="267"/>
        <v>NA</v>
      </c>
      <c r="AK645" t="str">
        <f>IF(ISERROR(MATCH(AI645&amp;"."&amp;AJ645,AK$91:AK644,0)),AI645&amp;"."&amp;AJ645,AI645&amp;"."&amp;AJ645&amp;COUNTIFS(AI$91:AI644,AI645,AJ$91:AJ644,AJ645))</f>
        <v>596.NA2</v>
      </c>
    </row>
    <row r="646" spans="1:37" ht="15" hidden="1">
      <c r="A646" s="120">
        <f>ROW()</f>
        <v>646</v>
      </c>
      <c r="B646" s="120"/>
      <c r="C646" s="1">
        <v>597</v>
      </c>
      <c r="D646" s="2" t="s">
        <v>329</v>
      </c>
      <c r="E646" s="121"/>
      <c r="F646" s="138"/>
      <c r="G646" s="119"/>
      <c r="X646" s="3"/>
      <c r="AD646" s="119"/>
      <c r="AE646" s="119"/>
      <c r="AF646" s="119"/>
      <c r="AG646" s="119"/>
      <c r="AI646">
        <f t="shared" si="277"/>
        <v>597</v>
      </c>
      <c r="AJ646" t="str">
        <f t="shared" si="267"/>
        <v>NA</v>
      </c>
      <c r="AK646" t="str">
        <f>IF(ISERROR(MATCH(AI646&amp;"."&amp;AJ646,AK$91:AK645,0)),AI646&amp;"."&amp;AJ646,AI646&amp;"."&amp;AJ646&amp;COUNTIFS(AI$91:AI645,AI646,AJ$91:AJ645,AJ646))</f>
        <v>597.NA</v>
      </c>
    </row>
    <row r="647" spans="1:37" ht="15" hidden="1">
      <c r="A647" s="120">
        <f>ROW()</f>
        <v>647</v>
      </c>
      <c r="B647" s="120"/>
      <c r="C647" s="1"/>
      <c r="E647" s="121" t="s">
        <v>12</v>
      </c>
      <c r="F647" s="138" t="str">
        <f>INDEX(FuncAllocOptions,ROW(A647)-ROW($A$92)+1,[4]Inputs!$S$11)</f>
        <v>DPW</v>
      </c>
      <c r="G647" s="117" t="e">
        <f>SUMIF(FERCJAMFactor,AK647,JAMValue)</f>
        <v>#VALUE!</v>
      </c>
      <c r="H647" s="116" t="e">
        <f t="shared" ref="H647:L648" si="293">INDEX(FuncFactorTbl,MATCH($F647,FuncFactors,0),MATCH(H$8,Functions,0))*$G647</f>
        <v>#VALUE!</v>
      </c>
      <c r="I647" s="116" t="e">
        <f t="shared" si="293"/>
        <v>#VALUE!</v>
      </c>
      <c r="J647" s="116" t="e">
        <f t="shared" si="293"/>
        <v>#VALUE!</v>
      </c>
      <c r="K647" s="116" t="e">
        <f t="shared" si="293"/>
        <v>#VALUE!</v>
      </c>
      <c r="L647" s="116" t="e">
        <f t="shared" si="293"/>
        <v>#VALUE!</v>
      </c>
      <c r="X647" s="3" t="str">
        <f>INDEX(DistFuncAllocOptions,ROW(A647)-ROW($A$92)+1,[4]Inputs!$S$11)</f>
        <v>METR</v>
      </c>
      <c r="Y647" s="116" t="e">
        <f t="shared" ref="Y647:AC648" si="294">INDEX(DistFuncFactorTbl,MATCH($X647,DistFuncFactors,0),MATCH(Y$91,DistFunctions,0))*$J647</f>
        <v>#VALUE!</v>
      </c>
      <c r="Z647" s="116" t="e">
        <f t="shared" si="294"/>
        <v>#VALUE!</v>
      </c>
      <c r="AA647" s="116" t="e">
        <f t="shared" si="294"/>
        <v>#VALUE!</v>
      </c>
      <c r="AB647" s="116" t="e">
        <f t="shared" si="294"/>
        <v>#VALUE!</v>
      </c>
      <c r="AC647" s="116" t="e">
        <f t="shared" si="294"/>
        <v>#VALUE!</v>
      </c>
      <c r="AD647" s="117" t="e">
        <f>ROUND(SUM(-G647,H647:L647),0)</f>
        <v>#VALUE!</v>
      </c>
      <c r="AE647" s="117" t="e">
        <f>ROUND(H647-O647-P647-Q647-R647,0)</f>
        <v>#VALUE!</v>
      </c>
      <c r="AF647" s="117" t="e">
        <f>ROUND(I647-T647-U647-V647-W647,0)</f>
        <v>#VALUE!</v>
      </c>
      <c r="AG647" s="117" t="e">
        <f>ROUND(J647-Y647-Z647-AA647-AC647-AB647,0)</f>
        <v>#VALUE!</v>
      </c>
      <c r="AH647" s="116"/>
      <c r="AI647">
        <f t="shared" si="277"/>
        <v>597</v>
      </c>
      <c r="AJ647" t="str">
        <f t="shared" si="267"/>
        <v>S</v>
      </c>
      <c r="AK647" t="str">
        <f>IF(ISERROR(MATCH(AI647&amp;"."&amp;AJ647,AK$91:AK646,0)),AI647&amp;"."&amp;AJ647,AI647&amp;"."&amp;AJ647&amp;COUNTIFS(AI$91:AI646,AI647,AJ$91:AJ646,AJ647))</f>
        <v>597.S</v>
      </c>
    </row>
    <row r="648" spans="1:37" ht="15" hidden="1">
      <c r="A648" s="120">
        <f>ROW()</f>
        <v>648</v>
      </c>
      <c r="B648" s="120"/>
      <c r="C648" s="1"/>
      <c r="E648" s="121" t="s">
        <v>321</v>
      </c>
      <c r="F648" s="138" t="str">
        <f>INDEX(FuncAllocOptions,ROW(A648)-ROW($A$92)+1,[4]Inputs!$S$11)</f>
        <v>DPW</v>
      </c>
      <c r="G648" s="133" t="e">
        <f>SUMIF(FERCJAMFactor,AK648,JAMValue)</f>
        <v>#VALUE!</v>
      </c>
      <c r="H648" s="139" t="e">
        <f t="shared" si="293"/>
        <v>#VALUE!</v>
      </c>
      <c r="I648" s="139" t="e">
        <f t="shared" si="293"/>
        <v>#VALUE!</v>
      </c>
      <c r="J648" s="139" t="e">
        <f t="shared" si="293"/>
        <v>#VALUE!</v>
      </c>
      <c r="K648" s="139" t="e">
        <f t="shared" si="293"/>
        <v>#VALUE!</v>
      </c>
      <c r="L648" s="139" t="e">
        <f t="shared" si="293"/>
        <v>#VALUE!</v>
      </c>
      <c r="X648" s="3" t="str">
        <f>INDEX(DistFuncAllocOptions,ROW(A648)-ROW($A$92)+1,[4]Inputs!$S$11)</f>
        <v>METR</v>
      </c>
      <c r="Y648" s="116" t="e">
        <f t="shared" si="294"/>
        <v>#VALUE!</v>
      </c>
      <c r="Z648" s="116" t="e">
        <f t="shared" si="294"/>
        <v>#VALUE!</v>
      </c>
      <c r="AA648" s="116" t="e">
        <f t="shared" si="294"/>
        <v>#VALUE!</v>
      </c>
      <c r="AB648" s="116" t="e">
        <f t="shared" si="294"/>
        <v>#VALUE!</v>
      </c>
      <c r="AC648" s="116" t="e">
        <f t="shared" si="294"/>
        <v>#VALUE!</v>
      </c>
      <c r="AD648" s="117" t="e">
        <f>ROUND(SUM(-G648,H648:L648),0)</f>
        <v>#VALUE!</v>
      </c>
      <c r="AE648" s="117" t="e">
        <f>ROUND(H648-O648-P648-Q648-R648,0)</f>
        <v>#VALUE!</v>
      </c>
      <c r="AF648" s="117" t="e">
        <f>ROUND(I648-T648-U648-V648-W648,0)</f>
        <v>#VALUE!</v>
      </c>
      <c r="AG648" s="117" t="e">
        <f>ROUND(J648-Y648-Z648-AA648-AC648-AB648,0)</f>
        <v>#VALUE!</v>
      </c>
      <c r="AH648" s="116"/>
      <c r="AI648">
        <f t="shared" si="277"/>
        <v>597</v>
      </c>
      <c r="AJ648" t="str">
        <f t="shared" si="267"/>
        <v>SNPD</v>
      </c>
      <c r="AK648" t="str">
        <f>IF(ISERROR(MATCH(AI648&amp;"."&amp;AJ648,AK$91:AK647,0)),AI648&amp;"."&amp;AJ648,AI648&amp;"."&amp;AJ648&amp;COUNTIFS(AI$91:AI647,AI648,AJ$91:AJ647,AJ648))</f>
        <v>597.SNPD</v>
      </c>
    </row>
    <row r="649" spans="1:37" ht="15" hidden="1">
      <c r="A649" s="120">
        <f>ROW()</f>
        <v>649</v>
      </c>
      <c r="B649" s="120"/>
      <c r="C649" s="1"/>
      <c r="E649" s="121"/>
      <c r="F649" s="138"/>
      <c r="G649" s="117" t="e">
        <f t="shared" ref="G649:L649" si="295">SUM(G647:G648)</f>
        <v>#VALUE!</v>
      </c>
      <c r="H649" s="116" t="e">
        <f t="shared" si="295"/>
        <v>#VALUE!</v>
      </c>
      <c r="I649" s="116" t="e">
        <f t="shared" si="295"/>
        <v>#VALUE!</v>
      </c>
      <c r="J649" s="116" t="e">
        <f t="shared" si="295"/>
        <v>#VALUE!</v>
      </c>
      <c r="K649" s="116" t="e">
        <f t="shared" si="295"/>
        <v>#VALUE!</v>
      </c>
      <c r="L649" s="116" t="e">
        <f t="shared" si="295"/>
        <v>#VALUE!</v>
      </c>
      <c r="O649" s="116">
        <f>SUM(O647:O648)</f>
        <v>0</v>
      </c>
      <c r="P649" s="116">
        <f>SUM(P647:P648)</f>
        <v>0</v>
      </c>
      <c r="Q649" s="116">
        <f>SUM(Q647:Q648)</f>
        <v>0</v>
      </c>
      <c r="R649" s="116">
        <f>SUM(R647:R648)</f>
        <v>0</v>
      </c>
      <c r="T649" s="116">
        <f>SUM(T647:T648)</f>
        <v>0</v>
      </c>
      <c r="U649" s="116">
        <f>SUM(U647:U648)</f>
        <v>0</v>
      </c>
      <c r="V649" s="116">
        <f>SUM(V647:V648)</f>
        <v>0</v>
      </c>
      <c r="W649" s="116">
        <f>SUM(W647:W648)</f>
        <v>0</v>
      </c>
      <c r="X649" s="3"/>
      <c r="Y649" s="116" t="e">
        <f>SUM(Y647:Y648)</f>
        <v>#VALUE!</v>
      </c>
      <c r="Z649" s="116" t="e">
        <f>SUM(Z647:Z648)</f>
        <v>#VALUE!</v>
      </c>
      <c r="AA649" s="116" t="e">
        <f>SUM(AA647:AA648)</f>
        <v>#VALUE!</v>
      </c>
      <c r="AB649" s="116" t="e">
        <f>SUM(AB647:AB648)</f>
        <v>#VALUE!</v>
      </c>
      <c r="AC649" s="116" t="e">
        <f>SUM(AC647:AC648)</f>
        <v>#VALUE!</v>
      </c>
      <c r="AD649" s="117" t="e">
        <f>ROUND(SUM(-G649,H649:L649),0)</f>
        <v>#VALUE!</v>
      </c>
      <c r="AE649" s="117" t="e">
        <f>ROUND(H649-O649-P649-Q649-R649,0)</f>
        <v>#VALUE!</v>
      </c>
      <c r="AF649" s="117" t="e">
        <f>ROUND(I649-T649-U649-V649-W649,0)</f>
        <v>#VALUE!</v>
      </c>
      <c r="AG649" s="117" t="e">
        <f>ROUND(J649-Y649-Z649-AA649-AC649-AB649,0)</f>
        <v>#VALUE!</v>
      </c>
      <c r="AH649" s="116"/>
      <c r="AI649">
        <f t="shared" si="277"/>
        <v>597</v>
      </c>
      <c r="AJ649" t="str">
        <f t="shared" si="267"/>
        <v>NA</v>
      </c>
      <c r="AK649" t="str">
        <f>IF(ISERROR(MATCH(AI649&amp;"."&amp;AJ649,AK$91:AK648,0)),AI649&amp;"."&amp;AJ649,AI649&amp;"."&amp;AJ649&amp;COUNTIFS(AI$91:AI648,AI649,AJ$91:AJ648,AJ649))</f>
        <v>597.NA1</v>
      </c>
    </row>
    <row r="650" spans="1:37" ht="15" hidden="1">
      <c r="A650" s="120">
        <f>ROW()</f>
        <v>650</v>
      </c>
      <c r="B650" s="120"/>
      <c r="C650" s="1"/>
      <c r="E650" s="121"/>
      <c r="F650" s="138"/>
      <c r="G650" s="119"/>
      <c r="X650" s="3"/>
      <c r="AD650" s="119"/>
      <c r="AE650" s="119"/>
      <c r="AF650" s="119"/>
      <c r="AG650" s="119"/>
      <c r="AI650">
        <f t="shared" si="277"/>
        <v>597</v>
      </c>
      <c r="AJ650" t="str">
        <f t="shared" si="267"/>
        <v>NA</v>
      </c>
      <c r="AK650" t="str">
        <f>IF(ISERROR(MATCH(AI650&amp;"."&amp;AJ650,AK$91:AK649,0)),AI650&amp;"."&amp;AJ650,AI650&amp;"."&amp;AJ650&amp;COUNTIFS(AI$91:AI649,AI650,AJ$91:AJ649,AJ650))</f>
        <v>597.NA2</v>
      </c>
    </row>
    <row r="651" spans="1:37" ht="15" hidden="1">
      <c r="A651" s="120">
        <f>ROW()</f>
        <v>651</v>
      </c>
      <c r="B651" s="120"/>
      <c r="C651" s="1">
        <v>598</v>
      </c>
      <c r="D651" s="2" t="s">
        <v>330</v>
      </c>
      <c r="E651" s="121"/>
      <c r="F651" s="138"/>
      <c r="G651" s="119"/>
      <c r="X651" s="3"/>
      <c r="AD651" s="119"/>
      <c r="AE651" s="119"/>
      <c r="AF651" s="119"/>
      <c r="AG651" s="119"/>
      <c r="AI651">
        <f t="shared" si="277"/>
        <v>598</v>
      </c>
      <c r="AJ651" t="str">
        <f t="shared" si="267"/>
        <v>NA</v>
      </c>
      <c r="AK651" t="str">
        <f>IF(ISERROR(MATCH(AI651&amp;"."&amp;AJ651,AK$91:AK650,0)),AI651&amp;"."&amp;AJ651,AI651&amp;"."&amp;AJ651&amp;COUNTIFS(AI$91:AI650,AI651,AJ$91:AJ650,AJ651))</f>
        <v>598.NA</v>
      </c>
    </row>
    <row r="652" spans="1:37" ht="15" hidden="1">
      <c r="A652" s="120">
        <f>ROW()</f>
        <v>652</v>
      </c>
      <c r="B652" s="120"/>
      <c r="C652" s="1"/>
      <c r="E652" s="121" t="s">
        <v>12</v>
      </c>
      <c r="F652" s="138" t="str">
        <f>INDEX(FuncAllocOptions,ROW(A652)-ROW($A$92)+1,[4]Inputs!$S$11)</f>
        <v>DPW</v>
      </c>
      <c r="G652" s="117" t="e">
        <f>SUMIF(FERCJAMFactor,AK652,JAMValue)</f>
        <v>#VALUE!</v>
      </c>
      <c r="H652" s="116" t="e">
        <f t="shared" ref="H652:L653" si="296">INDEX(FuncFactorTbl,MATCH($F652,FuncFactors,0),MATCH(H$8,Functions,0))*$G652</f>
        <v>#VALUE!</v>
      </c>
      <c r="I652" s="116" t="e">
        <f t="shared" si="296"/>
        <v>#VALUE!</v>
      </c>
      <c r="J652" s="116" t="e">
        <f t="shared" si="296"/>
        <v>#VALUE!</v>
      </c>
      <c r="K652" s="116" t="e">
        <f t="shared" si="296"/>
        <v>#VALUE!</v>
      </c>
      <c r="L652" s="116" t="e">
        <f t="shared" si="296"/>
        <v>#VALUE!</v>
      </c>
      <c r="X652" s="3" t="str">
        <f>INDEX(DistFuncAllocOptions,ROW(A652)-ROW($A$92)+1,[4]Inputs!$S$11)</f>
        <v>PLNT2</v>
      </c>
      <c r="Y652" s="116" t="e">
        <f t="shared" ref="Y652:AC653" si="297">INDEX(DistFuncFactorTbl,MATCH($X652,DistFuncFactors,0),MATCH(Y$91,DistFunctions,0))*$J652</f>
        <v>#VALUE!</v>
      </c>
      <c r="Z652" s="116" t="e">
        <f t="shared" si="297"/>
        <v>#VALUE!</v>
      </c>
      <c r="AA652" s="116" t="e">
        <f t="shared" si="297"/>
        <v>#VALUE!</v>
      </c>
      <c r="AB652" s="116" t="e">
        <f t="shared" si="297"/>
        <v>#VALUE!</v>
      </c>
      <c r="AC652" s="116" t="e">
        <f t="shared" si="297"/>
        <v>#VALUE!</v>
      </c>
      <c r="AD652" s="117" t="e">
        <f>ROUND(SUM(-G652,H652:L652),0)</f>
        <v>#VALUE!</v>
      </c>
      <c r="AE652" s="117" t="e">
        <f>ROUND(H652-O652-P652-Q652-R652,0)</f>
        <v>#VALUE!</v>
      </c>
      <c r="AF652" s="117" t="e">
        <f>ROUND(I652-T652-U652-V652-W652,0)</f>
        <v>#VALUE!</v>
      </c>
      <c r="AG652" s="117" t="e">
        <f>ROUND(J652-Y652-Z652-AA652-AC652-AB652,0)</f>
        <v>#VALUE!</v>
      </c>
      <c r="AH652" s="116"/>
      <c r="AI652">
        <f t="shared" si="277"/>
        <v>598</v>
      </c>
      <c r="AJ652" t="str">
        <f t="shared" si="267"/>
        <v>S</v>
      </c>
      <c r="AK652" t="str">
        <f>IF(ISERROR(MATCH(AI652&amp;"."&amp;AJ652,AK$91:AK651,0)),AI652&amp;"."&amp;AJ652,AI652&amp;"."&amp;AJ652&amp;COUNTIFS(AI$91:AI651,AI652,AJ$91:AJ651,AJ652))</f>
        <v>598.S</v>
      </c>
    </row>
    <row r="653" spans="1:37" ht="15" hidden="1">
      <c r="A653" s="120">
        <f>ROW()</f>
        <v>653</v>
      </c>
      <c r="B653" s="120"/>
      <c r="C653" s="1"/>
      <c r="E653" s="121" t="s">
        <v>321</v>
      </c>
      <c r="F653" s="138" t="str">
        <f>INDEX(FuncAllocOptions,ROW(A653)-ROW($A$92)+1,[4]Inputs!$S$11)</f>
        <v>DPW</v>
      </c>
      <c r="G653" s="133" t="e">
        <f>SUMIF(FERCJAMFactor,AK653,JAMValue)</f>
        <v>#VALUE!</v>
      </c>
      <c r="H653" s="139" t="e">
        <f t="shared" si="296"/>
        <v>#VALUE!</v>
      </c>
      <c r="I653" s="139" t="e">
        <f t="shared" si="296"/>
        <v>#VALUE!</v>
      </c>
      <c r="J653" s="139" t="e">
        <f t="shared" si="296"/>
        <v>#VALUE!</v>
      </c>
      <c r="K653" s="139" t="e">
        <f t="shared" si="296"/>
        <v>#VALUE!</v>
      </c>
      <c r="L653" s="139" t="e">
        <f t="shared" si="296"/>
        <v>#VALUE!</v>
      </c>
      <c r="X653" s="3" t="str">
        <f>INDEX(DistFuncAllocOptions,ROW(A653)-ROW($A$92)+1,[4]Inputs!$S$11)</f>
        <v>PLNT2</v>
      </c>
      <c r="Y653" s="116" t="e">
        <f t="shared" si="297"/>
        <v>#VALUE!</v>
      </c>
      <c r="Z653" s="116" t="e">
        <f t="shared" si="297"/>
        <v>#VALUE!</v>
      </c>
      <c r="AA653" s="116" t="e">
        <f t="shared" si="297"/>
        <v>#VALUE!</v>
      </c>
      <c r="AB653" s="116" t="e">
        <f t="shared" si="297"/>
        <v>#VALUE!</v>
      </c>
      <c r="AC653" s="116" t="e">
        <f t="shared" si="297"/>
        <v>#VALUE!</v>
      </c>
      <c r="AD653" s="117" t="e">
        <f>ROUND(SUM(-G653,H653:L653),0)</f>
        <v>#VALUE!</v>
      </c>
      <c r="AE653" s="117" t="e">
        <f>ROUND(H653-O653-P653-Q653-R653,0)</f>
        <v>#VALUE!</v>
      </c>
      <c r="AF653" s="117" t="e">
        <f>ROUND(I653-T653-U653-V653-W653,0)</f>
        <v>#VALUE!</v>
      </c>
      <c r="AG653" s="117" t="e">
        <f>ROUND(J653-Y653-Z653-AA653-AC653-AB653,0)</f>
        <v>#VALUE!</v>
      </c>
      <c r="AH653" s="116"/>
      <c r="AI653">
        <f t="shared" si="277"/>
        <v>598</v>
      </c>
      <c r="AJ653" t="str">
        <f t="shared" si="267"/>
        <v>SNPD</v>
      </c>
      <c r="AK653" t="str">
        <f>IF(ISERROR(MATCH(AI653&amp;"."&amp;AJ653,AK$91:AK652,0)),AI653&amp;"."&amp;AJ653,AI653&amp;"."&amp;AJ653&amp;COUNTIFS(AI$91:AI652,AI653,AJ$91:AJ652,AJ653))</f>
        <v>598.SNPD</v>
      </c>
    </row>
    <row r="654" spans="1:37" ht="15" hidden="1">
      <c r="A654" s="120">
        <f>ROW()</f>
        <v>654</v>
      </c>
      <c r="B654" s="120"/>
      <c r="C654" s="1"/>
      <c r="E654" s="121"/>
      <c r="F654" s="138"/>
      <c r="G654" s="117" t="e">
        <f t="shared" ref="G654:L654" si="298">SUM(G652:G653)</f>
        <v>#VALUE!</v>
      </c>
      <c r="H654" s="116" t="e">
        <f t="shared" si="298"/>
        <v>#VALUE!</v>
      </c>
      <c r="I654" s="116" t="e">
        <f t="shared" si="298"/>
        <v>#VALUE!</v>
      </c>
      <c r="J654" s="116" t="e">
        <f t="shared" si="298"/>
        <v>#VALUE!</v>
      </c>
      <c r="K654" s="116" t="e">
        <f t="shared" si="298"/>
        <v>#VALUE!</v>
      </c>
      <c r="L654" s="116" t="e">
        <f t="shared" si="298"/>
        <v>#VALUE!</v>
      </c>
      <c r="O654" s="116">
        <f>SUM(O652:O653)</f>
        <v>0</v>
      </c>
      <c r="P654" s="116">
        <f>SUM(P652:P653)</f>
        <v>0</v>
      </c>
      <c r="Q654" s="116">
        <f>SUM(Q652:Q653)</f>
        <v>0</v>
      </c>
      <c r="R654" s="116">
        <f>SUM(R652:R653)</f>
        <v>0</v>
      </c>
      <c r="T654" s="116">
        <f>SUM(T652:T653)</f>
        <v>0</v>
      </c>
      <c r="U654" s="116">
        <f>SUM(U652:U653)</f>
        <v>0</v>
      </c>
      <c r="V654" s="116">
        <f>SUM(V652:V653)</f>
        <v>0</v>
      </c>
      <c r="W654" s="116">
        <f>SUM(W652:W653)</f>
        <v>0</v>
      </c>
      <c r="X654" s="3"/>
      <c r="Y654" s="116" t="e">
        <f>SUM(Y652:Y653)</f>
        <v>#VALUE!</v>
      </c>
      <c r="Z654" s="116" t="e">
        <f>SUM(Z652:Z653)</f>
        <v>#VALUE!</v>
      </c>
      <c r="AA654" s="116" t="e">
        <f>SUM(AA652:AA653)</f>
        <v>#VALUE!</v>
      </c>
      <c r="AB654" s="116" t="e">
        <f>SUM(AB652:AB653)</f>
        <v>#VALUE!</v>
      </c>
      <c r="AC654" s="116" t="e">
        <f>SUM(AC652:AC653)</f>
        <v>#VALUE!</v>
      </c>
      <c r="AD654" s="117" t="e">
        <f>ROUND(SUM(-G654,H654:L654),0)</f>
        <v>#VALUE!</v>
      </c>
      <c r="AE654" s="117" t="e">
        <f>ROUND(H654-O654-P654-Q654-R654,0)</f>
        <v>#VALUE!</v>
      </c>
      <c r="AF654" s="117" t="e">
        <f>ROUND(I654-T654-U654-V654-W654,0)</f>
        <v>#VALUE!</v>
      </c>
      <c r="AG654" s="117" t="e">
        <f>ROUND(J654-Y654-Z654-AA654-AC654-AB654,0)</f>
        <v>#VALUE!</v>
      </c>
      <c r="AH654" s="116"/>
      <c r="AI654">
        <f t="shared" si="277"/>
        <v>598</v>
      </c>
      <c r="AJ654" t="str">
        <f t="shared" si="267"/>
        <v>NA</v>
      </c>
      <c r="AK654" t="str">
        <f>IF(ISERROR(MATCH(AI654&amp;"."&amp;AJ654,AK$91:AK653,0)),AI654&amp;"."&amp;AJ654,AI654&amp;"."&amp;AJ654&amp;COUNTIFS(AI$91:AI653,AI654,AJ$91:AJ653,AJ654))</f>
        <v>598.NA1</v>
      </c>
    </row>
    <row r="655" spans="1:37" ht="15" hidden="1">
      <c r="A655" s="120">
        <f>ROW()</f>
        <v>655</v>
      </c>
      <c r="B655" s="120"/>
      <c r="E655" s="121"/>
      <c r="F655" s="138"/>
      <c r="G655" s="119"/>
      <c r="X655" s="3"/>
      <c r="AD655" s="119"/>
      <c r="AE655" s="119"/>
      <c r="AF655" s="119"/>
      <c r="AG655" s="119"/>
      <c r="AI655">
        <f t="shared" si="277"/>
        <v>598</v>
      </c>
      <c r="AJ655" t="str">
        <f t="shared" si="267"/>
        <v>NA</v>
      </c>
      <c r="AK655" t="str">
        <f>IF(ISERROR(MATCH(AI655&amp;"."&amp;AJ655,AK$91:AK654,0)),AI655&amp;"."&amp;AJ655,AI655&amp;"."&amp;AJ655&amp;COUNTIFS(AI$91:AI654,AI655,AJ$91:AJ654,AJ655))</f>
        <v>598.NA2</v>
      </c>
    </row>
    <row r="656" spans="1:37" ht="15.75" hidden="1" thickBot="1">
      <c r="A656" s="120">
        <f>ROW()</f>
        <v>656</v>
      </c>
      <c r="B656" s="120"/>
      <c r="C656" s="110" t="s">
        <v>766</v>
      </c>
      <c r="E656" s="121"/>
      <c r="F656" s="138"/>
      <c r="G656" s="153" t="e">
        <f t="shared" ref="G656:L656" si="299">G564+G569+G574+G579+G584+G589+G594+G599+G604+G609+G614+G619+G624+G629+G634+G639+G644+G649+G654</f>
        <v>#VALUE!</v>
      </c>
      <c r="H656" s="152" t="e">
        <f t="shared" si="299"/>
        <v>#VALUE!</v>
      </c>
      <c r="I656" s="152" t="e">
        <f t="shared" si="299"/>
        <v>#VALUE!</v>
      </c>
      <c r="J656" s="152" t="e">
        <f t="shared" si="299"/>
        <v>#VALUE!</v>
      </c>
      <c r="K656" s="152" t="e">
        <f t="shared" si="299"/>
        <v>#VALUE!</v>
      </c>
      <c r="L656" s="152" t="e">
        <f t="shared" si="299"/>
        <v>#VALUE!</v>
      </c>
      <c r="O656" s="116">
        <f>O564+O569+O574+O579+O584+O589+O594+O599+O604+O609+O614+O619+O624+O629+O634+O639+O644+O649+O654</f>
        <v>0</v>
      </c>
      <c r="P656" s="116">
        <f>P564+P569+P574+P579+P584+P589+P594+P599+P604+P609+P614+P619+P624+P629+P634+P639+P644+P649+P654</f>
        <v>0</v>
      </c>
      <c r="Q656" s="116">
        <f>Q564+Q569+Q574+Q579+Q584+Q589+Q594+Q599+Q604+Q609+Q614+Q619+Q624+Q629+Q634+Q639+Q644+Q649+Q654</f>
        <v>0</v>
      </c>
      <c r="R656" s="116">
        <f>R564+R569+R574+R579+R584+R589+R594+R599+R604+R609+R614+R619+R624+R629+R634+R639+R644+R649+R654</f>
        <v>0</v>
      </c>
      <c r="S656" s="116"/>
      <c r="T656" s="116">
        <f>T564+T569+T574+T579+T584+T589+T594+T599+T604+T609+T614+T619+T624+T629+T634+T639+T644+T649+T654</f>
        <v>0</v>
      </c>
      <c r="U656" s="116">
        <f>U564+U569+U574+U579+U584+U589+U594+U599+U604+U609+U614+U619+U624+U629+U634+U639+U644+U649+U654</f>
        <v>0</v>
      </c>
      <c r="V656" s="116">
        <f>V564+V569+V574+V579+V584+V589+V594+V599+V604+V609+V614+V619+V624+V629+V634+V639+V644+V649+V654</f>
        <v>0</v>
      </c>
      <c r="W656" s="116">
        <f>W564+W569+W574+W579+W584+W589+W594+W599+W604+W609+W614+W619+W624+W629+W634+W639+W644+W649+W654</f>
        <v>0</v>
      </c>
      <c r="X656" s="3"/>
      <c r="Y656" s="116" t="e">
        <f>Y564+Y569+Y574+Y579+Y584+Y589+Y594+Y599+Y604+Y609+Y614+Y619+Y624+Y629+Y634+Y639+Y644+Y649+Y654</f>
        <v>#VALUE!</v>
      </c>
      <c r="Z656" s="116" t="e">
        <f>Z564+Z569+Z574+Z579+Z584+Z589+Z594+Z599+Z604+Z609+Z614+Z619+Z624+Z629+Z634+Z639+Z644+Z649+Z654</f>
        <v>#VALUE!</v>
      </c>
      <c r="AA656" s="116" t="e">
        <f>AA564+AA569+AA574+AA579+AA584+AA589+AA594+AA599+AA604+AA609+AA614+AA619+AA624+AA629+AA634+AA639+AA644+AA649+AA654</f>
        <v>#VALUE!</v>
      </c>
      <c r="AB656" s="116" t="e">
        <f>AB564+AB569+AB574+AB579+AB584+AB589+AB594+AB599+AB604+AB609+AB614+AB619+AB624+AB629+AB634+AB639+AB644+AB649+AB654</f>
        <v>#VALUE!</v>
      </c>
      <c r="AC656" s="116" t="e">
        <f>AC564+AC569+AC574+AC579+AC584+AC589+AC594+AC599+AC604+AC609+AC614+AC619+AC624+AC629+AC634+AC639+AC644+AC649+AC654</f>
        <v>#VALUE!</v>
      </c>
      <c r="AD656" s="117" t="e">
        <f>ROUND(SUM(-G656,H656:L656),0)</f>
        <v>#VALUE!</v>
      </c>
      <c r="AE656" s="117" t="e">
        <f>ROUND(H656-O656-P656-Q656-R656,0)</f>
        <v>#VALUE!</v>
      </c>
      <c r="AF656" s="117" t="e">
        <f>ROUND(I656-T656-U656-V656-W656,0)</f>
        <v>#VALUE!</v>
      </c>
      <c r="AG656" s="117" t="e">
        <f>ROUND(J656-Y656-Z656-AA656-AC656-AB656,0)</f>
        <v>#VALUE!</v>
      </c>
      <c r="AH656" s="116"/>
      <c r="AI656" t="str">
        <f t="shared" si="277"/>
        <v>TOTAL DISTRIBUTION EXPENSE</v>
      </c>
      <c r="AJ656" t="str">
        <f t="shared" si="267"/>
        <v>NA</v>
      </c>
      <c r="AK656" t="str">
        <f>IF(ISERROR(MATCH(AI656&amp;"."&amp;AJ656,AK$91:AK655,0)),AI656&amp;"."&amp;AJ656,AI656&amp;"."&amp;AJ656&amp;COUNTIFS(AI$91:AI655,AI656,AJ$91:AJ655,AJ656))</f>
        <v>TOTAL DISTRIBUTION EXPENSE.NA</v>
      </c>
    </row>
    <row r="657" spans="1:37" ht="15" hidden="1">
      <c r="A657" s="120">
        <f>ROW()</f>
        <v>657</v>
      </c>
      <c r="B657" s="120"/>
      <c r="E657" s="121"/>
      <c r="F657" s="138"/>
      <c r="G657" s="119"/>
      <c r="X657" s="3"/>
      <c r="AD657" s="119"/>
      <c r="AE657" s="119"/>
      <c r="AF657" s="119"/>
      <c r="AG657" s="119"/>
      <c r="AI657" t="str">
        <f t="shared" si="277"/>
        <v>TOTAL DISTRIBUTION EXPENSE</v>
      </c>
      <c r="AJ657" t="str">
        <f t="shared" si="267"/>
        <v>NA</v>
      </c>
      <c r="AK657" t="str">
        <f>IF(ISERROR(MATCH(AI657&amp;"."&amp;AJ657,AK$91:AK656,0)),AI657&amp;"."&amp;AJ657,AI657&amp;"."&amp;AJ657&amp;COUNTIFS(AI$91:AI656,AI657,AJ$91:AJ656,AJ657))</f>
        <v>TOTAL DISTRIBUTION EXPENSE.NA1</v>
      </c>
    </row>
    <row r="658" spans="1:37" ht="15" hidden="1">
      <c r="A658" s="120">
        <f>ROW()</f>
        <v>658</v>
      </c>
      <c r="B658" s="120"/>
      <c r="C658" s="1">
        <v>901</v>
      </c>
      <c r="D658" s="2" t="s">
        <v>334</v>
      </c>
      <c r="E658" s="121"/>
      <c r="F658" s="138"/>
      <c r="G658" s="119"/>
      <c r="X658" s="3"/>
      <c r="AD658" s="119"/>
      <c r="AE658" s="119"/>
      <c r="AF658" s="119"/>
      <c r="AG658" s="119"/>
      <c r="AI658">
        <f t="shared" si="277"/>
        <v>901</v>
      </c>
      <c r="AJ658" t="str">
        <f t="shared" si="267"/>
        <v>NA</v>
      </c>
      <c r="AK658" t="str">
        <f>IF(ISERROR(MATCH(AI658&amp;"."&amp;AJ658,AK$91:AK657,0)),AI658&amp;"."&amp;AJ658,AI658&amp;"."&amp;AJ658&amp;COUNTIFS(AI$91:AI657,AI658,AJ$91:AJ657,AJ658))</f>
        <v>901.NA</v>
      </c>
    </row>
    <row r="659" spans="1:37" ht="15" hidden="1">
      <c r="A659" s="120">
        <f>ROW()</f>
        <v>659</v>
      </c>
      <c r="B659" s="120"/>
      <c r="C659" s="1"/>
      <c r="E659" s="121" t="s">
        <v>12</v>
      </c>
      <c r="F659" s="138" t="str">
        <f>INDEX(FuncAllocOptions,ROW(A659)-ROW($A$92)+1,[4]Inputs!$S$11)</f>
        <v>CUST</v>
      </c>
      <c r="G659" s="117" t="e">
        <f>SUMIF(FERCJAMFactor,AK659,JAMValue)</f>
        <v>#VALUE!</v>
      </c>
      <c r="H659" s="116" t="e">
        <f t="shared" ref="H659:L660" si="300">INDEX(FuncFactorTbl,MATCH($F659,FuncFactors,0),MATCH(H$8,Functions,0))*$G659</f>
        <v>#VALUE!</v>
      </c>
      <c r="I659" s="116" t="e">
        <f t="shared" si="300"/>
        <v>#VALUE!</v>
      </c>
      <c r="J659" s="116" t="e">
        <f t="shared" si="300"/>
        <v>#VALUE!</v>
      </c>
      <c r="K659" s="116" t="e">
        <f t="shared" si="300"/>
        <v>#VALUE!</v>
      </c>
      <c r="L659" s="116" t="e">
        <f t="shared" si="300"/>
        <v>#VALUE!</v>
      </c>
      <c r="X659" s="3" t="str">
        <f>INDEX(DistFuncAllocOptions,ROW(A659)-ROW($A$92)+1,[4]Inputs!$S$11)</f>
        <v>CUST</v>
      </c>
      <c r="Y659" s="116" t="e">
        <f t="shared" ref="Y659:AC660" si="301">INDEX(DistFuncFactorTbl,MATCH($X659,DistFuncFactors,0),MATCH(Y$91,DistFunctions,0))*$J659</f>
        <v>#VALUE!</v>
      </c>
      <c r="Z659" s="116" t="e">
        <f t="shared" si="301"/>
        <v>#VALUE!</v>
      </c>
      <c r="AA659" s="116" t="e">
        <f t="shared" si="301"/>
        <v>#VALUE!</v>
      </c>
      <c r="AB659" s="116" t="e">
        <f t="shared" si="301"/>
        <v>#VALUE!</v>
      </c>
      <c r="AC659" s="116" t="e">
        <f t="shared" si="301"/>
        <v>#VALUE!</v>
      </c>
      <c r="AD659" s="117" t="e">
        <f>ROUND(SUM(-G659,H659:L659),0)</f>
        <v>#VALUE!</v>
      </c>
      <c r="AE659" s="117" t="e">
        <f>ROUND(H659-O659-P659-Q659-R659,0)</f>
        <v>#VALUE!</v>
      </c>
      <c r="AF659" s="117" t="e">
        <f>ROUND(I659-T659-U659-V659-W659,0)</f>
        <v>#VALUE!</v>
      </c>
      <c r="AG659" s="117" t="e">
        <f>ROUND(J659-Y659-Z659-AA659-AC659-AB659,0)</f>
        <v>#VALUE!</v>
      </c>
      <c r="AH659" s="116"/>
      <c r="AI659">
        <f t="shared" si="277"/>
        <v>901</v>
      </c>
      <c r="AJ659" t="str">
        <f t="shared" si="267"/>
        <v>S</v>
      </c>
      <c r="AK659" t="str">
        <f>IF(ISERROR(MATCH(AI659&amp;"."&amp;AJ659,AK$91:AK658,0)),AI659&amp;"."&amp;AJ659,AI659&amp;"."&amp;AJ659&amp;COUNTIFS(AI$91:AI658,AI659,AJ$91:AJ658,AJ659))</f>
        <v>901.S</v>
      </c>
    </row>
    <row r="660" spans="1:37" ht="15" hidden="1">
      <c r="A660" s="120">
        <f>ROW()</f>
        <v>660</v>
      </c>
      <c r="B660" s="120"/>
      <c r="C660" s="1"/>
      <c r="E660" s="121" t="s">
        <v>155</v>
      </c>
      <c r="F660" s="138" t="str">
        <f>INDEX(FuncAllocOptions,ROW(A660)-ROW($A$92)+1,[4]Inputs!$S$11)</f>
        <v>CUST</v>
      </c>
      <c r="G660" s="133" t="e">
        <f>SUMIF(FERCJAMFactor,AK660,JAMValue)</f>
        <v>#VALUE!</v>
      </c>
      <c r="H660" s="139" t="e">
        <f t="shared" si="300"/>
        <v>#VALUE!</v>
      </c>
      <c r="I660" s="139" t="e">
        <f t="shared" si="300"/>
        <v>#VALUE!</v>
      </c>
      <c r="J660" s="139" t="e">
        <f t="shared" si="300"/>
        <v>#VALUE!</v>
      </c>
      <c r="K660" s="139" t="e">
        <f t="shared" si="300"/>
        <v>#VALUE!</v>
      </c>
      <c r="L660" s="139" t="e">
        <f t="shared" si="300"/>
        <v>#VALUE!</v>
      </c>
      <c r="X660" s="3" t="str">
        <f>INDEX(DistFuncAllocOptions,ROW(A660)-ROW($A$92)+1,[4]Inputs!$S$11)</f>
        <v>CUST</v>
      </c>
      <c r="Y660" s="116" t="e">
        <f t="shared" si="301"/>
        <v>#VALUE!</v>
      </c>
      <c r="Z660" s="116" t="e">
        <f t="shared" si="301"/>
        <v>#VALUE!</v>
      </c>
      <c r="AA660" s="116" t="e">
        <f t="shared" si="301"/>
        <v>#VALUE!</v>
      </c>
      <c r="AB660" s="116" t="e">
        <f t="shared" si="301"/>
        <v>#VALUE!</v>
      </c>
      <c r="AC660" s="116" t="e">
        <f t="shared" si="301"/>
        <v>#VALUE!</v>
      </c>
      <c r="AD660" s="117" t="e">
        <f>ROUND(SUM(-G660,H660:L660),0)</f>
        <v>#VALUE!</v>
      </c>
      <c r="AE660" s="117" t="e">
        <f>ROUND(H660-O660-P660-Q660-R660,0)</f>
        <v>#VALUE!</v>
      </c>
      <c r="AF660" s="117" t="e">
        <f>ROUND(I660-T660-U660-V660-W660,0)</f>
        <v>#VALUE!</v>
      </c>
      <c r="AG660" s="117" t="e">
        <f>ROUND(J660-Y660-Z660-AA660-AC660-AB660,0)</f>
        <v>#VALUE!</v>
      </c>
      <c r="AH660" s="116"/>
      <c r="AI660">
        <f t="shared" si="277"/>
        <v>901</v>
      </c>
      <c r="AJ660" t="str">
        <f t="shared" si="267"/>
        <v>CN</v>
      </c>
      <c r="AK660" t="str">
        <f>IF(ISERROR(MATCH(AI660&amp;"."&amp;AJ660,AK$91:AK659,0)),AI660&amp;"."&amp;AJ660,AI660&amp;"."&amp;AJ660&amp;COUNTIFS(AI$91:AI659,AI660,AJ$91:AJ659,AJ660))</f>
        <v>901.CN</v>
      </c>
    </row>
    <row r="661" spans="1:37" ht="15" hidden="1">
      <c r="A661" s="120">
        <f>ROW()</f>
        <v>661</v>
      </c>
      <c r="B661" s="120"/>
      <c r="C661" s="1"/>
      <c r="E661" s="121"/>
      <c r="F661" s="138"/>
      <c r="G661" s="117" t="e">
        <f t="shared" ref="G661:L661" si="302">SUM(G659:G660)</f>
        <v>#VALUE!</v>
      </c>
      <c r="H661" s="116" t="e">
        <f t="shared" si="302"/>
        <v>#VALUE!</v>
      </c>
      <c r="I661" s="116" t="e">
        <f t="shared" si="302"/>
        <v>#VALUE!</v>
      </c>
      <c r="J661" s="116" t="e">
        <f t="shared" si="302"/>
        <v>#VALUE!</v>
      </c>
      <c r="K661" s="116" t="e">
        <f t="shared" si="302"/>
        <v>#VALUE!</v>
      </c>
      <c r="L661" s="116" t="e">
        <f t="shared" si="302"/>
        <v>#VALUE!</v>
      </c>
      <c r="O661" s="116">
        <f>SUM(O659:O660)</f>
        <v>0</v>
      </c>
      <c r="P661" s="116">
        <f>SUM(P659:P660)</f>
        <v>0</v>
      </c>
      <c r="Q661" s="116">
        <f>SUM(Q659:Q660)</f>
        <v>0</v>
      </c>
      <c r="R661" s="116">
        <f>SUM(R659:R660)</f>
        <v>0</v>
      </c>
      <c r="T661" s="116">
        <f>SUM(T659:T660)</f>
        <v>0</v>
      </c>
      <c r="U661" s="116">
        <f>SUM(U659:U660)</f>
        <v>0</v>
      </c>
      <c r="V661" s="116">
        <f>SUM(V659:V660)</f>
        <v>0</v>
      </c>
      <c r="W661" s="116">
        <f>SUM(W659:W660)</f>
        <v>0</v>
      </c>
      <c r="X661" s="3"/>
      <c r="Y661" s="116" t="e">
        <f>SUM(Y659:Y660)</f>
        <v>#VALUE!</v>
      </c>
      <c r="Z661" s="116" t="e">
        <f>SUM(Z659:Z660)</f>
        <v>#VALUE!</v>
      </c>
      <c r="AA661" s="116" t="e">
        <f>SUM(AA659:AA660)</f>
        <v>#VALUE!</v>
      </c>
      <c r="AB661" s="116" t="e">
        <f>SUM(AB659:AB660)</f>
        <v>#VALUE!</v>
      </c>
      <c r="AC661" s="116" t="e">
        <f>SUM(AC659:AC660)</f>
        <v>#VALUE!</v>
      </c>
      <c r="AD661" s="117" t="e">
        <f>ROUND(SUM(-G661,H661:L661),0)</f>
        <v>#VALUE!</v>
      </c>
      <c r="AE661" s="117" t="e">
        <f>ROUND(H661-O661-P661-Q661-R661,0)</f>
        <v>#VALUE!</v>
      </c>
      <c r="AF661" s="117" t="e">
        <f>ROUND(I661-T661-U661-V661-W661,0)</f>
        <v>#VALUE!</v>
      </c>
      <c r="AG661" s="117" t="e">
        <f>ROUND(J661-Y661-Z661-AA661-AC661-AB661,0)</f>
        <v>#VALUE!</v>
      </c>
      <c r="AH661" s="116"/>
      <c r="AI661">
        <f t="shared" si="277"/>
        <v>901</v>
      </c>
      <c r="AJ661" t="str">
        <f t="shared" si="267"/>
        <v>NA</v>
      </c>
      <c r="AK661" t="str">
        <f>IF(ISERROR(MATCH(AI661&amp;"."&amp;AJ661,AK$91:AK660,0)),AI661&amp;"."&amp;AJ661,AI661&amp;"."&amp;AJ661&amp;COUNTIFS(AI$91:AI660,AI661,AJ$91:AJ660,AJ661))</f>
        <v>901.NA1</v>
      </c>
    </row>
    <row r="662" spans="1:37" ht="15" hidden="1">
      <c r="A662" s="120">
        <f>ROW()</f>
        <v>662</v>
      </c>
      <c r="B662" s="120"/>
      <c r="C662" s="1"/>
      <c r="E662" s="121"/>
      <c r="F662" s="138"/>
      <c r="G662" s="119"/>
      <c r="X662" s="3"/>
      <c r="AD662" s="119"/>
      <c r="AE662" s="119"/>
      <c r="AF662" s="119"/>
      <c r="AG662" s="119"/>
      <c r="AI662">
        <f t="shared" si="277"/>
        <v>901</v>
      </c>
      <c r="AJ662" t="str">
        <f t="shared" si="267"/>
        <v>NA</v>
      </c>
      <c r="AK662" t="str">
        <f>IF(ISERROR(MATCH(AI662&amp;"."&amp;AJ662,AK$91:AK661,0)),AI662&amp;"."&amp;AJ662,AI662&amp;"."&amp;AJ662&amp;COUNTIFS(AI$91:AI661,AI662,AJ$91:AJ661,AJ662))</f>
        <v>901.NA2</v>
      </c>
    </row>
    <row r="663" spans="1:37" ht="15" hidden="1">
      <c r="A663" s="120">
        <f>ROW()</f>
        <v>663</v>
      </c>
      <c r="B663" s="120"/>
      <c r="C663" s="1">
        <v>902</v>
      </c>
      <c r="D663" s="2" t="s">
        <v>335</v>
      </c>
      <c r="E663" s="121"/>
      <c r="F663" s="138"/>
      <c r="G663" s="119"/>
      <c r="X663" s="3"/>
      <c r="AD663" s="119"/>
      <c r="AE663" s="119"/>
      <c r="AF663" s="119"/>
      <c r="AG663" s="119"/>
      <c r="AI663">
        <f t="shared" si="277"/>
        <v>902</v>
      </c>
      <c r="AJ663" t="str">
        <f t="shared" si="267"/>
        <v>NA</v>
      </c>
      <c r="AK663" t="str">
        <f>IF(ISERROR(MATCH(AI663&amp;"."&amp;AJ663,AK$91:AK662,0)),AI663&amp;"."&amp;AJ663,AI663&amp;"."&amp;AJ663&amp;COUNTIFS(AI$91:AI662,AI663,AJ$91:AJ662,AJ663))</f>
        <v>902.NA</v>
      </c>
    </row>
    <row r="664" spans="1:37" ht="15" hidden="1">
      <c r="A664" s="120">
        <f>ROW()</f>
        <v>664</v>
      </c>
      <c r="B664" s="120"/>
      <c r="C664" s="1"/>
      <c r="E664" s="121" t="s">
        <v>12</v>
      </c>
      <c r="F664" s="138" t="str">
        <f>INDEX(FuncAllocOptions,ROW(A664)-ROW($A$92)+1,[4]Inputs!$S$11)</f>
        <v>CUST</v>
      </c>
      <c r="G664" s="117" t="e">
        <f>SUMIF(FERCJAMFactor,AK664,JAMValue)</f>
        <v>#VALUE!</v>
      </c>
      <c r="H664" s="116" t="e">
        <f t="shared" ref="H664:L665" si="303">INDEX(FuncFactorTbl,MATCH($F664,FuncFactors,0),MATCH(H$8,Functions,0))*$G664</f>
        <v>#VALUE!</v>
      </c>
      <c r="I664" s="116" t="e">
        <f t="shared" si="303"/>
        <v>#VALUE!</v>
      </c>
      <c r="J664" s="116" t="e">
        <f t="shared" si="303"/>
        <v>#VALUE!</v>
      </c>
      <c r="K664" s="116" t="e">
        <f t="shared" si="303"/>
        <v>#VALUE!</v>
      </c>
      <c r="L664" s="116" t="e">
        <f t="shared" si="303"/>
        <v>#VALUE!</v>
      </c>
      <c r="X664" s="3" t="str">
        <f>INDEX(DistFuncAllocOptions,ROW(A664)-ROW($A$92)+1,[4]Inputs!$S$11)</f>
        <v>CUST</v>
      </c>
      <c r="Y664" s="116" t="e">
        <f t="shared" ref="Y664:AC665" si="304">INDEX(DistFuncFactorTbl,MATCH($X664,DistFuncFactors,0),MATCH(Y$91,DistFunctions,0))*$J664</f>
        <v>#VALUE!</v>
      </c>
      <c r="Z664" s="116" t="e">
        <f t="shared" si="304"/>
        <v>#VALUE!</v>
      </c>
      <c r="AA664" s="116" t="e">
        <f t="shared" si="304"/>
        <v>#VALUE!</v>
      </c>
      <c r="AB664" s="116" t="e">
        <f t="shared" si="304"/>
        <v>#VALUE!</v>
      </c>
      <c r="AC664" s="116" t="e">
        <f t="shared" si="304"/>
        <v>#VALUE!</v>
      </c>
      <c r="AD664" s="117" t="e">
        <f>ROUND(SUM(-G664,H664:L664),0)</f>
        <v>#VALUE!</v>
      </c>
      <c r="AE664" s="117" t="e">
        <f>ROUND(H664-O664-P664-Q664-R664,0)</f>
        <v>#VALUE!</v>
      </c>
      <c r="AF664" s="117" t="e">
        <f>ROUND(I664-T664-U664-V664-W664,0)</f>
        <v>#VALUE!</v>
      </c>
      <c r="AG664" s="117" t="e">
        <f>ROUND(J664-Y664-Z664-AA664-AC664-AB664,0)</f>
        <v>#VALUE!</v>
      </c>
      <c r="AH664" s="116"/>
      <c r="AI664">
        <f t="shared" si="277"/>
        <v>902</v>
      </c>
      <c r="AJ664" t="str">
        <f t="shared" si="267"/>
        <v>S</v>
      </c>
      <c r="AK664" t="str">
        <f>IF(ISERROR(MATCH(AI664&amp;"."&amp;AJ664,AK$91:AK663,0)),AI664&amp;"."&amp;AJ664,AI664&amp;"."&amp;AJ664&amp;COUNTIFS(AI$91:AI663,AI664,AJ$91:AJ663,AJ664))</f>
        <v>902.S</v>
      </c>
    </row>
    <row r="665" spans="1:37" ht="15" hidden="1">
      <c r="A665" s="120">
        <f>ROW()</f>
        <v>665</v>
      </c>
      <c r="B665" s="120"/>
      <c r="C665" s="1"/>
      <c r="E665" s="121" t="s">
        <v>155</v>
      </c>
      <c r="F665" s="138" t="str">
        <f>INDEX(FuncAllocOptions,ROW(A665)-ROW($A$92)+1,[4]Inputs!$S$11)</f>
        <v>CUST</v>
      </c>
      <c r="G665" s="133" t="e">
        <f>SUMIF(FERCJAMFactor,AK665,JAMValue)</f>
        <v>#VALUE!</v>
      </c>
      <c r="H665" s="139" t="e">
        <f t="shared" si="303"/>
        <v>#VALUE!</v>
      </c>
      <c r="I665" s="139" t="e">
        <f t="shared" si="303"/>
        <v>#VALUE!</v>
      </c>
      <c r="J665" s="139" t="e">
        <f t="shared" si="303"/>
        <v>#VALUE!</v>
      </c>
      <c r="K665" s="139" t="e">
        <f t="shared" si="303"/>
        <v>#VALUE!</v>
      </c>
      <c r="L665" s="139" t="e">
        <f t="shared" si="303"/>
        <v>#VALUE!</v>
      </c>
      <c r="X665" s="3" t="str">
        <f>INDEX(DistFuncAllocOptions,ROW(A665)-ROW($A$92)+1,[4]Inputs!$S$11)</f>
        <v>CUST</v>
      </c>
      <c r="Y665" s="116" t="e">
        <f t="shared" si="304"/>
        <v>#VALUE!</v>
      </c>
      <c r="Z665" s="116" t="e">
        <f t="shared" si="304"/>
        <v>#VALUE!</v>
      </c>
      <c r="AA665" s="116" t="e">
        <f t="shared" si="304"/>
        <v>#VALUE!</v>
      </c>
      <c r="AB665" s="116" t="e">
        <f t="shared" si="304"/>
        <v>#VALUE!</v>
      </c>
      <c r="AC665" s="116" t="e">
        <f t="shared" si="304"/>
        <v>#VALUE!</v>
      </c>
      <c r="AD665" s="117" t="e">
        <f>ROUND(SUM(-G665,H665:L665),0)</f>
        <v>#VALUE!</v>
      </c>
      <c r="AE665" s="117" t="e">
        <f>ROUND(H665-O665-P665-Q665-R665,0)</f>
        <v>#VALUE!</v>
      </c>
      <c r="AF665" s="117" t="e">
        <f>ROUND(I665-T665-U665-V665-W665,0)</f>
        <v>#VALUE!</v>
      </c>
      <c r="AG665" s="117" t="e">
        <f>ROUND(J665-Y665-Z665-AA665-AC665-AB665,0)</f>
        <v>#VALUE!</v>
      </c>
      <c r="AH665" s="116"/>
      <c r="AI665">
        <f t="shared" si="277"/>
        <v>902</v>
      </c>
      <c r="AJ665" t="str">
        <f t="shared" si="267"/>
        <v>CN</v>
      </c>
      <c r="AK665" t="str">
        <f>IF(ISERROR(MATCH(AI665&amp;"."&amp;AJ665,AK$91:AK664,0)),AI665&amp;"."&amp;AJ665,AI665&amp;"."&amp;AJ665&amp;COUNTIFS(AI$91:AI664,AI665,AJ$91:AJ664,AJ665))</f>
        <v>902.CN</v>
      </c>
    </row>
    <row r="666" spans="1:37" ht="15" hidden="1">
      <c r="A666" s="120">
        <f>ROW()</f>
        <v>666</v>
      </c>
      <c r="B666" s="120"/>
      <c r="C666" s="1"/>
      <c r="E666" s="121"/>
      <c r="F666" s="138"/>
      <c r="G666" s="117" t="e">
        <f t="shared" ref="G666:L666" si="305">SUM(G664:G665)</f>
        <v>#VALUE!</v>
      </c>
      <c r="H666" s="116" t="e">
        <f t="shared" si="305"/>
        <v>#VALUE!</v>
      </c>
      <c r="I666" s="116" t="e">
        <f t="shared" si="305"/>
        <v>#VALUE!</v>
      </c>
      <c r="J666" s="116" t="e">
        <f t="shared" si="305"/>
        <v>#VALUE!</v>
      </c>
      <c r="K666" s="116" t="e">
        <f t="shared" si="305"/>
        <v>#VALUE!</v>
      </c>
      <c r="L666" s="116" t="e">
        <f t="shared" si="305"/>
        <v>#VALUE!</v>
      </c>
      <c r="O666" s="116">
        <f>SUM(O664:O665)</f>
        <v>0</v>
      </c>
      <c r="P666" s="116">
        <f>SUM(P664:P665)</f>
        <v>0</v>
      </c>
      <c r="Q666" s="116">
        <f>SUM(Q664:Q665)</f>
        <v>0</v>
      </c>
      <c r="R666" s="116">
        <f>SUM(R664:R665)</f>
        <v>0</v>
      </c>
      <c r="T666" s="116">
        <f>SUM(T664:T665)</f>
        <v>0</v>
      </c>
      <c r="U666" s="116">
        <f>SUM(U664:U665)</f>
        <v>0</v>
      </c>
      <c r="V666" s="116">
        <f>SUM(V664:V665)</f>
        <v>0</v>
      </c>
      <c r="W666" s="116">
        <f>SUM(W664:W665)</f>
        <v>0</v>
      </c>
      <c r="X666" s="3"/>
      <c r="Y666" s="116" t="e">
        <f>SUM(Y664:Y665)</f>
        <v>#VALUE!</v>
      </c>
      <c r="Z666" s="116" t="e">
        <f>SUM(Z664:Z665)</f>
        <v>#VALUE!</v>
      </c>
      <c r="AA666" s="116" t="e">
        <f>SUM(AA664:AA665)</f>
        <v>#VALUE!</v>
      </c>
      <c r="AB666" s="116" t="e">
        <f>SUM(AB664:AB665)</f>
        <v>#VALUE!</v>
      </c>
      <c r="AC666" s="116" t="e">
        <f>SUM(AC664:AC665)</f>
        <v>#VALUE!</v>
      </c>
      <c r="AD666" s="117" t="e">
        <f>ROUND(SUM(-G666,H666:L666),0)</f>
        <v>#VALUE!</v>
      </c>
      <c r="AE666" s="117" t="e">
        <f>ROUND(H666-O666-P666-Q666-R666,0)</f>
        <v>#VALUE!</v>
      </c>
      <c r="AF666" s="117" t="e">
        <f>ROUND(I666-T666-U666-V666-W666,0)</f>
        <v>#VALUE!</v>
      </c>
      <c r="AG666" s="117" t="e">
        <f>ROUND(J666-Y666-Z666-AA666-AC666-AB666,0)</f>
        <v>#VALUE!</v>
      </c>
      <c r="AH666" s="116"/>
      <c r="AI666">
        <f t="shared" si="277"/>
        <v>902</v>
      </c>
      <c r="AJ666" t="str">
        <f t="shared" si="267"/>
        <v>NA</v>
      </c>
      <c r="AK666" t="str">
        <f>IF(ISERROR(MATCH(AI666&amp;"."&amp;AJ666,AK$91:AK665,0)),AI666&amp;"."&amp;AJ666,AI666&amp;"."&amp;AJ666&amp;COUNTIFS(AI$91:AI665,AI666,AJ$91:AJ665,AJ666))</f>
        <v>902.NA1</v>
      </c>
    </row>
    <row r="667" spans="1:37" ht="15" hidden="1">
      <c r="A667" s="120">
        <f>ROW()</f>
        <v>667</v>
      </c>
      <c r="B667" s="120"/>
      <c r="C667" s="1"/>
      <c r="E667" s="121"/>
      <c r="F667" s="138"/>
      <c r="G667" s="119"/>
      <c r="X667" s="3"/>
      <c r="AD667" s="119"/>
      <c r="AE667" s="119"/>
      <c r="AF667" s="119"/>
      <c r="AG667" s="119"/>
      <c r="AI667">
        <f t="shared" si="277"/>
        <v>902</v>
      </c>
      <c r="AJ667" t="str">
        <f t="shared" si="267"/>
        <v>NA</v>
      </c>
      <c r="AK667" t="str">
        <f>IF(ISERROR(MATCH(AI667&amp;"."&amp;AJ667,AK$91:AK666,0)),AI667&amp;"."&amp;AJ667,AI667&amp;"."&amp;AJ667&amp;COUNTIFS(AI$91:AI666,AI667,AJ$91:AJ666,AJ667))</f>
        <v>902.NA2</v>
      </c>
    </row>
    <row r="668" spans="1:37" ht="15" hidden="1">
      <c r="A668" s="120">
        <f>ROW()</f>
        <v>668</v>
      </c>
      <c r="B668" s="120"/>
      <c r="C668" s="1">
        <v>903</v>
      </c>
      <c r="D668" s="2" t="s">
        <v>336</v>
      </c>
      <c r="E668" s="121"/>
      <c r="F668" s="138"/>
      <c r="G668" s="119"/>
      <c r="X668" s="3"/>
      <c r="AD668" s="119"/>
      <c r="AE668" s="119"/>
      <c r="AF668" s="119"/>
      <c r="AG668" s="119"/>
      <c r="AI668">
        <f t="shared" si="277"/>
        <v>903</v>
      </c>
      <c r="AJ668" t="str">
        <f t="shared" si="267"/>
        <v>NA</v>
      </c>
      <c r="AK668" t="str">
        <f>IF(ISERROR(MATCH(AI668&amp;"."&amp;AJ668,AK$91:AK667,0)),AI668&amp;"."&amp;AJ668,AI668&amp;"."&amp;AJ668&amp;COUNTIFS(AI$91:AI667,AI668,AJ$91:AJ667,AJ668))</f>
        <v>903.NA</v>
      </c>
    </row>
    <row r="669" spans="1:37" ht="15" hidden="1">
      <c r="A669" s="120">
        <f>ROW()</f>
        <v>669</v>
      </c>
      <c r="B669" s="120"/>
      <c r="C669" s="1"/>
      <c r="E669" s="121" t="s">
        <v>12</v>
      </c>
      <c r="F669" s="138" t="str">
        <f>INDEX(FuncAllocOptions,ROW(A669)-ROW($A$92)+1,[4]Inputs!$S$11)</f>
        <v>CUST</v>
      </c>
      <c r="G669" s="117" t="e">
        <f>SUMIF(FERCJAMFactor,AK669,JAMValue)</f>
        <v>#VALUE!</v>
      </c>
      <c r="H669" s="116" t="e">
        <f t="shared" ref="H669:L670" si="306">INDEX(FuncFactorTbl,MATCH($F669,FuncFactors,0),MATCH(H$8,Functions,0))*$G669</f>
        <v>#VALUE!</v>
      </c>
      <c r="I669" s="116" t="e">
        <f t="shared" si="306"/>
        <v>#VALUE!</v>
      </c>
      <c r="J669" s="116" t="e">
        <f t="shared" si="306"/>
        <v>#VALUE!</v>
      </c>
      <c r="K669" s="116" t="e">
        <f t="shared" si="306"/>
        <v>#VALUE!</v>
      </c>
      <c r="L669" s="116" t="e">
        <f t="shared" si="306"/>
        <v>#VALUE!</v>
      </c>
      <c r="X669" s="3" t="str">
        <f>INDEX(DistFuncAllocOptions,ROW(A669)-ROW($A$92)+1,[4]Inputs!$S$11)</f>
        <v>CUST</v>
      </c>
      <c r="Y669" s="116" t="e">
        <f t="shared" ref="Y669:AC670" si="307">INDEX(DistFuncFactorTbl,MATCH($X669,DistFuncFactors,0),MATCH(Y$91,DistFunctions,0))*$J669</f>
        <v>#VALUE!</v>
      </c>
      <c r="Z669" s="116" t="e">
        <f t="shared" si="307"/>
        <v>#VALUE!</v>
      </c>
      <c r="AA669" s="116" t="e">
        <f t="shared" si="307"/>
        <v>#VALUE!</v>
      </c>
      <c r="AB669" s="116" t="e">
        <f t="shared" si="307"/>
        <v>#VALUE!</v>
      </c>
      <c r="AC669" s="116" t="e">
        <f t="shared" si="307"/>
        <v>#VALUE!</v>
      </c>
      <c r="AD669" s="117" t="e">
        <f>ROUND(SUM(-G669,H669:L669),0)</f>
        <v>#VALUE!</v>
      </c>
      <c r="AE669" s="117" t="e">
        <f>ROUND(H669-O669-P669-Q669-R669,0)</f>
        <v>#VALUE!</v>
      </c>
      <c r="AF669" s="117" t="e">
        <f>ROUND(I669-T669-U669-V669-W669,0)</f>
        <v>#VALUE!</v>
      </c>
      <c r="AG669" s="117" t="e">
        <f>ROUND(J669-Y669-Z669-AA669-AC669-AB669,0)</f>
        <v>#VALUE!</v>
      </c>
      <c r="AH669" s="116"/>
      <c r="AI669">
        <f t="shared" si="277"/>
        <v>903</v>
      </c>
      <c r="AJ669" t="str">
        <f t="shared" ref="AJ669:AJ732" si="308">IF(E669="","NA",E669)</f>
        <v>S</v>
      </c>
      <c r="AK669" t="str">
        <f>IF(ISERROR(MATCH(AI669&amp;"."&amp;AJ669,AK$91:AK668,0)),AI669&amp;"."&amp;AJ669,AI669&amp;"."&amp;AJ669&amp;COUNTIFS(AI$91:AI668,AI669,AJ$91:AJ668,AJ669))</f>
        <v>903.S</v>
      </c>
    </row>
    <row r="670" spans="1:37" ht="15" hidden="1">
      <c r="A670" s="120">
        <f>ROW()</f>
        <v>670</v>
      </c>
      <c r="B670" s="120"/>
      <c r="C670" s="1"/>
      <c r="E670" s="121" t="s">
        <v>155</v>
      </c>
      <c r="F670" s="138" t="str">
        <f>INDEX(FuncAllocOptions,ROW(A670)-ROW($A$92)+1,[4]Inputs!$S$11)</f>
        <v>CUST</v>
      </c>
      <c r="G670" s="133" t="e">
        <f>SUMIF(FERCJAMFactor,AK670,JAMValue)</f>
        <v>#VALUE!</v>
      </c>
      <c r="H670" s="139" t="e">
        <f t="shared" si="306"/>
        <v>#VALUE!</v>
      </c>
      <c r="I670" s="139" t="e">
        <f t="shared" si="306"/>
        <v>#VALUE!</v>
      </c>
      <c r="J670" s="139" t="e">
        <f t="shared" si="306"/>
        <v>#VALUE!</v>
      </c>
      <c r="K670" s="139" t="e">
        <f t="shared" si="306"/>
        <v>#VALUE!</v>
      </c>
      <c r="L670" s="139" t="e">
        <f t="shared" si="306"/>
        <v>#VALUE!</v>
      </c>
      <c r="X670" s="3" t="str">
        <f>INDEX(DistFuncAllocOptions,ROW(A670)-ROW($A$92)+1,[4]Inputs!$S$11)</f>
        <v>CUST</v>
      </c>
      <c r="Y670" s="116" t="e">
        <f t="shared" si="307"/>
        <v>#VALUE!</v>
      </c>
      <c r="Z670" s="116" t="e">
        <f t="shared" si="307"/>
        <v>#VALUE!</v>
      </c>
      <c r="AA670" s="116" t="e">
        <f t="shared" si="307"/>
        <v>#VALUE!</v>
      </c>
      <c r="AB670" s="116" t="e">
        <f t="shared" si="307"/>
        <v>#VALUE!</v>
      </c>
      <c r="AC670" s="116" t="e">
        <f t="shared" si="307"/>
        <v>#VALUE!</v>
      </c>
      <c r="AD670" s="117" t="e">
        <f>ROUND(SUM(-G670,H670:L670),0)</f>
        <v>#VALUE!</v>
      </c>
      <c r="AE670" s="117" t="e">
        <f>ROUND(H670-O670-P670-Q670-R670,0)</f>
        <v>#VALUE!</v>
      </c>
      <c r="AF670" s="117" t="e">
        <f>ROUND(I670-T670-U670-V670-W670,0)</f>
        <v>#VALUE!</v>
      </c>
      <c r="AG670" s="117" t="e">
        <f>ROUND(J670-Y670-Z670-AA670-AC670-AB670,0)</f>
        <v>#VALUE!</v>
      </c>
      <c r="AH670" s="116"/>
      <c r="AI670">
        <f t="shared" si="277"/>
        <v>903</v>
      </c>
      <c r="AJ670" t="str">
        <f t="shared" si="308"/>
        <v>CN</v>
      </c>
      <c r="AK670" t="str">
        <f>IF(ISERROR(MATCH(AI670&amp;"."&amp;AJ670,AK$91:AK669,0)),AI670&amp;"."&amp;AJ670,AI670&amp;"."&amp;AJ670&amp;COUNTIFS(AI$91:AI669,AI670,AJ$91:AJ669,AJ670))</f>
        <v>903.CN</v>
      </c>
    </row>
    <row r="671" spans="1:37" ht="15" hidden="1">
      <c r="A671" s="120">
        <f>ROW()</f>
        <v>671</v>
      </c>
      <c r="B671" s="120"/>
      <c r="C671" s="1"/>
      <c r="E671" s="121"/>
      <c r="F671" s="138"/>
      <c r="G671" s="117" t="e">
        <f t="shared" ref="G671:L671" si="309">SUM(G669:G670)</f>
        <v>#VALUE!</v>
      </c>
      <c r="H671" s="116" t="e">
        <f t="shared" si="309"/>
        <v>#VALUE!</v>
      </c>
      <c r="I671" s="116" t="e">
        <f t="shared" si="309"/>
        <v>#VALUE!</v>
      </c>
      <c r="J671" s="116" t="e">
        <f t="shared" si="309"/>
        <v>#VALUE!</v>
      </c>
      <c r="K671" s="116" t="e">
        <f t="shared" si="309"/>
        <v>#VALUE!</v>
      </c>
      <c r="L671" s="116" t="e">
        <f t="shared" si="309"/>
        <v>#VALUE!</v>
      </c>
      <c r="O671" s="116">
        <f>SUM(O669:O670)</f>
        <v>0</v>
      </c>
      <c r="P671" s="116">
        <f>SUM(P669:P670)</f>
        <v>0</v>
      </c>
      <c r="Q671" s="116">
        <f>SUM(Q669:Q670)</f>
        <v>0</v>
      </c>
      <c r="R671" s="116">
        <f>SUM(R669:R670)</f>
        <v>0</v>
      </c>
      <c r="T671" s="116">
        <f>SUM(T669:T670)</f>
        <v>0</v>
      </c>
      <c r="U671" s="116">
        <f>SUM(U669:U670)</f>
        <v>0</v>
      </c>
      <c r="V671" s="116">
        <f>SUM(V669:V670)</f>
        <v>0</v>
      </c>
      <c r="W671" s="116">
        <f>SUM(W669:W670)</f>
        <v>0</v>
      </c>
      <c r="X671" s="3"/>
      <c r="Y671" s="116" t="e">
        <f>SUM(Y669:Y670)</f>
        <v>#VALUE!</v>
      </c>
      <c r="Z671" s="116" t="e">
        <f>SUM(Z669:Z670)</f>
        <v>#VALUE!</v>
      </c>
      <c r="AA671" s="116" t="e">
        <f>SUM(AA669:AA670)</f>
        <v>#VALUE!</v>
      </c>
      <c r="AB671" s="116" t="e">
        <f>SUM(AB669:AB670)</f>
        <v>#VALUE!</v>
      </c>
      <c r="AC671" s="116" t="e">
        <f>SUM(AC669:AC670)</f>
        <v>#VALUE!</v>
      </c>
      <c r="AD671" s="117" t="e">
        <f>ROUND(SUM(-G671,H671:L671),0)</f>
        <v>#VALUE!</v>
      </c>
      <c r="AE671" s="117" t="e">
        <f>ROUND(H671-O671-P671-Q671-R671,0)</f>
        <v>#VALUE!</v>
      </c>
      <c r="AF671" s="117" t="e">
        <f>ROUND(I671-T671-U671-V671-W671,0)</f>
        <v>#VALUE!</v>
      </c>
      <c r="AG671" s="117" t="e">
        <f>ROUND(J671-Y671-Z671-AA671-AC671-AB671,0)</f>
        <v>#VALUE!</v>
      </c>
      <c r="AH671" s="116"/>
      <c r="AI671">
        <f t="shared" si="277"/>
        <v>903</v>
      </c>
      <c r="AJ671" t="str">
        <f t="shared" si="308"/>
        <v>NA</v>
      </c>
      <c r="AK671" t="str">
        <f>IF(ISERROR(MATCH(AI671&amp;"."&amp;AJ671,AK$91:AK670,0)),AI671&amp;"."&amp;AJ671,AI671&amp;"."&amp;AJ671&amp;COUNTIFS(AI$91:AI670,AI671,AJ$91:AJ670,AJ671))</f>
        <v>903.NA1</v>
      </c>
    </row>
    <row r="672" spans="1:37" ht="15" hidden="1">
      <c r="A672" s="120">
        <f>ROW()</f>
        <v>672</v>
      </c>
      <c r="B672" s="120"/>
      <c r="C672" s="1"/>
      <c r="E672" s="121"/>
      <c r="F672" s="138"/>
      <c r="G672" s="119"/>
      <c r="X672" s="3"/>
      <c r="AD672" s="119"/>
      <c r="AE672" s="119"/>
      <c r="AF672" s="119"/>
      <c r="AG672" s="119"/>
      <c r="AI672">
        <f t="shared" si="277"/>
        <v>903</v>
      </c>
      <c r="AJ672" t="str">
        <f t="shared" si="308"/>
        <v>NA</v>
      </c>
      <c r="AK672" t="str">
        <f>IF(ISERROR(MATCH(AI672&amp;"."&amp;AJ672,AK$91:AK671,0)),AI672&amp;"."&amp;AJ672,AI672&amp;"."&amp;AJ672&amp;COUNTIFS(AI$91:AI671,AI672,AJ$91:AJ671,AJ672))</f>
        <v>903.NA2</v>
      </c>
    </row>
    <row r="673" spans="1:37" ht="15" hidden="1">
      <c r="A673" s="120">
        <f>ROW()</f>
        <v>673</v>
      </c>
      <c r="B673" s="120"/>
      <c r="C673" s="1">
        <v>904</v>
      </c>
      <c r="D673" s="2" t="s">
        <v>337</v>
      </c>
      <c r="E673" s="121"/>
      <c r="F673" s="138"/>
      <c r="G673" s="119"/>
      <c r="X673" s="3"/>
      <c r="AD673" s="119"/>
      <c r="AE673" s="119"/>
      <c r="AF673" s="119"/>
      <c r="AG673" s="119"/>
      <c r="AI673">
        <f t="shared" si="277"/>
        <v>904</v>
      </c>
      <c r="AJ673" t="str">
        <f t="shared" si="308"/>
        <v>NA</v>
      </c>
      <c r="AK673" t="str">
        <f>IF(ISERROR(MATCH(AI673&amp;"."&amp;AJ673,AK$91:AK672,0)),AI673&amp;"."&amp;AJ673,AI673&amp;"."&amp;AJ673&amp;COUNTIFS(AI$91:AI672,AI673,AJ$91:AJ672,AJ673))</f>
        <v>904.NA</v>
      </c>
    </row>
    <row r="674" spans="1:37" ht="15" hidden="1">
      <c r="A674" s="120">
        <f>ROW()</f>
        <v>674</v>
      </c>
      <c r="B674" s="120"/>
      <c r="C674" s="1"/>
      <c r="E674" s="121" t="s">
        <v>12</v>
      </c>
      <c r="F674" s="138" t="str">
        <f>INDEX(FuncAllocOptions,ROW(A674)-ROW($A$92)+1,[4]Inputs!$S$11)</f>
        <v>CUST</v>
      </c>
      <c r="G674" s="117" t="e">
        <f>SUMIF(FERCJAMFactor,AK674,JAMValue)</f>
        <v>#VALUE!</v>
      </c>
      <c r="H674" s="116" t="e">
        <f t="shared" ref="H674:L676" si="310">INDEX(FuncFactorTbl,MATCH($F674,FuncFactors,0),MATCH(H$8,Functions,0))*$G674</f>
        <v>#VALUE!</v>
      </c>
      <c r="I674" s="116" t="e">
        <f t="shared" si="310"/>
        <v>#VALUE!</v>
      </c>
      <c r="J674" s="116" t="e">
        <f t="shared" si="310"/>
        <v>#VALUE!</v>
      </c>
      <c r="K674" s="116" t="e">
        <f t="shared" si="310"/>
        <v>#VALUE!</v>
      </c>
      <c r="L674" s="116" t="e">
        <f t="shared" si="310"/>
        <v>#VALUE!</v>
      </c>
      <c r="X674" s="3" t="str">
        <f>INDEX(DistFuncAllocOptions,ROW(A674)-ROW($A$92)+1,[4]Inputs!$S$11)</f>
        <v>CUST</v>
      </c>
      <c r="Y674" s="116" t="e">
        <f t="shared" ref="Y674:AC676" si="311">INDEX(DistFuncFactorTbl,MATCH($X674,DistFuncFactors,0),MATCH(Y$91,DistFunctions,0))*$J674</f>
        <v>#VALUE!</v>
      </c>
      <c r="Z674" s="116" t="e">
        <f t="shared" si="311"/>
        <v>#VALUE!</v>
      </c>
      <c r="AA674" s="116" t="e">
        <f t="shared" si="311"/>
        <v>#VALUE!</v>
      </c>
      <c r="AB674" s="116" t="e">
        <f t="shared" si="311"/>
        <v>#VALUE!</v>
      </c>
      <c r="AC674" s="116" t="e">
        <f t="shared" si="311"/>
        <v>#VALUE!</v>
      </c>
      <c r="AD674" s="117" t="e">
        <f>ROUND(SUM(-G674,H674:L674),0)</f>
        <v>#VALUE!</v>
      </c>
      <c r="AE674" s="117" t="e">
        <f>ROUND(H674-O674-P674-Q674-R674,0)</f>
        <v>#VALUE!</v>
      </c>
      <c r="AF674" s="117" t="e">
        <f>ROUND(I674-T674-U674-V674-W674,0)</f>
        <v>#VALUE!</v>
      </c>
      <c r="AG674" s="117" t="e">
        <f>ROUND(J674-Y674-Z674-AA674-AC674-AB674,0)</f>
        <v>#VALUE!</v>
      </c>
      <c r="AH674" s="116"/>
      <c r="AI674">
        <f t="shared" si="277"/>
        <v>904</v>
      </c>
      <c r="AJ674" t="str">
        <f t="shared" si="308"/>
        <v>S</v>
      </c>
      <c r="AK674" t="str">
        <f>IF(ISERROR(MATCH(AI674&amp;"."&amp;AJ674,AK$91:AK673,0)),AI674&amp;"."&amp;AJ674,AI674&amp;"."&amp;AJ674&amp;COUNTIFS(AI$91:AI673,AI674,AJ$91:AJ673,AJ674))</f>
        <v>904.S</v>
      </c>
    </row>
    <row r="675" spans="1:37" ht="15" hidden="1">
      <c r="A675" s="120">
        <f>ROW()</f>
        <v>675</v>
      </c>
      <c r="B675" s="120"/>
      <c r="C675" s="1"/>
      <c r="E675" s="121" t="s">
        <v>15</v>
      </c>
      <c r="F675" s="138" t="str">
        <f>INDEX(FuncAllocOptions,ROW(A675)-ROW($A$92)+1,[4]Inputs!$S$11)</f>
        <v>P</v>
      </c>
      <c r="G675" s="117" t="e">
        <f>SUMIF(FERCJAMFactor,AK675,JAMValue)</f>
        <v>#VALUE!</v>
      </c>
      <c r="H675" s="116" t="e">
        <f t="shared" si="310"/>
        <v>#VALUE!</v>
      </c>
      <c r="I675" s="116" t="e">
        <f t="shared" si="310"/>
        <v>#VALUE!</v>
      </c>
      <c r="J675" s="116" t="e">
        <f t="shared" si="310"/>
        <v>#VALUE!</v>
      </c>
      <c r="K675" s="116" t="e">
        <f t="shared" si="310"/>
        <v>#VALUE!</v>
      </c>
      <c r="L675" s="116" t="e">
        <f t="shared" si="310"/>
        <v>#VALUE!</v>
      </c>
      <c r="X675" s="3" t="str">
        <f>INDEX(DistFuncAllocOptions,ROW(A675)-ROW($A$92)+1,[4]Inputs!$S$11)</f>
        <v>CUST</v>
      </c>
      <c r="Y675" s="116" t="e">
        <f t="shared" si="311"/>
        <v>#VALUE!</v>
      </c>
      <c r="Z675" s="116" t="e">
        <f t="shared" si="311"/>
        <v>#VALUE!</v>
      </c>
      <c r="AA675" s="116" t="e">
        <f t="shared" si="311"/>
        <v>#VALUE!</v>
      </c>
      <c r="AB675" s="116" t="e">
        <f t="shared" si="311"/>
        <v>#VALUE!</v>
      </c>
      <c r="AC675" s="116" t="e">
        <f t="shared" si="311"/>
        <v>#VALUE!</v>
      </c>
      <c r="AD675" s="117" t="e">
        <f>ROUND(SUM(-G675,H675:L675),0)</f>
        <v>#VALUE!</v>
      </c>
      <c r="AE675" s="117" t="e">
        <f>ROUND(H675-O675-P675-Q675-R675,0)</f>
        <v>#VALUE!</v>
      </c>
      <c r="AF675" s="117" t="e">
        <f>ROUND(I675-T675-U675-V675-W675,0)</f>
        <v>#VALUE!</v>
      </c>
      <c r="AG675" s="117" t="e">
        <f>ROUND(J675-Y675-Z675-AA675-AC675-AB675,0)</f>
        <v>#VALUE!</v>
      </c>
      <c r="AH675" s="116"/>
      <c r="AI675">
        <f t="shared" si="277"/>
        <v>904</v>
      </c>
      <c r="AJ675" t="str">
        <f t="shared" si="308"/>
        <v>SG</v>
      </c>
      <c r="AK675" t="str">
        <f>IF(ISERROR(MATCH(AI675&amp;"."&amp;AJ675,AK$91:AK674,0)),AI675&amp;"."&amp;AJ675,AI675&amp;"."&amp;AJ675&amp;COUNTIFS(AI$91:AI674,AI675,AJ$91:AJ674,AJ675))</f>
        <v>904.SG</v>
      </c>
    </row>
    <row r="676" spans="1:37" ht="15" hidden="1">
      <c r="A676" s="120">
        <f>ROW()</f>
        <v>676</v>
      </c>
      <c r="B676" s="120"/>
      <c r="C676" s="1"/>
      <c r="E676" s="121" t="s">
        <v>155</v>
      </c>
      <c r="F676" s="138" t="str">
        <f>INDEX(FuncAllocOptions,ROW(A676)-ROW($A$92)+1,[4]Inputs!$S$11)</f>
        <v>CUST</v>
      </c>
      <c r="G676" s="133" t="e">
        <f>SUMIF(FERCJAMFactor,AK676,JAMValue)</f>
        <v>#VALUE!</v>
      </c>
      <c r="H676" s="139" t="e">
        <f t="shared" si="310"/>
        <v>#VALUE!</v>
      </c>
      <c r="I676" s="139" t="e">
        <f t="shared" si="310"/>
        <v>#VALUE!</v>
      </c>
      <c r="J676" s="139" t="e">
        <f t="shared" si="310"/>
        <v>#VALUE!</v>
      </c>
      <c r="K676" s="139" t="e">
        <f t="shared" si="310"/>
        <v>#VALUE!</v>
      </c>
      <c r="L676" s="139" t="e">
        <f t="shared" si="310"/>
        <v>#VALUE!</v>
      </c>
      <c r="O676" s="116"/>
      <c r="P676" s="116"/>
      <c r="Q676" s="116"/>
      <c r="R676" s="116"/>
      <c r="X676" s="3" t="str">
        <f>INDEX(DistFuncAllocOptions,ROW(A676)-ROW($A$92)+1,[4]Inputs!$S$11)</f>
        <v>CUST</v>
      </c>
      <c r="Y676" s="116" t="e">
        <f t="shared" si="311"/>
        <v>#VALUE!</v>
      </c>
      <c r="Z676" s="116" t="e">
        <f t="shared" si="311"/>
        <v>#VALUE!</v>
      </c>
      <c r="AA676" s="116" t="e">
        <f t="shared" si="311"/>
        <v>#VALUE!</v>
      </c>
      <c r="AB676" s="116" t="e">
        <f t="shared" si="311"/>
        <v>#VALUE!</v>
      </c>
      <c r="AC676" s="116" t="e">
        <f t="shared" si="311"/>
        <v>#VALUE!</v>
      </c>
      <c r="AD676" s="117" t="e">
        <f>ROUND(SUM(-G676,H676:L676),0)</f>
        <v>#VALUE!</v>
      </c>
      <c r="AE676" s="117" t="e">
        <f>ROUND(H676-O676-P676-Q676-R676,0)</f>
        <v>#VALUE!</v>
      </c>
      <c r="AF676" s="117" t="e">
        <f>ROUND(I676-T676-U676-V676-W676,0)</f>
        <v>#VALUE!</v>
      </c>
      <c r="AG676" s="117" t="e">
        <f>ROUND(J676-Y676-Z676-AA676-AC676-AB676,0)</f>
        <v>#VALUE!</v>
      </c>
      <c r="AH676" s="116"/>
      <c r="AI676">
        <f t="shared" si="277"/>
        <v>904</v>
      </c>
      <c r="AJ676" t="str">
        <f t="shared" si="308"/>
        <v>CN</v>
      </c>
      <c r="AK676" t="str">
        <f>IF(ISERROR(MATCH(AI676&amp;"."&amp;AJ676,AK$91:AK675,0)),AI676&amp;"."&amp;AJ676,AI676&amp;"."&amp;AJ676&amp;COUNTIFS(AI$91:AI675,AI676,AJ$91:AJ675,AJ676))</f>
        <v>904.CN</v>
      </c>
    </row>
    <row r="677" spans="1:37" ht="15" hidden="1">
      <c r="A677" s="120">
        <f>ROW()</f>
        <v>677</v>
      </c>
      <c r="B677" s="120"/>
      <c r="C677" s="1"/>
      <c r="E677" s="121"/>
      <c r="F677" s="138"/>
      <c r="G677" s="117" t="e">
        <f t="shared" ref="G677:L677" si="312">SUM(G674:G676)</f>
        <v>#VALUE!</v>
      </c>
      <c r="H677" s="116" t="e">
        <f t="shared" si="312"/>
        <v>#VALUE!</v>
      </c>
      <c r="I677" s="116" t="e">
        <f t="shared" si="312"/>
        <v>#VALUE!</v>
      </c>
      <c r="J677" s="116" t="e">
        <f t="shared" si="312"/>
        <v>#VALUE!</v>
      </c>
      <c r="K677" s="116" t="e">
        <f t="shared" si="312"/>
        <v>#VALUE!</v>
      </c>
      <c r="L677" s="116" t="e">
        <f t="shared" si="312"/>
        <v>#VALUE!</v>
      </c>
      <c r="O677" s="116">
        <f>SUM(O674:O676)</f>
        <v>0</v>
      </c>
      <c r="P677" s="116">
        <f>SUM(P674:P676)</f>
        <v>0</v>
      </c>
      <c r="Q677" s="116">
        <f>SUM(Q674:Q676)</f>
        <v>0</v>
      </c>
      <c r="R677" s="116">
        <f>SUM(R674:R676)</f>
        <v>0</v>
      </c>
      <c r="T677" s="116">
        <f>SUM(T674:T676)</f>
        <v>0</v>
      </c>
      <c r="U677" s="116">
        <f>SUM(U674:U676)</f>
        <v>0</v>
      </c>
      <c r="V677" s="116">
        <f>SUM(V674:V676)</f>
        <v>0</v>
      </c>
      <c r="W677" s="116">
        <f>SUM(W674:W676)</f>
        <v>0</v>
      </c>
      <c r="X677" s="3"/>
      <c r="Y677" s="116" t="e">
        <f>SUM(Y674:Y676)</f>
        <v>#VALUE!</v>
      </c>
      <c r="Z677" s="116" t="e">
        <f>SUM(Z674:Z676)</f>
        <v>#VALUE!</v>
      </c>
      <c r="AA677" s="116" t="e">
        <f>SUM(AA674:AA676)</f>
        <v>#VALUE!</v>
      </c>
      <c r="AB677" s="116" t="e">
        <f>SUM(AB674:AB676)</f>
        <v>#VALUE!</v>
      </c>
      <c r="AC677" s="116" t="e">
        <f>SUM(AC674:AC676)</f>
        <v>#VALUE!</v>
      </c>
      <c r="AD677" s="117" t="e">
        <f>ROUND(SUM(-G677,H677:L677),0)</f>
        <v>#VALUE!</v>
      </c>
      <c r="AE677" s="117" t="e">
        <f>ROUND(H677-O677-P677-Q677-R677,0)</f>
        <v>#VALUE!</v>
      </c>
      <c r="AF677" s="117" t="e">
        <f>ROUND(I677-T677-U677-V677-W677,0)</f>
        <v>#VALUE!</v>
      </c>
      <c r="AG677" s="117" t="e">
        <f>ROUND(J677-Y677-Z677-AA677-AC677-AB677,0)</f>
        <v>#VALUE!</v>
      </c>
      <c r="AH677" s="116"/>
      <c r="AI677">
        <f t="shared" si="277"/>
        <v>904</v>
      </c>
      <c r="AJ677" t="str">
        <f t="shared" si="308"/>
        <v>NA</v>
      </c>
      <c r="AK677" t="str">
        <f>IF(ISERROR(MATCH(AI677&amp;"."&amp;AJ677,AK$91:AK676,0)),AI677&amp;"."&amp;AJ677,AI677&amp;"."&amp;AJ677&amp;COUNTIFS(AI$91:AI676,AI677,AJ$91:AJ676,AJ677))</f>
        <v>904.NA1</v>
      </c>
    </row>
    <row r="678" spans="1:37" ht="15" hidden="1">
      <c r="A678" s="120">
        <f>ROW()</f>
        <v>678</v>
      </c>
      <c r="B678" s="120"/>
      <c r="C678" s="1"/>
      <c r="E678" s="121"/>
      <c r="F678" s="138"/>
      <c r="G678" s="119"/>
      <c r="X678" s="3"/>
      <c r="AD678" s="119"/>
      <c r="AE678" s="119"/>
      <c r="AF678" s="119"/>
      <c r="AG678" s="119"/>
      <c r="AI678">
        <f t="shared" si="277"/>
        <v>904</v>
      </c>
      <c r="AJ678" t="str">
        <f t="shared" si="308"/>
        <v>NA</v>
      </c>
      <c r="AK678" t="str">
        <f>IF(ISERROR(MATCH(AI678&amp;"."&amp;AJ678,AK$91:AK677,0)),AI678&amp;"."&amp;AJ678,AI678&amp;"."&amp;AJ678&amp;COUNTIFS(AI$91:AI677,AI678,AJ$91:AJ677,AJ678))</f>
        <v>904.NA2</v>
      </c>
    </row>
    <row r="679" spans="1:37" ht="15" hidden="1">
      <c r="A679" s="120">
        <f>ROW()</f>
        <v>679</v>
      </c>
      <c r="B679" s="120"/>
      <c r="C679" s="1">
        <v>905</v>
      </c>
      <c r="D679" s="2" t="s">
        <v>338</v>
      </c>
      <c r="E679" s="121"/>
      <c r="F679" s="138"/>
      <c r="G679" s="119"/>
      <c r="X679" s="3"/>
      <c r="AD679" s="119"/>
      <c r="AE679" s="119"/>
      <c r="AF679" s="119"/>
      <c r="AG679" s="119"/>
      <c r="AI679">
        <f t="shared" si="277"/>
        <v>905</v>
      </c>
      <c r="AJ679" t="str">
        <f t="shared" si="308"/>
        <v>NA</v>
      </c>
      <c r="AK679" t="str">
        <f>IF(ISERROR(MATCH(AI679&amp;"."&amp;AJ679,AK$91:AK678,0)),AI679&amp;"."&amp;AJ679,AI679&amp;"."&amp;AJ679&amp;COUNTIFS(AI$91:AI678,AI679,AJ$91:AJ678,AJ679))</f>
        <v>905.NA</v>
      </c>
    </row>
    <row r="680" spans="1:37" ht="15" hidden="1">
      <c r="A680" s="120">
        <f>ROW()</f>
        <v>680</v>
      </c>
      <c r="B680" s="120"/>
      <c r="E680" s="121" t="s">
        <v>12</v>
      </c>
      <c r="F680" s="138" t="str">
        <f>INDEX(FuncAllocOptions,ROW(A680)-ROW($A$92)+1,[4]Inputs!$S$11)</f>
        <v>CUST</v>
      </c>
      <c r="G680" s="117" t="e">
        <f>SUMIF(FERCJAMFactor,AK680,JAMValue)</f>
        <v>#VALUE!</v>
      </c>
      <c r="H680" s="116" t="e">
        <f t="shared" ref="H680:L681" si="313">INDEX(FuncFactorTbl,MATCH($F680,FuncFactors,0),MATCH(H$8,Functions,0))*$G680</f>
        <v>#VALUE!</v>
      </c>
      <c r="I680" s="116" t="e">
        <f t="shared" si="313"/>
        <v>#VALUE!</v>
      </c>
      <c r="J680" s="116" t="e">
        <f t="shared" si="313"/>
        <v>#VALUE!</v>
      </c>
      <c r="K680" s="116" t="e">
        <f t="shared" si="313"/>
        <v>#VALUE!</v>
      </c>
      <c r="L680" s="116" t="e">
        <f t="shared" si="313"/>
        <v>#VALUE!</v>
      </c>
      <c r="X680" s="3" t="str">
        <f>INDEX(DistFuncAllocOptions,ROW(A680)-ROW($A$92)+1,[4]Inputs!$S$11)</f>
        <v>CUST</v>
      </c>
      <c r="Y680" s="116" t="e">
        <f t="shared" ref="Y680:AC681" si="314">INDEX(DistFuncFactorTbl,MATCH($X680,DistFuncFactors,0),MATCH(Y$91,DistFunctions,0))*$J680</f>
        <v>#VALUE!</v>
      </c>
      <c r="Z680" s="116" t="e">
        <f t="shared" si="314"/>
        <v>#VALUE!</v>
      </c>
      <c r="AA680" s="116" t="e">
        <f t="shared" si="314"/>
        <v>#VALUE!</v>
      </c>
      <c r="AB680" s="116" t="e">
        <f t="shared" si="314"/>
        <v>#VALUE!</v>
      </c>
      <c r="AC680" s="116" t="e">
        <f t="shared" si="314"/>
        <v>#VALUE!</v>
      </c>
      <c r="AD680" s="117" t="e">
        <f>ROUND(SUM(-G680,H680:L680),0)</f>
        <v>#VALUE!</v>
      </c>
      <c r="AE680" s="117" t="e">
        <f>ROUND(H680-O680-P680-Q680-R680,0)</f>
        <v>#VALUE!</v>
      </c>
      <c r="AF680" s="117" t="e">
        <f>ROUND(I680-T680-U680-V680-W680,0)</f>
        <v>#VALUE!</v>
      </c>
      <c r="AG680" s="117" t="e">
        <f>ROUND(J680-Y680-Z680-AA680-AC680-AB680,0)</f>
        <v>#VALUE!</v>
      </c>
      <c r="AH680" s="116"/>
      <c r="AI680">
        <f t="shared" si="277"/>
        <v>905</v>
      </c>
      <c r="AJ680" t="str">
        <f t="shared" si="308"/>
        <v>S</v>
      </c>
      <c r="AK680" t="str">
        <f>IF(ISERROR(MATCH(AI680&amp;"."&amp;AJ680,AK$91:AK679,0)),AI680&amp;"."&amp;AJ680,AI680&amp;"."&amp;AJ680&amp;COUNTIFS(AI$91:AI679,AI680,AJ$91:AJ679,AJ680))</f>
        <v>905.S</v>
      </c>
    </row>
    <row r="681" spans="1:37" ht="15" hidden="1">
      <c r="A681" s="120">
        <f>ROW()</f>
        <v>681</v>
      </c>
      <c r="B681" s="120"/>
      <c r="E681" s="121" t="s">
        <v>155</v>
      </c>
      <c r="F681" s="138" t="str">
        <f>INDEX(FuncAllocOptions,ROW(A681)-ROW($A$92)+1,[4]Inputs!$S$11)</f>
        <v>CUST</v>
      </c>
      <c r="G681" s="133" t="e">
        <f>SUMIF(FERCJAMFactor,AK681,JAMValue)</f>
        <v>#VALUE!</v>
      </c>
      <c r="H681" s="139" t="e">
        <f t="shared" si="313"/>
        <v>#VALUE!</v>
      </c>
      <c r="I681" s="139" t="e">
        <f t="shared" si="313"/>
        <v>#VALUE!</v>
      </c>
      <c r="J681" s="139" t="e">
        <f t="shared" si="313"/>
        <v>#VALUE!</v>
      </c>
      <c r="K681" s="139" t="e">
        <f t="shared" si="313"/>
        <v>#VALUE!</v>
      </c>
      <c r="L681" s="139" t="e">
        <f t="shared" si="313"/>
        <v>#VALUE!</v>
      </c>
      <c r="X681" s="3" t="str">
        <f>INDEX(DistFuncAllocOptions,ROW(A681)-ROW($A$92)+1,[4]Inputs!$S$11)</f>
        <v>CUST</v>
      </c>
      <c r="Y681" s="116" t="e">
        <f t="shared" si="314"/>
        <v>#VALUE!</v>
      </c>
      <c r="Z681" s="116" t="e">
        <f t="shared" si="314"/>
        <v>#VALUE!</v>
      </c>
      <c r="AA681" s="116" t="e">
        <f t="shared" si="314"/>
        <v>#VALUE!</v>
      </c>
      <c r="AB681" s="116" t="e">
        <f t="shared" si="314"/>
        <v>#VALUE!</v>
      </c>
      <c r="AC681" s="116" t="e">
        <f t="shared" si="314"/>
        <v>#VALUE!</v>
      </c>
      <c r="AD681" s="117" t="e">
        <f>ROUND(SUM(-G681,H681:L681),0)</f>
        <v>#VALUE!</v>
      </c>
      <c r="AE681" s="117" t="e">
        <f>ROUND(H681-O681-P681-Q681-R681,0)</f>
        <v>#VALUE!</v>
      </c>
      <c r="AF681" s="117" t="e">
        <f>ROUND(I681-T681-U681-V681-W681,0)</f>
        <v>#VALUE!</v>
      </c>
      <c r="AG681" s="117" t="e">
        <f>ROUND(J681-Y681-Z681-AA681-AC681-AB681,0)</f>
        <v>#VALUE!</v>
      </c>
      <c r="AH681" s="116"/>
      <c r="AI681">
        <f t="shared" si="277"/>
        <v>905</v>
      </c>
      <c r="AJ681" t="str">
        <f t="shared" si="308"/>
        <v>CN</v>
      </c>
      <c r="AK681" t="str">
        <f>IF(ISERROR(MATCH(AI681&amp;"."&amp;AJ681,AK$91:AK680,0)),AI681&amp;"."&amp;AJ681,AI681&amp;"."&amp;AJ681&amp;COUNTIFS(AI$91:AI680,AI681,AJ$91:AJ680,AJ681))</f>
        <v>905.CN</v>
      </c>
    </row>
    <row r="682" spans="1:37" ht="15" hidden="1">
      <c r="A682" s="120">
        <f>ROW()</f>
        <v>682</v>
      </c>
      <c r="B682" s="120"/>
      <c r="E682" s="121"/>
      <c r="F682" s="138"/>
      <c r="G682" s="117" t="e">
        <f t="shared" ref="G682:L682" si="315">SUM(G680:G681)</f>
        <v>#VALUE!</v>
      </c>
      <c r="H682" s="116" t="e">
        <f t="shared" si="315"/>
        <v>#VALUE!</v>
      </c>
      <c r="I682" s="116" t="e">
        <f t="shared" si="315"/>
        <v>#VALUE!</v>
      </c>
      <c r="J682" s="116" t="e">
        <f t="shared" si="315"/>
        <v>#VALUE!</v>
      </c>
      <c r="K682" s="116" t="e">
        <f t="shared" si="315"/>
        <v>#VALUE!</v>
      </c>
      <c r="L682" s="116" t="e">
        <f t="shared" si="315"/>
        <v>#VALUE!</v>
      </c>
      <c r="O682" s="116">
        <f>SUM(O680:O681)</f>
        <v>0</v>
      </c>
      <c r="P682" s="116">
        <f>SUM(P680:P681)</f>
        <v>0</v>
      </c>
      <c r="Q682" s="116">
        <f>SUM(Q680:Q681)</f>
        <v>0</v>
      </c>
      <c r="R682" s="116">
        <f>SUM(R680:R681)</f>
        <v>0</v>
      </c>
      <c r="T682" s="116">
        <f>SUM(T680:T681)</f>
        <v>0</v>
      </c>
      <c r="U682" s="116">
        <f>SUM(U680:U681)</f>
        <v>0</v>
      </c>
      <c r="V682" s="116">
        <f>SUM(V680:V681)</f>
        <v>0</v>
      </c>
      <c r="W682" s="116">
        <f>SUM(W680:W681)</f>
        <v>0</v>
      </c>
      <c r="X682" s="3"/>
      <c r="Y682" s="116" t="e">
        <f>SUM(Y680:Y681)</f>
        <v>#VALUE!</v>
      </c>
      <c r="Z682" s="116" t="e">
        <f>SUM(Z680:Z681)</f>
        <v>#VALUE!</v>
      </c>
      <c r="AA682" s="116" t="e">
        <f>SUM(AA680:AA681)</f>
        <v>#VALUE!</v>
      </c>
      <c r="AB682" s="116" t="e">
        <f>SUM(AB680:AB681)</f>
        <v>#VALUE!</v>
      </c>
      <c r="AC682" s="116" t="e">
        <f>SUM(AC680:AC681)</f>
        <v>#VALUE!</v>
      </c>
      <c r="AD682" s="117" t="e">
        <f>ROUND(SUM(-G682,H682:L682),0)</f>
        <v>#VALUE!</v>
      </c>
      <c r="AE682" s="117" t="e">
        <f>ROUND(H682-O682-P682-Q682-R682,0)</f>
        <v>#VALUE!</v>
      </c>
      <c r="AF682" s="117" t="e">
        <f>ROUND(I682-T682-U682-V682-W682,0)</f>
        <v>#VALUE!</v>
      </c>
      <c r="AG682" s="117" t="e">
        <f>ROUND(J682-Y682-Z682-AA682-AC682-AB682,0)</f>
        <v>#VALUE!</v>
      </c>
      <c r="AH682" s="116"/>
      <c r="AI682">
        <f t="shared" si="277"/>
        <v>905</v>
      </c>
      <c r="AJ682" t="str">
        <f t="shared" si="308"/>
        <v>NA</v>
      </c>
      <c r="AK682" t="str">
        <f>IF(ISERROR(MATCH(AI682&amp;"."&amp;AJ682,AK$91:AK681,0)),AI682&amp;"."&amp;AJ682,AI682&amp;"."&amp;AJ682&amp;COUNTIFS(AI$91:AI681,AI682,AJ$91:AJ681,AJ682))</f>
        <v>905.NA1</v>
      </c>
    </row>
    <row r="683" spans="1:37" ht="15" hidden="1">
      <c r="A683" s="120">
        <f>ROW()</f>
        <v>683</v>
      </c>
      <c r="B683" s="120"/>
      <c r="E683" s="121"/>
      <c r="F683" s="138"/>
      <c r="G683" s="119"/>
      <c r="X683" s="3"/>
      <c r="AD683" s="119"/>
      <c r="AE683" s="119"/>
      <c r="AF683" s="119"/>
      <c r="AG683" s="119"/>
      <c r="AI683">
        <f t="shared" si="277"/>
        <v>905</v>
      </c>
      <c r="AJ683" t="str">
        <f t="shared" si="308"/>
        <v>NA</v>
      </c>
      <c r="AK683" t="str">
        <f>IF(ISERROR(MATCH(AI683&amp;"."&amp;AJ683,AK$91:AK682,0)),AI683&amp;"."&amp;AJ683,AI683&amp;"."&amp;AJ683&amp;COUNTIFS(AI$91:AI682,AI683,AJ$91:AJ682,AJ683))</f>
        <v>905.NA2</v>
      </c>
    </row>
    <row r="684" spans="1:37" ht="15.75" hidden="1" thickBot="1">
      <c r="A684" s="120">
        <f>ROW()</f>
        <v>684</v>
      </c>
      <c r="B684" s="120"/>
      <c r="C684" s="110" t="s">
        <v>765</v>
      </c>
      <c r="E684" s="121"/>
      <c r="F684" s="138"/>
      <c r="G684" s="153" t="e">
        <f t="shared" ref="G684:L684" si="316">G661+G666+G671+G677+G682</f>
        <v>#VALUE!</v>
      </c>
      <c r="H684" s="152" t="e">
        <f t="shared" si="316"/>
        <v>#VALUE!</v>
      </c>
      <c r="I684" s="152" t="e">
        <f t="shared" si="316"/>
        <v>#VALUE!</v>
      </c>
      <c r="J684" s="152" t="e">
        <f t="shared" si="316"/>
        <v>#VALUE!</v>
      </c>
      <c r="K684" s="152" t="e">
        <f t="shared" si="316"/>
        <v>#VALUE!</v>
      </c>
      <c r="L684" s="152" t="e">
        <f t="shared" si="316"/>
        <v>#VALUE!</v>
      </c>
      <c r="O684" s="116">
        <f>O661+O666+O671+O677+O682</f>
        <v>0</v>
      </c>
      <c r="P684" s="116">
        <f>P661+P666+P671+P677+P682</f>
        <v>0</v>
      </c>
      <c r="Q684" s="116">
        <f>Q661+Q666+Q671+Q677+Q682</f>
        <v>0</v>
      </c>
      <c r="R684" s="116">
        <f>R661+R666+R671+R677+R682</f>
        <v>0</v>
      </c>
      <c r="S684" s="116"/>
      <c r="T684" s="116">
        <f>T661+T666+T671+T677+T682</f>
        <v>0</v>
      </c>
      <c r="U684" s="116">
        <f>U661+U666+U671+U677+U682</f>
        <v>0</v>
      </c>
      <c r="V684" s="116">
        <f>V661+V666+V671+V677+V682</f>
        <v>0</v>
      </c>
      <c r="W684" s="116">
        <f>W661+W666+W671+W677+W682</f>
        <v>0</v>
      </c>
      <c r="X684" s="3"/>
      <c r="Y684" s="116" t="e">
        <f>Y661+Y666+Y671+Y677+Y682</f>
        <v>#VALUE!</v>
      </c>
      <c r="Z684" s="116" t="e">
        <f>Z661+Z666+Z671+Z677+Z682</f>
        <v>#VALUE!</v>
      </c>
      <c r="AA684" s="116" t="e">
        <f>AA661+AA666+AA671+AA677+AA682</f>
        <v>#VALUE!</v>
      </c>
      <c r="AB684" s="116" t="e">
        <f>AB661+AB666+AB671+AB677+AB682</f>
        <v>#VALUE!</v>
      </c>
      <c r="AC684" s="116" t="e">
        <f>AC661+AC666+AC671+AC677+AC682</f>
        <v>#VALUE!</v>
      </c>
      <c r="AD684" s="117" t="e">
        <f>ROUND(SUM(-G684,H684:L684),0)</f>
        <v>#VALUE!</v>
      </c>
      <c r="AE684" s="117" t="e">
        <f>ROUND(H684-O684-P684-Q684-R684,0)</f>
        <v>#VALUE!</v>
      </c>
      <c r="AF684" s="117" t="e">
        <f>ROUND(I684-T684-U684-V684-W684,0)</f>
        <v>#VALUE!</v>
      </c>
      <c r="AG684" s="117" t="e">
        <f>ROUND(J684-Y684-Z684-AA684-AC684-AB684,0)</f>
        <v>#VALUE!</v>
      </c>
      <c r="AH684" s="116"/>
      <c r="AI684" t="str">
        <f t="shared" ref="AI684:AI747" si="317">IF(OR(C684="",C684=" ",C684="  ",C684="   "),AI683,C684)</f>
        <v>TOTAL CUSTOMER ACCOUNTS EXPENSE</v>
      </c>
      <c r="AJ684" t="str">
        <f t="shared" si="308"/>
        <v>NA</v>
      </c>
      <c r="AK684" t="str">
        <f>IF(ISERROR(MATCH(AI684&amp;"."&amp;AJ684,AK$91:AK683,0)),AI684&amp;"."&amp;AJ684,AI684&amp;"."&amp;AJ684&amp;COUNTIFS(AI$91:AI683,AI684,AJ$91:AJ683,AJ684))</f>
        <v>TOTAL CUSTOMER ACCOUNTS EXPENSE.NA</v>
      </c>
    </row>
    <row r="685" spans="1:37" ht="15" hidden="1">
      <c r="A685" s="120">
        <f>ROW()</f>
        <v>685</v>
      </c>
      <c r="B685" s="120"/>
      <c r="E685" s="121"/>
      <c r="F685" s="138"/>
      <c r="G685" s="119"/>
      <c r="X685" s="3"/>
      <c r="AD685" s="119"/>
      <c r="AE685" s="119"/>
      <c r="AF685" s="119"/>
      <c r="AG685" s="119"/>
      <c r="AI685" t="str">
        <f t="shared" si="317"/>
        <v>TOTAL CUSTOMER ACCOUNTS EXPENSE</v>
      </c>
      <c r="AJ685" t="str">
        <f t="shared" si="308"/>
        <v>NA</v>
      </c>
      <c r="AK685" t="str">
        <f>IF(ISERROR(MATCH(AI685&amp;"."&amp;AJ685,AK$91:AK684,0)),AI685&amp;"."&amp;AJ685,AI685&amp;"."&amp;AJ685&amp;COUNTIFS(AI$91:AI684,AI685,AJ$91:AJ684,AJ685))</f>
        <v>TOTAL CUSTOMER ACCOUNTS EXPENSE.NA1</v>
      </c>
    </row>
    <row r="686" spans="1:37" ht="15" hidden="1">
      <c r="A686" s="120">
        <f>ROW()</f>
        <v>686</v>
      </c>
      <c r="B686" s="120"/>
      <c r="C686" s="1">
        <v>907</v>
      </c>
      <c r="D686" s="2" t="s">
        <v>334</v>
      </c>
      <c r="E686" s="121"/>
      <c r="F686" s="138"/>
      <c r="G686" s="119"/>
      <c r="X686" s="3"/>
      <c r="AD686" s="119"/>
      <c r="AE686" s="119"/>
      <c r="AF686" s="119"/>
      <c r="AG686" s="119"/>
      <c r="AI686">
        <f t="shared" si="317"/>
        <v>907</v>
      </c>
      <c r="AJ686" t="str">
        <f t="shared" si="308"/>
        <v>NA</v>
      </c>
      <c r="AK686" t="str">
        <f>IF(ISERROR(MATCH(AI686&amp;"."&amp;AJ686,AK$91:AK685,0)),AI686&amp;"."&amp;AJ686,AI686&amp;"."&amp;AJ686&amp;COUNTIFS(AI$91:AI685,AI686,AJ$91:AJ685,AJ686))</f>
        <v>907.NA</v>
      </c>
    </row>
    <row r="687" spans="1:37" ht="15" hidden="1">
      <c r="A687" s="120">
        <f>ROW()</f>
        <v>687</v>
      </c>
      <c r="B687" s="120"/>
      <c r="C687" s="1"/>
      <c r="E687" s="121" t="s">
        <v>12</v>
      </c>
      <c r="F687" s="138" t="str">
        <f>INDEX(FuncAllocOptions,ROW(A687)-ROW($A$92)+1,[4]Inputs!$S$11)</f>
        <v>CUST</v>
      </c>
      <c r="G687" s="117" t="e">
        <f>SUMIF(FERCJAMFactor,AK687,JAMValue)</f>
        <v>#VALUE!</v>
      </c>
      <c r="H687" s="116" t="e">
        <f t="shared" ref="H687:L688" si="318">INDEX(FuncFactorTbl,MATCH($F687,FuncFactors,0),MATCH(H$8,Functions,0))*$G687</f>
        <v>#VALUE!</v>
      </c>
      <c r="I687" s="116" t="e">
        <f t="shared" si="318"/>
        <v>#VALUE!</v>
      </c>
      <c r="J687" s="116" t="e">
        <f t="shared" si="318"/>
        <v>#VALUE!</v>
      </c>
      <c r="K687" s="116" t="e">
        <f t="shared" si="318"/>
        <v>#VALUE!</v>
      </c>
      <c r="L687" s="116" t="e">
        <f t="shared" si="318"/>
        <v>#VALUE!</v>
      </c>
      <c r="X687" s="3" t="str">
        <f>INDEX(DistFuncAllocOptions,ROW(A687)-ROW($A$92)+1,[4]Inputs!$S$11)</f>
        <v>CUST</v>
      </c>
      <c r="Y687" s="116" t="e">
        <f t="shared" ref="Y687:AC688" si="319">INDEX(DistFuncFactorTbl,MATCH($X687,DistFuncFactors,0),MATCH(Y$91,DistFunctions,0))*$J687</f>
        <v>#VALUE!</v>
      </c>
      <c r="Z687" s="116" t="e">
        <f t="shared" si="319"/>
        <v>#VALUE!</v>
      </c>
      <c r="AA687" s="116" t="e">
        <f t="shared" si="319"/>
        <v>#VALUE!</v>
      </c>
      <c r="AB687" s="116" t="e">
        <f t="shared" si="319"/>
        <v>#VALUE!</v>
      </c>
      <c r="AC687" s="116" t="e">
        <f t="shared" si="319"/>
        <v>#VALUE!</v>
      </c>
      <c r="AD687" s="117" t="e">
        <f>ROUND(SUM(-G687,H687:L687),0)</f>
        <v>#VALUE!</v>
      </c>
      <c r="AE687" s="117" t="e">
        <f>ROUND(H687-O687-P687-Q687-R687,0)</f>
        <v>#VALUE!</v>
      </c>
      <c r="AF687" s="117" t="e">
        <f>ROUND(I687-T687-U687-V687-W687,0)</f>
        <v>#VALUE!</v>
      </c>
      <c r="AG687" s="117" t="e">
        <f>ROUND(J687-Y687-Z687-AA687-AC687-AB687,0)</f>
        <v>#VALUE!</v>
      </c>
      <c r="AH687" s="116"/>
      <c r="AI687">
        <f t="shared" si="317"/>
        <v>907</v>
      </c>
      <c r="AJ687" t="str">
        <f t="shared" si="308"/>
        <v>S</v>
      </c>
      <c r="AK687" t="str">
        <f>IF(ISERROR(MATCH(AI687&amp;"."&amp;AJ687,AK$91:AK686,0)),AI687&amp;"."&amp;AJ687,AI687&amp;"."&amp;AJ687&amp;COUNTIFS(AI$91:AI686,AI687,AJ$91:AJ686,AJ687))</f>
        <v>907.S</v>
      </c>
    </row>
    <row r="688" spans="1:37" ht="15" hidden="1">
      <c r="A688" s="120">
        <f>ROW()</f>
        <v>688</v>
      </c>
      <c r="B688" s="120"/>
      <c r="C688" s="1"/>
      <c r="E688" s="121" t="s">
        <v>155</v>
      </c>
      <c r="F688" s="138" t="str">
        <f>INDEX(FuncAllocOptions,ROW(A688)-ROW($A$92)+1,[4]Inputs!$S$11)</f>
        <v>CUST</v>
      </c>
      <c r="G688" s="133" t="e">
        <f>SUMIF(FERCJAMFactor,AK688,JAMValue)</f>
        <v>#VALUE!</v>
      </c>
      <c r="H688" s="139" t="e">
        <f t="shared" si="318"/>
        <v>#VALUE!</v>
      </c>
      <c r="I688" s="139" t="e">
        <f t="shared" si="318"/>
        <v>#VALUE!</v>
      </c>
      <c r="J688" s="139" t="e">
        <f t="shared" si="318"/>
        <v>#VALUE!</v>
      </c>
      <c r="K688" s="139" t="e">
        <f t="shared" si="318"/>
        <v>#VALUE!</v>
      </c>
      <c r="L688" s="139" t="e">
        <f t="shared" si="318"/>
        <v>#VALUE!</v>
      </c>
      <c r="X688" s="3" t="str">
        <f>INDEX(DistFuncAllocOptions,ROW(A688)-ROW($A$92)+1,[4]Inputs!$S$11)</f>
        <v>CUST</v>
      </c>
      <c r="Y688" s="116" t="e">
        <f t="shared" si="319"/>
        <v>#VALUE!</v>
      </c>
      <c r="Z688" s="116" t="e">
        <f t="shared" si="319"/>
        <v>#VALUE!</v>
      </c>
      <c r="AA688" s="116" t="e">
        <f t="shared" si="319"/>
        <v>#VALUE!</v>
      </c>
      <c r="AB688" s="116" t="e">
        <f t="shared" si="319"/>
        <v>#VALUE!</v>
      </c>
      <c r="AC688" s="116" t="e">
        <f t="shared" si="319"/>
        <v>#VALUE!</v>
      </c>
      <c r="AD688" s="117" t="e">
        <f>ROUND(SUM(-G688,H688:L688),0)</f>
        <v>#VALUE!</v>
      </c>
      <c r="AE688" s="117" t="e">
        <f>ROUND(H688-O688-P688-Q688-R688,0)</f>
        <v>#VALUE!</v>
      </c>
      <c r="AF688" s="117" t="e">
        <f>ROUND(I688-T688-U688-V688-W688,0)</f>
        <v>#VALUE!</v>
      </c>
      <c r="AG688" s="117" t="e">
        <f>ROUND(J688-Y688-Z688-AA688-AC688-AB688,0)</f>
        <v>#VALUE!</v>
      </c>
      <c r="AH688" s="116"/>
      <c r="AI688">
        <f t="shared" si="317"/>
        <v>907</v>
      </c>
      <c r="AJ688" t="str">
        <f t="shared" si="308"/>
        <v>CN</v>
      </c>
      <c r="AK688" t="str">
        <f>IF(ISERROR(MATCH(AI688&amp;"."&amp;AJ688,AK$91:AK687,0)),AI688&amp;"."&amp;AJ688,AI688&amp;"."&amp;AJ688&amp;COUNTIFS(AI$91:AI687,AI688,AJ$91:AJ687,AJ688))</f>
        <v>907.CN</v>
      </c>
    </row>
    <row r="689" spans="1:37" ht="15" hidden="1">
      <c r="A689" s="120">
        <f>ROW()</f>
        <v>689</v>
      </c>
      <c r="B689" s="120"/>
      <c r="C689" s="1"/>
      <c r="E689" s="121"/>
      <c r="F689" s="138"/>
      <c r="G689" s="117" t="e">
        <f t="shared" ref="G689:L689" si="320">SUM(G687:G688)</f>
        <v>#VALUE!</v>
      </c>
      <c r="H689" s="116" t="e">
        <f t="shared" si="320"/>
        <v>#VALUE!</v>
      </c>
      <c r="I689" s="116" t="e">
        <f t="shared" si="320"/>
        <v>#VALUE!</v>
      </c>
      <c r="J689" s="116" t="e">
        <f t="shared" si="320"/>
        <v>#VALUE!</v>
      </c>
      <c r="K689" s="116" t="e">
        <f t="shared" si="320"/>
        <v>#VALUE!</v>
      </c>
      <c r="L689" s="116" t="e">
        <f t="shared" si="320"/>
        <v>#VALUE!</v>
      </c>
      <c r="O689" s="116">
        <f>SUM(O687:O688)</f>
        <v>0</v>
      </c>
      <c r="P689" s="116">
        <f>SUM(P687:P688)</f>
        <v>0</v>
      </c>
      <c r="Q689" s="116">
        <f>SUM(Q687:Q688)</f>
        <v>0</v>
      </c>
      <c r="R689" s="116">
        <f>SUM(R687:R688)</f>
        <v>0</v>
      </c>
      <c r="T689" s="116">
        <f>SUM(T687:T688)</f>
        <v>0</v>
      </c>
      <c r="U689" s="116">
        <f>SUM(U687:U688)</f>
        <v>0</v>
      </c>
      <c r="V689" s="116">
        <f>SUM(V687:V688)</f>
        <v>0</v>
      </c>
      <c r="W689" s="116">
        <f>SUM(W687:W688)</f>
        <v>0</v>
      </c>
      <c r="X689" s="3"/>
      <c r="Y689" s="116" t="e">
        <f>SUM(Y687:Y688)</f>
        <v>#VALUE!</v>
      </c>
      <c r="Z689" s="116" t="e">
        <f>SUM(Z687:Z688)</f>
        <v>#VALUE!</v>
      </c>
      <c r="AA689" s="116" t="e">
        <f>SUM(AA687:AA688)</f>
        <v>#VALUE!</v>
      </c>
      <c r="AB689" s="116" t="e">
        <f>SUM(AB687:AB688)</f>
        <v>#VALUE!</v>
      </c>
      <c r="AC689" s="116" t="e">
        <f>SUM(AC687:AC688)</f>
        <v>#VALUE!</v>
      </c>
      <c r="AD689" s="117" t="e">
        <f>ROUND(SUM(-G689,H689:L689),0)</f>
        <v>#VALUE!</v>
      </c>
      <c r="AE689" s="117" t="e">
        <f>ROUND(H689-O689-P689-Q689-R689,0)</f>
        <v>#VALUE!</v>
      </c>
      <c r="AF689" s="117" t="e">
        <f>ROUND(I689-T689-U689-V689-W689,0)</f>
        <v>#VALUE!</v>
      </c>
      <c r="AG689" s="117" t="e">
        <f>ROUND(J689-Y689-Z689-AA689-AC689-AB689,0)</f>
        <v>#VALUE!</v>
      </c>
      <c r="AH689" s="116"/>
      <c r="AI689">
        <f t="shared" si="317"/>
        <v>907</v>
      </c>
      <c r="AJ689" t="str">
        <f t="shared" si="308"/>
        <v>NA</v>
      </c>
      <c r="AK689" t="str">
        <f>IF(ISERROR(MATCH(AI689&amp;"."&amp;AJ689,AK$91:AK688,0)),AI689&amp;"."&amp;AJ689,AI689&amp;"."&amp;AJ689&amp;COUNTIFS(AI$91:AI688,AI689,AJ$91:AJ688,AJ689))</f>
        <v>907.NA1</v>
      </c>
    </row>
    <row r="690" spans="1:37" ht="15" hidden="1">
      <c r="A690" s="120">
        <f>ROW()</f>
        <v>690</v>
      </c>
      <c r="B690" s="120"/>
      <c r="C690" s="1"/>
      <c r="E690" s="121"/>
      <c r="F690" s="138"/>
      <c r="G690" s="119"/>
      <c r="X690" s="3"/>
      <c r="AD690" s="119"/>
      <c r="AE690" s="119"/>
      <c r="AF690" s="119"/>
      <c r="AG690" s="119"/>
      <c r="AI690">
        <f t="shared" si="317"/>
        <v>907</v>
      </c>
      <c r="AJ690" t="str">
        <f t="shared" si="308"/>
        <v>NA</v>
      </c>
      <c r="AK690" t="str">
        <f>IF(ISERROR(MATCH(AI690&amp;"."&amp;AJ690,AK$91:AK689,0)),AI690&amp;"."&amp;AJ690,AI690&amp;"."&amp;AJ690&amp;COUNTIFS(AI$91:AI689,AI690,AJ$91:AJ689,AJ690))</f>
        <v>907.NA2</v>
      </c>
    </row>
    <row r="691" spans="1:37" ht="15" hidden="1">
      <c r="A691" s="120">
        <f>ROW()</f>
        <v>691</v>
      </c>
      <c r="B691" s="120"/>
      <c r="C691" s="1">
        <v>908</v>
      </c>
      <c r="D691" s="2" t="s">
        <v>342</v>
      </c>
      <c r="E691" s="121"/>
      <c r="F691" s="138"/>
      <c r="G691" s="119"/>
      <c r="X691" s="3"/>
      <c r="AD691" s="119"/>
      <c r="AE691" s="119"/>
      <c r="AF691" s="119"/>
      <c r="AG691" s="119"/>
      <c r="AI691">
        <f t="shared" si="317"/>
        <v>908</v>
      </c>
      <c r="AJ691" t="str">
        <f t="shared" si="308"/>
        <v>NA</v>
      </c>
      <c r="AK691" t="str">
        <f>IF(ISERROR(MATCH(AI691&amp;"."&amp;AJ691,AK$91:AK690,0)),AI691&amp;"."&amp;AJ691,AI691&amp;"."&amp;AJ691&amp;COUNTIFS(AI$91:AI690,AI691,AJ$91:AJ690,AJ691))</f>
        <v>908.NA</v>
      </c>
    </row>
    <row r="692" spans="1:37" ht="15" hidden="1">
      <c r="A692" s="120">
        <f>ROW()</f>
        <v>692</v>
      </c>
      <c r="B692" s="120"/>
      <c r="C692" s="1"/>
      <c r="E692" s="121" t="s">
        <v>12</v>
      </c>
      <c r="F692" s="138" t="str">
        <f>INDEX(FuncAllocOptions,ROW(A692)-ROW($A$92)+1,[4]Inputs!$S$11)</f>
        <v>CUST</v>
      </c>
      <c r="G692" s="117" t="e">
        <f>SUMIF(FERCJAMFactor,AK692,JAMValue)</f>
        <v>#VALUE!</v>
      </c>
      <c r="H692" s="116" t="e">
        <f t="shared" ref="H692:L693" si="321">INDEX(FuncFactorTbl,MATCH($F692,FuncFactors,0),MATCH(H$8,Functions,0))*$G692</f>
        <v>#VALUE!</v>
      </c>
      <c r="I692" s="116" t="e">
        <f t="shared" si="321"/>
        <v>#VALUE!</v>
      </c>
      <c r="J692" s="116" t="e">
        <f t="shared" si="321"/>
        <v>#VALUE!</v>
      </c>
      <c r="K692" s="116" t="e">
        <f t="shared" si="321"/>
        <v>#VALUE!</v>
      </c>
      <c r="L692" s="116" t="e">
        <f t="shared" si="321"/>
        <v>#VALUE!</v>
      </c>
      <c r="X692" s="3" t="str">
        <f>INDEX(DistFuncAllocOptions,ROW(A692)-ROW($A$92)+1,[4]Inputs!$S$11)</f>
        <v>CUST</v>
      </c>
      <c r="Y692" s="116" t="e">
        <f t="shared" ref="Y692:AC693" si="322">INDEX(DistFuncFactorTbl,MATCH($X692,DistFuncFactors,0),MATCH(Y$91,DistFunctions,0))*$J692</f>
        <v>#VALUE!</v>
      </c>
      <c r="Z692" s="116" t="e">
        <f t="shared" si="322"/>
        <v>#VALUE!</v>
      </c>
      <c r="AA692" s="116" t="e">
        <f t="shared" si="322"/>
        <v>#VALUE!</v>
      </c>
      <c r="AB692" s="116" t="e">
        <f t="shared" si="322"/>
        <v>#VALUE!</v>
      </c>
      <c r="AC692" s="116" t="e">
        <f t="shared" si="322"/>
        <v>#VALUE!</v>
      </c>
      <c r="AD692" s="117" t="e">
        <f>ROUND(SUM(-G692,H692:L692),0)</f>
        <v>#VALUE!</v>
      </c>
      <c r="AE692" s="117" t="e">
        <f>ROUND(H692-O692-P692-Q692-R692,0)</f>
        <v>#VALUE!</v>
      </c>
      <c r="AF692" s="117" t="e">
        <f>ROUND(I692-T692-U692-V692-W692,0)</f>
        <v>#VALUE!</v>
      </c>
      <c r="AG692" s="117" t="e">
        <f>ROUND(J692-Y692-Z692-AA692-AC692-AB692,0)</f>
        <v>#VALUE!</v>
      </c>
      <c r="AH692" s="116"/>
      <c r="AI692">
        <f t="shared" si="317"/>
        <v>908</v>
      </c>
      <c r="AJ692" t="str">
        <f t="shared" si="308"/>
        <v>S</v>
      </c>
      <c r="AK692" t="str">
        <f>IF(ISERROR(MATCH(AI692&amp;"."&amp;AJ692,AK$91:AK691,0)),AI692&amp;"."&amp;AJ692,AI692&amp;"."&amp;AJ692&amp;COUNTIFS(AI$91:AI691,AI692,AJ$91:AJ691,AJ692))</f>
        <v>908.S</v>
      </c>
    </row>
    <row r="693" spans="1:37" ht="15" hidden="1">
      <c r="A693" s="120">
        <f>ROW()</f>
        <v>693</v>
      </c>
      <c r="B693" s="120"/>
      <c r="C693" s="1"/>
      <c r="E693" s="121" t="s">
        <v>155</v>
      </c>
      <c r="F693" s="138" t="str">
        <f>INDEX(FuncAllocOptions,ROW(A693)-ROW($A$92)+1,[4]Inputs!$S$11)</f>
        <v>CUST</v>
      </c>
      <c r="G693" s="133" t="e">
        <f>SUMIF(FERCJAMFactor,AK693,JAMValue)</f>
        <v>#VALUE!</v>
      </c>
      <c r="H693" s="139" t="e">
        <f t="shared" si="321"/>
        <v>#VALUE!</v>
      </c>
      <c r="I693" s="139" t="e">
        <f t="shared" si="321"/>
        <v>#VALUE!</v>
      </c>
      <c r="J693" s="139" t="e">
        <f t="shared" si="321"/>
        <v>#VALUE!</v>
      </c>
      <c r="K693" s="139" t="e">
        <f t="shared" si="321"/>
        <v>#VALUE!</v>
      </c>
      <c r="L693" s="139" t="e">
        <f t="shared" si="321"/>
        <v>#VALUE!</v>
      </c>
      <c r="X693" s="3" t="str">
        <f>INDEX(DistFuncAllocOptions,ROW(A693)-ROW($A$92)+1,[4]Inputs!$S$11)</f>
        <v>CUST</v>
      </c>
      <c r="Y693" s="116" t="e">
        <f t="shared" si="322"/>
        <v>#VALUE!</v>
      </c>
      <c r="Z693" s="116" t="e">
        <f t="shared" si="322"/>
        <v>#VALUE!</v>
      </c>
      <c r="AA693" s="116" t="e">
        <f t="shared" si="322"/>
        <v>#VALUE!</v>
      </c>
      <c r="AB693" s="116" t="e">
        <f t="shared" si="322"/>
        <v>#VALUE!</v>
      </c>
      <c r="AC693" s="116" t="e">
        <f t="shared" si="322"/>
        <v>#VALUE!</v>
      </c>
      <c r="AD693" s="117" t="e">
        <f>ROUND(SUM(-G693,H693:L693),0)</f>
        <v>#VALUE!</v>
      </c>
      <c r="AE693" s="117" t="e">
        <f>ROUND(H693-O693-P693-Q693-R693,0)</f>
        <v>#VALUE!</v>
      </c>
      <c r="AF693" s="117" t="e">
        <f>ROUND(I693-T693-U693-V693-W693,0)</f>
        <v>#VALUE!</v>
      </c>
      <c r="AG693" s="117" t="e">
        <f>ROUND(J693-Y693-Z693-AA693-AC693-AB693,0)</f>
        <v>#VALUE!</v>
      </c>
      <c r="AH693" s="116"/>
      <c r="AI693">
        <f t="shared" si="317"/>
        <v>908</v>
      </c>
      <c r="AJ693" t="str">
        <f t="shared" si="308"/>
        <v>CN</v>
      </c>
      <c r="AK693" t="str">
        <f>IF(ISERROR(MATCH(AI693&amp;"."&amp;AJ693,AK$91:AK692,0)),AI693&amp;"."&amp;AJ693,AI693&amp;"."&amp;AJ693&amp;COUNTIFS(AI$91:AI692,AI693,AJ$91:AJ692,AJ693))</f>
        <v>908.CN</v>
      </c>
    </row>
    <row r="694" spans="1:37" ht="15" hidden="1">
      <c r="A694" s="120">
        <f>ROW()</f>
        <v>694</v>
      </c>
      <c r="B694" s="120"/>
      <c r="C694" s="1"/>
      <c r="E694" s="121"/>
      <c r="F694" s="138"/>
      <c r="G694" s="117" t="e">
        <f t="shared" ref="G694:L694" si="323">SUM(G692:G693)</f>
        <v>#VALUE!</v>
      </c>
      <c r="H694" s="116" t="e">
        <f t="shared" si="323"/>
        <v>#VALUE!</v>
      </c>
      <c r="I694" s="116" t="e">
        <f t="shared" si="323"/>
        <v>#VALUE!</v>
      </c>
      <c r="J694" s="116" t="e">
        <f t="shared" si="323"/>
        <v>#VALUE!</v>
      </c>
      <c r="K694" s="116" t="e">
        <f t="shared" si="323"/>
        <v>#VALUE!</v>
      </c>
      <c r="L694" s="116" t="e">
        <f t="shared" si="323"/>
        <v>#VALUE!</v>
      </c>
      <c r="O694" s="116">
        <f>SUM(O692:O693)</f>
        <v>0</v>
      </c>
      <c r="P694" s="116">
        <f>SUM(P692:P693)</f>
        <v>0</v>
      </c>
      <c r="Q694" s="116">
        <f>SUM(Q692:Q693)</f>
        <v>0</v>
      </c>
      <c r="R694" s="116">
        <f>SUM(R692:R693)</f>
        <v>0</v>
      </c>
      <c r="T694" s="116">
        <f>SUM(T692:T693)</f>
        <v>0</v>
      </c>
      <c r="U694" s="116">
        <f>SUM(U692:U693)</f>
        <v>0</v>
      </c>
      <c r="V694" s="116">
        <f>SUM(V692:V693)</f>
        <v>0</v>
      </c>
      <c r="W694" s="116">
        <f>SUM(W692:W693)</f>
        <v>0</v>
      </c>
      <c r="X694" s="3"/>
      <c r="Y694" s="116" t="e">
        <f>SUM(Y692:Y693)</f>
        <v>#VALUE!</v>
      </c>
      <c r="Z694" s="116" t="e">
        <f>SUM(Z692:Z693)</f>
        <v>#VALUE!</v>
      </c>
      <c r="AA694" s="116" t="e">
        <f>SUM(AA692:AA693)</f>
        <v>#VALUE!</v>
      </c>
      <c r="AB694" s="116" t="e">
        <f>SUM(AB692:AB693)</f>
        <v>#VALUE!</v>
      </c>
      <c r="AC694" s="116" t="e">
        <f>SUM(AC692:AC693)</f>
        <v>#VALUE!</v>
      </c>
      <c r="AD694" s="117" t="e">
        <f>ROUND(SUM(-G694,H694:L694),0)</f>
        <v>#VALUE!</v>
      </c>
      <c r="AE694" s="117" t="e">
        <f>ROUND(H694-O694-P694-Q694-R694,0)</f>
        <v>#VALUE!</v>
      </c>
      <c r="AF694" s="117" t="e">
        <f>ROUND(I694-T694-U694-V694-W694,0)</f>
        <v>#VALUE!</v>
      </c>
      <c r="AG694" s="117" t="e">
        <f>ROUND(J694-Y694-Z694-AA694-AC694-AB694,0)</f>
        <v>#VALUE!</v>
      </c>
      <c r="AH694" s="116"/>
      <c r="AI694">
        <f t="shared" si="317"/>
        <v>908</v>
      </c>
      <c r="AJ694" t="str">
        <f t="shared" si="308"/>
        <v>NA</v>
      </c>
      <c r="AK694" t="str">
        <f>IF(ISERROR(MATCH(AI694&amp;"."&amp;AJ694,AK$91:AK693,0)),AI694&amp;"."&amp;AJ694,AI694&amp;"."&amp;AJ694&amp;COUNTIFS(AI$91:AI693,AI694,AJ$91:AJ693,AJ694))</f>
        <v>908.NA1</v>
      </c>
    </row>
    <row r="695" spans="1:37" ht="15" hidden="1">
      <c r="A695" s="120">
        <f>ROW()</f>
        <v>695</v>
      </c>
      <c r="B695" s="120"/>
      <c r="C695" s="1"/>
      <c r="E695" s="121"/>
      <c r="F695" s="138"/>
      <c r="G695" s="119"/>
      <c r="X695" s="3"/>
      <c r="AD695" s="119"/>
      <c r="AE695" s="119"/>
      <c r="AF695" s="119"/>
      <c r="AG695" s="119"/>
      <c r="AI695">
        <f t="shared" si="317"/>
        <v>908</v>
      </c>
      <c r="AJ695" t="str">
        <f t="shared" si="308"/>
        <v>NA</v>
      </c>
      <c r="AK695" t="str">
        <f>IF(ISERROR(MATCH(AI695&amp;"."&amp;AJ695,AK$91:AK694,0)),AI695&amp;"."&amp;AJ695,AI695&amp;"."&amp;AJ695&amp;COUNTIFS(AI$91:AI694,AI695,AJ$91:AJ694,AJ695))</f>
        <v>908.NA2</v>
      </c>
    </row>
    <row r="696" spans="1:37" ht="15" hidden="1">
      <c r="A696" s="120">
        <f>ROW()</f>
        <v>696</v>
      </c>
      <c r="B696" s="120"/>
      <c r="C696" s="1">
        <v>909</v>
      </c>
      <c r="D696" s="2" t="s">
        <v>343</v>
      </c>
      <c r="E696" s="121"/>
      <c r="F696" s="138"/>
      <c r="G696" s="119"/>
      <c r="X696" s="3"/>
      <c r="AD696" s="119"/>
      <c r="AE696" s="119"/>
      <c r="AF696" s="119"/>
      <c r="AG696" s="119"/>
      <c r="AI696">
        <f t="shared" si="317"/>
        <v>909</v>
      </c>
      <c r="AJ696" t="str">
        <f t="shared" si="308"/>
        <v>NA</v>
      </c>
      <c r="AK696" t="str">
        <f>IF(ISERROR(MATCH(AI696&amp;"."&amp;AJ696,AK$91:AK695,0)),AI696&amp;"."&amp;AJ696,AI696&amp;"."&amp;AJ696&amp;COUNTIFS(AI$91:AI695,AI696,AJ$91:AJ695,AJ696))</f>
        <v>909.NA</v>
      </c>
    </row>
    <row r="697" spans="1:37" ht="15" hidden="1">
      <c r="A697" s="120">
        <f>ROW()</f>
        <v>697</v>
      </c>
      <c r="B697" s="120"/>
      <c r="C697" s="1"/>
      <c r="E697" s="121" t="s">
        <v>12</v>
      </c>
      <c r="F697" s="138" t="str">
        <f>INDEX(FuncAllocOptions,ROW(A697)-ROW($A$92)+1,[4]Inputs!$S$11)</f>
        <v>CUST</v>
      </c>
      <c r="G697" s="117" t="e">
        <f>SUMIF(FERCJAMFactor,AK697,JAMValue)</f>
        <v>#VALUE!</v>
      </c>
      <c r="H697" s="116" t="e">
        <f t="shared" ref="H697:L698" si="324">INDEX(FuncFactorTbl,MATCH($F697,FuncFactors,0),MATCH(H$8,Functions,0))*$G697</f>
        <v>#VALUE!</v>
      </c>
      <c r="I697" s="116" t="e">
        <f t="shared" si="324"/>
        <v>#VALUE!</v>
      </c>
      <c r="J697" s="116" t="e">
        <f t="shared" si="324"/>
        <v>#VALUE!</v>
      </c>
      <c r="K697" s="116" t="e">
        <f t="shared" si="324"/>
        <v>#VALUE!</v>
      </c>
      <c r="L697" s="116" t="e">
        <f t="shared" si="324"/>
        <v>#VALUE!</v>
      </c>
      <c r="X697" s="3" t="str">
        <f>INDEX(DistFuncAllocOptions,ROW(A697)-ROW($A$92)+1,[4]Inputs!$S$11)</f>
        <v>CUST</v>
      </c>
      <c r="Y697" s="116" t="e">
        <f t="shared" ref="Y697:AC698" si="325">INDEX(DistFuncFactorTbl,MATCH($X697,DistFuncFactors,0),MATCH(Y$91,DistFunctions,0))*$J697</f>
        <v>#VALUE!</v>
      </c>
      <c r="Z697" s="116" t="e">
        <f t="shared" si="325"/>
        <v>#VALUE!</v>
      </c>
      <c r="AA697" s="116" t="e">
        <f t="shared" si="325"/>
        <v>#VALUE!</v>
      </c>
      <c r="AB697" s="116" t="e">
        <f t="shared" si="325"/>
        <v>#VALUE!</v>
      </c>
      <c r="AC697" s="116" t="e">
        <f t="shared" si="325"/>
        <v>#VALUE!</v>
      </c>
      <c r="AD697" s="117" t="e">
        <f>ROUND(SUM(-G697,H697:L697),0)</f>
        <v>#VALUE!</v>
      </c>
      <c r="AE697" s="117" t="e">
        <f>ROUND(H697-O697-P697-Q697-R697,0)</f>
        <v>#VALUE!</v>
      </c>
      <c r="AF697" s="117" t="e">
        <f>ROUND(I697-T697-U697-V697-W697,0)</f>
        <v>#VALUE!</v>
      </c>
      <c r="AG697" s="117" t="e">
        <f>ROUND(J697-Y697-Z697-AA697-AC697-AB697,0)</f>
        <v>#VALUE!</v>
      </c>
      <c r="AH697" s="116"/>
      <c r="AI697">
        <f t="shared" si="317"/>
        <v>909</v>
      </c>
      <c r="AJ697" t="str">
        <f t="shared" si="308"/>
        <v>S</v>
      </c>
      <c r="AK697" t="str">
        <f>IF(ISERROR(MATCH(AI697&amp;"."&amp;AJ697,AK$91:AK696,0)),AI697&amp;"."&amp;AJ697,AI697&amp;"."&amp;AJ697&amp;COUNTIFS(AI$91:AI696,AI697,AJ$91:AJ696,AJ697))</f>
        <v>909.S</v>
      </c>
    </row>
    <row r="698" spans="1:37" ht="15" hidden="1">
      <c r="A698" s="120">
        <f>ROW()</f>
        <v>698</v>
      </c>
      <c r="B698" s="120"/>
      <c r="C698" s="1"/>
      <c r="E698" s="121" t="s">
        <v>155</v>
      </c>
      <c r="F698" s="138" t="str">
        <f>INDEX(FuncAllocOptions,ROW(A698)-ROW($A$92)+1,[4]Inputs!$S$11)</f>
        <v>CUST</v>
      </c>
      <c r="G698" s="133" t="e">
        <f>SUMIF(FERCJAMFactor,AK698,JAMValue)</f>
        <v>#VALUE!</v>
      </c>
      <c r="H698" s="139" t="e">
        <f t="shared" si="324"/>
        <v>#VALUE!</v>
      </c>
      <c r="I698" s="139" t="e">
        <f t="shared" si="324"/>
        <v>#VALUE!</v>
      </c>
      <c r="J698" s="139" t="e">
        <f t="shared" si="324"/>
        <v>#VALUE!</v>
      </c>
      <c r="K698" s="139" t="e">
        <f t="shared" si="324"/>
        <v>#VALUE!</v>
      </c>
      <c r="L698" s="139" t="e">
        <f t="shared" si="324"/>
        <v>#VALUE!</v>
      </c>
      <c r="X698" s="3" t="str">
        <f>INDEX(DistFuncAllocOptions,ROW(A698)-ROW($A$92)+1,[4]Inputs!$S$11)</f>
        <v>CUST</v>
      </c>
      <c r="Y698" s="116" t="e">
        <f t="shared" si="325"/>
        <v>#VALUE!</v>
      </c>
      <c r="Z698" s="116" t="e">
        <f t="shared" si="325"/>
        <v>#VALUE!</v>
      </c>
      <c r="AA698" s="116" t="e">
        <f t="shared" si="325"/>
        <v>#VALUE!</v>
      </c>
      <c r="AB698" s="116" t="e">
        <f t="shared" si="325"/>
        <v>#VALUE!</v>
      </c>
      <c r="AC698" s="116" t="e">
        <f t="shared" si="325"/>
        <v>#VALUE!</v>
      </c>
      <c r="AD698" s="117" t="e">
        <f>ROUND(SUM(-G698,H698:L698),0)</f>
        <v>#VALUE!</v>
      </c>
      <c r="AE698" s="117" t="e">
        <f>ROUND(H698-O698-P698-Q698-R698,0)</f>
        <v>#VALUE!</v>
      </c>
      <c r="AF698" s="117" t="e">
        <f>ROUND(I698-T698-U698-V698-W698,0)</f>
        <v>#VALUE!</v>
      </c>
      <c r="AG698" s="117" t="e">
        <f>ROUND(J698-Y698-Z698-AA698-AC698-AB698,0)</f>
        <v>#VALUE!</v>
      </c>
      <c r="AH698" s="116"/>
      <c r="AI698">
        <f t="shared" si="317"/>
        <v>909</v>
      </c>
      <c r="AJ698" t="str">
        <f t="shared" si="308"/>
        <v>CN</v>
      </c>
      <c r="AK698" t="str">
        <f>IF(ISERROR(MATCH(AI698&amp;"."&amp;AJ698,AK$91:AK697,0)),AI698&amp;"."&amp;AJ698,AI698&amp;"."&amp;AJ698&amp;COUNTIFS(AI$91:AI697,AI698,AJ$91:AJ697,AJ698))</f>
        <v>909.CN</v>
      </c>
    </row>
    <row r="699" spans="1:37" ht="15" hidden="1">
      <c r="A699" s="120">
        <f>ROW()</f>
        <v>699</v>
      </c>
      <c r="B699" s="120"/>
      <c r="C699" s="1"/>
      <c r="E699" s="121"/>
      <c r="F699" s="138"/>
      <c r="G699" s="117" t="e">
        <f t="shared" ref="G699:L699" si="326">SUM(G697:G698)</f>
        <v>#VALUE!</v>
      </c>
      <c r="H699" s="116" t="e">
        <f t="shared" si="326"/>
        <v>#VALUE!</v>
      </c>
      <c r="I699" s="116" t="e">
        <f t="shared" si="326"/>
        <v>#VALUE!</v>
      </c>
      <c r="J699" s="116" t="e">
        <f t="shared" si="326"/>
        <v>#VALUE!</v>
      </c>
      <c r="K699" s="116" t="e">
        <f t="shared" si="326"/>
        <v>#VALUE!</v>
      </c>
      <c r="L699" s="116" t="e">
        <f t="shared" si="326"/>
        <v>#VALUE!</v>
      </c>
      <c r="O699" s="116">
        <f>SUM(O697:O698)</f>
        <v>0</v>
      </c>
      <c r="P699" s="116">
        <f>SUM(P697:P698)</f>
        <v>0</v>
      </c>
      <c r="Q699" s="116">
        <f>SUM(Q697:Q698)</f>
        <v>0</v>
      </c>
      <c r="R699" s="116">
        <f>SUM(R697:R698)</f>
        <v>0</v>
      </c>
      <c r="T699" s="116">
        <f>SUM(T697:T698)</f>
        <v>0</v>
      </c>
      <c r="U699" s="116">
        <f>SUM(U697:U698)</f>
        <v>0</v>
      </c>
      <c r="V699" s="116">
        <f>SUM(V697:V698)</f>
        <v>0</v>
      </c>
      <c r="W699" s="116">
        <f>SUM(W697:W698)</f>
        <v>0</v>
      </c>
      <c r="X699" s="3"/>
      <c r="Y699" s="116" t="e">
        <f>SUM(Y697:Y698)</f>
        <v>#VALUE!</v>
      </c>
      <c r="Z699" s="116" t="e">
        <f>SUM(Z697:Z698)</f>
        <v>#VALUE!</v>
      </c>
      <c r="AA699" s="116" t="e">
        <f>SUM(AA697:AA698)</f>
        <v>#VALUE!</v>
      </c>
      <c r="AB699" s="116" t="e">
        <f>SUM(AB697:AB698)</f>
        <v>#VALUE!</v>
      </c>
      <c r="AC699" s="116" t="e">
        <f>SUM(AC697:AC698)</f>
        <v>#VALUE!</v>
      </c>
      <c r="AD699" s="117" t="e">
        <f>ROUND(SUM(-G699,H699:L699),0)</f>
        <v>#VALUE!</v>
      </c>
      <c r="AE699" s="117" t="e">
        <f>ROUND(H699-O699-P699-Q699-R699,0)</f>
        <v>#VALUE!</v>
      </c>
      <c r="AF699" s="117" t="e">
        <f>ROUND(I699-T699-U699-V699-W699,0)</f>
        <v>#VALUE!</v>
      </c>
      <c r="AG699" s="117" t="e">
        <f>ROUND(J699-Y699-Z699-AA699-AC699-AB699,0)</f>
        <v>#VALUE!</v>
      </c>
      <c r="AH699" s="116"/>
      <c r="AI699">
        <f t="shared" si="317"/>
        <v>909</v>
      </c>
      <c r="AJ699" t="str">
        <f t="shared" si="308"/>
        <v>NA</v>
      </c>
      <c r="AK699" t="str">
        <f>IF(ISERROR(MATCH(AI699&amp;"."&amp;AJ699,AK$91:AK698,0)),AI699&amp;"."&amp;AJ699,AI699&amp;"."&amp;AJ699&amp;COUNTIFS(AI$91:AI698,AI699,AJ$91:AJ698,AJ699))</f>
        <v>909.NA1</v>
      </c>
    </row>
    <row r="700" spans="1:37" ht="15" hidden="1">
      <c r="A700" s="120">
        <f>ROW()</f>
        <v>700</v>
      </c>
      <c r="B700" s="120"/>
      <c r="C700" s="1"/>
      <c r="E700" s="121"/>
      <c r="F700" s="138"/>
      <c r="G700" s="119"/>
      <c r="X700" s="3"/>
      <c r="AD700" s="119"/>
      <c r="AE700" s="119"/>
      <c r="AF700" s="119"/>
      <c r="AG700" s="119"/>
      <c r="AI700">
        <f t="shared" si="317"/>
        <v>909</v>
      </c>
      <c r="AJ700" t="str">
        <f t="shared" si="308"/>
        <v>NA</v>
      </c>
      <c r="AK700" t="str">
        <f>IF(ISERROR(MATCH(AI700&amp;"."&amp;AJ700,AK$91:AK699,0)),AI700&amp;"."&amp;AJ700,AI700&amp;"."&amp;AJ700&amp;COUNTIFS(AI$91:AI699,AI700,AJ$91:AJ699,AJ700))</f>
        <v>909.NA2</v>
      </c>
    </row>
    <row r="701" spans="1:37" ht="15" hidden="1">
      <c r="A701" s="120">
        <f>ROW()</f>
        <v>701</v>
      </c>
      <c r="B701" s="120"/>
      <c r="C701" s="1">
        <v>910</v>
      </c>
      <c r="D701" s="2" t="s">
        <v>344</v>
      </c>
      <c r="E701" s="121"/>
      <c r="F701" s="138"/>
      <c r="G701" s="119"/>
      <c r="X701" s="3"/>
      <c r="AD701" s="119"/>
      <c r="AE701" s="119"/>
      <c r="AF701" s="119"/>
      <c r="AG701" s="119"/>
      <c r="AI701">
        <f t="shared" si="317"/>
        <v>910</v>
      </c>
      <c r="AJ701" t="str">
        <f t="shared" si="308"/>
        <v>NA</v>
      </c>
      <c r="AK701" t="str">
        <f>IF(ISERROR(MATCH(AI701&amp;"."&amp;AJ701,AK$91:AK700,0)),AI701&amp;"."&amp;AJ701,AI701&amp;"."&amp;AJ701&amp;COUNTIFS(AI$91:AI700,AI701,AJ$91:AJ700,AJ701))</f>
        <v>910.NA</v>
      </c>
    </row>
    <row r="702" spans="1:37" ht="15" hidden="1">
      <c r="A702" s="120">
        <f>ROW()</f>
        <v>702</v>
      </c>
      <c r="B702" s="120"/>
      <c r="E702" s="121" t="s">
        <v>12</v>
      </c>
      <c r="F702" s="138" t="str">
        <f>INDEX(FuncAllocOptions,ROW(A702)-ROW($A$92)+1,[4]Inputs!$S$11)</f>
        <v>CUST</v>
      </c>
      <c r="G702" s="117" t="e">
        <f>SUMIF(FERCJAMFactor,AK702,JAMValue)</f>
        <v>#VALUE!</v>
      </c>
      <c r="H702" s="116" t="e">
        <f t="shared" ref="H702:L703" si="327">INDEX(FuncFactorTbl,MATCH($F702,FuncFactors,0),MATCH(H$8,Functions,0))*$G702</f>
        <v>#VALUE!</v>
      </c>
      <c r="I702" s="116" t="e">
        <f t="shared" si="327"/>
        <v>#VALUE!</v>
      </c>
      <c r="J702" s="116" t="e">
        <f t="shared" si="327"/>
        <v>#VALUE!</v>
      </c>
      <c r="K702" s="116" t="e">
        <f t="shared" si="327"/>
        <v>#VALUE!</v>
      </c>
      <c r="L702" s="116" t="e">
        <f t="shared" si="327"/>
        <v>#VALUE!</v>
      </c>
      <c r="X702" s="3" t="str">
        <f>INDEX(DistFuncAllocOptions,ROW(A702)-ROW($A$92)+1,[4]Inputs!$S$11)</f>
        <v>CUST</v>
      </c>
      <c r="Y702" s="116" t="e">
        <f t="shared" ref="Y702:AC703" si="328">INDEX(DistFuncFactorTbl,MATCH($X702,DistFuncFactors,0),MATCH(Y$91,DistFunctions,0))*$J702</f>
        <v>#VALUE!</v>
      </c>
      <c r="Z702" s="116" t="e">
        <f t="shared" si="328"/>
        <v>#VALUE!</v>
      </c>
      <c r="AA702" s="116" t="e">
        <f t="shared" si="328"/>
        <v>#VALUE!</v>
      </c>
      <c r="AB702" s="116" t="e">
        <f t="shared" si="328"/>
        <v>#VALUE!</v>
      </c>
      <c r="AC702" s="116" t="e">
        <f t="shared" si="328"/>
        <v>#VALUE!</v>
      </c>
      <c r="AD702" s="117" t="e">
        <f>ROUND(SUM(-G702,H702:L702),0)</f>
        <v>#VALUE!</v>
      </c>
      <c r="AE702" s="117" t="e">
        <f>ROUND(H702-O702-P702-Q702-R702,0)</f>
        <v>#VALUE!</v>
      </c>
      <c r="AF702" s="117" t="e">
        <f>ROUND(I702-T702-U702-V702-W702,0)</f>
        <v>#VALUE!</v>
      </c>
      <c r="AG702" s="117" t="e">
        <f>ROUND(J702-Y702-Z702-AA702-AC702-AB702,0)</f>
        <v>#VALUE!</v>
      </c>
      <c r="AH702" s="116"/>
      <c r="AI702">
        <f t="shared" si="317"/>
        <v>910</v>
      </c>
      <c r="AJ702" t="str">
        <f t="shared" si="308"/>
        <v>S</v>
      </c>
      <c r="AK702" t="str">
        <f>IF(ISERROR(MATCH(AI702&amp;"."&amp;AJ702,AK$91:AK701,0)),AI702&amp;"."&amp;AJ702,AI702&amp;"."&amp;AJ702&amp;COUNTIFS(AI$91:AI701,AI702,AJ$91:AJ701,AJ702))</f>
        <v>910.S</v>
      </c>
    </row>
    <row r="703" spans="1:37" ht="15" hidden="1">
      <c r="A703" s="120">
        <f>ROW()</f>
        <v>703</v>
      </c>
      <c r="B703" s="120"/>
      <c r="E703" s="121" t="s">
        <v>155</v>
      </c>
      <c r="F703" s="138" t="str">
        <f>INDEX(FuncAllocOptions,ROW(A703)-ROW($A$92)+1,[4]Inputs!$S$11)</f>
        <v>CUST</v>
      </c>
      <c r="G703" s="133" t="e">
        <f>SUMIF(FERCJAMFactor,AK703,JAMValue)</f>
        <v>#VALUE!</v>
      </c>
      <c r="H703" s="139" t="e">
        <f t="shared" si="327"/>
        <v>#VALUE!</v>
      </c>
      <c r="I703" s="139" t="e">
        <f t="shared" si="327"/>
        <v>#VALUE!</v>
      </c>
      <c r="J703" s="139" t="e">
        <f t="shared" si="327"/>
        <v>#VALUE!</v>
      </c>
      <c r="K703" s="139" t="e">
        <f t="shared" si="327"/>
        <v>#VALUE!</v>
      </c>
      <c r="L703" s="139" t="e">
        <f t="shared" si="327"/>
        <v>#VALUE!</v>
      </c>
      <c r="X703" s="3" t="str">
        <f>INDEX(DistFuncAllocOptions,ROW(A703)-ROW($A$92)+1,[4]Inputs!$S$11)</f>
        <v>CUST</v>
      </c>
      <c r="Y703" s="116" t="e">
        <f t="shared" si="328"/>
        <v>#VALUE!</v>
      </c>
      <c r="Z703" s="116" t="e">
        <f t="shared" si="328"/>
        <v>#VALUE!</v>
      </c>
      <c r="AA703" s="116" t="e">
        <f t="shared" si="328"/>
        <v>#VALUE!</v>
      </c>
      <c r="AB703" s="116" t="e">
        <f t="shared" si="328"/>
        <v>#VALUE!</v>
      </c>
      <c r="AC703" s="116" t="e">
        <f t="shared" si="328"/>
        <v>#VALUE!</v>
      </c>
      <c r="AD703" s="117" t="e">
        <f>ROUND(SUM(-G703,H703:L703),0)</f>
        <v>#VALUE!</v>
      </c>
      <c r="AE703" s="117" t="e">
        <f>ROUND(H703-O703-P703-Q703-R703,0)</f>
        <v>#VALUE!</v>
      </c>
      <c r="AF703" s="117" t="e">
        <f>ROUND(I703-T703-U703-V703-W703,0)</f>
        <v>#VALUE!</v>
      </c>
      <c r="AG703" s="117" t="e">
        <f>ROUND(J703-Y703-Z703-AA703-AC703-AB703,0)</f>
        <v>#VALUE!</v>
      </c>
      <c r="AH703" s="116"/>
      <c r="AI703">
        <f t="shared" si="317"/>
        <v>910</v>
      </c>
      <c r="AJ703" t="str">
        <f t="shared" si="308"/>
        <v>CN</v>
      </c>
      <c r="AK703" t="str">
        <f>IF(ISERROR(MATCH(AI703&amp;"."&amp;AJ703,AK$91:AK702,0)),AI703&amp;"."&amp;AJ703,AI703&amp;"."&amp;AJ703&amp;COUNTIFS(AI$91:AI702,AI703,AJ$91:AJ702,AJ703))</f>
        <v>910.CN</v>
      </c>
    </row>
    <row r="704" spans="1:37" ht="15" hidden="1">
      <c r="A704" s="120">
        <f>ROW()</f>
        <v>704</v>
      </c>
      <c r="B704" s="120"/>
      <c r="E704" s="121"/>
      <c r="F704" s="138"/>
      <c r="G704" s="117" t="e">
        <f t="shared" ref="G704:L704" si="329">SUM(G702:G703)</f>
        <v>#VALUE!</v>
      </c>
      <c r="H704" s="116" t="e">
        <f t="shared" si="329"/>
        <v>#VALUE!</v>
      </c>
      <c r="I704" s="116" t="e">
        <f t="shared" si="329"/>
        <v>#VALUE!</v>
      </c>
      <c r="J704" s="116" t="e">
        <f t="shared" si="329"/>
        <v>#VALUE!</v>
      </c>
      <c r="K704" s="116" t="e">
        <f t="shared" si="329"/>
        <v>#VALUE!</v>
      </c>
      <c r="L704" s="116" t="e">
        <f t="shared" si="329"/>
        <v>#VALUE!</v>
      </c>
      <c r="O704" s="116">
        <f>SUM(O702:O703)</f>
        <v>0</v>
      </c>
      <c r="P704" s="116">
        <f>SUM(P702:P703)</f>
        <v>0</v>
      </c>
      <c r="Q704" s="116">
        <f>SUM(Q702:Q703)</f>
        <v>0</v>
      </c>
      <c r="R704" s="116">
        <f>SUM(R702:R703)</f>
        <v>0</v>
      </c>
      <c r="T704" s="116">
        <f>SUM(T702:T703)</f>
        <v>0</v>
      </c>
      <c r="U704" s="116">
        <f>SUM(U702:U703)</f>
        <v>0</v>
      </c>
      <c r="V704" s="116">
        <f>SUM(V702:V703)</f>
        <v>0</v>
      </c>
      <c r="W704" s="116">
        <f>SUM(W702:W703)</f>
        <v>0</v>
      </c>
      <c r="X704" s="3"/>
      <c r="Y704" s="116" t="e">
        <f>SUM(Y702:Y703)</f>
        <v>#VALUE!</v>
      </c>
      <c r="Z704" s="116" t="e">
        <f>SUM(Z702:Z703)</f>
        <v>#VALUE!</v>
      </c>
      <c r="AA704" s="116" t="e">
        <f>SUM(AA702:AA703)</f>
        <v>#VALUE!</v>
      </c>
      <c r="AB704" s="116" t="e">
        <f>SUM(AB702:AB703)</f>
        <v>#VALUE!</v>
      </c>
      <c r="AC704" s="116" t="e">
        <f>SUM(AC702:AC703)</f>
        <v>#VALUE!</v>
      </c>
      <c r="AD704" s="117" t="e">
        <f>ROUND(SUM(-G704,H704:L704),0)</f>
        <v>#VALUE!</v>
      </c>
      <c r="AE704" s="117" t="e">
        <f>ROUND(H704-O704-P704-Q704-R704,0)</f>
        <v>#VALUE!</v>
      </c>
      <c r="AF704" s="117" t="e">
        <f>ROUND(I704-T704-U704-V704-W704,0)</f>
        <v>#VALUE!</v>
      </c>
      <c r="AG704" s="117" t="e">
        <f>ROUND(J704-Y704-Z704-AA704-AC704-AB704,0)</f>
        <v>#VALUE!</v>
      </c>
      <c r="AH704" s="116"/>
      <c r="AI704">
        <f t="shared" si="317"/>
        <v>910</v>
      </c>
      <c r="AJ704" t="str">
        <f t="shared" si="308"/>
        <v>NA</v>
      </c>
      <c r="AK704" t="str">
        <f>IF(ISERROR(MATCH(AI704&amp;"."&amp;AJ704,AK$91:AK703,0)),AI704&amp;"."&amp;AJ704,AI704&amp;"."&amp;AJ704&amp;COUNTIFS(AI$91:AI703,AI704,AJ$91:AJ703,AJ704))</f>
        <v>910.NA1</v>
      </c>
    </row>
    <row r="705" spans="1:37" ht="15" hidden="1">
      <c r="A705" s="120">
        <f>ROW()</f>
        <v>705</v>
      </c>
      <c r="B705" s="120"/>
      <c r="E705" s="121"/>
      <c r="F705" s="138"/>
      <c r="G705" s="119"/>
      <c r="X705" s="3"/>
      <c r="AD705" s="119"/>
      <c r="AE705" s="119"/>
      <c r="AF705" s="119"/>
      <c r="AG705" s="119"/>
      <c r="AI705">
        <f t="shared" si="317"/>
        <v>910</v>
      </c>
      <c r="AJ705" t="str">
        <f t="shared" si="308"/>
        <v>NA</v>
      </c>
      <c r="AK705" t="str">
        <f>IF(ISERROR(MATCH(AI705&amp;"."&amp;AJ705,AK$91:AK704,0)),AI705&amp;"."&amp;AJ705,AI705&amp;"."&amp;AJ705&amp;COUNTIFS(AI$91:AI704,AI705,AJ$91:AJ704,AJ705))</f>
        <v>910.NA2</v>
      </c>
    </row>
    <row r="706" spans="1:37" ht="15.75" hidden="1" thickBot="1">
      <c r="A706" s="120">
        <f>ROW()</f>
        <v>706</v>
      </c>
      <c r="B706" s="120"/>
      <c r="C706" s="110" t="s">
        <v>764</v>
      </c>
      <c r="E706" s="121"/>
      <c r="F706" s="138"/>
      <c r="G706" s="153" t="e">
        <f t="shared" ref="G706:L706" si="330">G689+G694+G699+G704</f>
        <v>#VALUE!</v>
      </c>
      <c r="H706" s="152" t="e">
        <f t="shared" si="330"/>
        <v>#VALUE!</v>
      </c>
      <c r="I706" s="152" t="e">
        <f t="shared" si="330"/>
        <v>#VALUE!</v>
      </c>
      <c r="J706" s="152" t="e">
        <f t="shared" si="330"/>
        <v>#VALUE!</v>
      </c>
      <c r="K706" s="152" t="e">
        <f t="shared" si="330"/>
        <v>#VALUE!</v>
      </c>
      <c r="L706" s="152" t="e">
        <f t="shared" si="330"/>
        <v>#VALUE!</v>
      </c>
      <c r="O706" s="116">
        <f>O689+O694+O699+O704</f>
        <v>0</v>
      </c>
      <c r="P706" s="116">
        <f>P689+P694+P699+P704</f>
        <v>0</v>
      </c>
      <c r="Q706" s="116">
        <f>Q689+Q694+Q699+Q704</f>
        <v>0</v>
      </c>
      <c r="R706" s="116">
        <f>R689+R694+R699+R704</f>
        <v>0</v>
      </c>
      <c r="S706" s="116"/>
      <c r="T706" s="116">
        <f>T689+T694+T699+T704</f>
        <v>0</v>
      </c>
      <c r="U706" s="116">
        <f>U689+U694+U699+U704</f>
        <v>0</v>
      </c>
      <c r="V706" s="116">
        <f>V689+V694+V699+V704</f>
        <v>0</v>
      </c>
      <c r="W706" s="116">
        <f>W689+W694+W699+W704</f>
        <v>0</v>
      </c>
      <c r="X706" s="3"/>
      <c r="Y706" s="116" t="e">
        <f>Y689+Y694+Y699+Y704</f>
        <v>#VALUE!</v>
      </c>
      <c r="Z706" s="116" t="e">
        <f>Z689+Z694+Z699+Z704</f>
        <v>#VALUE!</v>
      </c>
      <c r="AA706" s="116" t="e">
        <f>AA689+AA694+AA699+AA704</f>
        <v>#VALUE!</v>
      </c>
      <c r="AB706" s="116" t="e">
        <f>AB689+AB694+AB699+AB704</f>
        <v>#VALUE!</v>
      </c>
      <c r="AC706" s="116" t="e">
        <f>AC689+AC694+AC699+AC704</f>
        <v>#VALUE!</v>
      </c>
      <c r="AD706" s="117" t="e">
        <f>ROUND(SUM(-G706,H706:L706),0)</f>
        <v>#VALUE!</v>
      </c>
      <c r="AE706" s="117" t="e">
        <f>ROUND(H706-O706-P706-Q706-R706,0)</f>
        <v>#VALUE!</v>
      </c>
      <c r="AF706" s="117" t="e">
        <f>ROUND(I706-T706-U706-V706-W706,0)</f>
        <v>#VALUE!</v>
      </c>
      <c r="AG706" s="117" t="e">
        <f>ROUND(J706-Y706-Z706-AA706-AC706-AB706,0)</f>
        <v>#VALUE!</v>
      </c>
      <c r="AH706" s="116"/>
      <c r="AI706" t="str">
        <f t="shared" si="317"/>
        <v>TOTAL CUSTOMER SERVICE EXPENSE</v>
      </c>
      <c r="AJ706" t="str">
        <f t="shared" si="308"/>
        <v>NA</v>
      </c>
      <c r="AK706" t="str">
        <f>IF(ISERROR(MATCH(AI706&amp;"."&amp;AJ706,AK$91:AK705,0)),AI706&amp;"."&amp;AJ706,AI706&amp;"."&amp;AJ706&amp;COUNTIFS(AI$91:AI705,AI706,AJ$91:AJ705,AJ706))</f>
        <v>TOTAL CUSTOMER SERVICE EXPENSE.NA</v>
      </c>
    </row>
    <row r="707" spans="1:37" ht="15" hidden="1">
      <c r="A707" s="120">
        <f>ROW()</f>
        <v>707</v>
      </c>
      <c r="B707" s="120"/>
      <c r="E707" s="121"/>
      <c r="F707" s="138"/>
      <c r="G707" s="119"/>
      <c r="X707" s="3"/>
      <c r="AD707" s="119"/>
      <c r="AE707" s="119"/>
      <c r="AF707" s="119"/>
      <c r="AG707" s="119"/>
      <c r="AI707" t="str">
        <f t="shared" si="317"/>
        <v>TOTAL CUSTOMER SERVICE EXPENSE</v>
      </c>
      <c r="AJ707" t="str">
        <f t="shared" si="308"/>
        <v>NA</v>
      </c>
      <c r="AK707" t="str">
        <f>IF(ISERROR(MATCH(AI707&amp;"."&amp;AJ707,AK$91:AK706,0)),AI707&amp;"."&amp;AJ707,AI707&amp;"."&amp;AJ707&amp;COUNTIFS(AI$91:AI706,AI707,AJ$91:AJ706,AJ707))</f>
        <v>TOTAL CUSTOMER SERVICE EXPENSE.NA1</v>
      </c>
    </row>
    <row r="708" spans="1:37" ht="15" hidden="1">
      <c r="A708" s="120">
        <f>ROW()</f>
        <v>708</v>
      </c>
      <c r="B708" s="120"/>
      <c r="C708" s="1">
        <v>911</v>
      </c>
      <c r="D708" s="2" t="s">
        <v>334</v>
      </c>
      <c r="E708" s="121"/>
      <c r="F708" s="138"/>
      <c r="G708" s="119"/>
      <c r="X708" s="3"/>
      <c r="AD708" s="119"/>
      <c r="AE708" s="119"/>
      <c r="AF708" s="119"/>
      <c r="AG708" s="119"/>
      <c r="AI708">
        <f t="shared" si="317"/>
        <v>911</v>
      </c>
      <c r="AJ708" t="str">
        <f t="shared" si="308"/>
        <v>NA</v>
      </c>
      <c r="AK708" t="str">
        <f>IF(ISERROR(MATCH(AI708&amp;"."&amp;AJ708,AK$91:AK707,0)),AI708&amp;"."&amp;AJ708,AI708&amp;"."&amp;AJ708&amp;COUNTIFS(AI$91:AI707,AI708,AJ$91:AJ707,AJ708))</f>
        <v>911.NA</v>
      </c>
    </row>
    <row r="709" spans="1:37" ht="15" hidden="1">
      <c r="A709" s="120">
        <f>ROW()</f>
        <v>709</v>
      </c>
      <c r="B709" s="120"/>
      <c r="C709" s="1"/>
      <c r="E709" s="121" t="s">
        <v>12</v>
      </c>
      <c r="F709" s="138" t="str">
        <f>INDEX(FuncAllocOptions,ROW(A709)-ROW($A$92)+1,[4]Inputs!$S$11)</f>
        <v>CUST</v>
      </c>
      <c r="G709" s="117" t="e">
        <f>SUMIF(FERCJAMFactor,AK709,JAMValue)</f>
        <v>#VALUE!</v>
      </c>
      <c r="H709" s="116" t="e">
        <f t="shared" ref="H709:L710" si="331">INDEX(FuncFactorTbl,MATCH($F709,FuncFactors,0),MATCH(H$8,Functions,0))*$G709</f>
        <v>#VALUE!</v>
      </c>
      <c r="I709" s="116" t="e">
        <f t="shared" si="331"/>
        <v>#VALUE!</v>
      </c>
      <c r="J709" s="116" t="e">
        <f t="shared" si="331"/>
        <v>#VALUE!</v>
      </c>
      <c r="K709" s="116" t="e">
        <f t="shared" si="331"/>
        <v>#VALUE!</v>
      </c>
      <c r="L709" s="116" t="e">
        <f t="shared" si="331"/>
        <v>#VALUE!</v>
      </c>
      <c r="X709" s="3" t="str">
        <f>INDEX(DistFuncAllocOptions,ROW(A709)-ROW($A$92)+1,[4]Inputs!$S$11)</f>
        <v>CUST</v>
      </c>
      <c r="Y709" s="116" t="e">
        <f t="shared" ref="Y709:AC710" si="332">INDEX(DistFuncFactorTbl,MATCH($X709,DistFuncFactors,0),MATCH(Y$91,DistFunctions,0))*$J709</f>
        <v>#VALUE!</v>
      </c>
      <c r="Z709" s="116" t="e">
        <f t="shared" si="332"/>
        <v>#VALUE!</v>
      </c>
      <c r="AA709" s="116" t="e">
        <f t="shared" si="332"/>
        <v>#VALUE!</v>
      </c>
      <c r="AB709" s="116" t="e">
        <f t="shared" si="332"/>
        <v>#VALUE!</v>
      </c>
      <c r="AC709" s="116" t="e">
        <f t="shared" si="332"/>
        <v>#VALUE!</v>
      </c>
      <c r="AD709" s="117" t="e">
        <f>ROUND(SUM(-G709,H709:L709),0)</f>
        <v>#VALUE!</v>
      </c>
      <c r="AE709" s="117" t="e">
        <f>ROUND(H709-O709-P709-Q709-R709,0)</f>
        <v>#VALUE!</v>
      </c>
      <c r="AF709" s="117" t="e">
        <f>ROUND(I709-T709-U709-V709-W709,0)</f>
        <v>#VALUE!</v>
      </c>
      <c r="AG709" s="117" t="e">
        <f>ROUND(J709-Y709-Z709-AA709-AC709-AB709,0)</f>
        <v>#VALUE!</v>
      </c>
      <c r="AH709" s="116"/>
      <c r="AI709">
        <f t="shared" si="317"/>
        <v>911</v>
      </c>
      <c r="AJ709" t="str">
        <f t="shared" si="308"/>
        <v>S</v>
      </c>
      <c r="AK709" t="str">
        <f>IF(ISERROR(MATCH(AI709&amp;"."&amp;AJ709,AK$91:AK708,0)),AI709&amp;"."&amp;AJ709,AI709&amp;"."&amp;AJ709&amp;COUNTIFS(AI$91:AI708,AI709,AJ$91:AJ708,AJ709))</f>
        <v>911.S</v>
      </c>
    </row>
    <row r="710" spans="1:37" ht="15" hidden="1">
      <c r="A710" s="120">
        <f>ROW()</f>
        <v>710</v>
      </c>
      <c r="B710" s="120"/>
      <c r="C710" s="1"/>
      <c r="E710" s="121" t="s">
        <v>155</v>
      </c>
      <c r="F710" s="138" t="str">
        <f>INDEX(FuncAllocOptions,ROW(A710)-ROW($A$92)+1,[4]Inputs!$S$11)</f>
        <v>CUST</v>
      </c>
      <c r="G710" s="133" t="e">
        <f>SUMIF(FERCJAMFactor,AK710,JAMValue)</f>
        <v>#VALUE!</v>
      </c>
      <c r="H710" s="139" t="e">
        <f t="shared" si="331"/>
        <v>#VALUE!</v>
      </c>
      <c r="I710" s="139" t="e">
        <f t="shared" si="331"/>
        <v>#VALUE!</v>
      </c>
      <c r="J710" s="139" t="e">
        <f t="shared" si="331"/>
        <v>#VALUE!</v>
      </c>
      <c r="K710" s="139" t="e">
        <f t="shared" si="331"/>
        <v>#VALUE!</v>
      </c>
      <c r="L710" s="139" t="e">
        <f t="shared" si="331"/>
        <v>#VALUE!</v>
      </c>
      <c r="X710" s="3" t="str">
        <f>INDEX(DistFuncAllocOptions,ROW(A710)-ROW($A$92)+1,[4]Inputs!$S$11)</f>
        <v>CUST</v>
      </c>
      <c r="Y710" s="116" t="e">
        <f t="shared" si="332"/>
        <v>#VALUE!</v>
      </c>
      <c r="Z710" s="116" t="e">
        <f t="shared" si="332"/>
        <v>#VALUE!</v>
      </c>
      <c r="AA710" s="116" t="e">
        <f t="shared" si="332"/>
        <v>#VALUE!</v>
      </c>
      <c r="AB710" s="116" t="e">
        <f t="shared" si="332"/>
        <v>#VALUE!</v>
      </c>
      <c r="AC710" s="116" t="e">
        <f t="shared" si="332"/>
        <v>#VALUE!</v>
      </c>
      <c r="AD710" s="117" t="e">
        <f>ROUND(SUM(-G710,H710:L710),0)</f>
        <v>#VALUE!</v>
      </c>
      <c r="AE710" s="117" t="e">
        <f>ROUND(H710-O710-P710-Q710-R710,0)</f>
        <v>#VALUE!</v>
      </c>
      <c r="AF710" s="117" t="e">
        <f>ROUND(I710-T710-U710-V710-W710,0)</f>
        <v>#VALUE!</v>
      </c>
      <c r="AG710" s="117" t="e">
        <f>ROUND(J710-Y710-Z710-AA710-AC710-AB710,0)</f>
        <v>#VALUE!</v>
      </c>
      <c r="AH710" s="116"/>
      <c r="AI710">
        <f t="shared" si="317"/>
        <v>911</v>
      </c>
      <c r="AJ710" t="str">
        <f t="shared" si="308"/>
        <v>CN</v>
      </c>
      <c r="AK710" t="str">
        <f>IF(ISERROR(MATCH(AI710&amp;"."&amp;AJ710,AK$91:AK709,0)),AI710&amp;"."&amp;AJ710,AI710&amp;"."&amp;AJ710&amp;COUNTIFS(AI$91:AI709,AI710,AJ$91:AJ709,AJ710))</f>
        <v>911.CN</v>
      </c>
    </row>
    <row r="711" spans="1:37" ht="15" hidden="1">
      <c r="A711" s="120">
        <f>ROW()</f>
        <v>711</v>
      </c>
      <c r="B711" s="120"/>
      <c r="C711" s="1"/>
      <c r="E711" s="121"/>
      <c r="F711" s="138"/>
      <c r="G711" s="117" t="e">
        <f t="shared" ref="G711:L711" si="333">SUM(G709:G710)</f>
        <v>#VALUE!</v>
      </c>
      <c r="H711" s="116" t="e">
        <f t="shared" si="333"/>
        <v>#VALUE!</v>
      </c>
      <c r="I711" s="116" t="e">
        <f t="shared" si="333"/>
        <v>#VALUE!</v>
      </c>
      <c r="J711" s="116" t="e">
        <f t="shared" si="333"/>
        <v>#VALUE!</v>
      </c>
      <c r="K711" s="116" t="e">
        <f t="shared" si="333"/>
        <v>#VALUE!</v>
      </c>
      <c r="L711" s="116" t="e">
        <f t="shared" si="333"/>
        <v>#VALUE!</v>
      </c>
      <c r="O711" s="116">
        <f>SUM(O709:O710)</f>
        <v>0</v>
      </c>
      <c r="P711" s="116">
        <f>SUM(P709:P710)</f>
        <v>0</v>
      </c>
      <c r="Q711" s="116">
        <f>SUM(Q709:Q710)</f>
        <v>0</v>
      </c>
      <c r="R711" s="116">
        <f>SUM(R709:R710)</f>
        <v>0</v>
      </c>
      <c r="T711" s="116">
        <f>SUM(T709:T710)</f>
        <v>0</v>
      </c>
      <c r="U711" s="116">
        <f>SUM(U709:U710)</f>
        <v>0</v>
      </c>
      <c r="V711" s="116">
        <f>SUM(V709:V710)</f>
        <v>0</v>
      </c>
      <c r="W711" s="116">
        <f>SUM(W709:W710)</f>
        <v>0</v>
      </c>
      <c r="X711" s="3"/>
      <c r="Y711" s="116" t="e">
        <f>SUM(Y709:Y710)</f>
        <v>#VALUE!</v>
      </c>
      <c r="Z711" s="116" t="e">
        <f>SUM(Z709:Z710)</f>
        <v>#VALUE!</v>
      </c>
      <c r="AA711" s="116" t="e">
        <f>SUM(AA709:AA710)</f>
        <v>#VALUE!</v>
      </c>
      <c r="AB711" s="116" t="e">
        <f>SUM(AB709:AB710)</f>
        <v>#VALUE!</v>
      </c>
      <c r="AC711" s="116" t="e">
        <f>SUM(AC709:AC710)</f>
        <v>#VALUE!</v>
      </c>
      <c r="AD711" s="117" t="e">
        <f>ROUND(SUM(-G711,H711:L711),0)</f>
        <v>#VALUE!</v>
      </c>
      <c r="AE711" s="117" t="e">
        <f>ROUND(H711-O711-P711-Q711-R711,0)</f>
        <v>#VALUE!</v>
      </c>
      <c r="AF711" s="117" t="e">
        <f>ROUND(I711-T711-U711-V711-W711,0)</f>
        <v>#VALUE!</v>
      </c>
      <c r="AG711" s="117" t="e">
        <f>ROUND(J711-Y711-Z711-AA711-AC711-AB711,0)</f>
        <v>#VALUE!</v>
      </c>
      <c r="AH711" s="116"/>
      <c r="AI711">
        <f t="shared" si="317"/>
        <v>911</v>
      </c>
      <c r="AJ711" t="str">
        <f t="shared" si="308"/>
        <v>NA</v>
      </c>
      <c r="AK711" t="str">
        <f>IF(ISERROR(MATCH(AI711&amp;"."&amp;AJ711,AK$91:AK710,0)),AI711&amp;"."&amp;AJ711,AI711&amp;"."&amp;AJ711&amp;COUNTIFS(AI$91:AI710,AI711,AJ$91:AJ710,AJ711))</f>
        <v>911.NA1</v>
      </c>
    </row>
    <row r="712" spans="1:37" ht="15" hidden="1">
      <c r="A712" s="120">
        <f>ROW()</f>
        <v>712</v>
      </c>
      <c r="B712" s="120"/>
      <c r="C712" s="1"/>
      <c r="E712" s="121"/>
      <c r="F712" s="138"/>
      <c r="G712" s="119"/>
      <c r="X712" s="3"/>
      <c r="AD712" s="119"/>
      <c r="AE712" s="119"/>
      <c r="AF712" s="119"/>
      <c r="AG712" s="119"/>
      <c r="AI712">
        <f t="shared" si="317"/>
        <v>911</v>
      </c>
      <c r="AJ712" t="str">
        <f t="shared" si="308"/>
        <v>NA</v>
      </c>
      <c r="AK712" t="str">
        <f>IF(ISERROR(MATCH(AI712&amp;"."&amp;AJ712,AK$91:AK711,0)),AI712&amp;"."&amp;AJ712,AI712&amp;"."&amp;AJ712&amp;COUNTIFS(AI$91:AI711,AI712,AJ$91:AJ711,AJ712))</f>
        <v>911.NA2</v>
      </c>
    </row>
    <row r="713" spans="1:37" ht="15" hidden="1">
      <c r="A713" s="120">
        <f>ROW()</f>
        <v>713</v>
      </c>
      <c r="B713" s="120"/>
      <c r="C713" s="1">
        <v>912</v>
      </c>
      <c r="D713" s="2" t="s">
        <v>348</v>
      </c>
      <c r="E713" s="121"/>
      <c r="F713" s="138"/>
      <c r="G713" s="119"/>
      <c r="X713" s="3"/>
      <c r="AD713" s="119"/>
      <c r="AE713" s="119"/>
      <c r="AF713" s="119"/>
      <c r="AG713" s="119"/>
      <c r="AI713">
        <f t="shared" si="317"/>
        <v>912</v>
      </c>
      <c r="AJ713" t="str">
        <f t="shared" si="308"/>
        <v>NA</v>
      </c>
      <c r="AK713" t="str">
        <f>IF(ISERROR(MATCH(AI713&amp;"."&amp;AJ713,AK$91:AK712,0)),AI713&amp;"."&amp;AJ713,AI713&amp;"."&amp;AJ713&amp;COUNTIFS(AI$91:AI712,AI713,AJ$91:AJ712,AJ713))</f>
        <v>912.NA</v>
      </c>
    </row>
    <row r="714" spans="1:37" ht="15" hidden="1">
      <c r="A714" s="120">
        <f>ROW()</f>
        <v>714</v>
      </c>
      <c r="B714" s="120"/>
      <c r="C714" s="1"/>
      <c r="E714" s="121" t="s">
        <v>12</v>
      </c>
      <c r="F714" s="138" t="str">
        <f>INDEX(FuncAllocOptions,ROW(A714)-ROW($A$92)+1,[4]Inputs!$S$11)</f>
        <v>CUST</v>
      </c>
      <c r="G714" s="117" t="e">
        <f>SUMIF(FERCJAMFactor,AK714,JAMValue)</f>
        <v>#VALUE!</v>
      </c>
      <c r="H714" s="116" t="e">
        <f t="shared" ref="H714:L715" si="334">INDEX(FuncFactorTbl,MATCH($F714,FuncFactors,0),MATCH(H$8,Functions,0))*$G714</f>
        <v>#VALUE!</v>
      </c>
      <c r="I714" s="116" t="e">
        <f t="shared" si="334"/>
        <v>#VALUE!</v>
      </c>
      <c r="J714" s="116" t="e">
        <f t="shared" si="334"/>
        <v>#VALUE!</v>
      </c>
      <c r="K714" s="116" t="e">
        <f t="shared" si="334"/>
        <v>#VALUE!</v>
      </c>
      <c r="L714" s="116" t="e">
        <f t="shared" si="334"/>
        <v>#VALUE!</v>
      </c>
      <c r="X714" s="3" t="str">
        <f>INDEX(DistFuncAllocOptions,ROW(A714)-ROW($A$92)+1,[4]Inputs!$S$11)</f>
        <v>CUST</v>
      </c>
      <c r="Y714" s="116" t="e">
        <f t="shared" ref="Y714:AC715" si="335">INDEX(DistFuncFactorTbl,MATCH($X714,DistFuncFactors,0),MATCH(Y$91,DistFunctions,0))*$J714</f>
        <v>#VALUE!</v>
      </c>
      <c r="Z714" s="116" t="e">
        <f t="shared" si="335"/>
        <v>#VALUE!</v>
      </c>
      <c r="AA714" s="116" t="e">
        <f t="shared" si="335"/>
        <v>#VALUE!</v>
      </c>
      <c r="AB714" s="116" t="e">
        <f t="shared" si="335"/>
        <v>#VALUE!</v>
      </c>
      <c r="AC714" s="116" t="e">
        <f t="shared" si="335"/>
        <v>#VALUE!</v>
      </c>
      <c r="AD714" s="117" t="e">
        <f>ROUND(SUM(-G714,H714:L714),0)</f>
        <v>#VALUE!</v>
      </c>
      <c r="AE714" s="117" t="e">
        <f>ROUND(H714-O714-P714-Q714-R714,0)</f>
        <v>#VALUE!</v>
      </c>
      <c r="AF714" s="117" t="e">
        <f>ROUND(I714-T714-U714-V714-W714,0)</f>
        <v>#VALUE!</v>
      </c>
      <c r="AG714" s="117" t="e">
        <f>ROUND(J714-Y714-Z714-AA714-AC714-AB714,0)</f>
        <v>#VALUE!</v>
      </c>
      <c r="AH714" s="116"/>
      <c r="AI714">
        <f t="shared" si="317"/>
        <v>912</v>
      </c>
      <c r="AJ714" t="str">
        <f t="shared" si="308"/>
        <v>S</v>
      </c>
      <c r="AK714" t="str">
        <f>IF(ISERROR(MATCH(AI714&amp;"."&amp;AJ714,AK$91:AK713,0)),AI714&amp;"."&amp;AJ714,AI714&amp;"."&amp;AJ714&amp;COUNTIFS(AI$91:AI713,AI714,AJ$91:AJ713,AJ714))</f>
        <v>912.S</v>
      </c>
    </row>
    <row r="715" spans="1:37" ht="15" hidden="1">
      <c r="A715" s="120">
        <f>ROW()</f>
        <v>715</v>
      </c>
      <c r="B715" s="120"/>
      <c r="C715" s="1"/>
      <c r="E715" s="121" t="s">
        <v>155</v>
      </c>
      <c r="F715" s="138" t="str">
        <f>INDEX(FuncAllocOptions,ROW(A715)-ROW($A$92)+1,[4]Inputs!$S$11)</f>
        <v>CUST</v>
      </c>
      <c r="G715" s="133" t="e">
        <f>SUMIF(FERCJAMFactor,AK715,JAMValue)</f>
        <v>#VALUE!</v>
      </c>
      <c r="H715" s="139" t="e">
        <f t="shared" si="334"/>
        <v>#VALUE!</v>
      </c>
      <c r="I715" s="139" t="e">
        <f t="shared" si="334"/>
        <v>#VALUE!</v>
      </c>
      <c r="J715" s="139" t="e">
        <f t="shared" si="334"/>
        <v>#VALUE!</v>
      </c>
      <c r="K715" s="139" t="e">
        <f t="shared" si="334"/>
        <v>#VALUE!</v>
      </c>
      <c r="L715" s="139" t="e">
        <f t="shared" si="334"/>
        <v>#VALUE!</v>
      </c>
      <c r="X715" s="3" t="str">
        <f>INDEX(DistFuncAllocOptions,ROW(A715)-ROW($A$92)+1,[4]Inputs!$S$11)</f>
        <v>CUST</v>
      </c>
      <c r="Y715" s="116" t="e">
        <f t="shared" si="335"/>
        <v>#VALUE!</v>
      </c>
      <c r="Z715" s="116" t="e">
        <f t="shared" si="335"/>
        <v>#VALUE!</v>
      </c>
      <c r="AA715" s="116" t="e">
        <f t="shared" si="335"/>
        <v>#VALUE!</v>
      </c>
      <c r="AB715" s="116" t="e">
        <f t="shared" si="335"/>
        <v>#VALUE!</v>
      </c>
      <c r="AC715" s="116" t="e">
        <f t="shared" si="335"/>
        <v>#VALUE!</v>
      </c>
      <c r="AD715" s="117" t="e">
        <f>ROUND(SUM(-G715,H715:L715),0)</f>
        <v>#VALUE!</v>
      </c>
      <c r="AE715" s="117" t="e">
        <f>ROUND(H715-O715-P715-Q715-R715,0)</f>
        <v>#VALUE!</v>
      </c>
      <c r="AF715" s="117" t="e">
        <f>ROUND(I715-T715-U715-V715-W715,0)</f>
        <v>#VALUE!</v>
      </c>
      <c r="AG715" s="117" t="e">
        <f>ROUND(J715-Y715-Z715-AA715-AC715-AB715,0)</f>
        <v>#VALUE!</v>
      </c>
      <c r="AH715" s="116"/>
      <c r="AI715">
        <f t="shared" si="317"/>
        <v>912</v>
      </c>
      <c r="AJ715" t="str">
        <f t="shared" si="308"/>
        <v>CN</v>
      </c>
      <c r="AK715" t="str">
        <f>IF(ISERROR(MATCH(AI715&amp;"."&amp;AJ715,AK$91:AK714,0)),AI715&amp;"."&amp;AJ715,AI715&amp;"."&amp;AJ715&amp;COUNTIFS(AI$91:AI714,AI715,AJ$91:AJ714,AJ715))</f>
        <v>912.CN</v>
      </c>
    </row>
    <row r="716" spans="1:37" ht="15" hidden="1">
      <c r="A716" s="120">
        <f>ROW()</f>
        <v>716</v>
      </c>
      <c r="B716" s="120"/>
      <c r="C716" s="1"/>
      <c r="E716" s="121"/>
      <c r="F716" s="138"/>
      <c r="G716" s="117" t="e">
        <f t="shared" ref="G716:L716" si="336">SUM(G714:G715)</f>
        <v>#VALUE!</v>
      </c>
      <c r="H716" s="116" t="e">
        <f t="shared" si="336"/>
        <v>#VALUE!</v>
      </c>
      <c r="I716" s="116" t="e">
        <f t="shared" si="336"/>
        <v>#VALUE!</v>
      </c>
      <c r="J716" s="116" t="e">
        <f t="shared" si="336"/>
        <v>#VALUE!</v>
      </c>
      <c r="K716" s="116" t="e">
        <f t="shared" si="336"/>
        <v>#VALUE!</v>
      </c>
      <c r="L716" s="116" t="e">
        <f t="shared" si="336"/>
        <v>#VALUE!</v>
      </c>
      <c r="O716" s="116">
        <f>SUM(O714:O715)</f>
        <v>0</v>
      </c>
      <c r="P716" s="116">
        <f>SUM(P714:P715)</f>
        <v>0</v>
      </c>
      <c r="Q716" s="116">
        <f>SUM(Q714:Q715)</f>
        <v>0</v>
      </c>
      <c r="R716" s="116">
        <f>SUM(R714:R715)</f>
        <v>0</v>
      </c>
      <c r="T716" s="116">
        <f>SUM(T714:T715)</f>
        <v>0</v>
      </c>
      <c r="U716" s="116">
        <f>SUM(U714:U715)</f>
        <v>0</v>
      </c>
      <c r="V716" s="116">
        <f>SUM(V714:V715)</f>
        <v>0</v>
      </c>
      <c r="W716" s="116">
        <f>SUM(W714:W715)</f>
        <v>0</v>
      </c>
      <c r="X716" s="3"/>
      <c r="Y716" s="116" t="e">
        <f>SUM(Y714:Y715)</f>
        <v>#VALUE!</v>
      </c>
      <c r="Z716" s="116" t="e">
        <f>SUM(Z714:Z715)</f>
        <v>#VALUE!</v>
      </c>
      <c r="AA716" s="116" t="e">
        <f>SUM(AA714:AA715)</f>
        <v>#VALUE!</v>
      </c>
      <c r="AB716" s="116" t="e">
        <f>SUM(AB714:AB715)</f>
        <v>#VALUE!</v>
      </c>
      <c r="AC716" s="116" t="e">
        <f>SUM(AC714:AC715)</f>
        <v>#VALUE!</v>
      </c>
      <c r="AD716" s="117" t="e">
        <f>ROUND(SUM(-G716,H716:L716),0)</f>
        <v>#VALUE!</v>
      </c>
      <c r="AE716" s="117" t="e">
        <f>ROUND(H716-O716-P716-Q716-R716,0)</f>
        <v>#VALUE!</v>
      </c>
      <c r="AF716" s="117" t="e">
        <f>ROUND(I716-T716-U716-V716-W716,0)</f>
        <v>#VALUE!</v>
      </c>
      <c r="AG716" s="117" t="e">
        <f>ROUND(J716-Y716-Z716-AA716-AC716-AB716,0)</f>
        <v>#VALUE!</v>
      </c>
      <c r="AH716" s="116"/>
      <c r="AI716">
        <f t="shared" si="317"/>
        <v>912</v>
      </c>
      <c r="AJ716" t="str">
        <f t="shared" si="308"/>
        <v>NA</v>
      </c>
      <c r="AK716" t="str">
        <f>IF(ISERROR(MATCH(AI716&amp;"."&amp;AJ716,AK$91:AK715,0)),AI716&amp;"."&amp;AJ716,AI716&amp;"."&amp;AJ716&amp;COUNTIFS(AI$91:AI715,AI716,AJ$91:AJ715,AJ716))</f>
        <v>912.NA1</v>
      </c>
    </row>
    <row r="717" spans="1:37" ht="15" hidden="1">
      <c r="A717" s="120">
        <f>ROW()</f>
        <v>717</v>
      </c>
      <c r="B717" s="120"/>
      <c r="C717" s="1"/>
      <c r="E717" s="121"/>
      <c r="F717" s="138"/>
      <c r="G717" s="119"/>
      <c r="X717" s="3"/>
      <c r="AD717" s="119"/>
      <c r="AE717" s="119"/>
      <c r="AF717" s="119"/>
      <c r="AG717" s="119"/>
      <c r="AI717">
        <f t="shared" si="317"/>
        <v>912</v>
      </c>
      <c r="AJ717" t="str">
        <f t="shared" si="308"/>
        <v>NA</v>
      </c>
      <c r="AK717" t="str">
        <f>IF(ISERROR(MATCH(AI717&amp;"."&amp;AJ717,AK$91:AK716,0)),AI717&amp;"."&amp;AJ717,AI717&amp;"."&amp;AJ717&amp;COUNTIFS(AI$91:AI716,AI717,AJ$91:AJ716,AJ717))</f>
        <v>912.NA2</v>
      </c>
    </row>
    <row r="718" spans="1:37" ht="15" hidden="1">
      <c r="A718" s="120">
        <f>ROW()</f>
        <v>718</v>
      </c>
      <c r="B718" s="120"/>
      <c r="C718" s="1">
        <v>913</v>
      </c>
      <c r="D718" s="2" t="s">
        <v>349</v>
      </c>
      <c r="E718" s="121"/>
      <c r="F718" s="138"/>
      <c r="G718" s="119"/>
      <c r="X718" s="3"/>
      <c r="AD718" s="119"/>
      <c r="AE718" s="119"/>
      <c r="AF718" s="119"/>
      <c r="AG718" s="119"/>
      <c r="AI718">
        <f t="shared" si="317"/>
        <v>913</v>
      </c>
      <c r="AJ718" t="str">
        <f t="shared" si="308"/>
        <v>NA</v>
      </c>
      <c r="AK718" t="str">
        <f>IF(ISERROR(MATCH(AI718&amp;"."&amp;AJ718,AK$91:AK717,0)),AI718&amp;"."&amp;AJ718,AI718&amp;"."&amp;AJ718&amp;COUNTIFS(AI$91:AI717,AI718,AJ$91:AJ717,AJ718))</f>
        <v>913.NA</v>
      </c>
    </row>
    <row r="719" spans="1:37" ht="15" hidden="1">
      <c r="A719" s="120">
        <f>ROW()</f>
        <v>719</v>
      </c>
      <c r="B719" s="120"/>
      <c r="C719" s="1"/>
      <c r="E719" s="121" t="s">
        <v>12</v>
      </c>
      <c r="F719" s="138" t="str">
        <f>INDEX(FuncAllocOptions,ROW(A719)-ROW($A$92)+1,[4]Inputs!$S$11)</f>
        <v>CUST</v>
      </c>
      <c r="G719" s="117" t="e">
        <f>SUMIF(FERCJAMFactor,AK719,JAMValue)</f>
        <v>#VALUE!</v>
      </c>
      <c r="H719" s="116" t="e">
        <f t="shared" ref="H719:L720" si="337">INDEX(FuncFactorTbl,MATCH($F719,FuncFactors,0),MATCH(H$8,Functions,0))*$G719</f>
        <v>#VALUE!</v>
      </c>
      <c r="I719" s="116" t="e">
        <f t="shared" si="337"/>
        <v>#VALUE!</v>
      </c>
      <c r="J719" s="116" t="e">
        <f t="shared" si="337"/>
        <v>#VALUE!</v>
      </c>
      <c r="K719" s="116" t="e">
        <f t="shared" si="337"/>
        <v>#VALUE!</v>
      </c>
      <c r="L719" s="116" t="e">
        <f t="shared" si="337"/>
        <v>#VALUE!</v>
      </c>
      <c r="X719" s="3" t="str">
        <f>INDEX(DistFuncAllocOptions,ROW(A719)-ROW($A$92)+1,[4]Inputs!$S$11)</f>
        <v>CUST</v>
      </c>
      <c r="Y719" s="116" t="e">
        <f t="shared" ref="Y719:AC720" si="338">INDEX(DistFuncFactorTbl,MATCH($X719,DistFuncFactors,0),MATCH(Y$91,DistFunctions,0))*$J719</f>
        <v>#VALUE!</v>
      </c>
      <c r="Z719" s="116" t="e">
        <f t="shared" si="338"/>
        <v>#VALUE!</v>
      </c>
      <c r="AA719" s="116" t="e">
        <f t="shared" si="338"/>
        <v>#VALUE!</v>
      </c>
      <c r="AB719" s="116" t="e">
        <f t="shared" si="338"/>
        <v>#VALUE!</v>
      </c>
      <c r="AC719" s="116" t="e">
        <f t="shared" si="338"/>
        <v>#VALUE!</v>
      </c>
      <c r="AD719" s="117" t="e">
        <f>ROUND(SUM(-G719,H719:L719),0)</f>
        <v>#VALUE!</v>
      </c>
      <c r="AE719" s="117" t="e">
        <f>ROUND(H719-O719-P719-Q719-R719,0)</f>
        <v>#VALUE!</v>
      </c>
      <c r="AF719" s="117" t="e">
        <f>ROUND(I719-T719-U719-V719-W719,0)</f>
        <v>#VALUE!</v>
      </c>
      <c r="AG719" s="117" t="e">
        <f>ROUND(J719-Y719-Z719-AA719-AC719-AB719,0)</f>
        <v>#VALUE!</v>
      </c>
      <c r="AH719" s="116"/>
      <c r="AI719">
        <f t="shared" si="317"/>
        <v>913</v>
      </c>
      <c r="AJ719" t="str">
        <f t="shared" si="308"/>
        <v>S</v>
      </c>
      <c r="AK719" t="str">
        <f>IF(ISERROR(MATCH(AI719&amp;"."&amp;AJ719,AK$91:AK718,0)),AI719&amp;"."&amp;AJ719,AI719&amp;"."&amp;AJ719&amp;COUNTIFS(AI$91:AI718,AI719,AJ$91:AJ718,AJ719))</f>
        <v>913.S</v>
      </c>
    </row>
    <row r="720" spans="1:37" ht="15" hidden="1">
      <c r="A720" s="120">
        <f>ROW()</f>
        <v>720</v>
      </c>
      <c r="B720" s="120"/>
      <c r="C720" s="1"/>
      <c r="E720" s="121" t="s">
        <v>155</v>
      </c>
      <c r="F720" s="138" t="str">
        <f>INDEX(FuncAllocOptions,ROW(A720)-ROW($A$92)+1,[4]Inputs!$S$11)</f>
        <v>CUST</v>
      </c>
      <c r="G720" s="133" t="e">
        <f>SUMIF(FERCJAMFactor,AK720,JAMValue)</f>
        <v>#VALUE!</v>
      </c>
      <c r="H720" s="139" t="e">
        <f t="shared" si="337"/>
        <v>#VALUE!</v>
      </c>
      <c r="I720" s="139" t="e">
        <f t="shared" si="337"/>
        <v>#VALUE!</v>
      </c>
      <c r="J720" s="139" t="e">
        <f t="shared" si="337"/>
        <v>#VALUE!</v>
      </c>
      <c r="K720" s="139" t="e">
        <f t="shared" si="337"/>
        <v>#VALUE!</v>
      </c>
      <c r="L720" s="139" t="e">
        <f t="shared" si="337"/>
        <v>#VALUE!</v>
      </c>
      <c r="X720" s="3" t="str">
        <f>INDEX(DistFuncAllocOptions,ROW(A720)-ROW($A$92)+1,[4]Inputs!$S$11)</f>
        <v>CUST</v>
      </c>
      <c r="Y720" s="116" t="e">
        <f t="shared" si="338"/>
        <v>#VALUE!</v>
      </c>
      <c r="Z720" s="116" t="e">
        <f t="shared" si="338"/>
        <v>#VALUE!</v>
      </c>
      <c r="AA720" s="116" t="e">
        <f t="shared" si="338"/>
        <v>#VALUE!</v>
      </c>
      <c r="AB720" s="116" t="e">
        <f t="shared" si="338"/>
        <v>#VALUE!</v>
      </c>
      <c r="AC720" s="116" t="e">
        <f t="shared" si="338"/>
        <v>#VALUE!</v>
      </c>
      <c r="AD720" s="117" t="e">
        <f>ROUND(SUM(-G720,H720:L720),0)</f>
        <v>#VALUE!</v>
      </c>
      <c r="AE720" s="117" t="e">
        <f>ROUND(H720-O720-P720-Q720-R720,0)</f>
        <v>#VALUE!</v>
      </c>
      <c r="AF720" s="117" t="e">
        <f>ROUND(I720-T720-U720-V720-W720,0)</f>
        <v>#VALUE!</v>
      </c>
      <c r="AG720" s="117" t="e">
        <f>ROUND(J720-Y720-Z720-AA720-AC720-AB720,0)</f>
        <v>#VALUE!</v>
      </c>
      <c r="AH720" s="116"/>
      <c r="AI720">
        <f t="shared" si="317"/>
        <v>913</v>
      </c>
      <c r="AJ720" t="str">
        <f t="shared" si="308"/>
        <v>CN</v>
      </c>
      <c r="AK720" t="str">
        <f>IF(ISERROR(MATCH(AI720&amp;"."&amp;AJ720,AK$91:AK719,0)),AI720&amp;"."&amp;AJ720,AI720&amp;"."&amp;AJ720&amp;COUNTIFS(AI$91:AI719,AI720,AJ$91:AJ719,AJ720))</f>
        <v>913.CN</v>
      </c>
    </row>
    <row r="721" spans="1:37" ht="15" hidden="1">
      <c r="A721" s="120">
        <f>ROW()</f>
        <v>721</v>
      </c>
      <c r="B721" s="120"/>
      <c r="C721" s="1"/>
      <c r="E721" s="121"/>
      <c r="F721" s="138"/>
      <c r="G721" s="117" t="e">
        <f t="shared" ref="G721:L721" si="339">SUM(G719:G720)</f>
        <v>#VALUE!</v>
      </c>
      <c r="H721" s="116" t="e">
        <f t="shared" si="339"/>
        <v>#VALUE!</v>
      </c>
      <c r="I721" s="116" t="e">
        <f t="shared" si="339"/>
        <v>#VALUE!</v>
      </c>
      <c r="J721" s="116" t="e">
        <f t="shared" si="339"/>
        <v>#VALUE!</v>
      </c>
      <c r="K721" s="116" t="e">
        <f t="shared" si="339"/>
        <v>#VALUE!</v>
      </c>
      <c r="L721" s="116" t="e">
        <f t="shared" si="339"/>
        <v>#VALUE!</v>
      </c>
      <c r="O721" s="116">
        <f>SUM(O719:O720)</f>
        <v>0</v>
      </c>
      <c r="P721" s="116">
        <f>SUM(P719:P720)</f>
        <v>0</v>
      </c>
      <c r="Q721" s="116">
        <f>SUM(Q719:Q720)</f>
        <v>0</v>
      </c>
      <c r="R721" s="116">
        <f>SUM(R719:R720)</f>
        <v>0</v>
      </c>
      <c r="T721" s="116">
        <f>SUM(T719:T720)</f>
        <v>0</v>
      </c>
      <c r="U721" s="116">
        <f>SUM(U719:U720)</f>
        <v>0</v>
      </c>
      <c r="V721" s="116">
        <f>SUM(V719:V720)</f>
        <v>0</v>
      </c>
      <c r="W721" s="116">
        <f>SUM(W719:W720)</f>
        <v>0</v>
      </c>
      <c r="X721" s="3"/>
      <c r="Y721" s="116" t="e">
        <f>SUM(Y719:Y720)</f>
        <v>#VALUE!</v>
      </c>
      <c r="Z721" s="116" t="e">
        <f>SUM(Z719:Z720)</f>
        <v>#VALUE!</v>
      </c>
      <c r="AA721" s="116" t="e">
        <f>SUM(AA719:AA720)</f>
        <v>#VALUE!</v>
      </c>
      <c r="AB721" s="116" t="e">
        <f>SUM(AB719:AB720)</f>
        <v>#VALUE!</v>
      </c>
      <c r="AC721" s="116" t="e">
        <f>SUM(AC719:AC720)</f>
        <v>#VALUE!</v>
      </c>
      <c r="AD721" s="117" t="e">
        <f>ROUND(SUM(-G721,H721:L721),0)</f>
        <v>#VALUE!</v>
      </c>
      <c r="AE721" s="117" t="e">
        <f>ROUND(H721-O721-P721-Q721-R721,0)</f>
        <v>#VALUE!</v>
      </c>
      <c r="AF721" s="117" t="e">
        <f>ROUND(I721-T721-U721-V721-W721,0)</f>
        <v>#VALUE!</v>
      </c>
      <c r="AG721" s="117" t="e">
        <f>ROUND(J721-Y721-Z721-AA721-AC721-AB721,0)</f>
        <v>#VALUE!</v>
      </c>
      <c r="AH721" s="116"/>
      <c r="AI721">
        <f t="shared" si="317"/>
        <v>913</v>
      </c>
      <c r="AJ721" t="str">
        <f t="shared" si="308"/>
        <v>NA</v>
      </c>
      <c r="AK721" t="str">
        <f>IF(ISERROR(MATCH(AI721&amp;"."&amp;AJ721,AK$91:AK720,0)),AI721&amp;"."&amp;AJ721,AI721&amp;"."&amp;AJ721&amp;COUNTIFS(AI$91:AI720,AI721,AJ$91:AJ720,AJ721))</f>
        <v>913.NA1</v>
      </c>
    </row>
    <row r="722" spans="1:37" ht="15" hidden="1">
      <c r="A722" s="120">
        <f>ROW()</f>
        <v>722</v>
      </c>
      <c r="B722" s="120"/>
      <c r="C722" s="1"/>
      <c r="E722" s="121"/>
      <c r="F722" s="138"/>
      <c r="G722" s="119"/>
      <c r="X722" s="3"/>
      <c r="AD722" s="119"/>
      <c r="AE722" s="119"/>
      <c r="AF722" s="119"/>
      <c r="AG722" s="119"/>
      <c r="AI722">
        <f t="shared" si="317"/>
        <v>913</v>
      </c>
      <c r="AJ722" t="str">
        <f t="shared" si="308"/>
        <v>NA</v>
      </c>
      <c r="AK722" t="str">
        <f>IF(ISERROR(MATCH(AI722&amp;"."&amp;AJ722,AK$91:AK721,0)),AI722&amp;"."&amp;AJ722,AI722&amp;"."&amp;AJ722&amp;COUNTIFS(AI$91:AI721,AI722,AJ$91:AJ721,AJ722))</f>
        <v>913.NA2</v>
      </c>
    </row>
    <row r="723" spans="1:37" ht="15" hidden="1">
      <c r="A723" s="120">
        <f>ROW()</f>
        <v>723</v>
      </c>
      <c r="B723" s="120"/>
      <c r="C723" s="1">
        <v>916</v>
      </c>
      <c r="D723" s="2" t="s">
        <v>350</v>
      </c>
      <c r="E723" s="121"/>
      <c r="F723" s="138"/>
      <c r="G723" s="119"/>
      <c r="X723" s="3"/>
      <c r="AD723" s="119"/>
      <c r="AE723" s="119"/>
      <c r="AF723" s="119"/>
      <c r="AG723" s="119"/>
      <c r="AI723">
        <f t="shared" si="317"/>
        <v>916</v>
      </c>
      <c r="AJ723" t="str">
        <f t="shared" si="308"/>
        <v>NA</v>
      </c>
      <c r="AK723" t="str">
        <f>IF(ISERROR(MATCH(AI723&amp;"."&amp;AJ723,AK$91:AK722,0)),AI723&amp;"."&amp;AJ723,AI723&amp;"."&amp;AJ723&amp;COUNTIFS(AI$91:AI722,AI723,AJ$91:AJ722,AJ723))</f>
        <v>916.NA</v>
      </c>
    </row>
    <row r="724" spans="1:37" ht="15" hidden="1">
      <c r="A724" s="120">
        <f>ROW()</f>
        <v>724</v>
      </c>
      <c r="B724" s="120"/>
      <c r="E724" s="121" t="s">
        <v>12</v>
      </c>
      <c r="F724" s="138" t="str">
        <f>INDEX(FuncAllocOptions,ROW(A724)-ROW($A$92)+1,[4]Inputs!$S$11)</f>
        <v>CUST</v>
      </c>
      <c r="G724" s="117" t="e">
        <f>SUMIF(FERCJAMFactor,AK724,JAMValue)</f>
        <v>#VALUE!</v>
      </c>
      <c r="H724" s="116" t="e">
        <f t="shared" ref="H724:L725" si="340">INDEX(FuncFactorTbl,MATCH($F724,FuncFactors,0),MATCH(H$8,Functions,0))*$G724</f>
        <v>#VALUE!</v>
      </c>
      <c r="I724" s="116" t="e">
        <f t="shared" si="340"/>
        <v>#VALUE!</v>
      </c>
      <c r="J724" s="116" t="e">
        <f t="shared" si="340"/>
        <v>#VALUE!</v>
      </c>
      <c r="K724" s="116" t="e">
        <f t="shared" si="340"/>
        <v>#VALUE!</v>
      </c>
      <c r="L724" s="116" t="e">
        <f t="shared" si="340"/>
        <v>#VALUE!</v>
      </c>
      <c r="X724" s="3" t="str">
        <f>INDEX(DistFuncAllocOptions,ROW(A724)-ROW($A$92)+1,[4]Inputs!$S$11)</f>
        <v>CUST</v>
      </c>
      <c r="Y724" s="116" t="e">
        <f t="shared" ref="Y724:AC725" si="341">INDEX(DistFuncFactorTbl,MATCH($X724,DistFuncFactors,0),MATCH(Y$91,DistFunctions,0))*$J724</f>
        <v>#VALUE!</v>
      </c>
      <c r="Z724" s="116" t="e">
        <f t="shared" si="341"/>
        <v>#VALUE!</v>
      </c>
      <c r="AA724" s="116" t="e">
        <f t="shared" si="341"/>
        <v>#VALUE!</v>
      </c>
      <c r="AB724" s="116" t="e">
        <f t="shared" si="341"/>
        <v>#VALUE!</v>
      </c>
      <c r="AC724" s="116" t="e">
        <f t="shared" si="341"/>
        <v>#VALUE!</v>
      </c>
      <c r="AD724" s="117" t="e">
        <f>ROUND(SUM(-G724,H724:L724),0)</f>
        <v>#VALUE!</v>
      </c>
      <c r="AE724" s="117" t="e">
        <f>ROUND(H724-O724-P724-Q724-R724,0)</f>
        <v>#VALUE!</v>
      </c>
      <c r="AF724" s="117" t="e">
        <f>ROUND(I724-T724-U724-V724-W724,0)</f>
        <v>#VALUE!</v>
      </c>
      <c r="AG724" s="117" t="e">
        <f>ROUND(J724-Y724-Z724-AA724-AC724-AB724,0)</f>
        <v>#VALUE!</v>
      </c>
      <c r="AH724" s="116"/>
      <c r="AI724">
        <f t="shared" si="317"/>
        <v>916</v>
      </c>
      <c r="AJ724" t="str">
        <f t="shared" si="308"/>
        <v>S</v>
      </c>
      <c r="AK724" t="str">
        <f>IF(ISERROR(MATCH(AI724&amp;"."&amp;AJ724,AK$91:AK723,0)),AI724&amp;"."&amp;AJ724,AI724&amp;"."&amp;AJ724&amp;COUNTIFS(AI$91:AI723,AI724,AJ$91:AJ723,AJ724))</f>
        <v>916.S</v>
      </c>
    </row>
    <row r="725" spans="1:37" ht="15" hidden="1">
      <c r="A725" s="120">
        <f>ROW()</f>
        <v>725</v>
      </c>
      <c r="B725" s="120"/>
      <c r="E725" s="121" t="s">
        <v>155</v>
      </c>
      <c r="F725" s="138" t="str">
        <f>INDEX(FuncAllocOptions,ROW(A725)-ROW($A$92)+1,[4]Inputs!$S$11)</f>
        <v>CUST</v>
      </c>
      <c r="G725" s="133" t="e">
        <f>SUMIF(FERCJAMFactor,AK725,JAMValue)</f>
        <v>#VALUE!</v>
      </c>
      <c r="H725" s="139" t="e">
        <f t="shared" si="340"/>
        <v>#VALUE!</v>
      </c>
      <c r="I725" s="139" t="e">
        <f t="shared" si="340"/>
        <v>#VALUE!</v>
      </c>
      <c r="J725" s="139" t="e">
        <f t="shared" si="340"/>
        <v>#VALUE!</v>
      </c>
      <c r="K725" s="139" t="e">
        <f t="shared" si="340"/>
        <v>#VALUE!</v>
      </c>
      <c r="L725" s="139" t="e">
        <f t="shared" si="340"/>
        <v>#VALUE!</v>
      </c>
      <c r="X725" s="3" t="str">
        <f>INDEX(DistFuncAllocOptions,ROW(A725)-ROW($A$92)+1,[4]Inputs!$S$11)</f>
        <v>CUST</v>
      </c>
      <c r="Y725" s="116" t="e">
        <f t="shared" si="341"/>
        <v>#VALUE!</v>
      </c>
      <c r="Z725" s="116" t="e">
        <f t="shared" si="341"/>
        <v>#VALUE!</v>
      </c>
      <c r="AA725" s="116" t="e">
        <f t="shared" si="341"/>
        <v>#VALUE!</v>
      </c>
      <c r="AB725" s="116" t="e">
        <f t="shared" si="341"/>
        <v>#VALUE!</v>
      </c>
      <c r="AC725" s="116" t="e">
        <f t="shared" si="341"/>
        <v>#VALUE!</v>
      </c>
      <c r="AD725" s="117" t="e">
        <f>ROUND(SUM(-G725,H725:L725),0)</f>
        <v>#VALUE!</v>
      </c>
      <c r="AE725" s="117" t="e">
        <f>ROUND(H725-O725-P725-Q725-R725,0)</f>
        <v>#VALUE!</v>
      </c>
      <c r="AF725" s="117" t="e">
        <f>ROUND(I725-T725-U725-V725-W725,0)</f>
        <v>#VALUE!</v>
      </c>
      <c r="AG725" s="117" t="e">
        <f>ROUND(J725-Y725-Z725-AA725-AC725-AB725,0)</f>
        <v>#VALUE!</v>
      </c>
      <c r="AH725" s="116"/>
      <c r="AI725">
        <f t="shared" si="317"/>
        <v>916</v>
      </c>
      <c r="AJ725" t="str">
        <f t="shared" si="308"/>
        <v>CN</v>
      </c>
      <c r="AK725" t="str">
        <f>IF(ISERROR(MATCH(AI725&amp;"."&amp;AJ725,AK$91:AK724,0)),AI725&amp;"."&amp;AJ725,AI725&amp;"."&amp;AJ725&amp;COUNTIFS(AI$91:AI724,AI725,AJ$91:AJ724,AJ725))</f>
        <v>916.CN</v>
      </c>
    </row>
    <row r="726" spans="1:37" ht="15" hidden="1">
      <c r="A726" s="120">
        <f>ROW()</f>
        <v>726</v>
      </c>
      <c r="B726" s="120"/>
      <c r="E726" s="121"/>
      <c r="F726" s="138"/>
      <c r="G726" s="117" t="e">
        <f t="shared" ref="G726:L726" si="342">SUM(G724:G725)</f>
        <v>#VALUE!</v>
      </c>
      <c r="H726" s="116" t="e">
        <f t="shared" si="342"/>
        <v>#VALUE!</v>
      </c>
      <c r="I726" s="116" t="e">
        <f t="shared" si="342"/>
        <v>#VALUE!</v>
      </c>
      <c r="J726" s="116" t="e">
        <f t="shared" si="342"/>
        <v>#VALUE!</v>
      </c>
      <c r="K726" s="116" t="e">
        <f t="shared" si="342"/>
        <v>#VALUE!</v>
      </c>
      <c r="L726" s="116" t="e">
        <f t="shared" si="342"/>
        <v>#VALUE!</v>
      </c>
      <c r="O726" s="116">
        <f>SUM(O724:O725)</f>
        <v>0</v>
      </c>
      <c r="P726" s="116">
        <f>SUM(P724:P725)</f>
        <v>0</v>
      </c>
      <c r="Q726" s="116">
        <f>SUM(Q724:Q725)</f>
        <v>0</v>
      </c>
      <c r="R726" s="116">
        <f>SUM(R724:R725)</f>
        <v>0</v>
      </c>
      <c r="T726" s="116">
        <f>SUM(T724:T725)</f>
        <v>0</v>
      </c>
      <c r="U726" s="116">
        <f>SUM(U724:U725)</f>
        <v>0</v>
      </c>
      <c r="V726" s="116">
        <f>SUM(V724:V725)</f>
        <v>0</v>
      </c>
      <c r="W726" s="116">
        <f>SUM(W724:W725)</f>
        <v>0</v>
      </c>
      <c r="X726" s="3"/>
      <c r="Y726" s="116" t="e">
        <f>SUM(Y724:Y725)</f>
        <v>#VALUE!</v>
      </c>
      <c r="Z726" s="116" t="e">
        <f>SUM(Z724:Z725)</f>
        <v>#VALUE!</v>
      </c>
      <c r="AA726" s="116" t="e">
        <f>SUM(AA724:AA725)</f>
        <v>#VALUE!</v>
      </c>
      <c r="AB726" s="116" t="e">
        <f>SUM(AB724:AB725)</f>
        <v>#VALUE!</v>
      </c>
      <c r="AC726" s="116" t="e">
        <f>SUM(AC724:AC725)</f>
        <v>#VALUE!</v>
      </c>
      <c r="AD726" s="117" t="e">
        <f>ROUND(SUM(-G726,H726:L726),0)</f>
        <v>#VALUE!</v>
      </c>
      <c r="AE726" s="117" t="e">
        <f>ROUND(H726-O726-P726-Q726-R726,0)</f>
        <v>#VALUE!</v>
      </c>
      <c r="AF726" s="117" t="e">
        <f>ROUND(I726-T726-U726-V726-W726,0)</f>
        <v>#VALUE!</v>
      </c>
      <c r="AG726" s="117" t="e">
        <f>ROUND(J726-Y726-Z726-AA726-AC726-AB726,0)</f>
        <v>#VALUE!</v>
      </c>
      <c r="AH726" s="116"/>
      <c r="AI726">
        <f t="shared" si="317"/>
        <v>916</v>
      </c>
      <c r="AJ726" t="str">
        <f t="shared" si="308"/>
        <v>NA</v>
      </c>
      <c r="AK726" t="str">
        <f>IF(ISERROR(MATCH(AI726&amp;"."&amp;AJ726,AK$91:AK725,0)),AI726&amp;"."&amp;AJ726,AI726&amp;"."&amp;AJ726&amp;COUNTIFS(AI$91:AI725,AI726,AJ$91:AJ725,AJ726))</f>
        <v>916.NA1</v>
      </c>
    </row>
    <row r="727" spans="1:37" ht="15" hidden="1">
      <c r="A727" s="120">
        <f>ROW()</f>
        <v>727</v>
      </c>
      <c r="B727" s="120"/>
      <c r="E727" s="121"/>
      <c r="F727" s="138"/>
      <c r="G727" s="119"/>
      <c r="X727" s="3"/>
      <c r="AD727" s="119"/>
      <c r="AE727" s="119"/>
      <c r="AF727" s="119"/>
      <c r="AG727" s="119"/>
      <c r="AI727">
        <f t="shared" si="317"/>
        <v>916</v>
      </c>
      <c r="AJ727" t="str">
        <f t="shared" si="308"/>
        <v>NA</v>
      </c>
      <c r="AK727" t="str">
        <f>IF(ISERROR(MATCH(AI727&amp;"."&amp;AJ727,AK$91:AK726,0)),AI727&amp;"."&amp;AJ727,AI727&amp;"."&amp;AJ727&amp;COUNTIFS(AI$91:AI726,AI727,AJ$91:AJ726,AJ727))</f>
        <v>916.NA2</v>
      </c>
    </row>
    <row r="728" spans="1:37" ht="15.75" hidden="1" thickBot="1">
      <c r="A728" s="120">
        <f>ROW()</f>
        <v>728</v>
      </c>
      <c r="B728" s="120"/>
      <c r="C728" s="110" t="s">
        <v>763</v>
      </c>
      <c r="E728" s="121"/>
      <c r="F728" s="138"/>
      <c r="G728" s="153" t="e">
        <f t="shared" ref="G728:L728" si="343">G711+G716+G721+G726</f>
        <v>#VALUE!</v>
      </c>
      <c r="H728" s="152" t="e">
        <f t="shared" si="343"/>
        <v>#VALUE!</v>
      </c>
      <c r="I728" s="152" t="e">
        <f t="shared" si="343"/>
        <v>#VALUE!</v>
      </c>
      <c r="J728" s="152" t="e">
        <f t="shared" si="343"/>
        <v>#VALUE!</v>
      </c>
      <c r="K728" s="152" t="e">
        <f t="shared" si="343"/>
        <v>#VALUE!</v>
      </c>
      <c r="L728" s="152" t="e">
        <f t="shared" si="343"/>
        <v>#VALUE!</v>
      </c>
      <c r="O728" s="116">
        <f>O711+O716+O721+O726</f>
        <v>0</v>
      </c>
      <c r="P728" s="116">
        <f>P711+P716+P721+P726</f>
        <v>0</v>
      </c>
      <c r="Q728" s="116">
        <f>Q711+Q716+Q721+Q726</f>
        <v>0</v>
      </c>
      <c r="R728" s="116">
        <f>R711+R716+R721+R726</f>
        <v>0</v>
      </c>
      <c r="S728" s="116"/>
      <c r="T728" s="116">
        <f>T711+T716+T721+T726</f>
        <v>0</v>
      </c>
      <c r="U728" s="116">
        <f>U711+U716+U721+U726</f>
        <v>0</v>
      </c>
      <c r="V728" s="116">
        <f>V711+V716+V721+V726</f>
        <v>0</v>
      </c>
      <c r="W728" s="116">
        <f>W711+W716+W721+W726</f>
        <v>0</v>
      </c>
      <c r="X728" s="3"/>
      <c r="Y728" s="116" t="e">
        <f>Y711+Y716+Y721+Y726</f>
        <v>#VALUE!</v>
      </c>
      <c r="Z728" s="116" t="e">
        <f>Z711+Z716+Z721+Z726</f>
        <v>#VALUE!</v>
      </c>
      <c r="AA728" s="116" t="e">
        <f>AA711+AA716+AA721+AA726</f>
        <v>#VALUE!</v>
      </c>
      <c r="AB728" s="116" t="e">
        <f>AB711+AB716+AB721+AB726</f>
        <v>#VALUE!</v>
      </c>
      <c r="AC728" s="116" t="e">
        <f>AC711+AC716+AC721+AC726</f>
        <v>#VALUE!</v>
      </c>
      <c r="AD728" s="117" t="e">
        <f>ROUND(SUM(-G728,H728:L728),0)</f>
        <v>#VALUE!</v>
      </c>
      <c r="AE728" s="117" t="e">
        <f>ROUND(H728-O728-P728-Q728-R728,0)</f>
        <v>#VALUE!</v>
      </c>
      <c r="AF728" s="117" t="e">
        <f>ROUND(I728-T728-U728-V728-W728,0)</f>
        <v>#VALUE!</v>
      </c>
      <c r="AG728" s="117" t="e">
        <f>ROUND(J728-Y728-Z728-AA728-AC728-AB728,0)</f>
        <v>#VALUE!</v>
      </c>
      <c r="AH728" s="116"/>
      <c r="AI728" t="str">
        <f t="shared" si="317"/>
        <v>TOTAL SALES EXPENSE</v>
      </c>
      <c r="AJ728" t="str">
        <f t="shared" si="308"/>
        <v>NA</v>
      </c>
      <c r="AK728" t="str">
        <f>IF(ISERROR(MATCH(AI728&amp;"."&amp;AJ728,AK$91:AK727,0)),AI728&amp;"."&amp;AJ728,AI728&amp;"."&amp;AJ728&amp;COUNTIFS(AI$91:AI727,AI728,AJ$91:AJ727,AJ728))</f>
        <v>TOTAL SALES EXPENSE.NA</v>
      </c>
    </row>
    <row r="729" spans="1:37" ht="15" hidden="1">
      <c r="A729" s="120">
        <f>ROW()</f>
        <v>729</v>
      </c>
      <c r="B729" s="120"/>
      <c r="E729" s="121"/>
      <c r="F729" s="138"/>
      <c r="G729" s="119"/>
      <c r="X729" s="3"/>
      <c r="AD729" s="119"/>
      <c r="AE729" s="119"/>
      <c r="AF729" s="119"/>
      <c r="AG729" s="119"/>
      <c r="AI729" t="str">
        <f t="shared" si="317"/>
        <v>TOTAL SALES EXPENSE</v>
      </c>
      <c r="AJ729" t="str">
        <f t="shared" si="308"/>
        <v>NA</v>
      </c>
      <c r="AK729" t="str">
        <f>IF(ISERROR(MATCH(AI729&amp;"."&amp;AJ729,AK$91:AK728,0)),AI729&amp;"."&amp;AJ729,AI729&amp;"."&amp;AJ729&amp;COUNTIFS(AI$91:AI728,AI729,AJ$91:AJ728,AJ729))</f>
        <v>TOTAL SALES EXPENSE.NA1</v>
      </c>
    </row>
    <row r="730" spans="1:37" ht="15" hidden="1">
      <c r="A730" s="120">
        <f>ROW()</f>
        <v>730</v>
      </c>
      <c r="B730" s="120"/>
      <c r="C730" s="1"/>
      <c r="E730" s="121"/>
      <c r="F730" s="138"/>
      <c r="G730" s="119"/>
      <c r="X730" s="3"/>
      <c r="AD730" s="119"/>
      <c r="AE730" s="119"/>
      <c r="AF730" s="119"/>
      <c r="AG730" s="119"/>
      <c r="AI730" t="str">
        <f t="shared" si="317"/>
        <v>TOTAL SALES EXPENSE</v>
      </c>
      <c r="AJ730" t="str">
        <f t="shared" si="308"/>
        <v>NA</v>
      </c>
      <c r="AK730" t="str">
        <f>IF(ISERROR(MATCH(AI730&amp;"."&amp;AJ730,AK$91:AK729,0)),AI730&amp;"."&amp;AJ730,AI730&amp;"."&amp;AJ730&amp;COUNTIFS(AI$91:AI729,AI730,AJ$91:AJ729,AJ730))</f>
        <v>TOTAL SALES EXPENSE.NA2</v>
      </c>
    </row>
    <row r="731" spans="1:37" ht="15" hidden="1">
      <c r="A731" s="120">
        <f>ROW()</f>
        <v>731</v>
      </c>
      <c r="B731" s="120"/>
      <c r="C731" s="1">
        <v>920</v>
      </c>
      <c r="D731" s="2" t="s">
        <v>354</v>
      </c>
      <c r="E731" s="121"/>
      <c r="F731" s="138"/>
      <c r="G731" s="119"/>
      <c r="X731" s="3"/>
      <c r="AD731" s="119"/>
      <c r="AE731" s="119"/>
      <c r="AF731" s="119"/>
      <c r="AG731" s="119"/>
      <c r="AI731">
        <f t="shared" si="317"/>
        <v>920</v>
      </c>
      <c r="AJ731" t="str">
        <f t="shared" si="308"/>
        <v>NA</v>
      </c>
      <c r="AK731" t="str">
        <f>IF(ISERROR(MATCH(AI731&amp;"."&amp;AJ731,AK$91:AK730,0)),AI731&amp;"."&amp;AJ731,AI731&amp;"."&amp;AJ731&amp;COUNTIFS(AI$91:AI730,AI731,AJ$91:AJ730,AJ731))</f>
        <v>920.NA</v>
      </c>
    </row>
    <row r="732" spans="1:37" ht="15" hidden="1">
      <c r="A732" s="120">
        <f>ROW()</f>
        <v>732</v>
      </c>
      <c r="B732" s="120"/>
      <c r="C732" s="1"/>
      <c r="E732" s="121" t="s">
        <v>12</v>
      </c>
      <c r="F732" s="138" t="str">
        <f>INDEX(FuncAllocOptions,ROW(A732)-ROW($A$92)+1,[4]Inputs!$S$11)</f>
        <v>PTD</v>
      </c>
      <c r="G732" s="117" t="e">
        <f>SUMIF(FERCJAMFactor,AK732,JAMValue)</f>
        <v>#VALUE!</v>
      </c>
      <c r="H732" s="116" t="e">
        <f t="shared" ref="H732:L734" si="344">INDEX(FuncFactorTbl,MATCH($F732,FuncFactors,0),MATCH(H$8,Functions,0))*$G732</f>
        <v>#VALUE!</v>
      </c>
      <c r="I732" s="116" t="e">
        <f t="shared" si="344"/>
        <v>#VALUE!</v>
      </c>
      <c r="J732" s="116" t="e">
        <f t="shared" si="344"/>
        <v>#VALUE!</v>
      </c>
      <c r="K732" s="116" t="e">
        <f t="shared" si="344"/>
        <v>#VALUE!</v>
      </c>
      <c r="L732" s="116" t="e">
        <f t="shared" si="344"/>
        <v>#VALUE!</v>
      </c>
      <c r="N732" s="108">
        <v>0.75</v>
      </c>
      <c r="O732" s="116" t="e">
        <f>$H732*$N732*$M732</f>
        <v>#VALUE!</v>
      </c>
      <c r="P732" s="116" t="e">
        <f>$H732*(1-$N732)*$M732</f>
        <v>#VALUE!</v>
      </c>
      <c r="Q732" s="116" t="e">
        <f>$H732*$N732*(1-$M732)</f>
        <v>#VALUE!</v>
      </c>
      <c r="R732" s="116" t="e">
        <f>$H732*(1-$N732)*(1-$M732)</f>
        <v>#VALUE!</v>
      </c>
      <c r="S732" s="108">
        <v>0.75</v>
      </c>
      <c r="T732" s="116" t="e">
        <f>$I732*$S732*$M732</f>
        <v>#VALUE!</v>
      </c>
      <c r="U732" s="116" t="e">
        <f>$I732*(1-$S732)*$M732</f>
        <v>#VALUE!</v>
      </c>
      <c r="V732" s="116" t="e">
        <f>$I732*$S732*(1-$M732)</f>
        <v>#VALUE!</v>
      </c>
      <c r="W732" s="116" t="e">
        <f>$I732*(1-$S732)*(1-$M732)</f>
        <v>#VALUE!</v>
      </c>
      <c r="X732" s="3" t="str">
        <f>INDEX(DistFuncAllocOptions,ROW(A732)-ROW($A$92)+1,[4]Inputs!$S$11)</f>
        <v>PLNT</v>
      </c>
      <c r="Y732" s="116" t="e">
        <f t="shared" ref="Y732:AC734" si="345">INDEX(DistFuncFactorTbl,MATCH($X732,DistFuncFactors,0),MATCH(Y$91,DistFunctions,0))*$J732</f>
        <v>#VALUE!</v>
      </c>
      <c r="Z732" s="116" t="e">
        <f t="shared" si="345"/>
        <v>#VALUE!</v>
      </c>
      <c r="AA732" s="116" t="e">
        <f t="shared" si="345"/>
        <v>#VALUE!</v>
      </c>
      <c r="AB732" s="116" t="e">
        <f t="shared" si="345"/>
        <v>#VALUE!</v>
      </c>
      <c r="AC732" s="116" t="e">
        <f t="shared" si="345"/>
        <v>#VALUE!</v>
      </c>
      <c r="AD732" s="117" t="e">
        <f>ROUND(SUM(-G732,H732:L732),0)</f>
        <v>#VALUE!</v>
      </c>
      <c r="AE732" s="117" t="e">
        <f>ROUND(H732-O732-P732-Q732-R732,0)</f>
        <v>#VALUE!</v>
      </c>
      <c r="AF732" s="117" t="e">
        <f>ROUND(I732-T732-U732-V732-W732,0)</f>
        <v>#VALUE!</v>
      </c>
      <c r="AG732" s="117" t="e">
        <f>ROUND(J732-Y732-Z732-AA732-AC732-AB732,0)</f>
        <v>#VALUE!</v>
      </c>
      <c r="AH732" s="116"/>
      <c r="AI732">
        <f t="shared" si="317"/>
        <v>920</v>
      </c>
      <c r="AJ732" t="str">
        <f t="shared" si="308"/>
        <v>S</v>
      </c>
      <c r="AK732" t="str">
        <f>IF(ISERROR(MATCH(AI732&amp;"."&amp;AJ732,AK$91:AK731,0)),AI732&amp;"."&amp;AJ732,AI732&amp;"."&amp;AJ732&amp;COUNTIFS(AI$91:AI731,AI732,AJ$91:AJ731,AJ732))</f>
        <v>920.S</v>
      </c>
    </row>
    <row r="733" spans="1:37" ht="15" hidden="1">
      <c r="A733" s="120">
        <f>ROW()</f>
        <v>733</v>
      </c>
      <c r="B733" s="120"/>
      <c r="C733" s="1"/>
      <c r="E733" s="121" t="s">
        <v>155</v>
      </c>
      <c r="F733" s="138" t="str">
        <f>INDEX(FuncAllocOptions,ROW(A733)-ROW($A$92)+1,[4]Inputs!$S$11)</f>
        <v>CUST</v>
      </c>
      <c r="G733" s="117" t="e">
        <f>SUMIF(FERCJAMFactor,AK733,JAMValue)</f>
        <v>#VALUE!</v>
      </c>
      <c r="H733" s="116" t="e">
        <f t="shared" si="344"/>
        <v>#VALUE!</v>
      </c>
      <c r="I733" s="116" t="e">
        <f t="shared" si="344"/>
        <v>#VALUE!</v>
      </c>
      <c r="J733" s="116" t="e">
        <f t="shared" si="344"/>
        <v>#VALUE!</v>
      </c>
      <c r="K733" s="116" t="e">
        <f t="shared" si="344"/>
        <v>#VALUE!</v>
      </c>
      <c r="L733" s="116" t="e">
        <f t="shared" si="344"/>
        <v>#VALUE!</v>
      </c>
      <c r="N733" s="108">
        <v>0.75</v>
      </c>
      <c r="O733" s="116" t="e">
        <f>$H733*$N733*$M733</f>
        <v>#VALUE!</v>
      </c>
      <c r="P733" s="116" t="e">
        <f>$H733*(1-$N733)*$M733</f>
        <v>#VALUE!</v>
      </c>
      <c r="Q733" s="116" t="e">
        <f>$H733*$N733*(1-$M733)</f>
        <v>#VALUE!</v>
      </c>
      <c r="R733" s="116" t="e">
        <f>$H733*(1-$N733)*(1-$M733)</f>
        <v>#VALUE!</v>
      </c>
      <c r="S733" s="108">
        <v>0.75</v>
      </c>
      <c r="T733" s="116" t="e">
        <f>$I733*$S733*$M733</f>
        <v>#VALUE!</v>
      </c>
      <c r="U733" s="116" t="e">
        <f>$I733*(1-$S733)*$M733</f>
        <v>#VALUE!</v>
      </c>
      <c r="V733" s="116" t="e">
        <f>$I733*$S733*(1-$M733)</f>
        <v>#VALUE!</v>
      </c>
      <c r="W733" s="116" t="e">
        <f>$I733*(1-$S733)*(1-$M733)</f>
        <v>#VALUE!</v>
      </c>
      <c r="X733" s="3" t="str">
        <f>INDEX(DistFuncAllocOptions,ROW(A733)-ROW($A$92)+1,[4]Inputs!$S$11)</f>
        <v>CUST</v>
      </c>
      <c r="Y733" s="116" t="e">
        <f t="shared" si="345"/>
        <v>#VALUE!</v>
      </c>
      <c r="Z733" s="116" t="e">
        <f t="shared" si="345"/>
        <v>#VALUE!</v>
      </c>
      <c r="AA733" s="116" t="e">
        <f t="shared" si="345"/>
        <v>#VALUE!</v>
      </c>
      <c r="AB733" s="116" t="e">
        <f t="shared" si="345"/>
        <v>#VALUE!</v>
      </c>
      <c r="AC733" s="116" t="e">
        <f t="shared" si="345"/>
        <v>#VALUE!</v>
      </c>
      <c r="AD733" s="117" t="e">
        <f>ROUND(SUM(-G733,H733:L733),0)</f>
        <v>#VALUE!</v>
      </c>
      <c r="AE733" s="117" t="e">
        <f>ROUND(H733-O733-P733-Q733-R733,0)</f>
        <v>#VALUE!</v>
      </c>
      <c r="AF733" s="117" t="e">
        <f>ROUND(I733-T733-U733-V733-W733,0)</f>
        <v>#VALUE!</v>
      </c>
      <c r="AG733" s="117" t="e">
        <f>ROUND(J733-Y733-Z733-AA733-AC733-AB733,0)</f>
        <v>#VALUE!</v>
      </c>
      <c r="AH733" s="116"/>
      <c r="AI733">
        <f t="shared" si="317"/>
        <v>920</v>
      </c>
      <c r="AJ733" t="str">
        <f t="shared" ref="AJ733:AJ796" si="346">IF(E733="","NA",E733)</f>
        <v>CN</v>
      </c>
      <c r="AK733" t="str">
        <f>IF(ISERROR(MATCH(AI733&amp;"."&amp;AJ733,AK$91:AK732,0)),AI733&amp;"."&amp;AJ733,AI733&amp;"."&amp;AJ733&amp;COUNTIFS(AI$91:AI732,AI733,AJ$91:AJ732,AJ733))</f>
        <v>920.CN</v>
      </c>
    </row>
    <row r="734" spans="1:37" ht="15" hidden="1">
      <c r="A734" s="120">
        <f>ROW()</f>
        <v>734</v>
      </c>
      <c r="B734" s="120"/>
      <c r="C734" s="1"/>
      <c r="E734" s="121" t="s">
        <v>136</v>
      </c>
      <c r="F734" s="138" t="str">
        <f>INDEX(FuncAllocOptions,ROW(A734)-ROW($A$92)+1,[4]Inputs!$S$11)</f>
        <v>PTD</v>
      </c>
      <c r="G734" s="133" t="e">
        <f>SUMIF(FERCJAMFactor,AK734,JAMValue)</f>
        <v>#VALUE!</v>
      </c>
      <c r="H734" s="139" t="e">
        <f t="shared" si="344"/>
        <v>#VALUE!</v>
      </c>
      <c r="I734" s="139" t="e">
        <f t="shared" si="344"/>
        <v>#VALUE!</v>
      </c>
      <c r="J734" s="139" t="e">
        <f t="shared" si="344"/>
        <v>#VALUE!</v>
      </c>
      <c r="K734" s="139" t="e">
        <f t="shared" si="344"/>
        <v>#VALUE!</v>
      </c>
      <c r="L734" s="139" t="e">
        <f t="shared" si="344"/>
        <v>#VALUE!</v>
      </c>
      <c r="N734" s="108">
        <v>0.75</v>
      </c>
      <c r="O734" s="116" t="e">
        <f>$H734*$N734*$M734</f>
        <v>#VALUE!</v>
      </c>
      <c r="P734" s="116" t="e">
        <f>$H734*(1-$N734)*$M734</f>
        <v>#VALUE!</v>
      </c>
      <c r="Q734" s="116" t="e">
        <f>$H734*$N734*(1-$M734)</f>
        <v>#VALUE!</v>
      </c>
      <c r="R734" s="116" t="e">
        <f>$H734*(1-$N734)*(1-$M734)</f>
        <v>#VALUE!</v>
      </c>
      <c r="S734" s="108">
        <v>0.75</v>
      </c>
      <c r="T734" s="116" t="e">
        <f>$I734*$S734*$M734</f>
        <v>#VALUE!</v>
      </c>
      <c r="U734" s="116" t="e">
        <f>$I734*(1-$S734)*$M734</f>
        <v>#VALUE!</v>
      </c>
      <c r="V734" s="116" t="e">
        <f>$I734*$S734*(1-$M734)</f>
        <v>#VALUE!</v>
      </c>
      <c r="W734" s="116" t="e">
        <f>$I734*(1-$S734)*(1-$M734)</f>
        <v>#VALUE!</v>
      </c>
      <c r="X734" s="3" t="str">
        <f>INDEX(DistFuncAllocOptions,ROW(A734)-ROW($A$92)+1,[4]Inputs!$S$11)</f>
        <v>PLNT</v>
      </c>
      <c r="Y734" s="116" t="e">
        <f t="shared" si="345"/>
        <v>#VALUE!</v>
      </c>
      <c r="Z734" s="116" t="e">
        <f t="shared" si="345"/>
        <v>#VALUE!</v>
      </c>
      <c r="AA734" s="116" t="e">
        <f t="shared" si="345"/>
        <v>#VALUE!</v>
      </c>
      <c r="AB734" s="116" t="e">
        <f t="shared" si="345"/>
        <v>#VALUE!</v>
      </c>
      <c r="AC734" s="116" t="e">
        <f t="shared" si="345"/>
        <v>#VALUE!</v>
      </c>
      <c r="AD734" s="117" t="e">
        <f>ROUND(SUM(-G734,H734:L734),0)</f>
        <v>#VALUE!</v>
      </c>
      <c r="AE734" s="117" t="e">
        <f>ROUND(H734-O734-P734-Q734-R734,0)</f>
        <v>#VALUE!</v>
      </c>
      <c r="AF734" s="117" t="e">
        <f>ROUND(I734-T734-U734-V734-W734,0)</f>
        <v>#VALUE!</v>
      </c>
      <c r="AG734" s="117" t="e">
        <f>ROUND(J734-Y734-Z734-AA734-AC734-AB734,0)</f>
        <v>#VALUE!</v>
      </c>
      <c r="AH734" s="116"/>
      <c r="AI734">
        <f t="shared" si="317"/>
        <v>920</v>
      </c>
      <c r="AJ734" t="str">
        <f t="shared" si="346"/>
        <v>SO</v>
      </c>
      <c r="AK734" t="str">
        <f>IF(ISERROR(MATCH(AI734&amp;"."&amp;AJ734,AK$91:AK733,0)),AI734&amp;"."&amp;AJ734,AI734&amp;"."&amp;AJ734&amp;COUNTIFS(AI$91:AI733,AI734,AJ$91:AJ733,AJ734))</f>
        <v>920.SO</v>
      </c>
    </row>
    <row r="735" spans="1:37" ht="15" hidden="1">
      <c r="A735" s="120">
        <f>ROW()</f>
        <v>735</v>
      </c>
      <c r="B735" s="120"/>
      <c r="C735" s="1"/>
      <c r="E735" s="121"/>
      <c r="F735" s="138"/>
      <c r="G735" s="117" t="e">
        <f t="shared" ref="G735:L735" si="347">SUM(G732:G734)</f>
        <v>#VALUE!</v>
      </c>
      <c r="H735" s="116" t="e">
        <f t="shared" si="347"/>
        <v>#VALUE!</v>
      </c>
      <c r="I735" s="116" t="e">
        <f t="shared" si="347"/>
        <v>#VALUE!</v>
      </c>
      <c r="J735" s="116" t="e">
        <f t="shared" si="347"/>
        <v>#VALUE!</v>
      </c>
      <c r="K735" s="116" t="e">
        <f t="shared" si="347"/>
        <v>#VALUE!</v>
      </c>
      <c r="L735" s="116" t="e">
        <f t="shared" si="347"/>
        <v>#VALUE!</v>
      </c>
      <c r="O735" s="116" t="e">
        <f>SUM(O732:O734)</f>
        <v>#VALUE!</v>
      </c>
      <c r="P735" s="116" t="e">
        <f>SUM(P732:P734)</f>
        <v>#VALUE!</v>
      </c>
      <c r="Q735" s="116" t="e">
        <f>SUM(Q732:Q734)</f>
        <v>#VALUE!</v>
      </c>
      <c r="R735" s="116" t="e">
        <f>SUM(R732:R734)</f>
        <v>#VALUE!</v>
      </c>
      <c r="T735" s="116" t="e">
        <f>SUM(T732:T734)</f>
        <v>#VALUE!</v>
      </c>
      <c r="U735" s="116" t="e">
        <f>SUM(U732:U734)</f>
        <v>#VALUE!</v>
      </c>
      <c r="V735" s="116" t="e">
        <f>SUM(V732:V734)</f>
        <v>#VALUE!</v>
      </c>
      <c r="W735" s="116" t="e">
        <f>SUM(W732:W734)</f>
        <v>#VALUE!</v>
      </c>
      <c r="X735" s="3"/>
      <c r="Y735" s="116" t="e">
        <f>SUM(Y732:Y734)</f>
        <v>#VALUE!</v>
      </c>
      <c r="Z735" s="116" t="e">
        <f>SUM(Z732:Z734)</f>
        <v>#VALUE!</v>
      </c>
      <c r="AA735" s="116" t="e">
        <f>SUM(AA732:AA734)</f>
        <v>#VALUE!</v>
      </c>
      <c r="AB735" s="116" t="e">
        <f>SUM(AB732:AB734)</f>
        <v>#VALUE!</v>
      </c>
      <c r="AC735" s="116" t="e">
        <f>SUM(AC732:AC734)</f>
        <v>#VALUE!</v>
      </c>
      <c r="AD735" s="117" t="e">
        <f>ROUND(SUM(-G735,H735:L735),0)</f>
        <v>#VALUE!</v>
      </c>
      <c r="AE735" s="117" t="e">
        <f>ROUND(H735-O735-P735-Q735-R735,0)</f>
        <v>#VALUE!</v>
      </c>
      <c r="AF735" s="117" t="e">
        <f>ROUND(I735-T735-U735-V735-W735,0)</f>
        <v>#VALUE!</v>
      </c>
      <c r="AG735" s="117" t="e">
        <f>ROUND(J735-Y735-Z735-AA735-AC735-AB735,0)</f>
        <v>#VALUE!</v>
      </c>
      <c r="AH735" s="116"/>
      <c r="AI735">
        <f t="shared" si="317"/>
        <v>920</v>
      </c>
      <c r="AJ735" t="str">
        <f t="shared" si="346"/>
        <v>NA</v>
      </c>
      <c r="AK735" t="str">
        <f>IF(ISERROR(MATCH(AI735&amp;"."&amp;AJ735,AK$91:AK734,0)),AI735&amp;"."&amp;AJ735,AI735&amp;"."&amp;AJ735&amp;COUNTIFS(AI$91:AI734,AI735,AJ$91:AJ734,AJ735))</f>
        <v>920.NA1</v>
      </c>
    </row>
    <row r="736" spans="1:37" ht="15" hidden="1">
      <c r="A736" s="120">
        <f>ROW()</f>
        <v>736</v>
      </c>
      <c r="B736" s="120"/>
      <c r="C736" s="1"/>
      <c r="E736" s="121"/>
      <c r="F736" s="138"/>
      <c r="G736" s="119"/>
      <c r="X736" s="3"/>
      <c r="AD736" s="119"/>
      <c r="AE736" s="119"/>
      <c r="AF736" s="119"/>
      <c r="AG736" s="119"/>
      <c r="AI736">
        <f t="shared" si="317"/>
        <v>920</v>
      </c>
      <c r="AJ736" t="str">
        <f t="shared" si="346"/>
        <v>NA</v>
      </c>
      <c r="AK736" t="str">
        <f>IF(ISERROR(MATCH(AI736&amp;"."&amp;AJ736,AK$91:AK735,0)),AI736&amp;"."&amp;AJ736,AI736&amp;"."&amp;AJ736&amp;COUNTIFS(AI$91:AI735,AI736,AJ$91:AJ735,AJ736))</f>
        <v>920.NA2</v>
      </c>
    </row>
    <row r="737" spans="1:37" ht="15" hidden="1">
      <c r="A737" s="120">
        <f>ROW()</f>
        <v>737</v>
      </c>
      <c r="B737" s="120"/>
      <c r="C737" s="1">
        <v>921</v>
      </c>
      <c r="D737" s="2" t="s">
        <v>355</v>
      </c>
      <c r="E737" s="121"/>
      <c r="F737" s="138"/>
      <c r="G737" s="119"/>
      <c r="X737" s="3"/>
      <c r="AD737" s="119"/>
      <c r="AE737" s="119"/>
      <c r="AF737" s="119"/>
      <c r="AG737" s="119"/>
      <c r="AI737">
        <f t="shared" si="317"/>
        <v>921</v>
      </c>
      <c r="AJ737" t="str">
        <f t="shared" si="346"/>
        <v>NA</v>
      </c>
      <c r="AK737" t="str">
        <f>IF(ISERROR(MATCH(AI737&amp;"."&amp;AJ737,AK$91:AK736,0)),AI737&amp;"."&amp;AJ737,AI737&amp;"."&amp;AJ737&amp;COUNTIFS(AI$91:AI736,AI737,AJ$91:AJ736,AJ737))</f>
        <v>921.NA</v>
      </c>
    </row>
    <row r="738" spans="1:37" ht="15" hidden="1">
      <c r="A738" s="120">
        <f>ROW()</f>
        <v>738</v>
      </c>
      <c r="B738" s="120"/>
      <c r="C738" s="1"/>
      <c r="E738" s="121" t="s">
        <v>12</v>
      </c>
      <c r="F738" s="138" t="str">
        <f>INDEX(FuncAllocOptions,ROW(A738)-ROW($A$92)+1,[4]Inputs!$S$11)</f>
        <v>PTD</v>
      </c>
      <c r="G738" s="117" t="e">
        <f>SUMIF(FERCJAMFactor,AK738,JAMValue)</f>
        <v>#VALUE!</v>
      </c>
      <c r="H738" s="116" t="e">
        <f t="shared" ref="H738:L740" si="348">INDEX(FuncFactorTbl,MATCH($F738,FuncFactors,0),MATCH(H$8,Functions,0))*$G738</f>
        <v>#VALUE!</v>
      </c>
      <c r="I738" s="116" t="e">
        <f t="shared" si="348"/>
        <v>#VALUE!</v>
      </c>
      <c r="J738" s="116" t="e">
        <f t="shared" si="348"/>
        <v>#VALUE!</v>
      </c>
      <c r="K738" s="116" t="e">
        <f t="shared" si="348"/>
        <v>#VALUE!</v>
      </c>
      <c r="L738" s="116" t="e">
        <f t="shared" si="348"/>
        <v>#VALUE!</v>
      </c>
      <c r="N738" s="108">
        <v>0.75</v>
      </c>
      <c r="O738" s="116" t="e">
        <f>$H738*$N738*$M738</f>
        <v>#VALUE!</v>
      </c>
      <c r="P738" s="116" t="e">
        <f>$H738*(1-$N738)*$M738</f>
        <v>#VALUE!</v>
      </c>
      <c r="Q738" s="116" t="e">
        <f>$H738*$N738*(1-$M738)</f>
        <v>#VALUE!</v>
      </c>
      <c r="R738" s="116" t="e">
        <f>$H738*(1-$N738)*(1-$M738)</f>
        <v>#VALUE!</v>
      </c>
      <c r="S738" s="108">
        <v>0.75</v>
      </c>
      <c r="T738" s="116" t="e">
        <f>$I738*$S738*$M738</f>
        <v>#VALUE!</v>
      </c>
      <c r="U738" s="116" t="e">
        <f>$I738*(1-$S738)*$M738</f>
        <v>#VALUE!</v>
      </c>
      <c r="V738" s="116" t="e">
        <f>$I738*$S738*(1-$M738)</f>
        <v>#VALUE!</v>
      </c>
      <c r="W738" s="116" t="e">
        <f>$I738*(1-$S738)*(1-$M738)</f>
        <v>#VALUE!</v>
      </c>
      <c r="X738" s="3" t="str">
        <f>INDEX(DistFuncAllocOptions,ROW(A738)-ROW($A$92)+1,[4]Inputs!$S$11)</f>
        <v>PLNT</v>
      </c>
      <c r="Y738" s="116" t="e">
        <f t="shared" ref="Y738:AC740" si="349">INDEX(DistFuncFactorTbl,MATCH($X738,DistFuncFactors,0),MATCH(Y$91,DistFunctions,0))*$J738</f>
        <v>#VALUE!</v>
      </c>
      <c r="Z738" s="116" t="e">
        <f t="shared" si="349"/>
        <v>#VALUE!</v>
      </c>
      <c r="AA738" s="116" t="e">
        <f t="shared" si="349"/>
        <v>#VALUE!</v>
      </c>
      <c r="AB738" s="116" t="e">
        <f t="shared" si="349"/>
        <v>#VALUE!</v>
      </c>
      <c r="AC738" s="116" t="e">
        <f t="shared" si="349"/>
        <v>#VALUE!</v>
      </c>
      <c r="AD738" s="117" t="e">
        <f>ROUND(SUM(-G738,H738:L738),0)</f>
        <v>#VALUE!</v>
      </c>
      <c r="AE738" s="117" t="e">
        <f>ROUND(H738-O738-P738-Q738-R738,0)</f>
        <v>#VALUE!</v>
      </c>
      <c r="AF738" s="117" t="e">
        <f>ROUND(I738-T738-U738-V738-W738,0)</f>
        <v>#VALUE!</v>
      </c>
      <c r="AG738" s="117" t="e">
        <f>ROUND(J738-Y738-Z738-AA738-AC738-AB738,0)</f>
        <v>#VALUE!</v>
      </c>
      <c r="AH738" s="116"/>
      <c r="AI738">
        <f t="shared" si="317"/>
        <v>921</v>
      </c>
      <c r="AJ738" t="str">
        <f t="shared" si="346"/>
        <v>S</v>
      </c>
      <c r="AK738" t="str">
        <f>IF(ISERROR(MATCH(AI738&amp;"."&amp;AJ738,AK$91:AK737,0)),AI738&amp;"."&amp;AJ738,AI738&amp;"."&amp;AJ738&amp;COUNTIFS(AI$91:AI737,AI738,AJ$91:AJ737,AJ738))</f>
        <v>921.S</v>
      </c>
    </row>
    <row r="739" spans="1:37" ht="15" hidden="1">
      <c r="A739" s="120">
        <f>ROW()</f>
        <v>739</v>
      </c>
      <c r="B739" s="120"/>
      <c r="C739" s="1"/>
      <c r="E739" s="121" t="s">
        <v>155</v>
      </c>
      <c r="F739" s="138" t="str">
        <f>INDEX(FuncAllocOptions,ROW(A739)-ROW($A$92)+1,[4]Inputs!$S$11)</f>
        <v>CUST</v>
      </c>
      <c r="G739" s="117" t="e">
        <f>SUMIF(FERCJAMFactor,AK739,JAMValue)</f>
        <v>#VALUE!</v>
      </c>
      <c r="H739" s="116" t="e">
        <f t="shared" si="348"/>
        <v>#VALUE!</v>
      </c>
      <c r="I739" s="116" t="e">
        <f t="shared" si="348"/>
        <v>#VALUE!</v>
      </c>
      <c r="J739" s="116" t="e">
        <f t="shared" si="348"/>
        <v>#VALUE!</v>
      </c>
      <c r="K739" s="116" t="e">
        <f t="shared" si="348"/>
        <v>#VALUE!</v>
      </c>
      <c r="L739" s="116" t="e">
        <f t="shared" si="348"/>
        <v>#VALUE!</v>
      </c>
      <c r="N739" s="108">
        <v>0.75</v>
      </c>
      <c r="O739" s="116" t="e">
        <f>$H739*$N739*$M739</f>
        <v>#VALUE!</v>
      </c>
      <c r="P739" s="116" t="e">
        <f>$H739*(1-$N739)*$M739</f>
        <v>#VALUE!</v>
      </c>
      <c r="Q739" s="116" t="e">
        <f>$H739*$N739*(1-$M739)</f>
        <v>#VALUE!</v>
      </c>
      <c r="R739" s="116" t="e">
        <f>$H739*(1-$N739)*(1-$M739)</f>
        <v>#VALUE!</v>
      </c>
      <c r="S739" s="108">
        <v>0.75</v>
      </c>
      <c r="T739" s="116" t="e">
        <f>$I739*$S739*$M739</f>
        <v>#VALUE!</v>
      </c>
      <c r="U739" s="116" t="e">
        <f>$I739*(1-$S739)*$M739</f>
        <v>#VALUE!</v>
      </c>
      <c r="V739" s="116" t="e">
        <f>$I739*$S739*(1-$M739)</f>
        <v>#VALUE!</v>
      </c>
      <c r="W739" s="116" t="e">
        <f>$I739*(1-$S739)*(1-$M739)</f>
        <v>#VALUE!</v>
      </c>
      <c r="X739" s="3" t="str">
        <f>INDEX(DistFuncAllocOptions,ROW(A739)-ROW($A$92)+1,[4]Inputs!$S$11)</f>
        <v>CUST</v>
      </c>
      <c r="Y739" s="116" t="e">
        <f t="shared" si="349"/>
        <v>#VALUE!</v>
      </c>
      <c r="Z739" s="116" t="e">
        <f t="shared" si="349"/>
        <v>#VALUE!</v>
      </c>
      <c r="AA739" s="116" t="e">
        <f t="shared" si="349"/>
        <v>#VALUE!</v>
      </c>
      <c r="AB739" s="116" t="e">
        <f t="shared" si="349"/>
        <v>#VALUE!</v>
      </c>
      <c r="AC739" s="116" t="e">
        <f t="shared" si="349"/>
        <v>#VALUE!</v>
      </c>
      <c r="AD739" s="117" t="e">
        <f>ROUND(SUM(-G739,H739:L739),0)</f>
        <v>#VALUE!</v>
      </c>
      <c r="AE739" s="117" t="e">
        <f>ROUND(H739-O739-P739-Q739-R739,0)</f>
        <v>#VALUE!</v>
      </c>
      <c r="AF739" s="117" t="e">
        <f>ROUND(I739-T739-U739-V739-W739,0)</f>
        <v>#VALUE!</v>
      </c>
      <c r="AG739" s="117" t="e">
        <f>ROUND(J739-Y739-Z739-AA739-AC739-AB739,0)</f>
        <v>#VALUE!</v>
      </c>
      <c r="AH739" s="116"/>
      <c r="AI739">
        <f t="shared" si="317"/>
        <v>921</v>
      </c>
      <c r="AJ739" t="str">
        <f t="shared" si="346"/>
        <v>CN</v>
      </c>
      <c r="AK739" t="str">
        <f>IF(ISERROR(MATCH(AI739&amp;"."&amp;AJ739,AK$91:AK738,0)),AI739&amp;"."&amp;AJ739,AI739&amp;"."&amp;AJ739&amp;COUNTIFS(AI$91:AI738,AI739,AJ$91:AJ738,AJ739))</f>
        <v>921.CN</v>
      </c>
    </row>
    <row r="740" spans="1:37" ht="15" hidden="1">
      <c r="A740" s="120">
        <f>ROW()</f>
        <v>740</v>
      </c>
      <c r="B740" s="120"/>
      <c r="C740" s="1"/>
      <c r="E740" s="121" t="s">
        <v>136</v>
      </c>
      <c r="F740" s="138" t="str">
        <f>INDEX(FuncAllocOptions,ROW(A740)-ROW($A$92)+1,[4]Inputs!$S$11)</f>
        <v>PTD</v>
      </c>
      <c r="G740" s="133" t="e">
        <f>SUMIF(FERCJAMFactor,AK740,JAMValue)</f>
        <v>#VALUE!</v>
      </c>
      <c r="H740" s="139" t="e">
        <f t="shared" si="348"/>
        <v>#VALUE!</v>
      </c>
      <c r="I740" s="139" t="e">
        <f t="shared" si="348"/>
        <v>#VALUE!</v>
      </c>
      <c r="J740" s="139" t="e">
        <f t="shared" si="348"/>
        <v>#VALUE!</v>
      </c>
      <c r="K740" s="139" t="e">
        <f t="shared" si="348"/>
        <v>#VALUE!</v>
      </c>
      <c r="L740" s="139" t="e">
        <f t="shared" si="348"/>
        <v>#VALUE!</v>
      </c>
      <c r="N740" s="108">
        <v>0.75</v>
      </c>
      <c r="O740" s="116" t="e">
        <f>$H740*$N740*$M740</f>
        <v>#VALUE!</v>
      </c>
      <c r="P740" s="116" t="e">
        <f>$H740*(1-$N740)*$M740</f>
        <v>#VALUE!</v>
      </c>
      <c r="Q740" s="116" t="e">
        <f>$H740*$N740*(1-$M740)</f>
        <v>#VALUE!</v>
      </c>
      <c r="R740" s="116" t="e">
        <f>$H740*(1-$N740)*(1-$M740)</f>
        <v>#VALUE!</v>
      </c>
      <c r="S740" s="108">
        <v>0.75</v>
      </c>
      <c r="T740" s="116" t="e">
        <f>$I740*$S740*$M740</f>
        <v>#VALUE!</v>
      </c>
      <c r="U740" s="116" t="e">
        <f>$I740*(1-$S740)*$M740</f>
        <v>#VALUE!</v>
      </c>
      <c r="V740" s="116" t="e">
        <f>$I740*$S740*(1-$M740)</f>
        <v>#VALUE!</v>
      </c>
      <c r="W740" s="116" t="e">
        <f>$I740*(1-$S740)*(1-$M740)</f>
        <v>#VALUE!</v>
      </c>
      <c r="X740" s="3" t="str">
        <f>INDEX(DistFuncAllocOptions,ROW(A740)-ROW($A$92)+1,[4]Inputs!$S$11)</f>
        <v>PLNT</v>
      </c>
      <c r="Y740" s="116" t="e">
        <f t="shared" si="349"/>
        <v>#VALUE!</v>
      </c>
      <c r="Z740" s="116" t="e">
        <f t="shared" si="349"/>
        <v>#VALUE!</v>
      </c>
      <c r="AA740" s="116" t="e">
        <f t="shared" si="349"/>
        <v>#VALUE!</v>
      </c>
      <c r="AB740" s="116" t="e">
        <f t="shared" si="349"/>
        <v>#VALUE!</v>
      </c>
      <c r="AC740" s="116" t="e">
        <f t="shared" si="349"/>
        <v>#VALUE!</v>
      </c>
      <c r="AD740" s="117" t="e">
        <f>ROUND(SUM(-G740,H740:L740),0)</f>
        <v>#VALUE!</v>
      </c>
      <c r="AE740" s="117" t="e">
        <f>ROUND(H740-O740-P740-Q740-R740,0)</f>
        <v>#VALUE!</v>
      </c>
      <c r="AF740" s="117" t="e">
        <f>ROUND(I740-T740-U740-V740-W740,0)</f>
        <v>#VALUE!</v>
      </c>
      <c r="AG740" s="117" t="e">
        <f>ROUND(J740-Y740-Z740-AA740-AC740-AB740,0)</f>
        <v>#VALUE!</v>
      </c>
      <c r="AH740" s="116"/>
      <c r="AI740">
        <f t="shared" si="317"/>
        <v>921</v>
      </c>
      <c r="AJ740" t="str">
        <f t="shared" si="346"/>
        <v>SO</v>
      </c>
      <c r="AK740" t="str">
        <f>IF(ISERROR(MATCH(AI740&amp;"."&amp;AJ740,AK$91:AK739,0)),AI740&amp;"."&amp;AJ740,AI740&amp;"."&amp;AJ740&amp;COUNTIFS(AI$91:AI739,AI740,AJ$91:AJ739,AJ740))</f>
        <v>921.SO</v>
      </c>
    </row>
    <row r="741" spans="1:37" ht="15" hidden="1">
      <c r="A741" s="120">
        <f>ROW()</f>
        <v>741</v>
      </c>
      <c r="B741" s="120"/>
      <c r="C741" s="1"/>
      <c r="E741" s="121"/>
      <c r="F741" s="138"/>
      <c r="G741" s="117" t="e">
        <f t="shared" ref="G741:L741" si="350">SUM(G738:G740)</f>
        <v>#VALUE!</v>
      </c>
      <c r="H741" s="116" t="e">
        <f t="shared" si="350"/>
        <v>#VALUE!</v>
      </c>
      <c r="I741" s="116" t="e">
        <f t="shared" si="350"/>
        <v>#VALUE!</v>
      </c>
      <c r="J741" s="116" t="e">
        <f t="shared" si="350"/>
        <v>#VALUE!</v>
      </c>
      <c r="K741" s="116" t="e">
        <f t="shared" si="350"/>
        <v>#VALUE!</v>
      </c>
      <c r="L741" s="116" t="e">
        <f t="shared" si="350"/>
        <v>#VALUE!</v>
      </c>
      <c r="O741" s="116" t="e">
        <f>SUM(O738:O740)</f>
        <v>#VALUE!</v>
      </c>
      <c r="P741" s="116" t="e">
        <f>SUM(P738:P740)</f>
        <v>#VALUE!</v>
      </c>
      <c r="Q741" s="116" t="e">
        <f>SUM(Q738:Q740)</f>
        <v>#VALUE!</v>
      </c>
      <c r="R741" s="116" t="e">
        <f>SUM(R738:R740)</f>
        <v>#VALUE!</v>
      </c>
      <c r="T741" s="116" t="e">
        <f>SUM(T738:T740)</f>
        <v>#VALUE!</v>
      </c>
      <c r="U741" s="116" t="e">
        <f>SUM(U738:U740)</f>
        <v>#VALUE!</v>
      </c>
      <c r="V741" s="116" t="e">
        <f>SUM(V738:V740)</f>
        <v>#VALUE!</v>
      </c>
      <c r="W741" s="116" t="e">
        <f>SUM(W738:W740)</f>
        <v>#VALUE!</v>
      </c>
      <c r="X741" s="3"/>
      <c r="Y741" s="116" t="e">
        <f>SUM(Y738:Y740)</f>
        <v>#VALUE!</v>
      </c>
      <c r="Z741" s="116" t="e">
        <f>SUM(Z738:Z740)</f>
        <v>#VALUE!</v>
      </c>
      <c r="AA741" s="116" t="e">
        <f>SUM(AA738:AA740)</f>
        <v>#VALUE!</v>
      </c>
      <c r="AB741" s="116" t="e">
        <f>SUM(AB738:AB740)</f>
        <v>#VALUE!</v>
      </c>
      <c r="AC741" s="116" t="e">
        <f>SUM(AC738:AC740)</f>
        <v>#VALUE!</v>
      </c>
      <c r="AD741" s="117" t="e">
        <f>ROUND(SUM(-G741,H741:L741),0)</f>
        <v>#VALUE!</v>
      </c>
      <c r="AE741" s="117" t="e">
        <f>ROUND(H741-O741-P741-Q741-R741,0)</f>
        <v>#VALUE!</v>
      </c>
      <c r="AF741" s="117" t="e">
        <f>ROUND(I741-T741-U741-V741-W741,0)</f>
        <v>#VALUE!</v>
      </c>
      <c r="AG741" s="117" t="e">
        <f>ROUND(J741-Y741-Z741-AA741-AC741-AB741,0)</f>
        <v>#VALUE!</v>
      </c>
      <c r="AH741" s="116"/>
      <c r="AI741">
        <f t="shared" si="317"/>
        <v>921</v>
      </c>
      <c r="AJ741" t="str">
        <f t="shared" si="346"/>
        <v>NA</v>
      </c>
      <c r="AK741" t="str">
        <f>IF(ISERROR(MATCH(AI741&amp;"."&amp;AJ741,AK$91:AK740,0)),AI741&amp;"."&amp;AJ741,AI741&amp;"."&amp;AJ741&amp;COUNTIFS(AI$91:AI740,AI741,AJ$91:AJ740,AJ741))</f>
        <v>921.NA1</v>
      </c>
    </row>
    <row r="742" spans="1:37" ht="15" hidden="1">
      <c r="A742" s="120">
        <f>ROW()</f>
        <v>742</v>
      </c>
      <c r="B742" s="120"/>
      <c r="C742" s="1">
        <v>922</v>
      </c>
      <c r="D742" s="2" t="s">
        <v>356</v>
      </c>
      <c r="E742" s="121"/>
      <c r="F742" s="138"/>
      <c r="G742" s="119"/>
      <c r="X742" s="3"/>
      <c r="AD742" s="119"/>
      <c r="AE742" s="119"/>
      <c r="AF742" s="119"/>
      <c r="AG742" s="119"/>
      <c r="AI742">
        <f t="shared" si="317"/>
        <v>922</v>
      </c>
      <c r="AJ742" t="str">
        <f t="shared" si="346"/>
        <v>NA</v>
      </c>
      <c r="AK742" t="str">
        <f>IF(ISERROR(MATCH(AI742&amp;"."&amp;AJ742,AK$91:AK741,0)),AI742&amp;"."&amp;AJ742,AI742&amp;"."&amp;AJ742&amp;COUNTIFS(AI$91:AI741,AI742,AJ$91:AJ741,AJ742))</f>
        <v>922.NA</v>
      </c>
    </row>
    <row r="743" spans="1:37" ht="15" hidden="1">
      <c r="A743" s="120">
        <f>ROW()</f>
        <v>743</v>
      </c>
      <c r="B743" s="120"/>
      <c r="C743" s="1"/>
      <c r="E743" s="121" t="s">
        <v>136</v>
      </c>
      <c r="F743" s="138" t="str">
        <f>INDEX(FuncAllocOptions,ROW(A743)-ROW($A$92)+1,[4]Inputs!$S$11)</f>
        <v>PTD</v>
      </c>
      <c r="G743" s="133" t="e">
        <f>SUMIF(FERCJAMFactor,AK743,JAMValue)</f>
        <v>#VALUE!</v>
      </c>
      <c r="H743" s="139" t="e">
        <f>INDEX(FuncFactorTbl,MATCH($F743,FuncFactors,0),MATCH(H$8,Functions,0))*$G743</f>
        <v>#VALUE!</v>
      </c>
      <c r="I743" s="139" t="e">
        <f>INDEX(FuncFactorTbl,MATCH($F743,FuncFactors,0),MATCH(I$8,Functions,0))*$G743</f>
        <v>#VALUE!</v>
      </c>
      <c r="J743" s="139" t="e">
        <f>INDEX(FuncFactorTbl,MATCH($F743,FuncFactors,0),MATCH(J$8,Functions,0))*$G743</f>
        <v>#VALUE!</v>
      </c>
      <c r="K743" s="139" t="e">
        <f>INDEX(FuncFactorTbl,MATCH($F743,FuncFactors,0),MATCH(K$8,Functions,0))*$G743</f>
        <v>#VALUE!</v>
      </c>
      <c r="L743" s="139" t="e">
        <f>INDEX(FuncFactorTbl,MATCH($F743,FuncFactors,0),MATCH(L$8,Functions,0))*$G743</f>
        <v>#VALUE!</v>
      </c>
      <c r="N743" s="108">
        <v>0.75</v>
      </c>
      <c r="O743" s="116" t="e">
        <f>$H743*$N743*$M743</f>
        <v>#VALUE!</v>
      </c>
      <c r="P743" s="116" t="e">
        <f>$H743*(1-$N743)*$M743</f>
        <v>#VALUE!</v>
      </c>
      <c r="Q743" s="116" t="e">
        <f>$H743*$N743*(1-$M743)</f>
        <v>#VALUE!</v>
      </c>
      <c r="R743" s="116" t="e">
        <f>$H743*(1-$N743)*(1-$M743)</f>
        <v>#VALUE!</v>
      </c>
      <c r="S743" s="108">
        <v>0.75</v>
      </c>
      <c r="T743" s="116" t="e">
        <f>$I743*$S743*$M743</f>
        <v>#VALUE!</v>
      </c>
      <c r="U743" s="116" t="e">
        <f>$I743*(1-$S743)*$M743</f>
        <v>#VALUE!</v>
      </c>
      <c r="V743" s="116" t="e">
        <f>$I743*$S743*(1-$M743)</f>
        <v>#VALUE!</v>
      </c>
      <c r="W743" s="116" t="e">
        <f>$I743*(1-$S743)*(1-$M743)</f>
        <v>#VALUE!</v>
      </c>
      <c r="X743" s="3" t="str">
        <f>INDEX(DistFuncAllocOptions,ROW(A743)-ROW($A$92)+1,[4]Inputs!$S$11)</f>
        <v>PLNT</v>
      </c>
      <c r="Y743" s="116" t="e">
        <f>INDEX(DistFuncFactorTbl,MATCH($X743,DistFuncFactors,0),MATCH(Y$91,DistFunctions,0))*$J743</f>
        <v>#VALUE!</v>
      </c>
      <c r="Z743" s="116" t="e">
        <f>INDEX(DistFuncFactorTbl,MATCH($X743,DistFuncFactors,0),MATCH(Z$91,DistFunctions,0))*$J743</f>
        <v>#VALUE!</v>
      </c>
      <c r="AA743" s="116" t="e">
        <f>INDEX(DistFuncFactorTbl,MATCH($X743,DistFuncFactors,0),MATCH(AA$91,DistFunctions,0))*$J743</f>
        <v>#VALUE!</v>
      </c>
      <c r="AB743" s="116" t="e">
        <f>INDEX(DistFuncFactorTbl,MATCH($X743,DistFuncFactors,0),MATCH(AB$91,DistFunctions,0))*$J743</f>
        <v>#VALUE!</v>
      </c>
      <c r="AC743" s="116" t="e">
        <f>INDEX(DistFuncFactorTbl,MATCH($X743,DistFuncFactors,0),MATCH(AC$91,DistFunctions,0))*$J743</f>
        <v>#VALUE!</v>
      </c>
      <c r="AD743" s="117" t="e">
        <f>ROUND(SUM(-G743,H743:L743),0)</f>
        <v>#VALUE!</v>
      </c>
      <c r="AE743" s="117" t="e">
        <f>ROUND(H743-O743-P743-Q743-R743,0)</f>
        <v>#VALUE!</v>
      </c>
      <c r="AF743" s="117" t="e">
        <f>ROUND(I743-T743-U743-V743-W743,0)</f>
        <v>#VALUE!</v>
      </c>
      <c r="AG743" s="117" t="e">
        <f>ROUND(J743-Y743-Z743-AA743-AC743-AB743,0)</f>
        <v>#VALUE!</v>
      </c>
      <c r="AH743" s="116"/>
      <c r="AI743">
        <f t="shared" si="317"/>
        <v>922</v>
      </c>
      <c r="AJ743" t="str">
        <f t="shared" si="346"/>
        <v>SO</v>
      </c>
      <c r="AK743" t="str">
        <f>IF(ISERROR(MATCH(AI743&amp;"."&amp;AJ743,AK$91:AK742,0)),AI743&amp;"."&amp;AJ743,AI743&amp;"."&amp;AJ743&amp;COUNTIFS(AI$91:AI742,AI743,AJ$91:AJ742,AJ743))</f>
        <v>922.SO</v>
      </c>
    </row>
    <row r="744" spans="1:37" ht="15" hidden="1">
      <c r="A744" s="120">
        <f>ROW()</f>
        <v>744</v>
      </c>
      <c r="B744" s="120"/>
      <c r="C744" s="1"/>
      <c r="E744" s="121"/>
      <c r="F744" s="138"/>
      <c r="G744" s="117" t="e">
        <f t="shared" ref="G744:L744" si="351">SUM(G743)</f>
        <v>#VALUE!</v>
      </c>
      <c r="H744" s="116" t="e">
        <f t="shared" si="351"/>
        <v>#VALUE!</v>
      </c>
      <c r="I744" s="116" t="e">
        <f t="shared" si="351"/>
        <v>#VALUE!</v>
      </c>
      <c r="J744" s="116" t="e">
        <f t="shared" si="351"/>
        <v>#VALUE!</v>
      </c>
      <c r="K744" s="116" t="e">
        <f t="shared" si="351"/>
        <v>#VALUE!</v>
      </c>
      <c r="L744" s="116" t="e">
        <f t="shared" si="351"/>
        <v>#VALUE!</v>
      </c>
      <c r="O744" s="116" t="e">
        <f>SUM(O743)</f>
        <v>#VALUE!</v>
      </c>
      <c r="P744" s="116" t="e">
        <f>SUM(P743)</f>
        <v>#VALUE!</v>
      </c>
      <c r="Q744" s="116" t="e">
        <f>SUM(Q743)</f>
        <v>#VALUE!</v>
      </c>
      <c r="R744" s="116" t="e">
        <f>SUM(R743)</f>
        <v>#VALUE!</v>
      </c>
      <c r="T744" s="116" t="e">
        <f>SUM(T743)</f>
        <v>#VALUE!</v>
      </c>
      <c r="U744" s="116" t="e">
        <f>SUM(U743)</f>
        <v>#VALUE!</v>
      </c>
      <c r="V744" s="116" t="e">
        <f>SUM(V743)</f>
        <v>#VALUE!</v>
      </c>
      <c r="W744" s="116" t="e">
        <f>SUM(W743)</f>
        <v>#VALUE!</v>
      </c>
      <c r="X744" s="3"/>
      <c r="Y744" s="116" t="e">
        <f>SUM(Y743)</f>
        <v>#VALUE!</v>
      </c>
      <c r="Z744" s="116" t="e">
        <f>SUM(Z743)</f>
        <v>#VALUE!</v>
      </c>
      <c r="AA744" s="116" t="e">
        <f>SUM(AA743)</f>
        <v>#VALUE!</v>
      </c>
      <c r="AB744" s="116" t="e">
        <f>SUM(AB743)</f>
        <v>#VALUE!</v>
      </c>
      <c r="AC744" s="116" t="e">
        <f>SUM(AC743)</f>
        <v>#VALUE!</v>
      </c>
      <c r="AD744" s="117"/>
      <c r="AE744" s="117"/>
      <c r="AF744" s="117"/>
      <c r="AG744" s="117"/>
      <c r="AH744" s="116"/>
      <c r="AI744">
        <f t="shared" si="317"/>
        <v>922</v>
      </c>
      <c r="AJ744" t="str">
        <f t="shared" si="346"/>
        <v>NA</v>
      </c>
      <c r="AK744" t="str">
        <f>IF(ISERROR(MATCH(AI744&amp;"."&amp;AJ744,AK$91:AK743,0)),AI744&amp;"."&amp;AJ744,AI744&amp;"."&amp;AJ744&amp;COUNTIFS(AI$91:AI743,AI744,AJ$91:AJ743,AJ744))</f>
        <v>922.NA1</v>
      </c>
    </row>
    <row r="745" spans="1:37" ht="15" hidden="1">
      <c r="A745" s="120">
        <f>ROW()</f>
        <v>745</v>
      </c>
      <c r="B745" s="120"/>
      <c r="C745" s="1"/>
      <c r="E745" s="121"/>
      <c r="F745" s="138"/>
      <c r="G745" s="119"/>
      <c r="X745" s="3"/>
      <c r="AD745" s="119"/>
      <c r="AE745" s="119"/>
      <c r="AF745" s="119"/>
      <c r="AG745" s="119"/>
      <c r="AI745">
        <f t="shared" si="317"/>
        <v>922</v>
      </c>
      <c r="AJ745" t="str">
        <f t="shared" si="346"/>
        <v>NA</v>
      </c>
      <c r="AK745" t="str">
        <f>IF(ISERROR(MATCH(AI745&amp;"."&amp;AJ745,AK$91:AK744,0)),AI745&amp;"."&amp;AJ745,AI745&amp;"."&amp;AJ745&amp;COUNTIFS(AI$91:AI744,AI745,AJ$91:AJ744,AJ745))</f>
        <v>922.NA2</v>
      </c>
    </row>
    <row r="746" spans="1:37" ht="15" hidden="1">
      <c r="A746" s="120">
        <f>ROW()</f>
        <v>746</v>
      </c>
      <c r="B746" s="120"/>
      <c r="C746" s="1">
        <v>923</v>
      </c>
      <c r="D746" s="2" t="s">
        <v>357</v>
      </c>
      <c r="E746" s="121"/>
      <c r="F746" s="138"/>
      <c r="G746" s="119"/>
      <c r="X746" s="3"/>
      <c r="AD746" s="119"/>
      <c r="AE746" s="119"/>
      <c r="AF746" s="119"/>
      <c r="AG746" s="119"/>
      <c r="AI746">
        <f t="shared" si="317"/>
        <v>923</v>
      </c>
      <c r="AJ746" t="str">
        <f t="shared" si="346"/>
        <v>NA</v>
      </c>
      <c r="AK746" t="str">
        <f>IF(ISERROR(MATCH(AI746&amp;"."&amp;AJ746,AK$91:AK745,0)),AI746&amp;"."&amp;AJ746,AI746&amp;"."&amp;AJ746&amp;COUNTIFS(AI$91:AI745,AI746,AJ$91:AJ745,AJ746))</f>
        <v>923.NA</v>
      </c>
    </row>
    <row r="747" spans="1:37" ht="15" hidden="1">
      <c r="A747" s="120">
        <f>ROW()</f>
        <v>747</v>
      </c>
      <c r="B747" s="120"/>
      <c r="C747" s="1"/>
      <c r="E747" s="121" t="s">
        <v>12</v>
      </c>
      <c r="F747" s="138" t="str">
        <f>INDEX(FuncAllocOptions,ROW(A747)-ROW($A$92)+1,[4]Inputs!$S$11)</f>
        <v>PTD</v>
      </c>
      <c r="G747" s="117" t="e">
        <f>SUMIF(FERCJAMFactor,AK747,JAMValue)</f>
        <v>#VALUE!</v>
      </c>
      <c r="H747" s="116" t="e">
        <f t="shared" ref="H747:L749" si="352">INDEX(FuncFactorTbl,MATCH($F747,FuncFactors,0),MATCH(H$8,Functions,0))*$G747</f>
        <v>#VALUE!</v>
      </c>
      <c r="I747" s="116" t="e">
        <f t="shared" si="352"/>
        <v>#VALUE!</v>
      </c>
      <c r="J747" s="116" t="e">
        <f t="shared" si="352"/>
        <v>#VALUE!</v>
      </c>
      <c r="K747" s="116" t="e">
        <f t="shared" si="352"/>
        <v>#VALUE!</v>
      </c>
      <c r="L747" s="116" t="e">
        <f t="shared" si="352"/>
        <v>#VALUE!</v>
      </c>
      <c r="N747" s="108">
        <v>0.75</v>
      </c>
      <c r="O747" s="116" t="e">
        <f>$H747*$N747*$M747</f>
        <v>#VALUE!</v>
      </c>
      <c r="P747" s="116" t="e">
        <f>$H747*(1-$N747)*$M747</f>
        <v>#VALUE!</v>
      </c>
      <c r="Q747" s="116" t="e">
        <f>$H747*$N747*(1-$M747)</f>
        <v>#VALUE!</v>
      </c>
      <c r="R747" s="116" t="e">
        <f>$H747*(1-$N747)*(1-$M747)</f>
        <v>#VALUE!</v>
      </c>
      <c r="S747" s="108">
        <v>0.75</v>
      </c>
      <c r="T747" s="116" t="e">
        <f>$I747*$S747*$M747</f>
        <v>#VALUE!</v>
      </c>
      <c r="U747" s="116" t="e">
        <f>$I747*(1-$S747)*$M747</f>
        <v>#VALUE!</v>
      </c>
      <c r="V747" s="116" t="e">
        <f>$I747*$S747*(1-$M747)</f>
        <v>#VALUE!</v>
      </c>
      <c r="W747" s="116" t="e">
        <f>$I747*(1-$S747)*(1-$M747)</f>
        <v>#VALUE!</v>
      </c>
      <c r="X747" s="3" t="str">
        <f>INDEX(DistFuncAllocOptions,ROW(A747)-ROW($A$92)+1,[4]Inputs!$S$11)</f>
        <v>PLNT</v>
      </c>
      <c r="Y747" s="116" t="e">
        <f t="shared" ref="Y747:AC749" si="353">INDEX(DistFuncFactorTbl,MATCH($X747,DistFuncFactors,0),MATCH(Y$91,DistFunctions,0))*$J747</f>
        <v>#VALUE!</v>
      </c>
      <c r="Z747" s="116" t="e">
        <f t="shared" si="353"/>
        <v>#VALUE!</v>
      </c>
      <c r="AA747" s="116" t="e">
        <f t="shared" si="353"/>
        <v>#VALUE!</v>
      </c>
      <c r="AB747" s="116" t="e">
        <f t="shared" si="353"/>
        <v>#VALUE!</v>
      </c>
      <c r="AC747" s="116" t="e">
        <f t="shared" si="353"/>
        <v>#VALUE!</v>
      </c>
      <c r="AD747" s="117" t="e">
        <f>ROUND(SUM(-G747,H747:L747),0)</f>
        <v>#VALUE!</v>
      </c>
      <c r="AE747" s="117" t="e">
        <f>ROUND(H747-O747-P747-Q747-R747,0)</f>
        <v>#VALUE!</v>
      </c>
      <c r="AF747" s="117" t="e">
        <f>ROUND(I747-T747-U747-V747-W747,0)</f>
        <v>#VALUE!</v>
      </c>
      <c r="AG747" s="117" t="e">
        <f>ROUND(J747-Y747-Z747-AA747-AC747-AB747,0)</f>
        <v>#VALUE!</v>
      </c>
      <c r="AH747" s="116"/>
      <c r="AI747">
        <f t="shared" si="317"/>
        <v>923</v>
      </c>
      <c r="AJ747" t="str">
        <f t="shared" si="346"/>
        <v>S</v>
      </c>
      <c r="AK747" t="str">
        <f>IF(ISERROR(MATCH(AI747&amp;"."&amp;AJ747,AK$91:AK746,0)),AI747&amp;"."&amp;AJ747,AI747&amp;"."&amp;AJ747&amp;COUNTIFS(AI$91:AI746,AI747,AJ$91:AJ746,AJ747))</f>
        <v>923.S</v>
      </c>
    </row>
    <row r="748" spans="1:37" ht="15" hidden="1">
      <c r="A748" s="120">
        <f>ROW()</f>
        <v>748</v>
      </c>
      <c r="B748" s="120"/>
      <c r="C748" s="1"/>
      <c r="E748" s="121" t="s">
        <v>155</v>
      </c>
      <c r="F748" s="138" t="str">
        <f>INDEX(FuncAllocOptions,ROW(A748)-ROW($A$92)+1,[4]Inputs!$S$11)</f>
        <v>CUST</v>
      </c>
      <c r="G748" s="117" t="e">
        <f>SUMIF(FERCJAMFactor,AK748,JAMValue)</f>
        <v>#VALUE!</v>
      </c>
      <c r="H748" s="116" t="e">
        <f t="shared" si="352"/>
        <v>#VALUE!</v>
      </c>
      <c r="I748" s="116" t="e">
        <f t="shared" si="352"/>
        <v>#VALUE!</v>
      </c>
      <c r="J748" s="116" t="e">
        <f t="shared" si="352"/>
        <v>#VALUE!</v>
      </c>
      <c r="K748" s="116" t="e">
        <f t="shared" si="352"/>
        <v>#VALUE!</v>
      </c>
      <c r="L748" s="116" t="e">
        <f t="shared" si="352"/>
        <v>#VALUE!</v>
      </c>
      <c r="N748" s="108">
        <v>0.75</v>
      </c>
      <c r="O748" s="116" t="e">
        <f>$H748*$N748*$M748</f>
        <v>#VALUE!</v>
      </c>
      <c r="P748" s="116" t="e">
        <f>$H748*(1-$N748)*$M748</f>
        <v>#VALUE!</v>
      </c>
      <c r="Q748" s="116" t="e">
        <f>$H748*$N748*(1-$M748)</f>
        <v>#VALUE!</v>
      </c>
      <c r="R748" s="116" t="e">
        <f>$H748*(1-$N748)*(1-$M748)</f>
        <v>#VALUE!</v>
      </c>
      <c r="S748" s="108">
        <v>0.75</v>
      </c>
      <c r="T748" s="116" t="e">
        <f>$I748*$S748*$M748</f>
        <v>#VALUE!</v>
      </c>
      <c r="U748" s="116" t="e">
        <f>$I748*(1-$S748)*$M748</f>
        <v>#VALUE!</v>
      </c>
      <c r="V748" s="116" t="e">
        <f>$I748*$S748*(1-$M748)</f>
        <v>#VALUE!</v>
      </c>
      <c r="W748" s="116" t="e">
        <f>$I748*(1-$S748)*(1-$M748)</f>
        <v>#VALUE!</v>
      </c>
      <c r="X748" s="3" t="str">
        <f>INDEX(DistFuncAllocOptions,ROW(A748)-ROW($A$92)+1,[4]Inputs!$S$11)</f>
        <v>CUST</v>
      </c>
      <c r="Y748" s="116" t="e">
        <f t="shared" si="353"/>
        <v>#VALUE!</v>
      </c>
      <c r="Z748" s="116" t="e">
        <f t="shared" si="353"/>
        <v>#VALUE!</v>
      </c>
      <c r="AA748" s="116" t="e">
        <f t="shared" si="353"/>
        <v>#VALUE!</v>
      </c>
      <c r="AB748" s="116" t="e">
        <f t="shared" si="353"/>
        <v>#VALUE!</v>
      </c>
      <c r="AC748" s="116" t="e">
        <f t="shared" si="353"/>
        <v>#VALUE!</v>
      </c>
      <c r="AD748" s="117" t="e">
        <f>ROUND(SUM(-G748,H748:L748),0)</f>
        <v>#VALUE!</v>
      </c>
      <c r="AE748" s="117" t="e">
        <f>ROUND(H748-O748-P748-Q748-R748,0)</f>
        <v>#VALUE!</v>
      </c>
      <c r="AF748" s="117" t="e">
        <f>ROUND(I748-T748-U748-V748-W748,0)</f>
        <v>#VALUE!</v>
      </c>
      <c r="AG748" s="117" t="e">
        <f>ROUND(J748-Y748-Z748-AA748-AC748-AB748,0)</f>
        <v>#VALUE!</v>
      </c>
      <c r="AH748" s="116"/>
      <c r="AI748">
        <f t="shared" ref="AI748:AI811" si="354">IF(OR(C748="",C748=" ",C748="  ",C748="   "),AI747,C748)</f>
        <v>923</v>
      </c>
      <c r="AJ748" t="str">
        <f t="shared" si="346"/>
        <v>CN</v>
      </c>
      <c r="AK748" t="str">
        <f>IF(ISERROR(MATCH(AI748&amp;"."&amp;AJ748,AK$91:AK747,0)),AI748&amp;"."&amp;AJ748,AI748&amp;"."&amp;AJ748&amp;COUNTIFS(AI$91:AI747,AI748,AJ$91:AJ747,AJ748))</f>
        <v>923.CN</v>
      </c>
    </row>
    <row r="749" spans="1:37" ht="15" hidden="1">
      <c r="A749" s="120">
        <f>ROW()</f>
        <v>749</v>
      </c>
      <c r="B749" s="120"/>
      <c r="C749" s="1"/>
      <c r="E749" s="121" t="s">
        <v>136</v>
      </c>
      <c r="F749" s="138" t="str">
        <f>INDEX(FuncAllocOptions,ROW(A749)-ROW($A$92)+1,[4]Inputs!$S$11)</f>
        <v>PTD</v>
      </c>
      <c r="G749" s="133" t="e">
        <f>SUMIF(FERCJAMFactor,AK749,JAMValue)</f>
        <v>#VALUE!</v>
      </c>
      <c r="H749" s="139" t="e">
        <f t="shared" si="352"/>
        <v>#VALUE!</v>
      </c>
      <c r="I749" s="139" t="e">
        <f t="shared" si="352"/>
        <v>#VALUE!</v>
      </c>
      <c r="J749" s="139" t="e">
        <f t="shared" si="352"/>
        <v>#VALUE!</v>
      </c>
      <c r="K749" s="139" t="e">
        <f t="shared" si="352"/>
        <v>#VALUE!</v>
      </c>
      <c r="L749" s="139" t="e">
        <f t="shared" si="352"/>
        <v>#VALUE!</v>
      </c>
      <c r="N749" s="108">
        <v>0.75</v>
      </c>
      <c r="O749" s="116" t="e">
        <f>$H749*$N749*$M749</f>
        <v>#VALUE!</v>
      </c>
      <c r="P749" s="116" t="e">
        <f>$H749*(1-$N749)*$M749</f>
        <v>#VALUE!</v>
      </c>
      <c r="Q749" s="116" t="e">
        <f>$H749*$N749*(1-$M749)</f>
        <v>#VALUE!</v>
      </c>
      <c r="R749" s="116" t="e">
        <f>$H749*(1-$N749)*(1-$M749)</f>
        <v>#VALUE!</v>
      </c>
      <c r="S749" s="108">
        <v>0.75</v>
      </c>
      <c r="T749" s="116" t="e">
        <f>$I749*$S749*$M749</f>
        <v>#VALUE!</v>
      </c>
      <c r="U749" s="116" t="e">
        <f>$I749*(1-$S749)*$M749</f>
        <v>#VALUE!</v>
      </c>
      <c r="V749" s="116" t="e">
        <f>$I749*$S749*(1-$M749)</f>
        <v>#VALUE!</v>
      </c>
      <c r="W749" s="116" t="e">
        <f>$I749*(1-$S749)*(1-$M749)</f>
        <v>#VALUE!</v>
      </c>
      <c r="X749" s="3" t="str">
        <f>INDEX(DistFuncAllocOptions,ROW(A749)-ROW($A$92)+1,[4]Inputs!$S$11)</f>
        <v>PLNT</v>
      </c>
      <c r="Y749" s="116" t="e">
        <f t="shared" si="353"/>
        <v>#VALUE!</v>
      </c>
      <c r="Z749" s="116" t="e">
        <f t="shared" si="353"/>
        <v>#VALUE!</v>
      </c>
      <c r="AA749" s="116" t="e">
        <f t="shared" si="353"/>
        <v>#VALUE!</v>
      </c>
      <c r="AB749" s="116" t="e">
        <f t="shared" si="353"/>
        <v>#VALUE!</v>
      </c>
      <c r="AC749" s="116" t="e">
        <f t="shared" si="353"/>
        <v>#VALUE!</v>
      </c>
      <c r="AD749" s="117" t="e">
        <f>ROUND(SUM(-G749,H749:L749),0)</f>
        <v>#VALUE!</v>
      </c>
      <c r="AE749" s="117" t="e">
        <f>ROUND(H749-O749-P749-Q749-R749,0)</f>
        <v>#VALUE!</v>
      </c>
      <c r="AF749" s="117" t="e">
        <f>ROUND(I749-T749-U749-V749-W749,0)</f>
        <v>#VALUE!</v>
      </c>
      <c r="AG749" s="117" t="e">
        <f>ROUND(J749-Y749-Z749-AA749-AC749-AB749,0)</f>
        <v>#VALUE!</v>
      </c>
      <c r="AH749" s="116"/>
      <c r="AI749">
        <f t="shared" si="354"/>
        <v>923</v>
      </c>
      <c r="AJ749" t="str">
        <f t="shared" si="346"/>
        <v>SO</v>
      </c>
      <c r="AK749" t="str">
        <f>IF(ISERROR(MATCH(AI749&amp;"."&amp;AJ749,AK$91:AK748,0)),AI749&amp;"."&amp;AJ749,AI749&amp;"."&amp;AJ749&amp;COUNTIFS(AI$91:AI748,AI749,AJ$91:AJ748,AJ749))</f>
        <v>923.SO</v>
      </c>
    </row>
    <row r="750" spans="1:37" ht="15" hidden="1">
      <c r="A750" s="120">
        <f>ROW()</f>
        <v>750</v>
      </c>
      <c r="B750" s="120"/>
      <c r="C750" s="1"/>
      <c r="E750" s="121"/>
      <c r="F750" s="138"/>
      <c r="G750" s="117" t="e">
        <f t="shared" ref="G750:L750" si="355">SUM(G747:G749)</f>
        <v>#VALUE!</v>
      </c>
      <c r="H750" s="116" t="e">
        <f t="shared" si="355"/>
        <v>#VALUE!</v>
      </c>
      <c r="I750" s="116" t="e">
        <f t="shared" si="355"/>
        <v>#VALUE!</v>
      </c>
      <c r="J750" s="116" t="e">
        <f t="shared" si="355"/>
        <v>#VALUE!</v>
      </c>
      <c r="K750" s="116" t="e">
        <f t="shared" si="355"/>
        <v>#VALUE!</v>
      </c>
      <c r="L750" s="116" t="e">
        <f t="shared" si="355"/>
        <v>#VALUE!</v>
      </c>
      <c r="O750" s="116" t="e">
        <f>SUM(O747:O749)</f>
        <v>#VALUE!</v>
      </c>
      <c r="P750" s="116" t="e">
        <f>SUM(P747:P749)</f>
        <v>#VALUE!</v>
      </c>
      <c r="Q750" s="116" t="e">
        <f>SUM(Q747:Q749)</f>
        <v>#VALUE!</v>
      </c>
      <c r="R750" s="116" t="e">
        <f>SUM(R747:R749)</f>
        <v>#VALUE!</v>
      </c>
      <c r="T750" s="116" t="e">
        <f>SUM(T747:T749)</f>
        <v>#VALUE!</v>
      </c>
      <c r="U750" s="116" t="e">
        <f>SUM(U747:U749)</f>
        <v>#VALUE!</v>
      </c>
      <c r="V750" s="116" t="e">
        <f>SUM(V747:V749)</f>
        <v>#VALUE!</v>
      </c>
      <c r="W750" s="116" t="e">
        <f>SUM(W747:W749)</f>
        <v>#VALUE!</v>
      </c>
      <c r="X750" s="3"/>
      <c r="Y750" s="116" t="e">
        <f>SUM(Y747:Y749)</f>
        <v>#VALUE!</v>
      </c>
      <c r="Z750" s="116" t="e">
        <f>SUM(Z747:Z749)</f>
        <v>#VALUE!</v>
      </c>
      <c r="AA750" s="116" t="e">
        <f>SUM(AA747:AA749)</f>
        <v>#VALUE!</v>
      </c>
      <c r="AB750" s="116" t="e">
        <f>SUM(AB747:AB749)</f>
        <v>#VALUE!</v>
      </c>
      <c r="AC750" s="116" t="e">
        <f>SUM(AC747:AC749)</f>
        <v>#VALUE!</v>
      </c>
      <c r="AD750" s="117" t="e">
        <f>ROUND(SUM(-G750,H750:L750),0)</f>
        <v>#VALUE!</v>
      </c>
      <c r="AE750" s="117" t="e">
        <f>ROUND(H750-O750-P750-Q750-R750,0)</f>
        <v>#VALUE!</v>
      </c>
      <c r="AF750" s="117" t="e">
        <f>ROUND(I750-T750-U750-V750-W750,0)</f>
        <v>#VALUE!</v>
      </c>
      <c r="AG750" s="117" t="e">
        <f>ROUND(J750-Y750-Z750-AA750-AC750-AB750,0)</f>
        <v>#VALUE!</v>
      </c>
      <c r="AH750" s="116"/>
      <c r="AI750">
        <f t="shared" si="354"/>
        <v>923</v>
      </c>
      <c r="AJ750" t="str">
        <f t="shared" si="346"/>
        <v>NA</v>
      </c>
      <c r="AK750" t="str">
        <f>IF(ISERROR(MATCH(AI750&amp;"."&amp;AJ750,AK$91:AK749,0)),AI750&amp;"."&amp;AJ750,AI750&amp;"."&amp;AJ750&amp;COUNTIFS(AI$91:AI749,AI750,AJ$91:AJ749,AJ750))</f>
        <v>923.NA1</v>
      </c>
    </row>
    <row r="751" spans="1:37" ht="15" hidden="1">
      <c r="A751" s="120">
        <f>ROW()</f>
        <v>751</v>
      </c>
      <c r="B751" s="120"/>
      <c r="C751" s="1"/>
      <c r="E751" s="121"/>
      <c r="F751" s="138"/>
      <c r="G751" s="119"/>
      <c r="X751" s="3"/>
      <c r="AD751" s="119"/>
      <c r="AE751" s="119"/>
      <c r="AF751" s="119"/>
      <c r="AG751" s="119"/>
      <c r="AI751">
        <f t="shared" si="354"/>
        <v>923</v>
      </c>
      <c r="AJ751" t="str">
        <f t="shared" si="346"/>
        <v>NA</v>
      </c>
      <c r="AK751" t="str">
        <f>IF(ISERROR(MATCH(AI751&amp;"."&amp;AJ751,AK$91:AK750,0)),AI751&amp;"."&amp;AJ751,AI751&amp;"."&amp;AJ751&amp;COUNTIFS(AI$91:AI750,AI751,AJ$91:AJ750,AJ751))</f>
        <v>923.NA2</v>
      </c>
    </row>
    <row r="752" spans="1:37" ht="15" hidden="1">
      <c r="A752" s="120">
        <f>ROW()</f>
        <v>752</v>
      </c>
      <c r="B752" s="120"/>
      <c r="C752" s="1">
        <v>924</v>
      </c>
      <c r="D752" s="2" t="s">
        <v>358</v>
      </c>
      <c r="E752" s="121"/>
      <c r="F752" s="138"/>
      <c r="G752" s="119"/>
      <c r="X752" s="3"/>
      <c r="AD752" s="119"/>
      <c r="AE752" s="119"/>
      <c r="AF752" s="119"/>
      <c r="AG752" s="119"/>
      <c r="AI752">
        <f t="shared" si="354"/>
        <v>924</v>
      </c>
      <c r="AJ752" t="str">
        <f t="shared" si="346"/>
        <v>NA</v>
      </c>
      <c r="AK752" t="str">
        <f>IF(ISERROR(MATCH(AI752&amp;"."&amp;AJ752,AK$91:AK751,0)),AI752&amp;"."&amp;AJ752,AI752&amp;"."&amp;AJ752&amp;COUNTIFS(AI$91:AI751,AI752,AJ$91:AJ751,AJ752))</f>
        <v>924.NA</v>
      </c>
    </row>
    <row r="753" spans="1:37" ht="15" hidden="1">
      <c r="A753" s="120">
        <f>ROW()</f>
        <v>753</v>
      </c>
      <c r="B753" s="120"/>
      <c r="C753" s="1"/>
      <c r="E753" s="121" t="s">
        <v>12</v>
      </c>
      <c r="F753" s="138" t="str">
        <f>INDEX(FuncAllocOptions,ROW(A753)-ROW($A$92)+1,[4]Inputs!$S$11)</f>
        <v>PT</v>
      </c>
      <c r="G753" s="117" t="e">
        <f>SUMIF(FERCJAMFactor,AK753,JAMValue)</f>
        <v>#VALUE!</v>
      </c>
      <c r="H753" s="116" t="e">
        <f t="shared" ref="H753:L755" si="356">INDEX(FuncFactorTbl,MATCH($F753,FuncFactors,0),MATCH(H$8,Functions,0))*$G753</f>
        <v>#VALUE!</v>
      </c>
      <c r="I753" s="116" t="e">
        <f t="shared" si="356"/>
        <v>#VALUE!</v>
      </c>
      <c r="J753" s="116" t="e">
        <f t="shared" si="356"/>
        <v>#VALUE!</v>
      </c>
      <c r="K753" s="116" t="e">
        <f t="shared" si="356"/>
        <v>#VALUE!</v>
      </c>
      <c r="L753" s="116" t="e">
        <f t="shared" si="356"/>
        <v>#VALUE!</v>
      </c>
      <c r="N753" s="108">
        <v>0.75</v>
      </c>
      <c r="O753" s="116" t="e">
        <f>$H753*$N753*$M753</f>
        <v>#VALUE!</v>
      </c>
      <c r="P753" s="116" t="e">
        <f>$H753*(1-$N753)*$M753</f>
        <v>#VALUE!</v>
      </c>
      <c r="Q753" s="116" t="e">
        <f>$H753*$N753*(1-$M753)</f>
        <v>#VALUE!</v>
      </c>
      <c r="R753" s="116" t="e">
        <f>$H753*(1-$N753)*(1-$M753)</f>
        <v>#VALUE!</v>
      </c>
      <c r="S753" s="108">
        <v>0.75</v>
      </c>
      <c r="T753" s="116" t="e">
        <f>$I753*$S753*$M753</f>
        <v>#VALUE!</v>
      </c>
      <c r="U753" s="116" t="e">
        <f>$I753*(1-$S753)*$M753</f>
        <v>#VALUE!</v>
      </c>
      <c r="V753" s="116" t="e">
        <f>$I753*$S753*(1-$M753)</f>
        <v>#VALUE!</v>
      </c>
      <c r="W753" s="116" t="e">
        <f>$I753*(1-$S753)*(1-$M753)</f>
        <v>#VALUE!</v>
      </c>
      <c r="X753" s="3" t="str">
        <f>INDEX(DistFuncAllocOptions,ROW(A753)-ROW($A$92)+1,[4]Inputs!$S$11)</f>
        <v>PLNT</v>
      </c>
      <c r="Y753" s="116" t="e">
        <f t="shared" ref="Y753:AC755" si="357">INDEX(DistFuncFactorTbl,MATCH($X753,DistFuncFactors,0),MATCH(Y$91,DistFunctions,0))*$J753</f>
        <v>#VALUE!</v>
      </c>
      <c r="Z753" s="116" t="e">
        <f t="shared" si="357"/>
        <v>#VALUE!</v>
      </c>
      <c r="AA753" s="116" t="e">
        <f t="shared" si="357"/>
        <v>#VALUE!</v>
      </c>
      <c r="AB753" s="116" t="e">
        <f t="shared" si="357"/>
        <v>#VALUE!</v>
      </c>
      <c r="AC753" s="116" t="e">
        <f t="shared" si="357"/>
        <v>#VALUE!</v>
      </c>
      <c r="AD753" s="117" t="e">
        <f>ROUND(SUM(-G753,H753:L753),0)</f>
        <v>#VALUE!</v>
      </c>
      <c r="AE753" s="117" t="e">
        <f>ROUND(H753-O753-P753-Q753-R753,0)</f>
        <v>#VALUE!</v>
      </c>
      <c r="AF753" s="117" t="e">
        <f>ROUND(I753-T753-U753-V753-W753,0)</f>
        <v>#VALUE!</v>
      </c>
      <c r="AG753" s="117" t="e">
        <f>ROUND(J753-Y753-Z753-AA753-AC753-AB753,0)</f>
        <v>#VALUE!</v>
      </c>
      <c r="AH753" s="116"/>
      <c r="AI753">
        <f t="shared" si="354"/>
        <v>924</v>
      </c>
      <c r="AJ753" t="str">
        <f t="shared" si="346"/>
        <v>S</v>
      </c>
      <c r="AK753" t="str">
        <f>IF(ISERROR(MATCH(AI753&amp;"."&amp;AJ753,AK$91:AK752,0)),AI753&amp;"."&amp;AJ753,AI753&amp;"."&amp;AJ753&amp;COUNTIFS(AI$91:AI752,AI753,AJ$91:AJ752,AJ753))</f>
        <v>924.S</v>
      </c>
    </row>
    <row r="754" spans="1:37" ht="15" hidden="1">
      <c r="A754" s="120">
        <f>ROW()</f>
        <v>754</v>
      </c>
      <c r="B754" s="120"/>
      <c r="C754" s="1"/>
      <c r="E754" s="121" t="s">
        <v>15</v>
      </c>
      <c r="F754" s="138" t="str">
        <f>INDEX(FuncAllocOptions,ROW(A754)-ROW($A$92)+1,[4]Inputs!$S$11)</f>
        <v>P</v>
      </c>
      <c r="G754" s="117" t="e">
        <f>SUMIF(FERCJAMFactor,AK754,JAMValue)</f>
        <v>#VALUE!</v>
      </c>
      <c r="H754" s="116" t="e">
        <f t="shared" si="356"/>
        <v>#VALUE!</v>
      </c>
      <c r="I754" s="116" t="e">
        <f t="shared" si="356"/>
        <v>#VALUE!</v>
      </c>
      <c r="J754" s="116" t="e">
        <f t="shared" si="356"/>
        <v>#VALUE!</v>
      </c>
      <c r="K754" s="116" t="e">
        <f t="shared" si="356"/>
        <v>#VALUE!</v>
      </c>
      <c r="L754" s="116" t="e">
        <f t="shared" si="356"/>
        <v>#VALUE!</v>
      </c>
      <c r="N754" s="108">
        <v>0.75</v>
      </c>
      <c r="O754" s="116" t="e">
        <f>$H754*$N754*$M754</f>
        <v>#VALUE!</v>
      </c>
      <c r="P754" s="116" t="e">
        <f>$H754*(1-$N754)*$M754</f>
        <v>#VALUE!</v>
      </c>
      <c r="Q754" s="116" t="e">
        <f>$H754*$N754*(1-$M754)</f>
        <v>#VALUE!</v>
      </c>
      <c r="R754" s="116" t="e">
        <f>$H754*(1-$N754)*(1-$M754)</f>
        <v>#VALUE!</v>
      </c>
      <c r="S754" s="108">
        <v>0.75</v>
      </c>
      <c r="T754" s="116" t="e">
        <f>$I754*$S754*$M754</f>
        <v>#VALUE!</v>
      </c>
      <c r="U754" s="116" t="e">
        <f>$I754*(1-$S754)*$M754</f>
        <v>#VALUE!</v>
      </c>
      <c r="V754" s="116" t="e">
        <f>$I754*$S754*(1-$M754)</f>
        <v>#VALUE!</v>
      </c>
      <c r="W754" s="116" t="e">
        <f>$I754*(1-$S754)*(1-$M754)</f>
        <v>#VALUE!</v>
      </c>
      <c r="X754" s="3" t="str">
        <f>INDEX(DistFuncAllocOptions,ROW(A754)-ROW($A$92)+1,[4]Inputs!$S$11)</f>
        <v>PLNT</v>
      </c>
      <c r="Y754" s="116" t="e">
        <f t="shared" si="357"/>
        <v>#VALUE!</v>
      </c>
      <c r="Z754" s="116" t="e">
        <f t="shared" si="357"/>
        <v>#VALUE!</v>
      </c>
      <c r="AA754" s="116" t="e">
        <f t="shared" si="357"/>
        <v>#VALUE!</v>
      </c>
      <c r="AB754" s="116" t="e">
        <f t="shared" si="357"/>
        <v>#VALUE!</v>
      </c>
      <c r="AC754" s="116" t="e">
        <f t="shared" si="357"/>
        <v>#VALUE!</v>
      </c>
      <c r="AD754" s="117" t="e">
        <f>ROUND(SUM(-G754,H754:L754),0)</f>
        <v>#VALUE!</v>
      </c>
      <c r="AE754" s="117" t="e">
        <f>ROUND(H754-O754-P754-Q754-R754,0)</f>
        <v>#VALUE!</v>
      </c>
      <c r="AF754" s="117" t="e">
        <f>ROUND(I754-T754-U754-V754-W754,0)</f>
        <v>#VALUE!</v>
      </c>
      <c r="AG754" s="117" t="e">
        <f>ROUND(J754-Y754-Z754-AA754-AC754-AB754,0)</f>
        <v>#VALUE!</v>
      </c>
      <c r="AH754" s="116"/>
      <c r="AI754">
        <f t="shared" si="354"/>
        <v>924</v>
      </c>
      <c r="AJ754" t="str">
        <f t="shared" si="346"/>
        <v>SG</v>
      </c>
      <c r="AK754" t="str">
        <f>IF(ISERROR(MATCH(AI754&amp;"."&amp;AJ754,AK$91:AK753,0)),AI754&amp;"."&amp;AJ754,AI754&amp;"."&amp;AJ754&amp;COUNTIFS(AI$91:AI753,AI754,AJ$91:AJ753,AJ754))</f>
        <v>924.SG</v>
      </c>
    </row>
    <row r="755" spans="1:37" ht="15" hidden="1">
      <c r="A755" s="120">
        <f>ROW()</f>
        <v>755</v>
      </c>
      <c r="B755" s="120"/>
      <c r="C755" s="1"/>
      <c r="E755" s="121" t="s">
        <v>136</v>
      </c>
      <c r="F755" s="138" t="str">
        <f>INDEX(FuncAllocOptions,ROW(A755)-ROW($A$92)+1,[4]Inputs!$S$11)</f>
        <v>PTD</v>
      </c>
      <c r="G755" s="133" t="e">
        <f>SUMIF(FERCJAMFactor,AK755,JAMValue)</f>
        <v>#VALUE!</v>
      </c>
      <c r="H755" s="139" t="e">
        <f t="shared" si="356"/>
        <v>#VALUE!</v>
      </c>
      <c r="I755" s="139" t="e">
        <f t="shared" si="356"/>
        <v>#VALUE!</v>
      </c>
      <c r="J755" s="139" t="e">
        <f t="shared" si="356"/>
        <v>#VALUE!</v>
      </c>
      <c r="K755" s="139" t="e">
        <f t="shared" si="356"/>
        <v>#VALUE!</v>
      </c>
      <c r="L755" s="139" t="e">
        <f t="shared" si="356"/>
        <v>#VALUE!</v>
      </c>
      <c r="N755" s="108">
        <v>0.75</v>
      </c>
      <c r="O755" s="116" t="e">
        <f>$H755*$N755*$M755</f>
        <v>#VALUE!</v>
      </c>
      <c r="P755" s="116" t="e">
        <f>$H755*(1-$N755)*$M755</f>
        <v>#VALUE!</v>
      </c>
      <c r="Q755" s="116" t="e">
        <f>$H755*$N755*(1-$M755)</f>
        <v>#VALUE!</v>
      </c>
      <c r="R755" s="116" t="e">
        <f>$H755*(1-$N755)*(1-$M755)</f>
        <v>#VALUE!</v>
      </c>
      <c r="S755" s="108">
        <v>0.75</v>
      </c>
      <c r="T755" s="116" t="e">
        <f>$I755*$S755*$M755</f>
        <v>#VALUE!</v>
      </c>
      <c r="U755" s="116" t="e">
        <f>$I755*(1-$S755)*$M755</f>
        <v>#VALUE!</v>
      </c>
      <c r="V755" s="116" t="e">
        <f>$I755*$S755*(1-$M755)</f>
        <v>#VALUE!</v>
      </c>
      <c r="W755" s="116" t="e">
        <f>$I755*(1-$S755)*(1-$M755)</f>
        <v>#VALUE!</v>
      </c>
      <c r="X755" s="3" t="str">
        <f>INDEX(DistFuncAllocOptions,ROW(A755)-ROW($A$92)+1,[4]Inputs!$S$11)</f>
        <v>PLNT</v>
      </c>
      <c r="Y755" s="116" t="e">
        <f t="shared" si="357"/>
        <v>#VALUE!</v>
      </c>
      <c r="Z755" s="116" t="e">
        <f t="shared" si="357"/>
        <v>#VALUE!</v>
      </c>
      <c r="AA755" s="116" t="e">
        <f t="shared" si="357"/>
        <v>#VALUE!</v>
      </c>
      <c r="AB755" s="116" t="e">
        <f t="shared" si="357"/>
        <v>#VALUE!</v>
      </c>
      <c r="AC755" s="116" t="e">
        <f t="shared" si="357"/>
        <v>#VALUE!</v>
      </c>
      <c r="AD755" s="117" t="e">
        <f>ROUND(SUM(-G755,H755:L755),0)</f>
        <v>#VALUE!</v>
      </c>
      <c r="AE755" s="117" t="e">
        <f>ROUND(H755-O755-P755-Q755-R755,0)</f>
        <v>#VALUE!</v>
      </c>
      <c r="AF755" s="117" t="e">
        <f>ROUND(I755-T755-U755-V755-W755,0)</f>
        <v>#VALUE!</v>
      </c>
      <c r="AG755" s="117" t="e">
        <f>ROUND(J755-Y755-Z755-AA755-AC755-AB755,0)</f>
        <v>#VALUE!</v>
      </c>
      <c r="AH755" s="116"/>
      <c r="AI755">
        <f t="shared" si="354"/>
        <v>924</v>
      </c>
      <c r="AJ755" t="str">
        <f t="shared" si="346"/>
        <v>SO</v>
      </c>
      <c r="AK755" t="str">
        <f>IF(ISERROR(MATCH(AI755&amp;"."&amp;AJ755,AK$91:AK754,0)),AI755&amp;"."&amp;AJ755,AI755&amp;"."&amp;AJ755&amp;COUNTIFS(AI$91:AI754,AI755,AJ$91:AJ754,AJ755))</f>
        <v>924.SO</v>
      </c>
    </row>
    <row r="756" spans="1:37" ht="15" hidden="1">
      <c r="A756" s="120">
        <f>ROW()</f>
        <v>756</v>
      </c>
      <c r="B756" s="120"/>
      <c r="C756" s="1"/>
      <c r="E756" s="121"/>
      <c r="F756" s="138"/>
      <c r="G756" s="117" t="e">
        <f t="shared" ref="G756:L756" si="358">SUM(G753:G755)</f>
        <v>#VALUE!</v>
      </c>
      <c r="H756" s="116" t="e">
        <f t="shared" si="358"/>
        <v>#VALUE!</v>
      </c>
      <c r="I756" s="116" t="e">
        <f t="shared" si="358"/>
        <v>#VALUE!</v>
      </c>
      <c r="J756" s="116" t="e">
        <f t="shared" si="358"/>
        <v>#VALUE!</v>
      </c>
      <c r="K756" s="116" t="e">
        <f t="shared" si="358"/>
        <v>#VALUE!</v>
      </c>
      <c r="L756" s="116" t="e">
        <f t="shared" si="358"/>
        <v>#VALUE!</v>
      </c>
      <c r="O756" s="116" t="e">
        <f>SUM(O753:O755)</f>
        <v>#VALUE!</v>
      </c>
      <c r="P756" s="116" t="e">
        <f>SUM(P753:P755)</f>
        <v>#VALUE!</v>
      </c>
      <c r="Q756" s="116" t="e">
        <f>SUM(Q753:Q755)</f>
        <v>#VALUE!</v>
      </c>
      <c r="R756" s="116" t="e">
        <f>SUM(R753:R755)</f>
        <v>#VALUE!</v>
      </c>
      <c r="T756" s="116" t="e">
        <f>SUM(T753:T755)</f>
        <v>#VALUE!</v>
      </c>
      <c r="U756" s="116" t="e">
        <f>SUM(U753:U755)</f>
        <v>#VALUE!</v>
      </c>
      <c r="V756" s="116" t="e">
        <f>SUM(V753:V755)</f>
        <v>#VALUE!</v>
      </c>
      <c r="W756" s="116" t="e">
        <f>SUM(W753:W755)</f>
        <v>#VALUE!</v>
      </c>
      <c r="X756" s="3"/>
      <c r="Y756" s="116" t="e">
        <f>SUM(Y753:Y755)</f>
        <v>#VALUE!</v>
      </c>
      <c r="Z756" s="116" t="e">
        <f>SUM(Z753:Z755)</f>
        <v>#VALUE!</v>
      </c>
      <c r="AA756" s="116" t="e">
        <f>SUM(AA753:AA755)</f>
        <v>#VALUE!</v>
      </c>
      <c r="AB756" s="116" t="e">
        <f>SUM(AB753:AB755)</f>
        <v>#VALUE!</v>
      </c>
      <c r="AC756" s="116" t="e">
        <f>SUM(AC753:AC755)</f>
        <v>#VALUE!</v>
      </c>
      <c r="AD756" s="117" t="e">
        <f>ROUND(SUM(-G756,H756:L756),0)</f>
        <v>#VALUE!</v>
      </c>
      <c r="AE756" s="117" t="e">
        <f>ROUND(H756-O756-P756-Q756-R756,0)</f>
        <v>#VALUE!</v>
      </c>
      <c r="AF756" s="117" t="e">
        <f>ROUND(I756-T756-U756-V756-W756,0)</f>
        <v>#VALUE!</v>
      </c>
      <c r="AG756" s="117" t="e">
        <f>ROUND(J756-Y756-Z756-AA756-AC756-AB756,0)</f>
        <v>#VALUE!</v>
      </c>
      <c r="AH756" s="116"/>
      <c r="AI756">
        <f t="shared" si="354"/>
        <v>924</v>
      </c>
      <c r="AJ756" t="str">
        <f t="shared" si="346"/>
        <v>NA</v>
      </c>
      <c r="AK756" t="str">
        <f>IF(ISERROR(MATCH(AI756&amp;"."&amp;AJ756,AK$91:AK755,0)),AI756&amp;"."&amp;AJ756,AI756&amp;"."&amp;AJ756&amp;COUNTIFS(AI$91:AI755,AI756,AJ$91:AJ755,AJ756))</f>
        <v>924.NA1</v>
      </c>
    </row>
    <row r="757" spans="1:37" ht="15" hidden="1">
      <c r="A757" s="120">
        <f>ROW()</f>
        <v>757</v>
      </c>
      <c r="B757" s="120"/>
      <c r="C757" s="1"/>
      <c r="E757" s="121"/>
      <c r="F757" s="138"/>
      <c r="G757" s="119"/>
      <c r="X757" s="3"/>
      <c r="AD757" s="119"/>
      <c r="AE757" s="119"/>
      <c r="AF757" s="119"/>
      <c r="AG757" s="119"/>
      <c r="AI757">
        <f t="shared" si="354"/>
        <v>924</v>
      </c>
      <c r="AJ757" t="str">
        <f t="shared" si="346"/>
        <v>NA</v>
      </c>
      <c r="AK757" t="str">
        <f>IF(ISERROR(MATCH(AI757&amp;"."&amp;AJ757,AK$91:AK756,0)),AI757&amp;"."&amp;AJ757,AI757&amp;"."&amp;AJ757&amp;COUNTIFS(AI$91:AI756,AI757,AJ$91:AJ756,AJ757))</f>
        <v>924.NA2</v>
      </c>
    </row>
    <row r="758" spans="1:37" ht="15" hidden="1">
      <c r="A758" s="120">
        <f>ROW()</f>
        <v>758</v>
      </c>
      <c r="B758" s="120"/>
      <c r="C758" s="1">
        <v>925</v>
      </c>
      <c r="D758" s="2" t="s">
        <v>359</v>
      </c>
      <c r="E758" s="121"/>
      <c r="F758" s="138"/>
      <c r="G758" s="119"/>
      <c r="X758" s="3"/>
      <c r="AD758" s="119"/>
      <c r="AE758" s="119"/>
      <c r="AF758" s="119"/>
      <c r="AG758" s="119"/>
      <c r="AI758">
        <f t="shared" si="354"/>
        <v>925</v>
      </c>
      <c r="AJ758" t="str">
        <f t="shared" si="346"/>
        <v>NA</v>
      </c>
      <c r="AK758" t="str">
        <f>IF(ISERROR(MATCH(AI758&amp;"."&amp;AJ758,AK$91:AK757,0)),AI758&amp;"."&amp;AJ758,AI758&amp;"."&amp;AJ758&amp;COUNTIFS(AI$91:AI757,AI758,AJ$91:AJ757,AJ758))</f>
        <v>925.NA</v>
      </c>
    </row>
    <row r="759" spans="1:37" ht="15" hidden="1">
      <c r="A759" s="120">
        <f>ROW()</f>
        <v>759</v>
      </c>
      <c r="B759" s="120"/>
      <c r="C759" s="1"/>
      <c r="E759" s="121" t="s">
        <v>136</v>
      </c>
      <c r="F759" s="138" t="str">
        <f>INDEX(FuncAllocOptions,ROW(A759)-ROW($A$92)+1,[4]Inputs!$S$11)</f>
        <v>PTD</v>
      </c>
      <c r="G759" s="133" t="e">
        <f>SUMIF(FERCJAMFactor,AK759,JAMValue)</f>
        <v>#VALUE!</v>
      </c>
      <c r="H759" s="139" t="e">
        <f>INDEX(FuncFactorTbl,MATCH($F759,FuncFactors,0),MATCH(H$8,Functions,0))*$G759</f>
        <v>#VALUE!</v>
      </c>
      <c r="I759" s="139" t="e">
        <f>INDEX(FuncFactorTbl,MATCH($F759,FuncFactors,0),MATCH(I$8,Functions,0))*$G759</f>
        <v>#VALUE!</v>
      </c>
      <c r="J759" s="139" t="e">
        <f>INDEX(FuncFactorTbl,MATCH($F759,FuncFactors,0),MATCH(J$8,Functions,0))*$G759</f>
        <v>#VALUE!</v>
      </c>
      <c r="K759" s="139" t="e">
        <f>INDEX(FuncFactorTbl,MATCH($F759,FuncFactors,0),MATCH(K$8,Functions,0))*$G759</f>
        <v>#VALUE!</v>
      </c>
      <c r="L759" s="139" t="e">
        <f>INDEX(FuncFactorTbl,MATCH($F759,FuncFactors,0),MATCH(L$8,Functions,0))*$G759</f>
        <v>#VALUE!</v>
      </c>
      <c r="N759" s="108">
        <v>0.75</v>
      </c>
      <c r="O759" s="116" t="e">
        <f>$H759*$N759*$M759</f>
        <v>#VALUE!</v>
      </c>
      <c r="P759" s="116" t="e">
        <f>$H759*(1-$N759)*$M759</f>
        <v>#VALUE!</v>
      </c>
      <c r="Q759" s="116" t="e">
        <f>$H759*$N759*(1-$M759)</f>
        <v>#VALUE!</v>
      </c>
      <c r="R759" s="116" t="e">
        <f>$H759*(1-$N759)*(1-$M759)</f>
        <v>#VALUE!</v>
      </c>
      <c r="S759" s="108">
        <v>0.75</v>
      </c>
      <c r="T759" s="116" t="e">
        <f>$I759*$S759*$M759</f>
        <v>#VALUE!</v>
      </c>
      <c r="U759" s="116" t="e">
        <f>$I759*(1-$S759)*$M759</f>
        <v>#VALUE!</v>
      </c>
      <c r="V759" s="116" t="e">
        <f>$I759*$S759*(1-$M759)</f>
        <v>#VALUE!</v>
      </c>
      <c r="W759" s="116" t="e">
        <f>$I759*(1-$S759)*(1-$M759)</f>
        <v>#VALUE!</v>
      </c>
      <c r="X759" s="3" t="str">
        <f>INDEX(DistFuncAllocOptions,ROW(A759)-ROW($A$92)+1,[4]Inputs!$S$11)</f>
        <v>PLNT</v>
      </c>
      <c r="Y759" s="116" t="e">
        <f>INDEX(DistFuncFactorTbl,MATCH($X759,DistFuncFactors,0),MATCH(Y$91,DistFunctions,0))*$J759</f>
        <v>#VALUE!</v>
      </c>
      <c r="Z759" s="116" t="e">
        <f>INDEX(DistFuncFactorTbl,MATCH($X759,DistFuncFactors,0),MATCH(Z$91,DistFunctions,0))*$J759</f>
        <v>#VALUE!</v>
      </c>
      <c r="AA759" s="116" t="e">
        <f>INDEX(DistFuncFactorTbl,MATCH($X759,DistFuncFactors,0),MATCH(AA$91,DistFunctions,0))*$J759</f>
        <v>#VALUE!</v>
      </c>
      <c r="AB759" s="116" t="e">
        <f>INDEX(DistFuncFactorTbl,MATCH($X759,DistFuncFactors,0),MATCH(AB$91,DistFunctions,0))*$J759</f>
        <v>#VALUE!</v>
      </c>
      <c r="AC759" s="116" t="e">
        <f>INDEX(DistFuncFactorTbl,MATCH($X759,DistFuncFactors,0),MATCH(AC$91,DistFunctions,0))*$J759</f>
        <v>#VALUE!</v>
      </c>
      <c r="AD759" s="117" t="e">
        <f>ROUND(SUM(-G759,H759:L759),0)</f>
        <v>#VALUE!</v>
      </c>
      <c r="AE759" s="117" t="e">
        <f>ROUND(H759-O759-P759-Q759-R759,0)</f>
        <v>#VALUE!</v>
      </c>
      <c r="AF759" s="117" t="e">
        <f>ROUND(I759-T759-U759-V759-W759,0)</f>
        <v>#VALUE!</v>
      </c>
      <c r="AG759" s="117" t="e">
        <f>ROUND(J759-Y759-Z759-AA759-AC759-AB759,0)</f>
        <v>#VALUE!</v>
      </c>
      <c r="AH759" s="116"/>
      <c r="AI759">
        <f t="shared" si="354"/>
        <v>925</v>
      </c>
      <c r="AJ759" t="str">
        <f t="shared" si="346"/>
        <v>SO</v>
      </c>
      <c r="AK759" t="str">
        <f>IF(ISERROR(MATCH(AI759&amp;"."&amp;AJ759,AK$91:AK758,0)),AI759&amp;"."&amp;AJ759,AI759&amp;"."&amp;AJ759&amp;COUNTIFS(AI$91:AI758,AI759,AJ$91:AJ758,AJ759))</f>
        <v>925.SO</v>
      </c>
    </row>
    <row r="760" spans="1:37" ht="15" hidden="1">
      <c r="A760" s="120">
        <f>ROW()</f>
        <v>760</v>
      </c>
      <c r="B760" s="120"/>
      <c r="C760" s="1"/>
      <c r="E760" s="121"/>
      <c r="F760" s="138"/>
      <c r="G760" s="117" t="e">
        <f t="shared" ref="G760:L760" si="359">SUM(G759)</f>
        <v>#VALUE!</v>
      </c>
      <c r="H760" s="116" t="e">
        <f t="shared" si="359"/>
        <v>#VALUE!</v>
      </c>
      <c r="I760" s="116" t="e">
        <f t="shared" si="359"/>
        <v>#VALUE!</v>
      </c>
      <c r="J760" s="116" t="e">
        <f t="shared" si="359"/>
        <v>#VALUE!</v>
      </c>
      <c r="K760" s="116" t="e">
        <f t="shared" si="359"/>
        <v>#VALUE!</v>
      </c>
      <c r="L760" s="116" t="e">
        <f t="shared" si="359"/>
        <v>#VALUE!</v>
      </c>
      <c r="O760" s="116" t="e">
        <f>SUM(O759)</f>
        <v>#VALUE!</v>
      </c>
      <c r="P760" s="116" t="e">
        <f>SUM(P759)</f>
        <v>#VALUE!</v>
      </c>
      <c r="Q760" s="116" t="e">
        <f>SUM(Q759)</f>
        <v>#VALUE!</v>
      </c>
      <c r="R760" s="116" t="e">
        <f>SUM(R759)</f>
        <v>#VALUE!</v>
      </c>
      <c r="T760" s="116" t="e">
        <f>SUM(T759)</f>
        <v>#VALUE!</v>
      </c>
      <c r="U760" s="116" t="e">
        <f>SUM(U759)</f>
        <v>#VALUE!</v>
      </c>
      <c r="V760" s="116" t="e">
        <f>SUM(V759)</f>
        <v>#VALUE!</v>
      </c>
      <c r="W760" s="116" t="e">
        <f>SUM(W759)</f>
        <v>#VALUE!</v>
      </c>
      <c r="X760" s="3"/>
      <c r="Y760" s="116" t="e">
        <f>SUM(Y759)</f>
        <v>#VALUE!</v>
      </c>
      <c r="Z760" s="116" t="e">
        <f>SUM(Z759)</f>
        <v>#VALUE!</v>
      </c>
      <c r="AA760" s="116" t="e">
        <f>SUM(AA759)</f>
        <v>#VALUE!</v>
      </c>
      <c r="AB760" s="116" t="e">
        <f>SUM(AB759)</f>
        <v>#VALUE!</v>
      </c>
      <c r="AC760" s="116" t="e">
        <f>SUM(AC759)</f>
        <v>#VALUE!</v>
      </c>
      <c r="AD760" s="117" t="e">
        <f>ROUND(SUM(-G760,H760:L760),0)</f>
        <v>#VALUE!</v>
      </c>
      <c r="AE760" s="117" t="e">
        <f>ROUND(H760-O760-P760-Q760-R760,0)</f>
        <v>#VALUE!</v>
      </c>
      <c r="AF760" s="117" t="e">
        <f>ROUND(I760-T760-U760-V760-W760,0)</f>
        <v>#VALUE!</v>
      </c>
      <c r="AG760" s="117" t="e">
        <f>ROUND(J760-Y760-Z760-AA760-AC760-AB760,0)</f>
        <v>#VALUE!</v>
      </c>
      <c r="AH760" s="116"/>
      <c r="AI760">
        <f t="shared" si="354"/>
        <v>925</v>
      </c>
      <c r="AJ760" t="str">
        <f t="shared" si="346"/>
        <v>NA</v>
      </c>
      <c r="AK760" t="str">
        <f>IF(ISERROR(MATCH(AI760&amp;"."&amp;AJ760,AK$91:AK759,0)),AI760&amp;"."&amp;AJ760,AI760&amp;"."&amp;AJ760&amp;COUNTIFS(AI$91:AI759,AI760,AJ$91:AJ759,AJ760))</f>
        <v>925.NA1</v>
      </c>
    </row>
    <row r="761" spans="1:37" ht="15" hidden="1">
      <c r="A761" s="120">
        <f>ROW()</f>
        <v>761</v>
      </c>
      <c r="B761" s="120"/>
      <c r="C761" s="1"/>
      <c r="E761" s="121"/>
      <c r="F761" s="138"/>
      <c r="G761" s="119"/>
      <c r="X761" s="3"/>
      <c r="AD761" s="119"/>
      <c r="AE761" s="119"/>
      <c r="AF761" s="119"/>
      <c r="AG761" s="119"/>
      <c r="AI761">
        <f t="shared" si="354"/>
        <v>925</v>
      </c>
      <c r="AJ761" t="str">
        <f t="shared" si="346"/>
        <v>NA</v>
      </c>
      <c r="AK761" t="str">
        <f>IF(ISERROR(MATCH(AI761&amp;"."&amp;AJ761,AK$91:AK760,0)),AI761&amp;"."&amp;AJ761,AI761&amp;"."&amp;AJ761&amp;COUNTIFS(AI$91:AI760,AI761,AJ$91:AJ760,AJ761))</f>
        <v>925.NA2</v>
      </c>
    </row>
    <row r="762" spans="1:37" ht="15" hidden="1">
      <c r="A762" s="120">
        <f>ROW()</f>
        <v>762</v>
      </c>
      <c r="B762" s="120"/>
      <c r="C762" s="1">
        <v>926</v>
      </c>
      <c r="D762" s="2" t="s">
        <v>360</v>
      </c>
      <c r="E762" s="121"/>
      <c r="F762" s="138"/>
      <c r="G762" s="119"/>
      <c r="X762" s="3"/>
      <c r="AD762" s="119"/>
      <c r="AE762" s="119"/>
      <c r="AF762" s="119"/>
      <c r="AG762" s="119"/>
      <c r="AI762">
        <f t="shared" si="354"/>
        <v>926</v>
      </c>
      <c r="AJ762" t="str">
        <f t="shared" si="346"/>
        <v>NA</v>
      </c>
      <c r="AK762" t="str">
        <f>IF(ISERROR(MATCH(AI762&amp;"."&amp;AJ762,AK$91:AK761,0)),AI762&amp;"."&amp;AJ762,AI762&amp;"."&amp;AJ762&amp;COUNTIFS(AI$91:AI761,AI762,AJ$91:AJ761,AJ762))</f>
        <v>926.NA</v>
      </c>
    </row>
    <row r="763" spans="1:37" ht="15" hidden="1">
      <c r="A763" s="120">
        <f>ROW()</f>
        <v>763</v>
      </c>
      <c r="B763" s="120"/>
      <c r="C763" s="1"/>
      <c r="E763" s="121" t="s">
        <v>12</v>
      </c>
      <c r="F763" s="138" t="str">
        <f>INDEX(FuncAllocOptions,ROW(A763)-ROW($A$92)+1,[4]Inputs!$S$11)</f>
        <v>LABOR</v>
      </c>
      <c r="G763" s="117" t="e">
        <f>SUMIF(FERCJAMFactor,AK763,JAMValue)</f>
        <v>#VALUE!</v>
      </c>
      <c r="H763" s="116" t="e">
        <f t="shared" ref="H763:L765" si="360">INDEX(FuncFactorTbl,MATCH($F763,FuncFactors,0),MATCH(H$8,Functions,0))*$G763</f>
        <v>#VALUE!</v>
      </c>
      <c r="I763" s="116" t="e">
        <f t="shared" si="360"/>
        <v>#VALUE!</v>
      </c>
      <c r="J763" s="116" t="e">
        <f t="shared" si="360"/>
        <v>#VALUE!</v>
      </c>
      <c r="K763" s="116" t="e">
        <f t="shared" si="360"/>
        <v>#VALUE!</v>
      </c>
      <c r="L763" s="116" t="e">
        <f t="shared" si="360"/>
        <v>#VALUE!</v>
      </c>
      <c r="N763" s="108">
        <v>0.75</v>
      </c>
      <c r="O763" s="116" t="e">
        <f>$H763*$N763*$M763</f>
        <v>#VALUE!</v>
      </c>
      <c r="P763" s="116" t="e">
        <f>$H763*(1-$N763)*$M763</f>
        <v>#VALUE!</v>
      </c>
      <c r="Q763" s="116" t="e">
        <f>$H763*$N763*(1-$M763)</f>
        <v>#VALUE!</v>
      </c>
      <c r="R763" s="116" t="e">
        <f>$H763*(1-$N763)*(1-$M763)</f>
        <v>#VALUE!</v>
      </c>
      <c r="S763" s="108">
        <v>0.75</v>
      </c>
      <c r="T763" s="116" t="e">
        <f>$I763*$S763*$M763</f>
        <v>#VALUE!</v>
      </c>
      <c r="U763" s="116" t="e">
        <f>$I763*(1-$S763)*$M763</f>
        <v>#VALUE!</v>
      </c>
      <c r="V763" s="116" t="e">
        <f>$I763*$S763*(1-$M763)</f>
        <v>#VALUE!</v>
      </c>
      <c r="W763" s="116" t="e">
        <f>$I763*(1-$S763)*(1-$M763)</f>
        <v>#VALUE!</v>
      </c>
      <c r="X763" s="3" t="str">
        <f>INDEX(DistFuncAllocOptions,ROW(A763)-ROW($A$92)+1,[4]Inputs!$S$11)</f>
        <v>DISom</v>
      </c>
      <c r="Y763" s="116" t="e">
        <f t="shared" ref="Y763:AC765" si="361">INDEX(DistFuncFactorTbl,MATCH($X763,DistFuncFactors,0),MATCH(Y$91,DistFunctions,0))*$J763</f>
        <v>#VALUE!</v>
      </c>
      <c r="Z763" s="116" t="e">
        <f t="shared" si="361"/>
        <v>#VALUE!</v>
      </c>
      <c r="AA763" s="116" t="e">
        <f t="shared" si="361"/>
        <v>#VALUE!</v>
      </c>
      <c r="AB763" s="116" t="e">
        <f t="shared" si="361"/>
        <v>#VALUE!</v>
      </c>
      <c r="AC763" s="116" t="e">
        <f t="shared" si="361"/>
        <v>#VALUE!</v>
      </c>
      <c r="AD763" s="117" t="e">
        <f>ROUND(SUM(-G763,H763:L763),0)</f>
        <v>#VALUE!</v>
      </c>
      <c r="AE763" s="117" t="e">
        <f>ROUND(H763-O763-P763-Q763-R763,0)</f>
        <v>#VALUE!</v>
      </c>
      <c r="AF763" s="117" t="e">
        <f>ROUND(I763-T763-U763-V763-W763,0)</f>
        <v>#VALUE!</v>
      </c>
      <c r="AG763" s="117" t="e">
        <f>ROUND(J763-Y763-Z763-AA763-AC763-AB763,0)</f>
        <v>#VALUE!</v>
      </c>
      <c r="AH763" s="116"/>
      <c r="AI763">
        <f t="shared" si="354"/>
        <v>926</v>
      </c>
      <c r="AJ763" t="str">
        <f t="shared" si="346"/>
        <v>S</v>
      </c>
      <c r="AK763" t="str">
        <f>IF(ISERROR(MATCH(AI763&amp;"."&amp;AJ763,AK$91:AK762,0)),AI763&amp;"."&amp;AJ763,AI763&amp;"."&amp;AJ763&amp;COUNTIFS(AI$91:AI762,AI763,AJ$91:AJ762,AJ763))</f>
        <v>926.S</v>
      </c>
    </row>
    <row r="764" spans="1:37" ht="15" hidden="1">
      <c r="A764" s="120">
        <f>ROW()</f>
        <v>764</v>
      </c>
      <c r="B764" s="120"/>
      <c r="C764" s="1"/>
      <c r="E764" s="121" t="s">
        <v>155</v>
      </c>
      <c r="F764" s="138" t="str">
        <f>INDEX(FuncAllocOptions,ROW(A764)-ROW($A$92)+1,[4]Inputs!$S$11)</f>
        <v>CUST</v>
      </c>
      <c r="G764" s="117" t="e">
        <f>SUMIF(FERCJAMFactor,AK764,JAMValue)</f>
        <v>#VALUE!</v>
      </c>
      <c r="H764" s="116" t="e">
        <f t="shared" si="360"/>
        <v>#VALUE!</v>
      </c>
      <c r="I764" s="116" t="e">
        <f t="shared" si="360"/>
        <v>#VALUE!</v>
      </c>
      <c r="J764" s="116" t="e">
        <f t="shared" si="360"/>
        <v>#VALUE!</v>
      </c>
      <c r="K764" s="116" t="e">
        <f t="shared" si="360"/>
        <v>#VALUE!</v>
      </c>
      <c r="L764" s="116" t="e">
        <f t="shared" si="360"/>
        <v>#VALUE!</v>
      </c>
      <c r="N764" s="108">
        <v>0.75</v>
      </c>
      <c r="O764" s="116" t="e">
        <f>$H764*$N764*$M764</f>
        <v>#VALUE!</v>
      </c>
      <c r="P764" s="116" t="e">
        <f>$H764*(1-$N764)*$M764</f>
        <v>#VALUE!</v>
      </c>
      <c r="Q764" s="116" t="e">
        <f>$H764*$N764*(1-$M764)</f>
        <v>#VALUE!</v>
      </c>
      <c r="R764" s="116" t="e">
        <f>$H764*(1-$N764)*(1-$M764)</f>
        <v>#VALUE!</v>
      </c>
      <c r="S764" s="108">
        <v>0.75</v>
      </c>
      <c r="T764" s="116" t="e">
        <f>$I764*$S764*$M764</f>
        <v>#VALUE!</v>
      </c>
      <c r="U764" s="116" t="e">
        <f>$I764*(1-$S764)*$M764</f>
        <v>#VALUE!</v>
      </c>
      <c r="V764" s="116" t="e">
        <f>$I764*$S764*(1-$M764)</f>
        <v>#VALUE!</v>
      </c>
      <c r="W764" s="116" t="e">
        <f>$I764*(1-$S764)*(1-$M764)</f>
        <v>#VALUE!</v>
      </c>
      <c r="X764" s="3" t="str">
        <f>INDEX(DistFuncAllocOptions,ROW(A764)-ROW($A$92)+1,[4]Inputs!$S$11)</f>
        <v>CUST</v>
      </c>
      <c r="Y764" s="116" t="e">
        <f t="shared" si="361"/>
        <v>#VALUE!</v>
      </c>
      <c r="Z764" s="116" t="e">
        <f t="shared" si="361"/>
        <v>#VALUE!</v>
      </c>
      <c r="AA764" s="116" t="e">
        <f t="shared" si="361"/>
        <v>#VALUE!</v>
      </c>
      <c r="AB764" s="116" t="e">
        <f t="shared" si="361"/>
        <v>#VALUE!</v>
      </c>
      <c r="AC764" s="116" t="e">
        <f t="shared" si="361"/>
        <v>#VALUE!</v>
      </c>
      <c r="AD764" s="117" t="e">
        <f>ROUND(SUM(-G764,H764:L764),0)</f>
        <v>#VALUE!</v>
      </c>
      <c r="AE764" s="117" t="e">
        <f>ROUND(H764-O764-P764-Q764-R764,0)</f>
        <v>#VALUE!</v>
      </c>
      <c r="AF764" s="117" t="e">
        <f>ROUND(I764-T764-U764-V764-W764,0)</f>
        <v>#VALUE!</v>
      </c>
      <c r="AG764" s="117" t="e">
        <f>ROUND(J764-Y764-Z764-AA764-AC764-AB764,0)</f>
        <v>#VALUE!</v>
      </c>
      <c r="AH764" s="116"/>
      <c r="AI764">
        <f t="shared" si="354"/>
        <v>926</v>
      </c>
      <c r="AJ764" t="str">
        <f t="shared" si="346"/>
        <v>CN</v>
      </c>
      <c r="AK764" t="str">
        <f>IF(ISERROR(MATCH(AI764&amp;"."&amp;AJ764,AK$91:AK763,0)),AI764&amp;"."&amp;AJ764,AI764&amp;"."&amp;AJ764&amp;COUNTIFS(AI$91:AI763,AI764,AJ$91:AJ763,AJ764))</f>
        <v>926.CN</v>
      </c>
    </row>
    <row r="765" spans="1:37" ht="15" hidden="1">
      <c r="A765" s="120">
        <f>ROW()</f>
        <v>765</v>
      </c>
      <c r="B765" s="120"/>
      <c r="C765" s="1"/>
      <c r="E765" s="121" t="s">
        <v>136</v>
      </c>
      <c r="F765" s="138" t="str">
        <f>INDEX(FuncAllocOptions,ROW(A765)-ROW($A$92)+1,[4]Inputs!$S$11)</f>
        <v>LABOR</v>
      </c>
      <c r="G765" s="133" t="e">
        <f>SUMIF(FERCJAMFactor,AK765,JAMValue)</f>
        <v>#VALUE!</v>
      </c>
      <c r="H765" s="139" t="e">
        <f t="shared" si="360"/>
        <v>#VALUE!</v>
      </c>
      <c r="I765" s="139" t="e">
        <f t="shared" si="360"/>
        <v>#VALUE!</v>
      </c>
      <c r="J765" s="139" t="e">
        <f t="shared" si="360"/>
        <v>#VALUE!</v>
      </c>
      <c r="K765" s="139" t="e">
        <f t="shared" si="360"/>
        <v>#VALUE!</v>
      </c>
      <c r="L765" s="139" t="e">
        <f t="shared" si="360"/>
        <v>#VALUE!</v>
      </c>
      <c r="N765" s="108">
        <v>0.75</v>
      </c>
      <c r="O765" s="116" t="e">
        <f>$H765*$N765*$M765</f>
        <v>#VALUE!</v>
      </c>
      <c r="P765" s="116" t="e">
        <f>$H765*(1-$N765)*$M765</f>
        <v>#VALUE!</v>
      </c>
      <c r="Q765" s="116" t="e">
        <f>$H765*$N765*(1-$M765)</f>
        <v>#VALUE!</v>
      </c>
      <c r="R765" s="116" t="e">
        <f>$H765*(1-$N765)*(1-$M765)</f>
        <v>#VALUE!</v>
      </c>
      <c r="S765" s="108">
        <v>0.75</v>
      </c>
      <c r="T765" s="116" t="e">
        <f>$I765*$S765*$M765</f>
        <v>#VALUE!</v>
      </c>
      <c r="U765" s="116" t="e">
        <f>$I765*(1-$S765)*$M765</f>
        <v>#VALUE!</v>
      </c>
      <c r="V765" s="116" t="e">
        <f>$I765*$S765*(1-$M765)</f>
        <v>#VALUE!</v>
      </c>
      <c r="W765" s="116" t="e">
        <f>$I765*(1-$S765)*(1-$M765)</f>
        <v>#VALUE!</v>
      </c>
      <c r="X765" s="3" t="str">
        <f>INDEX(DistFuncAllocOptions,ROW(A765)-ROW($A$92)+1,[4]Inputs!$S$11)</f>
        <v>DISom</v>
      </c>
      <c r="Y765" s="116" t="e">
        <f t="shared" si="361"/>
        <v>#VALUE!</v>
      </c>
      <c r="Z765" s="116" t="e">
        <f t="shared" si="361"/>
        <v>#VALUE!</v>
      </c>
      <c r="AA765" s="116" t="e">
        <f t="shared" si="361"/>
        <v>#VALUE!</v>
      </c>
      <c r="AB765" s="116" t="e">
        <f t="shared" si="361"/>
        <v>#VALUE!</v>
      </c>
      <c r="AC765" s="116" t="e">
        <f t="shared" si="361"/>
        <v>#VALUE!</v>
      </c>
      <c r="AD765" s="117" t="e">
        <f>ROUND(SUM(-G765,H765:L765),0)</f>
        <v>#VALUE!</v>
      </c>
      <c r="AE765" s="117" t="e">
        <f>ROUND(H765-O765-P765-Q765-R765,0)</f>
        <v>#VALUE!</v>
      </c>
      <c r="AF765" s="117" t="e">
        <f>ROUND(I765-T765-U765-V765-W765,0)</f>
        <v>#VALUE!</v>
      </c>
      <c r="AG765" s="117" t="e">
        <f>ROUND(J765-Y765-Z765-AA765-AC765-AB765,0)</f>
        <v>#VALUE!</v>
      </c>
      <c r="AH765" s="116"/>
      <c r="AI765">
        <f t="shared" si="354"/>
        <v>926</v>
      </c>
      <c r="AJ765" t="str">
        <f t="shared" si="346"/>
        <v>SO</v>
      </c>
      <c r="AK765" t="str">
        <f>IF(ISERROR(MATCH(AI765&amp;"."&amp;AJ765,AK$91:AK764,0)),AI765&amp;"."&amp;AJ765,AI765&amp;"."&amp;AJ765&amp;COUNTIFS(AI$91:AI764,AI765,AJ$91:AJ764,AJ765))</f>
        <v>926.SO</v>
      </c>
    </row>
    <row r="766" spans="1:37" ht="15" hidden="1">
      <c r="A766" s="120">
        <f>ROW()</f>
        <v>766</v>
      </c>
      <c r="B766" s="120"/>
      <c r="C766" s="1"/>
      <c r="E766" s="121"/>
      <c r="F766" s="138"/>
      <c r="G766" s="117" t="e">
        <f t="shared" ref="G766:L766" si="362">SUM(G763:G765)</f>
        <v>#VALUE!</v>
      </c>
      <c r="H766" s="116" t="e">
        <f t="shared" si="362"/>
        <v>#VALUE!</v>
      </c>
      <c r="I766" s="116" t="e">
        <f t="shared" si="362"/>
        <v>#VALUE!</v>
      </c>
      <c r="J766" s="116" t="e">
        <f t="shared" si="362"/>
        <v>#VALUE!</v>
      </c>
      <c r="K766" s="116" t="e">
        <f t="shared" si="362"/>
        <v>#VALUE!</v>
      </c>
      <c r="L766" s="116" t="e">
        <f t="shared" si="362"/>
        <v>#VALUE!</v>
      </c>
      <c r="O766" s="116" t="e">
        <f>SUM(O763:O765)</f>
        <v>#VALUE!</v>
      </c>
      <c r="P766" s="116" t="e">
        <f>SUM(P763:P765)</f>
        <v>#VALUE!</v>
      </c>
      <c r="Q766" s="116" t="e">
        <f>SUM(Q763:Q765)</f>
        <v>#VALUE!</v>
      </c>
      <c r="R766" s="116" t="e">
        <f>SUM(R763:R765)</f>
        <v>#VALUE!</v>
      </c>
      <c r="T766" s="116" t="e">
        <f>SUM(T763:T765)</f>
        <v>#VALUE!</v>
      </c>
      <c r="U766" s="116" t="e">
        <f>SUM(U763:U765)</f>
        <v>#VALUE!</v>
      </c>
      <c r="V766" s="116" t="e">
        <f>SUM(V763:V765)</f>
        <v>#VALUE!</v>
      </c>
      <c r="W766" s="116" t="e">
        <f>SUM(W763:W765)</f>
        <v>#VALUE!</v>
      </c>
      <c r="X766" s="3"/>
      <c r="Y766" s="116" t="e">
        <f>SUM(Y763:Y765)</f>
        <v>#VALUE!</v>
      </c>
      <c r="Z766" s="116" t="e">
        <f>SUM(Z763:Z765)</f>
        <v>#VALUE!</v>
      </c>
      <c r="AA766" s="116" t="e">
        <f>SUM(AA763:AA765)</f>
        <v>#VALUE!</v>
      </c>
      <c r="AB766" s="116" t="e">
        <f>SUM(AB763:AB765)</f>
        <v>#VALUE!</v>
      </c>
      <c r="AC766" s="116" t="e">
        <f>SUM(AC763:AC765)</f>
        <v>#VALUE!</v>
      </c>
      <c r="AD766" s="117" t="e">
        <f>ROUND(SUM(-G766,H766:L766),0)</f>
        <v>#VALUE!</v>
      </c>
      <c r="AE766" s="117" t="e">
        <f>ROUND(H766-O766-P766-Q766-R766,0)</f>
        <v>#VALUE!</v>
      </c>
      <c r="AF766" s="117" t="e">
        <f>ROUND(I766-T766-U766-V766-W766,0)</f>
        <v>#VALUE!</v>
      </c>
      <c r="AG766" s="117" t="e">
        <f>ROUND(J766-Y766-Z766-AA766-AC766-AB766,0)</f>
        <v>#VALUE!</v>
      </c>
      <c r="AH766" s="116"/>
      <c r="AI766">
        <f t="shared" si="354"/>
        <v>926</v>
      </c>
      <c r="AJ766" t="str">
        <f t="shared" si="346"/>
        <v>NA</v>
      </c>
      <c r="AK766" t="str">
        <f>IF(ISERROR(MATCH(AI766&amp;"."&amp;AJ766,AK$91:AK765,0)),AI766&amp;"."&amp;AJ766,AI766&amp;"."&amp;AJ766&amp;COUNTIFS(AI$91:AI765,AI766,AJ$91:AJ765,AJ766))</f>
        <v>926.NA1</v>
      </c>
    </row>
    <row r="767" spans="1:37" ht="15" hidden="1">
      <c r="A767" s="120">
        <f>ROW()</f>
        <v>767</v>
      </c>
      <c r="B767" s="120"/>
      <c r="C767" s="1"/>
      <c r="E767" s="121"/>
      <c r="F767" s="138"/>
      <c r="G767" s="119"/>
      <c r="X767" s="3"/>
      <c r="AD767" s="119"/>
      <c r="AE767" s="119"/>
      <c r="AF767" s="119"/>
      <c r="AG767" s="119"/>
      <c r="AI767">
        <f t="shared" si="354"/>
        <v>926</v>
      </c>
      <c r="AJ767" t="str">
        <f t="shared" si="346"/>
        <v>NA</v>
      </c>
      <c r="AK767" t="str">
        <f>IF(ISERROR(MATCH(AI767&amp;"."&amp;AJ767,AK$91:AK766,0)),AI767&amp;"."&amp;AJ767,AI767&amp;"."&amp;AJ767&amp;COUNTIFS(AI$91:AI766,AI767,AJ$91:AJ766,AJ767))</f>
        <v>926.NA2</v>
      </c>
    </row>
    <row r="768" spans="1:37" ht="15" hidden="1">
      <c r="A768" s="120">
        <f>ROW()</f>
        <v>768</v>
      </c>
      <c r="B768" s="120"/>
      <c r="C768" s="1">
        <v>927</v>
      </c>
      <c r="D768" s="2" t="s">
        <v>362</v>
      </c>
      <c r="E768" s="121"/>
      <c r="F768" s="138"/>
      <c r="G768" s="119"/>
      <c r="X768" s="3"/>
      <c r="AD768" s="119"/>
      <c r="AE768" s="119"/>
      <c r="AF768" s="119"/>
      <c r="AG768" s="119"/>
      <c r="AI768">
        <f t="shared" si="354"/>
        <v>927</v>
      </c>
      <c r="AJ768" t="str">
        <f t="shared" si="346"/>
        <v>NA</v>
      </c>
      <c r="AK768" t="str">
        <f>IF(ISERROR(MATCH(AI768&amp;"."&amp;AJ768,AK$91:AK767,0)),AI768&amp;"."&amp;AJ768,AI768&amp;"."&amp;AJ768&amp;COUNTIFS(AI$91:AI767,AI768,AJ$91:AJ767,AJ768))</f>
        <v>927.NA</v>
      </c>
    </row>
    <row r="769" spans="1:37" ht="15" hidden="1">
      <c r="A769" s="120">
        <f>ROW()</f>
        <v>769</v>
      </c>
      <c r="B769" s="120"/>
      <c r="C769" s="1"/>
      <c r="E769" s="121" t="s">
        <v>12</v>
      </c>
      <c r="F769" s="138" t="str">
        <f>INDEX(FuncAllocOptions,ROW(A769)-ROW($A$92)+1,[4]Inputs!$S$11)</f>
        <v>DMSC</v>
      </c>
      <c r="G769" s="117" t="e">
        <f>SUMIF(FERCJAMFactor,AK769,JAMValue)</f>
        <v>#VALUE!</v>
      </c>
      <c r="H769" s="116" t="e">
        <f t="shared" ref="H769:L770" si="363">INDEX(FuncFactorTbl,MATCH($F769,FuncFactors,0),MATCH(H$8,Functions,0))*$G769</f>
        <v>#VALUE!</v>
      </c>
      <c r="I769" s="116" t="e">
        <f t="shared" si="363"/>
        <v>#VALUE!</v>
      </c>
      <c r="J769" s="116" t="e">
        <f t="shared" si="363"/>
        <v>#VALUE!</v>
      </c>
      <c r="K769" s="116" t="e">
        <f t="shared" si="363"/>
        <v>#VALUE!</v>
      </c>
      <c r="L769" s="116" t="e">
        <f t="shared" si="363"/>
        <v>#VALUE!</v>
      </c>
      <c r="N769" s="108">
        <v>0.75</v>
      </c>
      <c r="O769" s="116" t="e">
        <f>$H769*$N769*$M769</f>
        <v>#VALUE!</v>
      </c>
      <c r="P769" s="116" t="e">
        <f>$H769*(1-$N769)*$M769</f>
        <v>#VALUE!</v>
      </c>
      <c r="Q769" s="116" t="e">
        <f>$H769*$N769*(1-$M769)</f>
        <v>#VALUE!</v>
      </c>
      <c r="R769" s="116" t="e">
        <f>$H769*(1-$N769)*(1-$M769)</f>
        <v>#VALUE!</v>
      </c>
      <c r="S769" s="108">
        <v>0.75</v>
      </c>
      <c r="T769" s="116" t="e">
        <f>$I769*$S769*$M769</f>
        <v>#VALUE!</v>
      </c>
      <c r="U769" s="116" t="e">
        <f>$I769*(1-$S769)*$M769</f>
        <v>#VALUE!</v>
      </c>
      <c r="V769" s="116" t="e">
        <f>$I769*$S769*(1-$M769)</f>
        <v>#VALUE!</v>
      </c>
      <c r="W769" s="116" t="e">
        <f>$I769*(1-$S769)*(1-$M769)</f>
        <v>#VALUE!</v>
      </c>
      <c r="X769" s="3" t="str">
        <f>INDEX(DistFuncAllocOptions,ROW(A769)-ROW($A$92)+1,[4]Inputs!$S$11)</f>
        <v>MISC</v>
      </c>
      <c r="Y769" s="116" t="e">
        <f t="shared" ref="Y769:AC770" si="364">INDEX(DistFuncFactorTbl,MATCH($X769,DistFuncFactors,0),MATCH(Y$91,DistFunctions,0))*$J769</f>
        <v>#VALUE!</v>
      </c>
      <c r="Z769" s="116" t="e">
        <f t="shared" si="364"/>
        <v>#VALUE!</v>
      </c>
      <c r="AA769" s="116" t="e">
        <f t="shared" si="364"/>
        <v>#VALUE!</v>
      </c>
      <c r="AB769" s="116" t="e">
        <f t="shared" si="364"/>
        <v>#VALUE!</v>
      </c>
      <c r="AC769" s="116" t="e">
        <f t="shared" si="364"/>
        <v>#VALUE!</v>
      </c>
      <c r="AD769" s="117" t="e">
        <f>ROUND(SUM(-G769,H769:L769),0)</f>
        <v>#VALUE!</v>
      </c>
      <c r="AE769" s="117" t="e">
        <f>ROUND(H769-O769-P769-Q769-R769,0)</f>
        <v>#VALUE!</v>
      </c>
      <c r="AF769" s="117" t="e">
        <f>ROUND(I769-T769-U769-V769-W769,0)</f>
        <v>#VALUE!</v>
      </c>
      <c r="AG769" s="117" t="e">
        <f>ROUND(J769-Y769-Z769-AA769-AC769-AB769,0)</f>
        <v>#VALUE!</v>
      </c>
      <c r="AH769" s="116"/>
      <c r="AI769">
        <f t="shared" si="354"/>
        <v>927</v>
      </c>
      <c r="AJ769" t="str">
        <f t="shared" si="346"/>
        <v>S</v>
      </c>
      <c r="AK769" t="str">
        <f>IF(ISERROR(MATCH(AI769&amp;"."&amp;AJ769,AK$91:AK768,0)),AI769&amp;"."&amp;AJ769,AI769&amp;"."&amp;AJ769&amp;COUNTIFS(AI$91:AI768,AI769,AJ$91:AJ768,AJ769))</f>
        <v>927.S</v>
      </c>
    </row>
    <row r="770" spans="1:37" ht="15" hidden="1">
      <c r="A770" s="120">
        <f>ROW()</f>
        <v>770</v>
      </c>
      <c r="B770" s="120"/>
      <c r="C770" s="1"/>
      <c r="E770" s="121" t="s">
        <v>136</v>
      </c>
      <c r="F770" s="138" t="str">
        <f>INDEX(FuncAllocOptions,ROW(A770)-ROW($A$92)+1,[4]Inputs!$S$11)</f>
        <v>DMSC</v>
      </c>
      <c r="G770" s="133" t="e">
        <f>SUMIF(FERCJAMFactor,AK770,JAMValue)</f>
        <v>#VALUE!</v>
      </c>
      <c r="H770" s="139" t="e">
        <f t="shared" si="363"/>
        <v>#VALUE!</v>
      </c>
      <c r="I770" s="139" t="e">
        <f t="shared" si="363"/>
        <v>#VALUE!</v>
      </c>
      <c r="J770" s="139" t="e">
        <f t="shared" si="363"/>
        <v>#VALUE!</v>
      </c>
      <c r="K770" s="139" t="e">
        <f t="shared" si="363"/>
        <v>#VALUE!</v>
      </c>
      <c r="L770" s="139" t="e">
        <f t="shared" si="363"/>
        <v>#VALUE!</v>
      </c>
      <c r="N770" s="108">
        <v>0.75</v>
      </c>
      <c r="O770" s="116" t="e">
        <f>$H770*$N770*$M770</f>
        <v>#VALUE!</v>
      </c>
      <c r="P770" s="116" t="e">
        <f>$H770*(1-$N770)*$M770</f>
        <v>#VALUE!</v>
      </c>
      <c r="Q770" s="116" t="e">
        <f>$H770*$N770*(1-$M770)</f>
        <v>#VALUE!</v>
      </c>
      <c r="R770" s="116" t="e">
        <f>$H770*(1-$N770)*(1-$M770)</f>
        <v>#VALUE!</v>
      </c>
      <c r="S770" s="108">
        <v>0.75</v>
      </c>
      <c r="T770" s="116" t="e">
        <f>$I770*$S770*$M770</f>
        <v>#VALUE!</v>
      </c>
      <c r="U770" s="116" t="e">
        <f>$I770*(1-$S770)*$M770</f>
        <v>#VALUE!</v>
      </c>
      <c r="V770" s="116" t="e">
        <f>$I770*$S770*(1-$M770)</f>
        <v>#VALUE!</v>
      </c>
      <c r="W770" s="116" t="e">
        <f>$I770*(1-$S770)*(1-$M770)</f>
        <v>#VALUE!</v>
      </c>
      <c r="X770" s="3" t="str">
        <f>INDEX(DistFuncAllocOptions,ROW(A770)-ROW($A$92)+1,[4]Inputs!$S$11)</f>
        <v>MISC</v>
      </c>
      <c r="Y770" s="116" t="e">
        <f t="shared" si="364"/>
        <v>#VALUE!</v>
      </c>
      <c r="Z770" s="116" t="e">
        <f t="shared" si="364"/>
        <v>#VALUE!</v>
      </c>
      <c r="AA770" s="116" t="e">
        <f t="shared" si="364"/>
        <v>#VALUE!</v>
      </c>
      <c r="AB770" s="116" t="e">
        <f t="shared" si="364"/>
        <v>#VALUE!</v>
      </c>
      <c r="AC770" s="116" t="e">
        <f t="shared" si="364"/>
        <v>#VALUE!</v>
      </c>
      <c r="AD770" s="117" t="e">
        <f>ROUND(SUM(-G770,H770:L770),0)</f>
        <v>#VALUE!</v>
      </c>
      <c r="AE770" s="117" t="e">
        <f>ROUND(H770-O770-P770-Q770-R770,0)</f>
        <v>#VALUE!</v>
      </c>
      <c r="AF770" s="117" t="e">
        <f>ROUND(I770-T770-U770-V770-W770,0)</f>
        <v>#VALUE!</v>
      </c>
      <c r="AG770" s="117" t="e">
        <f>ROUND(J770-Y770-Z770-AA770-AC770-AB770,0)</f>
        <v>#VALUE!</v>
      </c>
      <c r="AH770" s="116"/>
      <c r="AI770">
        <f t="shared" si="354"/>
        <v>927</v>
      </c>
      <c r="AJ770" t="str">
        <f t="shared" si="346"/>
        <v>SO</v>
      </c>
      <c r="AK770" t="str">
        <f>IF(ISERROR(MATCH(AI770&amp;"."&amp;AJ770,AK$91:AK769,0)),AI770&amp;"."&amp;AJ770,AI770&amp;"."&amp;AJ770&amp;COUNTIFS(AI$91:AI769,AI770,AJ$91:AJ769,AJ770))</f>
        <v>927.SO</v>
      </c>
    </row>
    <row r="771" spans="1:37" ht="15" hidden="1">
      <c r="A771" s="120">
        <f>ROW()</f>
        <v>771</v>
      </c>
      <c r="B771" s="120"/>
      <c r="C771" s="1"/>
      <c r="E771" s="121"/>
      <c r="F771" s="138"/>
      <c r="G771" s="117" t="e">
        <f t="shared" ref="G771:L771" si="365">SUM(G769:G770)</f>
        <v>#VALUE!</v>
      </c>
      <c r="H771" s="116" t="e">
        <f t="shared" si="365"/>
        <v>#VALUE!</v>
      </c>
      <c r="I771" s="116" t="e">
        <f t="shared" si="365"/>
        <v>#VALUE!</v>
      </c>
      <c r="J771" s="116" t="e">
        <f t="shared" si="365"/>
        <v>#VALUE!</v>
      </c>
      <c r="K771" s="116" t="e">
        <f t="shared" si="365"/>
        <v>#VALUE!</v>
      </c>
      <c r="L771" s="116" t="e">
        <f t="shared" si="365"/>
        <v>#VALUE!</v>
      </c>
      <c r="O771" s="116" t="e">
        <f>SUM(O769:O770)</f>
        <v>#VALUE!</v>
      </c>
      <c r="P771" s="116" t="e">
        <f>SUM(P769:P770)</f>
        <v>#VALUE!</v>
      </c>
      <c r="Q771" s="116" t="e">
        <f>SUM(Q769:Q770)</f>
        <v>#VALUE!</v>
      </c>
      <c r="R771" s="116" t="e">
        <f>SUM(R769:R770)</f>
        <v>#VALUE!</v>
      </c>
      <c r="T771" s="116" t="e">
        <f>SUM(T769:T770)</f>
        <v>#VALUE!</v>
      </c>
      <c r="U771" s="116" t="e">
        <f>SUM(U769:U770)</f>
        <v>#VALUE!</v>
      </c>
      <c r="V771" s="116" t="e">
        <f>SUM(V769:V770)</f>
        <v>#VALUE!</v>
      </c>
      <c r="W771" s="116" t="e">
        <f>SUM(W769:W770)</f>
        <v>#VALUE!</v>
      </c>
      <c r="X771" s="3"/>
      <c r="Y771" s="116" t="e">
        <f>SUM(Y769:Y770)</f>
        <v>#VALUE!</v>
      </c>
      <c r="Z771" s="116" t="e">
        <f>SUM(Z769:Z770)</f>
        <v>#VALUE!</v>
      </c>
      <c r="AA771" s="116" t="e">
        <f>SUM(AA769:AA770)</f>
        <v>#VALUE!</v>
      </c>
      <c r="AB771" s="116" t="e">
        <f>SUM(AB769:AB770)</f>
        <v>#VALUE!</v>
      </c>
      <c r="AC771" s="116" t="e">
        <f>SUM(AC769:AC770)</f>
        <v>#VALUE!</v>
      </c>
      <c r="AD771" s="117" t="e">
        <f>ROUND(SUM(-G771,H771:L771),0)</f>
        <v>#VALUE!</v>
      </c>
      <c r="AE771" s="117" t="e">
        <f>ROUND(H771-O771-P771-Q771-R771,0)</f>
        <v>#VALUE!</v>
      </c>
      <c r="AF771" s="117" t="e">
        <f>ROUND(I771-T771-U771-V771-W771,0)</f>
        <v>#VALUE!</v>
      </c>
      <c r="AG771" s="117" t="e">
        <f>ROUND(J771-Y771-Z771-AA771-AC771-AB771,0)</f>
        <v>#VALUE!</v>
      </c>
      <c r="AH771" s="116"/>
      <c r="AI771">
        <f t="shared" si="354"/>
        <v>927</v>
      </c>
      <c r="AJ771" t="str">
        <f t="shared" si="346"/>
        <v>NA</v>
      </c>
      <c r="AK771" t="str">
        <f>IF(ISERROR(MATCH(AI771&amp;"."&amp;AJ771,AK$91:AK770,0)),AI771&amp;"."&amp;AJ771,AI771&amp;"."&amp;AJ771&amp;COUNTIFS(AI$91:AI770,AI771,AJ$91:AJ770,AJ771))</f>
        <v>927.NA1</v>
      </c>
    </row>
    <row r="772" spans="1:37" ht="15" hidden="1">
      <c r="A772" s="120">
        <f>ROW()</f>
        <v>772</v>
      </c>
      <c r="B772" s="120"/>
      <c r="C772" s="1"/>
      <c r="E772" s="121"/>
      <c r="F772" s="138"/>
      <c r="G772" s="119"/>
      <c r="X772" s="3"/>
      <c r="AD772" s="119"/>
      <c r="AE772" s="119"/>
      <c r="AF772" s="119"/>
      <c r="AG772" s="119"/>
      <c r="AI772">
        <f t="shared" si="354"/>
        <v>927</v>
      </c>
      <c r="AJ772" t="str">
        <f t="shared" si="346"/>
        <v>NA</v>
      </c>
      <c r="AK772" t="str">
        <f>IF(ISERROR(MATCH(AI772&amp;"."&amp;AJ772,AK$91:AK771,0)),AI772&amp;"."&amp;AJ772,AI772&amp;"."&amp;AJ772&amp;COUNTIFS(AI$91:AI771,AI772,AJ$91:AJ771,AJ772))</f>
        <v>927.NA2</v>
      </c>
    </row>
    <row r="773" spans="1:37" ht="15" hidden="1">
      <c r="A773" s="120">
        <f>ROW()</f>
        <v>773</v>
      </c>
      <c r="B773" s="120"/>
      <c r="C773" s="1">
        <v>928</v>
      </c>
      <c r="D773" s="2" t="s">
        <v>363</v>
      </c>
      <c r="E773" s="121"/>
      <c r="F773" s="138"/>
      <c r="G773" s="119"/>
      <c r="X773" s="3"/>
      <c r="AD773" s="119"/>
      <c r="AE773" s="119"/>
      <c r="AF773" s="119"/>
      <c r="AG773" s="119"/>
      <c r="AI773">
        <f t="shared" si="354"/>
        <v>928</v>
      </c>
      <c r="AJ773" t="str">
        <f t="shared" si="346"/>
        <v>NA</v>
      </c>
      <c r="AK773" t="str">
        <f>IF(ISERROR(MATCH(AI773&amp;"."&amp;AJ773,AK$91:AK772,0)),AI773&amp;"."&amp;AJ773,AI773&amp;"."&amp;AJ773&amp;COUNTIFS(AI$91:AI772,AI773,AJ$91:AJ772,AJ773))</f>
        <v>928.NA</v>
      </c>
    </row>
    <row r="774" spans="1:37" ht="15" hidden="1">
      <c r="A774" s="120">
        <f>ROW()</f>
        <v>774</v>
      </c>
      <c r="B774" s="120"/>
      <c r="C774" s="1"/>
      <c r="E774" s="121" t="s">
        <v>12</v>
      </c>
      <c r="F774" s="138" t="str">
        <f>INDEX(FuncAllocOptions,ROW(A774)-ROW($A$92)+1,[4]Inputs!$S$11)</f>
        <v>DMSC</v>
      </c>
      <c r="G774" s="117" t="e">
        <f>SUMIF(FERCJAMFactor,AK774,JAMValue)</f>
        <v>#VALUE!</v>
      </c>
      <c r="H774" s="116" t="e">
        <f t="shared" ref="H774:L777" si="366">INDEX(FuncFactorTbl,MATCH($F774,FuncFactors,0),MATCH(H$8,Functions,0))*$G774</f>
        <v>#VALUE!</v>
      </c>
      <c r="I774" s="116" t="e">
        <f t="shared" si="366"/>
        <v>#VALUE!</v>
      </c>
      <c r="J774" s="116" t="e">
        <f t="shared" si="366"/>
        <v>#VALUE!</v>
      </c>
      <c r="K774" s="116" t="e">
        <f t="shared" si="366"/>
        <v>#VALUE!</v>
      </c>
      <c r="L774" s="116" t="e">
        <f t="shared" si="366"/>
        <v>#VALUE!</v>
      </c>
      <c r="N774" s="108">
        <v>0.75</v>
      </c>
      <c r="O774" s="116" t="e">
        <f>$H774*$N774*$M774</f>
        <v>#VALUE!</v>
      </c>
      <c r="P774" s="116" t="e">
        <f>$H774*(1-$N774)*$M774</f>
        <v>#VALUE!</v>
      </c>
      <c r="Q774" s="116" t="e">
        <f>$H774*$N774*(1-$M774)</f>
        <v>#VALUE!</v>
      </c>
      <c r="R774" s="116" t="e">
        <f>$H774*(1-$N774)*(1-$M774)</f>
        <v>#VALUE!</v>
      </c>
      <c r="S774" s="108">
        <v>0.75</v>
      </c>
      <c r="T774" s="116" t="e">
        <f>$I774*$S774*$M774</f>
        <v>#VALUE!</v>
      </c>
      <c r="U774" s="116" t="e">
        <f>$I774*(1-$S774)*$M774</f>
        <v>#VALUE!</v>
      </c>
      <c r="V774" s="116" t="e">
        <f>$I774*$S774*(1-$M774)</f>
        <v>#VALUE!</v>
      </c>
      <c r="W774" s="116" t="e">
        <f>$I774*(1-$S774)*(1-$M774)</f>
        <v>#VALUE!</v>
      </c>
      <c r="X774" s="3" t="str">
        <f>INDEX(DistFuncAllocOptions,ROW(A774)-ROW($A$92)+1,[4]Inputs!$S$11)</f>
        <v>MISC</v>
      </c>
      <c r="Y774" s="116" t="e">
        <f t="shared" ref="Y774:AC777" si="367">INDEX(DistFuncFactorTbl,MATCH($X774,DistFuncFactors,0),MATCH(Y$91,DistFunctions,0))*$J774</f>
        <v>#VALUE!</v>
      </c>
      <c r="Z774" s="116" t="e">
        <f t="shared" si="367"/>
        <v>#VALUE!</v>
      </c>
      <c r="AA774" s="116" t="e">
        <f t="shared" si="367"/>
        <v>#VALUE!</v>
      </c>
      <c r="AB774" s="116" t="e">
        <f t="shared" si="367"/>
        <v>#VALUE!</v>
      </c>
      <c r="AC774" s="116" t="e">
        <f t="shared" si="367"/>
        <v>#VALUE!</v>
      </c>
      <c r="AD774" s="117" t="e">
        <f>ROUND(SUM(-G774,H774:L774),0)</f>
        <v>#VALUE!</v>
      </c>
      <c r="AE774" s="117" t="e">
        <f>ROUND(H774-O774-P774-Q774-R774,0)</f>
        <v>#VALUE!</v>
      </c>
      <c r="AF774" s="117" t="e">
        <f>ROUND(I774-T774-U774-V774-W774,0)</f>
        <v>#VALUE!</v>
      </c>
      <c r="AG774" s="117" t="e">
        <f>ROUND(J774-Y774-Z774-AA774-AC774-AB774,0)</f>
        <v>#VALUE!</v>
      </c>
      <c r="AH774" s="116"/>
      <c r="AI774">
        <f t="shared" si="354"/>
        <v>928</v>
      </c>
      <c r="AJ774" t="str">
        <f t="shared" si="346"/>
        <v>S</v>
      </c>
      <c r="AK774" t="str">
        <f>IF(ISERROR(MATCH(AI774&amp;"."&amp;AJ774,AK$91:AK773,0)),AI774&amp;"."&amp;AJ774,AI774&amp;"."&amp;AJ774&amp;COUNTIFS(AI$91:AI773,AI774,AJ$91:AJ773,AJ774))</f>
        <v>928.S</v>
      </c>
    </row>
    <row r="775" spans="1:37" ht="15" hidden="1">
      <c r="A775" s="120">
        <f>ROW()</f>
        <v>775</v>
      </c>
      <c r="B775" s="120"/>
      <c r="C775" s="1"/>
      <c r="E775" s="121" t="s">
        <v>16</v>
      </c>
      <c r="F775" s="138" t="str">
        <f>INDEX(FuncAllocOptions,ROW(A775)-ROW($A$92)+1,[4]Inputs!$S$11)</f>
        <v>P</v>
      </c>
      <c r="G775" s="117" t="e">
        <f>SUMIF(FERCJAMFactor,AK775,JAMValue)</f>
        <v>#VALUE!</v>
      </c>
      <c r="H775" s="116" t="e">
        <f t="shared" si="366"/>
        <v>#VALUE!</v>
      </c>
      <c r="I775" s="116" t="e">
        <f t="shared" si="366"/>
        <v>#VALUE!</v>
      </c>
      <c r="J775" s="116" t="e">
        <f t="shared" si="366"/>
        <v>#VALUE!</v>
      </c>
      <c r="K775" s="116" t="e">
        <f t="shared" si="366"/>
        <v>#VALUE!</v>
      </c>
      <c r="L775" s="116" t="e">
        <f t="shared" si="366"/>
        <v>#VALUE!</v>
      </c>
      <c r="N775" s="108">
        <v>0.75</v>
      </c>
      <c r="O775" s="116" t="e">
        <f>$H775*$N775*$M775</f>
        <v>#VALUE!</v>
      </c>
      <c r="P775" s="116" t="e">
        <f>$H775*(1-$N775)*$M775</f>
        <v>#VALUE!</v>
      </c>
      <c r="Q775" s="116" t="e">
        <f>$H775*$N775*(1-$M775)</f>
        <v>#VALUE!</v>
      </c>
      <c r="R775" s="116" t="e">
        <f>$H775*(1-$N775)*(1-$M775)</f>
        <v>#VALUE!</v>
      </c>
      <c r="S775" s="108">
        <v>0.75</v>
      </c>
      <c r="T775" s="116" t="e">
        <f>$I775*$S775*$M775</f>
        <v>#VALUE!</v>
      </c>
      <c r="U775" s="116" t="e">
        <f>$I775*(1-$S775)*$M775</f>
        <v>#VALUE!</v>
      </c>
      <c r="V775" s="116" t="e">
        <f>$I775*$S775*(1-$M775)</f>
        <v>#VALUE!</v>
      </c>
      <c r="W775" s="116" t="e">
        <f>$I775*(1-$S775)*(1-$M775)</f>
        <v>#VALUE!</v>
      </c>
      <c r="X775" s="3" t="str">
        <f>INDEX(DistFuncAllocOptions,ROW(A775)-ROW($A$92)+1,[4]Inputs!$S$11)</f>
        <v>MISC</v>
      </c>
      <c r="Y775" s="116" t="e">
        <f t="shared" si="367"/>
        <v>#VALUE!</v>
      </c>
      <c r="Z775" s="116" t="e">
        <f t="shared" si="367"/>
        <v>#VALUE!</v>
      </c>
      <c r="AA775" s="116" t="e">
        <f t="shared" si="367"/>
        <v>#VALUE!</v>
      </c>
      <c r="AB775" s="116" t="e">
        <f t="shared" si="367"/>
        <v>#VALUE!</v>
      </c>
      <c r="AC775" s="116" t="e">
        <f t="shared" si="367"/>
        <v>#VALUE!</v>
      </c>
      <c r="AD775" s="117" t="e">
        <f>ROUND(SUM(-G775,H775:L775),0)</f>
        <v>#VALUE!</v>
      </c>
      <c r="AE775" s="117" t="e">
        <f>ROUND(H775-O775-P775-Q775-R775,0)</f>
        <v>#VALUE!</v>
      </c>
      <c r="AF775" s="117" t="e">
        <f>ROUND(I775-T775-U775-V775-W775,0)</f>
        <v>#VALUE!</v>
      </c>
      <c r="AG775" s="117" t="e">
        <f>ROUND(J775-Y775-Z775-AA775-AC775-AB775,0)</f>
        <v>#VALUE!</v>
      </c>
      <c r="AH775" s="116"/>
      <c r="AI775">
        <f t="shared" si="354"/>
        <v>928</v>
      </c>
      <c r="AJ775" t="str">
        <f t="shared" si="346"/>
        <v>SE</v>
      </c>
      <c r="AK775" t="str">
        <f>IF(ISERROR(MATCH(AI775&amp;"."&amp;AJ775,AK$91:AK774,0)),AI775&amp;"."&amp;AJ775,AI775&amp;"."&amp;AJ775&amp;COUNTIFS(AI$91:AI774,AI775,AJ$91:AJ774,AJ775))</f>
        <v>928.SE</v>
      </c>
    </row>
    <row r="776" spans="1:37" ht="15" hidden="1">
      <c r="A776" s="120">
        <f>ROW()</f>
        <v>776</v>
      </c>
      <c r="B776" s="120"/>
      <c r="C776" s="1"/>
      <c r="E776" s="121" t="s">
        <v>136</v>
      </c>
      <c r="F776" s="138" t="str">
        <f>INDEX(FuncAllocOptions,ROW(A776)-ROW($A$92)+1,[4]Inputs!$S$11)</f>
        <v>DMSC</v>
      </c>
      <c r="G776" s="117" t="e">
        <f>SUMIF(FERCJAMFactor,AK776,JAMValue)</f>
        <v>#VALUE!</v>
      </c>
      <c r="H776" s="116" t="e">
        <f t="shared" si="366"/>
        <v>#VALUE!</v>
      </c>
      <c r="I776" s="116" t="e">
        <f t="shared" si="366"/>
        <v>#VALUE!</v>
      </c>
      <c r="J776" s="116" t="e">
        <f t="shared" si="366"/>
        <v>#VALUE!</v>
      </c>
      <c r="K776" s="116" t="e">
        <f t="shared" si="366"/>
        <v>#VALUE!</v>
      </c>
      <c r="L776" s="116" t="e">
        <f t="shared" si="366"/>
        <v>#VALUE!</v>
      </c>
      <c r="N776" s="108">
        <v>0.75</v>
      </c>
      <c r="O776" s="116" t="e">
        <f>$H776*$N776*$M776</f>
        <v>#VALUE!</v>
      </c>
      <c r="P776" s="116" t="e">
        <f>$H776*(1-$N776)*$M776</f>
        <v>#VALUE!</v>
      </c>
      <c r="Q776" s="116" t="e">
        <f>$H776*$N776*(1-$M776)</f>
        <v>#VALUE!</v>
      </c>
      <c r="R776" s="116" t="e">
        <f>$H776*(1-$N776)*(1-$M776)</f>
        <v>#VALUE!</v>
      </c>
      <c r="S776" s="108">
        <v>0.75</v>
      </c>
      <c r="T776" s="116" t="e">
        <f>$I776*$S776*$M776</f>
        <v>#VALUE!</v>
      </c>
      <c r="U776" s="116" t="e">
        <f>$I776*(1-$S776)*$M776</f>
        <v>#VALUE!</v>
      </c>
      <c r="V776" s="116" t="e">
        <f>$I776*$S776*(1-$M776)</f>
        <v>#VALUE!</v>
      </c>
      <c r="W776" s="116" t="e">
        <f>$I776*(1-$S776)*(1-$M776)</f>
        <v>#VALUE!</v>
      </c>
      <c r="X776" s="3" t="str">
        <f>INDEX(DistFuncAllocOptions,ROW(A776)-ROW($A$92)+1,[4]Inputs!$S$11)</f>
        <v>MISC</v>
      </c>
      <c r="Y776" s="116" t="e">
        <f t="shared" si="367"/>
        <v>#VALUE!</v>
      </c>
      <c r="Z776" s="116" t="e">
        <f t="shared" si="367"/>
        <v>#VALUE!</v>
      </c>
      <c r="AA776" s="116" t="e">
        <f t="shared" si="367"/>
        <v>#VALUE!</v>
      </c>
      <c r="AB776" s="116" t="e">
        <f t="shared" si="367"/>
        <v>#VALUE!</v>
      </c>
      <c r="AC776" s="116" t="e">
        <f t="shared" si="367"/>
        <v>#VALUE!</v>
      </c>
      <c r="AD776" s="117" t="e">
        <f>ROUND(SUM(-G776,H776:L776),0)</f>
        <v>#VALUE!</v>
      </c>
      <c r="AE776" s="117" t="e">
        <f>ROUND(H776-O776-P776-Q776-R776,0)</f>
        <v>#VALUE!</v>
      </c>
      <c r="AF776" s="117" t="e">
        <f>ROUND(I776-T776-U776-V776-W776,0)</f>
        <v>#VALUE!</v>
      </c>
      <c r="AG776" s="117" t="e">
        <f>ROUND(J776-Y776-Z776-AA776-AC776-AB776,0)</f>
        <v>#VALUE!</v>
      </c>
      <c r="AH776" s="116"/>
      <c r="AI776">
        <f t="shared" si="354"/>
        <v>928</v>
      </c>
      <c r="AJ776" t="str">
        <f t="shared" si="346"/>
        <v>SO</v>
      </c>
      <c r="AK776" t="str">
        <f>IF(ISERROR(MATCH(AI776&amp;"."&amp;AJ776,AK$91:AK775,0)),AI776&amp;"."&amp;AJ776,AI776&amp;"."&amp;AJ776&amp;COUNTIFS(AI$91:AI775,AI776,AJ$91:AJ775,AJ776))</f>
        <v>928.SO</v>
      </c>
    </row>
    <row r="777" spans="1:37" ht="15" hidden="1">
      <c r="A777" s="120">
        <f>ROW()</f>
        <v>777</v>
      </c>
      <c r="B777" s="120"/>
      <c r="C777" s="1"/>
      <c r="E777" s="121" t="s">
        <v>15</v>
      </c>
      <c r="F777" s="138" t="str">
        <f>INDEX(FuncAllocOptions,ROW(A777)-ROW($A$92)+1,[4]Inputs!$S$11)</f>
        <v>FERC</v>
      </c>
      <c r="G777" s="133" t="e">
        <f>SUMIF(FERCJAMFactor,AK777,JAMValue)</f>
        <v>#VALUE!</v>
      </c>
      <c r="H777" s="139" t="e">
        <f t="shared" si="366"/>
        <v>#VALUE!</v>
      </c>
      <c r="I777" s="139" t="e">
        <f t="shared" si="366"/>
        <v>#VALUE!</v>
      </c>
      <c r="J777" s="139" t="e">
        <f t="shared" si="366"/>
        <v>#VALUE!</v>
      </c>
      <c r="K777" s="139" t="e">
        <f t="shared" si="366"/>
        <v>#VALUE!</v>
      </c>
      <c r="L777" s="139" t="e">
        <f t="shared" si="366"/>
        <v>#VALUE!</v>
      </c>
      <c r="N777" s="108">
        <v>0.75</v>
      </c>
      <c r="O777" s="116" t="e">
        <f>$H777*$N777*$M777</f>
        <v>#VALUE!</v>
      </c>
      <c r="P777" s="116" t="e">
        <f>$H777*(1-$N777)*$M777</f>
        <v>#VALUE!</v>
      </c>
      <c r="Q777" s="116" t="e">
        <f>$H777*$N777*(1-$M777)</f>
        <v>#VALUE!</v>
      </c>
      <c r="R777" s="116" t="e">
        <f>$H777*(1-$N777)*(1-$M777)</f>
        <v>#VALUE!</v>
      </c>
      <c r="S777" s="108">
        <v>0.75</v>
      </c>
      <c r="T777" s="116" t="e">
        <f>$I777*$S777*$M777</f>
        <v>#VALUE!</v>
      </c>
      <c r="U777" s="116" t="e">
        <f>$I777*(1-$S777)*$M777</f>
        <v>#VALUE!</v>
      </c>
      <c r="V777" s="116" t="e">
        <f>$I777*$S777*(1-$M777)</f>
        <v>#VALUE!</v>
      </c>
      <c r="W777" s="116" t="e">
        <f>$I777*(1-$S777)*(1-$M777)</f>
        <v>#VALUE!</v>
      </c>
      <c r="X777" s="3" t="str">
        <f>INDEX(DistFuncAllocOptions,ROW(A777)-ROW($A$92)+1,[4]Inputs!$S$11)</f>
        <v>MISC</v>
      </c>
      <c r="Y777" s="116" t="e">
        <f t="shared" si="367"/>
        <v>#VALUE!</v>
      </c>
      <c r="Z777" s="116" t="e">
        <f t="shared" si="367"/>
        <v>#VALUE!</v>
      </c>
      <c r="AA777" s="116" t="e">
        <f t="shared" si="367"/>
        <v>#VALUE!</v>
      </c>
      <c r="AB777" s="116" t="e">
        <f t="shared" si="367"/>
        <v>#VALUE!</v>
      </c>
      <c r="AC777" s="116" t="e">
        <f t="shared" si="367"/>
        <v>#VALUE!</v>
      </c>
      <c r="AD777" s="117" t="e">
        <f>ROUND(SUM(-G777,H777:L777),0)</f>
        <v>#VALUE!</v>
      </c>
      <c r="AE777" s="117" t="e">
        <f>ROUND(H777-O777-P777-Q777-R777,0)</f>
        <v>#VALUE!</v>
      </c>
      <c r="AF777" s="117" t="e">
        <f>ROUND(I777-T777-U777-V777-W777,0)</f>
        <v>#VALUE!</v>
      </c>
      <c r="AG777" s="117" t="e">
        <f>ROUND(J777-Y777-Z777-AA777-AC777-AB777,0)</f>
        <v>#VALUE!</v>
      </c>
      <c r="AH777" s="116"/>
      <c r="AI777">
        <f t="shared" si="354"/>
        <v>928</v>
      </c>
      <c r="AJ777" t="str">
        <f t="shared" si="346"/>
        <v>SG</v>
      </c>
      <c r="AK777" t="str">
        <f>IF(ISERROR(MATCH(AI777&amp;"."&amp;AJ777,AK$91:AK776,0)),AI777&amp;"."&amp;AJ777,AI777&amp;"."&amp;AJ777&amp;COUNTIFS(AI$91:AI776,AI777,AJ$91:AJ776,AJ777))</f>
        <v>928.SG</v>
      </c>
    </row>
    <row r="778" spans="1:37" ht="15" hidden="1">
      <c r="A778" s="120">
        <f>ROW()</f>
        <v>778</v>
      </c>
      <c r="B778" s="120"/>
      <c r="C778" s="1"/>
      <c r="E778" s="121"/>
      <c r="F778" s="138"/>
      <c r="G778" s="117" t="e">
        <f t="shared" ref="G778:L778" si="368">SUM(G774:G777)</f>
        <v>#VALUE!</v>
      </c>
      <c r="H778" s="116" t="e">
        <f t="shared" si="368"/>
        <v>#VALUE!</v>
      </c>
      <c r="I778" s="116" t="e">
        <f t="shared" si="368"/>
        <v>#VALUE!</v>
      </c>
      <c r="J778" s="116" t="e">
        <f t="shared" si="368"/>
        <v>#VALUE!</v>
      </c>
      <c r="K778" s="116" t="e">
        <f t="shared" si="368"/>
        <v>#VALUE!</v>
      </c>
      <c r="L778" s="116" t="e">
        <f t="shared" si="368"/>
        <v>#VALUE!</v>
      </c>
      <c r="O778" s="116" t="e">
        <f>SUM(O774:O777)</f>
        <v>#VALUE!</v>
      </c>
      <c r="P778" s="116" t="e">
        <f>SUM(P774:P777)</f>
        <v>#VALUE!</v>
      </c>
      <c r="Q778" s="116" t="e">
        <f>SUM(Q774:Q777)</f>
        <v>#VALUE!</v>
      </c>
      <c r="R778" s="116" t="e">
        <f>SUM(R774:R777)</f>
        <v>#VALUE!</v>
      </c>
      <c r="T778" s="116" t="e">
        <f>SUM(T774:T777)</f>
        <v>#VALUE!</v>
      </c>
      <c r="U778" s="116" t="e">
        <f>SUM(U774:U777)</f>
        <v>#VALUE!</v>
      </c>
      <c r="V778" s="116" t="e">
        <f>SUM(V774:V777)</f>
        <v>#VALUE!</v>
      </c>
      <c r="W778" s="116" t="e">
        <f>SUM(W774:W777)</f>
        <v>#VALUE!</v>
      </c>
      <c r="X778" s="3"/>
      <c r="Y778" s="116" t="e">
        <f>SUM(Y774:Y777)</f>
        <v>#VALUE!</v>
      </c>
      <c r="Z778" s="116" t="e">
        <f>SUM(Z774:Z777)</f>
        <v>#VALUE!</v>
      </c>
      <c r="AA778" s="116" t="e">
        <f>SUM(AA774:AA777)</f>
        <v>#VALUE!</v>
      </c>
      <c r="AB778" s="116" t="e">
        <f>SUM(AB774:AB777)</f>
        <v>#VALUE!</v>
      </c>
      <c r="AC778" s="116" t="e">
        <f>SUM(AC774:AC777)</f>
        <v>#VALUE!</v>
      </c>
      <c r="AD778" s="117" t="e">
        <f>ROUND(SUM(-G778,H778:L778),0)</f>
        <v>#VALUE!</v>
      </c>
      <c r="AE778" s="117" t="e">
        <f>ROUND(H778-O778-P778-Q778-R778,0)</f>
        <v>#VALUE!</v>
      </c>
      <c r="AF778" s="117" t="e">
        <f>ROUND(I778-T778-U778-V778-W778,0)</f>
        <v>#VALUE!</v>
      </c>
      <c r="AG778" s="117" t="e">
        <f>ROUND(J778-Y778-Z778-AA778-AC778-AB778,0)</f>
        <v>#VALUE!</v>
      </c>
      <c r="AH778" s="116"/>
      <c r="AI778">
        <f t="shared" si="354"/>
        <v>928</v>
      </c>
      <c r="AJ778" t="str">
        <f t="shared" si="346"/>
        <v>NA</v>
      </c>
      <c r="AK778" t="str">
        <f>IF(ISERROR(MATCH(AI778&amp;"."&amp;AJ778,AK$91:AK777,0)),AI778&amp;"."&amp;AJ778,AI778&amp;"."&amp;AJ778&amp;COUNTIFS(AI$91:AI777,AI778,AJ$91:AJ777,AJ778))</f>
        <v>928.NA1</v>
      </c>
    </row>
    <row r="779" spans="1:37" ht="15" hidden="1">
      <c r="A779" s="120">
        <f>ROW()</f>
        <v>779</v>
      </c>
      <c r="B779" s="120"/>
      <c r="C779" s="1"/>
      <c r="E779" s="121"/>
      <c r="F779" s="138"/>
      <c r="G779" s="117"/>
      <c r="H779" s="116"/>
      <c r="I779" s="116"/>
      <c r="J779" s="116"/>
      <c r="K779" s="116"/>
      <c r="L779" s="116"/>
      <c r="O779" s="116"/>
      <c r="P779" s="116"/>
      <c r="Q779" s="116"/>
      <c r="R779" s="116"/>
      <c r="T779" s="116"/>
      <c r="U779" s="116"/>
      <c r="V779" s="116"/>
      <c r="W779" s="116"/>
      <c r="X779" s="3"/>
      <c r="Y779" s="116"/>
      <c r="Z779" s="116"/>
      <c r="AA779" s="116"/>
      <c r="AB779" s="116"/>
      <c r="AC779" s="116"/>
      <c r="AD779" s="117"/>
      <c r="AE779" s="117"/>
      <c r="AF779" s="117"/>
      <c r="AG779" s="117"/>
      <c r="AH779" s="116"/>
      <c r="AI779">
        <f t="shared" si="354"/>
        <v>928</v>
      </c>
      <c r="AJ779" t="str">
        <f t="shared" si="346"/>
        <v>NA</v>
      </c>
      <c r="AK779" t="str">
        <f>IF(ISERROR(MATCH(AI779&amp;"."&amp;AJ779,AK$91:AK778,0)),AI779&amp;"."&amp;AJ779,AI779&amp;"."&amp;AJ779&amp;COUNTIFS(AI$91:AI778,AI779,AJ$91:AJ778,AJ779))</f>
        <v>928.NA2</v>
      </c>
    </row>
    <row r="780" spans="1:37" ht="15" hidden="1">
      <c r="A780" s="120">
        <f>ROW()</f>
        <v>780</v>
      </c>
      <c r="B780" s="120"/>
      <c r="C780" s="1" t="s">
        <v>762</v>
      </c>
      <c r="D780" s="2" t="s">
        <v>761</v>
      </c>
      <c r="E780" s="121"/>
      <c r="F780" s="138" t="str">
        <f>INDEX(FuncAllocOptions,ROW(A780)-ROW($A$92)+1,[4]Inputs!$S$11)</f>
        <v>DMSC</v>
      </c>
      <c r="G780" s="117" t="e">
        <f>SUMIF(FERCJAMFactor,AK780,JAMValue)</f>
        <v>#VALUE!</v>
      </c>
      <c r="H780" s="116">
        <v>0</v>
      </c>
      <c r="I780" s="116">
        <v>0</v>
      </c>
      <c r="J780" s="116">
        <v>0</v>
      </c>
      <c r="K780" s="116">
        <v>0</v>
      </c>
      <c r="L780" s="116">
        <v>0</v>
      </c>
      <c r="N780" s="108">
        <v>0.75</v>
      </c>
      <c r="O780" s="116">
        <f>$H780*$N780*$M780</f>
        <v>0</v>
      </c>
      <c r="P780" s="116">
        <f>$H780*(1-$N780)*$M780</f>
        <v>0</v>
      </c>
      <c r="Q780" s="116">
        <f>$H780*$N780*(1-$M780)</f>
        <v>0</v>
      </c>
      <c r="R780" s="116">
        <f>$H780*(1-$N780)*(1-$M780)</f>
        <v>0</v>
      </c>
      <c r="S780" s="108">
        <v>0.75</v>
      </c>
      <c r="T780" s="116">
        <f>$I780*$S780*$M780</f>
        <v>0</v>
      </c>
      <c r="U780" s="116">
        <f>$I780*(1-$S780)*$M780</f>
        <v>0</v>
      </c>
      <c r="V780" s="116">
        <f>$I780*$S780*(1-$M780)</f>
        <v>0</v>
      </c>
      <c r="W780" s="116">
        <f>$I780*(1-$S780)*(1-$M780)</f>
        <v>0</v>
      </c>
      <c r="X780" s="3" t="str">
        <f>INDEX(DistFuncAllocOptions,ROW(A780)-ROW($A$92)+1,[4]Inputs!$S$11)</f>
        <v>MISC</v>
      </c>
      <c r="Y780" s="116">
        <f>INDEX(DistFuncFactorTbl,MATCH($X780,DistFuncFactors,0),MATCH(Y$91,DistFunctions,0))*$J780</f>
        <v>0</v>
      </c>
      <c r="Z780" s="116">
        <f>INDEX(DistFuncFactorTbl,MATCH($X780,DistFuncFactors,0),MATCH(Z$91,DistFunctions,0))*$J780</f>
        <v>0</v>
      </c>
      <c r="AA780" s="116">
        <f>INDEX(DistFuncFactorTbl,MATCH($X780,DistFuncFactors,0),MATCH(AA$91,DistFunctions,0))*$J780</f>
        <v>0</v>
      </c>
      <c r="AB780" s="116">
        <f>INDEX(DistFuncFactorTbl,MATCH($X780,DistFuncFactors,0),MATCH(AB$91,DistFunctions,0))*$J780</f>
        <v>0</v>
      </c>
      <c r="AC780" s="116">
        <f>INDEX(DistFuncFactorTbl,MATCH($X780,DistFuncFactors,0),MATCH(AC$91,DistFunctions,0))*$J780</f>
        <v>0</v>
      </c>
      <c r="AD780" s="117" t="e">
        <f>ROUND(SUM(-G780,H780:L780),0)</f>
        <v>#VALUE!</v>
      </c>
      <c r="AE780" s="117">
        <f>ROUND(H780-O780-P780-Q780-R780,0)</f>
        <v>0</v>
      </c>
      <c r="AF780" s="117">
        <f>ROUND(I780-T780-U780-V780-W780,0)</f>
        <v>0</v>
      </c>
      <c r="AG780" s="117">
        <f>ROUND(J780-Y780-Z780-AA780-AC780-AB780,0)</f>
        <v>0</v>
      </c>
      <c r="AH780" s="116"/>
      <c r="AI780" t="str">
        <f t="shared" si="354"/>
        <v>928RE</v>
      </c>
      <c r="AJ780" t="str">
        <f t="shared" si="346"/>
        <v>NA</v>
      </c>
      <c r="AK780" t="str">
        <f>IF(ISERROR(MATCH(AI780&amp;"."&amp;AJ780,AK$91:AK779,0)),AI780&amp;"."&amp;AJ780,AI780&amp;"."&amp;AJ780&amp;COUNTIFS(AI$91:AI779,AI780,AJ$91:AJ779,AJ780))</f>
        <v>928RE.NA</v>
      </c>
    </row>
    <row r="781" spans="1:37" ht="15" hidden="1">
      <c r="A781" s="120">
        <f>ROW()</f>
        <v>781</v>
      </c>
      <c r="B781" s="120"/>
      <c r="C781" s="1"/>
      <c r="E781" s="121"/>
      <c r="F781" s="138"/>
      <c r="G781" s="119"/>
      <c r="X781" s="3"/>
      <c r="AD781" s="119"/>
      <c r="AE781" s="119"/>
      <c r="AF781" s="119"/>
      <c r="AG781" s="119"/>
      <c r="AI781" t="str">
        <f t="shared" si="354"/>
        <v>928RE</v>
      </c>
      <c r="AJ781" t="str">
        <f t="shared" si="346"/>
        <v>NA</v>
      </c>
      <c r="AK781" t="str">
        <f>IF(ISERROR(MATCH(AI781&amp;"."&amp;AJ781,AK$91:AK780,0)),AI781&amp;"."&amp;AJ781,AI781&amp;"."&amp;AJ781&amp;COUNTIFS(AI$91:AI780,AI781,AJ$91:AJ780,AJ781))</f>
        <v>928RE.NA1</v>
      </c>
    </row>
    <row r="782" spans="1:37" ht="15" hidden="1">
      <c r="A782" s="120">
        <f>ROW()</f>
        <v>782</v>
      </c>
      <c r="B782" s="120"/>
      <c r="C782" s="1">
        <v>929</v>
      </c>
      <c r="D782" s="2" t="s">
        <v>364</v>
      </c>
      <c r="E782" s="121"/>
      <c r="F782" s="138"/>
      <c r="G782" s="119"/>
      <c r="X782" s="3"/>
      <c r="AD782" s="119"/>
      <c r="AE782" s="119"/>
      <c r="AF782" s="119"/>
      <c r="AG782" s="119"/>
      <c r="AI782">
        <f t="shared" si="354"/>
        <v>929</v>
      </c>
      <c r="AJ782" t="str">
        <f t="shared" si="346"/>
        <v>NA</v>
      </c>
      <c r="AK782" t="str">
        <f>IF(ISERROR(MATCH(AI782&amp;"."&amp;AJ782,AK$91:AK781,0)),AI782&amp;"."&amp;AJ782,AI782&amp;"."&amp;AJ782&amp;COUNTIFS(AI$91:AI781,AI782,AJ$91:AJ781,AJ782))</f>
        <v>929.NA</v>
      </c>
    </row>
    <row r="783" spans="1:37" ht="15" hidden="1">
      <c r="A783" s="120">
        <f>ROW()</f>
        <v>783</v>
      </c>
      <c r="B783" s="120"/>
      <c r="C783" s="1"/>
      <c r="E783" s="121" t="s">
        <v>12</v>
      </c>
      <c r="F783" s="138" t="str">
        <f>INDEX(FuncAllocOptions,ROW(A783)-ROW($A$92)+1,[4]Inputs!$S$11)</f>
        <v>LABOR</v>
      </c>
      <c r="G783" s="117" t="e">
        <f>SUMIF(FERCJAMFactor,AK783,JAMValue)</f>
        <v>#VALUE!</v>
      </c>
      <c r="H783" s="116" t="e">
        <f t="shared" ref="H783:L784" si="369">INDEX(FuncFactorTbl,MATCH($F783,FuncFactors,0),MATCH(H$8,Functions,0))*$G783</f>
        <v>#VALUE!</v>
      </c>
      <c r="I783" s="116" t="e">
        <f t="shared" si="369"/>
        <v>#VALUE!</v>
      </c>
      <c r="J783" s="116" t="e">
        <f t="shared" si="369"/>
        <v>#VALUE!</v>
      </c>
      <c r="K783" s="116" t="e">
        <f t="shared" si="369"/>
        <v>#VALUE!</v>
      </c>
      <c r="L783" s="116" t="e">
        <f t="shared" si="369"/>
        <v>#VALUE!</v>
      </c>
      <c r="N783" s="108">
        <v>0.75</v>
      </c>
      <c r="O783" s="116" t="e">
        <f>$H783*$N783*$M783</f>
        <v>#VALUE!</v>
      </c>
      <c r="P783" s="116" t="e">
        <f>$H783*(1-$N783)*$M783</f>
        <v>#VALUE!</v>
      </c>
      <c r="Q783" s="116" t="e">
        <f>$H783*$N783*(1-$M783)</f>
        <v>#VALUE!</v>
      </c>
      <c r="R783" s="116" t="e">
        <f>$H783*(1-$N783)*(1-$M783)</f>
        <v>#VALUE!</v>
      </c>
      <c r="S783" s="108">
        <v>0.75</v>
      </c>
      <c r="T783" s="116" t="e">
        <f>$I783*$S783*$M783</f>
        <v>#VALUE!</v>
      </c>
      <c r="U783" s="116" t="e">
        <f>$I783*(1-$S783)*$M783</f>
        <v>#VALUE!</v>
      </c>
      <c r="V783" s="116" t="e">
        <f>$I783*$S783*(1-$M783)</f>
        <v>#VALUE!</v>
      </c>
      <c r="W783" s="116" t="e">
        <f>$I783*(1-$S783)*(1-$M783)</f>
        <v>#VALUE!</v>
      </c>
      <c r="X783" s="3" t="str">
        <f>INDEX(DistFuncAllocOptions,ROW(A783)-ROW($A$92)+1,[4]Inputs!$S$11)</f>
        <v>DISom</v>
      </c>
      <c r="Y783" s="116" t="e">
        <f t="shared" ref="Y783:AC784" si="370">INDEX(DistFuncFactorTbl,MATCH($X783,DistFuncFactors,0),MATCH(Y$91,DistFunctions,0))*$J783</f>
        <v>#VALUE!</v>
      </c>
      <c r="Z783" s="116" t="e">
        <f t="shared" si="370"/>
        <v>#VALUE!</v>
      </c>
      <c r="AA783" s="116" t="e">
        <f t="shared" si="370"/>
        <v>#VALUE!</v>
      </c>
      <c r="AB783" s="116" t="e">
        <f t="shared" si="370"/>
        <v>#VALUE!</v>
      </c>
      <c r="AC783" s="116" t="e">
        <f t="shared" si="370"/>
        <v>#VALUE!</v>
      </c>
      <c r="AD783" s="117" t="e">
        <f>ROUND(SUM(-G783,H783:L783),0)</f>
        <v>#VALUE!</v>
      </c>
      <c r="AE783" s="117" t="e">
        <f>ROUND(H783-O783-P783-Q783-R783,0)</f>
        <v>#VALUE!</v>
      </c>
      <c r="AF783" s="117" t="e">
        <f>ROUND(I783-T783-U783-V783-W783,0)</f>
        <v>#VALUE!</v>
      </c>
      <c r="AG783" s="117" t="e">
        <f>ROUND(J783-Y783-Z783-AA783-AC783-AB783,0)</f>
        <v>#VALUE!</v>
      </c>
      <c r="AH783" s="116"/>
      <c r="AI783">
        <f t="shared" si="354"/>
        <v>929</v>
      </c>
      <c r="AJ783" t="str">
        <f t="shared" si="346"/>
        <v>S</v>
      </c>
      <c r="AK783" t="str">
        <f>IF(ISERROR(MATCH(AI783&amp;"."&amp;AJ783,AK$91:AK782,0)),AI783&amp;"."&amp;AJ783,AI783&amp;"."&amp;AJ783&amp;COUNTIFS(AI$91:AI782,AI783,AJ$91:AJ782,AJ783))</f>
        <v>929.S</v>
      </c>
    </row>
    <row r="784" spans="1:37" ht="15" hidden="1">
      <c r="A784" s="120">
        <f>ROW()</f>
        <v>784</v>
      </c>
      <c r="B784" s="120"/>
      <c r="C784" s="1"/>
      <c r="E784" s="121" t="s">
        <v>136</v>
      </c>
      <c r="F784" s="138" t="str">
        <f>INDEX(FuncAllocOptions,ROW(A784)-ROW($A$92)+1,[4]Inputs!$S$11)</f>
        <v>LABOR</v>
      </c>
      <c r="G784" s="133" t="e">
        <f>SUMIF(FERCJAMFactor,AK784,JAMValue)</f>
        <v>#VALUE!</v>
      </c>
      <c r="H784" s="139" t="e">
        <f t="shared" si="369"/>
        <v>#VALUE!</v>
      </c>
      <c r="I784" s="139" t="e">
        <f t="shared" si="369"/>
        <v>#VALUE!</v>
      </c>
      <c r="J784" s="139" t="e">
        <f t="shared" si="369"/>
        <v>#VALUE!</v>
      </c>
      <c r="K784" s="139" t="e">
        <f t="shared" si="369"/>
        <v>#VALUE!</v>
      </c>
      <c r="L784" s="139" t="e">
        <f t="shared" si="369"/>
        <v>#VALUE!</v>
      </c>
      <c r="N784" s="108">
        <v>0.75</v>
      </c>
      <c r="O784" s="116" t="e">
        <f>$H784*$N784*$M784</f>
        <v>#VALUE!</v>
      </c>
      <c r="P784" s="116" t="e">
        <f>$H784*(1-$N784)*$M784</f>
        <v>#VALUE!</v>
      </c>
      <c r="Q784" s="116" t="e">
        <f>$H784*$N784*(1-$M784)</f>
        <v>#VALUE!</v>
      </c>
      <c r="R784" s="116" t="e">
        <f>$H784*(1-$N784)*(1-$M784)</f>
        <v>#VALUE!</v>
      </c>
      <c r="S784" s="108">
        <v>0.75</v>
      </c>
      <c r="T784" s="116" t="e">
        <f>$I784*$S784*$M784</f>
        <v>#VALUE!</v>
      </c>
      <c r="U784" s="116" t="e">
        <f>$I784*(1-$S784)*$M784</f>
        <v>#VALUE!</v>
      </c>
      <c r="V784" s="116" t="e">
        <f>$I784*$S784*(1-$M784)</f>
        <v>#VALUE!</v>
      </c>
      <c r="W784" s="116" t="e">
        <f>$I784*(1-$S784)*(1-$M784)</f>
        <v>#VALUE!</v>
      </c>
      <c r="X784" s="3" t="str">
        <f>INDEX(DistFuncAllocOptions,ROW(A784)-ROW($A$92)+1,[4]Inputs!$S$11)</f>
        <v>DISom</v>
      </c>
      <c r="Y784" s="116" t="e">
        <f t="shared" si="370"/>
        <v>#VALUE!</v>
      </c>
      <c r="Z784" s="116" t="e">
        <f t="shared" si="370"/>
        <v>#VALUE!</v>
      </c>
      <c r="AA784" s="116" t="e">
        <f t="shared" si="370"/>
        <v>#VALUE!</v>
      </c>
      <c r="AB784" s="116" t="e">
        <f t="shared" si="370"/>
        <v>#VALUE!</v>
      </c>
      <c r="AC784" s="116" t="e">
        <f t="shared" si="370"/>
        <v>#VALUE!</v>
      </c>
      <c r="AD784" s="117" t="e">
        <f>ROUND(SUM(-G784,H784:L784),0)</f>
        <v>#VALUE!</v>
      </c>
      <c r="AE784" s="117" t="e">
        <f>ROUND(H784-O784-P784-Q784-R784,0)</f>
        <v>#VALUE!</v>
      </c>
      <c r="AF784" s="117" t="e">
        <f>ROUND(I784-T784-U784-V784-W784,0)</f>
        <v>#VALUE!</v>
      </c>
      <c r="AG784" s="117" t="e">
        <f>ROUND(J784-Y784-Z784-AA784-AC784-AB784,0)</f>
        <v>#VALUE!</v>
      </c>
      <c r="AH784" s="116"/>
      <c r="AI784">
        <f t="shared" si="354"/>
        <v>929</v>
      </c>
      <c r="AJ784" t="str">
        <f t="shared" si="346"/>
        <v>SO</v>
      </c>
      <c r="AK784" t="str">
        <f>IF(ISERROR(MATCH(AI784&amp;"."&amp;AJ784,AK$91:AK783,0)),AI784&amp;"."&amp;AJ784,AI784&amp;"."&amp;AJ784&amp;COUNTIFS(AI$91:AI783,AI784,AJ$91:AJ783,AJ784))</f>
        <v>929.SO</v>
      </c>
    </row>
    <row r="785" spans="1:37" ht="15" hidden="1">
      <c r="A785" s="120">
        <f>ROW()</f>
        <v>785</v>
      </c>
      <c r="B785" s="120"/>
      <c r="C785" s="1"/>
      <c r="E785" s="121"/>
      <c r="F785" s="138"/>
      <c r="G785" s="117" t="e">
        <f t="shared" ref="G785:L785" si="371">SUM(G783:G784)</f>
        <v>#VALUE!</v>
      </c>
      <c r="H785" s="116" t="e">
        <f t="shared" si="371"/>
        <v>#VALUE!</v>
      </c>
      <c r="I785" s="116" t="e">
        <f t="shared" si="371"/>
        <v>#VALUE!</v>
      </c>
      <c r="J785" s="116" t="e">
        <f t="shared" si="371"/>
        <v>#VALUE!</v>
      </c>
      <c r="K785" s="116" t="e">
        <f t="shared" si="371"/>
        <v>#VALUE!</v>
      </c>
      <c r="L785" s="116" t="e">
        <f t="shared" si="371"/>
        <v>#VALUE!</v>
      </c>
      <c r="O785" s="116" t="e">
        <f>SUM(O783:O784)</f>
        <v>#VALUE!</v>
      </c>
      <c r="P785" s="116" t="e">
        <f>SUM(P783:P784)</f>
        <v>#VALUE!</v>
      </c>
      <c r="Q785" s="116" t="e">
        <f>SUM(Q783:Q784)</f>
        <v>#VALUE!</v>
      </c>
      <c r="R785" s="116" t="e">
        <f>SUM(R783:R784)</f>
        <v>#VALUE!</v>
      </c>
      <c r="T785" s="116" t="e">
        <f>SUM(T783:T784)</f>
        <v>#VALUE!</v>
      </c>
      <c r="U785" s="116" t="e">
        <f>SUM(U783:U784)</f>
        <v>#VALUE!</v>
      </c>
      <c r="V785" s="116" t="e">
        <f>SUM(V783:V784)</f>
        <v>#VALUE!</v>
      </c>
      <c r="W785" s="116" t="e">
        <f>SUM(W783:W784)</f>
        <v>#VALUE!</v>
      </c>
      <c r="X785" s="3"/>
      <c r="Y785" s="116" t="e">
        <f>SUM(Y783:Y784)</f>
        <v>#VALUE!</v>
      </c>
      <c r="Z785" s="116" t="e">
        <f>SUM(Z783:Z784)</f>
        <v>#VALUE!</v>
      </c>
      <c r="AA785" s="116" t="e">
        <f>SUM(AA783:AA784)</f>
        <v>#VALUE!</v>
      </c>
      <c r="AB785" s="116" t="e">
        <f>SUM(AB783:AB784)</f>
        <v>#VALUE!</v>
      </c>
      <c r="AC785" s="116" t="e">
        <f>SUM(AC783:AC784)</f>
        <v>#VALUE!</v>
      </c>
      <c r="AD785" s="117" t="e">
        <f>ROUND(SUM(-G785,H785:L785),0)</f>
        <v>#VALUE!</v>
      </c>
      <c r="AE785" s="117" t="e">
        <f>ROUND(H785-O785-P785-Q785-R785,0)</f>
        <v>#VALUE!</v>
      </c>
      <c r="AF785" s="117" t="e">
        <f>ROUND(I785-T785-U785-V785-W785,0)</f>
        <v>#VALUE!</v>
      </c>
      <c r="AG785" s="117" t="e">
        <f>ROUND(J785-Y785-Z785-AA785-AC785-AB785,0)</f>
        <v>#VALUE!</v>
      </c>
      <c r="AH785" s="116"/>
      <c r="AI785">
        <f t="shared" si="354"/>
        <v>929</v>
      </c>
      <c r="AJ785" t="str">
        <f t="shared" si="346"/>
        <v>NA</v>
      </c>
      <c r="AK785" t="str">
        <f>IF(ISERROR(MATCH(AI785&amp;"."&amp;AJ785,AK$91:AK784,0)),AI785&amp;"."&amp;AJ785,AI785&amp;"."&amp;AJ785&amp;COUNTIFS(AI$91:AI784,AI785,AJ$91:AJ784,AJ785))</f>
        <v>929.NA1</v>
      </c>
    </row>
    <row r="786" spans="1:37" ht="15" hidden="1">
      <c r="A786" s="120">
        <f>ROW()</f>
        <v>786</v>
      </c>
      <c r="B786" s="120"/>
      <c r="C786" s="1"/>
      <c r="E786" s="121"/>
      <c r="F786" s="138"/>
      <c r="G786" s="119"/>
      <c r="X786" s="3"/>
      <c r="AD786" s="119"/>
      <c r="AE786" s="119"/>
      <c r="AF786" s="119"/>
      <c r="AG786" s="119"/>
      <c r="AI786">
        <f t="shared" si="354"/>
        <v>929</v>
      </c>
      <c r="AJ786" t="str">
        <f t="shared" si="346"/>
        <v>NA</v>
      </c>
      <c r="AK786" t="str">
        <f>IF(ISERROR(MATCH(AI786&amp;"."&amp;AJ786,AK$91:AK785,0)),AI786&amp;"."&amp;AJ786,AI786&amp;"."&amp;AJ786&amp;COUNTIFS(AI$91:AI785,AI786,AJ$91:AJ785,AJ786))</f>
        <v>929.NA2</v>
      </c>
    </row>
    <row r="787" spans="1:37" ht="15" hidden="1">
      <c r="A787" s="120">
        <f>ROW()</f>
        <v>787</v>
      </c>
      <c r="B787" s="120"/>
      <c r="C787" s="1">
        <v>930</v>
      </c>
      <c r="D787" s="2" t="s">
        <v>365</v>
      </c>
      <c r="E787" s="121"/>
      <c r="F787" s="138"/>
      <c r="G787" s="119"/>
      <c r="X787" s="3"/>
      <c r="AD787" s="119"/>
      <c r="AE787" s="119"/>
      <c r="AF787" s="119"/>
      <c r="AG787" s="119"/>
      <c r="AI787">
        <f t="shared" si="354"/>
        <v>930</v>
      </c>
      <c r="AJ787" t="str">
        <f t="shared" si="346"/>
        <v>NA</v>
      </c>
      <c r="AK787" t="str">
        <f>IF(ISERROR(MATCH(AI787&amp;"."&amp;AJ787,AK$91:AK786,0)),AI787&amp;"."&amp;AJ787,AI787&amp;"."&amp;AJ787&amp;COUNTIFS(AI$91:AI786,AI787,AJ$91:AJ786,AJ787))</f>
        <v>930.NA</v>
      </c>
    </row>
    <row r="788" spans="1:37" ht="15" hidden="1">
      <c r="A788" s="120">
        <f>ROW()</f>
        <v>788</v>
      </c>
      <c r="B788" s="120"/>
      <c r="C788" s="1"/>
      <c r="E788" s="121" t="s">
        <v>12</v>
      </c>
      <c r="F788" s="138" t="str">
        <f>INDEX(FuncAllocOptions,ROW(A788)-ROW($A$92)+1,[4]Inputs!$S$11)</f>
        <v>PTD</v>
      </c>
      <c r="G788" s="117" t="e">
        <f>SUMIF(FERCJAMFactor,AK788,JAMValue)</f>
        <v>#VALUE!</v>
      </c>
      <c r="H788" s="116" t="e">
        <f t="shared" ref="H788:L790" si="372">INDEX(FuncFactorTbl,MATCH($F788,FuncFactors,0),MATCH(H$8,Functions,0))*$G788</f>
        <v>#VALUE!</v>
      </c>
      <c r="I788" s="116" t="e">
        <f t="shared" si="372"/>
        <v>#VALUE!</v>
      </c>
      <c r="J788" s="116" t="e">
        <f t="shared" si="372"/>
        <v>#VALUE!</v>
      </c>
      <c r="K788" s="116" t="e">
        <f t="shared" si="372"/>
        <v>#VALUE!</v>
      </c>
      <c r="L788" s="116" t="e">
        <f t="shared" si="372"/>
        <v>#VALUE!</v>
      </c>
      <c r="N788" s="108">
        <v>0.75</v>
      </c>
      <c r="O788" s="116" t="e">
        <f>$H788*$N788*$M788</f>
        <v>#VALUE!</v>
      </c>
      <c r="P788" s="116" t="e">
        <f>$H788*(1-$N788)*$M788</f>
        <v>#VALUE!</v>
      </c>
      <c r="Q788" s="116" t="e">
        <f>$H788*$N788*(1-$M788)</f>
        <v>#VALUE!</v>
      </c>
      <c r="R788" s="116" t="e">
        <f>$H788*(1-$N788)*(1-$M788)</f>
        <v>#VALUE!</v>
      </c>
      <c r="S788" s="108">
        <v>0.75</v>
      </c>
      <c r="T788" s="116" t="e">
        <f>$I788*$S788*$M788</f>
        <v>#VALUE!</v>
      </c>
      <c r="U788" s="116" t="e">
        <f>$I788*(1-$S788)*$M788</f>
        <v>#VALUE!</v>
      </c>
      <c r="V788" s="116" t="e">
        <f>$I788*$S788*(1-$M788)</f>
        <v>#VALUE!</v>
      </c>
      <c r="W788" s="116" t="e">
        <f>$I788*(1-$S788)*(1-$M788)</f>
        <v>#VALUE!</v>
      </c>
      <c r="X788" s="3" t="str">
        <f>INDEX(DistFuncAllocOptions,ROW(A788)-ROW($A$92)+1,[4]Inputs!$S$11)</f>
        <v>PLNT</v>
      </c>
      <c r="Y788" s="116" t="e">
        <f t="shared" ref="Y788:AC790" si="373">INDEX(DistFuncFactorTbl,MATCH($X788,DistFuncFactors,0),MATCH(Y$91,DistFunctions,0))*$J788</f>
        <v>#VALUE!</v>
      </c>
      <c r="Z788" s="116" t="e">
        <f t="shared" si="373"/>
        <v>#VALUE!</v>
      </c>
      <c r="AA788" s="116" t="e">
        <f t="shared" si="373"/>
        <v>#VALUE!</v>
      </c>
      <c r="AB788" s="116" t="e">
        <f t="shared" si="373"/>
        <v>#VALUE!</v>
      </c>
      <c r="AC788" s="116" t="e">
        <f t="shared" si="373"/>
        <v>#VALUE!</v>
      </c>
      <c r="AD788" s="117" t="e">
        <f>ROUND(SUM(-G788,H788:L788),0)</f>
        <v>#VALUE!</v>
      </c>
      <c r="AE788" s="117" t="e">
        <f>ROUND(H788-O788-P788-Q788-R788,0)</f>
        <v>#VALUE!</v>
      </c>
      <c r="AF788" s="117" t="e">
        <f>ROUND(I788-T788-U788-V788-W788,0)</f>
        <v>#VALUE!</v>
      </c>
      <c r="AG788" s="117" t="e">
        <f>ROUND(J788-Y788-Z788-AA788-AC788-AB788,0)</f>
        <v>#VALUE!</v>
      </c>
      <c r="AH788" s="116"/>
      <c r="AI788">
        <f t="shared" si="354"/>
        <v>930</v>
      </c>
      <c r="AJ788" t="str">
        <f t="shared" si="346"/>
        <v>S</v>
      </c>
      <c r="AK788" t="str">
        <f>IF(ISERROR(MATCH(AI788&amp;"."&amp;AJ788,AK$91:AK787,0)),AI788&amp;"."&amp;AJ788,AI788&amp;"."&amp;AJ788&amp;COUNTIFS(AI$91:AI787,AI788,AJ$91:AJ787,AJ788))</f>
        <v>930.S</v>
      </c>
    </row>
    <row r="789" spans="1:37" ht="15" hidden="1">
      <c r="A789" s="120">
        <f>ROW()</f>
        <v>789</v>
      </c>
      <c r="B789" s="120"/>
      <c r="C789" s="1"/>
      <c r="E789" s="121" t="s">
        <v>155</v>
      </c>
      <c r="F789" s="138" t="str">
        <f>INDEX(FuncAllocOptions,ROW(A789)-ROW($A$92)+1,[4]Inputs!$S$11)</f>
        <v>CUST</v>
      </c>
      <c r="G789" s="117" t="e">
        <f>SUMIF(FERCJAMFactor,AK789,JAMValue)</f>
        <v>#VALUE!</v>
      </c>
      <c r="H789" s="116" t="e">
        <f t="shared" si="372"/>
        <v>#VALUE!</v>
      </c>
      <c r="I789" s="116" t="e">
        <f t="shared" si="372"/>
        <v>#VALUE!</v>
      </c>
      <c r="J789" s="116" t="e">
        <f t="shared" si="372"/>
        <v>#VALUE!</v>
      </c>
      <c r="K789" s="116" t="e">
        <f t="shared" si="372"/>
        <v>#VALUE!</v>
      </c>
      <c r="L789" s="116" t="e">
        <f t="shared" si="372"/>
        <v>#VALUE!</v>
      </c>
      <c r="N789" s="108">
        <v>0.75</v>
      </c>
      <c r="O789" s="116" t="e">
        <f>$H789*$N789*$M789</f>
        <v>#VALUE!</v>
      </c>
      <c r="P789" s="116" t="e">
        <f>$H789*(1-$N789)*$M789</f>
        <v>#VALUE!</v>
      </c>
      <c r="Q789" s="116" t="e">
        <f>$H789*$N789*(1-$M789)</f>
        <v>#VALUE!</v>
      </c>
      <c r="R789" s="116" t="e">
        <f>$H789*(1-$N789)*(1-$M789)</f>
        <v>#VALUE!</v>
      </c>
      <c r="S789" s="108">
        <v>0.75</v>
      </c>
      <c r="T789" s="116" t="e">
        <f>$I789*$S789*$M789</f>
        <v>#VALUE!</v>
      </c>
      <c r="U789" s="116" t="e">
        <f>$I789*(1-$S789)*$M789</f>
        <v>#VALUE!</v>
      </c>
      <c r="V789" s="116" t="e">
        <f>$I789*$S789*(1-$M789)</f>
        <v>#VALUE!</v>
      </c>
      <c r="W789" s="116" t="e">
        <f>$I789*(1-$S789)*(1-$M789)</f>
        <v>#VALUE!</v>
      </c>
      <c r="X789" s="3" t="str">
        <f>INDEX(DistFuncAllocOptions,ROW(A789)-ROW($A$92)+1,[4]Inputs!$S$11)</f>
        <v>CUST</v>
      </c>
      <c r="Y789" s="116" t="e">
        <f t="shared" si="373"/>
        <v>#VALUE!</v>
      </c>
      <c r="Z789" s="116" t="e">
        <f t="shared" si="373"/>
        <v>#VALUE!</v>
      </c>
      <c r="AA789" s="116" t="e">
        <f t="shared" si="373"/>
        <v>#VALUE!</v>
      </c>
      <c r="AB789" s="116" t="e">
        <f t="shared" si="373"/>
        <v>#VALUE!</v>
      </c>
      <c r="AC789" s="116" t="e">
        <f t="shared" si="373"/>
        <v>#VALUE!</v>
      </c>
      <c r="AD789" s="117" t="e">
        <f>ROUND(SUM(-G789,H789:L789),0)</f>
        <v>#VALUE!</v>
      </c>
      <c r="AE789" s="117" t="e">
        <f>ROUND(H789-O789-P789-Q789-R789,0)</f>
        <v>#VALUE!</v>
      </c>
      <c r="AF789" s="117" t="e">
        <f>ROUND(I789-T789-U789-V789-W789,0)</f>
        <v>#VALUE!</v>
      </c>
      <c r="AG789" s="117" t="e">
        <f>ROUND(J789-Y789-Z789-AA789-AC789-AB789,0)</f>
        <v>#VALUE!</v>
      </c>
      <c r="AH789" s="116"/>
      <c r="AI789">
        <f t="shared" si="354"/>
        <v>930</v>
      </c>
      <c r="AJ789" t="str">
        <f t="shared" si="346"/>
        <v>CN</v>
      </c>
      <c r="AK789" t="str">
        <f>IF(ISERROR(MATCH(AI789&amp;"."&amp;AJ789,AK$91:AK788,0)),AI789&amp;"."&amp;AJ789,AI789&amp;"."&amp;AJ789&amp;COUNTIFS(AI$91:AI788,AI789,AJ$91:AJ788,AJ789))</f>
        <v>930.CN</v>
      </c>
    </row>
    <row r="790" spans="1:37" ht="15" hidden="1">
      <c r="A790" s="120">
        <f>ROW()</f>
        <v>790</v>
      </c>
      <c r="B790" s="120"/>
      <c r="C790" s="1"/>
      <c r="E790" s="121" t="s">
        <v>136</v>
      </c>
      <c r="F790" s="138" t="str">
        <f>INDEX(FuncAllocOptions,ROW(A790)-ROW($A$92)+1,[4]Inputs!$S$11)</f>
        <v>LABOR</v>
      </c>
      <c r="G790" s="133" t="e">
        <f>SUMIF(FERCJAMFactor,AK790,JAMValue)</f>
        <v>#VALUE!</v>
      </c>
      <c r="H790" s="139" t="e">
        <f t="shared" si="372"/>
        <v>#VALUE!</v>
      </c>
      <c r="I790" s="139" t="e">
        <f t="shared" si="372"/>
        <v>#VALUE!</v>
      </c>
      <c r="J790" s="139" t="e">
        <f t="shared" si="372"/>
        <v>#VALUE!</v>
      </c>
      <c r="K790" s="139" t="e">
        <f t="shared" si="372"/>
        <v>#VALUE!</v>
      </c>
      <c r="L790" s="139" t="e">
        <f t="shared" si="372"/>
        <v>#VALUE!</v>
      </c>
      <c r="N790" s="108">
        <v>0.75</v>
      </c>
      <c r="O790" s="116" t="e">
        <f>$H790*$N790*$M790</f>
        <v>#VALUE!</v>
      </c>
      <c r="P790" s="116" t="e">
        <f>$H790*(1-$N790)*$M790</f>
        <v>#VALUE!</v>
      </c>
      <c r="Q790" s="116" t="e">
        <f>$H790*$N790*(1-$M790)</f>
        <v>#VALUE!</v>
      </c>
      <c r="R790" s="116" t="e">
        <f>$H790*(1-$N790)*(1-$M790)</f>
        <v>#VALUE!</v>
      </c>
      <c r="S790" s="108">
        <v>0.75</v>
      </c>
      <c r="T790" s="116" t="e">
        <f>$I790*$S790*$M790</f>
        <v>#VALUE!</v>
      </c>
      <c r="U790" s="116" t="e">
        <f>$I790*(1-$S790)*$M790</f>
        <v>#VALUE!</v>
      </c>
      <c r="V790" s="116" t="e">
        <f>$I790*$S790*(1-$M790)</f>
        <v>#VALUE!</v>
      </c>
      <c r="W790" s="116" t="e">
        <f>$I790*(1-$S790)*(1-$M790)</f>
        <v>#VALUE!</v>
      </c>
      <c r="X790" s="3" t="str">
        <f>INDEX(DistFuncAllocOptions,ROW(A790)-ROW($A$92)+1,[4]Inputs!$S$11)</f>
        <v>DISom</v>
      </c>
      <c r="Y790" s="116" t="e">
        <f t="shared" si="373"/>
        <v>#VALUE!</v>
      </c>
      <c r="Z790" s="116" t="e">
        <f t="shared" si="373"/>
        <v>#VALUE!</v>
      </c>
      <c r="AA790" s="116" t="e">
        <f t="shared" si="373"/>
        <v>#VALUE!</v>
      </c>
      <c r="AB790" s="116" t="e">
        <f t="shared" si="373"/>
        <v>#VALUE!</v>
      </c>
      <c r="AC790" s="116" t="e">
        <f t="shared" si="373"/>
        <v>#VALUE!</v>
      </c>
      <c r="AD790" s="117" t="e">
        <f>ROUND(SUM(-G790,H790:L790),0)</f>
        <v>#VALUE!</v>
      </c>
      <c r="AE790" s="117" t="e">
        <f>ROUND(H790-O790-P790-Q790-R790,0)</f>
        <v>#VALUE!</v>
      </c>
      <c r="AF790" s="117" t="e">
        <f>ROUND(I790-T790-U790-V790-W790,0)</f>
        <v>#VALUE!</v>
      </c>
      <c r="AG790" s="117" t="e">
        <f>ROUND(J790-Y790-Z790-AA790-AC790-AB790,0)</f>
        <v>#VALUE!</v>
      </c>
      <c r="AH790" s="116"/>
      <c r="AI790">
        <f t="shared" si="354"/>
        <v>930</v>
      </c>
      <c r="AJ790" t="str">
        <f t="shared" si="346"/>
        <v>SO</v>
      </c>
      <c r="AK790" t="str">
        <f>IF(ISERROR(MATCH(AI790&amp;"."&amp;AJ790,AK$91:AK789,0)),AI790&amp;"."&amp;AJ790,AI790&amp;"."&amp;AJ790&amp;COUNTIFS(AI$91:AI789,AI790,AJ$91:AJ789,AJ790))</f>
        <v>930.SO</v>
      </c>
    </row>
    <row r="791" spans="1:37" ht="15" hidden="1">
      <c r="A791" s="120">
        <f>ROW()</f>
        <v>791</v>
      </c>
      <c r="B791" s="120"/>
      <c r="C791" s="1"/>
      <c r="E791" s="121"/>
      <c r="F791" s="138"/>
      <c r="G791" s="117" t="e">
        <f t="shared" ref="G791:L791" si="374">SUM(G788:G790)</f>
        <v>#VALUE!</v>
      </c>
      <c r="H791" s="116" t="e">
        <f t="shared" si="374"/>
        <v>#VALUE!</v>
      </c>
      <c r="I791" s="116" t="e">
        <f t="shared" si="374"/>
        <v>#VALUE!</v>
      </c>
      <c r="J791" s="116" t="e">
        <f t="shared" si="374"/>
        <v>#VALUE!</v>
      </c>
      <c r="K791" s="116" t="e">
        <f t="shared" si="374"/>
        <v>#VALUE!</v>
      </c>
      <c r="L791" s="116" t="e">
        <f t="shared" si="374"/>
        <v>#VALUE!</v>
      </c>
      <c r="O791" s="116" t="e">
        <f>SUM(O788:O790)</f>
        <v>#VALUE!</v>
      </c>
      <c r="P791" s="116" t="e">
        <f>SUM(P788:P790)</f>
        <v>#VALUE!</v>
      </c>
      <c r="Q791" s="116" t="e">
        <f>SUM(Q788:Q790)</f>
        <v>#VALUE!</v>
      </c>
      <c r="R791" s="116" t="e">
        <f>SUM(R788:R790)</f>
        <v>#VALUE!</v>
      </c>
      <c r="T791" s="116" t="e">
        <f>SUM(T788:T790)</f>
        <v>#VALUE!</v>
      </c>
      <c r="U791" s="116" t="e">
        <f>SUM(U788:U790)</f>
        <v>#VALUE!</v>
      </c>
      <c r="V791" s="116" t="e">
        <f>SUM(V788:V790)</f>
        <v>#VALUE!</v>
      </c>
      <c r="W791" s="116" t="e">
        <f>SUM(W788:W790)</f>
        <v>#VALUE!</v>
      </c>
      <c r="X791" s="3"/>
      <c r="Y791" s="116" t="e">
        <f>SUM(Y788:Y790)</f>
        <v>#VALUE!</v>
      </c>
      <c r="Z791" s="116" t="e">
        <f>SUM(Z788:Z790)</f>
        <v>#VALUE!</v>
      </c>
      <c r="AA791" s="116" t="e">
        <f>SUM(AA788:AA790)</f>
        <v>#VALUE!</v>
      </c>
      <c r="AB791" s="116" t="e">
        <f>SUM(AB788:AB790)</f>
        <v>#VALUE!</v>
      </c>
      <c r="AC791" s="116" t="e">
        <f>SUM(AC788:AC790)</f>
        <v>#VALUE!</v>
      </c>
      <c r="AD791" s="117" t="e">
        <f>ROUND(SUM(-G791,H791:L791),0)</f>
        <v>#VALUE!</v>
      </c>
      <c r="AE791" s="117" t="e">
        <f>ROUND(H791-O791-P791-Q791-R791,0)</f>
        <v>#VALUE!</v>
      </c>
      <c r="AF791" s="117" t="e">
        <f>ROUND(I791-T791-U791-V791-W791,0)</f>
        <v>#VALUE!</v>
      </c>
      <c r="AG791" s="117" t="e">
        <f>ROUND(J791-Y791-Z791-AA791-AC791-AB791,0)</f>
        <v>#VALUE!</v>
      </c>
      <c r="AH791" s="116"/>
      <c r="AI791">
        <f t="shared" si="354"/>
        <v>930</v>
      </c>
      <c r="AJ791" t="str">
        <f t="shared" si="346"/>
        <v>NA</v>
      </c>
      <c r="AK791" t="str">
        <f>IF(ISERROR(MATCH(AI791&amp;"."&amp;AJ791,AK$91:AK790,0)),AI791&amp;"."&amp;AJ791,AI791&amp;"."&amp;AJ791&amp;COUNTIFS(AI$91:AI790,AI791,AJ$91:AJ790,AJ791))</f>
        <v>930.NA1</v>
      </c>
    </row>
    <row r="792" spans="1:37" ht="15" hidden="1">
      <c r="A792" s="120">
        <f>ROW()</f>
        <v>792</v>
      </c>
      <c r="B792" s="120"/>
      <c r="C792" s="1"/>
      <c r="E792" s="121"/>
      <c r="F792" s="138"/>
      <c r="G792" s="119"/>
      <c r="X792" s="3"/>
      <c r="AD792" s="119"/>
      <c r="AE792" s="119"/>
      <c r="AF792" s="119"/>
      <c r="AG792" s="119"/>
      <c r="AI792">
        <f t="shared" si="354"/>
        <v>930</v>
      </c>
      <c r="AJ792" t="str">
        <f t="shared" si="346"/>
        <v>NA</v>
      </c>
      <c r="AK792" t="str">
        <f>IF(ISERROR(MATCH(AI792&amp;"."&amp;AJ792,AK$91:AK791,0)),AI792&amp;"."&amp;AJ792,AI792&amp;"."&amp;AJ792&amp;COUNTIFS(AI$91:AI791,AI792,AJ$91:AJ791,AJ792))</f>
        <v>930.NA2</v>
      </c>
    </row>
    <row r="793" spans="1:37" ht="15" hidden="1">
      <c r="A793" s="120">
        <f>ROW()</f>
        <v>793</v>
      </c>
      <c r="B793" s="120"/>
      <c r="C793" s="1">
        <v>931</v>
      </c>
      <c r="D793" s="2" t="s">
        <v>187</v>
      </c>
      <c r="E793" s="121"/>
      <c r="F793" s="138"/>
      <c r="G793" s="119"/>
      <c r="X793" s="3"/>
      <c r="AD793" s="119"/>
      <c r="AE793" s="119"/>
      <c r="AF793" s="119"/>
      <c r="AG793" s="119"/>
      <c r="AI793">
        <f t="shared" si="354"/>
        <v>931</v>
      </c>
      <c r="AJ793" t="str">
        <f t="shared" si="346"/>
        <v>NA</v>
      </c>
      <c r="AK793" t="str">
        <f>IF(ISERROR(MATCH(AI793&amp;"."&amp;AJ793,AK$91:AK792,0)),AI793&amp;"."&amp;AJ793,AI793&amp;"."&amp;AJ793&amp;COUNTIFS(AI$91:AI792,AI793,AJ$91:AJ792,AJ793))</f>
        <v>931.NA</v>
      </c>
    </row>
    <row r="794" spans="1:37" ht="15" hidden="1">
      <c r="A794" s="120">
        <f>ROW()</f>
        <v>794</v>
      </c>
      <c r="B794" s="120"/>
      <c r="C794" s="1"/>
      <c r="E794" s="121" t="s">
        <v>12</v>
      </c>
      <c r="F794" s="138" t="str">
        <f>INDEX(FuncAllocOptions,ROW(A794)-ROW($A$92)+1,[4]Inputs!$S$11)</f>
        <v>PTD</v>
      </c>
      <c r="G794" s="117" t="e">
        <f>SUMIF(FERCJAMFactor,AK794,JAMValue)</f>
        <v>#VALUE!</v>
      </c>
      <c r="H794" s="116" t="e">
        <f t="shared" ref="H794:L795" si="375">INDEX(FuncFactorTbl,MATCH($F794,FuncFactors,0),MATCH(H$8,Functions,0))*$G794</f>
        <v>#VALUE!</v>
      </c>
      <c r="I794" s="116" t="e">
        <f t="shared" si="375"/>
        <v>#VALUE!</v>
      </c>
      <c r="J794" s="116" t="e">
        <f t="shared" si="375"/>
        <v>#VALUE!</v>
      </c>
      <c r="K794" s="116" t="e">
        <f t="shared" si="375"/>
        <v>#VALUE!</v>
      </c>
      <c r="L794" s="116" t="e">
        <f t="shared" si="375"/>
        <v>#VALUE!</v>
      </c>
      <c r="N794" s="108">
        <v>0.75</v>
      </c>
      <c r="O794" s="116" t="e">
        <f>$H794*$N794*$M794</f>
        <v>#VALUE!</v>
      </c>
      <c r="P794" s="116" t="e">
        <f>$H794*(1-$N794)*$M794</f>
        <v>#VALUE!</v>
      </c>
      <c r="Q794" s="116" t="e">
        <f>$H794*$N794*(1-$M794)</f>
        <v>#VALUE!</v>
      </c>
      <c r="R794" s="116" t="e">
        <f>$H794*(1-$N794)*(1-$M794)</f>
        <v>#VALUE!</v>
      </c>
      <c r="S794" s="108">
        <v>0.75</v>
      </c>
      <c r="T794" s="116" t="e">
        <f>$I794*$S794*$M794</f>
        <v>#VALUE!</v>
      </c>
      <c r="U794" s="116" t="e">
        <f>$I794*(1-$S794)*$M794</f>
        <v>#VALUE!</v>
      </c>
      <c r="V794" s="116" t="e">
        <f>$I794*$S794*(1-$M794)</f>
        <v>#VALUE!</v>
      </c>
      <c r="W794" s="116" t="e">
        <f>$I794*(1-$S794)*(1-$M794)</f>
        <v>#VALUE!</v>
      </c>
      <c r="X794" s="3" t="str">
        <f>INDEX(DistFuncAllocOptions,ROW(A794)-ROW($A$92)+1,[4]Inputs!$S$11)</f>
        <v>PLNT</v>
      </c>
      <c r="Y794" s="116" t="e">
        <f t="shared" ref="Y794:AC795" si="376">INDEX(DistFuncFactorTbl,MATCH($X794,DistFuncFactors,0),MATCH(Y$91,DistFunctions,0))*$J794</f>
        <v>#VALUE!</v>
      </c>
      <c r="Z794" s="116" t="e">
        <f t="shared" si="376"/>
        <v>#VALUE!</v>
      </c>
      <c r="AA794" s="116" t="e">
        <f t="shared" si="376"/>
        <v>#VALUE!</v>
      </c>
      <c r="AB794" s="116" t="e">
        <f t="shared" si="376"/>
        <v>#VALUE!</v>
      </c>
      <c r="AC794" s="116" t="e">
        <f t="shared" si="376"/>
        <v>#VALUE!</v>
      </c>
      <c r="AD794" s="117" t="e">
        <f>ROUND(SUM(-G794,H794:L794),0)</f>
        <v>#VALUE!</v>
      </c>
      <c r="AE794" s="117" t="e">
        <f>ROUND(H794-O794-P794-Q794-R794,0)</f>
        <v>#VALUE!</v>
      </c>
      <c r="AF794" s="117" t="e">
        <f>ROUND(I794-T794-U794-V794-W794,0)</f>
        <v>#VALUE!</v>
      </c>
      <c r="AG794" s="117" t="e">
        <f>ROUND(J794-Y794-Z794-AA794-AC794-AB794,0)</f>
        <v>#VALUE!</v>
      </c>
      <c r="AH794" s="116"/>
      <c r="AI794">
        <f t="shared" si="354"/>
        <v>931</v>
      </c>
      <c r="AJ794" t="str">
        <f t="shared" si="346"/>
        <v>S</v>
      </c>
      <c r="AK794" t="str">
        <f>IF(ISERROR(MATCH(AI794&amp;"."&amp;AJ794,AK$91:AK793,0)),AI794&amp;"."&amp;AJ794,AI794&amp;"."&amp;AJ794&amp;COUNTIFS(AI$91:AI793,AI794,AJ$91:AJ793,AJ794))</f>
        <v>931.S</v>
      </c>
    </row>
    <row r="795" spans="1:37" ht="15" hidden="1">
      <c r="A795" s="120">
        <f>ROW()</f>
        <v>795</v>
      </c>
      <c r="B795" s="120"/>
      <c r="C795" s="1"/>
      <c r="E795" s="121" t="s">
        <v>136</v>
      </c>
      <c r="F795" s="138" t="str">
        <f>INDEX(FuncAllocOptions,ROW(A795)-ROW($A$92)+1,[4]Inputs!$S$11)</f>
        <v>PTD</v>
      </c>
      <c r="G795" s="133" t="e">
        <f>SUMIF(FERCJAMFactor,AK795,JAMValue)</f>
        <v>#VALUE!</v>
      </c>
      <c r="H795" s="139" t="e">
        <f t="shared" si="375"/>
        <v>#VALUE!</v>
      </c>
      <c r="I795" s="139" t="e">
        <f t="shared" si="375"/>
        <v>#VALUE!</v>
      </c>
      <c r="J795" s="139" t="e">
        <f t="shared" si="375"/>
        <v>#VALUE!</v>
      </c>
      <c r="K795" s="139" t="e">
        <f t="shared" si="375"/>
        <v>#VALUE!</v>
      </c>
      <c r="L795" s="139" t="e">
        <f t="shared" si="375"/>
        <v>#VALUE!</v>
      </c>
      <c r="N795" s="108">
        <v>0.75</v>
      </c>
      <c r="O795" s="116" t="e">
        <f>$H795*$N795*$M795</f>
        <v>#VALUE!</v>
      </c>
      <c r="P795" s="116" t="e">
        <f>$H795*(1-$N795)*$M795</f>
        <v>#VALUE!</v>
      </c>
      <c r="Q795" s="116" t="e">
        <f>$H795*$N795*(1-$M795)</f>
        <v>#VALUE!</v>
      </c>
      <c r="R795" s="116" t="e">
        <f>$H795*(1-$N795)*(1-$M795)</f>
        <v>#VALUE!</v>
      </c>
      <c r="S795" s="108">
        <v>0.75</v>
      </c>
      <c r="T795" s="116" t="e">
        <f>$I795*$S795*$M795</f>
        <v>#VALUE!</v>
      </c>
      <c r="U795" s="116" t="e">
        <f>$I795*(1-$S795)*$M795</f>
        <v>#VALUE!</v>
      </c>
      <c r="V795" s="116" t="e">
        <f>$I795*$S795*(1-$M795)</f>
        <v>#VALUE!</v>
      </c>
      <c r="W795" s="116" t="e">
        <f>$I795*(1-$S795)*(1-$M795)</f>
        <v>#VALUE!</v>
      </c>
      <c r="X795" s="3" t="str">
        <f>INDEX(DistFuncAllocOptions,ROW(A795)-ROW($A$92)+1,[4]Inputs!$S$11)</f>
        <v>PLNT</v>
      </c>
      <c r="Y795" s="116" t="e">
        <f t="shared" si="376"/>
        <v>#VALUE!</v>
      </c>
      <c r="Z795" s="116" t="e">
        <f t="shared" si="376"/>
        <v>#VALUE!</v>
      </c>
      <c r="AA795" s="116" t="e">
        <f t="shared" si="376"/>
        <v>#VALUE!</v>
      </c>
      <c r="AB795" s="116" t="e">
        <f t="shared" si="376"/>
        <v>#VALUE!</v>
      </c>
      <c r="AC795" s="116" t="e">
        <f t="shared" si="376"/>
        <v>#VALUE!</v>
      </c>
      <c r="AD795" s="117" t="e">
        <f>ROUND(SUM(-G795,H795:L795),0)</f>
        <v>#VALUE!</v>
      </c>
      <c r="AE795" s="117" t="e">
        <f>ROUND(H795-O795-P795-Q795-R795,0)</f>
        <v>#VALUE!</v>
      </c>
      <c r="AF795" s="117" t="e">
        <f>ROUND(I795-T795-U795-V795-W795,0)</f>
        <v>#VALUE!</v>
      </c>
      <c r="AG795" s="117" t="e">
        <f>ROUND(J795-Y795-Z795-AA795-AC795-AB795,0)</f>
        <v>#VALUE!</v>
      </c>
      <c r="AH795" s="116"/>
      <c r="AI795">
        <f t="shared" si="354"/>
        <v>931</v>
      </c>
      <c r="AJ795" t="str">
        <f t="shared" si="346"/>
        <v>SO</v>
      </c>
      <c r="AK795" t="str">
        <f>IF(ISERROR(MATCH(AI795&amp;"."&amp;AJ795,AK$91:AK794,0)),AI795&amp;"."&amp;AJ795,AI795&amp;"."&amp;AJ795&amp;COUNTIFS(AI$91:AI794,AI795,AJ$91:AJ794,AJ795))</f>
        <v>931.SO</v>
      </c>
    </row>
    <row r="796" spans="1:37" ht="15" hidden="1">
      <c r="A796" s="120">
        <f>ROW()</f>
        <v>796</v>
      </c>
      <c r="B796" s="120"/>
      <c r="C796" s="1"/>
      <c r="E796" s="121"/>
      <c r="F796" s="138"/>
      <c r="G796" s="117" t="e">
        <f t="shared" ref="G796:L796" si="377">SUM(G794:G795)</f>
        <v>#VALUE!</v>
      </c>
      <c r="H796" s="116" t="e">
        <f t="shared" si="377"/>
        <v>#VALUE!</v>
      </c>
      <c r="I796" s="116" t="e">
        <f t="shared" si="377"/>
        <v>#VALUE!</v>
      </c>
      <c r="J796" s="116" t="e">
        <f t="shared" si="377"/>
        <v>#VALUE!</v>
      </c>
      <c r="K796" s="116" t="e">
        <f t="shared" si="377"/>
        <v>#VALUE!</v>
      </c>
      <c r="L796" s="116" t="e">
        <f t="shared" si="377"/>
        <v>#VALUE!</v>
      </c>
      <c r="O796" s="116" t="e">
        <f>SUM(O794:O795)</f>
        <v>#VALUE!</v>
      </c>
      <c r="P796" s="116" t="e">
        <f>SUM(P794:P795)</f>
        <v>#VALUE!</v>
      </c>
      <c r="Q796" s="116" t="e">
        <f>SUM(Q794:Q795)</f>
        <v>#VALUE!</v>
      </c>
      <c r="R796" s="116" t="e">
        <f>SUM(R794:R795)</f>
        <v>#VALUE!</v>
      </c>
      <c r="T796" s="116" t="e">
        <f>SUM(T794:T795)</f>
        <v>#VALUE!</v>
      </c>
      <c r="U796" s="116" t="e">
        <f>SUM(U794:U795)</f>
        <v>#VALUE!</v>
      </c>
      <c r="V796" s="116" t="e">
        <f>SUM(V794:V795)</f>
        <v>#VALUE!</v>
      </c>
      <c r="W796" s="116" t="e">
        <f>SUM(W794:W795)</f>
        <v>#VALUE!</v>
      </c>
      <c r="X796" s="3"/>
      <c r="Y796" s="116" t="e">
        <f>SUM(Y794:Y795)</f>
        <v>#VALUE!</v>
      </c>
      <c r="Z796" s="116" t="e">
        <f>SUM(Z794:Z795)</f>
        <v>#VALUE!</v>
      </c>
      <c r="AA796" s="116" t="e">
        <f>SUM(AA794:AA795)</f>
        <v>#VALUE!</v>
      </c>
      <c r="AB796" s="116" t="e">
        <f>SUM(AB794:AB795)</f>
        <v>#VALUE!</v>
      </c>
      <c r="AC796" s="116" t="e">
        <f>SUM(AC794:AC795)</f>
        <v>#VALUE!</v>
      </c>
      <c r="AD796" s="117" t="e">
        <f>ROUND(SUM(-G796,H796:L796),0)</f>
        <v>#VALUE!</v>
      </c>
      <c r="AE796" s="117" t="e">
        <f>ROUND(H796-O796-P796-Q796-R796,0)</f>
        <v>#VALUE!</v>
      </c>
      <c r="AF796" s="117" t="e">
        <f>ROUND(I796-T796-U796-V796-W796,0)</f>
        <v>#VALUE!</v>
      </c>
      <c r="AG796" s="117" t="e">
        <f>ROUND(J796-Y796-Z796-AA796-AC796-AB796,0)</f>
        <v>#VALUE!</v>
      </c>
      <c r="AH796" s="116"/>
      <c r="AI796">
        <f t="shared" si="354"/>
        <v>931</v>
      </c>
      <c r="AJ796" t="str">
        <f t="shared" si="346"/>
        <v>NA</v>
      </c>
      <c r="AK796" t="str">
        <f>IF(ISERROR(MATCH(AI796&amp;"."&amp;AJ796,AK$91:AK795,0)),AI796&amp;"."&amp;AJ796,AI796&amp;"."&amp;AJ796&amp;COUNTIFS(AI$91:AI795,AI796,AJ$91:AJ795,AJ796))</f>
        <v>931.NA1</v>
      </c>
    </row>
    <row r="797" spans="1:37" ht="15" hidden="1">
      <c r="A797" s="120">
        <f>ROW()</f>
        <v>797</v>
      </c>
      <c r="B797" s="120"/>
      <c r="C797" s="1"/>
      <c r="E797" s="121"/>
      <c r="F797" s="138"/>
      <c r="G797" s="119"/>
      <c r="X797" s="3"/>
      <c r="AD797" s="119"/>
      <c r="AE797" s="119"/>
      <c r="AF797" s="119"/>
      <c r="AG797" s="119"/>
      <c r="AI797">
        <f t="shared" si="354"/>
        <v>931</v>
      </c>
      <c r="AJ797" t="str">
        <f t="shared" ref="AJ797:AJ860" si="378">IF(E797="","NA",E797)</f>
        <v>NA</v>
      </c>
      <c r="AK797" t="str">
        <f>IF(ISERROR(MATCH(AI797&amp;"."&amp;AJ797,AK$91:AK796,0)),AI797&amp;"."&amp;AJ797,AI797&amp;"."&amp;AJ797&amp;COUNTIFS(AI$91:AI796,AI797,AJ$91:AJ796,AJ797))</f>
        <v>931.NA2</v>
      </c>
    </row>
    <row r="798" spans="1:37" ht="15" hidden="1">
      <c r="A798" s="120">
        <f>ROW()</f>
        <v>798</v>
      </c>
      <c r="B798" s="120"/>
      <c r="C798" s="1">
        <v>935</v>
      </c>
      <c r="D798" s="2" t="s">
        <v>366</v>
      </c>
      <c r="E798" s="121"/>
      <c r="F798" s="138"/>
      <c r="G798" s="119"/>
      <c r="X798" s="3"/>
      <c r="AD798" s="119"/>
      <c r="AE798" s="119"/>
      <c r="AF798" s="119"/>
      <c r="AG798" s="119"/>
      <c r="AI798">
        <f t="shared" si="354"/>
        <v>935</v>
      </c>
      <c r="AJ798" t="str">
        <f t="shared" si="378"/>
        <v>NA</v>
      </c>
      <c r="AK798" t="str">
        <f>IF(ISERROR(MATCH(AI798&amp;"."&amp;AJ798,AK$91:AK797,0)),AI798&amp;"."&amp;AJ798,AI798&amp;"."&amp;AJ798&amp;COUNTIFS(AI$91:AI797,AI798,AJ$91:AJ797,AJ798))</f>
        <v>935.NA</v>
      </c>
    </row>
    <row r="799" spans="1:37" ht="15" hidden="1">
      <c r="A799" s="120">
        <f>ROW()</f>
        <v>799</v>
      </c>
      <c r="B799" s="120"/>
      <c r="E799" s="121" t="s">
        <v>12</v>
      </c>
      <c r="F799" s="138" t="str">
        <f>INDEX(FuncAllocOptions,ROW(A799)-ROW($A$92)+1,[4]Inputs!$S$11)</f>
        <v>G</v>
      </c>
      <c r="G799" s="117" t="e">
        <f>SUMIF(FERCJAMFactor,AK799,JAMValue)</f>
        <v>#VALUE!</v>
      </c>
      <c r="H799" s="116" t="e">
        <f t="shared" ref="H799:L801" si="379">INDEX(FuncFactorTbl,MATCH($F799,FuncFactors,0),MATCH(H$8,Functions,0))*$G799</f>
        <v>#VALUE!</v>
      </c>
      <c r="I799" s="116" t="e">
        <f t="shared" si="379"/>
        <v>#VALUE!</v>
      </c>
      <c r="J799" s="116" t="e">
        <f t="shared" si="379"/>
        <v>#VALUE!</v>
      </c>
      <c r="K799" s="116" t="e">
        <f t="shared" si="379"/>
        <v>#VALUE!</v>
      </c>
      <c r="L799" s="116" t="e">
        <f t="shared" si="379"/>
        <v>#VALUE!</v>
      </c>
      <c r="N799" s="108">
        <v>0.75</v>
      </c>
      <c r="O799" s="116" t="e">
        <f>$H799*$N799*$M799</f>
        <v>#VALUE!</v>
      </c>
      <c r="P799" s="116" t="e">
        <f>$H799*(1-$N799)*$M799</f>
        <v>#VALUE!</v>
      </c>
      <c r="Q799" s="116" t="e">
        <f>$H799*$N799*(1-$M799)</f>
        <v>#VALUE!</v>
      </c>
      <c r="R799" s="116" t="e">
        <f>$H799*(1-$N799)*(1-$M799)</f>
        <v>#VALUE!</v>
      </c>
      <c r="S799" s="108">
        <v>0.75</v>
      </c>
      <c r="T799" s="116" t="e">
        <f>$I799*$S799*$M799</f>
        <v>#VALUE!</v>
      </c>
      <c r="U799" s="116" t="e">
        <f>$I799*(1-$S799)*$M799</f>
        <v>#VALUE!</v>
      </c>
      <c r="V799" s="116" t="e">
        <f>$I799*$S799*(1-$M799)</f>
        <v>#VALUE!</v>
      </c>
      <c r="W799" s="116" t="e">
        <f>$I799*(1-$S799)*(1-$M799)</f>
        <v>#VALUE!</v>
      </c>
      <c r="X799" s="3" t="str">
        <f>INDEX(DistFuncAllocOptions,ROW(A799)-ROW($A$92)+1,[4]Inputs!$S$11)</f>
        <v>GENL</v>
      </c>
      <c r="Y799" s="116" t="e">
        <f t="shared" ref="Y799:AC801" si="380">INDEX(DistFuncFactorTbl,MATCH($X799,DistFuncFactors,0),MATCH(Y$91,DistFunctions,0))*$J799</f>
        <v>#VALUE!</v>
      </c>
      <c r="Z799" s="116" t="e">
        <f t="shared" si="380"/>
        <v>#VALUE!</v>
      </c>
      <c r="AA799" s="116" t="e">
        <f t="shared" si="380"/>
        <v>#VALUE!</v>
      </c>
      <c r="AB799" s="116" t="e">
        <f t="shared" si="380"/>
        <v>#VALUE!</v>
      </c>
      <c r="AC799" s="116" t="e">
        <f t="shared" si="380"/>
        <v>#VALUE!</v>
      </c>
      <c r="AD799" s="117" t="e">
        <f>ROUND(SUM(-G799,H799:L799),0)</f>
        <v>#VALUE!</v>
      </c>
      <c r="AE799" s="117" t="e">
        <f>ROUND(H799-O799-P799-Q799-R799,0)</f>
        <v>#VALUE!</v>
      </c>
      <c r="AF799" s="117" t="e">
        <f>ROUND(I799-T799-U799-V799-W799,0)</f>
        <v>#VALUE!</v>
      </c>
      <c r="AG799" s="117" t="e">
        <f>ROUND(J799-Y799-Z799-AA799-AC799-AB799,0)</f>
        <v>#VALUE!</v>
      </c>
      <c r="AH799" s="116"/>
      <c r="AI799">
        <f t="shared" si="354"/>
        <v>935</v>
      </c>
      <c r="AJ799" t="str">
        <f t="shared" si="378"/>
        <v>S</v>
      </c>
      <c r="AK799" t="str">
        <f>IF(ISERROR(MATCH(AI799&amp;"."&amp;AJ799,AK$91:AK798,0)),AI799&amp;"."&amp;AJ799,AI799&amp;"."&amp;AJ799&amp;COUNTIFS(AI$91:AI798,AI799,AJ$91:AJ798,AJ799))</f>
        <v>935.S</v>
      </c>
    </row>
    <row r="800" spans="1:37" ht="15" hidden="1">
      <c r="A800" s="120">
        <f>ROW()</f>
        <v>800</v>
      </c>
      <c r="B800" s="120"/>
      <c r="E800" s="121" t="s">
        <v>155</v>
      </c>
      <c r="F800" s="138" t="str">
        <f>INDEX(FuncAllocOptions,ROW(A800)-ROW($A$92)+1,[4]Inputs!$S$11)</f>
        <v>CUST</v>
      </c>
      <c r="G800" s="117" t="e">
        <f>SUMIF(FERCJAMFactor,AK800,JAMValue)</f>
        <v>#VALUE!</v>
      </c>
      <c r="H800" s="116" t="e">
        <f t="shared" si="379"/>
        <v>#VALUE!</v>
      </c>
      <c r="I800" s="116" t="e">
        <f t="shared" si="379"/>
        <v>#VALUE!</v>
      </c>
      <c r="J800" s="116" t="e">
        <f t="shared" si="379"/>
        <v>#VALUE!</v>
      </c>
      <c r="K800" s="116" t="e">
        <f t="shared" si="379"/>
        <v>#VALUE!</v>
      </c>
      <c r="L800" s="116" t="e">
        <f t="shared" si="379"/>
        <v>#VALUE!</v>
      </c>
      <c r="N800" s="108">
        <v>0.75</v>
      </c>
      <c r="O800" s="116" t="e">
        <f>$H800*$N800*$M800</f>
        <v>#VALUE!</v>
      </c>
      <c r="P800" s="116" t="e">
        <f>$H800*(1-$N800)*$M800</f>
        <v>#VALUE!</v>
      </c>
      <c r="Q800" s="116" t="e">
        <f>$H800*$N800*(1-$M800)</f>
        <v>#VALUE!</v>
      </c>
      <c r="R800" s="116" t="e">
        <f>$H800*(1-$N800)*(1-$M800)</f>
        <v>#VALUE!</v>
      </c>
      <c r="S800" s="108">
        <v>0.75</v>
      </c>
      <c r="T800" s="116" t="e">
        <f>$I800*$S800*$M800</f>
        <v>#VALUE!</v>
      </c>
      <c r="U800" s="116" t="e">
        <f>$I800*(1-$S800)*$M800</f>
        <v>#VALUE!</v>
      </c>
      <c r="V800" s="116" t="e">
        <f>$I800*$S800*(1-$M800)</f>
        <v>#VALUE!</v>
      </c>
      <c r="W800" s="116" t="e">
        <f>$I800*(1-$S800)*(1-$M800)</f>
        <v>#VALUE!</v>
      </c>
      <c r="X800" s="3" t="str">
        <f>INDEX(DistFuncAllocOptions,ROW(A800)-ROW($A$92)+1,[4]Inputs!$S$11)</f>
        <v>CUST</v>
      </c>
      <c r="Y800" s="116" t="e">
        <f t="shared" si="380"/>
        <v>#VALUE!</v>
      </c>
      <c r="Z800" s="116" t="e">
        <f t="shared" si="380"/>
        <v>#VALUE!</v>
      </c>
      <c r="AA800" s="116" t="e">
        <f t="shared" si="380"/>
        <v>#VALUE!</v>
      </c>
      <c r="AB800" s="116" t="e">
        <f t="shared" si="380"/>
        <v>#VALUE!</v>
      </c>
      <c r="AC800" s="116" t="e">
        <f t="shared" si="380"/>
        <v>#VALUE!</v>
      </c>
      <c r="AD800" s="117" t="e">
        <f>ROUND(SUM(-G800,H800:L800),0)</f>
        <v>#VALUE!</v>
      </c>
      <c r="AE800" s="117" t="e">
        <f>ROUND(H800-O800-P800-Q800-R800,0)</f>
        <v>#VALUE!</v>
      </c>
      <c r="AF800" s="117" t="e">
        <f>ROUND(I800-T800-U800-V800-W800,0)</f>
        <v>#VALUE!</v>
      </c>
      <c r="AG800" s="117" t="e">
        <f>ROUND(J800-Y800-Z800-AA800-AC800-AB800,0)</f>
        <v>#VALUE!</v>
      </c>
      <c r="AH800" s="116"/>
      <c r="AI800">
        <f t="shared" si="354"/>
        <v>935</v>
      </c>
      <c r="AJ800" t="str">
        <f t="shared" si="378"/>
        <v>CN</v>
      </c>
      <c r="AK800" t="str">
        <f>IF(ISERROR(MATCH(AI800&amp;"."&amp;AJ800,AK$91:AK799,0)),AI800&amp;"."&amp;AJ800,AI800&amp;"."&amp;AJ800&amp;COUNTIFS(AI$91:AI799,AI800,AJ$91:AJ799,AJ800))</f>
        <v>935.CN</v>
      </c>
    </row>
    <row r="801" spans="1:37" ht="15" hidden="1">
      <c r="A801" s="120">
        <f>ROW()</f>
        <v>801</v>
      </c>
      <c r="B801" s="120"/>
      <c r="E801" s="121" t="s">
        <v>136</v>
      </c>
      <c r="F801" s="138" t="str">
        <f>INDEX(FuncAllocOptions,ROW(A801)-ROW($A$92)+1,[4]Inputs!$S$11)</f>
        <v>G</v>
      </c>
      <c r="G801" s="133" t="e">
        <f>SUMIF(FERCJAMFactor,AK801,JAMValue)</f>
        <v>#VALUE!</v>
      </c>
      <c r="H801" s="139" t="e">
        <f t="shared" si="379"/>
        <v>#VALUE!</v>
      </c>
      <c r="I801" s="139" t="e">
        <f t="shared" si="379"/>
        <v>#VALUE!</v>
      </c>
      <c r="J801" s="139" t="e">
        <f t="shared" si="379"/>
        <v>#VALUE!</v>
      </c>
      <c r="K801" s="139" t="e">
        <f t="shared" si="379"/>
        <v>#VALUE!</v>
      </c>
      <c r="L801" s="139" t="e">
        <f t="shared" si="379"/>
        <v>#VALUE!</v>
      </c>
      <c r="N801" s="108">
        <v>0.75</v>
      </c>
      <c r="O801" s="116" t="e">
        <f>$H801*$N801*$M801</f>
        <v>#VALUE!</v>
      </c>
      <c r="P801" s="116" t="e">
        <f>$H801*(1-$N801)*$M801</f>
        <v>#VALUE!</v>
      </c>
      <c r="Q801" s="116" t="e">
        <f>$H801*$N801*(1-$M801)</f>
        <v>#VALUE!</v>
      </c>
      <c r="R801" s="116" t="e">
        <f>$H801*(1-$N801)*(1-$M801)</f>
        <v>#VALUE!</v>
      </c>
      <c r="S801" s="108">
        <v>0.75</v>
      </c>
      <c r="T801" s="116" t="e">
        <f>$I801*$S801*$M801</f>
        <v>#VALUE!</v>
      </c>
      <c r="U801" s="116" t="e">
        <f>$I801*(1-$S801)*$M801</f>
        <v>#VALUE!</v>
      </c>
      <c r="V801" s="116" t="e">
        <f>$I801*$S801*(1-$M801)</f>
        <v>#VALUE!</v>
      </c>
      <c r="W801" s="116" t="e">
        <f>$I801*(1-$S801)*(1-$M801)</f>
        <v>#VALUE!</v>
      </c>
      <c r="X801" s="3" t="str">
        <f>INDEX(DistFuncAllocOptions,ROW(A801)-ROW($A$92)+1,[4]Inputs!$S$11)</f>
        <v>GENL</v>
      </c>
      <c r="Y801" s="116" t="e">
        <f t="shared" si="380"/>
        <v>#VALUE!</v>
      </c>
      <c r="Z801" s="116" t="e">
        <f t="shared" si="380"/>
        <v>#VALUE!</v>
      </c>
      <c r="AA801" s="116" t="e">
        <f t="shared" si="380"/>
        <v>#VALUE!</v>
      </c>
      <c r="AB801" s="116" t="e">
        <f t="shared" si="380"/>
        <v>#VALUE!</v>
      </c>
      <c r="AC801" s="116" t="e">
        <f t="shared" si="380"/>
        <v>#VALUE!</v>
      </c>
      <c r="AD801" s="117" t="e">
        <f>ROUND(SUM(-G801,H801:L801),0)</f>
        <v>#VALUE!</v>
      </c>
      <c r="AE801" s="117" t="e">
        <f>ROUND(H801-O801-P801-Q801-R801,0)</f>
        <v>#VALUE!</v>
      </c>
      <c r="AF801" s="117" t="e">
        <f>ROUND(I801-T801-U801-V801-W801,0)</f>
        <v>#VALUE!</v>
      </c>
      <c r="AG801" s="117" t="e">
        <f>ROUND(J801-Y801-Z801-AA801-AC801-AB801,0)</f>
        <v>#VALUE!</v>
      </c>
      <c r="AH801" s="116"/>
      <c r="AI801">
        <f t="shared" si="354"/>
        <v>935</v>
      </c>
      <c r="AJ801" t="str">
        <f t="shared" si="378"/>
        <v>SO</v>
      </c>
      <c r="AK801" t="str">
        <f>IF(ISERROR(MATCH(AI801&amp;"."&amp;AJ801,AK$91:AK800,0)),AI801&amp;"."&amp;AJ801,AI801&amp;"."&amp;AJ801&amp;COUNTIFS(AI$91:AI800,AI801,AJ$91:AJ800,AJ801))</f>
        <v>935.SO</v>
      </c>
    </row>
    <row r="802" spans="1:37" ht="15" hidden="1">
      <c r="A802" s="120">
        <f>ROW()</f>
        <v>802</v>
      </c>
      <c r="B802" s="120"/>
      <c r="E802" s="121"/>
      <c r="F802" s="138"/>
      <c r="G802" s="117" t="e">
        <f t="shared" ref="G802:L802" si="381">SUM(G799:G801)</f>
        <v>#VALUE!</v>
      </c>
      <c r="H802" s="135" t="e">
        <f t="shared" si="381"/>
        <v>#VALUE!</v>
      </c>
      <c r="I802" s="116" t="e">
        <f t="shared" si="381"/>
        <v>#VALUE!</v>
      </c>
      <c r="J802" s="116" t="e">
        <f t="shared" si="381"/>
        <v>#VALUE!</v>
      </c>
      <c r="K802" s="116" t="e">
        <f t="shared" si="381"/>
        <v>#VALUE!</v>
      </c>
      <c r="L802" s="116" t="e">
        <f t="shared" si="381"/>
        <v>#VALUE!</v>
      </c>
      <c r="O802" s="116" t="e">
        <f>SUM(O799:O801)</f>
        <v>#VALUE!</v>
      </c>
      <c r="P802" s="116" t="e">
        <f>SUM(P799:P801)</f>
        <v>#VALUE!</v>
      </c>
      <c r="Q802" s="116" t="e">
        <f>SUM(Q799:Q801)</f>
        <v>#VALUE!</v>
      </c>
      <c r="R802" s="116" t="e">
        <f>SUM(R799:R801)</f>
        <v>#VALUE!</v>
      </c>
      <c r="T802" s="116" t="e">
        <f>SUM(T799:T801)</f>
        <v>#VALUE!</v>
      </c>
      <c r="U802" s="116" t="e">
        <f>SUM(U799:U801)</f>
        <v>#VALUE!</v>
      </c>
      <c r="V802" s="116" t="e">
        <f>SUM(V799:V801)</f>
        <v>#VALUE!</v>
      </c>
      <c r="W802" s="116" t="e">
        <f>SUM(W799:W801)</f>
        <v>#VALUE!</v>
      </c>
      <c r="X802" s="3"/>
      <c r="Y802" s="116" t="e">
        <f>SUM(Y799:Y801)</f>
        <v>#VALUE!</v>
      </c>
      <c r="Z802" s="116" t="e">
        <f>SUM(Z799:Z801)</f>
        <v>#VALUE!</v>
      </c>
      <c r="AA802" s="116" t="e">
        <f>SUM(AA799:AA801)</f>
        <v>#VALUE!</v>
      </c>
      <c r="AB802" s="116" t="e">
        <f>SUM(AB799:AB801)</f>
        <v>#VALUE!</v>
      </c>
      <c r="AC802" s="116" t="e">
        <f>SUM(AC799:AC801)</f>
        <v>#VALUE!</v>
      </c>
      <c r="AD802" s="117" t="e">
        <f>ROUND(SUM(-G802,H802:L802),0)</f>
        <v>#VALUE!</v>
      </c>
      <c r="AE802" s="117" t="e">
        <f>ROUND(H802-O802-P802-Q802-R802,0)</f>
        <v>#VALUE!</v>
      </c>
      <c r="AF802" s="117" t="e">
        <f>ROUND(I802-T802-U802-V802-W802,0)</f>
        <v>#VALUE!</v>
      </c>
      <c r="AG802" s="117" t="e">
        <f>ROUND(J802-Y802-Z802-AA802-AC802-AB802,0)</f>
        <v>#VALUE!</v>
      </c>
      <c r="AH802" s="116"/>
      <c r="AI802">
        <f t="shared" si="354"/>
        <v>935</v>
      </c>
      <c r="AJ802" t="str">
        <f t="shared" si="378"/>
        <v>NA</v>
      </c>
      <c r="AK802" t="str">
        <f>IF(ISERROR(MATCH(AI802&amp;"."&amp;AJ802,AK$91:AK801,0)),AI802&amp;"."&amp;AJ802,AI802&amp;"."&amp;AJ802&amp;COUNTIFS(AI$91:AI801,AI802,AJ$91:AJ801,AJ802))</f>
        <v>935.NA1</v>
      </c>
    </row>
    <row r="803" spans="1:37" ht="15" hidden="1">
      <c r="A803" s="120">
        <f>ROW()</f>
        <v>803</v>
      </c>
      <c r="B803" s="120"/>
      <c r="E803" s="121"/>
      <c r="F803" s="138"/>
      <c r="G803" s="119"/>
      <c r="X803" s="3"/>
      <c r="AD803" s="119"/>
      <c r="AE803" s="119"/>
      <c r="AF803" s="119"/>
      <c r="AG803" s="119"/>
      <c r="AI803">
        <f t="shared" si="354"/>
        <v>935</v>
      </c>
      <c r="AJ803" t="str">
        <f t="shared" si="378"/>
        <v>NA</v>
      </c>
      <c r="AK803" t="str">
        <f>IF(ISERROR(MATCH(AI803&amp;"."&amp;AJ803,AK$91:AK802,0)),AI803&amp;"."&amp;AJ803,AI803&amp;"."&amp;AJ803&amp;COUNTIFS(AI$91:AI802,AI803,AJ$91:AJ802,AJ803))</f>
        <v>935.NA2</v>
      </c>
    </row>
    <row r="804" spans="1:37" ht="15.75" hidden="1" thickBot="1">
      <c r="A804" s="120">
        <f>ROW()</f>
        <v>804</v>
      </c>
      <c r="B804" s="120"/>
      <c r="D804" s="168" t="s">
        <v>760</v>
      </c>
      <c r="E804" s="121"/>
      <c r="F804" s="138"/>
      <c r="G804" s="155" t="e">
        <f t="shared" ref="G804:L804" si="382">G735+G741+G744+G750+G756+G760+G766+G771+G778+G780+G785+G791+G796+G802</f>
        <v>#VALUE!</v>
      </c>
      <c r="H804" s="154" t="e">
        <f t="shared" si="382"/>
        <v>#VALUE!</v>
      </c>
      <c r="I804" s="154" t="e">
        <f t="shared" si="382"/>
        <v>#VALUE!</v>
      </c>
      <c r="J804" s="154" t="e">
        <f t="shared" si="382"/>
        <v>#VALUE!</v>
      </c>
      <c r="K804" s="154" t="e">
        <f t="shared" si="382"/>
        <v>#VALUE!</v>
      </c>
      <c r="L804" s="154" t="e">
        <f t="shared" si="382"/>
        <v>#VALUE!</v>
      </c>
      <c r="O804" s="116" t="e">
        <f>O735+O741+O744+O750+O756+O760+O766+O771+O778+O780+O785+O791+O796+O802</f>
        <v>#VALUE!</v>
      </c>
      <c r="P804" s="116" t="e">
        <f>P735+P741+P744+P750+P756+P760+P766+P771+P778+P780+P785+P791+P796+P802</f>
        <v>#VALUE!</v>
      </c>
      <c r="Q804" s="116" t="e">
        <f>Q735+Q741+Q744+Q750+Q756+Q760+Q766+Q771+Q778+Q780+Q785+Q791+Q796+Q802</f>
        <v>#VALUE!</v>
      </c>
      <c r="R804" s="116" t="e">
        <f>R735+R741+R744+R750+R756+R760+R766+R771+R778+R780+R785+R791+R796+R802</f>
        <v>#VALUE!</v>
      </c>
      <c r="S804" s="116"/>
      <c r="T804" s="116" t="e">
        <f>T735+T741+T744+T750+T756+T760+T766+T771+T778+T780+T785+T791+T796+T802</f>
        <v>#VALUE!</v>
      </c>
      <c r="U804" s="116" t="e">
        <f>U735+U741+U744+U750+U756+U760+U766+U771+U778+U780+U785+U791+U796+U802</f>
        <v>#VALUE!</v>
      </c>
      <c r="V804" s="116" t="e">
        <f>V735+V741+V744+V750+V756+V760+V766+V771+V778+V780+V785+V791+V796+V802</f>
        <v>#VALUE!</v>
      </c>
      <c r="W804" s="116" t="e">
        <f>W735+W741+W744+W750+W756+W760+W766+W771+W778+W780+W785+W791+W796+W802</f>
        <v>#VALUE!</v>
      </c>
      <c r="X804" s="3"/>
      <c r="Y804" s="116" t="e">
        <f>Y735+Y741+Y744+Y750+Y756+Y760+Y766+Y771+Y778+Y780+Y785+Y791+Y796+Y802</f>
        <v>#VALUE!</v>
      </c>
      <c r="Z804" s="116" t="e">
        <f>Z735+Z741+Z744+Z750+Z756+Z760+Z766+Z771+Z778+Z780+Z785+Z791+Z796+Z802</f>
        <v>#VALUE!</v>
      </c>
      <c r="AA804" s="116" t="e">
        <f>AA735+AA741+AA744+AA750+AA756+AA760+AA766+AA771+AA778+AA780+AA785+AA791+AA796+AA802</f>
        <v>#VALUE!</v>
      </c>
      <c r="AB804" s="116" t="e">
        <f>AB735+AB741+AB744+AB750+AB756+AB760+AB766+AB771+AB778+AB780+AB785+AB791+AB796+AB802</f>
        <v>#VALUE!</v>
      </c>
      <c r="AC804" s="116" t="e">
        <f>AC735+AC741+AC744+AC750+AC756+AC760+AC766+AC771+AC778+AC780+AC785+AC791+AC796+AC802</f>
        <v>#VALUE!</v>
      </c>
      <c r="AD804" s="117" t="e">
        <f>ROUND(SUM(-G804,H804:L804),0)</f>
        <v>#VALUE!</v>
      </c>
      <c r="AE804" s="117" t="e">
        <f>ROUND(H804-O804-P804-Q804-R804,0)</f>
        <v>#VALUE!</v>
      </c>
      <c r="AF804" s="117" t="e">
        <f>ROUND(I804-T804-U804-V804-W804,0)</f>
        <v>#VALUE!</v>
      </c>
      <c r="AG804" s="117" t="e">
        <f>ROUND(J804-Y804-Z804-AA804-AC804-AB804,0)</f>
        <v>#VALUE!</v>
      </c>
      <c r="AH804" s="116"/>
      <c r="AI804">
        <f t="shared" si="354"/>
        <v>935</v>
      </c>
      <c r="AJ804" t="str">
        <f t="shared" si="378"/>
        <v>NA</v>
      </c>
      <c r="AK804" t="str">
        <f>IF(ISERROR(MATCH(AI804&amp;"."&amp;AJ804,AK$91:AK803,0)),AI804&amp;"."&amp;AJ804,AI804&amp;"."&amp;AJ804&amp;COUNTIFS(AI$91:AI803,AI804,AJ$91:AJ803,AJ804))</f>
        <v>935.NA3</v>
      </c>
    </row>
    <row r="805" spans="1:37" ht="15" hidden="1">
      <c r="A805" s="120">
        <f>ROW()</f>
        <v>805</v>
      </c>
      <c r="B805" s="120"/>
      <c r="E805" s="121"/>
      <c r="F805" s="138"/>
      <c r="G805" s="119"/>
      <c r="X805" s="3"/>
      <c r="AD805" s="119"/>
      <c r="AE805" s="119"/>
      <c r="AF805" s="119"/>
      <c r="AG805" s="119"/>
      <c r="AI805">
        <f t="shared" si="354"/>
        <v>935</v>
      </c>
      <c r="AJ805" t="str">
        <f t="shared" si="378"/>
        <v>NA</v>
      </c>
      <c r="AK805" t="str">
        <f>IF(ISERROR(MATCH(AI805&amp;"."&amp;AJ805,AK$91:AK804,0)),AI805&amp;"."&amp;AJ805,AI805&amp;"."&amp;AJ805&amp;COUNTIFS(AI$91:AI804,AI805,AJ$91:AJ804,AJ805))</f>
        <v>935.NA4</v>
      </c>
    </row>
    <row r="806" spans="1:37" ht="15" hidden="1">
      <c r="A806" s="120">
        <f>ROW()</f>
        <v>806</v>
      </c>
      <c r="B806" s="120"/>
      <c r="E806" s="121"/>
      <c r="F806" s="138"/>
      <c r="G806" s="119"/>
      <c r="X806" s="3"/>
      <c r="AD806" s="119"/>
      <c r="AE806" s="119"/>
      <c r="AF806" s="119"/>
      <c r="AG806" s="119"/>
      <c r="AI806">
        <f t="shared" si="354"/>
        <v>935</v>
      </c>
      <c r="AJ806" t="str">
        <f t="shared" si="378"/>
        <v>NA</v>
      </c>
      <c r="AK806" t="str">
        <f>IF(ISERROR(MATCH(AI806&amp;"."&amp;AJ806,AK$91:AK805,0)),AI806&amp;"."&amp;AJ806,AI806&amp;"."&amp;AJ806&amp;COUNTIFS(AI$91:AI805,AI806,AJ$91:AJ805,AJ806))</f>
        <v>935.NA5</v>
      </c>
    </row>
    <row r="807" spans="1:37" ht="15.75" hidden="1" thickBot="1">
      <c r="A807" s="120">
        <f>ROW()</f>
        <v>807</v>
      </c>
      <c r="B807" s="120"/>
      <c r="C807" s="110" t="s">
        <v>759</v>
      </c>
      <c r="D807" s="168"/>
      <c r="E807" s="121"/>
      <c r="F807" s="138"/>
      <c r="G807" s="153" t="e">
        <f t="shared" ref="G807:L807" si="383">G499+G559+G656+G684+G706+G728+G804</f>
        <v>#VALUE!</v>
      </c>
      <c r="H807" s="152" t="e">
        <f t="shared" si="383"/>
        <v>#VALUE!</v>
      </c>
      <c r="I807" s="152" t="e">
        <f t="shared" si="383"/>
        <v>#VALUE!</v>
      </c>
      <c r="J807" s="152" t="e">
        <f t="shared" si="383"/>
        <v>#VALUE!</v>
      </c>
      <c r="K807" s="152" t="e">
        <f t="shared" si="383"/>
        <v>#VALUE!</v>
      </c>
      <c r="L807" s="152" t="e">
        <f t="shared" si="383"/>
        <v>#VALUE!</v>
      </c>
      <c r="N807" s="116"/>
      <c r="O807" s="116" t="e">
        <f>O499+O559+O656+O684+O706+O728+O804</f>
        <v>#VALUE!</v>
      </c>
      <c r="P807" s="116" t="e">
        <f>P499+P559+P656+P684+P706+P728+P804</f>
        <v>#VALUE!</v>
      </c>
      <c r="Q807" s="116" t="e">
        <f>Q499+Q559+Q656+Q684+Q706+Q728+Q804</f>
        <v>#VALUE!</v>
      </c>
      <c r="R807" s="116" t="e">
        <f>R499+R559+R656+R684+R706+R728+R804</f>
        <v>#VALUE!</v>
      </c>
      <c r="S807" s="116"/>
      <c r="T807" s="116" t="e">
        <f>T499+T559+T656+T684+T706+T728+T804</f>
        <v>#VALUE!</v>
      </c>
      <c r="U807" s="116" t="e">
        <f>U499+U559+U656+U684+U706+U728+U804</f>
        <v>#VALUE!</v>
      </c>
      <c r="V807" s="116" t="e">
        <f>V499+V559+V656+V684+V706+V728+V804</f>
        <v>#VALUE!</v>
      </c>
      <c r="W807" s="116" t="e">
        <f>W499+W559+W656+W684+W706+W728+W804</f>
        <v>#VALUE!</v>
      </c>
      <c r="X807" s="3"/>
      <c r="Y807" s="116" t="e">
        <f>Y499+Y559+Y656+Y684+Y706+Y728+Y804</f>
        <v>#VALUE!</v>
      </c>
      <c r="Z807" s="116" t="e">
        <f>Z499+Z559+Z656+Z684+Z706+Z728+Z804</f>
        <v>#VALUE!</v>
      </c>
      <c r="AA807" s="116" t="e">
        <f>AA499+AA559+AA656+AA684+AA706+AA728+AA804</f>
        <v>#VALUE!</v>
      </c>
      <c r="AB807" s="116" t="e">
        <f>AB499+AB559+AB656+AB684+AB706+AB728+AB804</f>
        <v>#VALUE!</v>
      </c>
      <c r="AC807" s="116" t="e">
        <f>AC499+AC559+AC656+AC684+AC706+AC728+AC804</f>
        <v>#VALUE!</v>
      </c>
      <c r="AD807" s="117" t="e">
        <f>ROUND(SUM(-G807,H807:L807),0)</f>
        <v>#VALUE!</v>
      </c>
      <c r="AE807" s="117" t="e">
        <f>ROUND(H807-O807-P807-Q807-R807,0)</f>
        <v>#VALUE!</v>
      </c>
      <c r="AF807" s="117" t="e">
        <f>ROUND(I807-T807-U807-V807-W807,0)</f>
        <v>#VALUE!</v>
      </c>
      <c r="AG807" s="117" t="e">
        <f>ROUND(J807-Y807-Z807-AA807-AC807-AB807,0)</f>
        <v>#VALUE!</v>
      </c>
      <c r="AH807" s="116"/>
      <c r="AI807" t="str">
        <f t="shared" si="354"/>
        <v>TOTAL O&amp;M EXPENSE</v>
      </c>
      <c r="AJ807" t="str">
        <f t="shared" si="378"/>
        <v>NA</v>
      </c>
      <c r="AK807" t="str">
        <f>IF(ISERROR(MATCH(AI807&amp;"."&amp;AJ807,AK$91:AK806,0)),AI807&amp;"."&amp;AJ807,AI807&amp;"."&amp;AJ807&amp;COUNTIFS(AI$91:AI806,AI807,AJ$91:AJ806,AJ807))</f>
        <v>TOTAL O&amp;M EXPENSE.NA</v>
      </c>
    </row>
    <row r="808" spans="1:37" ht="15" hidden="1">
      <c r="A808" s="120">
        <f>ROW()</f>
        <v>808</v>
      </c>
      <c r="B808" s="120"/>
      <c r="E808" s="121"/>
      <c r="F808" s="138"/>
      <c r="G808" s="119"/>
      <c r="X808" s="3"/>
      <c r="AD808" s="119"/>
      <c r="AE808" s="119"/>
      <c r="AF808" s="119"/>
      <c r="AG808" s="119"/>
      <c r="AI808" t="str">
        <f t="shared" si="354"/>
        <v>TOTAL O&amp;M EXPENSE</v>
      </c>
      <c r="AJ808" t="str">
        <f t="shared" si="378"/>
        <v>NA</v>
      </c>
      <c r="AK808" t="str">
        <f>IF(ISERROR(MATCH(AI808&amp;"."&amp;AJ808,AK$91:AK807,0)),AI808&amp;"."&amp;AJ808,AI808&amp;"."&amp;AJ808&amp;COUNTIFS(AI$91:AI807,AI808,AJ$91:AJ807,AJ808))</f>
        <v>TOTAL O&amp;M EXPENSE.NA1</v>
      </c>
    </row>
    <row r="809" spans="1:37" ht="15" hidden="1">
      <c r="A809" s="120">
        <f>ROW()</f>
        <v>809</v>
      </c>
      <c r="B809" s="120"/>
      <c r="C809" s="1" t="s">
        <v>231</v>
      </c>
      <c r="D809" s="2" t="s">
        <v>371</v>
      </c>
      <c r="E809" s="121"/>
      <c r="F809" s="138"/>
      <c r="G809" s="119"/>
      <c r="X809" s="3"/>
      <c r="AD809" s="119"/>
      <c r="AE809" s="119"/>
      <c r="AF809" s="119"/>
      <c r="AG809" s="119"/>
      <c r="AI809" t="str">
        <f t="shared" si="354"/>
        <v>403SP</v>
      </c>
      <c r="AJ809" t="str">
        <f t="shared" si="378"/>
        <v>NA</v>
      </c>
      <c r="AK809" t="str">
        <f>IF(ISERROR(MATCH(AI809&amp;"."&amp;AJ809,AK$91:AK808,0)),AI809&amp;"."&amp;AJ809,AI809&amp;"."&amp;AJ809&amp;COUNTIFS(AI$91:AI808,AI809,AJ$91:AJ808,AJ809))</f>
        <v>403SP.NA</v>
      </c>
    </row>
    <row r="810" spans="1:37" ht="15" hidden="1">
      <c r="A810" s="120">
        <f>ROW()</f>
        <v>810</v>
      </c>
      <c r="B810" s="120"/>
      <c r="C810" s="1"/>
      <c r="E810" s="121" t="s">
        <v>15</v>
      </c>
      <c r="F810" s="138" t="str">
        <f>INDEX(FuncAllocOptions,ROW(A810)-ROW($A$92)+1,[4]Inputs!$S$11)</f>
        <v>P</v>
      </c>
      <c r="G810" s="117" t="e">
        <f>SUMIF(FERCJAMFactor,AK810,JAMValue)</f>
        <v>#VALUE!</v>
      </c>
      <c r="H810" s="116" t="e">
        <f t="shared" ref="H810:L813" si="384">INDEX(FuncFactorTbl,MATCH($F810,FuncFactors,0),MATCH(H$8,Functions,0))*$G810</f>
        <v>#VALUE!</v>
      </c>
      <c r="I810" s="116" t="e">
        <f t="shared" si="384"/>
        <v>#VALUE!</v>
      </c>
      <c r="J810" s="116" t="e">
        <f t="shared" si="384"/>
        <v>#VALUE!</v>
      </c>
      <c r="K810" s="116" t="e">
        <f t="shared" si="384"/>
        <v>#VALUE!</v>
      </c>
      <c r="L810" s="116" t="e">
        <f t="shared" si="384"/>
        <v>#VALUE!</v>
      </c>
      <c r="N810" s="108">
        <v>0.75</v>
      </c>
      <c r="O810" s="116" t="e">
        <f>$H810*$N810*$M810</f>
        <v>#VALUE!</v>
      </c>
      <c r="P810" s="116" t="e">
        <f>$H810*(1-$N810)*$M810</f>
        <v>#VALUE!</v>
      </c>
      <c r="Q810" s="116" t="e">
        <f>$H810*$N810*(1-$M810)</f>
        <v>#VALUE!</v>
      </c>
      <c r="R810" s="116" t="e">
        <f>$H810*(1-$N810)*(1-$M810)</f>
        <v>#VALUE!</v>
      </c>
      <c r="T810" s="116"/>
      <c r="U810" s="116"/>
      <c r="V810" s="116"/>
      <c r="W810" s="116"/>
      <c r="X810" s="3"/>
      <c r="AD810" s="117" t="e">
        <f>ROUND(SUM(-G810,H810:L810),0)</f>
        <v>#VALUE!</v>
      </c>
      <c r="AE810" s="117" t="e">
        <f>ROUND(H810-O810-P810-Q810-R810,0)</f>
        <v>#VALUE!</v>
      </c>
      <c r="AF810" s="117" t="e">
        <f>ROUND(I810-T810-U810-V810-W810,0)</f>
        <v>#VALUE!</v>
      </c>
      <c r="AG810" s="117" t="e">
        <f>ROUND(J810-Y810-Z810-AA810-AC810-AB810,0)</f>
        <v>#VALUE!</v>
      </c>
      <c r="AH810" s="116"/>
      <c r="AI810" t="str">
        <f t="shared" si="354"/>
        <v>403SP</v>
      </c>
      <c r="AJ810" t="str">
        <f t="shared" si="378"/>
        <v>SG</v>
      </c>
      <c r="AK810" t="str">
        <f>IF(ISERROR(MATCH(AI810&amp;"."&amp;AJ810,AK$91:AK809,0)),AI810&amp;"."&amp;AJ810,AI810&amp;"."&amp;AJ810&amp;COUNTIFS(AI$91:AI809,AI810,AJ$91:AJ809,AJ810))</f>
        <v>403SP.SG</v>
      </c>
    </row>
    <row r="811" spans="1:37" ht="15" hidden="1">
      <c r="A811" s="120">
        <f>ROW()</f>
        <v>811</v>
      </c>
      <c r="B811" s="120"/>
      <c r="C811" s="1"/>
      <c r="E811" s="121" t="s">
        <v>15</v>
      </c>
      <c r="F811" s="138" t="str">
        <f>INDEX(FuncAllocOptions,ROW(A811)-ROW($A$92)+1,[4]Inputs!$S$11)</f>
        <v>P</v>
      </c>
      <c r="G811" s="117" t="e">
        <f>SUMIF(FERCJAMFactor,AK811,JAMValue)</f>
        <v>#VALUE!</v>
      </c>
      <c r="H811" s="116" t="e">
        <f t="shared" si="384"/>
        <v>#VALUE!</v>
      </c>
      <c r="I811" s="116" t="e">
        <f t="shared" si="384"/>
        <v>#VALUE!</v>
      </c>
      <c r="J811" s="116" t="e">
        <f t="shared" si="384"/>
        <v>#VALUE!</v>
      </c>
      <c r="K811" s="116" t="e">
        <f t="shared" si="384"/>
        <v>#VALUE!</v>
      </c>
      <c r="L811" s="116" t="e">
        <f t="shared" si="384"/>
        <v>#VALUE!</v>
      </c>
      <c r="N811" s="108">
        <v>0.75</v>
      </c>
      <c r="O811" s="116" t="e">
        <f>$H811*$N811*$M811</f>
        <v>#VALUE!</v>
      </c>
      <c r="P811" s="116" t="e">
        <f>$H811*(1-$N811)*$M811</f>
        <v>#VALUE!</v>
      </c>
      <c r="Q811" s="116" t="e">
        <f>$H811*$N811*(1-$M811)</f>
        <v>#VALUE!</v>
      </c>
      <c r="R811" s="116" t="e">
        <f>$H811*(1-$N811)*(1-$M811)</f>
        <v>#VALUE!</v>
      </c>
      <c r="T811" s="116"/>
      <c r="U811" s="116"/>
      <c r="V811" s="116"/>
      <c r="W811" s="116"/>
      <c r="X811" s="3"/>
      <c r="AD811" s="117" t="e">
        <f>ROUND(SUM(-G811,H811:L811),0)</f>
        <v>#VALUE!</v>
      </c>
      <c r="AE811" s="117" t="e">
        <f>ROUND(H811-O811-P811-Q811-R811,0)</f>
        <v>#VALUE!</v>
      </c>
      <c r="AF811" s="117" t="e">
        <f>ROUND(I811-T811-U811-V811-W811,0)</f>
        <v>#VALUE!</v>
      </c>
      <c r="AG811" s="117" t="e">
        <f>ROUND(J811-Y811-Z811-AA811-AC811-AB811,0)</f>
        <v>#VALUE!</v>
      </c>
      <c r="AH811" s="116"/>
      <c r="AI811" t="str">
        <f t="shared" si="354"/>
        <v>403SP</v>
      </c>
      <c r="AJ811" t="str">
        <f t="shared" si="378"/>
        <v>SG</v>
      </c>
      <c r="AK811" t="str">
        <f>IF(ISERROR(MATCH(AI811&amp;"."&amp;AJ811,AK$91:AK810,0)),AI811&amp;"."&amp;AJ811,AI811&amp;"."&amp;AJ811&amp;COUNTIFS(AI$91:AI810,AI811,AJ$91:AJ810,AJ811))</f>
        <v>403SP.SG1</v>
      </c>
    </row>
    <row r="812" spans="1:37" ht="15" hidden="1">
      <c r="A812" s="120">
        <f>ROW()</f>
        <v>812</v>
      </c>
      <c r="B812" s="120"/>
      <c r="C812" s="1"/>
      <c r="E812" s="121" t="s">
        <v>15</v>
      </c>
      <c r="F812" s="138" t="str">
        <f>INDEX(FuncAllocOptions,ROW(A812)-ROW($A$92)+1,[4]Inputs!$S$11)</f>
        <v>P</v>
      </c>
      <c r="G812" s="117" t="e">
        <f>SUMIF(FERCJAMFactor,AK812,JAMValue)</f>
        <v>#VALUE!</v>
      </c>
      <c r="H812" s="116" t="e">
        <f t="shared" si="384"/>
        <v>#VALUE!</v>
      </c>
      <c r="I812" s="116" t="e">
        <f t="shared" si="384"/>
        <v>#VALUE!</v>
      </c>
      <c r="J812" s="116" t="e">
        <f t="shared" si="384"/>
        <v>#VALUE!</v>
      </c>
      <c r="K812" s="116" t="e">
        <f t="shared" si="384"/>
        <v>#VALUE!</v>
      </c>
      <c r="L812" s="116" t="e">
        <f t="shared" si="384"/>
        <v>#VALUE!</v>
      </c>
      <c r="N812" s="108">
        <v>0.75</v>
      </c>
      <c r="O812" s="116" t="e">
        <f>$H812*$N812*$M812</f>
        <v>#VALUE!</v>
      </c>
      <c r="P812" s="116" t="e">
        <f>$H812*(1-$N812)*$M812</f>
        <v>#VALUE!</v>
      </c>
      <c r="Q812" s="116" t="e">
        <f>$H812*$N812*(1-$M812)</f>
        <v>#VALUE!</v>
      </c>
      <c r="R812" s="116" t="e">
        <f>$H812*(1-$N812)*(1-$M812)</f>
        <v>#VALUE!</v>
      </c>
      <c r="T812" s="116"/>
      <c r="U812" s="116"/>
      <c r="V812" s="116"/>
      <c r="W812" s="116"/>
      <c r="X812" s="3"/>
      <c r="AD812" s="117" t="e">
        <f>ROUND(SUM(-G812,H812:L812),0)</f>
        <v>#VALUE!</v>
      </c>
      <c r="AE812" s="117" t="e">
        <f>ROUND(H812-O812-P812-Q812-R812,0)</f>
        <v>#VALUE!</v>
      </c>
      <c r="AF812" s="117" t="e">
        <f>ROUND(I812-T812-U812-V812-W812,0)</f>
        <v>#VALUE!</v>
      </c>
      <c r="AG812" s="117" t="e">
        <f>ROUND(J812-Y812-Z812-AA812-AC812-AB812,0)</f>
        <v>#VALUE!</v>
      </c>
      <c r="AH812" s="116"/>
      <c r="AI812" t="str">
        <f t="shared" ref="AI812:AI875" si="385">IF(OR(C812="",C812=" ",C812="  ",C812="   "),AI811,C812)</f>
        <v>403SP</v>
      </c>
      <c r="AJ812" t="str">
        <f t="shared" si="378"/>
        <v>SG</v>
      </c>
      <c r="AK812" t="str">
        <f>IF(ISERROR(MATCH(AI812&amp;"."&amp;AJ812,AK$91:AK811,0)),AI812&amp;"."&amp;AJ812,AI812&amp;"."&amp;AJ812&amp;COUNTIFS(AI$91:AI811,AI812,AJ$91:AJ811,AJ812))</f>
        <v>403SP.SG2</v>
      </c>
    </row>
    <row r="813" spans="1:37" ht="15" hidden="1">
      <c r="A813" s="120">
        <f>ROW()</f>
        <v>813</v>
      </c>
      <c r="B813" s="120"/>
      <c r="C813" s="1"/>
      <c r="E813" s="121" t="s">
        <v>15</v>
      </c>
      <c r="F813" s="138" t="str">
        <f>INDEX(FuncAllocOptions,ROW(A813)-ROW($A$92)+1,[4]Inputs!$S$11)</f>
        <v>P</v>
      </c>
      <c r="G813" s="133" t="e">
        <f>SUMIF(FERCJAMFactor,AK813,JAMValue)</f>
        <v>#VALUE!</v>
      </c>
      <c r="H813" s="139" t="e">
        <f t="shared" si="384"/>
        <v>#VALUE!</v>
      </c>
      <c r="I813" s="139" t="e">
        <f t="shared" si="384"/>
        <v>#VALUE!</v>
      </c>
      <c r="J813" s="139" t="e">
        <f t="shared" si="384"/>
        <v>#VALUE!</v>
      </c>
      <c r="K813" s="139" t="e">
        <f t="shared" si="384"/>
        <v>#VALUE!</v>
      </c>
      <c r="L813" s="139" t="e">
        <f t="shared" si="384"/>
        <v>#VALUE!</v>
      </c>
      <c r="N813" s="108">
        <v>0.75</v>
      </c>
      <c r="O813" s="116" t="e">
        <f>$H813*$N813*$M813</f>
        <v>#VALUE!</v>
      </c>
      <c r="P813" s="116" t="e">
        <f>$H813*(1-$N813)*$M813</f>
        <v>#VALUE!</v>
      </c>
      <c r="Q813" s="116" t="e">
        <f>$H813*$N813*(1-$M813)</f>
        <v>#VALUE!</v>
      </c>
      <c r="R813" s="116" t="e">
        <f>$H813*(1-$N813)*(1-$M813)</f>
        <v>#VALUE!</v>
      </c>
      <c r="T813" s="116"/>
      <c r="U813" s="116"/>
      <c r="V813" s="116"/>
      <c r="W813" s="116"/>
      <c r="X813" s="3"/>
      <c r="AD813" s="117" t="e">
        <f>ROUND(SUM(-G813,H813:L813),0)</f>
        <v>#VALUE!</v>
      </c>
      <c r="AE813" s="117" t="e">
        <f>ROUND(H813-O813-P813-Q813-R813,0)</f>
        <v>#VALUE!</v>
      </c>
      <c r="AF813" s="117" t="e">
        <f>ROUND(I813-T813-U813-V813-W813,0)</f>
        <v>#VALUE!</v>
      </c>
      <c r="AG813" s="117" t="e">
        <f>ROUND(J813-Y813-Z813-AA813-AC813-AB813,0)</f>
        <v>#VALUE!</v>
      </c>
      <c r="AH813" s="116"/>
      <c r="AI813" t="str">
        <f t="shared" si="385"/>
        <v>403SP</v>
      </c>
      <c r="AJ813" t="str">
        <f t="shared" si="378"/>
        <v>SG</v>
      </c>
      <c r="AK813" t="str">
        <f>IF(ISERROR(MATCH(AI813&amp;"."&amp;AJ813,AK$91:AK812,0)),AI813&amp;"."&amp;AJ813,AI813&amp;"."&amp;AJ813&amp;COUNTIFS(AI$91:AI812,AI813,AJ$91:AJ812,AJ813))</f>
        <v>403SP.SG3</v>
      </c>
    </row>
    <row r="814" spans="1:37" ht="15" hidden="1">
      <c r="A814" s="120">
        <f>ROW()</f>
        <v>814</v>
      </c>
      <c r="B814" s="120"/>
      <c r="C814" s="1"/>
      <c r="E814" s="121"/>
      <c r="F814" s="138"/>
      <c r="G814" s="117" t="e">
        <f t="shared" ref="G814:L814" si="386">SUM(G810:G813)</f>
        <v>#VALUE!</v>
      </c>
      <c r="H814" s="116" t="e">
        <f t="shared" si="386"/>
        <v>#VALUE!</v>
      </c>
      <c r="I814" s="116" t="e">
        <f t="shared" si="386"/>
        <v>#VALUE!</v>
      </c>
      <c r="J814" s="116" t="e">
        <f t="shared" si="386"/>
        <v>#VALUE!</v>
      </c>
      <c r="K814" s="116" t="e">
        <f t="shared" si="386"/>
        <v>#VALUE!</v>
      </c>
      <c r="L814" s="116" t="e">
        <f t="shared" si="386"/>
        <v>#VALUE!</v>
      </c>
      <c r="O814" s="116" t="e">
        <f>SUM(O810:O813)</f>
        <v>#VALUE!</v>
      </c>
      <c r="P814" s="116" t="e">
        <f>SUM(P810:P813)</f>
        <v>#VALUE!</v>
      </c>
      <c r="Q814" s="116" t="e">
        <f>SUM(Q810:Q813)</f>
        <v>#VALUE!</v>
      </c>
      <c r="R814" s="116" t="e">
        <f>SUM(R810:R813)</f>
        <v>#VALUE!</v>
      </c>
      <c r="T814" s="116">
        <f>SUM(T810:T813)</f>
        <v>0</v>
      </c>
      <c r="U814" s="116">
        <f>SUM(U810:U813)</f>
        <v>0</v>
      </c>
      <c r="V814" s="116">
        <f>SUM(V810:V813)</f>
        <v>0</v>
      </c>
      <c r="W814" s="116">
        <f>SUM(W810:W813)</f>
        <v>0</v>
      </c>
      <c r="X814" s="3"/>
      <c r="Y814" s="116">
        <f>SUM(Y810:Y813)</f>
        <v>0</v>
      </c>
      <c r="Z814" s="116">
        <f>SUM(Z810:Z813)</f>
        <v>0</v>
      </c>
      <c r="AA814" s="116">
        <f>SUM(AA810:AA813)</f>
        <v>0</v>
      </c>
      <c r="AB814" s="116">
        <f>SUM(AB810:AB813)</f>
        <v>0</v>
      </c>
      <c r="AC814" s="116">
        <f>SUM(AC810:AC813)</f>
        <v>0</v>
      </c>
      <c r="AD814" s="117" t="e">
        <f>ROUND(SUM(-G814,H814:L814),0)</f>
        <v>#VALUE!</v>
      </c>
      <c r="AE814" s="117" t="e">
        <f>ROUND(H814-O814-P814-Q814-R814,0)</f>
        <v>#VALUE!</v>
      </c>
      <c r="AF814" s="117" t="e">
        <f>ROUND(I814-T814-U814-V814-W814,0)</f>
        <v>#VALUE!</v>
      </c>
      <c r="AG814" s="117" t="e">
        <f>ROUND(J814-Y814-Z814-AA814-AC814-AB814,0)</f>
        <v>#VALUE!</v>
      </c>
      <c r="AH814" s="116"/>
      <c r="AI814" t="str">
        <f t="shared" si="385"/>
        <v>403SP</v>
      </c>
      <c r="AJ814" t="str">
        <f t="shared" si="378"/>
        <v>NA</v>
      </c>
      <c r="AK814" t="str">
        <f>IF(ISERROR(MATCH(AI814&amp;"."&amp;AJ814,AK$91:AK813,0)),AI814&amp;"."&amp;AJ814,AI814&amp;"."&amp;AJ814&amp;COUNTIFS(AI$91:AI813,AI814,AJ$91:AJ813,AJ814))</f>
        <v>403SP.NA1</v>
      </c>
    </row>
    <row r="815" spans="1:37" ht="15" hidden="1">
      <c r="A815" s="120">
        <f>ROW()</f>
        <v>815</v>
      </c>
      <c r="B815" s="120"/>
      <c r="C815" s="1"/>
      <c r="E815" s="121"/>
      <c r="F815" s="138"/>
      <c r="G815" s="119"/>
      <c r="X815" s="3"/>
      <c r="AD815" s="119"/>
      <c r="AE815" s="119"/>
      <c r="AF815" s="119"/>
      <c r="AG815" s="119"/>
      <c r="AI815" t="str">
        <f t="shared" si="385"/>
        <v>403SP</v>
      </c>
      <c r="AJ815" t="str">
        <f t="shared" si="378"/>
        <v>NA</v>
      </c>
      <c r="AK815" t="str">
        <f>IF(ISERROR(MATCH(AI815&amp;"."&amp;AJ815,AK$91:AK814,0)),AI815&amp;"."&amp;AJ815,AI815&amp;"."&amp;AJ815&amp;COUNTIFS(AI$91:AI814,AI815,AJ$91:AJ814,AJ815))</f>
        <v>403SP.NA2</v>
      </c>
    </row>
    <row r="816" spans="1:37" ht="15" hidden="1">
      <c r="A816" s="120">
        <f>ROW()</f>
        <v>816</v>
      </c>
      <c r="B816" s="120"/>
      <c r="C816" s="1" t="s">
        <v>229</v>
      </c>
      <c r="D816" s="2" t="s">
        <v>373</v>
      </c>
      <c r="E816" s="121"/>
      <c r="F816" s="138"/>
      <c r="G816" s="119"/>
      <c r="X816" s="3"/>
      <c r="AD816" s="119"/>
      <c r="AE816" s="119"/>
      <c r="AF816" s="119"/>
      <c r="AG816" s="119"/>
      <c r="AI816" t="str">
        <f t="shared" si="385"/>
        <v>403NP</v>
      </c>
      <c r="AJ816" t="str">
        <f t="shared" si="378"/>
        <v>NA</v>
      </c>
      <c r="AK816" t="str">
        <f>IF(ISERROR(MATCH(AI816&amp;"."&amp;AJ816,AK$91:AK815,0)),AI816&amp;"."&amp;AJ816,AI816&amp;"."&amp;AJ816&amp;COUNTIFS(AI$91:AI815,AI816,AJ$91:AJ815,AJ816))</f>
        <v>403NP.NA</v>
      </c>
    </row>
    <row r="817" spans="1:37" ht="15" hidden="1">
      <c r="A817" s="120">
        <f>ROW()</f>
        <v>817</v>
      </c>
      <c r="B817" s="120"/>
      <c r="C817" s="1"/>
      <c r="E817" s="121" t="s">
        <v>15</v>
      </c>
      <c r="F817" s="138" t="str">
        <f>INDEX(FuncAllocOptions,ROW(A817)-ROW($A$92)+1,[4]Inputs!$S$11)</f>
        <v>P</v>
      </c>
      <c r="G817" s="133" t="e">
        <f>SUMIF(FERCJAMFactor,AK817,JAMValue)</f>
        <v>#VALUE!</v>
      </c>
      <c r="H817" s="139" t="e">
        <f>INDEX(FuncFactorTbl,MATCH($F817,FuncFactors,0),MATCH(H$8,Functions,0))*$G817</f>
        <v>#VALUE!</v>
      </c>
      <c r="I817" s="139" t="e">
        <f>INDEX(FuncFactorTbl,MATCH($F817,FuncFactors,0),MATCH(I$8,Functions,0))*$G817</f>
        <v>#VALUE!</v>
      </c>
      <c r="J817" s="139" t="e">
        <f>INDEX(FuncFactorTbl,MATCH($F817,FuncFactors,0),MATCH(J$8,Functions,0))*$G817</f>
        <v>#VALUE!</v>
      </c>
      <c r="K817" s="139" t="e">
        <f>INDEX(FuncFactorTbl,MATCH($F817,FuncFactors,0),MATCH(K$8,Functions,0))*$G817</f>
        <v>#VALUE!</v>
      </c>
      <c r="L817" s="139" t="e">
        <f>INDEX(FuncFactorTbl,MATCH($F817,FuncFactors,0),MATCH(L$8,Functions,0))*$G817</f>
        <v>#VALUE!</v>
      </c>
      <c r="N817" s="108">
        <v>0.75</v>
      </c>
      <c r="O817" s="116" t="e">
        <f>$H817*$N817*$M817</f>
        <v>#VALUE!</v>
      </c>
      <c r="P817" s="116" t="e">
        <f>$H817*(1-$N817)*$M817</f>
        <v>#VALUE!</v>
      </c>
      <c r="Q817" s="116" t="e">
        <f>$H817*$N817*(1-$M817)</f>
        <v>#VALUE!</v>
      </c>
      <c r="R817" s="116" t="e">
        <f>$H817*(1-$N817)*(1-$M817)</f>
        <v>#VALUE!</v>
      </c>
      <c r="T817" s="116"/>
      <c r="U817" s="116"/>
      <c r="V817" s="116"/>
      <c r="W817" s="116"/>
      <c r="X817" s="3"/>
      <c r="AD817" s="117" t="e">
        <f>ROUND(SUM(-G817,H817:L817),0)</f>
        <v>#VALUE!</v>
      </c>
      <c r="AE817" s="117" t="e">
        <f>ROUND(H817-O817-P817-Q817-R817,0)</f>
        <v>#VALUE!</v>
      </c>
      <c r="AF817" s="117" t="e">
        <f>ROUND(I817-T817-U817-V817-W817,0)</f>
        <v>#VALUE!</v>
      </c>
      <c r="AG817" s="117" t="e">
        <f>ROUND(J817-Y817-Z817-AA817-AC817-AB817,0)</f>
        <v>#VALUE!</v>
      </c>
      <c r="AH817" s="116"/>
      <c r="AI817" t="str">
        <f t="shared" si="385"/>
        <v>403NP</v>
      </c>
      <c r="AJ817" t="str">
        <f t="shared" si="378"/>
        <v>SG</v>
      </c>
      <c r="AK817" t="str">
        <f>IF(ISERROR(MATCH(AI817&amp;"."&amp;AJ817,AK$91:AK816,0)),AI817&amp;"."&amp;AJ817,AI817&amp;"."&amp;AJ817&amp;COUNTIFS(AI$91:AI816,AI817,AJ$91:AJ816,AJ817))</f>
        <v>403NP.SG</v>
      </c>
    </row>
    <row r="818" spans="1:37" ht="15" hidden="1">
      <c r="A818" s="120">
        <f>ROW()</f>
        <v>818</v>
      </c>
      <c r="B818" s="120"/>
      <c r="C818" s="1"/>
      <c r="E818" s="121"/>
      <c r="F818" s="138"/>
      <c r="G818" s="117" t="e">
        <f t="shared" ref="G818:L818" si="387">SUM(G817)</f>
        <v>#VALUE!</v>
      </c>
      <c r="H818" s="116" t="e">
        <f t="shared" si="387"/>
        <v>#VALUE!</v>
      </c>
      <c r="I818" s="116" t="e">
        <f t="shared" si="387"/>
        <v>#VALUE!</v>
      </c>
      <c r="J818" s="116" t="e">
        <f t="shared" si="387"/>
        <v>#VALUE!</v>
      </c>
      <c r="K818" s="116" t="e">
        <f t="shared" si="387"/>
        <v>#VALUE!</v>
      </c>
      <c r="L818" s="116" t="e">
        <f t="shared" si="387"/>
        <v>#VALUE!</v>
      </c>
      <c r="O818" s="116" t="e">
        <f>SUM(O817)</f>
        <v>#VALUE!</v>
      </c>
      <c r="P818" s="116" t="e">
        <f>SUM(P817)</f>
        <v>#VALUE!</v>
      </c>
      <c r="Q818" s="116" t="e">
        <f>SUM(Q817)</f>
        <v>#VALUE!</v>
      </c>
      <c r="R818" s="116" t="e">
        <f>SUM(R817)</f>
        <v>#VALUE!</v>
      </c>
      <c r="T818" s="116">
        <f>SUM(T817)</f>
        <v>0</v>
      </c>
      <c r="U818" s="116">
        <f>SUM(U817)</f>
        <v>0</v>
      </c>
      <c r="V818" s="116">
        <f>SUM(V817)</f>
        <v>0</v>
      </c>
      <c r="W818" s="116">
        <f>SUM(W817)</f>
        <v>0</v>
      </c>
      <c r="X818" s="3"/>
      <c r="Y818" s="116">
        <f>SUM(Y817)</f>
        <v>0</v>
      </c>
      <c r="Z818" s="116">
        <f>SUM(Z817)</f>
        <v>0</v>
      </c>
      <c r="AA818" s="116">
        <f>SUM(AA817)</f>
        <v>0</v>
      </c>
      <c r="AB818" s="116">
        <f>SUM(AB817)</f>
        <v>0</v>
      </c>
      <c r="AC818" s="116">
        <f>SUM(AC817)</f>
        <v>0</v>
      </c>
      <c r="AD818" s="117" t="e">
        <f>ROUND(SUM(-G818,H818:L818),0)</f>
        <v>#VALUE!</v>
      </c>
      <c r="AE818" s="117" t="e">
        <f>ROUND(H818-O818-P818-Q818-R818,0)</f>
        <v>#VALUE!</v>
      </c>
      <c r="AF818" s="117" t="e">
        <f>ROUND(I818-T818-U818-V818-W818,0)</f>
        <v>#VALUE!</v>
      </c>
      <c r="AG818" s="117" t="e">
        <f>ROUND(J818-Y818-Z818-AA818-AC818-AB818,0)</f>
        <v>#VALUE!</v>
      </c>
      <c r="AH818" s="116"/>
      <c r="AI818" t="str">
        <f t="shared" si="385"/>
        <v>403NP</v>
      </c>
      <c r="AJ818" t="str">
        <f t="shared" si="378"/>
        <v>NA</v>
      </c>
      <c r="AK818" t="str">
        <f>IF(ISERROR(MATCH(AI818&amp;"."&amp;AJ818,AK$91:AK817,0)),AI818&amp;"."&amp;AJ818,AI818&amp;"."&amp;AJ818&amp;COUNTIFS(AI$91:AI817,AI818,AJ$91:AJ817,AJ818))</f>
        <v>403NP.NA1</v>
      </c>
    </row>
    <row r="819" spans="1:37" ht="15" hidden="1">
      <c r="A819" s="120">
        <f>ROW()</f>
        <v>819</v>
      </c>
      <c r="B819" s="120"/>
      <c r="C819" s="1"/>
      <c r="E819" s="121"/>
      <c r="F819" s="138"/>
      <c r="G819" s="119"/>
      <c r="X819" s="3"/>
      <c r="AD819" s="119"/>
      <c r="AE819" s="119"/>
      <c r="AF819" s="119"/>
      <c r="AG819" s="119"/>
      <c r="AI819" t="str">
        <f t="shared" si="385"/>
        <v>403NP</v>
      </c>
      <c r="AJ819" t="str">
        <f t="shared" si="378"/>
        <v>NA</v>
      </c>
      <c r="AK819" t="str">
        <f>IF(ISERROR(MATCH(AI819&amp;"."&amp;AJ819,AK$91:AK818,0)),AI819&amp;"."&amp;AJ819,AI819&amp;"."&amp;AJ819&amp;COUNTIFS(AI$91:AI818,AI819,AJ$91:AJ818,AJ819))</f>
        <v>403NP.NA2</v>
      </c>
    </row>
    <row r="820" spans="1:37" ht="15" hidden="1">
      <c r="A820" s="120">
        <f>ROW()</f>
        <v>820</v>
      </c>
      <c r="B820" s="120"/>
      <c r="C820" s="1" t="s">
        <v>226</v>
      </c>
      <c r="D820" s="2" t="s">
        <v>374</v>
      </c>
      <c r="E820" s="121"/>
      <c r="F820" s="138"/>
      <c r="G820" s="119"/>
      <c r="X820" s="3"/>
      <c r="AD820" s="119"/>
      <c r="AE820" s="119"/>
      <c r="AF820" s="119"/>
      <c r="AG820" s="119"/>
      <c r="AI820" t="str">
        <f t="shared" si="385"/>
        <v>403HP</v>
      </c>
      <c r="AJ820" t="str">
        <f t="shared" si="378"/>
        <v>NA</v>
      </c>
      <c r="AK820" t="str">
        <f>IF(ISERROR(MATCH(AI820&amp;"."&amp;AJ820,AK$91:AK819,0)),AI820&amp;"."&amp;AJ820,AI820&amp;"."&amp;AJ820&amp;COUNTIFS(AI$91:AI819,AI820,AJ$91:AJ819,AJ820))</f>
        <v>403HP.NA</v>
      </c>
    </row>
    <row r="821" spans="1:37" ht="15" hidden="1">
      <c r="A821" s="120">
        <f>ROW()</f>
        <v>821</v>
      </c>
      <c r="B821" s="120"/>
      <c r="C821" s="1"/>
      <c r="E821" s="121" t="s">
        <v>15</v>
      </c>
      <c r="F821" s="138" t="str">
        <f>INDEX(FuncAllocOptions,ROW(A821)-ROW($A$92)+1,[4]Inputs!$S$11)</f>
        <v>P</v>
      </c>
      <c r="G821" s="117" t="e">
        <f>SUMIF(FERCJAMFactor,AK821,JAMValue)</f>
        <v>#VALUE!</v>
      </c>
      <c r="H821" s="116" t="e">
        <f t="shared" ref="H821:L824" si="388">INDEX(FuncFactorTbl,MATCH($F821,FuncFactors,0),MATCH(H$8,Functions,0))*$G821</f>
        <v>#VALUE!</v>
      </c>
      <c r="I821" s="116" t="e">
        <f t="shared" si="388"/>
        <v>#VALUE!</v>
      </c>
      <c r="J821" s="116" t="e">
        <f t="shared" si="388"/>
        <v>#VALUE!</v>
      </c>
      <c r="K821" s="116" t="e">
        <f t="shared" si="388"/>
        <v>#VALUE!</v>
      </c>
      <c r="L821" s="116" t="e">
        <f t="shared" si="388"/>
        <v>#VALUE!</v>
      </c>
      <c r="N821" s="108">
        <v>0.75</v>
      </c>
      <c r="O821" s="116" t="e">
        <f>$H821*$N821*$M821</f>
        <v>#VALUE!</v>
      </c>
      <c r="P821" s="116" t="e">
        <f>$H821*(1-$N821)*$M821</f>
        <v>#VALUE!</v>
      </c>
      <c r="Q821" s="116" t="e">
        <f>$H821*$N821*(1-$M821)</f>
        <v>#VALUE!</v>
      </c>
      <c r="R821" s="116" t="e">
        <f>$H821*(1-$N821)*(1-$M821)</f>
        <v>#VALUE!</v>
      </c>
      <c r="T821" s="116"/>
      <c r="U821" s="116"/>
      <c r="V821" s="116"/>
      <c r="W821" s="116"/>
      <c r="X821" s="3"/>
      <c r="AD821" s="117" t="e">
        <f>ROUND(SUM(-G821,H821:L821),0)</f>
        <v>#VALUE!</v>
      </c>
      <c r="AE821" s="117" t="e">
        <f>ROUND(H821-O821-P821-Q821-R821,0)</f>
        <v>#VALUE!</v>
      </c>
      <c r="AF821" s="117" t="e">
        <f>ROUND(I821-T821-U821-V821-W821,0)</f>
        <v>#VALUE!</v>
      </c>
      <c r="AG821" s="117" t="e">
        <f>ROUND(J821-Y821-Z821-AA821-AC821-AB821,0)</f>
        <v>#VALUE!</v>
      </c>
      <c r="AH821" s="116"/>
      <c r="AI821" t="str">
        <f t="shared" si="385"/>
        <v>403HP</v>
      </c>
      <c r="AJ821" t="str">
        <f t="shared" si="378"/>
        <v>SG</v>
      </c>
      <c r="AK821" t="str">
        <f>IF(ISERROR(MATCH(AI821&amp;"."&amp;AJ821,AK$91:AK820,0)),AI821&amp;"."&amp;AJ821,AI821&amp;"."&amp;AJ821&amp;COUNTIFS(AI$91:AI820,AI821,AJ$91:AJ820,AJ821))</f>
        <v>403HP.SG</v>
      </c>
    </row>
    <row r="822" spans="1:37" ht="15" hidden="1">
      <c r="A822" s="120">
        <f>ROW()</f>
        <v>822</v>
      </c>
      <c r="B822" s="120"/>
      <c r="C822" s="1"/>
      <c r="E822" s="121" t="s">
        <v>15</v>
      </c>
      <c r="F822" s="138" t="str">
        <f>INDEX(FuncAllocOptions,ROW(A822)-ROW($A$92)+1,[4]Inputs!$S$11)</f>
        <v>P</v>
      </c>
      <c r="G822" s="117" t="e">
        <f>SUMIF(FERCJAMFactor,AK822,JAMValue)</f>
        <v>#VALUE!</v>
      </c>
      <c r="H822" s="116" t="e">
        <f t="shared" si="388"/>
        <v>#VALUE!</v>
      </c>
      <c r="I822" s="116" t="e">
        <f t="shared" si="388"/>
        <v>#VALUE!</v>
      </c>
      <c r="J822" s="116" t="e">
        <f t="shared" si="388"/>
        <v>#VALUE!</v>
      </c>
      <c r="K822" s="116" t="e">
        <f t="shared" si="388"/>
        <v>#VALUE!</v>
      </c>
      <c r="L822" s="116" t="e">
        <f t="shared" si="388"/>
        <v>#VALUE!</v>
      </c>
      <c r="N822" s="108">
        <v>0.75</v>
      </c>
      <c r="O822" s="116" t="e">
        <f>$H822*$N822*$M822</f>
        <v>#VALUE!</v>
      </c>
      <c r="P822" s="116" t="e">
        <f>$H822*(1-$N822)*$M822</f>
        <v>#VALUE!</v>
      </c>
      <c r="Q822" s="116" t="e">
        <f>$H822*$N822*(1-$M822)</f>
        <v>#VALUE!</v>
      </c>
      <c r="R822" s="116" t="e">
        <f>$H822*(1-$N822)*(1-$M822)</f>
        <v>#VALUE!</v>
      </c>
      <c r="T822" s="116"/>
      <c r="U822" s="116"/>
      <c r="V822" s="116"/>
      <c r="W822" s="116"/>
      <c r="X822" s="3"/>
      <c r="AD822" s="117" t="e">
        <f>ROUND(SUM(-G822,H822:L822),0)</f>
        <v>#VALUE!</v>
      </c>
      <c r="AE822" s="117" t="e">
        <f>ROUND(H822-O822-P822-Q822-R822,0)</f>
        <v>#VALUE!</v>
      </c>
      <c r="AF822" s="117" t="e">
        <f>ROUND(I822-T822-U822-V822-W822,0)</f>
        <v>#VALUE!</v>
      </c>
      <c r="AG822" s="117" t="e">
        <f>ROUND(J822-Y822-Z822-AA822-AC822-AB822,0)</f>
        <v>#VALUE!</v>
      </c>
      <c r="AH822" s="116"/>
      <c r="AI822" t="str">
        <f t="shared" si="385"/>
        <v>403HP</v>
      </c>
      <c r="AJ822" t="str">
        <f t="shared" si="378"/>
        <v>SG</v>
      </c>
      <c r="AK822" t="str">
        <f>IF(ISERROR(MATCH(AI822&amp;"."&amp;AJ822,AK$91:AK821,0)),AI822&amp;"."&amp;AJ822,AI822&amp;"."&amp;AJ822&amp;COUNTIFS(AI$91:AI821,AI822,AJ$91:AJ821,AJ822))</f>
        <v>403HP.SG1</v>
      </c>
    </row>
    <row r="823" spans="1:37" ht="15" hidden="1">
      <c r="A823" s="120">
        <f>ROW()</f>
        <v>823</v>
      </c>
      <c r="B823" s="120"/>
      <c r="C823" s="1"/>
      <c r="E823" s="121" t="s">
        <v>15</v>
      </c>
      <c r="F823" s="138" t="str">
        <f>INDEX(FuncAllocOptions,ROW(A823)-ROW($A$92)+1,[4]Inputs!$S$11)</f>
        <v>P</v>
      </c>
      <c r="G823" s="117" t="e">
        <f>SUMIF(FERCJAMFactor,AK823,JAMValue)</f>
        <v>#VALUE!</v>
      </c>
      <c r="H823" s="116" t="e">
        <f t="shared" si="388"/>
        <v>#VALUE!</v>
      </c>
      <c r="I823" s="116" t="e">
        <f t="shared" si="388"/>
        <v>#VALUE!</v>
      </c>
      <c r="J823" s="116" t="e">
        <f t="shared" si="388"/>
        <v>#VALUE!</v>
      </c>
      <c r="K823" s="116" t="e">
        <f t="shared" si="388"/>
        <v>#VALUE!</v>
      </c>
      <c r="L823" s="116" t="e">
        <f t="shared" si="388"/>
        <v>#VALUE!</v>
      </c>
      <c r="N823" s="108">
        <v>0.75</v>
      </c>
      <c r="O823" s="116" t="e">
        <f>$H823*$N823*$M823</f>
        <v>#VALUE!</v>
      </c>
      <c r="P823" s="116" t="e">
        <f>$H823*(1-$N823)*$M823</f>
        <v>#VALUE!</v>
      </c>
      <c r="Q823" s="116" t="e">
        <f>$H823*$N823*(1-$M823)</f>
        <v>#VALUE!</v>
      </c>
      <c r="R823" s="116" t="e">
        <f>$H823*(1-$N823)*(1-$M823)</f>
        <v>#VALUE!</v>
      </c>
      <c r="T823" s="116"/>
      <c r="U823" s="116"/>
      <c r="V823" s="116"/>
      <c r="W823" s="116"/>
      <c r="X823" s="3"/>
      <c r="AD823" s="117" t="e">
        <f>ROUND(SUM(-G823,H823:L823),0)</f>
        <v>#VALUE!</v>
      </c>
      <c r="AE823" s="117" t="e">
        <f>ROUND(H823-O823-P823-Q823-R823,0)</f>
        <v>#VALUE!</v>
      </c>
      <c r="AF823" s="117" t="e">
        <f>ROUND(I823-T823-U823-V823-W823,0)</f>
        <v>#VALUE!</v>
      </c>
      <c r="AG823" s="117" t="e">
        <f>ROUND(J823-Y823-Z823-AA823-AC823-AB823,0)</f>
        <v>#VALUE!</v>
      </c>
      <c r="AH823" s="116"/>
      <c r="AI823" t="str">
        <f t="shared" si="385"/>
        <v>403HP</v>
      </c>
      <c r="AJ823" t="str">
        <f t="shared" si="378"/>
        <v>SG</v>
      </c>
      <c r="AK823" t="str">
        <f>IF(ISERROR(MATCH(AI823&amp;"."&amp;AJ823,AK$91:AK822,0)),AI823&amp;"."&amp;AJ823,AI823&amp;"."&amp;AJ823&amp;COUNTIFS(AI$91:AI822,AI823,AJ$91:AJ822,AJ823))</f>
        <v>403HP.SG2</v>
      </c>
    </row>
    <row r="824" spans="1:37" ht="15" hidden="1">
      <c r="A824" s="120">
        <f>ROW()</f>
        <v>824</v>
      </c>
      <c r="B824" s="120"/>
      <c r="C824" s="1"/>
      <c r="E824" s="121" t="s">
        <v>15</v>
      </c>
      <c r="F824" s="138" t="str">
        <f>INDEX(FuncAllocOptions,ROW(A824)-ROW($A$92)+1,[4]Inputs!$S$11)</f>
        <v>P</v>
      </c>
      <c r="G824" s="133" t="e">
        <f>SUMIF(FERCJAMFactor,AK824,JAMValue)</f>
        <v>#VALUE!</v>
      </c>
      <c r="H824" s="139" t="e">
        <f t="shared" si="388"/>
        <v>#VALUE!</v>
      </c>
      <c r="I824" s="139" t="e">
        <f t="shared" si="388"/>
        <v>#VALUE!</v>
      </c>
      <c r="J824" s="139" t="e">
        <f t="shared" si="388"/>
        <v>#VALUE!</v>
      </c>
      <c r="K824" s="139" t="e">
        <f t="shared" si="388"/>
        <v>#VALUE!</v>
      </c>
      <c r="L824" s="139" t="e">
        <f t="shared" si="388"/>
        <v>#VALUE!</v>
      </c>
      <c r="N824" s="108">
        <v>0.75</v>
      </c>
      <c r="O824" s="116" t="e">
        <f>$H824*$N824*$M824</f>
        <v>#VALUE!</v>
      </c>
      <c r="P824" s="116" t="e">
        <f>$H824*(1-$N824)*$M824</f>
        <v>#VALUE!</v>
      </c>
      <c r="Q824" s="116" t="e">
        <f>$H824*$N824*(1-$M824)</f>
        <v>#VALUE!</v>
      </c>
      <c r="R824" s="116" t="e">
        <f>$H824*(1-$N824)*(1-$M824)</f>
        <v>#VALUE!</v>
      </c>
      <c r="T824" s="116"/>
      <c r="U824" s="116"/>
      <c r="V824" s="116"/>
      <c r="W824" s="116"/>
      <c r="X824" s="3"/>
      <c r="AD824" s="117" t="e">
        <f>ROUND(SUM(-G824,H824:L824),0)</f>
        <v>#VALUE!</v>
      </c>
      <c r="AE824" s="117" t="e">
        <f>ROUND(H824-O824-P824-Q824-R824,0)</f>
        <v>#VALUE!</v>
      </c>
      <c r="AF824" s="117" t="e">
        <f>ROUND(I824-T824-U824-V824-W824,0)</f>
        <v>#VALUE!</v>
      </c>
      <c r="AG824" s="117" t="e">
        <f>ROUND(J824-Y824-Z824-AA824-AC824-AB824,0)</f>
        <v>#VALUE!</v>
      </c>
      <c r="AH824" s="116"/>
      <c r="AI824" t="str">
        <f t="shared" si="385"/>
        <v>403HP</v>
      </c>
      <c r="AJ824" t="str">
        <f t="shared" si="378"/>
        <v>SG</v>
      </c>
      <c r="AK824" t="str">
        <f>IF(ISERROR(MATCH(AI824&amp;"."&amp;AJ824,AK$91:AK823,0)),AI824&amp;"."&amp;AJ824,AI824&amp;"."&amp;AJ824&amp;COUNTIFS(AI$91:AI823,AI824,AJ$91:AJ823,AJ824))</f>
        <v>403HP.SG3</v>
      </c>
    </row>
    <row r="825" spans="1:37" ht="15" hidden="1">
      <c r="A825" s="120">
        <f>ROW()</f>
        <v>825</v>
      </c>
      <c r="B825" s="120"/>
      <c r="C825" s="1"/>
      <c r="E825" s="121"/>
      <c r="F825" s="138"/>
      <c r="G825" s="117" t="e">
        <f t="shared" ref="G825:L825" si="389">SUM(G821:G824)</f>
        <v>#VALUE!</v>
      </c>
      <c r="H825" s="116" t="e">
        <f t="shared" si="389"/>
        <v>#VALUE!</v>
      </c>
      <c r="I825" s="116" t="e">
        <f t="shared" si="389"/>
        <v>#VALUE!</v>
      </c>
      <c r="J825" s="116" t="e">
        <f t="shared" si="389"/>
        <v>#VALUE!</v>
      </c>
      <c r="K825" s="116" t="e">
        <f t="shared" si="389"/>
        <v>#VALUE!</v>
      </c>
      <c r="L825" s="116" t="e">
        <f t="shared" si="389"/>
        <v>#VALUE!</v>
      </c>
      <c r="O825" s="116" t="e">
        <f>SUM(O821:O824)</f>
        <v>#VALUE!</v>
      </c>
      <c r="P825" s="116" t="e">
        <f>SUM(P821:P824)</f>
        <v>#VALUE!</v>
      </c>
      <c r="Q825" s="116" t="e">
        <f>SUM(Q821:Q824)</f>
        <v>#VALUE!</v>
      </c>
      <c r="R825" s="116" t="e">
        <f>SUM(R821:R824)</f>
        <v>#VALUE!</v>
      </c>
      <c r="T825" s="116">
        <f>SUM(T821:T824)</f>
        <v>0</v>
      </c>
      <c r="U825" s="116">
        <f>SUM(U821:U824)</f>
        <v>0</v>
      </c>
      <c r="V825" s="116">
        <f>SUM(V821:V824)</f>
        <v>0</v>
      </c>
      <c r="W825" s="116">
        <f>SUM(W821:W824)</f>
        <v>0</v>
      </c>
      <c r="X825" s="3"/>
      <c r="Y825" s="116">
        <f>SUM(Y821:Y824)</f>
        <v>0</v>
      </c>
      <c r="Z825" s="116">
        <f>SUM(Z821:Z824)</f>
        <v>0</v>
      </c>
      <c r="AA825" s="116">
        <f>SUM(AA821:AA824)</f>
        <v>0</v>
      </c>
      <c r="AB825" s="116">
        <f>SUM(AB821:AB824)</f>
        <v>0</v>
      </c>
      <c r="AC825" s="116">
        <f>SUM(AC821:AC824)</f>
        <v>0</v>
      </c>
      <c r="AD825" s="117" t="e">
        <f>ROUND(SUM(-G825,H825:L825),0)</f>
        <v>#VALUE!</v>
      </c>
      <c r="AE825" s="117" t="e">
        <f>ROUND(H825-O825-P825-Q825-R825,0)</f>
        <v>#VALUE!</v>
      </c>
      <c r="AF825" s="117" t="e">
        <f>ROUND(I825-T825-U825-V825-W825,0)</f>
        <v>#VALUE!</v>
      </c>
      <c r="AG825" s="117" t="e">
        <f>ROUND(J825-Y825-Z825-AA825-AC825-AB825,0)</f>
        <v>#VALUE!</v>
      </c>
      <c r="AH825" s="116"/>
      <c r="AI825" t="str">
        <f t="shared" si="385"/>
        <v>403HP</v>
      </c>
      <c r="AJ825" t="str">
        <f t="shared" si="378"/>
        <v>NA</v>
      </c>
      <c r="AK825" t="str">
        <f>IF(ISERROR(MATCH(AI825&amp;"."&amp;AJ825,AK$91:AK824,0)),AI825&amp;"."&amp;AJ825,AI825&amp;"."&amp;AJ825&amp;COUNTIFS(AI$91:AI824,AI825,AJ$91:AJ824,AJ825))</f>
        <v>403HP.NA1</v>
      </c>
    </row>
    <row r="826" spans="1:37" ht="15" hidden="1">
      <c r="A826" s="120">
        <f>ROW()</f>
        <v>826</v>
      </c>
      <c r="B826" s="120"/>
      <c r="C826" s="1"/>
      <c r="E826" s="121"/>
      <c r="F826" s="138"/>
      <c r="G826" s="119"/>
      <c r="X826" s="3"/>
      <c r="AD826" s="119"/>
      <c r="AE826" s="119"/>
      <c r="AF826" s="119"/>
      <c r="AG826" s="119"/>
      <c r="AI826" t="str">
        <f t="shared" si="385"/>
        <v>403HP</v>
      </c>
      <c r="AJ826" t="str">
        <f t="shared" si="378"/>
        <v>NA</v>
      </c>
      <c r="AK826" t="str">
        <f>IF(ISERROR(MATCH(AI826&amp;"."&amp;AJ826,AK$91:AK825,0)),AI826&amp;"."&amp;AJ826,AI826&amp;"."&amp;AJ826&amp;COUNTIFS(AI$91:AI825,AI826,AJ$91:AJ825,AJ826))</f>
        <v>403HP.NA2</v>
      </c>
    </row>
    <row r="827" spans="1:37" ht="15" hidden="1">
      <c r="A827" s="120">
        <f>ROW()</f>
        <v>827</v>
      </c>
      <c r="B827" s="120"/>
      <c r="C827" s="1" t="s">
        <v>230</v>
      </c>
      <c r="D827" s="2" t="s">
        <v>375</v>
      </c>
      <c r="E827" s="121"/>
      <c r="F827" s="138"/>
      <c r="G827" s="119"/>
      <c r="X827" s="3"/>
      <c r="AD827" s="119"/>
      <c r="AE827" s="119"/>
      <c r="AF827" s="119"/>
      <c r="AG827" s="119"/>
      <c r="AI827" t="str">
        <f t="shared" si="385"/>
        <v>403OP</v>
      </c>
      <c r="AJ827" t="str">
        <f t="shared" si="378"/>
        <v>NA</v>
      </c>
      <c r="AK827" t="str">
        <f>IF(ISERROR(MATCH(AI827&amp;"."&amp;AJ827,AK$91:AK826,0)),AI827&amp;"."&amp;AJ827,AI827&amp;"."&amp;AJ827&amp;COUNTIFS(AI$91:AI826,AI827,AJ$91:AJ826,AJ827))</f>
        <v>403OP.NA</v>
      </c>
    </row>
    <row r="828" spans="1:37" ht="15" hidden="1">
      <c r="A828" s="120">
        <f>ROW()</f>
        <v>828</v>
      </c>
      <c r="B828" s="120"/>
      <c r="C828" s="1"/>
      <c r="E828" s="121" t="s">
        <v>15</v>
      </c>
      <c r="F828" s="138" t="str">
        <f>INDEX(FuncAllocOptions,ROW(A828)-ROW($A$92)+1,[4]Inputs!$S$11)</f>
        <v>P</v>
      </c>
      <c r="G828" s="117" t="e">
        <f>SUMIF(FERCJAMFactor,AK828,JAMValue)</f>
        <v>#VALUE!</v>
      </c>
      <c r="H828" s="116" t="e">
        <f t="shared" ref="H828:L831" si="390">INDEX(FuncFactorTbl,MATCH($F828,FuncFactors,0),MATCH(H$8,Functions,0))*$G828</f>
        <v>#VALUE!</v>
      </c>
      <c r="I828" s="116" t="e">
        <f t="shared" si="390"/>
        <v>#VALUE!</v>
      </c>
      <c r="J828" s="116" t="e">
        <f t="shared" si="390"/>
        <v>#VALUE!</v>
      </c>
      <c r="K828" s="116" t="e">
        <f t="shared" si="390"/>
        <v>#VALUE!</v>
      </c>
      <c r="L828" s="116" t="e">
        <f t="shared" si="390"/>
        <v>#VALUE!</v>
      </c>
      <c r="N828" s="108">
        <v>0.75</v>
      </c>
      <c r="O828" s="116" t="e">
        <f>$H828*$N828*$M828</f>
        <v>#VALUE!</v>
      </c>
      <c r="P828" s="116" t="e">
        <f>$H828*(1-$N828)*$M828</f>
        <v>#VALUE!</v>
      </c>
      <c r="Q828" s="116" t="e">
        <f>$H828*$N828*(1-$M828)</f>
        <v>#VALUE!</v>
      </c>
      <c r="R828" s="116" t="e">
        <f>$H828*(1-$N828)*(1-$M828)</f>
        <v>#VALUE!</v>
      </c>
      <c r="T828" s="116"/>
      <c r="U828" s="116"/>
      <c r="V828" s="116"/>
      <c r="W828" s="116"/>
      <c r="X828" s="3"/>
      <c r="AD828" s="117" t="e">
        <f>ROUND(SUM(-G828,H828:L828),0)</f>
        <v>#VALUE!</v>
      </c>
      <c r="AE828" s="117" t="e">
        <f>ROUND(H828-O828-P828-Q828-R828,0)</f>
        <v>#VALUE!</v>
      </c>
      <c r="AF828" s="117" t="e">
        <f>ROUND(I828-T828-U828-V828-W828,0)</f>
        <v>#VALUE!</v>
      </c>
      <c r="AG828" s="117" t="e">
        <f>ROUND(J828-Y828-Z828-AA828-AC828-AB828,0)</f>
        <v>#VALUE!</v>
      </c>
      <c r="AH828" s="116"/>
      <c r="AI828" t="str">
        <f t="shared" si="385"/>
        <v>403OP</v>
      </c>
      <c r="AJ828" t="str">
        <f t="shared" si="378"/>
        <v>SG</v>
      </c>
      <c r="AK828" t="str">
        <f>IF(ISERROR(MATCH(AI828&amp;"."&amp;AJ828,AK$91:AK827,0)),AI828&amp;"."&amp;AJ828,AI828&amp;"."&amp;AJ828&amp;COUNTIFS(AI$91:AI827,AI828,AJ$91:AJ827,AJ828))</f>
        <v>403OP.SG</v>
      </c>
    </row>
    <row r="829" spans="1:37" ht="15" hidden="1">
      <c r="A829" s="120">
        <f>ROW()</f>
        <v>829</v>
      </c>
      <c r="B829" s="120"/>
      <c r="C829" s="1"/>
      <c r="E829" s="121" t="s">
        <v>15</v>
      </c>
      <c r="F829" s="138" t="str">
        <f>INDEX(FuncAllocOptions,ROW(A829)-ROW($A$92)+1,[4]Inputs!$S$11)</f>
        <v>P</v>
      </c>
      <c r="G829" s="117" t="e">
        <f>SUMIF(FERCJAMFactor,AK829,JAMValue)</f>
        <v>#VALUE!</v>
      </c>
      <c r="H829" s="116" t="e">
        <f t="shared" si="390"/>
        <v>#VALUE!</v>
      </c>
      <c r="I829" s="116" t="e">
        <f t="shared" si="390"/>
        <v>#VALUE!</v>
      </c>
      <c r="J829" s="116" t="e">
        <f t="shared" si="390"/>
        <v>#VALUE!</v>
      </c>
      <c r="K829" s="116" t="e">
        <f t="shared" si="390"/>
        <v>#VALUE!</v>
      </c>
      <c r="L829" s="116" t="e">
        <f t="shared" si="390"/>
        <v>#VALUE!</v>
      </c>
      <c r="N829" s="108">
        <v>0.75</v>
      </c>
      <c r="O829" s="116" t="e">
        <f>$H829*$N829*$M829</f>
        <v>#VALUE!</v>
      </c>
      <c r="P829" s="116" t="e">
        <f>$H829*(1-$N829)*$M829</f>
        <v>#VALUE!</v>
      </c>
      <c r="Q829" s="116" t="e">
        <f>$H829*$N829*(1-$M829)</f>
        <v>#VALUE!</v>
      </c>
      <c r="R829" s="116" t="e">
        <f>$H829*(1-$N829)*(1-$M829)</f>
        <v>#VALUE!</v>
      </c>
      <c r="T829" s="116"/>
      <c r="U829" s="116"/>
      <c r="V829" s="116"/>
      <c r="W829" s="116"/>
      <c r="X829" s="3"/>
      <c r="AD829" s="117" t="e">
        <f>ROUND(SUM(-G829,H829:L829),0)</f>
        <v>#VALUE!</v>
      </c>
      <c r="AE829" s="117" t="e">
        <f>ROUND(H829-O829-P829-Q829-R829,0)</f>
        <v>#VALUE!</v>
      </c>
      <c r="AF829" s="117" t="e">
        <f>ROUND(I829-T829-U829-V829-W829,0)</f>
        <v>#VALUE!</v>
      </c>
      <c r="AG829" s="117" t="e">
        <f>ROUND(J829-Y829-Z829-AA829-AC829-AB829,0)</f>
        <v>#VALUE!</v>
      </c>
      <c r="AH829" s="116"/>
      <c r="AI829" t="str">
        <f t="shared" si="385"/>
        <v>403OP</v>
      </c>
      <c r="AJ829" t="str">
        <f t="shared" si="378"/>
        <v>SG</v>
      </c>
      <c r="AK829" t="str">
        <f>IF(ISERROR(MATCH(AI829&amp;"."&amp;AJ829,AK$91:AK828,0)),AI829&amp;"."&amp;AJ829,AI829&amp;"."&amp;AJ829&amp;COUNTIFS(AI$91:AI828,AI829,AJ$91:AJ828,AJ829))</f>
        <v>403OP.SG1</v>
      </c>
    </row>
    <row r="830" spans="1:37" ht="15" hidden="1">
      <c r="A830" s="120">
        <f>ROW()</f>
        <v>830</v>
      </c>
      <c r="B830" s="120"/>
      <c r="C830" s="1"/>
      <c r="E830" s="121" t="s">
        <v>15</v>
      </c>
      <c r="F830" s="138" t="str">
        <f>INDEX(FuncAllocOptions,ROW(A830)-ROW($A$92)+1,[4]Inputs!$S$11)</f>
        <v>P</v>
      </c>
      <c r="G830" s="117" t="e">
        <f>SUMIF(FERCJAMFactor,AK830,JAMValue)</f>
        <v>#VALUE!</v>
      </c>
      <c r="H830" s="116" t="e">
        <f t="shared" si="390"/>
        <v>#VALUE!</v>
      </c>
      <c r="I830" s="116" t="e">
        <f t="shared" si="390"/>
        <v>#VALUE!</v>
      </c>
      <c r="J830" s="116" t="e">
        <f t="shared" si="390"/>
        <v>#VALUE!</v>
      </c>
      <c r="K830" s="116" t="e">
        <f t="shared" si="390"/>
        <v>#VALUE!</v>
      </c>
      <c r="L830" s="116" t="e">
        <f t="shared" si="390"/>
        <v>#VALUE!</v>
      </c>
      <c r="N830" s="108">
        <v>0.75</v>
      </c>
      <c r="O830" s="116" t="e">
        <f>$H830*$N830*$M830</f>
        <v>#VALUE!</v>
      </c>
      <c r="P830" s="116" t="e">
        <f>$H830*(1-$N830)*$M830</f>
        <v>#VALUE!</v>
      </c>
      <c r="Q830" s="116" t="e">
        <f>$H830*$N830*(1-$M830)</f>
        <v>#VALUE!</v>
      </c>
      <c r="R830" s="116" t="e">
        <f>$H830*(1-$N830)*(1-$M830)</f>
        <v>#VALUE!</v>
      </c>
      <c r="T830" s="116"/>
      <c r="U830" s="116"/>
      <c r="V830" s="116"/>
      <c r="W830" s="116"/>
      <c r="X830" s="3"/>
      <c r="AD830" s="117" t="e">
        <f>ROUND(SUM(-G830,H830:L830),0)</f>
        <v>#VALUE!</v>
      </c>
      <c r="AE830" s="117" t="e">
        <f>ROUND(H830-O830-P830-Q830-R830,0)</f>
        <v>#VALUE!</v>
      </c>
      <c r="AF830" s="117" t="e">
        <f>ROUND(I830-T830-U830-V830-W830,0)</f>
        <v>#VALUE!</v>
      </c>
      <c r="AG830" s="117" t="e">
        <f>ROUND(J830-Y830-Z830-AA830-AC830-AB830,0)</f>
        <v>#VALUE!</v>
      </c>
      <c r="AH830" s="116"/>
      <c r="AI830" t="str">
        <f t="shared" si="385"/>
        <v>403OP</v>
      </c>
      <c r="AJ830" t="str">
        <f t="shared" si="378"/>
        <v>SG</v>
      </c>
      <c r="AK830" t="str">
        <f>IF(ISERROR(MATCH(AI830&amp;"."&amp;AJ830,AK$91:AK829,0)),AI830&amp;"."&amp;AJ830,AI830&amp;"."&amp;AJ830&amp;COUNTIFS(AI$91:AI829,AI830,AJ$91:AJ829,AJ830))</f>
        <v>403OP.SG2</v>
      </c>
    </row>
    <row r="831" spans="1:37" ht="15" hidden="1">
      <c r="A831" s="120">
        <f>ROW()</f>
        <v>831</v>
      </c>
      <c r="B831" s="120"/>
      <c r="C831" s="1"/>
      <c r="E831" s="121" t="s">
        <v>15</v>
      </c>
      <c r="F831" s="138" t="str">
        <f>INDEX(FuncAllocOptions,ROW(A831)-ROW($A$92)+1,[4]Inputs!$S$11)</f>
        <v>P</v>
      </c>
      <c r="G831" s="133" t="e">
        <f>SUMIF(FERCJAMFactor,AK831,JAMValue)</f>
        <v>#VALUE!</v>
      </c>
      <c r="H831" s="139" t="e">
        <f t="shared" si="390"/>
        <v>#VALUE!</v>
      </c>
      <c r="I831" s="139" t="e">
        <f t="shared" si="390"/>
        <v>#VALUE!</v>
      </c>
      <c r="J831" s="139" t="e">
        <f t="shared" si="390"/>
        <v>#VALUE!</v>
      </c>
      <c r="K831" s="139" t="e">
        <f t="shared" si="390"/>
        <v>#VALUE!</v>
      </c>
      <c r="L831" s="139" t="e">
        <f t="shared" si="390"/>
        <v>#VALUE!</v>
      </c>
      <c r="N831" s="108">
        <v>0.75</v>
      </c>
      <c r="O831" s="116" t="e">
        <f>$H831*$N831*$M831</f>
        <v>#VALUE!</v>
      </c>
      <c r="P831" s="116" t="e">
        <f>$H831*(1-$N831)*$M831</f>
        <v>#VALUE!</v>
      </c>
      <c r="Q831" s="116" t="e">
        <f>$H831*$N831*(1-$M831)</f>
        <v>#VALUE!</v>
      </c>
      <c r="R831" s="116" t="e">
        <f>$H831*(1-$N831)*(1-$M831)</f>
        <v>#VALUE!</v>
      </c>
      <c r="T831" s="116"/>
      <c r="U831" s="116"/>
      <c r="V831" s="116"/>
      <c r="W831" s="116"/>
      <c r="X831" s="3"/>
      <c r="AD831" s="117" t="e">
        <f>ROUND(SUM(-G831,H831:L831),0)</f>
        <v>#VALUE!</v>
      </c>
      <c r="AE831" s="117" t="e">
        <f>ROUND(H831-O831-P831-Q831-R831,0)</f>
        <v>#VALUE!</v>
      </c>
      <c r="AF831" s="117" t="e">
        <f>ROUND(I831-T831-U831-V831-W831,0)</f>
        <v>#VALUE!</v>
      </c>
      <c r="AG831" s="117" t="e">
        <f>ROUND(J831-Y831-Z831-AA831-AC831-AB831,0)</f>
        <v>#VALUE!</v>
      </c>
      <c r="AH831" s="116"/>
      <c r="AI831" t="str">
        <f t="shared" si="385"/>
        <v>403OP</v>
      </c>
      <c r="AJ831" t="str">
        <f t="shared" si="378"/>
        <v>SG</v>
      </c>
      <c r="AK831" t="str">
        <f>IF(ISERROR(MATCH(AI831&amp;"."&amp;AJ831,AK$91:AK830,0)),AI831&amp;"."&amp;AJ831,AI831&amp;"."&amp;AJ831&amp;COUNTIFS(AI$91:AI830,AI831,AJ$91:AJ830,AJ831))</f>
        <v>403OP.SG3</v>
      </c>
    </row>
    <row r="832" spans="1:37" ht="15" hidden="1">
      <c r="A832" s="120">
        <f>ROW()</f>
        <v>832</v>
      </c>
      <c r="B832" s="120"/>
      <c r="C832" s="1"/>
      <c r="E832" s="121"/>
      <c r="F832" s="138"/>
      <c r="G832" s="117" t="e">
        <f t="shared" ref="G832:L832" si="391">SUM(G828:G831)</f>
        <v>#VALUE!</v>
      </c>
      <c r="H832" s="116" t="e">
        <f t="shared" si="391"/>
        <v>#VALUE!</v>
      </c>
      <c r="I832" s="116" t="e">
        <f t="shared" si="391"/>
        <v>#VALUE!</v>
      </c>
      <c r="J832" s="116" t="e">
        <f t="shared" si="391"/>
        <v>#VALUE!</v>
      </c>
      <c r="K832" s="116" t="e">
        <f t="shared" si="391"/>
        <v>#VALUE!</v>
      </c>
      <c r="L832" s="116" t="e">
        <f t="shared" si="391"/>
        <v>#VALUE!</v>
      </c>
      <c r="O832" s="116" t="e">
        <f>SUM(O828:O831)</f>
        <v>#VALUE!</v>
      </c>
      <c r="P832" s="116" t="e">
        <f>SUM(P828:P831)</f>
        <v>#VALUE!</v>
      </c>
      <c r="Q832" s="116" t="e">
        <f>SUM(Q828:Q831)</f>
        <v>#VALUE!</v>
      </c>
      <c r="R832" s="116" t="e">
        <f>SUM(R828:R831)</f>
        <v>#VALUE!</v>
      </c>
      <c r="T832" s="116">
        <f>SUM(T828:T831)</f>
        <v>0</v>
      </c>
      <c r="U832" s="116">
        <f>SUM(U828:U831)</f>
        <v>0</v>
      </c>
      <c r="V832" s="116">
        <f>SUM(V828:V831)</f>
        <v>0</v>
      </c>
      <c r="W832" s="116">
        <f>SUM(W828:W831)</f>
        <v>0</v>
      </c>
      <c r="X832" s="3"/>
      <c r="Y832" s="116">
        <f>SUM(Y828:Y831)</f>
        <v>0</v>
      </c>
      <c r="Z832" s="116">
        <f>SUM(Z828:Z831)</f>
        <v>0</v>
      </c>
      <c r="AA832" s="116">
        <f>SUM(AA828:AA831)</f>
        <v>0</v>
      </c>
      <c r="AB832" s="116">
        <f>SUM(AB828:AB831)</f>
        <v>0</v>
      </c>
      <c r="AC832" s="116">
        <f>SUM(AC828:AC831)</f>
        <v>0</v>
      </c>
      <c r="AD832" s="117" t="e">
        <f>ROUND(SUM(-G832,H832:L832),0)</f>
        <v>#VALUE!</v>
      </c>
      <c r="AE832" s="117" t="e">
        <f>ROUND(H832-O832-P832-Q832-R832,0)</f>
        <v>#VALUE!</v>
      </c>
      <c r="AF832" s="117" t="e">
        <f>ROUND(I832-T832-U832-V832-W832,0)</f>
        <v>#VALUE!</v>
      </c>
      <c r="AG832" s="117" t="e">
        <f>ROUND(J832-Y832-Z832-AA832-AC832-AB832,0)</f>
        <v>#VALUE!</v>
      </c>
      <c r="AH832" s="116"/>
      <c r="AI832" t="str">
        <f t="shared" si="385"/>
        <v>403OP</v>
      </c>
      <c r="AJ832" t="str">
        <f t="shared" si="378"/>
        <v>NA</v>
      </c>
      <c r="AK832" t="str">
        <f>IF(ISERROR(MATCH(AI832&amp;"."&amp;AJ832,AK$91:AK831,0)),AI832&amp;"."&amp;AJ832,AI832&amp;"."&amp;AJ832&amp;COUNTIFS(AI$91:AI831,AI832,AJ$91:AJ831,AJ832))</f>
        <v>403OP.NA1</v>
      </c>
    </row>
    <row r="833" spans="1:37" ht="15" hidden="1">
      <c r="A833" s="120">
        <f>ROW()</f>
        <v>833</v>
      </c>
      <c r="B833" s="120"/>
      <c r="C833" s="1"/>
      <c r="E833" s="121"/>
      <c r="F833" s="138"/>
      <c r="G833" s="119"/>
      <c r="X833" s="3"/>
      <c r="AD833" s="119"/>
      <c r="AE833" s="119"/>
      <c r="AF833" s="119"/>
      <c r="AG833" s="119"/>
      <c r="AI833" t="str">
        <f t="shared" si="385"/>
        <v>403OP</v>
      </c>
      <c r="AJ833" t="str">
        <f t="shared" si="378"/>
        <v>NA</v>
      </c>
      <c r="AK833" t="str">
        <f>IF(ISERROR(MATCH(AI833&amp;"."&amp;AJ833,AK$91:AK832,0)),AI833&amp;"."&amp;AJ833,AI833&amp;"."&amp;AJ833&amp;COUNTIFS(AI$91:AI832,AI833,AJ$91:AJ832,AJ833))</f>
        <v>403OP.NA2</v>
      </c>
    </row>
    <row r="834" spans="1:37" ht="15" hidden="1">
      <c r="A834" s="120">
        <f>ROW()</f>
        <v>834</v>
      </c>
      <c r="B834" s="120"/>
      <c r="C834" s="1" t="s">
        <v>232</v>
      </c>
      <c r="D834" s="2" t="s">
        <v>376</v>
      </c>
      <c r="E834" s="121"/>
      <c r="F834" s="138"/>
      <c r="G834" s="119"/>
      <c r="X834" s="3"/>
      <c r="AD834" s="119"/>
      <c r="AE834" s="119"/>
      <c r="AF834" s="119"/>
      <c r="AG834" s="119"/>
      <c r="AI834" t="str">
        <f t="shared" si="385"/>
        <v>403TP</v>
      </c>
      <c r="AJ834" t="str">
        <f t="shared" si="378"/>
        <v>NA</v>
      </c>
      <c r="AK834" t="str">
        <f>IF(ISERROR(MATCH(AI834&amp;"."&amp;AJ834,AK$91:AK833,0)),AI834&amp;"."&amp;AJ834,AI834&amp;"."&amp;AJ834&amp;COUNTIFS(AI$91:AI833,AI834,AJ$91:AJ833,AJ834))</f>
        <v>403TP.NA</v>
      </c>
    </row>
    <row r="835" spans="1:37" ht="15" hidden="1">
      <c r="A835" s="120">
        <f>ROW()</f>
        <v>835</v>
      </c>
      <c r="B835" s="120"/>
      <c r="C835" s="1"/>
      <c r="E835" s="121" t="s">
        <v>15</v>
      </c>
      <c r="F835" s="138" t="str">
        <f>INDEX(FuncAllocOptions,ROW(A835)-ROW($A$92)+1,[4]Inputs!$S$11)</f>
        <v>T</v>
      </c>
      <c r="G835" s="117" t="e">
        <f>SUMIF(FERCJAMFactor,AK835,JAMValue)</f>
        <v>#VALUE!</v>
      </c>
      <c r="H835" s="116" t="e">
        <f t="shared" ref="H835:L837" si="392">INDEX(FuncFactorTbl,MATCH($F835,FuncFactors,0),MATCH(H$8,Functions,0))*$G835</f>
        <v>#VALUE!</v>
      </c>
      <c r="I835" s="116" t="e">
        <f t="shared" si="392"/>
        <v>#VALUE!</v>
      </c>
      <c r="J835" s="116" t="e">
        <f t="shared" si="392"/>
        <v>#VALUE!</v>
      </c>
      <c r="K835" s="116" t="e">
        <f t="shared" si="392"/>
        <v>#VALUE!</v>
      </c>
      <c r="L835" s="116" t="e">
        <f t="shared" si="392"/>
        <v>#VALUE!</v>
      </c>
      <c r="O835" s="116"/>
      <c r="P835" s="116"/>
      <c r="Q835" s="116"/>
      <c r="R835" s="116"/>
      <c r="S835" s="108">
        <v>0.75</v>
      </c>
      <c r="T835" s="116" t="e">
        <f>$I835*$S835*$M835</f>
        <v>#VALUE!</v>
      </c>
      <c r="U835" s="116" t="e">
        <f>$I835*(1-$S835)*$M835</f>
        <v>#VALUE!</v>
      </c>
      <c r="V835" s="116" t="e">
        <f>$I835*$S835*(1-$M835)</f>
        <v>#VALUE!</v>
      </c>
      <c r="W835" s="116" t="e">
        <f>$I835*(1-$S835)*(1-$M835)</f>
        <v>#VALUE!</v>
      </c>
      <c r="X835" s="3"/>
      <c r="AD835" s="117" t="e">
        <f>ROUND(SUM(-G835,H835:L835),0)</f>
        <v>#VALUE!</v>
      </c>
      <c r="AE835" s="117" t="e">
        <f>ROUND(H835-O835-P835-Q835-R835,0)</f>
        <v>#VALUE!</v>
      </c>
      <c r="AF835" s="117" t="e">
        <f>ROUND(I835-T835-U835-V835-W835,0)</f>
        <v>#VALUE!</v>
      </c>
      <c r="AG835" s="117" t="e">
        <f>ROUND(J835-Y835-Z835-AA835-AC835-AB835,0)</f>
        <v>#VALUE!</v>
      </c>
      <c r="AH835" s="116"/>
      <c r="AI835" t="str">
        <f t="shared" si="385"/>
        <v>403TP</v>
      </c>
      <c r="AJ835" t="str">
        <f t="shared" si="378"/>
        <v>SG</v>
      </c>
      <c r="AK835" t="str">
        <f>IF(ISERROR(MATCH(AI835&amp;"."&amp;AJ835,AK$91:AK834,0)),AI835&amp;"."&amp;AJ835,AI835&amp;"."&amp;AJ835&amp;COUNTIFS(AI$91:AI834,AI835,AJ$91:AJ834,AJ835))</f>
        <v>403TP.SG</v>
      </c>
    </row>
    <row r="836" spans="1:37" ht="15" hidden="1">
      <c r="A836" s="120">
        <f>ROW()</f>
        <v>836</v>
      </c>
      <c r="B836" s="120"/>
      <c r="C836" s="1"/>
      <c r="E836" s="121" t="s">
        <v>15</v>
      </c>
      <c r="F836" s="138" t="str">
        <f>INDEX(FuncAllocOptions,ROW(A836)-ROW($A$92)+1,[4]Inputs!$S$11)</f>
        <v>T</v>
      </c>
      <c r="G836" s="117" t="e">
        <f>SUMIF(FERCJAMFactor,AK836,JAMValue)</f>
        <v>#VALUE!</v>
      </c>
      <c r="H836" s="116" t="e">
        <f t="shared" si="392"/>
        <v>#VALUE!</v>
      </c>
      <c r="I836" s="116" t="e">
        <f t="shared" si="392"/>
        <v>#VALUE!</v>
      </c>
      <c r="J836" s="116" t="e">
        <f t="shared" si="392"/>
        <v>#VALUE!</v>
      </c>
      <c r="K836" s="116" t="e">
        <f t="shared" si="392"/>
        <v>#VALUE!</v>
      </c>
      <c r="L836" s="116" t="e">
        <f t="shared" si="392"/>
        <v>#VALUE!</v>
      </c>
      <c r="O836" s="116"/>
      <c r="P836" s="116"/>
      <c r="Q836" s="116"/>
      <c r="R836" s="116"/>
      <c r="S836" s="108">
        <v>0.75</v>
      </c>
      <c r="T836" s="116" t="e">
        <f>$I836*$S836*$M836</f>
        <v>#VALUE!</v>
      </c>
      <c r="U836" s="116" t="e">
        <f>$I836*(1-$S836)*$M836</f>
        <v>#VALUE!</v>
      </c>
      <c r="V836" s="116" t="e">
        <f>$I836*$S836*(1-$M836)</f>
        <v>#VALUE!</v>
      </c>
      <c r="W836" s="116" t="e">
        <f>$I836*(1-$S836)*(1-$M836)</f>
        <v>#VALUE!</v>
      </c>
      <c r="X836" s="3"/>
      <c r="AD836" s="117" t="e">
        <f>ROUND(SUM(-G836,H836:L836),0)</f>
        <v>#VALUE!</v>
      </c>
      <c r="AE836" s="117" t="e">
        <f>ROUND(H836-O836-P836-Q836-R836,0)</f>
        <v>#VALUE!</v>
      </c>
      <c r="AF836" s="117" t="e">
        <f>ROUND(I836-T836-U836-V836-W836,0)</f>
        <v>#VALUE!</v>
      </c>
      <c r="AG836" s="117" t="e">
        <f>ROUND(J836-Y836-Z836-AA836-AC836-AB836,0)</f>
        <v>#VALUE!</v>
      </c>
      <c r="AH836" s="116"/>
      <c r="AI836" t="str">
        <f t="shared" si="385"/>
        <v>403TP</v>
      </c>
      <c r="AJ836" t="str">
        <f t="shared" si="378"/>
        <v>SG</v>
      </c>
      <c r="AK836" t="str">
        <f>IF(ISERROR(MATCH(AI836&amp;"."&amp;AJ836,AK$91:AK835,0)),AI836&amp;"."&amp;AJ836,AI836&amp;"."&amp;AJ836&amp;COUNTIFS(AI$91:AI835,AI836,AJ$91:AJ835,AJ836))</f>
        <v>403TP.SG1</v>
      </c>
    </row>
    <row r="837" spans="1:37" ht="15" hidden="1">
      <c r="A837" s="120">
        <f>ROW()</f>
        <v>837</v>
      </c>
      <c r="B837" s="120"/>
      <c r="C837" s="1"/>
      <c r="E837" s="121" t="s">
        <v>15</v>
      </c>
      <c r="F837" s="138" t="str">
        <f>INDEX(FuncAllocOptions,ROW(A837)-ROW($A$92)+1,[4]Inputs!$S$11)</f>
        <v>T</v>
      </c>
      <c r="G837" s="133" t="e">
        <f>SUMIF(FERCJAMFactor,AK837,JAMValue)</f>
        <v>#VALUE!</v>
      </c>
      <c r="H837" s="139" t="e">
        <f t="shared" si="392"/>
        <v>#VALUE!</v>
      </c>
      <c r="I837" s="139" t="e">
        <f t="shared" si="392"/>
        <v>#VALUE!</v>
      </c>
      <c r="J837" s="139" t="e">
        <f t="shared" si="392"/>
        <v>#VALUE!</v>
      </c>
      <c r="K837" s="139" t="e">
        <f t="shared" si="392"/>
        <v>#VALUE!</v>
      </c>
      <c r="L837" s="139" t="e">
        <f t="shared" si="392"/>
        <v>#VALUE!</v>
      </c>
      <c r="O837" s="116"/>
      <c r="P837" s="116"/>
      <c r="Q837" s="116"/>
      <c r="R837" s="116"/>
      <c r="S837" s="108">
        <v>0.75</v>
      </c>
      <c r="T837" s="116" t="e">
        <f>$I837*$S837*$M837</f>
        <v>#VALUE!</v>
      </c>
      <c r="U837" s="116" t="e">
        <f>$I837*(1-$S837)*$M837</f>
        <v>#VALUE!</v>
      </c>
      <c r="V837" s="116" t="e">
        <f>$I837*$S837*(1-$M837)</f>
        <v>#VALUE!</v>
      </c>
      <c r="W837" s="116" t="e">
        <f>$I837*(1-$S837)*(1-$M837)</f>
        <v>#VALUE!</v>
      </c>
      <c r="X837" s="3"/>
      <c r="AD837" s="117" t="e">
        <f>ROUND(SUM(-G837,H837:L837),0)</f>
        <v>#VALUE!</v>
      </c>
      <c r="AE837" s="117" t="e">
        <f>ROUND(H837-O837-P837-Q837-R837,0)</f>
        <v>#VALUE!</v>
      </c>
      <c r="AF837" s="117" t="e">
        <f>ROUND(I837-T837-U837-V837-W837,0)</f>
        <v>#VALUE!</v>
      </c>
      <c r="AG837" s="117" t="e">
        <f>ROUND(J837-Y837-Z837-AA837-AC837-AB837,0)</f>
        <v>#VALUE!</v>
      </c>
      <c r="AH837" s="116"/>
      <c r="AI837" t="str">
        <f t="shared" si="385"/>
        <v>403TP</v>
      </c>
      <c r="AJ837" t="str">
        <f t="shared" si="378"/>
        <v>SG</v>
      </c>
      <c r="AK837" t="str">
        <f>IF(ISERROR(MATCH(AI837&amp;"."&amp;AJ837,AK$91:AK836,0)),AI837&amp;"."&amp;AJ837,AI837&amp;"."&amp;AJ837&amp;COUNTIFS(AI$91:AI836,AI837,AJ$91:AJ836,AJ837))</f>
        <v>403TP.SG2</v>
      </c>
    </row>
    <row r="838" spans="1:37" ht="15" hidden="1">
      <c r="A838" s="120">
        <f>ROW()</f>
        <v>838</v>
      </c>
      <c r="B838" s="120"/>
      <c r="C838" s="1"/>
      <c r="E838" s="121"/>
      <c r="F838" s="138"/>
      <c r="G838" s="117" t="e">
        <f t="shared" ref="G838:L838" si="393">SUM(G834:G837)</f>
        <v>#VALUE!</v>
      </c>
      <c r="H838" s="116" t="e">
        <f t="shared" si="393"/>
        <v>#VALUE!</v>
      </c>
      <c r="I838" s="116" t="e">
        <f t="shared" si="393"/>
        <v>#VALUE!</v>
      </c>
      <c r="J838" s="116" t="e">
        <f t="shared" si="393"/>
        <v>#VALUE!</v>
      </c>
      <c r="K838" s="116" t="e">
        <f t="shared" si="393"/>
        <v>#VALUE!</v>
      </c>
      <c r="L838" s="116" t="e">
        <f t="shared" si="393"/>
        <v>#VALUE!</v>
      </c>
      <c r="O838" s="116">
        <f>SUM(O834:O837)</f>
        <v>0</v>
      </c>
      <c r="P838" s="116">
        <f>SUM(P834:P837)</f>
        <v>0</v>
      </c>
      <c r="Q838" s="116">
        <f>SUM(Q834:Q837)</f>
        <v>0</v>
      </c>
      <c r="R838" s="116">
        <f>SUM(R834:R837)</f>
        <v>0</v>
      </c>
      <c r="T838" s="116" t="e">
        <f>SUM(T834:T837)</f>
        <v>#VALUE!</v>
      </c>
      <c r="U838" s="116" t="e">
        <f>SUM(U834:U837)</f>
        <v>#VALUE!</v>
      </c>
      <c r="V838" s="116" t="e">
        <f>SUM(V834:V837)</f>
        <v>#VALUE!</v>
      </c>
      <c r="W838" s="116" t="e">
        <f>SUM(W834:W837)</f>
        <v>#VALUE!</v>
      </c>
      <c r="X838" s="3"/>
      <c r="Y838" s="116">
        <f>SUM(Y834:Y837)</f>
        <v>0</v>
      </c>
      <c r="Z838" s="116">
        <f>SUM(Z834:Z837)</f>
        <v>0</v>
      </c>
      <c r="AA838" s="116">
        <f>SUM(AA834:AA837)</f>
        <v>0</v>
      </c>
      <c r="AB838" s="116">
        <f>SUM(AB834:AB837)</f>
        <v>0</v>
      </c>
      <c r="AC838" s="116">
        <f>SUM(AC834:AC837)</f>
        <v>0</v>
      </c>
      <c r="AD838" s="117" t="e">
        <f>ROUND(SUM(-G838,H838:L838),0)</f>
        <v>#VALUE!</v>
      </c>
      <c r="AE838" s="117" t="e">
        <f>ROUND(H838-O838-P838-Q838-R838,0)</f>
        <v>#VALUE!</v>
      </c>
      <c r="AF838" s="117" t="e">
        <f>ROUND(I838-T838-U838-V838-W838,0)</f>
        <v>#VALUE!</v>
      </c>
      <c r="AG838" s="117" t="e">
        <f>ROUND(J838-Y838-Z838-AA838-AC838-AB838,0)</f>
        <v>#VALUE!</v>
      </c>
      <c r="AH838" s="116"/>
      <c r="AI838" t="str">
        <f t="shared" si="385"/>
        <v>403TP</v>
      </c>
      <c r="AJ838" t="str">
        <f t="shared" si="378"/>
        <v>NA</v>
      </c>
      <c r="AK838" t="str">
        <f>IF(ISERROR(MATCH(AI838&amp;"."&amp;AJ838,AK$91:AK837,0)),AI838&amp;"."&amp;AJ838,AI838&amp;"."&amp;AJ838&amp;COUNTIFS(AI$91:AI837,AI838,AJ$91:AJ837,AJ838))</f>
        <v>403TP.NA1</v>
      </c>
    </row>
    <row r="839" spans="1:37" ht="15" hidden="1">
      <c r="A839" s="120">
        <f>ROW()</f>
        <v>839</v>
      </c>
      <c r="B839" s="120"/>
      <c r="C839" s="1"/>
      <c r="E839" s="121"/>
      <c r="F839" s="138"/>
      <c r="G839" s="119"/>
      <c r="X839" s="3"/>
      <c r="AD839" s="119"/>
      <c r="AE839" s="119"/>
      <c r="AF839" s="119"/>
      <c r="AG839" s="119"/>
      <c r="AI839" t="str">
        <f t="shared" si="385"/>
        <v>403TP</v>
      </c>
      <c r="AJ839" t="str">
        <f t="shared" si="378"/>
        <v>NA</v>
      </c>
      <c r="AK839" t="str">
        <f>IF(ISERROR(MATCH(AI839&amp;"."&amp;AJ839,AK$91:AK838,0)),AI839&amp;"."&amp;AJ839,AI839&amp;"."&amp;AJ839&amp;COUNTIFS(AI$91:AI838,AI839,AJ$91:AJ838,AJ839))</f>
        <v>403TP.NA2</v>
      </c>
    </row>
    <row r="840" spans="1:37" ht="15" hidden="1">
      <c r="A840" s="120">
        <f>ROW()</f>
        <v>840</v>
      </c>
      <c r="B840" s="120"/>
      <c r="C840" s="1">
        <v>403</v>
      </c>
      <c r="D840" s="2" t="s">
        <v>377</v>
      </c>
      <c r="E840" s="121"/>
      <c r="F840" s="138"/>
      <c r="G840" s="119"/>
      <c r="X840" s="3"/>
      <c r="AD840" s="119"/>
      <c r="AE840" s="119"/>
      <c r="AF840" s="119"/>
      <c r="AG840" s="119"/>
      <c r="AI840">
        <f t="shared" si="385"/>
        <v>403</v>
      </c>
      <c r="AJ840" t="str">
        <f t="shared" si="378"/>
        <v>NA</v>
      </c>
      <c r="AK840" t="str">
        <f>IF(ISERROR(MATCH(AI840&amp;"."&amp;AJ840,AK$91:AK839,0)),AI840&amp;"."&amp;AJ840,AI840&amp;"."&amp;AJ840&amp;COUNTIFS(AI$91:AI839,AI840,AJ$91:AJ839,AJ840))</f>
        <v>403.NA</v>
      </c>
    </row>
    <row r="841" spans="1:37" ht="15" hidden="1">
      <c r="A841" s="120">
        <f>ROW()</f>
        <v>841</v>
      </c>
      <c r="B841" s="120"/>
      <c r="C841" s="2">
        <v>360</v>
      </c>
      <c r="E841" s="121" t="s">
        <v>12</v>
      </c>
      <c r="F841" s="138" t="str">
        <f>INDEX(FuncAllocOptions,ROW(A841)-ROW($A$92)+1,[4]Inputs!$S$11)</f>
        <v>DPW</v>
      </c>
      <c r="G841" s="117" t="e">
        <f t="shared" ref="G841:G854" si="394">SUMIF(FERCJAMFactor,AK841,JAMValue)</f>
        <v>#VALUE!</v>
      </c>
      <c r="H841" s="116" t="e">
        <f t="shared" ref="H841:L854" si="395">INDEX(FuncFactorTbl,MATCH($F841,FuncFactors,0),MATCH(H$8,Functions,0))*$G841</f>
        <v>#VALUE!</v>
      </c>
      <c r="I841" s="116" t="e">
        <f t="shared" si="395"/>
        <v>#VALUE!</v>
      </c>
      <c r="J841" s="116" t="e">
        <f t="shared" si="395"/>
        <v>#VALUE!</v>
      </c>
      <c r="K841" s="116" t="e">
        <f t="shared" si="395"/>
        <v>#VALUE!</v>
      </c>
      <c r="L841" s="116" t="e">
        <f t="shared" si="395"/>
        <v>#VALUE!</v>
      </c>
      <c r="O841" s="116" t="e">
        <f t="shared" ref="O841:O854" si="396">$H841*$N841*$M841</f>
        <v>#VALUE!</v>
      </c>
      <c r="P841" s="116" t="e">
        <f t="shared" ref="P841:P854" si="397">$H841*(1-$N841)*$M841</f>
        <v>#VALUE!</v>
      </c>
      <c r="Q841" s="116" t="e">
        <f t="shared" ref="Q841:Q854" si="398">$H841*$N841*(1-$M841)</f>
        <v>#VALUE!</v>
      </c>
      <c r="R841" s="116" t="e">
        <f t="shared" ref="R841:R854" si="399">$H841*(1-$N841)*(1-$M841)</f>
        <v>#VALUE!</v>
      </c>
      <c r="T841" s="116">
        <v>0</v>
      </c>
      <c r="U841" s="116">
        <v>0</v>
      </c>
      <c r="V841" s="116">
        <v>0</v>
      </c>
      <c r="W841" s="116">
        <v>0</v>
      </c>
      <c r="X841" s="3" t="str">
        <f>INDEX(DistFuncAllocOptions,ROW(A841)-ROW($A$92)+1,[4]Inputs!$S$11)</f>
        <v>PLNT2</v>
      </c>
      <c r="Y841" s="116" t="e">
        <f t="shared" ref="Y841:AC854" si="400">INDEX(DistFuncFactorTbl,MATCH($X841,DistFuncFactors,0),MATCH(Y$91,DistFunctions,0))*$J841</f>
        <v>#VALUE!</v>
      </c>
      <c r="Z841" s="116" t="e">
        <f t="shared" si="400"/>
        <v>#VALUE!</v>
      </c>
      <c r="AA841" s="116" t="e">
        <f t="shared" si="400"/>
        <v>#VALUE!</v>
      </c>
      <c r="AB841" s="116" t="e">
        <f t="shared" si="400"/>
        <v>#VALUE!</v>
      </c>
      <c r="AC841" s="116" t="e">
        <f t="shared" si="400"/>
        <v>#VALUE!</v>
      </c>
      <c r="AD841" s="117" t="e">
        <f t="shared" ref="AD841:AD855" si="401">ROUND(SUM(-G841,H841:L841),0)</f>
        <v>#VALUE!</v>
      </c>
      <c r="AE841" s="117" t="e">
        <f t="shared" ref="AE841:AE855" si="402">ROUND(H841-O841-P841-Q841-R841,0)</f>
        <v>#VALUE!</v>
      </c>
      <c r="AF841" s="117" t="e">
        <f t="shared" ref="AF841:AF855" si="403">ROUND(I841-T841-U841-V841-W841,0)</f>
        <v>#VALUE!</v>
      </c>
      <c r="AG841" s="117" t="e">
        <f t="shared" ref="AG841:AG855" si="404">ROUND(J841-Y841-Z841-AA841-AC841-AB841,0)</f>
        <v>#VALUE!</v>
      </c>
      <c r="AH841" s="116"/>
      <c r="AI841">
        <f t="shared" si="385"/>
        <v>360</v>
      </c>
      <c r="AJ841" t="str">
        <f t="shared" si="378"/>
        <v>S</v>
      </c>
      <c r="AK841" t="str">
        <f>IF(ISERROR(MATCH(AI841&amp;"."&amp;AJ841,AK$91:AK840,0)),AI841&amp;"."&amp;AJ841,AI841&amp;"."&amp;AJ841&amp;COUNTIFS(AI$91:AI840,AI841,AJ$91:AJ840,AJ841))</f>
        <v>360.S</v>
      </c>
    </row>
    <row r="842" spans="1:37" ht="15" hidden="1">
      <c r="A842" s="120">
        <f>ROW()</f>
        <v>842</v>
      </c>
      <c r="B842" s="120"/>
      <c r="C842" s="2">
        <v>361</v>
      </c>
      <c r="E842" s="121" t="s">
        <v>12</v>
      </c>
      <c r="F842" s="138" t="str">
        <f>INDEX(FuncAllocOptions,ROW(A842)-ROW($A$92)+1,[4]Inputs!$S$11)</f>
        <v>DPW</v>
      </c>
      <c r="G842" s="117" t="e">
        <f t="shared" si="394"/>
        <v>#VALUE!</v>
      </c>
      <c r="H842" s="116" t="e">
        <f t="shared" si="395"/>
        <v>#VALUE!</v>
      </c>
      <c r="I842" s="116" t="e">
        <f t="shared" si="395"/>
        <v>#VALUE!</v>
      </c>
      <c r="J842" s="116" t="e">
        <f t="shared" si="395"/>
        <v>#VALUE!</v>
      </c>
      <c r="K842" s="116" t="e">
        <f t="shared" si="395"/>
        <v>#VALUE!</v>
      </c>
      <c r="L842" s="116" t="e">
        <f t="shared" si="395"/>
        <v>#VALUE!</v>
      </c>
      <c r="O842" s="116" t="e">
        <f t="shared" si="396"/>
        <v>#VALUE!</v>
      </c>
      <c r="P842" s="116" t="e">
        <f t="shared" si="397"/>
        <v>#VALUE!</v>
      </c>
      <c r="Q842" s="116" t="e">
        <f t="shared" si="398"/>
        <v>#VALUE!</v>
      </c>
      <c r="R842" s="116" t="e">
        <f t="shared" si="399"/>
        <v>#VALUE!</v>
      </c>
      <c r="T842" s="116">
        <v>0</v>
      </c>
      <c r="U842" s="116">
        <v>0</v>
      </c>
      <c r="V842" s="116">
        <v>0</v>
      </c>
      <c r="W842" s="116">
        <v>0</v>
      </c>
      <c r="X842" s="3" t="str">
        <f>INDEX(DistFuncAllocOptions,ROW(A842)-ROW($A$92)+1,[4]Inputs!$S$11)</f>
        <v>PLNT2</v>
      </c>
      <c r="Y842" s="116" t="e">
        <f t="shared" si="400"/>
        <v>#VALUE!</v>
      </c>
      <c r="Z842" s="116" t="e">
        <f t="shared" si="400"/>
        <v>#VALUE!</v>
      </c>
      <c r="AA842" s="116" t="e">
        <f t="shared" si="400"/>
        <v>#VALUE!</v>
      </c>
      <c r="AB842" s="116" t="e">
        <f t="shared" si="400"/>
        <v>#VALUE!</v>
      </c>
      <c r="AC842" s="116" t="e">
        <f t="shared" si="400"/>
        <v>#VALUE!</v>
      </c>
      <c r="AD842" s="117" t="e">
        <f t="shared" si="401"/>
        <v>#VALUE!</v>
      </c>
      <c r="AE842" s="117" t="e">
        <f t="shared" si="402"/>
        <v>#VALUE!</v>
      </c>
      <c r="AF842" s="117" t="e">
        <f t="shared" si="403"/>
        <v>#VALUE!</v>
      </c>
      <c r="AG842" s="117" t="e">
        <f t="shared" si="404"/>
        <v>#VALUE!</v>
      </c>
      <c r="AH842" s="116"/>
      <c r="AI842">
        <f t="shared" si="385"/>
        <v>361</v>
      </c>
      <c r="AJ842" t="str">
        <f t="shared" si="378"/>
        <v>S</v>
      </c>
      <c r="AK842" t="str">
        <f>IF(ISERROR(MATCH(AI842&amp;"."&amp;AJ842,AK$91:AK841,0)),AI842&amp;"."&amp;AJ842,AI842&amp;"."&amp;AJ842&amp;COUNTIFS(AI$91:AI841,AI842,AJ$91:AJ841,AJ842))</f>
        <v>361.S</v>
      </c>
    </row>
    <row r="843" spans="1:37" ht="15" hidden="1">
      <c r="A843" s="120">
        <f>ROW()</f>
        <v>843</v>
      </c>
      <c r="B843" s="120"/>
      <c r="C843" s="176">
        <v>362</v>
      </c>
      <c r="D843" s="176"/>
      <c r="E843" s="121" t="s">
        <v>12</v>
      </c>
      <c r="F843" s="138" t="str">
        <f>INDEX(FuncAllocOptions,ROW(A843)-ROW($A$92)+1,[4]Inputs!$S$11)</f>
        <v>DPW</v>
      </c>
      <c r="G843" s="117" t="e">
        <f t="shared" si="394"/>
        <v>#VALUE!</v>
      </c>
      <c r="H843" s="116" t="e">
        <f t="shared" si="395"/>
        <v>#VALUE!</v>
      </c>
      <c r="I843" s="116" t="e">
        <f t="shared" si="395"/>
        <v>#VALUE!</v>
      </c>
      <c r="J843" s="116" t="e">
        <f t="shared" si="395"/>
        <v>#VALUE!</v>
      </c>
      <c r="K843" s="116" t="e">
        <f t="shared" si="395"/>
        <v>#VALUE!</v>
      </c>
      <c r="L843" s="116" t="e">
        <f t="shared" si="395"/>
        <v>#VALUE!</v>
      </c>
      <c r="O843" s="116" t="e">
        <f t="shared" si="396"/>
        <v>#VALUE!</v>
      </c>
      <c r="P843" s="116" t="e">
        <f t="shared" si="397"/>
        <v>#VALUE!</v>
      </c>
      <c r="Q843" s="116" t="e">
        <f t="shared" si="398"/>
        <v>#VALUE!</v>
      </c>
      <c r="R843" s="116" t="e">
        <f t="shared" si="399"/>
        <v>#VALUE!</v>
      </c>
      <c r="T843" s="116">
        <v>0</v>
      </c>
      <c r="U843" s="116">
        <v>0</v>
      </c>
      <c r="V843" s="116">
        <v>0</v>
      </c>
      <c r="W843" s="116">
        <v>0</v>
      </c>
      <c r="X843" s="3" t="str">
        <f>INDEX(DistFuncAllocOptions,ROW(A843)-ROW($A$92)+1,[4]Inputs!$S$11)</f>
        <v>SUBS</v>
      </c>
      <c r="Y843" s="116" t="e">
        <f t="shared" si="400"/>
        <v>#VALUE!</v>
      </c>
      <c r="Z843" s="116" t="e">
        <f t="shared" si="400"/>
        <v>#VALUE!</v>
      </c>
      <c r="AA843" s="116" t="e">
        <f t="shared" si="400"/>
        <v>#VALUE!</v>
      </c>
      <c r="AB843" s="116" t="e">
        <f t="shared" si="400"/>
        <v>#VALUE!</v>
      </c>
      <c r="AC843" s="116" t="e">
        <f t="shared" si="400"/>
        <v>#VALUE!</v>
      </c>
      <c r="AD843" s="117" t="e">
        <f t="shared" si="401"/>
        <v>#VALUE!</v>
      </c>
      <c r="AE843" s="117" t="e">
        <f t="shared" si="402"/>
        <v>#VALUE!</v>
      </c>
      <c r="AF843" s="117" t="e">
        <f t="shared" si="403"/>
        <v>#VALUE!</v>
      </c>
      <c r="AG843" s="117" t="e">
        <f t="shared" si="404"/>
        <v>#VALUE!</v>
      </c>
      <c r="AH843" s="116"/>
      <c r="AI843">
        <f t="shared" si="385"/>
        <v>362</v>
      </c>
      <c r="AJ843" t="str">
        <f t="shared" si="378"/>
        <v>S</v>
      </c>
      <c r="AK843" t="str">
        <f>IF(ISERROR(MATCH(AI843&amp;"."&amp;AJ843,AK$91:AK842,0)),AI843&amp;"."&amp;AJ843,AI843&amp;"."&amp;AJ843&amp;COUNTIFS(AI$91:AI842,AI843,AJ$91:AJ842,AJ843))</f>
        <v>362.S</v>
      </c>
    </row>
    <row r="844" spans="1:37" ht="15" hidden="1">
      <c r="A844" s="120">
        <f>ROW()</f>
        <v>844</v>
      </c>
      <c r="B844" s="120"/>
      <c r="C844" s="2">
        <v>363</v>
      </c>
      <c r="E844" s="121" t="s">
        <v>12</v>
      </c>
      <c r="F844" s="138" t="str">
        <f>INDEX(FuncAllocOptions,ROW(A844)-ROW($A$92)+1,[4]Inputs!$S$11)</f>
        <v>DPW</v>
      </c>
      <c r="G844" s="117" t="e">
        <f t="shared" si="394"/>
        <v>#VALUE!</v>
      </c>
      <c r="H844" s="116" t="e">
        <f t="shared" si="395"/>
        <v>#VALUE!</v>
      </c>
      <c r="I844" s="116" t="e">
        <f t="shared" si="395"/>
        <v>#VALUE!</v>
      </c>
      <c r="J844" s="116" t="e">
        <f t="shared" si="395"/>
        <v>#VALUE!</v>
      </c>
      <c r="K844" s="116" t="e">
        <f t="shared" si="395"/>
        <v>#VALUE!</v>
      </c>
      <c r="L844" s="116" t="e">
        <f t="shared" si="395"/>
        <v>#VALUE!</v>
      </c>
      <c r="O844" s="116" t="e">
        <f t="shared" si="396"/>
        <v>#VALUE!</v>
      </c>
      <c r="P844" s="116" t="e">
        <f t="shared" si="397"/>
        <v>#VALUE!</v>
      </c>
      <c r="Q844" s="116" t="e">
        <f t="shared" si="398"/>
        <v>#VALUE!</v>
      </c>
      <c r="R844" s="116" t="e">
        <f t="shared" si="399"/>
        <v>#VALUE!</v>
      </c>
      <c r="T844" s="116">
        <v>0</v>
      </c>
      <c r="U844" s="116">
        <v>0</v>
      </c>
      <c r="V844" s="116">
        <v>0</v>
      </c>
      <c r="W844" s="116">
        <v>0</v>
      </c>
      <c r="X844" s="3" t="str">
        <f>INDEX(DistFuncAllocOptions,ROW(A844)-ROW($A$92)+1,[4]Inputs!$S$11)</f>
        <v>SUBS</v>
      </c>
      <c r="Y844" s="116" t="e">
        <f t="shared" si="400"/>
        <v>#VALUE!</v>
      </c>
      <c r="Z844" s="116" t="e">
        <f t="shared" si="400"/>
        <v>#VALUE!</v>
      </c>
      <c r="AA844" s="116" t="e">
        <f t="shared" si="400"/>
        <v>#VALUE!</v>
      </c>
      <c r="AB844" s="116" t="e">
        <f t="shared" si="400"/>
        <v>#VALUE!</v>
      </c>
      <c r="AC844" s="116" t="e">
        <f t="shared" si="400"/>
        <v>#VALUE!</v>
      </c>
      <c r="AD844" s="117" t="e">
        <f t="shared" si="401"/>
        <v>#VALUE!</v>
      </c>
      <c r="AE844" s="117" t="e">
        <f t="shared" si="402"/>
        <v>#VALUE!</v>
      </c>
      <c r="AF844" s="117" t="e">
        <f t="shared" si="403"/>
        <v>#VALUE!</v>
      </c>
      <c r="AG844" s="117" t="e">
        <f t="shared" si="404"/>
        <v>#VALUE!</v>
      </c>
      <c r="AH844" s="116"/>
      <c r="AI844">
        <f t="shared" si="385"/>
        <v>363</v>
      </c>
      <c r="AJ844" t="str">
        <f t="shared" si="378"/>
        <v>S</v>
      </c>
      <c r="AK844" t="str">
        <f>IF(ISERROR(MATCH(AI844&amp;"."&amp;AJ844,AK$91:AK843,0)),AI844&amp;"."&amp;AJ844,AI844&amp;"."&amp;AJ844&amp;COUNTIFS(AI$91:AI843,AI844,AJ$91:AJ843,AJ844))</f>
        <v>363.S</v>
      </c>
    </row>
    <row r="845" spans="1:37" ht="15" hidden="1">
      <c r="A845" s="120">
        <f>ROW()</f>
        <v>845</v>
      </c>
      <c r="B845" s="120"/>
      <c r="C845" s="2">
        <v>364</v>
      </c>
      <c r="E845" s="121" t="s">
        <v>12</v>
      </c>
      <c r="F845" s="138" t="str">
        <f>INDEX(FuncAllocOptions,ROW(A845)-ROW($A$92)+1,[4]Inputs!$S$11)</f>
        <v>DPW</v>
      </c>
      <c r="G845" s="117" t="e">
        <f t="shared" si="394"/>
        <v>#VALUE!</v>
      </c>
      <c r="H845" s="116" t="e">
        <f t="shared" si="395"/>
        <v>#VALUE!</v>
      </c>
      <c r="I845" s="116" t="e">
        <f t="shared" si="395"/>
        <v>#VALUE!</v>
      </c>
      <c r="J845" s="116" t="e">
        <f t="shared" si="395"/>
        <v>#VALUE!</v>
      </c>
      <c r="K845" s="116" t="e">
        <f t="shared" si="395"/>
        <v>#VALUE!</v>
      </c>
      <c r="L845" s="116" t="e">
        <f t="shared" si="395"/>
        <v>#VALUE!</v>
      </c>
      <c r="O845" s="116" t="e">
        <f t="shared" si="396"/>
        <v>#VALUE!</v>
      </c>
      <c r="P845" s="116" t="e">
        <f t="shared" si="397"/>
        <v>#VALUE!</v>
      </c>
      <c r="Q845" s="116" t="e">
        <f t="shared" si="398"/>
        <v>#VALUE!</v>
      </c>
      <c r="R845" s="116" t="e">
        <f t="shared" si="399"/>
        <v>#VALUE!</v>
      </c>
      <c r="T845" s="116">
        <v>0</v>
      </c>
      <c r="U845" s="116">
        <v>0</v>
      </c>
      <c r="V845" s="116">
        <v>0</v>
      </c>
      <c r="W845" s="116">
        <v>0</v>
      </c>
      <c r="X845" s="3" t="str">
        <f>INDEX(DistFuncAllocOptions,ROW(A845)-ROW($A$92)+1,[4]Inputs!$S$11)</f>
        <v>PC</v>
      </c>
      <c r="Y845" s="116" t="e">
        <f t="shared" si="400"/>
        <v>#VALUE!</v>
      </c>
      <c r="Z845" s="116" t="e">
        <f t="shared" si="400"/>
        <v>#VALUE!</v>
      </c>
      <c r="AA845" s="116" t="e">
        <f t="shared" si="400"/>
        <v>#VALUE!</v>
      </c>
      <c r="AB845" s="116" t="e">
        <f t="shared" si="400"/>
        <v>#VALUE!</v>
      </c>
      <c r="AC845" s="116" t="e">
        <f t="shared" si="400"/>
        <v>#VALUE!</v>
      </c>
      <c r="AD845" s="117" t="e">
        <f t="shared" si="401"/>
        <v>#VALUE!</v>
      </c>
      <c r="AE845" s="117" t="e">
        <f t="shared" si="402"/>
        <v>#VALUE!</v>
      </c>
      <c r="AF845" s="117" t="e">
        <f t="shared" si="403"/>
        <v>#VALUE!</v>
      </c>
      <c r="AG845" s="117" t="e">
        <f t="shared" si="404"/>
        <v>#VALUE!</v>
      </c>
      <c r="AH845" s="116"/>
      <c r="AI845">
        <f t="shared" si="385"/>
        <v>364</v>
      </c>
      <c r="AJ845" t="str">
        <f t="shared" si="378"/>
        <v>S</v>
      </c>
      <c r="AK845" t="str">
        <f>IF(ISERROR(MATCH(AI845&amp;"."&amp;AJ845,AK$91:AK844,0)),AI845&amp;"."&amp;AJ845,AI845&amp;"."&amp;AJ845&amp;COUNTIFS(AI$91:AI844,AI845,AJ$91:AJ844,AJ845))</f>
        <v>364.S</v>
      </c>
    </row>
    <row r="846" spans="1:37" ht="15" hidden="1">
      <c r="A846" s="120">
        <f>ROW()</f>
        <v>846</v>
      </c>
      <c r="B846" s="120"/>
      <c r="C846" s="2">
        <v>365</v>
      </c>
      <c r="E846" s="121" t="s">
        <v>12</v>
      </c>
      <c r="F846" s="138" t="str">
        <f>INDEX(FuncAllocOptions,ROW(A846)-ROW($A$92)+1,[4]Inputs!$S$11)</f>
        <v>DPW</v>
      </c>
      <c r="G846" s="117" t="e">
        <f t="shared" si="394"/>
        <v>#VALUE!</v>
      </c>
      <c r="H846" s="116" t="e">
        <f t="shared" si="395"/>
        <v>#VALUE!</v>
      </c>
      <c r="I846" s="116" t="e">
        <f t="shared" si="395"/>
        <v>#VALUE!</v>
      </c>
      <c r="J846" s="116" t="e">
        <f t="shared" si="395"/>
        <v>#VALUE!</v>
      </c>
      <c r="K846" s="116" t="e">
        <f t="shared" si="395"/>
        <v>#VALUE!</v>
      </c>
      <c r="L846" s="116" t="e">
        <f t="shared" si="395"/>
        <v>#VALUE!</v>
      </c>
      <c r="O846" s="116" t="e">
        <f t="shared" si="396"/>
        <v>#VALUE!</v>
      </c>
      <c r="P846" s="116" t="e">
        <f t="shared" si="397"/>
        <v>#VALUE!</v>
      </c>
      <c r="Q846" s="116" t="e">
        <f t="shared" si="398"/>
        <v>#VALUE!</v>
      </c>
      <c r="R846" s="116" t="e">
        <f t="shared" si="399"/>
        <v>#VALUE!</v>
      </c>
      <c r="T846" s="116">
        <v>0</v>
      </c>
      <c r="U846" s="116">
        <v>0</v>
      </c>
      <c r="V846" s="116">
        <v>0</v>
      </c>
      <c r="W846" s="116">
        <v>0</v>
      </c>
      <c r="X846" s="3" t="str">
        <f>INDEX(DistFuncAllocOptions,ROW(A846)-ROW($A$92)+1,[4]Inputs!$S$11)</f>
        <v>PC</v>
      </c>
      <c r="Y846" s="116" t="e">
        <f t="shared" si="400"/>
        <v>#VALUE!</v>
      </c>
      <c r="Z846" s="116" t="e">
        <f t="shared" si="400"/>
        <v>#VALUE!</v>
      </c>
      <c r="AA846" s="116" t="e">
        <f t="shared" si="400"/>
        <v>#VALUE!</v>
      </c>
      <c r="AB846" s="116" t="e">
        <f t="shared" si="400"/>
        <v>#VALUE!</v>
      </c>
      <c r="AC846" s="116" t="e">
        <f t="shared" si="400"/>
        <v>#VALUE!</v>
      </c>
      <c r="AD846" s="117" t="e">
        <f t="shared" si="401"/>
        <v>#VALUE!</v>
      </c>
      <c r="AE846" s="117" t="e">
        <f t="shared" si="402"/>
        <v>#VALUE!</v>
      </c>
      <c r="AF846" s="117" t="e">
        <f t="shared" si="403"/>
        <v>#VALUE!</v>
      </c>
      <c r="AG846" s="117" t="e">
        <f t="shared" si="404"/>
        <v>#VALUE!</v>
      </c>
      <c r="AH846" s="116"/>
      <c r="AI846">
        <f t="shared" si="385"/>
        <v>365</v>
      </c>
      <c r="AJ846" t="str">
        <f t="shared" si="378"/>
        <v>S</v>
      </c>
      <c r="AK846" t="str">
        <f>IF(ISERROR(MATCH(AI846&amp;"."&amp;AJ846,AK$91:AK845,0)),AI846&amp;"."&amp;AJ846,AI846&amp;"."&amp;AJ846&amp;COUNTIFS(AI$91:AI845,AI846,AJ$91:AJ845,AJ846))</f>
        <v>365.S</v>
      </c>
    </row>
    <row r="847" spans="1:37" ht="15" hidden="1">
      <c r="A847" s="120">
        <f>ROW()</f>
        <v>847</v>
      </c>
      <c r="B847" s="120"/>
      <c r="C847" s="2">
        <v>366</v>
      </c>
      <c r="E847" s="121" t="s">
        <v>12</v>
      </c>
      <c r="F847" s="138" t="str">
        <f>INDEX(FuncAllocOptions,ROW(A847)-ROW($A$92)+1,[4]Inputs!$S$11)</f>
        <v>DPW</v>
      </c>
      <c r="G847" s="117" t="e">
        <f t="shared" si="394"/>
        <v>#VALUE!</v>
      </c>
      <c r="H847" s="116" t="e">
        <f t="shared" si="395"/>
        <v>#VALUE!</v>
      </c>
      <c r="I847" s="116" t="e">
        <f t="shared" si="395"/>
        <v>#VALUE!</v>
      </c>
      <c r="J847" s="116" t="e">
        <f t="shared" si="395"/>
        <v>#VALUE!</v>
      </c>
      <c r="K847" s="116" t="e">
        <f t="shared" si="395"/>
        <v>#VALUE!</v>
      </c>
      <c r="L847" s="116" t="e">
        <f t="shared" si="395"/>
        <v>#VALUE!</v>
      </c>
      <c r="O847" s="116" t="e">
        <f t="shared" si="396"/>
        <v>#VALUE!</v>
      </c>
      <c r="P847" s="116" t="e">
        <f t="shared" si="397"/>
        <v>#VALUE!</v>
      </c>
      <c r="Q847" s="116" t="e">
        <f t="shared" si="398"/>
        <v>#VALUE!</v>
      </c>
      <c r="R847" s="116" t="e">
        <f t="shared" si="399"/>
        <v>#VALUE!</v>
      </c>
      <c r="T847" s="116">
        <v>0</v>
      </c>
      <c r="U847" s="116">
        <v>0</v>
      </c>
      <c r="V847" s="116">
        <v>0</v>
      </c>
      <c r="W847" s="116">
        <v>0</v>
      </c>
      <c r="X847" s="3" t="str">
        <f>INDEX(DistFuncAllocOptions,ROW(A847)-ROW($A$92)+1,[4]Inputs!$S$11)</f>
        <v>PC</v>
      </c>
      <c r="Y847" s="116" t="e">
        <f t="shared" si="400"/>
        <v>#VALUE!</v>
      </c>
      <c r="Z847" s="116" t="e">
        <f t="shared" si="400"/>
        <v>#VALUE!</v>
      </c>
      <c r="AA847" s="116" t="e">
        <f t="shared" si="400"/>
        <v>#VALUE!</v>
      </c>
      <c r="AB847" s="116" t="e">
        <f t="shared" si="400"/>
        <v>#VALUE!</v>
      </c>
      <c r="AC847" s="116" t="e">
        <f t="shared" si="400"/>
        <v>#VALUE!</v>
      </c>
      <c r="AD847" s="117" t="e">
        <f t="shared" si="401"/>
        <v>#VALUE!</v>
      </c>
      <c r="AE847" s="117" t="e">
        <f t="shared" si="402"/>
        <v>#VALUE!</v>
      </c>
      <c r="AF847" s="117" t="e">
        <f t="shared" si="403"/>
        <v>#VALUE!</v>
      </c>
      <c r="AG847" s="117" t="e">
        <f t="shared" si="404"/>
        <v>#VALUE!</v>
      </c>
      <c r="AH847" s="116"/>
      <c r="AI847">
        <f t="shared" si="385"/>
        <v>366</v>
      </c>
      <c r="AJ847" t="str">
        <f t="shared" si="378"/>
        <v>S</v>
      </c>
      <c r="AK847" t="str">
        <f>IF(ISERROR(MATCH(AI847&amp;"."&amp;AJ847,AK$91:AK846,0)),AI847&amp;"."&amp;AJ847,AI847&amp;"."&amp;AJ847&amp;COUNTIFS(AI$91:AI846,AI847,AJ$91:AJ846,AJ847))</f>
        <v>366.S</v>
      </c>
    </row>
    <row r="848" spans="1:37" ht="15" hidden="1">
      <c r="A848" s="120">
        <f>ROW()</f>
        <v>848</v>
      </c>
      <c r="B848" s="120"/>
      <c r="C848" s="2">
        <v>367</v>
      </c>
      <c r="E848" s="121" t="s">
        <v>12</v>
      </c>
      <c r="F848" s="138" t="str">
        <f>INDEX(FuncAllocOptions,ROW(A848)-ROW($A$92)+1,[4]Inputs!$S$11)</f>
        <v>DPW</v>
      </c>
      <c r="G848" s="117" t="e">
        <f t="shared" si="394"/>
        <v>#VALUE!</v>
      </c>
      <c r="H848" s="116" t="e">
        <f t="shared" si="395"/>
        <v>#VALUE!</v>
      </c>
      <c r="I848" s="116" t="e">
        <f t="shared" si="395"/>
        <v>#VALUE!</v>
      </c>
      <c r="J848" s="116" t="e">
        <f t="shared" si="395"/>
        <v>#VALUE!</v>
      </c>
      <c r="K848" s="116" t="e">
        <f t="shared" si="395"/>
        <v>#VALUE!</v>
      </c>
      <c r="L848" s="116" t="e">
        <f t="shared" si="395"/>
        <v>#VALUE!</v>
      </c>
      <c r="O848" s="116" t="e">
        <f t="shared" si="396"/>
        <v>#VALUE!</v>
      </c>
      <c r="P848" s="116" t="e">
        <f t="shared" si="397"/>
        <v>#VALUE!</v>
      </c>
      <c r="Q848" s="116" t="e">
        <f t="shared" si="398"/>
        <v>#VALUE!</v>
      </c>
      <c r="R848" s="116" t="e">
        <f t="shared" si="399"/>
        <v>#VALUE!</v>
      </c>
      <c r="T848" s="116">
        <v>0</v>
      </c>
      <c r="U848" s="116">
        <v>0</v>
      </c>
      <c r="V848" s="116">
        <v>0</v>
      </c>
      <c r="W848" s="116">
        <v>0</v>
      </c>
      <c r="X848" s="3" t="str">
        <f>INDEX(DistFuncAllocOptions,ROW(A848)-ROW($A$92)+1,[4]Inputs!$S$11)</f>
        <v>PC</v>
      </c>
      <c r="Y848" s="116" t="e">
        <f t="shared" si="400"/>
        <v>#VALUE!</v>
      </c>
      <c r="Z848" s="116" t="e">
        <f t="shared" si="400"/>
        <v>#VALUE!</v>
      </c>
      <c r="AA848" s="116" t="e">
        <f t="shared" si="400"/>
        <v>#VALUE!</v>
      </c>
      <c r="AB848" s="116" t="e">
        <f t="shared" si="400"/>
        <v>#VALUE!</v>
      </c>
      <c r="AC848" s="116" t="e">
        <f t="shared" si="400"/>
        <v>#VALUE!</v>
      </c>
      <c r="AD848" s="117" t="e">
        <f t="shared" si="401"/>
        <v>#VALUE!</v>
      </c>
      <c r="AE848" s="117" t="e">
        <f t="shared" si="402"/>
        <v>#VALUE!</v>
      </c>
      <c r="AF848" s="117" t="e">
        <f t="shared" si="403"/>
        <v>#VALUE!</v>
      </c>
      <c r="AG848" s="117" t="e">
        <f t="shared" si="404"/>
        <v>#VALUE!</v>
      </c>
      <c r="AH848" s="116"/>
      <c r="AI848">
        <f t="shared" si="385"/>
        <v>367</v>
      </c>
      <c r="AJ848" t="str">
        <f t="shared" si="378"/>
        <v>S</v>
      </c>
      <c r="AK848" t="str">
        <f>IF(ISERROR(MATCH(AI848&amp;"."&amp;AJ848,AK$91:AK847,0)),AI848&amp;"."&amp;AJ848,AI848&amp;"."&amp;AJ848&amp;COUNTIFS(AI$91:AI847,AI848,AJ$91:AJ847,AJ848))</f>
        <v>367.S</v>
      </c>
    </row>
    <row r="849" spans="1:37" ht="15" hidden="1">
      <c r="A849" s="120">
        <f>ROW()</f>
        <v>849</v>
      </c>
      <c r="B849" s="120"/>
      <c r="C849" s="2">
        <v>368</v>
      </c>
      <c r="E849" s="121" t="s">
        <v>12</v>
      </c>
      <c r="F849" s="138" t="str">
        <f>INDEX(FuncAllocOptions,ROW(A849)-ROW($A$92)+1,[4]Inputs!$S$11)</f>
        <v>DPW</v>
      </c>
      <c r="G849" s="117" t="e">
        <f t="shared" si="394"/>
        <v>#VALUE!</v>
      </c>
      <c r="H849" s="116" t="e">
        <f t="shared" si="395"/>
        <v>#VALUE!</v>
      </c>
      <c r="I849" s="116" t="e">
        <f t="shared" si="395"/>
        <v>#VALUE!</v>
      </c>
      <c r="J849" s="116" t="e">
        <f t="shared" si="395"/>
        <v>#VALUE!</v>
      </c>
      <c r="K849" s="116" t="e">
        <f t="shared" si="395"/>
        <v>#VALUE!</v>
      </c>
      <c r="L849" s="116" t="e">
        <f t="shared" si="395"/>
        <v>#VALUE!</v>
      </c>
      <c r="O849" s="116" t="e">
        <f t="shared" si="396"/>
        <v>#VALUE!</v>
      </c>
      <c r="P849" s="116" t="e">
        <f t="shared" si="397"/>
        <v>#VALUE!</v>
      </c>
      <c r="Q849" s="116" t="e">
        <f t="shared" si="398"/>
        <v>#VALUE!</v>
      </c>
      <c r="R849" s="116" t="e">
        <f t="shared" si="399"/>
        <v>#VALUE!</v>
      </c>
      <c r="T849" s="116">
        <v>0</v>
      </c>
      <c r="U849" s="116">
        <v>0</v>
      </c>
      <c r="V849" s="116">
        <v>0</v>
      </c>
      <c r="W849" s="116">
        <v>0</v>
      </c>
      <c r="X849" s="3" t="str">
        <f>INDEX(DistFuncAllocOptions,ROW(A849)-ROW($A$92)+1,[4]Inputs!$S$11)</f>
        <v>XFMR</v>
      </c>
      <c r="Y849" s="116" t="e">
        <f t="shared" si="400"/>
        <v>#VALUE!</v>
      </c>
      <c r="Z849" s="116" t="e">
        <f t="shared" si="400"/>
        <v>#VALUE!</v>
      </c>
      <c r="AA849" s="116" t="e">
        <f t="shared" si="400"/>
        <v>#VALUE!</v>
      </c>
      <c r="AB849" s="116" t="e">
        <f t="shared" si="400"/>
        <v>#VALUE!</v>
      </c>
      <c r="AC849" s="116" t="e">
        <f t="shared" si="400"/>
        <v>#VALUE!</v>
      </c>
      <c r="AD849" s="117" t="e">
        <f t="shared" si="401"/>
        <v>#VALUE!</v>
      </c>
      <c r="AE849" s="117" t="e">
        <f t="shared" si="402"/>
        <v>#VALUE!</v>
      </c>
      <c r="AF849" s="117" t="e">
        <f t="shared" si="403"/>
        <v>#VALUE!</v>
      </c>
      <c r="AG849" s="117" t="e">
        <f t="shared" si="404"/>
        <v>#VALUE!</v>
      </c>
      <c r="AH849" s="116"/>
      <c r="AI849">
        <f t="shared" si="385"/>
        <v>368</v>
      </c>
      <c r="AJ849" t="str">
        <f t="shared" si="378"/>
        <v>S</v>
      </c>
      <c r="AK849" t="str">
        <f>IF(ISERROR(MATCH(AI849&amp;"."&amp;AJ849,AK$91:AK848,0)),AI849&amp;"."&amp;AJ849,AI849&amp;"."&amp;AJ849&amp;COUNTIFS(AI$91:AI848,AI849,AJ$91:AJ848,AJ849))</f>
        <v>368.S</v>
      </c>
    </row>
    <row r="850" spans="1:37" ht="15" hidden="1">
      <c r="A850" s="120">
        <f>ROW()</f>
        <v>850</v>
      </c>
      <c r="B850" s="120"/>
      <c r="C850" s="2">
        <v>369</v>
      </c>
      <c r="E850" s="121" t="s">
        <v>12</v>
      </c>
      <c r="F850" s="138" t="str">
        <f>INDEX(FuncAllocOptions,ROW(A850)-ROW($A$92)+1,[4]Inputs!$S$11)</f>
        <v>DPW</v>
      </c>
      <c r="G850" s="117" t="e">
        <f t="shared" si="394"/>
        <v>#VALUE!</v>
      </c>
      <c r="H850" s="116" t="e">
        <f t="shared" si="395"/>
        <v>#VALUE!</v>
      </c>
      <c r="I850" s="116" t="e">
        <f t="shared" si="395"/>
        <v>#VALUE!</v>
      </c>
      <c r="J850" s="116" t="e">
        <f t="shared" si="395"/>
        <v>#VALUE!</v>
      </c>
      <c r="K850" s="116" t="e">
        <f t="shared" si="395"/>
        <v>#VALUE!</v>
      </c>
      <c r="L850" s="116" t="e">
        <f t="shared" si="395"/>
        <v>#VALUE!</v>
      </c>
      <c r="O850" s="116" t="e">
        <f t="shared" si="396"/>
        <v>#VALUE!</v>
      </c>
      <c r="P850" s="116" t="e">
        <f t="shared" si="397"/>
        <v>#VALUE!</v>
      </c>
      <c r="Q850" s="116" t="e">
        <f t="shared" si="398"/>
        <v>#VALUE!</v>
      </c>
      <c r="R850" s="116" t="e">
        <f t="shared" si="399"/>
        <v>#VALUE!</v>
      </c>
      <c r="T850" s="116">
        <v>0</v>
      </c>
      <c r="U850" s="116">
        <v>0</v>
      </c>
      <c r="V850" s="116">
        <v>0</v>
      </c>
      <c r="W850" s="116">
        <v>0</v>
      </c>
      <c r="X850" s="3" t="str">
        <f>INDEX(DistFuncAllocOptions,ROW(A850)-ROW($A$92)+1,[4]Inputs!$S$11)</f>
        <v>SERV</v>
      </c>
      <c r="Y850" s="116" t="e">
        <f t="shared" si="400"/>
        <v>#VALUE!</v>
      </c>
      <c r="Z850" s="116" t="e">
        <f t="shared" si="400"/>
        <v>#VALUE!</v>
      </c>
      <c r="AA850" s="116" t="e">
        <f t="shared" si="400"/>
        <v>#VALUE!</v>
      </c>
      <c r="AB850" s="116" t="e">
        <f t="shared" si="400"/>
        <v>#VALUE!</v>
      </c>
      <c r="AC850" s="116" t="e">
        <f t="shared" si="400"/>
        <v>#VALUE!</v>
      </c>
      <c r="AD850" s="117" t="e">
        <f t="shared" si="401"/>
        <v>#VALUE!</v>
      </c>
      <c r="AE850" s="117" t="e">
        <f t="shared" si="402"/>
        <v>#VALUE!</v>
      </c>
      <c r="AF850" s="117" t="e">
        <f t="shared" si="403"/>
        <v>#VALUE!</v>
      </c>
      <c r="AG850" s="117" t="e">
        <f t="shared" si="404"/>
        <v>#VALUE!</v>
      </c>
      <c r="AH850" s="116"/>
      <c r="AI850">
        <f t="shared" si="385"/>
        <v>369</v>
      </c>
      <c r="AJ850" t="str">
        <f t="shared" si="378"/>
        <v>S</v>
      </c>
      <c r="AK850" t="str">
        <f>IF(ISERROR(MATCH(AI850&amp;"."&amp;AJ850,AK$91:AK849,0)),AI850&amp;"."&amp;AJ850,AI850&amp;"."&amp;AJ850&amp;COUNTIFS(AI$91:AI849,AI850,AJ$91:AJ849,AJ850))</f>
        <v>369.S</v>
      </c>
    </row>
    <row r="851" spans="1:37" ht="15" hidden="1">
      <c r="A851" s="120">
        <f>ROW()</f>
        <v>851</v>
      </c>
      <c r="B851" s="120"/>
      <c r="C851" s="2">
        <v>370</v>
      </c>
      <c r="E851" s="121" t="s">
        <v>12</v>
      </c>
      <c r="F851" s="138" t="str">
        <f>INDEX(FuncAllocOptions,ROW(A851)-ROW($A$92)+1,[4]Inputs!$S$11)</f>
        <v>DPW</v>
      </c>
      <c r="G851" s="117" t="e">
        <f t="shared" si="394"/>
        <v>#VALUE!</v>
      </c>
      <c r="H851" s="116" t="e">
        <f t="shared" si="395"/>
        <v>#VALUE!</v>
      </c>
      <c r="I851" s="116" t="e">
        <f t="shared" si="395"/>
        <v>#VALUE!</v>
      </c>
      <c r="J851" s="116" t="e">
        <f t="shared" si="395"/>
        <v>#VALUE!</v>
      </c>
      <c r="K851" s="116" t="e">
        <f t="shared" si="395"/>
        <v>#VALUE!</v>
      </c>
      <c r="L851" s="116" t="e">
        <f t="shared" si="395"/>
        <v>#VALUE!</v>
      </c>
      <c r="O851" s="116" t="e">
        <f t="shared" si="396"/>
        <v>#VALUE!</v>
      </c>
      <c r="P851" s="116" t="e">
        <f t="shared" si="397"/>
        <v>#VALUE!</v>
      </c>
      <c r="Q851" s="116" t="e">
        <f t="shared" si="398"/>
        <v>#VALUE!</v>
      </c>
      <c r="R851" s="116" t="e">
        <f t="shared" si="399"/>
        <v>#VALUE!</v>
      </c>
      <c r="T851" s="116">
        <v>0</v>
      </c>
      <c r="U851" s="116">
        <v>0</v>
      </c>
      <c r="V851" s="116">
        <v>0</v>
      </c>
      <c r="W851" s="116">
        <v>0</v>
      </c>
      <c r="X851" s="3" t="str">
        <f>INDEX(DistFuncAllocOptions,ROW(A851)-ROW($A$92)+1,[4]Inputs!$S$11)</f>
        <v>METR</v>
      </c>
      <c r="Y851" s="116" t="e">
        <f t="shared" si="400"/>
        <v>#VALUE!</v>
      </c>
      <c r="Z851" s="116" t="e">
        <f t="shared" si="400"/>
        <v>#VALUE!</v>
      </c>
      <c r="AA851" s="116" t="e">
        <f t="shared" si="400"/>
        <v>#VALUE!</v>
      </c>
      <c r="AB851" s="116" t="e">
        <f t="shared" si="400"/>
        <v>#VALUE!</v>
      </c>
      <c r="AC851" s="116" t="e">
        <f t="shared" si="400"/>
        <v>#VALUE!</v>
      </c>
      <c r="AD851" s="117" t="e">
        <f t="shared" si="401"/>
        <v>#VALUE!</v>
      </c>
      <c r="AE851" s="117" t="e">
        <f t="shared" si="402"/>
        <v>#VALUE!</v>
      </c>
      <c r="AF851" s="117" t="e">
        <f t="shared" si="403"/>
        <v>#VALUE!</v>
      </c>
      <c r="AG851" s="117" t="e">
        <f t="shared" si="404"/>
        <v>#VALUE!</v>
      </c>
      <c r="AH851" s="116"/>
      <c r="AI851">
        <f t="shared" si="385"/>
        <v>370</v>
      </c>
      <c r="AJ851" t="str">
        <f t="shared" si="378"/>
        <v>S</v>
      </c>
      <c r="AK851" t="str">
        <f>IF(ISERROR(MATCH(AI851&amp;"."&amp;AJ851,AK$91:AK850,0)),AI851&amp;"."&amp;AJ851,AI851&amp;"."&amp;AJ851&amp;COUNTIFS(AI$91:AI850,AI851,AJ$91:AJ850,AJ851))</f>
        <v>370.S</v>
      </c>
    </row>
    <row r="852" spans="1:37" ht="15" hidden="1">
      <c r="A852" s="120">
        <f>ROW()</f>
        <v>852</v>
      </c>
      <c r="B852" s="120"/>
      <c r="C852" s="2">
        <v>371</v>
      </c>
      <c r="E852" s="121" t="s">
        <v>12</v>
      </c>
      <c r="F852" s="138" t="str">
        <f>INDEX(FuncAllocOptions,ROW(A852)-ROW($A$92)+1,[4]Inputs!$S$11)</f>
        <v>DPW</v>
      </c>
      <c r="G852" s="117" t="e">
        <f t="shared" si="394"/>
        <v>#VALUE!</v>
      </c>
      <c r="H852" s="116" t="e">
        <f t="shared" si="395"/>
        <v>#VALUE!</v>
      </c>
      <c r="I852" s="116" t="e">
        <f t="shared" si="395"/>
        <v>#VALUE!</v>
      </c>
      <c r="J852" s="116" t="e">
        <f t="shared" si="395"/>
        <v>#VALUE!</v>
      </c>
      <c r="K852" s="116" t="e">
        <f t="shared" si="395"/>
        <v>#VALUE!</v>
      </c>
      <c r="L852" s="116" t="e">
        <f t="shared" si="395"/>
        <v>#VALUE!</v>
      </c>
      <c r="O852" s="116" t="e">
        <f t="shared" si="396"/>
        <v>#VALUE!</v>
      </c>
      <c r="P852" s="116" t="e">
        <f t="shared" si="397"/>
        <v>#VALUE!</v>
      </c>
      <c r="Q852" s="116" t="e">
        <f t="shared" si="398"/>
        <v>#VALUE!</v>
      </c>
      <c r="R852" s="116" t="e">
        <f t="shared" si="399"/>
        <v>#VALUE!</v>
      </c>
      <c r="T852" s="116">
        <v>0</v>
      </c>
      <c r="U852" s="116">
        <v>0</v>
      </c>
      <c r="V852" s="116">
        <v>0</v>
      </c>
      <c r="W852" s="116">
        <v>0</v>
      </c>
      <c r="X852" s="3" t="str">
        <f>INDEX(DistFuncAllocOptions,ROW(A852)-ROW($A$92)+1,[4]Inputs!$S$11)</f>
        <v>PC</v>
      </c>
      <c r="Y852" s="116" t="e">
        <f t="shared" si="400"/>
        <v>#VALUE!</v>
      </c>
      <c r="Z852" s="116" t="e">
        <f t="shared" si="400"/>
        <v>#VALUE!</v>
      </c>
      <c r="AA852" s="116" t="e">
        <f t="shared" si="400"/>
        <v>#VALUE!</v>
      </c>
      <c r="AB852" s="116" t="e">
        <f t="shared" si="400"/>
        <v>#VALUE!</v>
      </c>
      <c r="AC852" s="116" t="e">
        <f t="shared" si="400"/>
        <v>#VALUE!</v>
      </c>
      <c r="AD852" s="117" t="e">
        <f t="shared" si="401"/>
        <v>#VALUE!</v>
      </c>
      <c r="AE852" s="117" t="e">
        <f t="shared" si="402"/>
        <v>#VALUE!</v>
      </c>
      <c r="AF852" s="117" t="e">
        <f t="shared" si="403"/>
        <v>#VALUE!</v>
      </c>
      <c r="AG852" s="117" t="e">
        <f t="shared" si="404"/>
        <v>#VALUE!</v>
      </c>
      <c r="AH852" s="116"/>
      <c r="AI852">
        <f t="shared" si="385"/>
        <v>371</v>
      </c>
      <c r="AJ852" t="str">
        <f t="shared" si="378"/>
        <v>S</v>
      </c>
      <c r="AK852" t="str">
        <f>IF(ISERROR(MATCH(AI852&amp;"."&amp;AJ852,AK$91:AK851,0)),AI852&amp;"."&amp;AJ852,AI852&amp;"."&amp;AJ852&amp;COUNTIFS(AI$91:AI851,AI852,AJ$91:AJ851,AJ852))</f>
        <v>371.S</v>
      </c>
    </row>
    <row r="853" spans="1:37" ht="15" hidden="1">
      <c r="A853" s="120">
        <f>ROW()</f>
        <v>853</v>
      </c>
      <c r="B853" s="120"/>
      <c r="C853" s="2">
        <v>372</v>
      </c>
      <c r="E853" s="121" t="s">
        <v>12</v>
      </c>
      <c r="F853" s="138" t="str">
        <f>INDEX(FuncAllocOptions,ROW(A853)-ROW($A$92)+1,[4]Inputs!$S$11)</f>
        <v>DPW</v>
      </c>
      <c r="G853" s="117" t="e">
        <f t="shared" si="394"/>
        <v>#VALUE!</v>
      </c>
      <c r="H853" s="116" t="e">
        <f t="shared" si="395"/>
        <v>#VALUE!</v>
      </c>
      <c r="I853" s="116" t="e">
        <f t="shared" si="395"/>
        <v>#VALUE!</v>
      </c>
      <c r="J853" s="116" t="e">
        <f t="shared" si="395"/>
        <v>#VALUE!</v>
      </c>
      <c r="K853" s="116" t="e">
        <f t="shared" si="395"/>
        <v>#VALUE!</v>
      </c>
      <c r="L853" s="116" t="e">
        <f t="shared" si="395"/>
        <v>#VALUE!</v>
      </c>
      <c r="O853" s="116" t="e">
        <f t="shared" si="396"/>
        <v>#VALUE!</v>
      </c>
      <c r="P853" s="116" t="e">
        <f t="shared" si="397"/>
        <v>#VALUE!</v>
      </c>
      <c r="Q853" s="116" t="e">
        <f t="shared" si="398"/>
        <v>#VALUE!</v>
      </c>
      <c r="R853" s="116" t="e">
        <f t="shared" si="399"/>
        <v>#VALUE!</v>
      </c>
      <c r="T853" s="116">
        <v>0</v>
      </c>
      <c r="U853" s="116">
        <v>0</v>
      </c>
      <c r="V853" s="116">
        <v>0</v>
      </c>
      <c r="W853" s="116">
        <v>0</v>
      </c>
      <c r="X853" s="3" t="str">
        <f>INDEX(DistFuncAllocOptions,ROW(A853)-ROW($A$92)+1,[4]Inputs!$S$11)</f>
        <v>PLNT2</v>
      </c>
      <c r="Y853" s="116" t="e">
        <f t="shared" si="400"/>
        <v>#VALUE!</v>
      </c>
      <c r="Z853" s="116" t="e">
        <f t="shared" si="400"/>
        <v>#VALUE!</v>
      </c>
      <c r="AA853" s="116" t="e">
        <f t="shared" si="400"/>
        <v>#VALUE!</v>
      </c>
      <c r="AB853" s="116" t="e">
        <f t="shared" si="400"/>
        <v>#VALUE!</v>
      </c>
      <c r="AC853" s="116" t="e">
        <f t="shared" si="400"/>
        <v>#VALUE!</v>
      </c>
      <c r="AD853" s="117" t="e">
        <f t="shared" si="401"/>
        <v>#VALUE!</v>
      </c>
      <c r="AE853" s="117" t="e">
        <f t="shared" si="402"/>
        <v>#VALUE!</v>
      </c>
      <c r="AF853" s="117" t="e">
        <f t="shared" si="403"/>
        <v>#VALUE!</v>
      </c>
      <c r="AG853" s="117" t="e">
        <f t="shared" si="404"/>
        <v>#VALUE!</v>
      </c>
      <c r="AH853" s="116"/>
      <c r="AI853">
        <f t="shared" si="385"/>
        <v>372</v>
      </c>
      <c r="AJ853" t="str">
        <f t="shared" si="378"/>
        <v>S</v>
      </c>
      <c r="AK853" t="str">
        <f>IF(ISERROR(MATCH(AI853&amp;"."&amp;AJ853,AK$91:AK852,0)),AI853&amp;"."&amp;AJ853,AI853&amp;"."&amp;AJ853&amp;COUNTIFS(AI$91:AI852,AI853,AJ$91:AJ852,AJ853))</f>
        <v>372.S</v>
      </c>
    </row>
    <row r="854" spans="1:37" ht="15" hidden="1">
      <c r="A854" s="120">
        <f>ROW()</f>
        <v>854</v>
      </c>
      <c r="B854" s="120"/>
      <c r="C854" s="2">
        <v>373</v>
      </c>
      <c r="E854" s="121" t="s">
        <v>12</v>
      </c>
      <c r="F854" s="138" t="str">
        <f>INDEX(FuncAllocOptions,ROW(A854)-ROW($A$92)+1,[4]Inputs!$S$11)</f>
        <v>DPW</v>
      </c>
      <c r="G854" s="133" t="e">
        <f t="shared" si="394"/>
        <v>#VALUE!</v>
      </c>
      <c r="H854" s="139" t="e">
        <f t="shared" si="395"/>
        <v>#VALUE!</v>
      </c>
      <c r="I854" s="139" t="e">
        <f t="shared" si="395"/>
        <v>#VALUE!</v>
      </c>
      <c r="J854" s="139" t="e">
        <f t="shared" si="395"/>
        <v>#VALUE!</v>
      </c>
      <c r="K854" s="139" t="e">
        <f t="shared" si="395"/>
        <v>#VALUE!</v>
      </c>
      <c r="L854" s="139" t="e">
        <f t="shared" si="395"/>
        <v>#VALUE!</v>
      </c>
      <c r="O854" s="116" t="e">
        <f t="shared" si="396"/>
        <v>#VALUE!</v>
      </c>
      <c r="P854" s="116" t="e">
        <f t="shared" si="397"/>
        <v>#VALUE!</v>
      </c>
      <c r="Q854" s="116" t="e">
        <f t="shared" si="398"/>
        <v>#VALUE!</v>
      </c>
      <c r="R854" s="116" t="e">
        <f t="shared" si="399"/>
        <v>#VALUE!</v>
      </c>
      <c r="T854" s="116">
        <v>0</v>
      </c>
      <c r="U854" s="116">
        <v>0</v>
      </c>
      <c r="V854" s="116">
        <v>0</v>
      </c>
      <c r="W854" s="116">
        <v>0</v>
      </c>
      <c r="X854" s="3" t="str">
        <f>INDEX(DistFuncAllocOptions,ROW(A854)-ROW($A$92)+1,[4]Inputs!$S$11)</f>
        <v>PC</v>
      </c>
      <c r="Y854" s="116" t="e">
        <f t="shared" si="400"/>
        <v>#VALUE!</v>
      </c>
      <c r="Z854" s="116" t="e">
        <f t="shared" si="400"/>
        <v>#VALUE!</v>
      </c>
      <c r="AA854" s="116" t="e">
        <f t="shared" si="400"/>
        <v>#VALUE!</v>
      </c>
      <c r="AB854" s="116" t="e">
        <f t="shared" si="400"/>
        <v>#VALUE!</v>
      </c>
      <c r="AC854" s="116" t="e">
        <f t="shared" si="400"/>
        <v>#VALUE!</v>
      </c>
      <c r="AD854" s="117" t="e">
        <f t="shared" si="401"/>
        <v>#VALUE!</v>
      </c>
      <c r="AE854" s="117" t="e">
        <f t="shared" si="402"/>
        <v>#VALUE!</v>
      </c>
      <c r="AF854" s="117" t="e">
        <f t="shared" si="403"/>
        <v>#VALUE!</v>
      </c>
      <c r="AG854" s="117" t="e">
        <f t="shared" si="404"/>
        <v>#VALUE!</v>
      </c>
      <c r="AH854" s="116"/>
      <c r="AI854">
        <f t="shared" si="385"/>
        <v>373</v>
      </c>
      <c r="AJ854" t="str">
        <f t="shared" si="378"/>
        <v>S</v>
      </c>
      <c r="AK854" t="str">
        <f>IF(ISERROR(MATCH(AI854&amp;"."&amp;AJ854,AK$91:AK853,0)),AI854&amp;"."&amp;AJ854,AI854&amp;"."&amp;AJ854&amp;COUNTIFS(AI$91:AI853,AI854,AJ$91:AJ853,AJ854))</f>
        <v>373.S</v>
      </c>
    </row>
    <row r="855" spans="1:37" ht="15" hidden="1">
      <c r="A855" s="120">
        <f>ROW()</f>
        <v>855</v>
      </c>
      <c r="B855" s="120"/>
      <c r="C855" s="1"/>
      <c r="E855" s="121"/>
      <c r="F855" s="138"/>
      <c r="G855" s="117" t="e">
        <f t="shared" ref="G855:L855" si="405">SUM(G841:G854)</f>
        <v>#VALUE!</v>
      </c>
      <c r="H855" s="116" t="e">
        <f t="shared" si="405"/>
        <v>#VALUE!</v>
      </c>
      <c r="I855" s="116" t="e">
        <f t="shared" si="405"/>
        <v>#VALUE!</v>
      </c>
      <c r="J855" s="116" t="e">
        <f t="shared" si="405"/>
        <v>#VALUE!</v>
      </c>
      <c r="K855" s="116" t="e">
        <f t="shared" si="405"/>
        <v>#VALUE!</v>
      </c>
      <c r="L855" s="116" t="e">
        <f t="shared" si="405"/>
        <v>#VALUE!</v>
      </c>
      <c r="O855" s="116" t="e">
        <f>SUM(O841:O854)</f>
        <v>#VALUE!</v>
      </c>
      <c r="P855" s="116" t="e">
        <f>SUM(P841:P854)</f>
        <v>#VALUE!</v>
      </c>
      <c r="Q855" s="116" t="e">
        <f>SUM(Q841:Q854)</f>
        <v>#VALUE!</v>
      </c>
      <c r="R855" s="116" t="e">
        <f>SUM(R841:R854)</f>
        <v>#VALUE!</v>
      </c>
      <c r="T855" s="116">
        <f>SUM(T841:T854)</f>
        <v>0</v>
      </c>
      <c r="U855" s="116">
        <f>SUM(U841:U854)</f>
        <v>0</v>
      </c>
      <c r="V855" s="116">
        <f>SUM(V841:V854)</f>
        <v>0</v>
      </c>
      <c r="W855" s="116">
        <f>SUM(W841:W854)</f>
        <v>0</v>
      </c>
      <c r="X855" s="3"/>
      <c r="Y855" s="116" t="e">
        <f>SUM(Y841:Y854)</f>
        <v>#VALUE!</v>
      </c>
      <c r="Z855" s="116" t="e">
        <f>SUM(Z841:Z854)</f>
        <v>#VALUE!</v>
      </c>
      <c r="AA855" s="116" t="e">
        <f>SUM(AA841:AA854)</f>
        <v>#VALUE!</v>
      </c>
      <c r="AB855" s="116" t="e">
        <f>SUM(AB841:AB854)</f>
        <v>#VALUE!</v>
      </c>
      <c r="AC855" s="116" t="e">
        <f>SUM(AC841:AC854)</f>
        <v>#VALUE!</v>
      </c>
      <c r="AD855" s="117" t="e">
        <f t="shared" si="401"/>
        <v>#VALUE!</v>
      </c>
      <c r="AE855" s="117" t="e">
        <f t="shared" si="402"/>
        <v>#VALUE!</v>
      </c>
      <c r="AF855" s="117" t="e">
        <f t="shared" si="403"/>
        <v>#VALUE!</v>
      </c>
      <c r="AG855" s="117" t="e">
        <f t="shared" si="404"/>
        <v>#VALUE!</v>
      </c>
      <c r="AH855" s="116"/>
      <c r="AI855">
        <f t="shared" si="385"/>
        <v>373</v>
      </c>
      <c r="AJ855" t="str">
        <f t="shared" si="378"/>
        <v>NA</v>
      </c>
      <c r="AK855" t="str">
        <f>IF(ISERROR(MATCH(AI855&amp;"."&amp;AJ855,AK$91:AK854,0)),AI855&amp;"."&amp;AJ855,AI855&amp;"."&amp;AJ855&amp;COUNTIFS(AI$91:AI854,AI855,AJ$91:AJ854,AJ855))</f>
        <v>373.NA</v>
      </c>
    </row>
    <row r="856" spans="1:37" ht="15" hidden="1">
      <c r="A856" s="120">
        <f>ROW()</f>
        <v>856</v>
      </c>
      <c r="B856" s="120"/>
      <c r="C856" s="1"/>
      <c r="E856" s="121"/>
      <c r="F856" s="138"/>
      <c r="G856" s="119"/>
      <c r="X856" s="3"/>
      <c r="AD856" s="119"/>
      <c r="AE856" s="119"/>
      <c r="AF856" s="119"/>
      <c r="AG856" s="119"/>
      <c r="AI856">
        <f t="shared" si="385"/>
        <v>373</v>
      </c>
      <c r="AJ856" t="str">
        <f t="shared" si="378"/>
        <v>NA</v>
      </c>
      <c r="AK856" t="str">
        <f>IF(ISERROR(MATCH(AI856&amp;"."&amp;AJ856,AK$91:AK855,0)),AI856&amp;"."&amp;AJ856,AI856&amp;"."&amp;AJ856&amp;COUNTIFS(AI$91:AI855,AI856,AJ$91:AJ855,AJ856))</f>
        <v>373.NA1</v>
      </c>
    </row>
    <row r="857" spans="1:37" ht="15" hidden="1">
      <c r="A857" s="120">
        <f>ROW()</f>
        <v>857</v>
      </c>
      <c r="B857" s="120"/>
      <c r="C857" s="1" t="s">
        <v>224</v>
      </c>
      <c r="D857" s="2" t="s">
        <v>392</v>
      </c>
      <c r="E857" s="121"/>
      <c r="F857" s="138"/>
      <c r="G857" s="119"/>
      <c r="X857" s="3"/>
      <c r="AD857" s="119"/>
      <c r="AE857" s="119"/>
      <c r="AF857" s="119"/>
      <c r="AG857" s="119"/>
      <c r="AI857" t="str">
        <f t="shared" si="385"/>
        <v>403GP</v>
      </c>
      <c r="AJ857" t="str">
        <f t="shared" si="378"/>
        <v>NA</v>
      </c>
      <c r="AK857" t="str">
        <f>IF(ISERROR(MATCH(AI857&amp;"."&amp;AJ857,AK$91:AK856,0)),AI857&amp;"."&amp;AJ857,AI857&amp;"."&amp;AJ857&amp;COUNTIFS(AI$91:AI856,AI857,AJ$91:AJ856,AJ857))</f>
        <v>403GP.NA</v>
      </c>
    </row>
    <row r="858" spans="1:37" ht="15" hidden="1">
      <c r="A858" s="120">
        <f>ROW()</f>
        <v>858</v>
      </c>
      <c r="B858" s="120"/>
      <c r="C858" s="1"/>
      <c r="E858" s="121" t="s">
        <v>12</v>
      </c>
      <c r="F858" s="138" t="str">
        <f>INDEX(FuncAllocOptions,ROW(A858)-ROW($A$92)+1,[4]Inputs!$S$11)</f>
        <v>G-SITUS</v>
      </c>
      <c r="G858" s="117" t="e">
        <f t="shared" ref="G858:G866" si="406">SUMIF(FERCJAMFactor,AK858,JAMValue)</f>
        <v>#VALUE!</v>
      </c>
      <c r="H858" s="116" t="e">
        <f t="shared" ref="H858:L866" si="407">INDEX(FuncFactorTbl,MATCH($F858,FuncFactors,0),MATCH(H$8,Functions,0))*$G858</f>
        <v>#VALUE!</v>
      </c>
      <c r="I858" s="116" t="e">
        <f t="shared" si="407"/>
        <v>#VALUE!</v>
      </c>
      <c r="J858" s="116" t="e">
        <f t="shared" si="407"/>
        <v>#VALUE!</v>
      </c>
      <c r="K858" s="116" t="e">
        <f t="shared" si="407"/>
        <v>#VALUE!</v>
      </c>
      <c r="L858" s="116" t="e">
        <f t="shared" si="407"/>
        <v>#VALUE!</v>
      </c>
      <c r="N858" s="108">
        <v>0.75</v>
      </c>
      <c r="O858" s="116" t="e">
        <f t="shared" ref="O858:O866" si="408">$H858*$N858*$M858</f>
        <v>#VALUE!</v>
      </c>
      <c r="P858" s="116" t="e">
        <f t="shared" ref="P858:P866" si="409">$H858*(1-$N858)*$M858</f>
        <v>#VALUE!</v>
      </c>
      <c r="Q858" s="116" t="e">
        <f t="shared" ref="Q858:Q866" si="410">$H858*$N858*(1-$M858)</f>
        <v>#VALUE!</v>
      </c>
      <c r="R858" s="116" t="e">
        <f t="shared" ref="R858:R866" si="411">$H858*(1-$N858)*(1-$M858)</f>
        <v>#VALUE!</v>
      </c>
      <c r="S858" s="108">
        <v>0.75</v>
      </c>
      <c r="T858" s="116" t="e">
        <f t="shared" ref="T858:T866" si="412">$I858*$S858*$M858</f>
        <v>#VALUE!</v>
      </c>
      <c r="U858" s="116" t="e">
        <f t="shared" ref="U858:U866" si="413">$I858*(1-$S858)*$M858</f>
        <v>#VALUE!</v>
      </c>
      <c r="V858" s="116" t="e">
        <f t="shared" ref="V858:V866" si="414">$I858*$S858*(1-$M858)</f>
        <v>#VALUE!</v>
      </c>
      <c r="W858" s="116" t="e">
        <f t="shared" ref="W858:W866" si="415">$I858*(1-$S858)*(1-$M858)</f>
        <v>#VALUE!</v>
      </c>
      <c r="X858" s="3" t="str">
        <f>INDEX(DistFuncAllocOptions,ROW(A858)-ROW($A$92)+1,[4]Inputs!$S$11)</f>
        <v>PLNT</v>
      </c>
      <c r="Y858" s="116" t="e">
        <f t="shared" ref="Y858:AC866" si="416">INDEX(DistFuncFactorTbl,MATCH($X858,DistFuncFactors,0),MATCH(Y$91,DistFunctions,0))*$J858</f>
        <v>#VALUE!</v>
      </c>
      <c r="Z858" s="116" t="e">
        <f t="shared" si="416"/>
        <v>#VALUE!</v>
      </c>
      <c r="AA858" s="116" t="e">
        <f t="shared" si="416"/>
        <v>#VALUE!</v>
      </c>
      <c r="AB858" s="116" t="e">
        <f t="shared" si="416"/>
        <v>#VALUE!</v>
      </c>
      <c r="AC858" s="116" t="e">
        <f t="shared" si="416"/>
        <v>#VALUE!</v>
      </c>
      <c r="AD858" s="117" t="e">
        <f t="shared" ref="AD858:AD867" si="417">ROUND(SUM(-G858,H858:L858),0)</f>
        <v>#VALUE!</v>
      </c>
      <c r="AE858" s="117" t="e">
        <f t="shared" ref="AE858:AE867" si="418">ROUND(H858-O858-P858-Q858-R858,0)</f>
        <v>#VALUE!</v>
      </c>
      <c r="AF858" s="117" t="e">
        <f t="shared" ref="AF858:AF867" si="419">ROUND(I858-T858-U858-V858-W858,0)</f>
        <v>#VALUE!</v>
      </c>
      <c r="AG858" s="117" t="e">
        <f t="shared" ref="AG858:AG867" si="420">ROUND(J858-Y858-Z858-AA858-AC858-AB858,0)</f>
        <v>#VALUE!</v>
      </c>
      <c r="AH858" s="116"/>
      <c r="AI858" t="str">
        <f t="shared" si="385"/>
        <v>403GP</v>
      </c>
      <c r="AJ858" t="str">
        <f t="shared" si="378"/>
        <v>S</v>
      </c>
      <c r="AK858" t="str">
        <f>IF(ISERROR(MATCH(AI858&amp;"."&amp;AJ858,AK$91:AK857,0)),AI858&amp;"."&amp;AJ858,AI858&amp;"."&amp;AJ858&amp;COUNTIFS(AI$91:AI857,AI858,AJ$91:AJ857,AJ858))</f>
        <v>403GP.S</v>
      </c>
    </row>
    <row r="859" spans="1:37" ht="15" hidden="1">
      <c r="A859" s="120">
        <f>ROW()</f>
        <v>859</v>
      </c>
      <c r="B859" s="120"/>
      <c r="C859" s="1"/>
      <c r="E859" s="121" t="s">
        <v>15</v>
      </c>
      <c r="F859" s="138" t="str">
        <f>INDEX(FuncAllocOptions,ROW(A859)-ROW($A$92)+1,[4]Inputs!$S$11)</f>
        <v>G-DGP</v>
      </c>
      <c r="G859" s="117" t="e">
        <f t="shared" si="406"/>
        <v>#VALUE!</v>
      </c>
      <c r="H859" s="116" t="e">
        <f t="shared" si="407"/>
        <v>#VALUE!</v>
      </c>
      <c r="I859" s="116" t="e">
        <f t="shared" si="407"/>
        <v>#VALUE!</v>
      </c>
      <c r="J859" s="116" t="e">
        <f t="shared" si="407"/>
        <v>#VALUE!</v>
      </c>
      <c r="K859" s="116" t="e">
        <f t="shared" si="407"/>
        <v>#VALUE!</v>
      </c>
      <c r="L859" s="116" t="e">
        <f t="shared" si="407"/>
        <v>#VALUE!</v>
      </c>
      <c r="N859" s="108">
        <v>0.75</v>
      </c>
      <c r="O859" s="116" t="e">
        <f t="shared" si="408"/>
        <v>#VALUE!</v>
      </c>
      <c r="P859" s="116" t="e">
        <f t="shared" si="409"/>
        <v>#VALUE!</v>
      </c>
      <c r="Q859" s="116" t="e">
        <f t="shared" si="410"/>
        <v>#VALUE!</v>
      </c>
      <c r="R859" s="116" t="e">
        <f t="shared" si="411"/>
        <v>#VALUE!</v>
      </c>
      <c r="S859" s="108">
        <v>0.75</v>
      </c>
      <c r="T859" s="116" t="e">
        <f t="shared" si="412"/>
        <v>#VALUE!</v>
      </c>
      <c r="U859" s="116" t="e">
        <f t="shared" si="413"/>
        <v>#VALUE!</v>
      </c>
      <c r="V859" s="116" t="e">
        <f t="shared" si="414"/>
        <v>#VALUE!</v>
      </c>
      <c r="W859" s="116" t="e">
        <f t="shared" si="415"/>
        <v>#VALUE!</v>
      </c>
      <c r="X859" s="3" t="str">
        <f>INDEX(DistFuncAllocOptions,ROW(A859)-ROW($A$92)+1,[4]Inputs!$S$11)</f>
        <v>PLNT</v>
      </c>
      <c r="Y859" s="116" t="e">
        <f t="shared" si="416"/>
        <v>#VALUE!</v>
      </c>
      <c r="Z859" s="116" t="e">
        <f t="shared" si="416"/>
        <v>#VALUE!</v>
      </c>
      <c r="AA859" s="116" t="e">
        <f t="shared" si="416"/>
        <v>#VALUE!</v>
      </c>
      <c r="AB859" s="116" t="e">
        <f t="shared" si="416"/>
        <v>#VALUE!</v>
      </c>
      <c r="AC859" s="116" t="e">
        <f t="shared" si="416"/>
        <v>#VALUE!</v>
      </c>
      <c r="AD859" s="117" t="e">
        <f t="shared" si="417"/>
        <v>#VALUE!</v>
      </c>
      <c r="AE859" s="117" t="e">
        <f t="shared" si="418"/>
        <v>#VALUE!</v>
      </c>
      <c r="AF859" s="117" t="e">
        <f t="shared" si="419"/>
        <v>#VALUE!</v>
      </c>
      <c r="AG859" s="117" t="e">
        <f t="shared" si="420"/>
        <v>#VALUE!</v>
      </c>
      <c r="AH859" s="116"/>
      <c r="AI859" t="str">
        <f t="shared" si="385"/>
        <v>403GP</v>
      </c>
      <c r="AJ859" t="str">
        <f t="shared" si="378"/>
        <v>SG</v>
      </c>
      <c r="AK859" t="str">
        <f>IF(ISERROR(MATCH(AI859&amp;"."&amp;AJ859,AK$91:AK858,0)),AI859&amp;"."&amp;AJ859,AI859&amp;"."&amp;AJ859&amp;COUNTIFS(AI$91:AI858,AI859,AJ$91:AJ858,AJ859))</f>
        <v>403GP.SG</v>
      </c>
    </row>
    <row r="860" spans="1:37" ht="15" hidden="1">
      <c r="A860" s="120">
        <f>ROW()</f>
        <v>860</v>
      </c>
      <c r="B860" s="120"/>
      <c r="C860" s="1"/>
      <c r="E860" s="121" t="s">
        <v>15</v>
      </c>
      <c r="F860" s="138" t="str">
        <f>INDEX(FuncAllocOptions,ROW(A860)-ROW($A$92)+1,[4]Inputs!$S$11)</f>
        <v>G-DGU</v>
      </c>
      <c r="G860" s="117" t="e">
        <f t="shared" si="406"/>
        <v>#VALUE!</v>
      </c>
      <c r="H860" s="116" t="e">
        <f t="shared" si="407"/>
        <v>#VALUE!</v>
      </c>
      <c r="I860" s="116" t="e">
        <f t="shared" si="407"/>
        <v>#VALUE!</v>
      </c>
      <c r="J860" s="116" t="e">
        <f t="shared" si="407"/>
        <v>#VALUE!</v>
      </c>
      <c r="K860" s="116" t="e">
        <f t="shared" si="407"/>
        <v>#VALUE!</v>
      </c>
      <c r="L860" s="116" t="e">
        <f t="shared" si="407"/>
        <v>#VALUE!</v>
      </c>
      <c r="N860" s="108">
        <v>0.75</v>
      </c>
      <c r="O860" s="116" t="e">
        <f t="shared" si="408"/>
        <v>#VALUE!</v>
      </c>
      <c r="P860" s="116" t="e">
        <f t="shared" si="409"/>
        <v>#VALUE!</v>
      </c>
      <c r="Q860" s="116" t="e">
        <f t="shared" si="410"/>
        <v>#VALUE!</v>
      </c>
      <c r="R860" s="116" t="e">
        <f t="shared" si="411"/>
        <v>#VALUE!</v>
      </c>
      <c r="S860" s="108">
        <v>0.75</v>
      </c>
      <c r="T860" s="116" t="e">
        <f t="shared" si="412"/>
        <v>#VALUE!</v>
      </c>
      <c r="U860" s="116" t="e">
        <f t="shared" si="413"/>
        <v>#VALUE!</v>
      </c>
      <c r="V860" s="116" t="e">
        <f t="shared" si="414"/>
        <v>#VALUE!</v>
      </c>
      <c r="W860" s="116" t="e">
        <f t="shared" si="415"/>
        <v>#VALUE!</v>
      </c>
      <c r="X860" s="3" t="str">
        <f>INDEX(DistFuncAllocOptions,ROW(A860)-ROW($A$92)+1,[4]Inputs!$S$11)</f>
        <v>PLNT</v>
      </c>
      <c r="Y860" s="116" t="e">
        <f t="shared" si="416"/>
        <v>#VALUE!</v>
      </c>
      <c r="Z860" s="116" t="e">
        <f t="shared" si="416"/>
        <v>#VALUE!</v>
      </c>
      <c r="AA860" s="116" t="e">
        <f t="shared" si="416"/>
        <v>#VALUE!</v>
      </c>
      <c r="AB860" s="116" t="e">
        <f t="shared" si="416"/>
        <v>#VALUE!</v>
      </c>
      <c r="AC860" s="116" t="e">
        <f t="shared" si="416"/>
        <v>#VALUE!</v>
      </c>
      <c r="AD860" s="117" t="e">
        <f t="shared" si="417"/>
        <v>#VALUE!</v>
      </c>
      <c r="AE860" s="117" t="e">
        <f t="shared" si="418"/>
        <v>#VALUE!</v>
      </c>
      <c r="AF860" s="117" t="e">
        <f t="shared" si="419"/>
        <v>#VALUE!</v>
      </c>
      <c r="AG860" s="117" t="e">
        <f t="shared" si="420"/>
        <v>#VALUE!</v>
      </c>
      <c r="AH860" s="116"/>
      <c r="AI860" t="str">
        <f t="shared" si="385"/>
        <v>403GP</v>
      </c>
      <c r="AJ860" t="str">
        <f t="shared" si="378"/>
        <v>SG</v>
      </c>
      <c r="AK860" t="str">
        <f>IF(ISERROR(MATCH(AI860&amp;"."&amp;AJ860,AK$91:AK859,0)),AI860&amp;"."&amp;AJ860,AI860&amp;"."&amp;AJ860&amp;COUNTIFS(AI$91:AI859,AI860,AJ$91:AJ859,AJ860))</f>
        <v>403GP.SG1</v>
      </c>
    </row>
    <row r="861" spans="1:37" ht="15" hidden="1">
      <c r="A861" s="120">
        <f>ROW()</f>
        <v>861</v>
      </c>
      <c r="B861" s="120"/>
      <c r="C861" s="1"/>
      <c r="E861" s="121" t="s">
        <v>16</v>
      </c>
      <c r="F861" s="138" t="str">
        <f>INDEX(FuncAllocOptions,ROW(A861)-ROW($A$92)+1,[4]Inputs!$S$11)</f>
        <v>P</v>
      </c>
      <c r="G861" s="117" t="e">
        <f t="shared" si="406"/>
        <v>#VALUE!</v>
      </c>
      <c r="H861" s="116" t="e">
        <f t="shared" si="407"/>
        <v>#VALUE!</v>
      </c>
      <c r="I861" s="116" t="e">
        <f t="shared" si="407"/>
        <v>#VALUE!</v>
      </c>
      <c r="J861" s="116" t="e">
        <f t="shared" si="407"/>
        <v>#VALUE!</v>
      </c>
      <c r="K861" s="116" t="e">
        <f t="shared" si="407"/>
        <v>#VALUE!</v>
      </c>
      <c r="L861" s="116" t="e">
        <f t="shared" si="407"/>
        <v>#VALUE!</v>
      </c>
      <c r="N861" s="108">
        <v>0</v>
      </c>
      <c r="O861" s="116" t="e">
        <f t="shared" si="408"/>
        <v>#VALUE!</v>
      </c>
      <c r="P861" s="116" t="e">
        <f t="shared" si="409"/>
        <v>#VALUE!</v>
      </c>
      <c r="Q861" s="116" t="e">
        <f t="shared" si="410"/>
        <v>#VALUE!</v>
      </c>
      <c r="R861" s="116" t="e">
        <f t="shared" si="411"/>
        <v>#VALUE!</v>
      </c>
      <c r="S861" s="108">
        <v>0</v>
      </c>
      <c r="T861" s="116" t="e">
        <f t="shared" si="412"/>
        <v>#VALUE!</v>
      </c>
      <c r="U861" s="116" t="e">
        <f t="shared" si="413"/>
        <v>#VALUE!</v>
      </c>
      <c r="V861" s="116" t="e">
        <f t="shared" si="414"/>
        <v>#VALUE!</v>
      </c>
      <c r="W861" s="116" t="e">
        <f t="shared" si="415"/>
        <v>#VALUE!</v>
      </c>
      <c r="X861" s="3" t="str">
        <f>INDEX(DistFuncAllocOptions,ROW(A861)-ROW($A$92)+1,[4]Inputs!$S$11)</f>
        <v>PLNT</v>
      </c>
      <c r="Y861" s="116" t="e">
        <f t="shared" si="416"/>
        <v>#VALUE!</v>
      </c>
      <c r="Z861" s="116" t="e">
        <f t="shared" si="416"/>
        <v>#VALUE!</v>
      </c>
      <c r="AA861" s="116" t="e">
        <f t="shared" si="416"/>
        <v>#VALUE!</v>
      </c>
      <c r="AB861" s="116" t="e">
        <f t="shared" si="416"/>
        <v>#VALUE!</v>
      </c>
      <c r="AC861" s="116" t="e">
        <f t="shared" si="416"/>
        <v>#VALUE!</v>
      </c>
      <c r="AD861" s="117" t="e">
        <f t="shared" si="417"/>
        <v>#VALUE!</v>
      </c>
      <c r="AE861" s="117" t="e">
        <f t="shared" si="418"/>
        <v>#VALUE!</v>
      </c>
      <c r="AF861" s="117" t="e">
        <f t="shared" si="419"/>
        <v>#VALUE!</v>
      </c>
      <c r="AG861" s="117" t="e">
        <f t="shared" si="420"/>
        <v>#VALUE!</v>
      </c>
      <c r="AH861" s="116"/>
      <c r="AI861" t="str">
        <f t="shared" si="385"/>
        <v>403GP</v>
      </c>
      <c r="AJ861" t="str">
        <f t="shared" ref="AJ861:AJ924" si="421">IF(E861="","NA",E861)</f>
        <v>SE</v>
      </c>
      <c r="AK861" t="str">
        <f>IF(ISERROR(MATCH(AI861&amp;"."&amp;AJ861,AK$91:AK860,0)),AI861&amp;"."&amp;AJ861,AI861&amp;"."&amp;AJ861&amp;COUNTIFS(AI$91:AI860,AI861,AJ$91:AJ860,AJ861))</f>
        <v>403GP.SE</v>
      </c>
    </row>
    <row r="862" spans="1:37" ht="15" hidden="1">
      <c r="A862" s="120">
        <f>ROW()</f>
        <v>862</v>
      </c>
      <c r="B862" s="120"/>
      <c r="C862" s="1"/>
      <c r="E862" s="121" t="s">
        <v>155</v>
      </c>
      <c r="F862" s="138" t="str">
        <f>INDEX(FuncAllocOptions,ROW(A862)-ROW($A$92)+1,[4]Inputs!$S$11)</f>
        <v>CUST</v>
      </c>
      <c r="G862" s="117" t="e">
        <f t="shared" si="406"/>
        <v>#VALUE!</v>
      </c>
      <c r="H862" s="116" t="e">
        <f t="shared" si="407"/>
        <v>#VALUE!</v>
      </c>
      <c r="I862" s="116" t="e">
        <f t="shared" si="407"/>
        <v>#VALUE!</v>
      </c>
      <c r="J862" s="116" t="e">
        <f t="shared" si="407"/>
        <v>#VALUE!</v>
      </c>
      <c r="K862" s="116" t="e">
        <f t="shared" si="407"/>
        <v>#VALUE!</v>
      </c>
      <c r="L862" s="116" t="e">
        <f t="shared" si="407"/>
        <v>#VALUE!</v>
      </c>
      <c r="N862" s="108">
        <v>0.75</v>
      </c>
      <c r="O862" s="116" t="e">
        <f t="shared" si="408"/>
        <v>#VALUE!</v>
      </c>
      <c r="P862" s="116" t="e">
        <f t="shared" si="409"/>
        <v>#VALUE!</v>
      </c>
      <c r="Q862" s="116" t="e">
        <f t="shared" si="410"/>
        <v>#VALUE!</v>
      </c>
      <c r="R862" s="116" t="e">
        <f t="shared" si="411"/>
        <v>#VALUE!</v>
      </c>
      <c r="S862" s="108">
        <v>0.75</v>
      </c>
      <c r="T862" s="116" t="e">
        <f t="shared" si="412"/>
        <v>#VALUE!</v>
      </c>
      <c r="U862" s="116" t="e">
        <f t="shared" si="413"/>
        <v>#VALUE!</v>
      </c>
      <c r="V862" s="116" t="e">
        <f t="shared" si="414"/>
        <v>#VALUE!</v>
      </c>
      <c r="W862" s="116" t="e">
        <f t="shared" si="415"/>
        <v>#VALUE!</v>
      </c>
      <c r="X862" s="3" t="str">
        <f>INDEX(DistFuncAllocOptions,ROW(A862)-ROW($A$92)+1,[4]Inputs!$S$11)</f>
        <v>CUST</v>
      </c>
      <c r="Y862" s="116" t="e">
        <f t="shared" si="416"/>
        <v>#VALUE!</v>
      </c>
      <c r="Z862" s="116" t="e">
        <f t="shared" si="416"/>
        <v>#VALUE!</v>
      </c>
      <c r="AA862" s="116" t="e">
        <f t="shared" si="416"/>
        <v>#VALUE!</v>
      </c>
      <c r="AB862" s="116" t="e">
        <f t="shared" si="416"/>
        <v>#VALUE!</v>
      </c>
      <c r="AC862" s="116" t="e">
        <f t="shared" si="416"/>
        <v>#VALUE!</v>
      </c>
      <c r="AD862" s="117" t="e">
        <f t="shared" si="417"/>
        <v>#VALUE!</v>
      </c>
      <c r="AE862" s="117" t="e">
        <f t="shared" si="418"/>
        <v>#VALUE!</v>
      </c>
      <c r="AF862" s="117" t="e">
        <f t="shared" si="419"/>
        <v>#VALUE!</v>
      </c>
      <c r="AG862" s="117" t="e">
        <f t="shared" si="420"/>
        <v>#VALUE!</v>
      </c>
      <c r="AH862" s="116"/>
      <c r="AI862" t="str">
        <f t="shared" si="385"/>
        <v>403GP</v>
      </c>
      <c r="AJ862" t="str">
        <f t="shared" si="421"/>
        <v>CN</v>
      </c>
      <c r="AK862" t="str">
        <f>IF(ISERROR(MATCH(AI862&amp;"."&amp;AJ862,AK$91:AK861,0)),AI862&amp;"."&amp;AJ862,AI862&amp;"."&amp;AJ862&amp;COUNTIFS(AI$91:AI861,AI862,AJ$91:AJ861,AJ862))</f>
        <v>403GP.CN</v>
      </c>
    </row>
    <row r="863" spans="1:37" ht="15" hidden="1">
      <c r="A863" s="120">
        <f>ROW()</f>
        <v>863</v>
      </c>
      <c r="B863" s="120"/>
      <c r="C863" s="1"/>
      <c r="E863" s="121" t="s">
        <v>15</v>
      </c>
      <c r="F863" s="138" t="str">
        <f>INDEX(FuncAllocOptions,ROW(A863)-ROW($A$92)+1,[4]Inputs!$S$11)</f>
        <v>G-SG</v>
      </c>
      <c r="G863" s="117" t="e">
        <f t="shared" si="406"/>
        <v>#VALUE!</v>
      </c>
      <c r="H863" s="116" t="e">
        <f t="shared" si="407"/>
        <v>#VALUE!</v>
      </c>
      <c r="I863" s="116" t="e">
        <f t="shared" si="407"/>
        <v>#VALUE!</v>
      </c>
      <c r="J863" s="116" t="e">
        <f t="shared" si="407"/>
        <v>#VALUE!</v>
      </c>
      <c r="K863" s="116" t="e">
        <f t="shared" si="407"/>
        <v>#VALUE!</v>
      </c>
      <c r="L863" s="116" t="e">
        <f t="shared" si="407"/>
        <v>#VALUE!</v>
      </c>
      <c r="N863" s="108">
        <v>0.75</v>
      </c>
      <c r="O863" s="116" t="e">
        <f t="shared" si="408"/>
        <v>#VALUE!</v>
      </c>
      <c r="P863" s="116" t="e">
        <f t="shared" si="409"/>
        <v>#VALUE!</v>
      </c>
      <c r="Q863" s="116" t="e">
        <f t="shared" si="410"/>
        <v>#VALUE!</v>
      </c>
      <c r="R863" s="116" t="e">
        <f t="shared" si="411"/>
        <v>#VALUE!</v>
      </c>
      <c r="S863" s="108">
        <v>0.75</v>
      </c>
      <c r="T863" s="116" t="e">
        <f t="shared" si="412"/>
        <v>#VALUE!</v>
      </c>
      <c r="U863" s="116" t="e">
        <f t="shared" si="413"/>
        <v>#VALUE!</v>
      </c>
      <c r="V863" s="116" t="e">
        <f t="shared" si="414"/>
        <v>#VALUE!</v>
      </c>
      <c r="W863" s="116" t="e">
        <f t="shared" si="415"/>
        <v>#VALUE!</v>
      </c>
      <c r="X863" s="3" t="str">
        <f>INDEX(DistFuncAllocOptions,ROW(A863)-ROW($A$92)+1,[4]Inputs!$S$11)</f>
        <v>PLNT</v>
      </c>
      <c r="Y863" s="116" t="e">
        <f t="shared" si="416"/>
        <v>#VALUE!</v>
      </c>
      <c r="Z863" s="116" t="e">
        <f t="shared" si="416"/>
        <v>#VALUE!</v>
      </c>
      <c r="AA863" s="116" t="e">
        <f t="shared" si="416"/>
        <v>#VALUE!</v>
      </c>
      <c r="AB863" s="116" t="e">
        <f t="shared" si="416"/>
        <v>#VALUE!</v>
      </c>
      <c r="AC863" s="116" t="e">
        <f t="shared" si="416"/>
        <v>#VALUE!</v>
      </c>
      <c r="AD863" s="117" t="e">
        <f t="shared" si="417"/>
        <v>#VALUE!</v>
      </c>
      <c r="AE863" s="117" t="e">
        <f t="shared" si="418"/>
        <v>#VALUE!</v>
      </c>
      <c r="AF863" s="117" t="e">
        <f t="shared" si="419"/>
        <v>#VALUE!</v>
      </c>
      <c r="AG863" s="117" t="e">
        <f t="shared" si="420"/>
        <v>#VALUE!</v>
      </c>
      <c r="AH863" s="116"/>
      <c r="AI863" t="str">
        <f t="shared" si="385"/>
        <v>403GP</v>
      </c>
      <c r="AJ863" t="str">
        <f t="shared" si="421"/>
        <v>SG</v>
      </c>
      <c r="AK863" t="str">
        <f>IF(ISERROR(MATCH(AI863&amp;"."&amp;AJ863,AK$91:AK862,0)),AI863&amp;"."&amp;AJ863,AI863&amp;"."&amp;AJ863&amp;COUNTIFS(AI$91:AI862,AI863,AJ$91:AJ862,AJ863))</f>
        <v>403GP.SG2</v>
      </c>
    </row>
    <row r="864" spans="1:37" ht="15" hidden="1">
      <c r="A864" s="120">
        <f>ROW()</f>
        <v>864</v>
      </c>
      <c r="B864" s="120"/>
      <c r="C864" s="1"/>
      <c r="E864" s="121" t="s">
        <v>136</v>
      </c>
      <c r="F864" s="138" t="str">
        <f>INDEX(FuncAllocOptions,ROW(A864)-ROW($A$92)+1,[4]Inputs!$S$11)</f>
        <v>PTD</v>
      </c>
      <c r="G864" s="117" t="e">
        <f t="shared" si="406"/>
        <v>#VALUE!</v>
      </c>
      <c r="H864" s="116" t="e">
        <f t="shared" si="407"/>
        <v>#VALUE!</v>
      </c>
      <c r="I864" s="116" t="e">
        <f t="shared" si="407"/>
        <v>#VALUE!</v>
      </c>
      <c r="J864" s="116" t="e">
        <f t="shared" si="407"/>
        <v>#VALUE!</v>
      </c>
      <c r="K864" s="116" t="e">
        <f t="shared" si="407"/>
        <v>#VALUE!</v>
      </c>
      <c r="L864" s="116" t="e">
        <f t="shared" si="407"/>
        <v>#VALUE!</v>
      </c>
      <c r="N864" s="108">
        <v>0.75</v>
      </c>
      <c r="O864" s="116" t="e">
        <f t="shared" si="408"/>
        <v>#VALUE!</v>
      </c>
      <c r="P864" s="116" t="e">
        <f t="shared" si="409"/>
        <v>#VALUE!</v>
      </c>
      <c r="Q864" s="116" t="e">
        <f t="shared" si="410"/>
        <v>#VALUE!</v>
      </c>
      <c r="R864" s="116" t="e">
        <f t="shared" si="411"/>
        <v>#VALUE!</v>
      </c>
      <c r="S864" s="108">
        <v>0.75</v>
      </c>
      <c r="T864" s="116" t="e">
        <f t="shared" si="412"/>
        <v>#VALUE!</v>
      </c>
      <c r="U864" s="116" t="e">
        <f t="shared" si="413"/>
        <v>#VALUE!</v>
      </c>
      <c r="V864" s="116" t="e">
        <f t="shared" si="414"/>
        <v>#VALUE!</v>
      </c>
      <c r="W864" s="116" t="e">
        <f t="shared" si="415"/>
        <v>#VALUE!</v>
      </c>
      <c r="X864" s="3" t="str">
        <f>INDEX(DistFuncAllocOptions,ROW(A864)-ROW($A$92)+1,[4]Inputs!$S$11)</f>
        <v>PLNT</v>
      </c>
      <c r="Y864" s="116" t="e">
        <f t="shared" si="416"/>
        <v>#VALUE!</v>
      </c>
      <c r="Z864" s="116" t="e">
        <f t="shared" si="416"/>
        <v>#VALUE!</v>
      </c>
      <c r="AA864" s="116" t="e">
        <f t="shared" si="416"/>
        <v>#VALUE!</v>
      </c>
      <c r="AB864" s="116" t="e">
        <f t="shared" si="416"/>
        <v>#VALUE!</v>
      </c>
      <c r="AC864" s="116" t="e">
        <f t="shared" si="416"/>
        <v>#VALUE!</v>
      </c>
      <c r="AD864" s="117" t="e">
        <f t="shared" si="417"/>
        <v>#VALUE!</v>
      </c>
      <c r="AE864" s="117" t="e">
        <f t="shared" si="418"/>
        <v>#VALUE!</v>
      </c>
      <c r="AF864" s="117" t="e">
        <f t="shared" si="419"/>
        <v>#VALUE!</v>
      </c>
      <c r="AG864" s="117" t="e">
        <f t="shared" si="420"/>
        <v>#VALUE!</v>
      </c>
      <c r="AH864" s="116"/>
      <c r="AI864" t="str">
        <f t="shared" si="385"/>
        <v>403GP</v>
      </c>
      <c r="AJ864" t="str">
        <f t="shared" si="421"/>
        <v>SO</v>
      </c>
      <c r="AK864" t="str">
        <f>IF(ISERROR(MATCH(AI864&amp;"."&amp;AJ864,AK$91:AK863,0)),AI864&amp;"."&amp;AJ864,AI864&amp;"."&amp;AJ864&amp;COUNTIFS(AI$91:AI863,AI864,AJ$91:AJ863,AJ864))</f>
        <v>403GP.SO</v>
      </c>
    </row>
    <row r="865" spans="1:37" ht="15" hidden="1">
      <c r="A865" s="120">
        <f>ROW()</f>
        <v>865</v>
      </c>
      <c r="B865" s="120"/>
      <c r="C865" s="1"/>
      <c r="E865" s="121" t="s">
        <v>15</v>
      </c>
      <c r="F865" s="138" t="str">
        <f>INDEX(FuncAllocOptions,ROW(A865)-ROW($A$92)+1,[4]Inputs!$S$11)</f>
        <v>G-SG</v>
      </c>
      <c r="G865" s="117" t="e">
        <f t="shared" si="406"/>
        <v>#VALUE!</v>
      </c>
      <c r="H865" s="116" t="e">
        <f t="shared" si="407"/>
        <v>#VALUE!</v>
      </c>
      <c r="I865" s="116" t="e">
        <f t="shared" si="407"/>
        <v>#VALUE!</v>
      </c>
      <c r="J865" s="116" t="e">
        <f t="shared" si="407"/>
        <v>#VALUE!</v>
      </c>
      <c r="K865" s="116" t="e">
        <f t="shared" si="407"/>
        <v>#VALUE!</v>
      </c>
      <c r="L865" s="116" t="e">
        <f t="shared" si="407"/>
        <v>#VALUE!</v>
      </c>
      <c r="N865" s="108">
        <v>0.75</v>
      </c>
      <c r="O865" s="116" t="e">
        <f t="shared" si="408"/>
        <v>#VALUE!</v>
      </c>
      <c r="P865" s="116" t="e">
        <f t="shared" si="409"/>
        <v>#VALUE!</v>
      </c>
      <c r="Q865" s="116" t="e">
        <f t="shared" si="410"/>
        <v>#VALUE!</v>
      </c>
      <c r="R865" s="116" t="e">
        <f t="shared" si="411"/>
        <v>#VALUE!</v>
      </c>
      <c r="S865" s="108">
        <v>0.75</v>
      </c>
      <c r="T865" s="116" t="e">
        <f t="shared" si="412"/>
        <v>#VALUE!</v>
      </c>
      <c r="U865" s="116" t="e">
        <f t="shared" si="413"/>
        <v>#VALUE!</v>
      </c>
      <c r="V865" s="116" t="e">
        <f t="shared" si="414"/>
        <v>#VALUE!</v>
      </c>
      <c r="W865" s="116" t="e">
        <f t="shared" si="415"/>
        <v>#VALUE!</v>
      </c>
      <c r="X865" s="3" t="str">
        <f>INDEX(DistFuncAllocOptions,ROW(A865)-ROW($A$92)+1,[4]Inputs!$S$11)</f>
        <v>PLNT</v>
      </c>
      <c r="Y865" s="116" t="e">
        <f t="shared" si="416"/>
        <v>#VALUE!</v>
      </c>
      <c r="Z865" s="116" t="e">
        <f t="shared" si="416"/>
        <v>#VALUE!</v>
      </c>
      <c r="AA865" s="116" t="e">
        <f t="shared" si="416"/>
        <v>#VALUE!</v>
      </c>
      <c r="AB865" s="116" t="e">
        <f t="shared" si="416"/>
        <v>#VALUE!</v>
      </c>
      <c r="AC865" s="116" t="e">
        <f t="shared" si="416"/>
        <v>#VALUE!</v>
      </c>
      <c r="AD865" s="117" t="e">
        <f t="shared" si="417"/>
        <v>#VALUE!</v>
      </c>
      <c r="AE865" s="117" t="e">
        <f t="shared" si="418"/>
        <v>#VALUE!</v>
      </c>
      <c r="AF865" s="117" t="e">
        <f t="shared" si="419"/>
        <v>#VALUE!</v>
      </c>
      <c r="AG865" s="117" t="e">
        <f t="shared" si="420"/>
        <v>#VALUE!</v>
      </c>
      <c r="AH865" s="116"/>
      <c r="AI865" t="str">
        <f t="shared" si="385"/>
        <v>403GP</v>
      </c>
      <c r="AJ865" t="str">
        <f t="shared" si="421"/>
        <v>SG</v>
      </c>
      <c r="AK865" t="str">
        <f>IF(ISERROR(MATCH(AI865&amp;"."&amp;AJ865,AK$91:AK864,0)),AI865&amp;"."&amp;AJ865,AI865&amp;"."&amp;AJ865&amp;COUNTIFS(AI$91:AI864,AI865,AJ$91:AJ864,AJ865))</f>
        <v>403GP.SG3</v>
      </c>
    </row>
    <row r="866" spans="1:37" ht="15" hidden="1">
      <c r="A866" s="120">
        <f>ROW()</f>
        <v>866</v>
      </c>
      <c r="B866" s="120"/>
      <c r="C866" s="1"/>
      <c r="E866" s="121" t="s">
        <v>15</v>
      </c>
      <c r="F866" s="138" t="str">
        <f>INDEX(FuncAllocOptions,ROW(A866)-ROW($A$92)+1,[4]Inputs!$S$11)</f>
        <v>G-SG</v>
      </c>
      <c r="G866" s="133" t="e">
        <f t="shared" si="406"/>
        <v>#VALUE!</v>
      </c>
      <c r="H866" s="139" t="e">
        <f t="shared" si="407"/>
        <v>#VALUE!</v>
      </c>
      <c r="I866" s="139" t="e">
        <f t="shared" si="407"/>
        <v>#VALUE!</v>
      </c>
      <c r="J866" s="139" t="e">
        <f t="shared" si="407"/>
        <v>#VALUE!</v>
      </c>
      <c r="K866" s="139" t="e">
        <f t="shared" si="407"/>
        <v>#VALUE!</v>
      </c>
      <c r="L866" s="139" t="e">
        <f t="shared" si="407"/>
        <v>#VALUE!</v>
      </c>
      <c r="N866" s="108">
        <v>0.75</v>
      </c>
      <c r="O866" s="116" t="e">
        <f t="shared" si="408"/>
        <v>#VALUE!</v>
      </c>
      <c r="P866" s="116" t="e">
        <f t="shared" si="409"/>
        <v>#VALUE!</v>
      </c>
      <c r="Q866" s="116" t="e">
        <f t="shared" si="410"/>
        <v>#VALUE!</v>
      </c>
      <c r="R866" s="116" t="e">
        <f t="shared" si="411"/>
        <v>#VALUE!</v>
      </c>
      <c r="S866" s="108">
        <v>0.75</v>
      </c>
      <c r="T866" s="116" t="e">
        <f t="shared" si="412"/>
        <v>#VALUE!</v>
      </c>
      <c r="U866" s="116" t="e">
        <f t="shared" si="413"/>
        <v>#VALUE!</v>
      </c>
      <c r="V866" s="116" t="e">
        <f t="shared" si="414"/>
        <v>#VALUE!</v>
      </c>
      <c r="W866" s="116" t="e">
        <f t="shared" si="415"/>
        <v>#VALUE!</v>
      </c>
      <c r="X866" s="3" t="str">
        <f>INDEX(DistFuncAllocOptions,ROW(A866)-ROW($A$92)+1,[4]Inputs!$S$11)</f>
        <v>PLNT</v>
      </c>
      <c r="Y866" s="116" t="e">
        <f t="shared" si="416"/>
        <v>#VALUE!</v>
      </c>
      <c r="Z866" s="116" t="e">
        <f t="shared" si="416"/>
        <v>#VALUE!</v>
      </c>
      <c r="AA866" s="116" t="e">
        <f t="shared" si="416"/>
        <v>#VALUE!</v>
      </c>
      <c r="AB866" s="116" t="e">
        <f t="shared" si="416"/>
        <v>#VALUE!</v>
      </c>
      <c r="AC866" s="116" t="e">
        <f t="shared" si="416"/>
        <v>#VALUE!</v>
      </c>
      <c r="AD866" s="117" t="e">
        <f t="shared" si="417"/>
        <v>#VALUE!</v>
      </c>
      <c r="AE866" s="117" t="e">
        <f t="shared" si="418"/>
        <v>#VALUE!</v>
      </c>
      <c r="AF866" s="117" t="e">
        <f t="shared" si="419"/>
        <v>#VALUE!</v>
      </c>
      <c r="AG866" s="117" t="e">
        <f t="shared" si="420"/>
        <v>#VALUE!</v>
      </c>
      <c r="AH866" s="116"/>
      <c r="AI866" t="str">
        <f t="shared" si="385"/>
        <v>403GP</v>
      </c>
      <c r="AJ866" t="str">
        <f t="shared" si="421"/>
        <v>SG</v>
      </c>
      <c r="AK866" t="str">
        <f>IF(ISERROR(MATCH(AI866&amp;"."&amp;AJ866,AK$91:AK865,0)),AI866&amp;"."&amp;AJ866,AI866&amp;"."&amp;AJ866&amp;COUNTIFS(AI$91:AI865,AI866,AJ$91:AJ865,AJ866))</f>
        <v>403GP.SG4</v>
      </c>
    </row>
    <row r="867" spans="1:37" ht="15" hidden="1">
      <c r="A867" s="120">
        <f>ROW()</f>
        <v>867</v>
      </c>
      <c r="B867" s="120"/>
      <c r="C867" s="1"/>
      <c r="E867" s="121"/>
      <c r="F867" s="138"/>
      <c r="G867" s="117" t="e">
        <f t="shared" ref="G867:L867" si="422">SUM(G858:G866)</f>
        <v>#VALUE!</v>
      </c>
      <c r="H867" s="116" t="e">
        <f t="shared" si="422"/>
        <v>#VALUE!</v>
      </c>
      <c r="I867" s="116" t="e">
        <f t="shared" si="422"/>
        <v>#VALUE!</v>
      </c>
      <c r="J867" s="116" t="e">
        <f t="shared" si="422"/>
        <v>#VALUE!</v>
      </c>
      <c r="K867" s="116" t="e">
        <f t="shared" si="422"/>
        <v>#VALUE!</v>
      </c>
      <c r="L867" s="116" t="e">
        <f t="shared" si="422"/>
        <v>#VALUE!</v>
      </c>
      <c r="O867" s="116" t="e">
        <f>SUM(O858:O866)</f>
        <v>#VALUE!</v>
      </c>
      <c r="P867" s="116" t="e">
        <f>SUM(P858:P866)</f>
        <v>#VALUE!</v>
      </c>
      <c r="Q867" s="116" t="e">
        <f>SUM(Q858:Q866)</f>
        <v>#VALUE!</v>
      </c>
      <c r="R867" s="116" t="e">
        <f>SUM(R858:R866)</f>
        <v>#VALUE!</v>
      </c>
      <c r="T867" s="116" t="e">
        <f>SUM(T858:T866)</f>
        <v>#VALUE!</v>
      </c>
      <c r="U867" s="116" t="e">
        <f>SUM(U858:U866)</f>
        <v>#VALUE!</v>
      </c>
      <c r="V867" s="116" t="e">
        <f>SUM(V858:V866)</f>
        <v>#VALUE!</v>
      </c>
      <c r="W867" s="116" t="e">
        <f>SUM(W858:W866)</f>
        <v>#VALUE!</v>
      </c>
      <c r="X867" s="3"/>
      <c r="Y867" s="116" t="e">
        <f>SUM(Y858:Y866)</f>
        <v>#VALUE!</v>
      </c>
      <c r="Z867" s="116" t="e">
        <f>SUM(Z858:Z866)</f>
        <v>#VALUE!</v>
      </c>
      <c r="AA867" s="116" t="e">
        <f>SUM(AA858:AA866)</f>
        <v>#VALUE!</v>
      </c>
      <c r="AB867" s="116" t="e">
        <f>SUM(AB858:AB866)</f>
        <v>#VALUE!</v>
      </c>
      <c r="AC867" s="116" t="e">
        <f>SUM(AC858:AC866)</f>
        <v>#VALUE!</v>
      </c>
      <c r="AD867" s="117" t="e">
        <f t="shared" si="417"/>
        <v>#VALUE!</v>
      </c>
      <c r="AE867" s="117" t="e">
        <f t="shared" si="418"/>
        <v>#VALUE!</v>
      </c>
      <c r="AF867" s="117" t="e">
        <f t="shared" si="419"/>
        <v>#VALUE!</v>
      </c>
      <c r="AG867" s="117" t="e">
        <f t="shared" si="420"/>
        <v>#VALUE!</v>
      </c>
      <c r="AH867" s="116"/>
      <c r="AI867" t="str">
        <f t="shared" si="385"/>
        <v>403GP</v>
      </c>
      <c r="AJ867" t="str">
        <f t="shared" si="421"/>
        <v>NA</v>
      </c>
      <c r="AK867" t="str">
        <f>IF(ISERROR(MATCH(AI867&amp;"."&amp;AJ867,AK$91:AK866,0)),AI867&amp;"."&amp;AJ867,AI867&amp;"."&amp;AJ867&amp;COUNTIFS(AI$91:AI866,AI867,AJ$91:AJ866,AJ867))</f>
        <v>403GP.NA1</v>
      </c>
    </row>
    <row r="868" spans="1:37" ht="15" hidden="1">
      <c r="A868" s="120">
        <f>ROW()</f>
        <v>868</v>
      </c>
      <c r="B868" s="120"/>
      <c r="C868" s="1"/>
      <c r="E868" s="121"/>
      <c r="F868" s="138"/>
      <c r="G868" s="119"/>
      <c r="X868" s="3"/>
      <c r="AD868" s="119"/>
      <c r="AE868" s="119"/>
      <c r="AF868" s="119"/>
      <c r="AG868" s="119"/>
      <c r="AI868" t="str">
        <f t="shared" si="385"/>
        <v>403GP</v>
      </c>
      <c r="AJ868" t="str">
        <f t="shared" si="421"/>
        <v>NA</v>
      </c>
      <c r="AK868" t="str">
        <f>IF(ISERROR(MATCH(AI868&amp;"."&amp;AJ868,AK$91:AK867,0)),AI868&amp;"."&amp;AJ868,AI868&amp;"."&amp;AJ868&amp;COUNTIFS(AI$91:AI867,AI868,AJ$91:AJ867,AJ868))</f>
        <v>403GP.NA2</v>
      </c>
    </row>
    <row r="869" spans="1:37" ht="15" hidden="1">
      <c r="A869" s="120">
        <f>ROW()</f>
        <v>869</v>
      </c>
      <c r="B869" s="120"/>
      <c r="C869" s="1" t="s">
        <v>225</v>
      </c>
      <c r="D869" s="2" t="s">
        <v>397</v>
      </c>
      <c r="E869" s="121"/>
      <c r="F869" s="138"/>
      <c r="G869" s="119"/>
      <c r="X869" s="3"/>
      <c r="AD869" s="119"/>
      <c r="AE869" s="119"/>
      <c r="AF869" s="119"/>
      <c r="AG869" s="119"/>
      <c r="AI869" t="str">
        <f t="shared" si="385"/>
        <v>403GV0</v>
      </c>
      <c r="AJ869" t="str">
        <f t="shared" si="421"/>
        <v>NA</v>
      </c>
      <c r="AK869" t="str">
        <f>IF(ISERROR(MATCH(AI869&amp;"."&amp;AJ869,AK$91:AK868,0)),AI869&amp;"."&amp;AJ869,AI869&amp;"."&amp;AJ869&amp;COUNTIFS(AI$91:AI868,AI869,AJ$91:AJ868,AJ869))</f>
        <v>403GV0.NA</v>
      </c>
    </row>
    <row r="870" spans="1:37" ht="15" hidden="1">
      <c r="A870" s="120">
        <f>ROW()</f>
        <v>870</v>
      </c>
      <c r="B870" s="120"/>
      <c r="C870" s="1"/>
      <c r="E870" s="121" t="s">
        <v>15</v>
      </c>
      <c r="F870" s="138" t="str">
        <f>INDEX(FuncAllocOptions,ROW(A870)-ROW($A$92)+1,[4]Inputs!$S$11)</f>
        <v>G-SG</v>
      </c>
      <c r="G870" s="133" t="e">
        <f>SUMIF(FERCJAMFactor,AK870,JAMValue)</f>
        <v>#VALUE!</v>
      </c>
      <c r="H870" s="139" t="e">
        <f>INDEX(FuncFactorTbl,MATCH($F870,FuncFactors,0),MATCH(H$8,Functions,0))*$G870</f>
        <v>#VALUE!</v>
      </c>
      <c r="I870" s="139" t="e">
        <f>INDEX(FuncFactorTbl,MATCH($F870,FuncFactors,0),MATCH(I$8,Functions,0))*$G870</f>
        <v>#VALUE!</v>
      </c>
      <c r="J870" s="139" t="e">
        <f>INDEX(FuncFactorTbl,MATCH($F870,FuncFactors,0),MATCH(J$8,Functions,0))*$G870</f>
        <v>#VALUE!</v>
      </c>
      <c r="K870" s="139" t="e">
        <f>INDEX(FuncFactorTbl,MATCH($F870,FuncFactors,0),MATCH(K$8,Functions,0))*$G870</f>
        <v>#VALUE!</v>
      </c>
      <c r="L870" s="139" t="e">
        <f>INDEX(FuncFactorTbl,MATCH($F870,FuncFactors,0),MATCH(L$8,Functions,0))*$G870</f>
        <v>#VALUE!</v>
      </c>
      <c r="N870" s="108">
        <v>0</v>
      </c>
      <c r="O870" s="116" t="e">
        <f>$H870*$N870*$M870</f>
        <v>#VALUE!</v>
      </c>
      <c r="P870" s="116" t="e">
        <f>$H870*(1-$N870)*$M870</f>
        <v>#VALUE!</v>
      </c>
      <c r="Q870" s="116" t="e">
        <f>$H870*$N870*(1-$M870)</f>
        <v>#VALUE!</v>
      </c>
      <c r="R870" s="116" t="e">
        <f>$H870*(1-$N870)*(1-$M870)</f>
        <v>#VALUE!</v>
      </c>
      <c r="T870" s="116">
        <v>0</v>
      </c>
      <c r="U870" s="116">
        <v>0</v>
      </c>
      <c r="V870" s="116">
        <v>0</v>
      </c>
      <c r="W870" s="116">
        <v>0</v>
      </c>
      <c r="X870" s="3" t="str">
        <f>INDEX(DistFuncAllocOptions,ROW(A870)-ROW($A$92)+1,[4]Inputs!$S$11)</f>
        <v>PLNT</v>
      </c>
      <c r="Y870" s="116" t="e">
        <f>INDEX(DistFuncFactorTbl,MATCH($X870,DistFuncFactors,0),MATCH(Y$91,DistFunctions,0))*$J870</f>
        <v>#VALUE!</v>
      </c>
      <c r="Z870" s="116" t="e">
        <f>INDEX(DistFuncFactorTbl,MATCH($X870,DistFuncFactors,0),MATCH(Z$91,DistFunctions,0))*$J870</f>
        <v>#VALUE!</v>
      </c>
      <c r="AA870" s="116" t="e">
        <f>INDEX(DistFuncFactorTbl,MATCH($X870,DistFuncFactors,0),MATCH(AA$91,DistFunctions,0))*$J870</f>
        <v>#VALUE!</v>
      </c>
      <c r="AB870" s="116" t="e">
        <f>INDEX(DistFuncFactorTbl,MATCH($X870,DistFuncFactors,0),MATCH(AB$91,DistFunctions,0))*$J870</f>
        <v>#VALUE!</v>
      </c>
      <c r="AC870" s="116" t="e">
        <f>INDEX(DistFuncFactorTbl,MATCH($X870,DistFuncFactors,0),MATCH(AC$91,DistFunctions,0))*$J870</f>
        <v>#VALUE!</v>
      </c>
      <c r="AD870" s="117" t="e">
        <f>ROUND(SUM(-G870,H870:L870),0)</f>
        <v>#VALUE!</v>
      </c>
      <c r="AE870" s="117" t="e">
        <f>ROUND(H870-O870-P870-Q870-R870,0)</f>
        <v>#VALUE!</v>
      </c>
      <c r="AF870" s="117" t="e">
        <f>ROUND(I870-T870-U870-V870-W870,0)</f>
        <v>#VALUE!</v>
      </c>
      <c r="AG870" s="117" t="e">
        <f>ROUND(J870-Y870-Z870-AA870-AC870-AB870,0)</f>
        <v>#VALUE!</v>
      </c>
      <c r="AH870" s="116"/>
      <c r="AI870" t="str">
        <f t="shared" si="385"/>
        <v>403GV0</v>
      </c>
      <c r="AJ870" t="str">
        <f t="shared" si="421"/>
        <v>SG</v>
      </c>
      <c r="AK870" t="str">
        <f>IF(ISERROR(MATCH(AI870&amp;"."&amp;AJ870,AK$91:AK869,0)),AI870&amp;"."&amp;AJ870,AI870&amp;"."&amp;AJ870&amp;COUNTIFS(AI$91:AI869,AI870,AJ$91:AJ869,AJ870))</f>
        <v>403GV0.SG</v>
      </c>
    </row>
    <row r="871" spans="1:37" ht="15" hidden="1">
      <c r="A871" s="120">
        <f>ROW()</f>
        <v>871</v>
      </c>
      <c r="B871" s="120"/>
      <c r="C871" s="1"/>
      <c r="E871" s="121"/>
      <c r="F871" s="138"/>
      <c r="G871" s="117" t="e">
        <f t="shared" ref="G871:L871" si="423">SUM(G870)</f>
        <v>#VALUE!</v>
      </c>
      <c r="H871" s="116" t="e">
        <f t="shared" si="423"/>
        <v>#VALUE!</v>
      </c>
      <c r="I871" s="116" t="e">
        <f t="shared" si="423"/>
        <v>#VALUE!</v>
      </c>
      <c r="J871" s="116" t="e">
        <f t="shared" si="423"/>
        <v>#VALUE!</v>
      </c>
      <c r="K871" s="116" t="e">
        <f t="shared" si="423"/>
        <v>#VALUE!</v>
      </c>
      <c r="L871" s="116" t="e">
        <f t="shared" si="423"/>
        <v>#VALUE!</v>
      </c>
      <c r="O871" s="116" t="e">
        <f>SUM(O870)</f>
        <v>#VALUE!</v>
      </c>
      <c r="P871" s="116" t="e">
        <f>SUM(P870)</f>
        <v>#VALUE!</v>
      </c>
      <c r="Q871" s="116" t="e">
        <f>SUM(Q870)</f>
        <v>#VALUE!</v>
      </c>
      <c r="R871" s="116" t="e">
        <f>SUM(R870)</f>
        <v>#VALUE!</v>
      </c>
      <c r="T871" s="116">
        <f>SUM(T870)</f>
        <v>0</v>
      </c>
      <c r="U871" s="116">
        <f>SUM(U870)</f>
        <v>0</v>
      </c>
      <c r="V871" s="116">
        <f>SUM(V870)</f>
        <v>0</v>
      </c>
      <c r="W871" s="116">
        <f>SUM(W870)</f>
        <v>0</v>
      </c>
      <c r="X871" s="3"/>
      <c r="Y871" s="116" t="e">
        <f>SUM(Y870)</f>
        <v>#VALUE!</v>
      </c>
      <c r="Z871" s="116" t="e">
        <f>SUM(Z870)</f>
        <v>#VALUE!</v>
      </c>
      <c r="AA871" s="116" t="e">
        <f>SUM(AA870)</f>
        <v>#VALUE!</v>
      </c>
      <c r="AB871" s="116" t="e">
        <f>SUM(AB870)</f>
        <v>#VALUE!</v>
      </c>
      <c r="AC871" s="116" t="e">
        <f>SUM(AC870)</f>
        <v>#VALUE!</v>
      </c>
      <c r="AD871" s="117" t="e">
        <f>ROUND(SUM(-G871,H871:L871),0)</f>
        <v>#VALUE!</v>
      </c>
      <c r="AE871" s="117" t="e">
        <f>ROUND(H871-O871-P871-Q871-R871,0)</f>
        <v>#VALUE!</v>
      </c>
      <c r="AF871" s="117" t="e">
        <f>ROUND(I871-T871-U871-V871-W871,0)</f>
        <v>#VALUE!</v>
      </c>
      <c r="AG871" s="117" t="e">
        <f>ROUND(J871-Y871-Z871-AA871-AC871-AB871,0)</f>
        <v>#VALUE!</v>
      </c>
      <c r="AH871" s="116"/>
      <c r="AI871" t="str">
        <f t="shared" si="385"/>
        <v>403GV0</v>
      </c>
      <c r="AJ871" t="str">
        <f t="shared" si="421"/>
        <v>NA</v>
      </c>
      <c r="AK871" t="str">
        <f>IF(ISERROR(MATCH(AI871&amp;"."&amp;AJ871,AK$91:AK870,0)),AI871&amp;"."&amp;AJ871,AI871&amp;"."&amp;AJ871&amp;COUNTIFS(AI$91:AI870,AI871,AJ$91:AJ870,AJ871))</f>
        <v>403GV0.NA1</v>
      </c>
    </row>
    <row r="872" spans="1:37" ht="15" hidden="1">
      <c r="A872" s="120">
        <f>ROW()</f>
        <v>872</v>
      </c>
      <c r="B872" s="120"/>
      <c r="C872" s="1"/>
      <c r="E872" s="121"/>
      <c r="F872" s="138"/>
      <c r="G872" s="119"/>
      <c r="X872" s="3"/>
      <c r="AD872" s="119"/>
      <c r="AE872" s="119"/>
      <c r="AF872" s="119"/>
      <c r="AG872" s="119"/>
      <c r="AI872" t="str">
        <f t="shared" si="385"/>
        <v>403GV0</v>
      </c>
      <c r="AJ872" t="str">
        <f t="shared" si="421"/>
        <v>NA</v>
      </c>
      <c r="AK872" t="str">
        <f>IF(ISERROR(MATCH(AI872&amp;"."&amp;AJ872,AK$91:AK871,0)),AI872&amp;"."&amp;AJ872,AI872&amp;"."&amp;AJ872&amp;COUNTIFS(AI$91:AI871,AI872,AJ$91:AJ871,AJ872))</f>
        <v>403GV0.NA2</v>
      </c>
    </row>
    <row r="873" spans="1:37" ht="15" hidden="1">
      <c r="A873" s="120">
        <f>ROW()</f>
        <v>873</v>
      </c>
      <c r="B873" s="120"/>
      <c r="C873" s="1" t="s">
        <v>227</v>
      </c>
      <c r="D873" s="2" t="s">
        <v>398</v>
      </c>
      <c r="E873" s="121"/>
      <c r="F873" s="138"/>
      <c r="G873" s="119"/>
      <c r="X873" s="3"/>
      <c r="AD873" s="119"/>
      <c r="AE873" s="119"/>
      <c r="AF873" s="119"/>
      <c r="AG873" s="119"/>
      <c r="AI873" t="str">
        <f t="shared" si="385"/>
        <v>403MP</v>
      </c>
      <c r="AJ873" t="str">
        <f t="shared" si="421"/>
        <v>NA</v>
      </c>
      <c r="AK873" t="str">
        <f>IF(ISERROR(MATCH(AI873&amp;"."&amp;AJ873,AK$91:AK872,0)),AI873&amp;"."&amp;AJ873,AI873&amp;"."&amp;AJ873&amp;COUNTIFS(AI$91:AI872,AI873,AJ$91:AJ872,AJ873))</f>
        <v>403MP.NA</v>
      </c>
    </row>
    <row r="874" spans="1:37" ht="15" hidden="1">
      <c r="A874" s="120">
        <f>ROW()</f>
        <v>874</v>
      </c>
      <c r="B874" s="120"/>
      <c r="C874" s="1"/>
      <c r="E874" s="121" t="s">
        <v>16</v>
      </c>
      <c r="F874" s="138" t="str">
        <f>INDEX(FuncAllocOptions,ROW(A874)-ROW($A$92)+1,[4]Inputs!$S$11)</f>
        <v>P</v>
      </c>
      <c r="G874" s="133" t="e">
        <f>SUMIF(FERCJAMFactor,AK874,JAMValue)</f>
        <v>#VALUE!</v>
      </c>
      <c r="H874" s="139" t="e">
        <f>INDEX(FuncFactorTbl,MATCH($F874,FuncFactors,0),MATCH(H$8,Functions,0))*$G874</f>
        <v>#VALUE!</v>
      </c>
      <c r="I874" s="139" t="e">
        <f>INDEX(FuncFactorTbl,MATCH($F874,FuncFactors,0),MATCH(I$8,Functions,0))*$G874</f>
        <v>#VALUE!</v>
      </c>
      <c r="J874" s="139" t="e">
        <f>INDEX(FuncFactorTbl,MATCH($F874,FuncFactors,0),MATCH(J$8,Functions,0))*$G874</f>
        <v>#VALUE!</v>
      </c>
      <c r="K874" s="139" t="e">
        <f>INDEX(FuncFactorTbl,MATCH($F874,FuncFactors,0),MATCH(K$8,Functions,0))*$G874</f>
        <v>#VALUE!</v>
      </c>
      <c r="L874" s="139" t="e">
        <f>INDEX(FuncFactorTbl,MATCH($F874,FuncFactors,0),MATCH(L$8,Functions,0))*$G874</f>
        <v>#VALUE!</v>
      </c>
      <c r="N874" s="108">
        <v>0</v>
      </c>
      <c r="O874" s="116" t="e">
        <f>$H874*$N874*$M874</f>
        <v>#VALUE!</v>
      </c>
      <c r="P874" s="116" t="e">
        <f>$H874*(1-$N874)*$M874</f>
        <v>#VALUE!</v>
      </c>
      <c r="Q874" s="116" t="e">
        <f>$H874*$N874*(1-$M874)</f>
        <v>#VALUE!</v>
      </c>
      <c r="R874" s="116" t="e">
        <f>$H874*(1-$N874)*(1-$M874)</f>
        <v>#VALUE!</v>
      </c>
      <c r="T874" s="116">
        <v>0</v>
      </c>
      <c r="U874" s="116">
        <v>0</v>
      </c>
      <c r="V874" s="116">
        <v>0</v>
      </c>
      <c r="W874" s="116">
        <v>0</v>
      </c>
      <c r="X874" s="3"/>
      <c r="AD874" s="117" t="e">
        <f>ROUND(SUM(-G874,H874:L874),0)</f>
        <v>#VALUE!</v>
      </c>
      <c r="AE874" s="117" t="e">
        <f>ROUND(H874-O874-P874-Q874-R874,0)</f>
        <v>#VALUE!</v>
      </c>
      <c r="AF874" s="117" t="e">
        <f>ROUND(I874-T874-U874-V874-W874,0)</f>
        <v>#VALUE!</v>
      </c>
      <c r="AG874" s="117" t="e">
        <f>ROUND(J874-Y874-Z874-AA874-AC874-AB874,0)</f>
        <v>#VALUE!</v>
      </c>
      <c r="AH874" s="116"/>
      <c r="AI874" t="str">
        <f t="shared" si="385"/>
        <v>403MP</v>
      </c>
      <c r="AJ874" t="str">
        <f t="shared" si="421"/>
        <v>SE</v>
      </c>
      <c r="AK874" t="str">
        <f>IF(ISERROR(MATCH(AI874&amp;"."&amp;AJ874,AK$91:AK873,0)),AI874&amp;"."&amp;AJ874,AI874&amp;"."&amp;AJ874&amp;COUNTIFS(AI$91:AI873,AI874,AJ$91:AJ873,AJ874))</f>
        <v>403MP.SE</v>
      </c>
    </row>
    <row r="875" spans="1:37" ht="15" hidden="1">
      <c r="A875" s="120">
        <f>ROW()</f>
        <v>875</v>
      </c>
      <c r="B875" s="120"/>
      <c r="C875" s="1"/>
      <c r="E875" s="121"/>
      <c r="F875" s="138"/>
      <c r="G875" s="117" t="e">
        <f t="shared" ref="G875:L875" si="424">SUM(G874)</f>
        <v>#VALUE!</v>
      </c>
      <c r="H875" s="116" t="e">
        <f t="shared" si="424"/>
        <v>#VALUE!</v>
      </c>
      <c r="I875" s="116" t="e">
        <f t="shared" si="424"/>
        <v>#VALUE!</v>
      </c>
      <c r="J875" s="116" t="e">
        <f t="shared" si="424"/>
        <v>#VALUE!</v>
      </c>
      <c r="K875" s="116" t="e">
        <f t="shared" si="424"/>
        <v>#VALUE!</v>
      </c>
      <c r="L875" s="116" t="e">
        <f t="shared" si="424"/>
        <v>#VALUE!</v>
      </c>
      <c r="O875" s="116" t="e">
        <f>SUM(O874)</f>
        <v>#VALUE!</v>
      </c>
      <c r="P875" s="116" t="e">
        <f>SUM(P874)</f>
        <v>#VALUE!</v>
      </c>
      <c r="Q875" s="116" t="e">
        <f>SUM(Q874)</f>
        <v>#VALUE!</v>
      </c>
      <c r="R875" s="116" t="e">
        <f>SUM(R874)</f>
        <v>#VALUE!</v>
      </c>
      <c r="T875" s="116">
        <f>SUM(T874)</f>
        <v>0</v>
      </c>
      <c r="U875" s="116">
        <f>SUM(U874)</f>
        <v>0</v>
      </c>
      <c r="V875" s="116">
        <f>SUM(V874)</f>
        <v>0</v>
      </c>
      <c r="W875" s="116">
        <f>SUM(W874)</f>
        <v>0</v>
      </c>
      <c r="X875" s="3"/>
      <c r="Y875" s="116">
        <f>SUM(Y874)</f>
        <v>0</v>
      </c>
      <c r="Z875" s="116">
        <f>SUM(Z874)</f>
        <v>0</v>
      </c>
      <c r="AA875" s="116">
        <f>SUM(AA874)</f>
        <v>0</v>
      </c>
      <c r="AB875" s="116">
        <f>SUM(AB874)</f>
        <v>0</v>
      </c>
      <c r="AC875" s="116">
        <f>SUM(AC874)</f>
        <v>0</v>
      </c>
      <c r="AD875" s="117" t="e">
        <f>ROUND(SUM(-G875,H875:L875),0)</f>
        <v>#VALUE!</v>
      </c>
      <c r="AE875" s="117" t="e">
        <f>ROUND(H875-O875-P875-Q875-R875,0)</f>
        <v>#VALUE!</v>
      </c>
      <c r="AF875" s="117" t="e">
        <f>ROUND(I875-T875-U875-V875-W875,0)</f>
        <v>#VALUE!</v>
      </c>
      <c r="AG875" s="117" t="e">
        <f>ROUND(J875-Y875-Z875-AA875-AC875-AB875,0)</f>
        <v>#VALUE!</v>
      </c>
      <c r="AH875" s="116"/>
      <c r="AI875" t="str">
        <f t="shared" si="385"/>
        <v>403MP</v>
      </c>
      <c r="AJ875" t="str">
        <f t="shared" si="421"/>
        <v>NA</v>
      </c>
      <c r="AK875" t="str">
        <f>IF(ISERROR(MATCH(AI875&amp;"."&amp;AJ875,AK$91:AK874,0)),AI875&amp;"."&amp;AJ875,AI875&amp;"."&amp;AJ875&amp;COUNTIFS(AI$91:AI874,AI875,AJ$91:AJ874,AJ875))</f>
        <v>403MP.NA1</v>
      </c>
    </row>
    <row r="876" spans="1:37" ht="15" hidden="1">
      <c r="A876" s="120">
        <f>ROW()</f>
        <v>876</v>
      </c>
      <c r="B876" s="120"/>
      <c r="C876" s="1"/>
      <c r="E876" s="121"/>
      <c r="F876" s="138"/>
      <c r="G876" s="119"/>
      <c r="X876" s="3"/>
      <c r="AD876" s="119"/>
      <c r="AE876" s="119"/>
      <c r="AF876" s="119"/>
      <c r="AG876" s="119"/>
      <c r="AI876" t="str">
        <f t="shared" ref="AI876:AI939" si="425">IF(OR(C876="",C876=" ",C876="  ",C876="   "),AI875,C876)</f>
        <v>403MP</v>
      </c>
      <c r="AJ876" t="str">
        <f t="shared" si="421"/>
        <v>NA</v>
      </c>
      <c r="AK876" t="str">
        <f>IF(ISERROR(MATCH(AI876&amp;"."&amp;AJ876,AK$91:AK875,0)),AI876&amp;"."&amp;AJ876,AI876&amp;"."&amp;AJ876&amp;COUNTIFS(AI$91:AI875,AI876,AJ$91:AJ875,AJ876))</f>
        <v>403MP.NA2</v>
      </c>
    </row>
    <row r="877" spans="1:37" ht="15" hidden="1">
      <c r="A877" s="120">
        <f>ROW()</f>
        <v>877</v>
      </c>
      <c r="B877" s="120"/>
      <c r="C877" s="1" t="s">
        <v>223</v>
      </c>
      <c r="D877" s="2" t="s">
        <v>399</v>
      </c>
      <c r="E877" s="121"/>
      <c r="F877" s="138"/>
      <c r="G877" s="119"/>
      <c r="X877" s="3"/>
      <c r="AD877" s="119"/>
      <c r="AE877" s="119"/>
      <c r="AF877" s="119"/>
      <c r="AG877" s="119"/>
      <c r="AI877" t="str">
        <f t="shared" si="425"/>
        <v>403EP</v>
      </c>
      <c r="AJ877" t="str">
        <f t="shared" si="421"/>
        <v>NA</v>
      </c>
      <c r="AK877" t="str">
        <f>IF(ISERROR(MATCH(AI877&amp;"."&amp;AJ877,AK$91:AK876,0)),AI877&amp;"."&amp;AJ877,AI877&amp;"."&amp;AJ877&amp;COUNTIFS(AI$91:AI876,AI877,AJ$91:AJ876,AJ877))</f>
        <v>403EP.NA</v>
      </c>
    </row>
    <row r="878" spans="1:37" ht="15" hidden="1">
      <c r="A878" s="120">
        <f>ROW()</f>
        <v>878</v>
      </c>
      <c r="B878" s="120"/>
      <c r="E878" s="121" t="s">
        <v>15</v>
      </c>
      <c r="F878" s="138" t="str">
        <f>INDEX(FuncAllocOptions,ROW(A878)-ROW($A$92)+1,[4]Inputs!$S$11)</f>
        <v>P</v>
      </c>
      <c r="G878" s="117" t="e">
        <f>SUMIF(FERCJAMFactor,AK878,JAMValue)</f>
        <v>#VALUE!</v>
      </c>
      <c r="H878" s="116" t="e">
        <f t="shared" ref="H878:L879" si="426">INDEX(FuncFactorTbl,MATCH($F878,FuncFactors,0),MATCH(H$8,Functions,0))*$G878</f>
        <v>#VALUE!</v>
      </c>
      <c r="I878" s="116" t="e">
        <f t="shared" si="426"/>
        <v>#VALUE!</v>
      </c>
      <c r="J878" s="116" t="e">
        <f t="shared" si="426"/>
        <v>#VALUE!</v>
      </c>
      <c r="K878" s="116" t="e">
        <f t="shared" si="426"/>
        <v>#VALUE!</v>
      </c>
      <c r="L878" s="116" t="e">
        <f t="shared" si="426"/>
        <v>#VALUE!</v>
      </c>
      <c r="N878" s="108">
        <v>0.75</v>
      </c>
      <c r="O878" s="116" t="e">
        <f>$H878*$N878*$M878</f>
        <v>#VALUE!</v>
      </c>
      <c r="P878" s="116" t="e">
        <f>$H878*(1-$N878)*$M878</f>
        <v>#VALUE!</v>
      </c>
      <c r="Q878" s="116" t="e">
        <f>$H878*$N878*(1-$M878)</f>
        <v>#VALUE!</v>
      </c>
      <c r="R878" s="116" t="e">
        <f>$H878*(1-$N878)*(1-$M878)</f>
        <v>#VALUE!</v>
      </c>
      <c r="T878" s="116">
        <v>0</v>
      </c>
      <c r="U878" s="116">
        <v>0</v>
      </c>
      <c r="V878" s="116">
        <v>0</v>
      </c>
      <c r="W878" s="116">
        <v>0</v>
      </c>
      <c r="X878" s="3"/>
      <c r="AD878" s="117" t="e">
        <f>ROUND(SUM(-G878,H878:L878),0)</f>
        <v>#VALUE!</v>
      </c>
      <c r="AE878" s="117" t="e">
        <f>ROUND(H878-O878-P878-Q878-R878,0)</f>
        <v>#VALUE!</v>
      </c>
      <c r="AF878" s="117" t="e">
        <f>ROUND(I878-T878-U878-V878-W878,0)</f>
        <v>#VALUE!</v>
      </c>
      <c r="AG878" s="117" t="e">
        <f>ROUND(J878-Y878-Z878-AA878-AC878-AB878,0)</f>
        <v>#VALUE!</v>
      </c>
      <c r="AH878" s="116"/>
      <c r="AI878" t="str">
        <f t="shared" si="425"/>
        <v>403EP</v>
      </c>
      <c r="AJ878" t="str">
        <f t="shared" si="421"/>
        <v>SG</v>
      </c>
      <c r="AK878" t="str">
        <f>IF(ISERROR(MATCH(AI878&amp;"."&amp;AJ878,AK$91:AK877,0)),AI878&amp;"."&amp;AJ878,AI878&amp;"."&amp;AJ878&amp;COUNTIFS(AI$91:AI877,AI878,AJ$91:AJ877,AJ878))</f>
        <v>403EP.SG</v>
      </c>
    </row>
    <row r="879" spans="1:37" ht="15" hidden="1">
      <c r="A879" s="120">
        <f>ROW()</f>
        <v>879</v>
      </c>
      <c r="B879" s="120"/>
      <c r="E879" s="121" t="s">
        <v>15</v>
      </c>
      <c r="F879" s="138" t="str">
        <f>INDEX(FuncAllocOptions,ROW(A879)-ROW($A$92)+1,[4]Inputs!$S$11)</f>
        <v>P</v>
      </c>
      <c r="G879" s="133" t="e">
        <f>SUMIF(FERCJAMFactor,AK879,JAMValue)</f>
        <v>#VALUE!</v>
      </c>
      <c r="H879" s="139" t="e">
        <f t="shared" si="426"/>
        <v>#VALUE!</v>
      </c>
      <c r="I879" s="139" t="e">
        <f t="shared" si="426"/>
        <v>#VALUE!</v>
      </c>
      <c r="J879" s="139" t="e">
        <f t="shared" si="426"/>
        <v>#VALUE!</v>
      </c>
      <c r="K879" s="139" t="e">
        <f t="shared" si="426"/>
        <v>#VALUE!</v>
      </c>
      <c r="L879" s="139" t="e">
        <f t="shared" si="426"/>
        <v>#VALUE!</v>
      </c>
      <c r="N879" s="108">
        <v>0.75</v>
      </c>
      <c r="O879" s="116" t="e">
        <f>$H879*$N879*$M879</f>
        <v>#VALUE!</v>
      </c>
      <c r="P879" s="116" t="e">
        <f>$H879*(1-$N879)*$M879</f>
        <v>#VALUE!</v>
      </c>
      <c r="Q879" s="116" t="e">
        <f>$H879*$N879*(1-$M879)</f>
        <v>#VALUE!</v>
      </c>
      <c r="R879" s="116" t="e">
        <f>$H879*(1-$N879)*(1-$M879)</f>
        <v>#VALUE!</v>
      </c>
      <c r="T879" s="116">
        <v>0</v>
      </c>
      <c r="U879" s="116">
        <v>0</v>
      </c>
      <c r="V879" s="116">
        <v>0</v>
      </c>
      <c r="W879" s="116">
        <v>0</v>
      </c>
      <c r="X879" s="3"/>
      <c r="AD879" s="117" t="e">
        <f>ROUND(SUM(-G879,H879:L879),0)</f>
        <v>#VALUE!</v>
      </c>
      <c r="AE879" s="117" t="e">
        <f>ROUND(H879-O879-P879-Q879-R879,0)</f>
        <v>#VALUE!</v>
      </c>
      <c r="AF879" s="117" t="e">
        <f>ROUND(I879-T879-U879-V879-W879,0)</f>
        <v>#VALUE!</v>
      </c>
      <c r="AG879" s="117" t="e">
        <f>ROUND(J879-Y879-Z879-AA879-AC879-AB879,0)</f>
        <v>#VALUE!</v>
      </c>
      <c r="AH879" s="116"/>
      <c r="AI879" t="str">
        <f t="shared" si="425"/>
        <v>403EP</v>
      </c>
      <c r="AJ879" t="str">
        <f t="shared" si="421"/>
        <v>SG</v>
      </c>
      <c r="AK879" t="str">
        <f>IF(ISERROR(MATCH(AI879&amp;"."&amp;AJ879,AK$91:AK878,0)),AI879&amp;"."&amp;AJ879,AI879&amp;"."&amp;AJ879&amp;COUNTIFS(AI$91:AI878,AI879,AJ$91:AJ878,AJ879))</f>
        <v>403EP.SG1</v>
      </c>
    </row>
    <row r="880" spans="1:37" ht="15" hidden="1">
      <c r="A880" s="120">
        <f>ROW()</f>
        <v>880</v>
      </c>
      <c r="B880" s="120"/>
      <c r="E880" s="121"/>
      <c r="F880" s="138"/>
      <c r="G880" s="117" t="e">
        <f t="shared" ref="G880:L880" si="427">SUM(G878:G879)</f>
        <v>#VALUE!</v>
      </c>
      <c r="H880" s="116" t="e">
        <f t="shared" si="427"/>
        <v>#VALUE!</v>
      </c>
      <c r="I880" s="116" t="e">
        <f t="shared" si="427"/>
        <v>#VALUE!</v>
      </c>
      <c r="J880" s="116" t="e">
        <f t="shared" si="427"/>
        <v>#VALUE!</v>
      </c>
      <c r="K880" s="116" t="e">
        <f t="shared" si="427"/>
        <v>#VALUE!</v>
      </c>
      <c r="L880" s="116" t="e">
        <f t="shared" si="427"/>
        <v>#VALUE!</v>
      </c>
      <c r="O880" s="116" t="e">
        <f>SUM(O878:O879)</f>
        <v>#VALUE!</v>
      </c>
      <c r="P880" s="116" t="e">
        <f>SUM(P878:P879)</f>
        <v>#VALUE!</v>
      </c>
      <c r="Q880" s="116" t="e">
        <f>SUM(Q878:Q879)</f>
        <v>#VALUE!</v>
      </c>
      <c r="R880" s="116" t="e">
        <f>SUM(R878:R879)</f>
        <v>#VALUE!</v>
      </c>
      <c r="T880" s="116">
        <f>SUM(T878:T879)</f>
        <v>0</v>
      </c>
      <c r="U880" s="116">
        <f>SUM(U878:U879)</f>
        <v>0</v>
      </c>
      <c r="V880" s="116">
        <f>SUM(V878:V879)</f>
        <v>0</v>
      </c>
      <c r="W880" s="116">
        <f>SUM(W878:W879)</f>
        <v>0</v>
      </c>
      <c r="X880" s="3"/>
      <c r="Y880" s="116">
        <f>SUM(Y878:Y879)</f>
        <v>0</v>
      </c>
      <c r="Z880" s="116">
        <f>SUM(Z878:Z879)</f>
        <v>0</v>
      </c>
      <c r="AA880" s="116">
        <f>SUM(AA878:AA879)</f>
        <v>0</v>
      </c>
      <c r="AB880" s="116">
        <f>SUM(AB878:AB879)</f>
        <v>0</v>
      </c>
      <c r="AC880" s="116">
        <f>SUM(AC878:AC879)</f>
        <v>0</v>
      </c>
      <c r="AD880" s="117" t="e">
        <f>ROUND(SUM(-G880,H880:L880),0)</f>
        <v>#VALUE!</v>
      </c>
      <c r="AE880" s="117" t="e">
        <f>ROUND(H880-O880-P880-Q880-R880,0)</f>
        <v>#VALUE!</v>
      </c>
      <c r="AF880" s="117" t="e">
        <f>ROUND(I880-T880-U880-V880-W880,0)</f>
        <v>#VALUE!</v>
      </c>
      <c r="AG880" s="117" t="e">
        <f>ROUND(J880-Y880-Z880-AA880-AC880-AB880,0)</f>
        <v>#VALUE!</v>
      </c>
      <c r="AH880" s="116"/>
      <c r="AI880" t="str">
        <f t="shared" si="425"/>
        <v>403EP</v>
      </c>
      <c r="AJ880" t="str">
        <f t="shared" si="421"/>
        <v>NA</v>
      </c>
      <c r="AK880" t="str">
        <f>IF(ISERROR(MATCH(AI880&amp;"."&amp;AJ880,AK$91:AK879,0)),AI880&amp;"."&amp;AJ880,AI880&amp;"."&amp;AJ880&amp;COUNTIFS(AI$91:AI879,AI880,AJ$91:AJ879,AJ880))</f>
        <v>403EP.NA1</v>
      </c>
    </row>
    <row r="881" spans="1:37" ht="15" hidden="1">
      <c r="A881" s="120">
        <f>ROW()</f>
        <v>881</v>
      </c>
      <c r="B881" s="120"/>
      <c r="E881" s="121"/>
      <c r="F881" s="138"/>
      <c r="G881" s="119"/>
      <c r="X881" s="3"/>
      <c r="AD881" s="119"/>
      <c r="AE881" s="119"/>
      <c r="AF881" s="119"/>
      <c r="AG881" s="119"/>
      <c r="AI881" t="str">
        <f t="shared" si="425"/>
        <v>403EP</v>
      </c>
      <c r="AJ881" t="str">
        <f t="shared" si="421"/>
        <v>NA</v>
      </c>
      <c r="AK881" t="str">
        <f>IF(ISERROR(MATCH(AI881&amp;"."&amp;AJ881,AK$91:AK880,0)),AI881&amp;"."&amp;AJ881,AI881&amp;"."&amp;AJ881&amp;COUNTIFS(AI$91:AI880,AI881,AJ$91:AJ880,AJ881))</f>
        <v>403EP.NA2</v>
      </c>
    </row>
    <row r="882" spans="1:37" ht="15.75" hidden="1" thickBot="1">
      <c r="A882" s="120">
        <f>ROW()</f>
        <v>882</v>
      </c>
      <c r="B882" s="120"/>
      <c r="C882" s="110" t="s">
        <v>758</v>
      </c>
      <c r="E882" s="121"/>
      <c r="F882" s="138"/>
      <c r="G882" s="153" t="e">
        <f t="shared" ref="G882:L882" si="428">G814+G818+G825+G832+G838+G855+G867+G871+G875+G880</f>
        <v>#VALUE!</v>
      </c>
      <c r="H882" s="152" t="e">
        <f t="shared" si="428"/>
        <v>#VALUE!</v>
      </c>
      <c r="I882" s="152" t="e">
        <f t="shared" si="428"/>
        <v>#VALUE!</v>
      </c>
      <c r="J882" s="152" t="e">
        <f t="shared" si="428"/>
        <v>#VALUE!</v>
      </c>
      <c r="K882" s="152" t="e">
        <f t="shared" si="428"/>
        <v>#VALUE!</v>
      </c>
      <c r="L882" s="152" t="e">
        <f t="shared" si="428"/>
        <v>#VALUE!</v>
      </c>
      <c r="O882" s="116" t="e">
        <f>O814+O818+O825+O832+O838+O855+O867+O871+O875+O880</f>
        <v>#VALUE!</v>
      </c>
      <c r="P882" s="116" t="e">
        <f>P814+P818+P825+P832+P838+P855+P867+P871+P875+P880</f>
        <v>#VALUE!</v>
      </c>
      <c r="Q882" s="116" t="e">
        <f>Q814+Q818+Q825+Q832+Q838+Q855+Q867+Q871+Q875+Q880</f>
        <v>#VALUE!</v>
      </c>
      <c r="R882" s="116" t="e">
        <f>R814+R818+R825+R832+R838+R855+R867+R871+R875+R880</f>
        <v>#VALUE!</v>
      </c>
      <c r="S882" s="116"/>
      <c r="T882" s="116" t="e">
        <f>T814+T818+T825+T832+T838+T855+T867+T871+T875+T880</f>
        <v>#VALUE!</v>
      </c>
      <c r="U882" s="116" t="e">
        <f>U814+U818+U825+U832+U838+U855+U867+U871+U875+U880</f>
        <v>#VALUE!</v>
      </c>
      <c r="V882" s="116" t="e">
        <f>V814+V818+V825+V832+V838+V855+V867+V871+V875+V880</f>
        <v>#VALUE!</v>
      </c>
      <c r="W882" s="116" t="e">
        <f>W814+W818+W825+W832+W838+W855+W867+W871+W875+W880</f>
        <v>#VALUE!</v>
      </c>
      <c r="X882" s="3"/>
      <c r="Y882" s="116" t="e">
        <f>Y814+Y818+Y825+Y832+Y838+Y855+Y867+Y871+Y875+Y880</f>
        <v>#VALUE!</v>
      </c>
      <c r="Z882" s="116" t="e">
        <f>Z814+Z818+Z825+Z832+Z838+Z855+Z867+Z871+Z875+Z880</f>
        <v>#VALUE!</v>
      </c>
      <c r="AA882" s="116" t="e">
        <f>AA814+AA818+AA825+AA832+AA838+AA855+AA867+AA871+AA875+AA880</f>
        <v>#VALUE!</v>
      </c>
      <c r="AB882" s="116" t="e">
        <f>AB814+AB818+AB825+AB832+AB838+AB855+AB867+AB871+AB875+AB880</f>
        <v>#VALUE!</v>
      </c>
      <c r="AC882" s="116" t="e">
        <f>AC814+AC818+AC825+AC832+AC838+AC855+AC867+AC871+AC875+AC880</f>
        <v>#VALUE!</v>
      </c>
      <c r="AD882" s="117" t="e">
        <f>ROUND(SUM(-G882,H882:L882),0)</f>
        <v>#VALUE!</v>
      </c>
      <c r="AE882" s="117" t="e">
        <f>ROUND(H882-O882-P882-Q882-R882,0)</f>
        <v>#VALUE!</v>
      </c>
      <c r="AF882" s="117" t="e">
        <f>ROUND(I882-T882-U882-V882-W882,0)</f>
        <v>#VALUE!</v>
      </c>
      <c r="AG882" s="117" t="e">
        <f>ROUND(J882-Y882-Z882-AA882-AC882-AB882,0)</f>
        <v>#VALUE!</v>
      </c>
      <c r="AH882" s="116"/>
      <c r="AI882" t="str">
        <f t="shared" si="425"/>
        <v>TOTAL DEPRECIATION EXPENSE</v>
      </c>
      <c r="AJ882" t="str">
        <f t="shared" si="421"/>
        <v>NA</v>
      </c>
      <c r="AK882" t="str">
        <f>IF(ISERROR(MATCH(AI882&amp;"."&amp;AJ882,AK$91:AK881,0)),AI882&amp;"."&amp;AJ882,AI882&amp;"."&amp;AJ882&amp;COUNTIFS(AI$91:AI881,AI882,AJ$91:AJ881,AJ882))</f>
        <v>TOTAL DEPRECIATION EXPENSE.NA</v>
      </c>
    </row>
    <row r="883" spans="1:37" ht="15" hidden="1">
      <c r="A883" s="120">
        <f>ROW()</f>
        <v>883</v>
      </c>
      <c r="B883" s="120"/>
      <c r="E883" s="121"/>
      <c r="F883" s="138"/>
      <c r="G883" s="119"/>
      <c r="X883" s="3"/>
      <c r="AD883" s="119"/>
      <c r="AE883" s="119"/>
      <c r="AF883" s="119"/>
      <c r="AG883" s="119"/>
      <c r="AI883" t="str">
        <f t="shared" si="425"/>
        <v>TOTAL DEPRECIATION EXPENSE</v>
      </c>
      <c r="AJ883" t="str">
        <f t="shared" si="421"/>
        <v>NA</v>
      </c>
      <c r="AK883" t="str">
        <f>IF(ISERROR(MATCH(AI883&amp;"."&amp;AJ883,AK$91:AK882,0)),AI883&amp;"."&amp;AJ883,AI883&amp;"."&amp;AJ883&amp;COUNTIFS(AI$91:AI882,AI883,AJ$91:AJ882,AJ883))</f>
        <v>TOTAL DEPRECIATION EXPENSE.NA1</v>
      </c>
    </row>
    <row r="884" spans="1:37" ht="15" hidden="1">
      <c r="A884" s="120">
        <f>ROW()</f>
        <v>884</v>
      </c>
      <c r="B884" s="120"/>
      <c r="C884" s="1" t="s">
        <v>233</v>
      </c>
      <c r="D884" s="2" t="s">
        <v>757</v>
      </c>
      <c r="E884" s="121"/>
      <c r="F884" s="138"/>
      <c r="G884" s="119"/>
      <c r="X884" s="3"/>
      <c r="AD884" s="119"/>
      <c r="AE884" s="119"/>
      <c r="AF884" s="119"/>
      <c r="AG884" s="119"/>
      <c r="AI884" t="str">
        <f t="shared" si="425"/>
        <v>404GP</v>
      </c>
      <c r="AJ884" t="str">
        <f t="shared" si="421"/>
        <v>NA</v>
      </c>
      <c r="AK884" t="str">
        <f>IF(ISERROR(MATCH(AI884&amp;"."&amp;AJ884,AK$91:AK883,0)),AI884&amp;"."&amp;AJ884,AI884&amp;"."&amp;AJ884&amp;COUNTIFS(AI$91:AI883,AI884,AJ$91:AJ883,AJ884))</f>
        <v>404GP.NA</v>
      </c>
    </row>
    <row r="885" spans="1:37" ht="15" hidden="1">
      <c r="A885" s="120">
        <f>ROW()</f>
        <v>885</v>
      </c>
      <c r="B885" s="120"/>
      <c r="C885" s="1"/>
      <c r="E885" s="121" t="s">
        <v>12</v>
      </c>
      <c r="F885" s="138" t="str">
        <f>INDEX(FuncAllocOptions,ROW(A885)-ROW($A$92)+1,[4]Inputs!$S$11)</f>
        <v>I-SITUS</v>
      </c>
      <c r="G885" s="117" t="e">
        <f t="shared" ref="G885:G890" si="429">SUMIF(FERCJAMFactor,AK885,JAMValue)</f>
        <v>#VALUE!</v>
      </c>
      <c r="H885" s="116" t="e">
        <f t="shared" ref="H885:L890" si="430">INDEX(FuncFactorTbl,MATCH($F885,FuncFactors,0),MATCH(H$8,Functions,0))*$G885</f>
        <v>#VALUE!</v>
      </c>
      <c r="I885" s="116" t="e">
        <f t="shared" si="430"/>
        <v>#VALUE!</v>
      </c>
      <c r="J885" s="116" t="e">
        <f t="shared" si="430"/>
        <v>#VALUE!</v>
      </c>
      <c r="K885" s="116" t="e">
        <f t="shared" si="430"/>
        <v>#VALUE!</v>
      </c>
      <c r="L885" s="116" t="e">
        <f t="shared" si="430"/>
        <v>#VALUE!</v>
      </c>
      <c r="N885" s="108">
        <v>0.75</v>
      </c>
      <c r="O885" s="116" t="e">
        <f t="shared" ref="O885:O890" si="431">$H885*$N885*$M885</f>
        <v>#VALUE!</v>
      </c>
      <c r="P885" s="116" t="e">
        <f t="shared" ref="P885:P890" si="432">$H885*(1-$N885)*$M885</f>
        <v>#VALUE!</v>
      </c>
      <c r="Q885" s="116" t="e">
        <f t="shared" ref="Q885:Q890" si="433">$H885*$N885*(1-$M885)</f>
        <v>#VALUE!</v>
      </c>
      <c r="R885" s="116" t="e">
        <f t="shared" ref="R885:R890" si="434">$H885*(1-$N885)*(1-$M885)</f>
        <v>#VALUE!</v>
      </c>
      <c r="S885" s="108">
        <v>0.75</v>
      </c>
      <c r="T885" s="116" t="e">
        <f t="shared" ref="T885:T890" si="435">$I885*$S885*$M885</f>
        <v>#VALUE!</v>
      </c>
      <c r="U885" s="116" t="e">
        <f t="shared" ref="U885:U890" si="436">$I885*(1-$S885)*$M885</f>
        <v>#VALUE!</v>
      </c>
      <c r="V885" s="116" t="e">
        <f t="shared" ref="V885:V890" si="437">$I885*$S885*(1-$M885)</f>
        <v>#VALUE!</v>
      </c>
      <c r="W885" s="116" t="e">
        <f t="shared" ref="W885:W890" si="438">$I885*(1-$S885)*(1-$M885)</f>
        <v>#VALUE!</v>
      </c>
      <c r="X885" s="3" t="str">
        <f>INDEX(DistFuncAllocOptions,ROW(A885)-ROW($A$92)+1,[4]Inputs!$S$11)</f>
        <v>PLNT</v>
      </c>
      <c r="Y885" s="116" t="e">
        <f t="shared" ref="Y885:AC890" si="439">INDEX(DistFuncFactorTbl,MATCH($X885,DistFuncFactors,0),MATCH(Y$91,DistFunctions,0))*$J885</f>
        <v>#VALUE!</v>
      </c>
      <c r="Z885" s="116" t="e">
        <f t="shared" si="439"/>
        <v>#VALUE!</v>
      </c>
      <c r="AA885" s="116" t="e">
        <f t="shared" si="439"/>
        <v>#VALUE!</v>
      </c>
      <c r="AB885" s="116" t="e">
        <f t="shared" si="439"/>
        <v>#VALUE!</v>
      </c>
      <c r="AC885" s="116" t="e">
        <f t="shared" si="439"/>
        <v>#VALUE!</v>
      </c>
      <c r="AD885" s="117" t="e">
        <f t="shared" ref="AD885:AD891" si="440">ROUND(SUM(-G885,H885:L885),0)</f>
        <v>#VALUE!</v>
      </c>
      <c r="AE885" s="117" t="e">
        <f t="shared" ref="AE885:AE891" si="441">ROUND(H885-O885-P885-Q885-R885,0)</f>
        <v>#VALUE!</v>
      </c>
      <c r="AF885" s="117" t="e">
        <f t="shared" ref="AF885:AF891" si="442">ROUND(I885-T885-U885-V885-W885,0)</f>
        <v>#VALUE!</v>
      </c>
      <c r="AG885" s="117" t="e">
        <f t="shared" ref="AG885:AG891" si="443">ROUND(J885-Y885-Z885-AA885-AC885-AB885,0)</f>
        <v>#VALUE!</v>
      </c>
      <c r="AH885" s="116"/>
      <c r="AI885" t="str">
        <f t="shared" si="425"/>
        <v>404GP</v>
      </c>
      <c r="AJ885" t="str">
        <f t="shared" si="421"/>
        <v>S</v>
      </c>
      <c r="AK885" t="str">
        <f>IF(ISERROR(MATCH(AI885&amp;"."&amp;AJ885,AK$91:AK884,0)),AI885&amp;"."&amp;AJ885,AI885&amp;"."&amp;AJ885&amp;COUNTIFS(AI$91:AI884,AI885,AJ$91:AJ884,AJ885))</f>
        <v>404GP.S</v>
      </c>
    </row>
    <row r="886" spans="1:37" ht="15" hidden="1">
      <c r="A886" s="120">
        <f>ROW()</f>
        <v>886</v>
      </c>
      <c r="B886" s="120"/>
      <c r="C886" s="1"/>
      <c r="E886" s="121" t="s">
        <v>15</v>
      </c>
      <c r="F886" s="138" t="str">
        <f>INDEX(FuncAllocOptions,ROW(A886)-ROW($A$92)+1,[4]Inputs!$S$11)</f>
        <v>I-SG</v>
      </c>
      <c r="G886" s="117" t="e">
        <f t="shared" si="429"/>
        <v>#VALUE!</v>
      </c>
      <c r="H886" s="116" t="e">
        <f t="shared" si="430"/>
        <v>#VALUE!</v>
      </c>
      <c r="I886" s="116" t="e">
        <f t="shared" si="430"/>
        <v>#VALUE!</v>
      </c>
      <c r="J886" s="116" t="e">
        <f t="shared" si="430"/>
        <v>#VALUE!</v>
      </c>
      <c r="K886" s="116" t="e">
        <f t="shared" si="430"/>
        <v>#VALUE!</v>
      </c>
      <c r="L886" s="116" t="e">
        <f t="shared" si="430"/>
        <v>#VALUE!</v>
      </c>
      <c r="N886" s="108">
        <v>0.75</v>
      </c>
      <c r="O886" s="116" t="e">
        <f t="shared" si="431"/>
        <v>#VALUE!</v>
      </c>
      <c r="P886" s="116" t="e">
        <f t="shared" si="432"/>
        <v>#VALUE!</v>
      </c>
      <c r="Q886" s="116" t="e">
        <f t="shared" si="433"/>
        <v>#VALUE!</v>
      </c>
      <c r="R886" s="116" t="e">
        <f t="shared" si="434"/>
        <v>#VALUE!</v>
      </c>
      <c r="S886" s="108">
        <v>0.75</v>
      </c>
      <c r="T886" s="116" t="e">
        <f t="shared" si="435"/>
        <v>#VALUE!</v>
      </c>
      <c r="U886" s="116" t="e">
        <f t="shared" si="436"/>
        <v>#VALUE!</v>
      </c>
      <c r="V886" s="116" t="e">
        <f t="shared" si="437"/>
        <v>#VALUE!</v>
      </c>
      <c r="W886" s="116" t="e">
        <f t="shared" si="438"/>
        <v>#VALUE!</v>
      </c>
      <c r="X886" s="3" t="str">
        <f>INDEX(DistFuncAllocOptions,ROW(A886)-ROW($A$92)+1,[4]Inputs!$S$11)</f>
        <v>PLNT</v>
      </c>
      <c r="Y886" s="116" t="e">
        <f t="shared" si="439"/>
        <v>#VALUE!</v>
      </c>
      <c r="Z886" s="116" t="e">
        <f t="shared" si="439"/>
        <v>#VALUE!</v>
      </c>
      <c r="AA886" s="116" t="e">
        <f t="shared" si="439"/>
        <v>#VALUE!</v>
      </c>
      <c r="AB886" s="116" t="e">
        <f t="shared" si="439"/>
        <v>#VALUE!</v>
      </c>
      <c r="AC886" s="116" t="e">
        <f t="shared" si="439"/>
        <v>#VALUE!</v>
      </c>
      <c r="AD886" s="117" t="e">
        <f t="shared" si="440"/>
        <v>#VALUE!</v>
      </c>
      <c r="AE886" s="117" t="e">
        <f t="shared" si="441"/>
        <v>#VALUE!</v>
      </c>
      <c r="AF886" s="117" t="e">
        <f t="shared" si="442"/>
        <v>#VALUE!</v>
      </c>
      <c r="AG886" s="117" t="e">
        <f t="shared" si="443"/>
        <v>#VALUE!</v>
      </c>
      <c r="AH886" s="116"/>
      <c r="AI886" t="str">
        <f t="shared" si="425"/>
        <v>404GP</v>
      </c>
      <c r="AJ886" t="str">
        <f t="shared" si="421"/>
        <v>SG</v>
      </c>
      <c r="AK886" t="str">
        <f>IF(ISERROR(MATCH(AI886&amp;"."&amp;AJ886,AK$91:AK885,0)),AI886&amp;"."&amp;AJ886,AI886&amp;"."&amp;AJ886&amp;COUNTIFS(AI$91:AI885,AI886,AJ$91:AJ885,AJ886))</f>
        <v>404GP.SG</v>
      </c>
    </row>
    <row r="887" spans="1:37" ht="15" hidden="1">
      <c r="A887" s="120">
        <f>ROW()</f>
        <v>887</v>
      </c>
      <c r="B887" s="120"/>
      <c r="C887" s="1"/>
      <c r="E887" s="121" t="s">
        <v>136</v>
      </c>
      <c r="F887" s="138" t="str">
        <f>INDEX(FuncAllocOptions,ROW(A887)-ROW($A$92)+1,[4]Inputs!$S$11)</f>
        <v>PTD</v>
      </c>
      <c r="G887" s="117" t="e">
        <f t="shared" si="429"/>
        <v>#VALUE!</v>
      </c>
      <c r="H887" s="116" t="e">
        <f t="shared" si="430"/>
        <v>#VALUE!</v>
      </c>
      <c r="I887" s="116" t="e">
        <f t="shared" si="430"/>
        <v>#VALUE!</v>
      </c>
      <c r="J887" s="116" t="e">
        <f t="shared" si="430"/>
        <v>#VALUE!</v>
      </c>
      <c r="K887" s="116" t="e">
        <f t="shared" si="430"/>
        <v>#VALUE!</v>
      </c>
      <c r="L887" s="116" t="e">
        <f t="shared" si="430"/>
        <v>#VALUE!</v>
      </c>
      <c r="N887" s="108">
        <v>0.75</v>
      </c>
      <c r="O887" s="116" t="e">
        <f t="shared" si="431"/>
        <v>#VALUE!</v>
      </c>
      <c r="P887" s="116" t="e">
        <f t="shared" si="432"/>
        <v>#VALUE!</v>
      </c>
      <c r="Q887" s="116" t="e">
        <f t="shared" si="433"/>
        <v>#VALUE!</v>
      </c>
      <c r="R887" s="116" t="e">
        <f t="shared" si="434"/>
        <v>#VALUE!</v>
      </c>
      <c r="S887" s="108">
        <v>0.75</v>
      </c>
      <c r="T887" s="116" t="e">
        <f t="shared" si="435"/>
        <v>#VALUE!</v>
      </c>
      <c r="U887" s="116" t="e">
        <f t="shared" si="436"/>
        <v>#VALUE!</v>
      </c>
      <c r="V887" s="116" t="e">
        <f t="shared" si="437"/>
        <v>#VALUE!</v>
      </c>
      <c r="W887" s="116" t="e">
        <f t="shared" si="438"/>
        <v>#VALUE!</v>
      </c>
      <c r="X887" s="3" t="str">
        <f>INDEX(DistFuncAllocOptions,ROW(A887)-ROW($A$92)+1,[4]Inputs!$S$11)</f>
        <v>PLNT</v>
      </c>
      <c r="Y887" s="116" t="e">
        <f t="shared" si="439"/>
        <v>#VALUE!</v>
      </c>
      <c r="Z887" s="116" t="e">
        <f t="shared" si="439"/>
        <v>#VALUE!</v>
      </c>
      <c r="AA887" s="116" t="e">
        <f t="shared" si="439"/>
        <v>#VALUE!</v>
      </c>
      <c r="AB887" s="116" t="e">
        <f t="shared" si="439"/>
        <v>#VALUE!</v>
      </c>
      <c r="AC887" s="116" t="e">
        <f t="shared" si="439"/>
        <v>#VALUE!</v>
      </c>
      <c r="AD887" s="117" t="e">
        <f t="shared" si="440"/>
        <v>#VALUE!</v>
      </c>
      <c r="AE887" s="117" t="e">
        <f t="shared" si="441"/>
        <v>#VALUE!</v>
      </c>
      <c r="AF887" s="117" t="e">
        <f t="shared" si="442"/>
        <v>#VALUE!</v>
      </c>
      <c r="AG887" s="117" t="e">
        <f t="shared" si="443"/>
        <v>#VALUE!</v>
      </c>
      <c r="AH887" s="116"/>
      <c r="AI887" t="str">
        <f t="shared" si="425"/>
        <v>404GP</v>
      </c>
      <c r="AJ887" t="str">
        <f t="shared" si="421"/>
        <v>SO</v>
      </c>
      <c r="AK887" t="str">
        <f>IF(ISERROR(MATCH(AI887&amp;"."&amp;AJ887,AK$91:AK886,0)),AI887&amp;"."&amp;AJ887,AI887&amp;"."&amp;AJ887&amp;COUNTIFS(AI$91:AI886,AI887,AJ$91:AJ886,AJ887))</f>
        <v>404GP.SO</v>
      </c>
    </row>
    <row r="888" spans="1:37" ht="15" hidden="1">
      <c r="A888" s="120">
        <f>ROW()</f>
        <v>888</v>
      </c>
      <c r="B888" s="120"/>
      <c r="C888" s="1"/>
      <c r="E888" s="121" t="s">
        <v>15</v>
      </c>
      <c r="F888" s="138" t="str">
        <f>INDEX(FuncAllocOptions,ROW(A888)-ROW($A$92)+1,[4]Inputs!$S$11)</f>
        <v>P</v>
      </c>
      <c r="G888" s="117" t="e">
        <f t="shared" si="429"/>
        <v>#VALUE!</v>
      </c>
      <c r="H888" s="116" t="e">
        <f t="shared" si="430"/>
        <v>#VALUE!</v>
      </c>
      <c r="I888" s="116" t="e">
        <f t="shared" si="430"/>
        <v>#VALUE!</v>
      </c>
      <c r="J888" s="116" t="e">
        <f t="shared" si="430"/>
        <v>#VALUE!</v>
      </c>
      <c r="K888" s="116" t="e">
        <f t="shared" si="430"/>
        <v>#VALUE!</v>
      </c>
      <c r="L888" s="116" t="e">
        <f t="shared" si="430"/>
        <v>#VALUE!</v>
      </c>
      <c r="N888" s="108">
        <v>0.75</v>
      </c>
      <c r="O888" s="116" t="e">
        <f t="shared" si="431"/>
        <v>#VALUE!</v>
      </c>
      <c r="P888" s="116" t="e">
        <f t="shared" si="432"/>
        <v>#VALUE!</v>
      </c>
      <c r="Q888" s="116" t="e">
        <f t="shared" si="433"/>
        <v>#VALUE!</v>
      </c>
      <c r="R888" s="116" t="e">
        <f t="shared" si="434"/>
        <v>#VALUE!</v>
      </c>
      <c r="S888" s="108">
        <v>0.75</v>
      </c>
      <c r="T888" s="116" t="e">
        <f t="shared" si="435"/>
        <v>#VALUE!</v>
      </c>
      <c r="U888" s="116" t="e">
        <f t="shared" si="436"/>
        <v>#VALUE!</v>
      </c>
      <c r="V888" s="116" t="e">
        <f t="shared" si="437"/>
        <v>#VALUE!</v>
      </c>
      <c r="W888" s="116" t="e">
        <f t="shared" si="438"/>
        <v>#VALUE!</v>
      </c>
      <c r="X888" s="3" t="str">
        <f>INDEX(DistFuncAllocOptions,ROW(A888)-ROW($A$92)+1,[4]Inputs!$S$11)</f>
        <v>PLNT</v>
      </c>
      <c r="Y888" s="116" t="e">
        <f t="shared" si="439"/>
        <v>#VALUE!</v>
      </c>
      <c r="Z888" s="116" t="e">
        <f t="shared" si="439"/>
        <v>#VALUE!</v>
      </c>
      <c r="AA888" s="116" t="e">
        <f t="shared" si="439"/>
        <v>#VALUE!</v>
      </c>
      <c r="AB888" s="116" t="e">
        <f t="shared" si="439"/>
        <v>#VALUE!</v>
      </c>
      <c r="AC888" s="116" t="e">
        <f t="shared" si="439"/>
        <v>#VALUE!</v>
      </c>
      <c r="AD888" s="117" t="e">
        <f t="shared" si="440"/>
        <v>#VALUE!</v>
      </c>
      <c r="AE888" s="117" t="e">
        <f t="shared" si="441"/>
        <v>#VALUE!</v>
      </c>
      <c r="AF888" s="117" t="e">
        <f t="shared" si="442"/>
        <v>#VALUE!</v>
      </c>
      <c r="AG888" s="117" t="e">
        <f t="shared" si="443"/>
        <v>#VALUE!</v>
      </c>
      <c r="AH888" s="116"/>
      <c r="AI888" t="str">
        <f t="shared" si="425"/>
        <v>404GP</v>
      </c>
      <c r="AJ888" t="str">
        <f t="shared" si="421"/>
        <v>SG</v>
      </c>
      <c r="AK888" t="str">
        <f>IF(ISERROR(MATCH(AI888&amp;"."&amp;AJ888,AK$91:AK887,0)),AI888&amp;"."&amp;AJ888,AI888&amp;"."&amp;AJ888&amp;COUNTIFS(AI$91:AI887,AI888,AJ$91:AJ887,AJ888))</f>
        <v>404GP.SG1</v>
      </c>
    </row>
    <row r="889" spans="1:37" ht="15" hidden="1">
      <c r="A889" s="120">
        <f>ROW()</f>
        <v>889</v>
      </c>
      <c r="B889" s="120"/>
      <c r="C889" s="1"/>
      <c r="E889" s="121" t="s">
        <v>155</v>
      </c>
      <c r="F889" s="138" t="str">
        <f>INDEX(FuncAllocOptions,ROW(A889)-ROW($A$92)+1,[4]Inputs!$S$11)</f>
        <v>CUST</v>
      </c>
      <c r="G889" s="117" t="e">
        <f t="shared" si="429"/>
        <v>#VALUE!</v>
      </c>
      <c r="H889" s="116" t="e">
        <f t="shared" si="430"/>
        <v>#VALUE!</v>
      </c>
      <c r="I889" s="116" t="e">
        <f t="shared" si="430"/>
        <v>#VALUE!</v>
      </c>
      <c r="J889" s="116" t="e">
        <f t="shared" si="430"/>
        <v>#VALUE!</v>
      </c>
      <c r="K889" s="116" t="e">
        <f t="shared" si="430"/>
        <v>#VALUE!</v>
      </c>
      <c r="L889" s="116" t="e">
        <f t="shared" si="430"/>
        <v>#VALUE!</v>
      </c>
      <c r="N889" s="108">
        <v>0.75</v>
      </c>
      <c r="O889" s="116" t="e">
        <f t="shared" si="431"/>
        <v>#VALUE!</v>
      </c>
      <c r="P889" s="116" t="e">
        <f t="shared" si="432"/>
        <v>#VALUE!</v>
      </c>
      <c r="Q889" s="116" t="e">
        <f t="shared" si="433"/>
        <v>#VALUE!</v>
      </c>
      <c r="R889" s="116" t="e">
        <f t="shared" si="434"/>
        <v>#VALUE!</v>
      </c>
      <c r="S889" s="108">
        <v>0.75</v>
      </c>
      <c r="T889" s="116" t="e">
        <f t="shared" si="435"/>
        <v>#VALUE!</v>
      </c>
      <c r="U889" s="116" t="e">
        <f t="shared" si="436"/>
        <v>#VALUE!</v>
      </c>
      <c r="V889" s="116" t="e">
        <f t="shared" si="437"/>
        <v>#VALUE!</v>
      </c>
      <c r="W889" s="116" t="e">
        <f t="shared" si="438"/>
        <v>#VALUE!</v>
      </c>
      <c r="X889" s="3" t="str">
        <f>INDEX(DistFuncAllocOptions,ROW(A889)-ROW($A$92)+1,[4]Inputs!$S$11)</f>
        <v>CUST</v>
      </c>
      <c r="Y889" s="116" t="e">
        <f t="shared" si="439"/>
        <v>#VALUE!</v>
      </c>
      <c r="Z889" s="116" t="e">
        <f t="shared" si="439"/>
        <v>#VALUE!</v>
      </c>
      <c r="AA889" s="116" t="e">
        <f t="shared" si="439"/>
        <v>#VALUE!</v>
      </c>
      <c r="AB889" s="116" t="e">
        <f t="shared" si="439"/>
        <v>#VALUE!</v>
      </c>
      <c r="AC889" s="116" t="e">
        <f t="shared" si="439"/>
        <v>#VALUE!</v>
      </c>
      <c r="AD889" s="117" t="e">
        <f t="shared" si="440"/>
        <v>#VALUE!</v>
      </c>
      <c r="AE889" s="117" t="e">
        <f t="shared" si="441"/>
        <v>#VALUE!</v>
      </c>
      <c r="AF889" s="117" t="e">
        <f t="shared" si="442"/>
        <v>#VALUE!</v>
      </c>
      <c r="AG889" s="117" t="e">
        <f t="shared" si="443"/>
        <v>#VALUE!</v>
      </c>
      <c r="AH889" s="116"/>
      <c r="AI889" t="str">
        <f t="shared" si="425"/>
        <v>404GP</v>
      </c>
      <c r="AJ889" t="str">
        <f t="shared" si="421"/>
        <v>CN</v>
      </c>
      <c r="AK889" t="str">
        <f>IF(ISERROR(MATCH(AI889&amp;"."&amp;AJ889,AK$91:AK888,0)),AI889&amp;"."&amp;AJ889,AI889&amp;"."&amp;AJ889&amp;COUNTIFS(AI$91:AI888,AI889,AJ$91:AJ888,AJ889))</f>
        <v>404GP.CN</v>
      </c>
    </row>
    <row r="890" spans="1:37" ht="15" hidden="1">
      <c r="A890" s="120">
        <f>ROW()</f>
        <v>890</v>
      </c>
      <c r="B890" s="120"/>
      <c r="C890" s="1"/>
      <c r="E890" s="121" t="s">
        <v>15</v>
      </c>
      <c r="F890" s="138" t="str">
        <f>INDEX(FuncAllocOptions,ROW(A890)-ROW($A$92)+1,[4]Inputs!$S$11)</f>
        <v>P</v>
      </c>
      <c r="G890" s="133" t="e">
        <f t="shared" si="429"/>
        <v>#VALUE!</v>
      </c>
      <c r="H890" s="139" t="e">
        <f t="shared" si="430"/>
        <v>#VALUE!</v>
      </c>
      <c r="I890" s="139" t="e">
        <f t="shared" si="430"/>
        <v>#VALUE!</v>
      </c>
      <c r="J890" s="139" t="e">
        <f t="shared" si="430"/>
        <v>#VALUE!</v>
      </c>
      <c r="K890" s="139" t="e">
        <f t="shared" si="430"/>
        <v>#VALUE!</v>
      </c>
      <c r="L890" s="139" t="e">
        <f t="shared" si="430"/>
        <v>#VALUE!</v>
      </c>
      <c r="N890" s="108">
        <v>0.75</v>
      </c>
      <c r="O890" s="116" t="e">
        <f t="shared" si="431"/>
        <v>#VALUE!</v>
      </c>
      <c r="P890" s="116" t="e">
        <f t="shared" si="432"/>
        <v>#VALUE!</v>
      </c>
      <c r="Q890" s="116" t="e">
        <f t="shared" si="433"/>
        <v>#VALUE!</v>
      </c>
      <c r="R890" s="116" t="e">
        <f t="shared" si="434"/>
        <v>#VALUE!</v>
      </c>
      <c r="S890" s="108">
        <v>0.75</v>
      </c>
      <c r="T890" s="116" t="e">
        <f t="shared" si="435"/>
        <v>#VALUE!</v>
      </c>
      <c r="U890" s="116" t="e">
        <f t="shared" si="436"/>
        <v>#VALUE!</v>
      </c>
      <c r="V890" s="116" t="e">
        <f t="shared" si="437"/>
        <v>#VALUE!</v>
      </c>
      <c r="W890" s="116" t="e">
        <f t="shared" si="438"/>
        <v>#VALUE!</v>
      </c>
      <c r="X890" s="3" t="str">
        <f>INDEX(DistFuncAllocOptions,ROW(A890)-ROW($A$92)+1,[4]Inputs!$S$11)</f>
        <v>PLNT</v>
      </c>
      <c r="Y890" s="116" t="e">
        <f t="shared" si="439"/>
        <v>#VALUE!</v>
      </c>
      <c r="Z890" s="116" t="e">
        <f t="shared" si="439"/>
        <v>#VALUE!</v>
      </c>
      <c r="AA890" s="116" t="e">
        <f t="shared" si="439"/>
        <v>#VALUE!</v>
      </c>
      <c r="AB890" s="116" t="e">
        <f t="shared" si="439"/>
        <v>#VALUE!</v>
      </c>
      <c r="AC890" s="116" t="e">
        <f t="shared" si="439"/>
        <v>#VALUE!</v>
      </c>
      <c r="AD890" s="117" t="e">
        <f t="shared" si="440"/>
        <v>#VALUE!</v>
      </c>
      <c r="AE890" s="117" t="e">
        <f t="shared" si="441"/>
        <v>#VALUE!</v>
      </c>
      <c r="AF890" s="117" t="e">
        <f t="shared" si="442"/>
        <v>#VALUE!</v>
      </c>
      <c r="AG890" s="117" t="e">
        <f t="shared" si="443"/>
        <v>#VALUE!</v>
      </c>
      <c r="AH890" s="116"/>
      <c r="AI890" t="str">
        <f t="shared" si="425"/>
        <v>404GP</v>
      </c>
      <c r="AJ890" t="str">
        <f t="shared" si="421"/>
        <v>SG</v>
      </c>
      <c r="AK890" t="str">
        <f>IF(ISERROR(MATCH(AI890&amp;"."&amp;AJ890,AK$91:AK889,0)),AI890&amp;"."&amp;AJ890,AI890&amp;"."&amp;AJ890&amp;COUNTIFS(AI$91:AI889,AI890,AJ$91:AJ889,AJ890))</f>
        <v>404GP.SG2</v>
      </c>
    </row>
    <row r="891" spans="1:37" ht="15" hidden="1">
      <c r="A891" s="120">
        <f>ROW()</f>
        <v>891</v>
      </c>
      <c r="B891" s="120"/>
      <c r="C891" s="1"/>
      <c r="E891" s="121"/>
      <c r="F891" s="138"/>
      <c r="G891" s="117" t="e">
        <f t="shared" ref="G891:L891" si="444">SUM(G885:G890)</f>
        <v>#VALUE!</v>
      </c>
      <c r="H891" s="116" t="e">
        <f t="shared" si="444"/>
        <v>#VALUE!</v>
      </c>
      <c r="I891" s="116" t="e">
        <f t="shared" si="444"/>
        <v>#VALUE!</v>
      </c>
      <c r="J891" s="116" t="e">
        <f t="shared" si="444"/>
        <v>#VALUE!</v>
      </c>
      <c r="K891" s="116" t="e">
        <f t="shared" si="444"/>
        <v>#VALUE!</v>
      </c>
      <c r="L891" s="116" t="e">
        <f t="shared" si="444"/>
        <v>#VALUE!</v>
      </c>
      <c r="O891" s="116" t="e">
        <f>SUM(O885:O890)</f>
        <v>#VALUE!</v>
      </c>
      <c r="P891" s="116" t="e">
        <f>SUM(P885:P890)</f>
        <v>#VALUE!</v>
      </c>
      <c r="Q891" s="116" t="e">
        <f>SUM(Q885:Q890)</f>
        <v>#VALUE!</v>
      </c>
      <c r="R891" s="116" t="e">
        <f>SUM(R885:R890)</f>
        <v>#VALUE!</v>
      </c>
      <c r="T891" s="116" t="e">
        <f>SUM(T885:T890)</f>
        <v>#VALUE!</v>
      </c>
      <c r="U891" s="116" t="e">
        <f>SUM(U885:U890)</f>
        <v>#VALUE!</v>
      </c>
      <c r="V891" s="116" t="e">
        <f>SUM(V885:V890)</f>
        <v>#VALUE!</v>
      </c>
      <c r="W891" s="116" t="e">
        <f>SUM(W885:W890)</f>
        <v>#VALUE!</v>
      </c>
      <c r="X891" s="3"/>
      <c r="Y891" s="116" t="e">
        <f>SUM(Y885:Y890)</f>
        <v>#VALUE!</v>
      </c>
      <c r="Z891" s="116" t="e">
        <f>SUM(Z885:Z890)</f>
        <v>#VALUE!</v>
      </c>
      <c r="AA891" s="116" t="e">
        <f>SUM(AA885:AA890)</f>
        <v>#VALUE!</v>
      </c>
      <c r="AB891" s="116" t="e">
        <f>SUM(AB885:AB890)</f>
        <v>#VALUE!</v>
      </c>
      <c r="AC891" s="116" t="e">
        <f>SUM(AC885:AC890)</f>
        <v>#VALUE!</v>
      </c>
      <c r="AD891" s="117" t="e">
        <f t="shared" si="440"/>
        <v>#VALUE!</v>
      </c>
      <c r="AE891" s="117" t="e">
        <f t="shared" si="441"/>
        <v>#VALUE!</v>
      </c>
      <c r="AF891" s="117" t="e">
        <f t="shared" si="442"/>
        <v>#VALUE!</v>
      </c>
      <c r="AG891" s="117" t="e">
        <f t="shared" si="443"/>
        <v>#VALUE!</v>
      </c>
      <c r="AH891" s="116"/>
      <c r="AI891" t="str">
        <f t="shared" si="425"/>
        <v>404GP</v>
      </c>
      <c r="AJ891" t="str">
        <f t="shared" si="421"/>
        <v>NA</v>
      </c>
      <c r="AK891" t="str">
        <f>IF(ISERROR(MATCH(AI891&amp;"."&amp;AJ891,AK$91:AK890,0)),AI891&amp;"."&amp;AJ891,AI891&amp;"."&amp;AJ891&amp;COUNTIFS(AI$91:AI890,AI891,AJ$91:AJ890,AJ891))</f>
        <v>404GP.NA1</v>
      </c>
    </row>
    <row r="892" spans="1:37" ht="15" hidden="1">
      <c r="A892" s="120">
        <f>ROW()</f>
        <v>892</v>
      </c>
      <c r="B892" s="120"/>
      <c r="C892" s="1"/>
      <c r="E892" s="121"/>
      <c r="F892" s="138"/>
      <c r="G892" s="119"/>
      <c r="X892" s="3"/>
      <c r="AD892" s="119"/>
      <c r="AE892" s="119"/>
      <c r="AF892" s="119"/>
      <c r="AG892" s="119"/>
      <c r="AI892" t="str">
        <f t="shared" si="425"/>
        <v>404GP</v>
      </c>
      <c r="AJ892" t="str">
        <f t="shared" si="421"/>
        <v>NA</v>
      </c>
      <c r="AK892" t="str">
        <f>IF(ISERROR(MATCH(AI892&amp;"."&amp;AJ892,AK$91:AK891,0)),AI892&amp;"."&amp;AJ892,AI892&amp;"."&amp;AJ892&amp;COUNTIFS(AI$91:AI891,AI892,AJ$91:AJ891,AJ892))</f>
        <v>404GP.NA2</v>
      </c>
    </row>
    <row r="893" spans="1:37" ht="15" hidden="1">
      <c r="A893" s="120">
        <f>ROW()</f>
        <v>893</v>
      </c>
      <c r="B893" s="120"/>
      <c r="C893" s="1" t="s">
        <v>239</v>
      </c>
      <c r="D893" s="2" t="s">
        <v>410</v>
      </c>
      <c r="E893" s="121"/>
      <c r="F893" s="138"/>
      <c r="G893" s="119"/>
      <c r="X893" s="3"/>
      <c r="AD893" s="119"/>
      <c r="AE893" s="119"/>
      <c r="AF893" s="119"/>
      <c r="AG893" s="119"/>
      <c r="AI893" t="str">
        <f t="shared" si="425"/>
        <v>404SP</v>
      </c>
      <c r="AJ893" t="str">
        <f t="shared" si="421"/>
        <v>NA</v>
      </c>
      <c r="AK893" t="str">
        <f>IF(ISERROR(MATCH(AI893&amp;"."&amp;AJ893,AK$91:AK892,0)),AI893&amp;"."&amp;AJ893,AI893&amp;"."&amp;AJ893&amp;COUNTIFS(AI$91:AI892,AI893,AJ$91:AJ892,AJ893))</f>
        <v>404SP.NA</v>
      </c>
    </row>
    <row r="894" spans="1:37" ht="15" hidden="1">
      <c r="A894" s="120">
        <f>ROW()</f>
        <v>894</v>
      </c>
      <c r="B894" s="120"/>
      <c r="C894" s="1"/>
      <c r="E894" s="121" t="s">
        <v>15</v>
      </c>
      <c r="F894" s="138" t="str">
        <f>INDEX(FuncAllocOptions,ROW(A894)-ROW($A$92)+1,[4]Inputs!$S$11)</f>
        <v>P</v>
      </c>
      <c r="G894" s="133" t="e">
        <f>SUMIF(FERCJAMFactor,AK894,JAMValue)</f>
        <v>#VALUE!</v>
      </c>
      <c r="H894" s="139" t="e">
        <f>INDEX(FuncFactorTbl,MATCH($F894,FuncFactors,0),MATCH(H$8,Functions,0))*$G894</f>
        <v>#VALUE!</v>
      </c>
      <c r="I894" s="139" t="e">
        <f>INDEX(FuncFactorTbl,MATCH($F894,FuncFactors,0),MATCH(I$8,Functions,0))*$G894</f>
        <v>#VALUE!</v>
      </c>
      <c r="J894" s="139" t="e">
        <f>INDEX(FuncFactorTbl,MATCH($F894,FuncFactors,0),MATCH(J$8,Functions,0))*$G894</f>
        <v>#VALUE!</v>
      </c>
      <c r="K894" s="139" t="e">
        <f>INDEX(FuncFactorTbl,MATCH($F894,FuncFactors,0),MATCH(K$8,Functions,0))*$G894</f>
        <v>#VALUE!</v>
      </c>
      <c r="L894" s="139" t="e">
        <f>INDEX(FuncFactorTbl,MATCH($F894,FuncFactors,0),MATCH(L$8,Functions,0))*$G894</f>
        <v>#VALUE!</v>
      </c>
      <c r="N894" s="108">
        <v>0.75</v>
      </c>
      <c r="O894" s="116" t="e">
        <f>$H894*$N894*$M894</f>
        <v>#VALUE!</v>
      </c>
      <c r="P894" s="116" t="e">
        <f>$H894*(1-$N894)*$M894</f>
        <v>#VALUE!</v>
      </c>
      <c r="Q894" s="116" t="e">
        <f>$H894*$N894*(1-$M894)</f>
        <v>#VALUE!</v>
      </c>
      <c r="R894" s="116" t="e">
        <f>$H894*(1-$N894)*(1-$M894)</f>
        <v>#VALUE!</v>
      </c>
      <c r="S894" s="108">
        <v>0.75</v>
      </c>
      <c r="T894" s="116" t="e">
        <f>$I894*$S894*$M894</f>
        <v>#VALUE!</v>
      </c>
      <c r="U894" s="116" t="e">
        <f>$I894*(1-$S894)*$M894</f>
        <v>#VALUE!</v>
      </c>
      <c r="V894" s="116" t="e">
        <f>$I894*$S894*(1-$M894)</f>
        <v>#VALUE!</v>
      </c>
      <c r="W894" s="116" t="e">
        <f>$I894*(1-$S894)*(1-$M894)</f>
        <v>#VALUE!</v>
      </c>
      <c r="X894" s="163" t="str">
        <f>INDEX(DistFuncAllocOptions,ROW(A894)-ROW($A$92)+1,[4]Inputs!$S$11)</f>
        <v>DRB</v>
      </c>
      <c r="Y894" s="116" t="e">
        <f>INDEX(DistFuncFactorTbl,MATCH($X894,DistFuncFactors,0),MATCH(Y$91,DistFunctions,0))*$J894</f>
        <v>#VALUE!</v>
      </c>
      <c r="Z894" s="116" t="e">
        <f>INDEX(DistFuncFactorTbl,MATCH($X894,DistFuncFactors,0),MATCH(Z$91,DistFunctions,0))*$J894</f>
        <v>#VALUE!</v>
      </c>
      <c r="AA894" s="116" t="e">
        <f>INDEX(DistFuncFactorTbl,MATCH($X894,DistFuncFactors,0),MATCH(AA$91,DistFunctions,0))*$J894</f>
        <v>#VALUE!</v>
      </c>
      <c r="AB894" s="116" t="e">
        <f>INDEX(DistFuncFactorTbl,MATCH($X894,DistFuncFactors,0),MATCH(AB$91,DistFunctions,0))*$J894</f>
        <v>#VALUE!</v>
      </c>
      <c r="AC894" s="116" t="e">
        <f>INDEX(DistFuncFactorTbl,MATCH($X894,DistFuncFactors,0),MATCH(AC$91,DistFunctions,0))*$J894</f>
        <v>#VALUE!</v>
      </c>
      <c r="AD894" s="117" t="e">
        <f>ROUND(SUM(-G894,H894:L894),0)</f>
        <v>#VALUE!</v>
      </c>
      <c r="AE894" s="117" t="e">
        <f>ROUND(H894-O894-P894-Q894-R894,0)</f>
        <v>#VALUE!</v>
      </c>
      <c r="AF894" s="117" t="e">
        <f>ROUND(I894-T894-U894-V894-W894,0)</f>
        <v>#VALUE!</v>
      </c>
      <c r="AG894" s="117" t="e">
        <f>ROUND(J894-Y894-Z894-AA894-AC894-AB894,0)</f>
        <v>#VALUE!</v>
      </c>
      <c r="AH894" s="116"/>
      <c r="AI894" t="str">
        <f t="shared" si="425"/>
        <v>404SP</v>
      </c>
      <c r="AJ894" t="str">
        <f t="shared" si="421"/>
        <v>SG</v>
      </c>
      <c r="AK894" t="str">
        <f>IF(ISERROR(MATCH(AI894&amp;"."&amp;AJ894,AK$91:AK893,0)),AI894&amp;"."&amp;AJ894,AI894&amp;"."&amp;AJ894&amp;COUNTIFS(AI$91:AI893,AI894,AJ$91:AJ893,AJ894))</f>
        <v>404SP.SG</v>
      </c>
    </row>
    <row r="895" spans="1:37" ht="15" hidden="1">
      <c r="A895" s="120">
        <f>ROW()</f>
        <v>895</v>
      </c>
      <c r="B895" s="120"/>
      <c r="C895" s="1"/>
      <c r="E895" s="121"/>
      <c r="F895" s="138"/>
      <c r="G895" s="117" t="e">
        <f t="shared" ref="G895:L895" si="445">SUM(G894)</f>
        <v>#VALUE!</v>
      </c>
      <c r="H895" s="116" t="e">
        <f t="shared" si="445"/>
        <v>#VALUE!</v>
      </c>
      <c r="I895" s="116" t="e">
        <f t="shared" si="445"/>
        <v>#VALUE!</v>
      </c>
      <c r="J895" s="116" t="e">
        <f t="shared" si="445"/>
        <v>#VALUE!</v>
      </c>
      <c r="K895" s="116" t="e">
        <f t="shared" si="445"/>
        <v>#VALUE!</v>
      </c>
      <c r="L895" s="116" t="e">
        <f t="shared" si="445"/>
        <v>#VALUE!</v>
      </c>
      <c r="O895" s="116" t="e">
        <f>SUM(O894)</f>
        <v>#VALUE!</v>
      </c>
      <c r="P895" s="116" t="e">
        <f>SUM(P894)</f>
        <v>#VALUE!</v>
      </c>
      <c r="Q895" s="116" t="e">
        <f>SUM(Q894)</f>
        <v>#VALUE!</v>
      </c>
      <c r="R895" s="116" t="e">
        <f>SUM(R894)</f>
        <v>#VALUE!</v>
      </c>
      <c r="T895" s="116" t="e">
        <f>SUM(T894)</f>
        <v>#VALUE!</v>
      </c>
      <c r="U895" s="116" t="e">
        <f>SUM(U894)</f>
        <v>#VALUE!</v>
      </c>
      <c r="V895" s="116" t="e">
        <f>SUM(V894)</f>
        <v>#VALUE!</v>
      </c>
      <c r="W895" s="116" t="e">
        <f>SUM(W894)</f>
        <v>#VALUE!</v>
      </c>
      <c r="X895" s="3"/>
      <c r="Y895" s="116" t="e">
        <f>SUM(Y894)</f>
        <v>#VALUE!</v>
      </c>
      <c r="Z895" s="116" t="e">
        <f>SUM(Z894)</f>
        <v>#VALUE!</v>
      </c>
      <c r="AA895" s="116" t="e">
        <f>SUM(AA894)</f>
        <v>#VALUE!</v>
      </c>
      <c r="AB895" s="116" t="e">
        <f>SUM(AB894)</f>
        <v>#VALUE!</v>
      </c>
      <c r="AC895" s="116" t="e">
        <f>SUM(AC894)</f>
        <v>#VALUE!</v>
      </c>
      <c r="AD895" s="117" t="e">
        <f>ROUND(SUM(-G895,H895:L895),0)</f>
        <v>#VALUE!</v>
      </c>
      <c r="AE895" s="117" t="e">
        <f>ROUND(H895-O895-P895-Q895-R895,0)</f>
        <v>#VALUE!</v>
      </c>
      <c r="AF895" s="117" t="e">
        <f>ROUND(I895-T895-U895-V895-W895,0)</f>
        <v>#VALUE!</v>
      </c>
      <c r="AG895" s="117" t="e">
        <f>ROUND(J895-Y895-Z895-AA895-AC895-AB895,0)</f>
        <v>#VALUE!</v>
      </c>
      <c r="AH895" s="116"/>
      <c r="AI895" t="str">
        <f t="shared" si="425"/>
        <v>404SP</v>
      </c>
      <c r="AJ895" t="str">
        <f t="shared" si="421"/>
        <v>NA</v>
      </c>
      <c r="AK895" t="str">
        <f>IF(ISERROR(MATCH(AI895&amp;"."&amp;AJ895,AK$91:AK894,0)),AI895&amp;"."&amp;AJ895,AI895&amp;"."&amp;AJ895&amp;COUNTIFS(AI$91:AI894,AI895,AJ$91:AJ894,AJ895))</f>
        <v>404SP.NA1</v>
      </c>
    </row>
    <row r="896" spans="1:37" ht="15" hidden="1">
      <c r="A896" s="120">
        <f>ROW()</f>
        <v>896</v>
      </c>
      <c r="B896" s="120"/>
      <c r="C896" s="1"/>
      <c r="E896" s="121"/>
      <c r="F896" s="138"/>
      <c r="G896" s="119"/>
      <c r="X896" s="3"/>
      <c r="AD896" s="119"/>
      <c r="AE896" s="119"/>
      <c r="AF896" s="119"/>
      <c r="AG896" s="119"/>
      <c r="AI896" t="str">
        <f t="shared" si="425"/>
        <v>404SP</v>
      </c>
      <c r="AJ896" t="str">
        <f t="shared" si="421"/>
        <v>NA</v>
      </c>
      <c r="AK896" t="str">
        <f>IF(ISERROR(MATCH(AI896&amp;"."&amp;AJ896,AK$91:AK895,0)),AI896&amp;"."&amp;AJ896,AI896&amp;"."&amp;AJ896&amp;COUNTIFS(AI$91:AI895,AI896,AJ$91:AJ895,AJ896))</f>
        <v>404SP.NA2</v>
      </c>
    </row>
    <row r="897" spans="1:37" ht="15" hidden="1">
      <c r="A897" s="120">
        <f>ROW()</f>
        <v>897</v>
      </c>
      <c r="B897" s="120"/>
      <c r="C897" s="1" t="s">
        <v>235</v>
      </c>
      <c r="D897" s="2" t="s">
        <v>411</v>
      </c>
      <c r="E897" s="121"/>
      <c r="F897" s="138"/>
      <c r="G897" s="119"/>
      <c r="X897" s="3"/>
      <c r="AD897" s="119"/>
      <c r="AE897" s="119"/>
      <c r="AF897" s="119"/>
      <c r="AG897" s="119"/>
      <c r="AI897" t="str">
        <f t="shared" si="425"/>
        <v>404IP</v>
      </c>
      <c r="AJ897" t="str">
        <f t="shared" si="421"/>
        <v>NA</v>
      </c>
      <c r="AK897" t="str">
        <f>IF(ISERROR(MATCH(AI897&amp;"."&amp;AJ897,AK$91:AK896,0)),AI897&amp;"."&amp;AJ897,AI897&amp;"."&amp;AJ897&amp;COUNTIFS(AI$91:AI896,AI897,AJ$91:AJ896,AJ897))</f>
        <v>404IP.NA</v>
      </c>
    </row>
    <row r="898" spans="1:37" ht="15" hidden="1">
      <c r="A898" s="120">
        <f>ROW()</f>
        <v>898</v>
      </c>
      <c r="B898" s="120"/>
      <c r="C898" s="1"/>
      <c r="E898" s="121" t="s">
        <v>12</v>
      </c>
      <c r="F898" s="138" t="str">
        <f>INDEX(FuncAllocOptions,ROW(A898)-ROW($A$92)+1,[4]Inputs!$S$11)</f>
        <v>I-SITUS</v>
      </c>
      <c r="G898" s="117" t="e">
        <f t="shared" ref="G898:G908" si="446">SUMIF(FERCJAMFactor,AK898,JAMValue)</f>
        <v>#VALUE!</v>
      </c>
      <c r="H898" s="116" t="e">
        <f t="shared" ref="H898:L908" si="447">INDEX(FuncFactorTbl,MATCH($F898,FuncFactors,0),MATCH(H$8,Functions,0))*$G898</f>
        <v>#VALUE!</v>
      </c>
      <c r="I898" s="116" t="e">
        <f t="shared" si="447"/>
        <v>#VALUE!</v>
      </c>
      <c r="J898" s="116" t="e">
        <f t="shared" si="447"/>
        <v>#VALUE!</v>
      </c>
      <c r="K898" s="116" t="e">
        <f t="shared" si="447"/>
        <v>#VALUE!</v>
      </c>
      <c r="L898" s="116" t="e">
        <f t="shared" si="447"/>
        <v>#VALUE!</v>
      </c>
      <c r="N898" s="108">
        <v>0.75</v>
      </c>
      <c r="O898" s="116" t="e">
        <f t="shared" ref="O898:O908" si="448">$H898*$N898*$M898</f>
        <v>#VALUE!</v>
      </c>
      <c r="P898" s="116" t="e">
        <f t="shared" ref="P898:P908" si="449">$H898*(1-$N898)*$M898</f>
        <v>#VALUE!</v>
      </c>
      <c r="Q898" s="116" t="e">
        <f t="shared" ref="Q898:Q908" si="450">$H898*$N898*(1-$M898)</f>
        <v>#VALUE!</v>
      </c>
      <c r="R898" s="116" t="e">
        <f t="shared" ref="R898:R908" si="451">$H898*(1-$N898)*(1-$M898)</f>
        <v>#VALUE!</v>
      </c>
      <c r="S898" s="108">
        <v>0.75</v>
      </c>
      <c r="T898" s="116" t="e">
        <f t="shared" ref="T898:T908" si="452">$I898*$S898*$M898</f>
        <v>#VALUE!</v>
      </c>
      <c r="U898" s="116" t="e">
        <f t="shared" ref="U898:U908" si="453">$I898*(1-$S898)*$M898</f>
        <v>#VALUE!</v>
      </c>
      <c r="V898" s="116" t="e">
        <f t="shared" ref="V898:V908" si="454">$I898*$S898*(1-$M898)</f>
        <v>#VALUE!</v>
      </c>
      <c r="W898" s="116" t="e">
        <f t="shared" ref="W898:W908" si="455">$I898*(1-$S898)*(1-$M898)</f>
        <v>#VALUE!</v>
      </c>
      <c r="X898" s="3" t="str">
        <f>INDEX(DistFuncAllocOptions,ROW(A898)-ROW($A$92)+1,[4]Inputs!$S$11)</f>
        <v>PLNT</v>
      </c>
      <c r="Y898" s="116" t="e">
        <f t="shared" ref="Y898:AC908" si="456">INDEX(DistFuncFactorTbl,MATCH($X898,DistFuncFactors,0),MATCH(Y$91,DistFunctions,0))*$J898</f>
        <v>#VALUE!</v>
      </c>
      <c r="Z898" s="116" t="e">
        <f t="shared" si="456"/>
        <v>#VALUE!</v>
      </c>
      <c r="AA898" s="116" t="e">
        <f t="shared" si="456"/>
        <v>#VALUE!</v>
      </c>
      <c r="AB898" s="116" t="e">
        <f t="shared" si="456"/>
        <v>#VALUE!</v>
      </c>
      <c r="AC898" s="116" t="e">
        <f t="shared" si="456"/>
        <v>#VALUE!</v>
      </c>
      <c r="AD898" s="117" t="e">
        <f t="shared" ref="AD898:AD909" si="457">ROUND(SUM(-G898,H898:L898),0)</f>
        <v>#VALUE!</v>
      </c>
      <c r="AE898" s="117" t="e">
        <f t="shared" ref="AE898:AE909" si="458">ROUND(H898-O898-P898-Q898-R898,0)</f>
        <v>#VALUE!</v>
      </c>
      <c r="AF898" s="117" t="e">
        <f t="shared" ref="AF898:AF909" si="459">ROUND(I898-T898-U898-V898-W898,0)</f>
        <v>#VALUE!</v>
      </c>
      <c r="AG898" s="117" t="e">
        <f t="shared" ref="AG898:AG909" si="460">ROUND(J898-Y898-Z898-AA898-AC898-AB898,0)</f>
        <v>#VALUE!</v>
      </c>
      <c r="AH898" s="116"/>
      <c r="AI898" t="str">
        <f t="shared" si="425"/>
        <v>404IP</v>
      </c>
      <c r="AJ898" t="str">
        <f t="shared" si="421"/>
        <v>S</v>
      </c>
      <c r="AK898" t="str">
        <f>IF(ISERROR(MATCH(AI898&amp;"."&amp;AJ898,AK$91:AK897,0)),AI898&amp;"."&amp;AJ898,AI898&amp;"."&amp;AJ898&amp;COUNTIFS(AI$91:AI897,AI898,AJ$91:AJ897,AJ898))</f>
        <v>404IP.S</v>
      </c>
    </row>
    <row r="899" spans="1:37" ht="15" hidden="1">
      <c r="A899" s="120">
        <f>ROW()</f>
        <v>899</v>
      </c>
      <c r="B899" s="120"/>
      <c r="C899" s="1"/>
      <c r="E899" s="121" t="s">
        <v>16</v>
      </c>
      <c r="F899" s="138" t="str">
        <f>INDEX(FuncAllocOptions,ROW(A899)-ROW($A$92)+1,[4]Inputs!$S$11)</f>
        <v>P</v>
      </c>
      <c r="G899" s="117" t="e">
        <f t="shared" si="446"/>
        <v>#VALUE!</v>
      </c>
      <c r="H899" s="116" t="e">
        <f t="shared" si="447"/>
        <v>#VALUE!</v>
      </c>
      <c r="I899" s="116" t="e">
        <f t="shared" si="447"/>
        <v>#VALUE!</v>
      </c>
      <c r="J899" s="116" t="e">
        <f t="shared" si="447"/>
        <v>#VALUE!</v>
      </c>
      <c r="K899" s="116" t="e">
        <f t="shared" si="447"/>
        <v>#VALUE!</v>
      </c>
      <c r="L899" s="116" t="e">
        <f t="shared" si="447"/>
        <v>#VALUE!</v>
      </c>
      <c r="N899" s="108">
        <v>0</v>
      </c>
      <c r="O899" s="116" t="e">
        <f t="shared" si="448"/>
        <v>#VALUE!</v>
      </c>
      <c r="P899" s="116" t="e">
        <f t="shared" si="449"/>
        <v>#VALUE!</v>
      </c>
      <c r="Q899" s="116" t="e">
        <f t="shared" si="450"/>
        <v>#VALUE!</v>
      </c>
      <c r="R899" s="116" t="e">
        <f t="shared" si="451"/>
        <v>#VALUE!</v>
      </c>
      <c r="S899" s="108">
        <v>0</v>
      </c>
      <c r="T899" s="116" t="e">
        <f t="shared" si="452"/>
        <v>#VALUE!</v>
      </c>
      <c r="U899" s="116" t="e">
        <f t="shared" si="453"/>
        <v>#VALUE!</v>
      </c>
      <c r="V899" s="116" t="e">
        <f t="shared" si="454"/>
        <v>#VALUE!</v>
      </c>
      <c r="W899" s="116" t="e">
        <f t="shared" si="455"/>
        <v>#VALUE!</v>
      </c>
      <c r="X899" s="3" t="str">
        <f>INDEX(DistFuncAllocOptions,ROW(A899)-ROW($A$92)+1,[4]Inputs!$S$11)</f>
        <v>PLNT</v>
      </c>
      <c r="Y899" s="116" t="e">
        <f t="shared" si="456"/>
        <v>#VALUE!</v>
      </c>
      <c r="Z899" s="116" t="e">
        <f t="shared" si="456"/>
        <v>#VALUE!</v>
      </c>
      <c r="AA899" s="116" t="e">
        <f t="shared" si="456"/>
        <v>#VALUE!</v>
      </c>
      <c r="AB899" s="116" t="e">
        <f t="shared" si="456"/>
        <v>#VALUE!</v>
      </c>
      <c r="AC899" s="116" t="e">
        <f t="shared" si="456"/>
        <v>#VALUE!</v>
      </c>
      <c r="AD899" s="117" t="e">
        <f t="shared" si="457"/>
        <v>#VALUE!</v>
      </c>
      <c r="AE899" s="117" t="e">
        <f t="shared" si="458"/>
        <v>#VALUE!</v>
      </c>
      <c r="AF899" s="117" t="e">
        <f t="shared" si="459"/>
        <v>#VALUE!</v>
      </c>
      <c r="AG899" s="117" t="e">
        <f t="shared" si="460"/>
        <v>#VALUE!</v>
      </c>
      <c r="AH899" s="116"/>
      <c r="AI899" t="str">
        <f t="shared" si="425"/>
        <v>404IP</v>
      </c>
      <c r="AJ899" t="str">
        <f t="shared" si="421"/>
        <v>SE</v>
      </c>
      <c r="AK899" t="str">
        <f>IF(ISERROR(MATCH(AI899&amp;"."&amp;AJ899,AK$91:AK898,0)),AI899&amp;"."&amp;AJ899,AI899&amp;"."&amp;AJ899&amp;COUNTIFS(AI$91:AI898,AI899,AJ$91:AJ898,AJ899))</f>
        <v>404IP.SE</v>
      </c>
    </row>
    <row r="900" spans="1:37" ht="15" hidden="1">
      <c r="A900" s="120">
        <f>ROW()</f>
        <v>900</v>
      </c>
      <c r="B900" s="120"/>
      <c r="C900" s="1"/>
      <c r="E900" s="121" t="s">
        <v>15</v>
      </c>
      <c r="F900" s="138" t="str">
        <f>INDEX(FuncAllocOptions,ROW(A900)-ROW($A$92)+1,[4]Inputs!$S$11)</f>
        <v>I-SG</v>
      </c>
      <c r="G900" s="117" t="e">
        <f t="shared" si="446"/>
        <v>#VALUE!</v>
      </c>
      <c r="H900" s="116" t="e">
        <f t="shared" si="447"/>
        <v>#VALUE!</v>
      </c>
      <c r="I900" s="116" t="e">
        <f t="shared" si="447"/>
        <v>#VALUE!</v>
      </c>
      <c r="J900" s="116" t="e">
        <f t="shared" si="447"/>
        <v>#VALUE!</v>
      </c>
      <c r="K900" s="116" t="e">
        <f t="shared" si="447"/>
        <v>#VALUE!</v>
      </c>
      <c r="L900" s="116" t="e">
        <f t="shared" si="447"/>
        <v>#VALUE!</v>
      </c>
      <c r="N900" s="108">
        <v>0.75</v>
      </c>
      <c r="O900" s="116" t="e">
        <f t="shared" si="448"/>
        <v>#VALUE!</v>
      </c>
      <c r="P900" s="116" t="e">
        <f t="shared" si="449"/>
        <v>#VALUE!</v>
      </c>
      <c r="Q900" s="116" t="e">
        <f t="shared" si="450"/>
        <v>#VALUE!</v>
      </c>
      <c r="R900" s="116" t="e">
        <f t="shared" si="451"/>
        <v>#VALUE!</v>
      </c>
      <c r="S900" s="108">
        <v>0.75</v>
      </c>
      <c r="T900" s="116" t="e">
        <f t="shared" si="452"/>
        <v>#VALUE!</v>
      </c>
      <c r="U900" s="116" t="e">
        <f t="shared" si="453"/>
        <v>#VALUE!</v>
      </c>
      <c r="V900" s="116" t="e">
        <f t="shared" si="454"/>
        <v>#VALUE!</v>
      </c>
      <c r="W900" s="116" t="e">
        <f t="shared" si="455"/>
        <v>#VALUE!</v>
      </c>
      <c r="X900" s="3" t="str">
        <f>INDEX(DistFuncAllocOptions,ROW(A900)-ROW($A$92)+1,[4]Inputs!$S$11)</f>
        <v>PLNT</v>
      </c>
      <c r="Y900" s="116" t="e">
        <f t="shared" si="456"/>
        <v>#VALUE!</v>
      </c>
      <c r="Z900" s="116" t="e">
        <f t="shared" si="456"/>
        <v>#VALUE!</v>
      </c>
      <c r="AA900" s="116" t="e">
        <f t="shared" si="456"/>
        <v>#VALUE!</v>
      </c>
      <c r="AB900" s="116" t="e">
        <f t="shared" si="456"/>
        <v>#VALUE!</v>
      </c>
      <c r="AC900" s="116" t="e">
        <f t="shared" si="456"/>
        <v>#VALUE!</v>
      </c>
      <c r="AD900" s="117" t="e">
        <f t="shared" si="457"/>
        <v>#VALUE!</v>
      </c>
      <c r="AE900" s="117" t="e">
        <f t="shared" si="458"/>
        <v>#VALUE!</v>
      </c>
      <c r="AF900" s="117" t="e">
        <f t="shared" si="459"/>
        <v>#VALUE!</v>
      </c>
      <c r="AG900" s="117" t="e">
        <f t="shared" si="460"/>
        <v>#VALUE!</v>
      </c>
      <c r="AH900" s="116"/>
      <c r="AI900" t="str">
        <f t="shared" si="425"/>
        <v>404IP</v>
      </c>
      <c r="AJ900" t="str">
        <f t="shared" si="421"/>
        <v>SG</v>
      </c>
      <c r="AK900" t="str">
        <f>IF(ISERROR(MATCH(AI900&amp;"."&amp;AJ900,AK$91:AK899,0)),AI900&amp;"."&amp;AJ900,AI900&amp;"."&amp;AJ900&amp;COUNTIFS(AI$91:AI899,AI900,AJ$91:AJ899,AJ900))</f>
        <v>404IP.SG</v>
      </c>
    </row>
    <row r="901" spans="1:37" ht="15" hidden="1">
      <c r="A901" s="120">
        <f>ROW()</f>
        <v>901</v>
      </c>
      <c r="B901" s="120"/>
      <c r="C901" s="1"/>
      <c r="E901" s="121" t="s">
        <v>136</v>
      </c>
      <c r="F901" s="138" t="str">
        <f>INDEX(FuncAllocOptions,ROW(A901)-ROW($A$92)+1,[4]Inputs!$S$11)</f>
        <v>PTD</v>
      </c>
      <c r="G901" s="117" t="e">
        <f t="shared" si="446"/>
        <v>#VALUE!</v>
      </c>
      <c r="H901" s="116" t="e">
        <f t="shared" si="447"/>
        <v>#VALUE!</v>
      </c>
      <c r="I901" s="116" t="e">
        <f t="shared" si="447"/>
        <v>#VALUE!</v>
      </c>
      <c r="J901" s="116" t="e">
        <f t="shared" si="447"/>
        <v>#VALUE!</v>
      </c>
      <c r="K901" s="116" t="e">
        <f t="shared" si="447"/>
        <v>#VALUE!</v>
      </c>
      <c r="L901" s="116" t="e">
        <f t="shared" si="447"/>
        <v>#VALUE!</v>
      </c>
      <c r="N901" s="108">
        <v>0.75</v>
      </c>
      <c r="O901" s="116" t="e">
        <f t="shared" si="448"/>
        <v>#VALUE!</v>
      </c>
      <c r="P901" s="116" t="e">
        <f t="shared" si="449"/>
        <v>#VALUE!</v>
      </c>
      <c r="Q901" s="116" t="e">
        <f t="shared" si="450"/>
        <v>#VALUE!</v>
      </c>
      <c r="R901" s="116" t="e">
        <f t="shared" si="451"/>
        <v>#VALUE!</v>
      </c>
      <c r="S901" s="108">
        <v>0.75</v>
      </c>
      <c r="T901" s="116" t="e">
        <f t="shared" si="452"/>
        <v>#VALUE!</v>
      </c>
      <c r="U901" s="116" t="e">
        <f t="shared" si="453"/>
        <v>#VALUE!</v>
      </c>
      <c r="V901" s="116" t="e">
        <f t="shared" si="454"/>
        <v>#VALUE!</v>
      </c>
      <c r="W901" s="116" t="e">
        <f t="shared" si="455"/>
        <v>#VALUE!</v>
      </c>
      <c r="X901" s="3" t="str">
        <f>INDEX(DistFuncAllocOptions,ROW(A901)-ROW($A$92)+1,[4]Inputs!$S$11)</f>
        <v>PLNT</v>
      </c>
      <c r="Y901" s="116" t="e">
        <f t="shared" si="456"/>
        <v>#VALUE!</v>
      </c>
      <c r="Z901" s="116" t="e">
        <f t="shared" si="456"/>
        <v>#VALUE!</v>
      </c>
      <c r="AA901" s="116" t="e">
        <f t="shared" si="456"/>
        <v>#VALUE!</v>
      </c>
      <c r="AB901" s="116" t="e">
        <f t="shared" si="456"/>
        <v>#VALUE!</v>
      </c>
      <c r="AC901" s="116" t="e">
        <f t="shared" si="456"/>
        <v>#VALUE!</v>
      </c>
      <c r="AD901" s="117" t="e">
        <f t="shared" si="457"/>
        <v>#VALUE!</v>
      </c>
      <c r="AE901" s="117" t="e">
        <f t="shared" si="458"/>
        <v>#VALUE!</v>
      </c>
      <c r="AF901" s="117" t="e">
        <f t="shared" si="459"/>
        <v>#VALUE!</v>
      </c>
      <c r="AG901" s="117" t="e">
        <f t="shared" si="460"/>
        <v>#VALUE!</v>
      </c>
      <c r="AH901" s="116"/>
      <c r="AI901" t="str">
        <f t="shared" si="425"/>
        <v>404IP</v>
      </c>
      <c r="AJ901" t="str">
        <f t="shared" si="421"/>
        <v>SO</v>
      </c>
      <c r="AK901" t="str">
        <f>IF(ISERROR(MATCH(AI901&amp;"."&amp;AJ901,AK$91:AK900,0)),AI901&amp;"."&amp;AJ901,AI901&amp;"."&amp;AJ901&amp;COUNTIFS(AI$91:AI900,AI901,AJ$91:AJ900,AJ901))</f>
        <v>404IP.SO</v>
      </c>
    </row>
    <row r="902" spans="1:37" ht="15" hidden="1">
      <c r="A902" s="120">
        <f>ROW()</f>
        <v>902</v>
      </c>
      <c r="B902" s="120"/>
      <c r="C902" s="1"/>
      <c r="E902" s="121" t="s">
        <v>155</v>
      </c>
      <c r="F902" s="138" t="str">
        <f>INDEX(FuncAllocOptions,ROW(A902)-ROW($A$92)+1,[4]Inputs!$S$11)</f>
        <v>CUST</v>
      </c>
      <c r="G902" s="117" t="e">
        <f t="shared" si="446"/>
        <v>#VALUE!</v>
      </c>
      <c r="H902" s="116" t="e">
        <f t="shared" si="447"/>
        <v>#VALUE!</v>
      </c>
      <c r="I902" s="116" t="e">
        <f t="shared" si="447"/>
        <v>#VALUE!</v>
      </c>
      <c r="J902" s="116" t="e">
        <f t="shared" si="447"/>
        <v>#VALUE!</v>
      </c>
      <c r="K902" s="116" t="e">
        <f t="shared" si="447"/>
        <v>#VALUE!</v>
      </c>
      <c r="L902" s="116" t="e">
        <f t="shared" si="447"/>
        <v>#VALUE!</v>
      </c>
      <c r="N902" s="108">
        <v>0.75</v>
      </c>
      <c r="O902" s="116" t="e">
        <f t="shared" si="448"/>
        <v>#VALUE!</v>
      </c>
      <c r="P902" s="116" t="e">
        <f t="shared" si="449"/>
        <v>#VALUE!</v>
      </c>
      <c r="Q902" s="116" t="e">
        <f t="shared" si="450"/>
        <v>#VALUE!</v>
      </c>
      <c r="R902" s="116" t="e">
        <f t="shared" si="451"/>
        <v>#VALUE!</v>
      </c>
      <c r="S902" s="108">
        <v>0.75</v>
      </c>
      <c r="T902" s="116" t="e">
        <f t="shared" si="452"/>
        <v>#VALUE!</v>
      </c>
      <c r="U902" s="116" t="e">
        <f t="shared" si="453"/>
        <v>#VALUE!</v>
      </c>
      <c r="V902" s="116" t="e">
        <f t="shared" si="454"/>
        <v>#VALUE!</v>
      </c>
      <c r="W902" s="116" t="e">
        <f t="shared" si="455"/>
        <v>#VALUE!</v>
      </c>
      <c r="X902" s="3" t="str">
        <f>INDEX(DistFuncAllocOptions,ROW(A902)-ROW($A$92)+1,[4]Inputs!$S$11)</f>
        <v>CUST</v>
      </c>
      <c r="Y902" s="116" t="e">
        <f t="shared" si="456"/>
        <v>#VALUE!</v>
      </c>
      <c r="Z902" s="116" t="e">
        <f t="shared" si="456"/>
        <v>#VALUE!</v>
      </c>
      <c r="AA902" s="116" t="e">
        <f t="shared" si="456"/>
        <v>#VALUE!</v>
      </c>
      <c r="AB902" s="116" t="e">
        <f t="shared" si="456"/>
        <v>#VALUE!</v>
      </c>
      <c r="AC902" s="116" t="e">
        <f t="shared" si="456"/>
        <v>#VALUE!</v>
      </c>
      <c r="AD902" s="117" t="e">
        <f t="shared" si="457"/>
        <v>#VALUE!</v>
      </c>
      <c r="AE902" s="117" t="e">
        <f t="shared" si="458"/>
        <v>#VALUE!</v>
      </c>
      <c r="AF902" s="117" t="e">
        <f t="shared" si="459"/>
        <v>#VALUE!</v>
      </c>
      <c r="AG902" s="117" t="e">
        <f t="shared" si="460"/>
        <v>#VALUE!</v>
      </c>
      <c r="AH902" s="116"/>
      <c r="AI902" t="str">
        <f t="shared" si="425"/>
        <v>404IP</v>
      </c>
      <c r="AJ902" t="str">
        <f t="shared" si="421"/>
        <v>CN</v>
      </c>
      <c r="AK902" t="str">
        <f>IF(ISERROR(MATCH(AI902&amp;"."&amp;AJ902,AK$91:AK901,0)),AI902&amp;"."&amp;AJ902,AI902&amp;"."&amp;AJ902&amp;COUNTIFS(AI$91:AI901,AI902,AJ$91:AJ901,AJ902))</f>
        <v>404IP.CN</v>
      </c>
    </row>
    <row r="903" spans="1:37" ht="15" hidden="1">
      <c r="A903" s="120">
        <f>ROW()</f>
        <v>903</v>
      </c>
      <c r="B903" s="120"/>
      <c r="C903" s="1"/>
      <c r="E903" s="121" t="s">
        <v>15</v>
      </c>
      <c r="F903" s="138" t="str">
        <f>INDEX(FuncAllocOptions,ROW(A903)-ROW($A$92)+1,[4]Inputs!$S$11)</f>
        <v>I-SG</v>
      </c>
      <c r="G903" s="117" t="e">
        <f t="shared" si="446"/>
        <v>#VALUE!</v>
      </c>
      <c r="H903" s="116" t="e">
        <f t="shared" si="447"/>
        <v>#VALUE!</v>
      </c>
      <c r="I903" s="116" t="e">
        <f t="shared" si="447"/>
        <v>#VALUE!</v>
      </c>
      <c r="J903" s="116" t="e">
        <f t="shared" si="447"/>
        <v>#VALUE!</v>
      </c>
      <c r="K903" s="116" t="e">
        <f t="shared" si="447"/>
        <v>#VALUE!</v>
      </c>
      <c r="L903" s="116" t="e">
        <f t="shared" si="447"/>
        <v>#VALUE!</v>
      </c>
      <c r="N903" s="108">
        <v>0.75</v>
      </c>
      <c r="O903" s="116" t="e">
        <f t="shared" si="448"/>
        <v>#VALUE!</v>
      </c>
      <c r="P903" s="116" t="e">
        <f t="shared" si="449"/>
        <v>#VALUE!</v>
      </c>
      <c r="Q903" s="116" t="e">
        <f t="shared" si="450"/>
        <v>#VALUE!</v>
      </c>
      <c r="R903" s="116" t="e">
        <f t="shared" si="451"/>
        <v>#VALUE!</v>
      </c>
      <c r="S903" s="108">
        <v>0.75</v>
      </c>
      <c r="T903" s="116" t="e">
        <f t="shared" si="452"/>
        <v>#VALUE!</v>
      </c>
      <c r="U903" s="116" t="e">
        <f t="shared" si="453"/>
        <v>#VALUE!</v>
      </c>
      <c r="V903" s="116" t="e">
        <f t="shared" si="454"/>
        <v>#VALUE!</v>
      </c>
      <c r="W903" s="116" t="e">
        <f t="shared" si="455"/>
        <v>#VALUE!</v>
      </c>
      <c r="X903" s="3" t="str">
        <f>INDEX(DistFuncAllocOptions,ROW(A903)-ROW($A$92)+1,[4]Inputs!$S$11)</f>
        <v>PLNT</v>
      </c>
      <c r="Y903" s="116" t="e">
        <f t="shared" si="456"/>
        <v>#VALUE!</v>
      </c>
      <c r="Z903" s="116" t="e">
        <f t="shared" si="456"/>
        <v>#VALUE!</v>
      </c>
      <c r="AA903" s="116" t="e">
        <f t="shared" si="456"/>
        <v>#VALUE!</v>
      </c>
      <c r="AB903" s="116" t="e">
        <f t="shared" si="456"/>
        <v>#VALUE!</v>
      </c>
      <c r="AC903" s="116" t="e">
        <f t="shared" si="456"/>
        <v>#VALUE!</v>
      </c>
      <c r="AD903" s="117" t="e">
        <f t="shared" si="457"/>
        <v>#VALUE!</v>
      </c>
      <c r="AE903" s="117" t="e">
        <f t="shared" si="458"/>
        <v>#VALUE!</v>
      </c>
      <c r="AF903" s="117" t="e">
        <f t="shared" si="459"/>
        <v>#VALUE!</v>
      </c>
      <c r="AG903" s="117" t="e">
        <f t="shared" si="460"/>
        <v>#VALUE!</v>
      </c>
      <c r="AH903" s="116"/>
      <c r="AI903" t="str">
        <f t="shared" si="425"/>
        <v>404IP</v>
      </c>
      <c r="AJ903" t="str">
        <f t="shared" si="421"/>
        <v>SG</v>
      </c>
      <c r="AK903" t="str">
        <f>IF(ISERROR(MATCH(AI903&amp;"."&amp;AJ903,AK$91:AK902,0)),AI903&amp;"."&amp;AJ903,AI903&amp;"."&amp;AJ903&amp;COUNTIFS(AI$91:AI902,AI903,AJ$91:AJ902,AJ903))</f>
        <v>404IP.SG1</v>
      </c>
    </row>
    <row r="904" spans="1:37" ht="15" hidden="1">
      <c r="A904" s="120">
        <f>ROW()</f>
        <v>904</v>
      </c>
      <c r="B904" s="120"/>
      <c r="C904" s="1"/>
      <c r="E904" s="121" t="s">
        <v>15</v>
      </c>
      <c r="F904" s="138" t="str">
        <f>INDEX(FuncAllocOptions,ROW(A904)-ROW($A$92)+1,[4]Inputs!$S$11)</f>
        <v>I-SG</v>
      </c>
      <c r="G904" s="117" t="e">
        <f t="shared" si="446"/>
        <v>#VALUE!</v>
      </c>
      <c r="H904" s="116" t="e">
        <f t="shared" si="447"/>
        <v>#VALUE!</v>
      </c>
      <c r="I904" s="116" t="e">
        <f t="shared" si="447"/>
        <v>#VALUE!</v>
      </c>
      <c r="J904" s="116" t="e">
        <f t="shared" si="447"/>
        <v>#VALUE!</v>
      </c>
      <c r="K904" s="116" t="e">
        <f t="shared" si="447"/>
        <v>#VALUE!</v>
      </c>
      <c r="L904" s="116" t="e">
        <f t="shared" si="447"/>
        <v>#VALUE!</v>
      </c>
      <c r="N904" s="108">
        <v>0.75</v>
      </c>
      <c r="O904" s="116" t="e">
        <f t="shared" si="448"/>
        <v>#VALUE!</v>
      </c>
      <c r="P904" s="116" t="e">
        <f t="shared" si="449"/>
        <v>#VALUE!</v>
      </c>
      <c r="Q904" s="116" t="e">
        <f t="shared" si="450"/>
        <v>#VALUE!</v>
      </c>
      <c r="R904" s="116" t="e">
        <f t="shared" si="451"/>
        <v>#VALUE!</v>
      </c>
      <c r="S904" s="108">
        <v>0.75</v>
      </c>
      <c r="T904" s="116" t="e">
        <f t="shared" si="452"/>
        <v>#VALUE!</v>
      </c>
      <c r="U904" s="116" t="e">
        <f t="shared" si="453"/>
        <v>#VALUE!</v>
      </c>
      <c r="V904" s="116" t="e">
        <f t="shared" si="454"/>
        <v>#VALUE!</v>
      </c>
      <c r="W904" s="116" t="e">
        <f t="shared" si="455"/>
        <v>#VALUE!</v>
      </c>
      <c r="X904" s="3" t="str">
        <f>INDEX(DistFuncAllocOptions,ROW(A904)-ROW($A$92)+1,[4]Inputs!$S$11)</f>
        <v>PLNT</v>
      </c>
      <c r="Y904" s="116" t="e">
        <f t="shared" si="456"/>
        <v>#VALUE!</v>
      </c>
      <c r="Z904" s="116" t="e">
        <f t="shared" si="456"/>
        <v>#VALUE!</v>
      </c>
      <c r="AA904" s="116" t="e">
        <f t="shared" si="456"/>
        <v>#VALUE!</v>
      </c>
      <c r="AB904" s="116" t="e">
        <f t="shared" si="456"/>
        <v>#VALUE!</v>
      </c>
      <c r="AC904" s="116" t="e">
        <f t="shared" si="456"/>
        <v>#VALUE!</v>
      </c>
      <c r="AD904" s="117" t="e">
        <f t="shared" si="457"/>
        <v>#VALUE!</v>
      </c>
      <c r="AE904" s="117" t="e">
        <f t="shared" si="458"/>
        <v>#VALUE!</v>
      </c>
      <c r="AF904" s="117" t="e">
        <f t="shared" si="459"/>
        <v>#VALUE!</v>
      </c>
      <c r="AG904" s="117" t="e">
        <f t="shared" si="460"/>
        <v>#VALUE!</v>
      </c>
      <c r="AH904" s="116"/>
      <c r="AI904" t="str">
        <f t="shared" si="425"/>
        <v>404IP</v>
      </c>
      <c r="AJ904" t="str">
        <f t="shared" si="421"/>
        <v>SG</v>
      </c>
      <c r="AK904" t="str">
        <f>IF(ISERROR(MATCH(AI904&amp;"."&amp;AJ904,AK$91:AK903,0)),AI904&amp;"."&amp;AJ904,AI904&amp;"."&amp;AJ904&amp;COUNTIFS(AI$91:AI903,AI904,AJ$91:AJ903,AJ904))</f>
        <v>404IP.SG2</v>
      </c>
    </row>
    <row r="905" spans="1:37" ht="15" hidden="1">
      <c r="A905" s="120">
        <f>ROW()</f>
        <v>905</v>
      </c>
      <c r="B905" s="120"/>
      <c r="C905" s="1"/>
      <c r="E905" s="121" t="s">
        <v>15</v>
      </c>
      <c r="F905" s="138" t="str">
        <f>INDEX(FuncAllocOptions,ROW(A905)-ROW($A$92)+1,[4]Inputs!$S$11)</f>
        <v>I-DGU</v>
      </c>
      <c r="G905" s="117" t="e">
        <f t="shared" si="446"/>
        <v>#VALUE!</v>
      </c>
      <c r="H905" s="116" t="e">
        <f t="shared" si="447"/>
        <v>#VALUE!</v>
      </c>
      <c r="I905" s="116" t="e">
        <f t="shared" si="447"/>
        <v>#VALUE!</v>
      </c>
      <c r="J905" s="116" t="e">
        <f t="shared" si="447"/>
        <v>#VALUE!</v>
      </c>
      <c r="K905" s="116" t="e">
        <f t="shared" si="447"/>
        <v>#VALUE!</v>
      </c>
      <c r="L905" s="116" t="e">
        <f t="shared" si="447"/>
        <v>#VALUE!</v>
      </c>
      <c r="N905" s="108">
        <v>0.75</v>
      </c>
      <c r="O905" s="116" t="e">
        <f t="shared" si="448"/>
        <v>#VALUE!</v>
      </c>
      <c r="P905" s="116" t="e">
        <f t="shared" si="449"/>
        <v>#VALUE!</v>
      </c>
      <c r="Q905" s="116" t="e">
        <f t="shared" si="450"/>
        <v>#VALUE!</v>
      </c>
      <c r="R905" s="116" t="e">
        <f t="shared" si="451"/>
        <v>#VALUE!</v>
      </c>
      <c r="S905" s="108">
        <v>0.75</v>
      </c>
      <c r="T905" s="116" t="e">
        <f t="shared" si="452"/>
        <v>#VALUE!</v>
      </c>
      <c r="U905" s="116" t="e">
        <f t="shared" si="453"/>
        <v>#VALUE!</v>
      </c>
      <c r="V905" s="116" t="e">
        <f t="shared" si="454"/>
        <v>#VALUE!</v>
      </c>
      <c r="W905" s="116" t="e">
        <f t="shared" si="455"/>
        <v>#VALUE!</v>
      </c>
      <c r="X905" s="3" t="str">
        <f>INDEX(DistFuncAllocOptions,ROW(A905)-ROW($A$92)+1,[4]Inputs!$S$11)</f>
        <v>PLNT</v>
      </c>
      <c r="Y905" s="116" t="e">
        <f t="shared" si="456"/>
        <v>#VALUE!</v>
      </c>
      <c r="Z905" s="116" t="e">
        <f t="shared" si="456"/>
        <v>#VALUE!</v>
      </c>
      <c r="AA905" s="116" t="e">
        <f t="shared" si="456"/>
        <v>#VALUE!</v>
      </c>
      <c r="AB905" s="116" t="e">
        <f t="shared" si="456"/>
        <v>#VALUE!</v>
      </c>
      <c r="AC905" s="116" t="e">
        <f t="shared" si="456"/>
        <v>#VALUE!</v>
      </c>
      <c r="AD905" s="117" t="e">
        <f t="shared" si="457"/>
        <v>#VALUE!</v>
      </c>
      <c r="AE905" s="117" t="e">
        <f t="shared" si="458"/>
        <v>#VALUE!</v>
      </c>
      <c r="AF905" s="117" t="e">
        <f t="shared" si="459"/>
        <v>#VALUE!</v>
      </c>
      <c r="AG905" s="117" t="e">
        <f t="shared" si="460"/>
        <v>#VALUE!</v>
      </c>
      <c r="AH905" s="116"/>
      <c r="AI905" t="str">
        <f t="shared" si="425"/>
        <v>404IP</v>
      </c>
      <c r="AJ905" t="str">
        <f t="shared" si="421"/>
        <v>SG</v>
      </c>
      <c r="AK905" t="str">
        <f>IF(ISERROR(MATCH(AI905&amp;"."&amp;AJ905,AK$91:AK904,0)),AI905&amp;"."&amp;AJ905,AI905&amp;"."&amp;AJ905&amp;COUNTIFS(AI$91:AI904,AI905,AJ$91:AJ904,AJ905))</f>
        <v>404IP.SG3</v>
      </c>
    </row>
    <row r="906" spans="1:37" ht="15" hidden="1">
      <c r="A906" s="120">
        <f>ROW()</f>
        <v>906</v>
      </c>
      <c r="B906" s="120"/>
      <c r="C906" s="1"/>
      <c r="E906" s="121" t="s">
        <v>15</v>
      </c>
      <c r="F906" s="138" t="str">
        <f>INDEX(FuncAllocOptions,ROW(A906)-ROW($A$92)+1,[4]Inputs!$S$11)</f>
        <v>I-SG</v>
      </c>
      <c r="G906" s="117" t="e">
        <f t="shared" si="446"/>
        <v>#VALUE!</v>
      </c>
      <c r="H906" s="116" t="e">
        <f t="shared" si="447"/>
        <v>#VALUE!</v>
      </c>
      <c r="I906" s="116" t="e">
        <f t="shared" si="447"/>
        <v>#VALUE!</v>
      </c>
      <c r="J906" s="116" t="e">
        <f t="shared" si="447"/>
        <v>#VALUE!</v>
      </c>
      <c r="K906" s="116" t="e">
        <f t="shared" si="447"/>
        <v>#VALUE!</v>
      </c>
      <c r="L906" s="116" t="e">
        <f t="shared" si="447"/>
        <v>#VALUE!</v>
      </c>
      <c r="N906" s="108">
        <v>0.75</v>
      </c>
      <c r="O906" s="116" t="e">
        <f t="shared" si="448"/>
        <v>#VALUE!</v>
      </c>
      <c r="P906" s="116" t="e">
        <f t="shared" si="449"/>
        <v>#VALUE!</v>
      </c>
      <c r="Q906" s="116" t="e">
        <f t="shared" si="450"/>
        <v>#VALUE!</v>
      </c>
      <c r="R906" s="116" t="e">
        <f t="shared" si="451"/>
        <v>#VALUE!</v>
      </c>
      <c r="S906" s="108">
        <v>0.75</v>
      </c>
      <c r="T906" s="116" t="e">
        <f t="shared" si="452"/>
        <v>#VALUE!</v>
      </c>
      <c r="U906" s="116" t="e">
        <f t="shared" si="453"/>
        <v>#VALUE!</v>
      </c>
      <c r="V906" s="116" t="e">
        <f t="shared" si="454"/>
        <v>#VALUE!</v>
      </c>
      <c r="W906" s="116" t="e">
        <f t="shared" si="455"/>
        <v>#VALUE!</v>
      </c>
      <c r="X906" s="3" t="str">
        <f>INDEX(DistFuncAllocOptions,ROW(A906)-ROW($A$92)+1,[4]Inputs!$S$11)</f>
        <v>PLNT</v>
      </c>
      <c r="Y906" s="116" t="e">
        <f t="shared" si="456"/>
        <v>#VALUE!</v>
      </c>
      <c r="Z906" s="116" t="e">
        <f t="shared" si="456"/>
        <v>#VALUE!</v>
      </c>
      <c r="AA906" s="116" t="e">
        <f t="shared" si="456"/>
        <v>#VALUE!</v>
      </c>
      <c r="AB906" s="116" t="e">
        <f t="shared" si="456"/>
        <v>#VALUE!</v>
      </c>
      <c r="AC906" s="116" t="e">
        <f t="shared" si="456"/>
        <v>#VALUE!</v>
      </c>
      <c r="AD906" s="117" t="e">
        <f t="shared" si="457"/>
        <v>#VALUE!</v>
      </c>
      <c r="AE906" s="117" t="e">
        <f t="shared" si="458"/>
        <v>#VALUE!</v>
      </c>
      <c r="AF906" s="117" t="e">
        <f t="shared" si="459"/>
        <v>#VALUE!</v>
      </c>
      <c r="AG906" s="117" t="e">
        <f t="shared" si="460"/>
        <v>#VALUE!</v>
      </c>
      <c r="AH906" s="116"/>
      <c r="AI906" t="str">
        <f t="shared" si="425"/>
        <v>404IP</v>
      </c>
      <c r="AJ906" t="str">
        <f t="shared" si="421"/>
        <v>SG</v>
      </c>
      <c r="AK906" t="str">
        <f>IF(ISERROR(MATCH(AI906&amp;"."&amp;AJ906,AK$91:AK905,0)),AI906&amp;"."&amp;AJ906,AI906&amp;"."&amp;AJ906&amp;COUNTIFS(AI$91:AI905,AI906,AJ$91:AJ905,AJ906))</f>
        <v>404IP.SG4</v>
      </c>
    </row>
    <row r="907" spans="1:37" ht="15" hidden="1">
      <c r="A907" s="120">
        <f>ROW()</f>
        <v>907</v>
      </c>
      <c r="B907" s="120"/>
      <c r="C907" s="1"/>
      <c r="E907" s="121" t="s">
        <v>15</v>
      </c>
      <c r="F907" s="138" t="str">
        <f>INDEX(FuncAllocOptions,ROW(A907)-ROW($A$92)+1,[4]Inputs!$S$11)</f>
        <v>I-SG</v>
      </c>
      <c r="G907" s="117" t="e">
        <f t="shared" si="446"/>
        <v>#VALUE!</v>
      </c>
      <c r="H907" s="116" t="e">
        <f t="shared" si="447"/>
        <v>#VALUE!</v>
      </c>
      <c r="I907" s="116" t="e">
        <f t="shared" si="447"/>
        <v>#VALUE!</v>
      </c>
      <c r="J907" s="116" t="e">
        <f t="shared" si="447"/>
        <v>#VALUE!</v>
      </c>
      <c r="K907" s="116" t="e">
        <f t="shared" si="447"/>
        <v>#VALUE!</v>
      </c>
      <c r="L907" s="116" t="e">
        <f t="shared" si="447"/>
        <v>#VALUE!</v>
      </c>
      <c r="N907" s="108">
        <v>0.75</v>
      </c>
      <c r="O907" s="116" t="e">
        <f t="shared" si="448"/>
        <v>#VALUE!</v>
      </c>
      <c r="P907" s="116" t="e">
        <f t="shared" si="449"/>
        <v>#VALUE!</v>
      </c>
      <c r="Q907" s="116" t="e">
        <f t="shared" si="450"/>
        <v>#VALUE!</v>
      </c>
      <c r="R907" s="116" t="e">
        <f t="shared" si="451"/>
        <v>#VALUE!</v>
      </c>
      <c r="S907" s="108">
        <v>0.75</v>
      </c>
      <c r="T907" s="116" t="e">
        <f t="shared" si="452"/>
        <v>#VALUE!</v>
      </c>
      <c r="U907" s="116" t="e">
        <f t="shared" si="453"/>
        <v>#VALUE!</v>
      </c>
      <c r="V907" s="116" t="e">
        <f t="shared" si="454"/>
        <v>#VALUE!</v>
      </c>
      <c r="W907" s="116" t="e">
        <f t="shared" si="455"/>
        <v>#VALUE!</v>
      </c>
      <c r="X907" s="3" t="str">
        <f>INDEX(DistFuncAllocOptions,ROW(A907)-ROW($A$92)+1,[4]Inputs!$S$11)</f>
        <v>PLNT</v>
      </c>
      <c r="Y907" s="116" t="e">
        <f t="shared" si="456"/>
        <v>#VALUE!</v>
      </c>
      <c r="Z907" s="116" t="e">
        <f t="shared" si="456"/>
        <v>#VALUE!</v>
      </c>
      <c r="AA907" s="116" t="e">
        <f t="shared" si="456"/>
        <v>#VALUE!</v>
      </c>
      <c r="AB907" s="116" t="e">
        <f t="shared" si="456"/>
        <v>#VALUE!</v>
      </c>
      <c r="AC907" s="116" t="e">
        <f t="shared" si="456"/>
        <v>#VALUE!</v>
      </c>
      <c r="AD907" s="117" t="e">
        <f t="shared" si="457"/>
        <v>#VALUE!</v>
      </c>
      <c r="AE907" s="117" t="e">
        <f t="shared" si="458"/>
        <v>#VALUE!</v>
      </c>
      <c r="AF907" s="117" t="e">
        <f t="shared" si="459"/>
        <v>#VALUE!</v>
      </c>
      <c r="AG907" s="117" t="e">
        <f t="shared" si="460"/>
        <v>#VALUE!</v>
      </c>
      <c r="AH907" s="116"/>
      <c r="AI907" t="str">
        <f t="shared" si="425"/>
        <v>404IP</v>
      </c>
      <c r="AJ907" t="str">
        <f t="shared" si="421"/>
        <v>SG</v>
      </c>
      <c r="AK907" t="str">
        <f>IF(ISERROR(MATCH(AI907&amp;"."&amp;AJ907,AK$91:AK906,0)),AI907&amp;"."&amp;AJ907,AI907&amp;"."&amp;AJ907&amp;COUNTIFS(AI$91:AI906,AI907,AJ$91:AJ906,AJ907))</f>
        <v>404IP.SG5</v>
      </c>
    </row>
    <row r="908" spans="1:37" ht="15" hidden="1">
      <c r="A908" s="120">
        <f>ROW()</f>
        <v>908</v>
      </c>
      <c r="B908" s="120"/>
      <c r="C908" s="1"/>
      <c r="E908" s="121" t="s">
        <v>15</v>
      </c>
      <c r="F908" s="138" t="str">
        <f>INDEX(FuncAllocOptions,ROW(A908)-ROW($A$92)+1,[4]Inputs!$S$11)</f>
        <v>I-DGU</v>
      </c>
      <c r="G908" s="133" t="e">
        <f t="shared" si="446"/>
        <v>#VALUE!</v>
      </c>
      <c r="H908" s="139" t="e">
        <f t="shared" si="447"/>
        <v>#VALUE!</v>
      </c>
      <c r="I908" s="139" t="e">
        <f t="shared" si="447"/>
        <v>#VALUE!</v>
      </c>
      <c r="J908" s="139" t="e">
        <f t="shared" si="447"/>
        <v>#VALUE!</v>
      </c>
      <c r="K908" s="139" t="e">
        <f t="shared" si="447"/>
        <v>#VALUE!</v>
      </c>
      <c r="L908" s="139" t="e">
        <f t="shared" si="447"/>
        <v>#VALUE!</v>
      </c>
      <c r="N908" s="108">
        <v>0.75</v>
      </c>
      <c r="O908" s="116" t="e">
        <f t="shared" si="448"/>
        <v>#VALUE!</v>
      </c>
      <c r="P908" s="116" t="e">
        <f t="shared" si="449"/>
        <v>#VALUE!</v>
      </c>
      <c r="Q908" s="116" t="e">
        <f t="shared" si="450"/>
        <v>#VALUE!</v>
      </c>
      <c r="R908" s="116" t="e">
        <f t="shared" si="451"/>
        <v>#VALUE!</v>
      </c>
      <c r="S908" s="108">
        <v>0.75</v>
      </c>
      <c r="T908" s="116" t="e">
        <f t="shared" si="452"/>
        <v>#VALUE!</v>
      </c>
      <c r="U908" s="116" t="e">
        <f t="shared" si="453"/>
        <v>#VALUE!</v>
      </c>
      <c r="V908" s="116" t="e">
        <f t="shared" si="454"/>
        <v>#VALUE!</v>
      </c>
      <c r="W908" s="116" t="e">
        <f t="shared" si="455"/>
        <v>#VALUE!</v>
      </c>
      <c r="X908" s="3" t="str">
        <f>INDEX(DistFuncAllocOptions,ROW(A908)-ROW($A$92)+1,[4]Inputs!$S$11)</f>
        <v>PLNT</v>
      </c>
      <c r="Y908" s="116" t="e">
        <f t="shared" si="456"/>
        <v>#VALUE!</v>
      </c>
      <c r="Z908" s="116" t="e">
        <f t="shared" si="456"/>
        <v>#VALUE!</v>
      </c>
      <c r="AA908" s="116" t="e">
        <f t="shared" si="456"/>
        <v>#VALUE!</v>
      </c>
      <c r="AB908" s="116" t="e">
        <f t="shared" si="456"/>
        <v>#VALUE!</v>
      </c>
      <c r="AC908" s="116" t="e">
        <f t="shared" si="456"/>
        <v>#VALUE!</v>
      </c>
      <c r="AD908" s="117" t="e">
        <f t="shared" si="457"/>
        <v>#VALUE!</v>
      </c>
      <c r="AE908" s="117" t="e">
        <f t="shared" si="458"/>
        <v>#VALUE!</v>
      </c>
      <c r="AF908" s="117" t="e">
        <f t="shared" si="459"/>
        <v>#VALUE!</v>
      </c>
      <c r="AG908" s="117" t="e">
        <f t="shared" si="460"/>
        <v>#VALUE!</v>
      </c>
      <c r="AH908" s="116"/>
      <c r="AI908" t="str">
        <f t="shared" si="425"/>
        <v>404IP</v>
      </c>
      <c r="AJ908" t="str">
        <f t="shared" si="421"/>
        <v>SG</v>
      </c>
      <c r="AK908" t="str">
        <f>IF(ISERROR(MATCH(AI908&amp;"."&amp;AJ908,AK$91:AK907,0)),AI908&amp;"."&amp;AJ908,AI908&amp;"."&amp;AJ908&amp;COUNTIFS(AI$91:AI907,AI908,AJ$91:AJ907,AJ908))</f>
        <v>404IP.SG6</v>
      </c>
    </row>
    <row r="909" spans="1:37" ht="15" hidden="1">
      <c r="A909" s="120">
        <f>ROW()</f>
        <v>909</v>
      </c>
      <c r="B909" s="120"/>
      <c r="C909" s="1"/>
      <c r="E909" s="121"/>
      <c r="F909" s="138"/>
      <c r="G909" s="117" t="e">
        <f t="shared" ref="G909:L909" si="461">SUM(G898:G908)</f>
        <v>#VALUE!</v>
      </c>
      <c r="H909" s="116" t="e">
        <f t="shared" si="461"/>
        <v>#VALUE!</v>
      </c>
      <c r="I909" s="116" t="e">
        <f t="shared" si="461"/>
        <v>#VALUE!</v>
      </c>
      <c r="J909" s="116" t="e">
        <f t="shared" si="461"/>
        <v>#VALUE!</v>
      </c>
      <c r="K909" s="116" t="e">
        <f t="shared" si="461"/>
        <v>#VALUE!</v>
      </c>
      <c r="L909" s="116" t="e">
        <f t="shared" si="461"/>
        <v>#VALUE!</v>
      </c>
      <c r="O909" s="116" t="e">
        <f>SUM(O898:O908)</f>
        <v>#VALUE!</v>
      </c>
      <c r="P909" s="116" t="e">
        <f>SUM(P898:P908)</f>
        <v>#VALUE!</v>
      </c>
      <c r="Q909" s="116" t="e">
        <f>SUM(Q898:Q908)</f>
        <v>#VALUE!</v>
      </c>
      <c r="R909" s="116" t="e">
        <f>SUM(R898:R908)</f>
        <v>#VALUE!</v>
      </c>
      <c r="T909" s="116" t="e">
        <f>SUM(T898:T908)</f>
        <v>#VALUE!</v>
      </c>
      <c r="U909" s="116" t="e">
        <f>SUM(U898:U908)</f>
        <v>#VALUE!</v>
      </c>
      <c r="V909" s="116" t="e">
        <f>SUM(V898:V908)</f>
        <v>#VALUE!</v>
      </c>
      <c r="W909" s="116" t="e">
        <f>SUM(W898:W908)</f>
        <v>#VALUE!</v>
      </c>
      <c r="X909" s="3"/>
      <c r="Y909" s="116" t="e">
        <f>SUM(Y898:Y908)</f>
        <v>#VALUE!</v>
      </c>
      <c r="Z909" s="116" t="e">
        <f>SUM(Z898:Z908)</f>
        <v>#VALUE!</v>
      </c>
      <c r="AA909" s="116" t="e">
        <f>SUM(AA898:AA908)</f>
        <v>#VALUE!</v>
      </c>
      <c r="AB909" s="116" t="e">
        <f>SUM(AB898:AB908)</f>
        <v>#VALUE!</v>
      </c>
      <c r="AC909" s="116" t="e">
        <f>SUM(AC898:AC908)</f>
        <v>#VALUE!</v>
      </c>
      <c r="AD909" s="117" t="e">
        <f t="shared" si="457"/>
        <v>#VALUE!</v>
      </c>
      <c r="AE909" s="117" t="e">
        <f t="shared" si="458"/>
        <v>#VALUE!</v>
      </c>
      <c r="AF909" s="117" t="e">
        <f t="shared" si="459"/>
        <v>#VALUE!</v>
      </c>
      <c r="AG909" s="117" t="e">
        <f t="shared" si="460"/>
        <v>#VALUE!</v>
      </c>
      <c r="AH909" s="116"/>
      <c r="AI909" t="str">
        <f t="shared" si="425"/>
        <v>404IP</v>
      </c>
      <c r="AJ909" t="str">
        <f t="shared" si="421"/>
        <v>NA</v>
      </c>
      <c r="AK909" t="str">
        <f>IF(ISERROR(MATCH(AI909&amp;"."&amp;AJ909,AK$91:AK908,0)),AI909&amp;"."&amp;AJ909,AI909&amp;"."&amp;AJ909&amp;COUNTIFS(AI$91:AI908,AI909,AJ$91:AJ908,AJ909))</f>
        <v>404IP.NA1</v>
      </c>
    </row>
    <row r="910" spans="1:37" ht="15" hidden="1">
      <c r="A910" s="120">
        <f>ROW()</f>
        <v>910</v>
      </c>
      <c r="B910" s="120"/>
      <c r="C910" s="1"/>
      <c r="E910" s="121"/>
      <c r="F910" s="138"/>
      <c r="G910" s="119"/>
      <c r="X910" s="3"/>
      <c r="AD910" s="119"/>
      <c r="AE910" s="119"/>
      <c r="AF910" s="119"/>
      <c r="AG910" s="119"/>
      <c r="AI910" t="str">
        <f t="shared" si="425"/>
        <v>404IP</v>
      </c>
      <c r="AJ910" t="str">
        <f t="shared" si="421"/>
        <v>NA</v>
      </c>
      <c r="AK910" t="str">
        <f>IF(ISERROR(MATCH(AI910&amp;"."&amp;AJ910,AK$91:AK909,0)),AI910&amp;"."&amp;AJ910,AI910&amp;"."&amp;AJ910&amp;COUNTIFS(AI$91:AI909,AI910,AJ$91:AJ909,AJ910))</f>
        <v>404IP.NA2</v>
      </c>
    </row>
    <row r="911" spans="1:37" ht="15" hidden="1">
      <c r="A911" s="120">
        <f>ROW()</f>
        <v>911</v>
      </c>
      <c r="B911" s="120"/>
      <c r="C911" s="1" t="s">
        <v>238</v>
      </c>
      <c r="D911" s="2" t="s">
        <v>413</v>
      </c>
      <c r="E911" s="121"/>
      <c r="F911" s="138"/>
      <c r="G911" s="119"/>
      <c r="X911" s="3"/>
      <c r="AD911" s="119"/>
      <c r="AE911" s="119"/>
      <c r="AF911" s="119"/>
      <c r="AG911" s="119"/>
      <c r="AI911" t="str">
        <f t="shared" si="425"/>
        <v>404OP</v>
      </c>
      <c r="AJ911" t="str">
        <f t="shared" si="421"/>
        <v>NA</v>
      </c>
      <c r="AK911" t="str">
        <f>IF(ISERROR(MATCH(AI911&amp;"."&amp;AJ911,AK$91:AK910,0)),AI911&amp;"."&amp;AJ911,AI911&amp;"."&amp;AJ911&amp;COUNTIFS(AI$91:AI910,AI911,AJ$91:AJ910,AJ911))</f>
        <v>404OP.NA</v>
      </c>
    </row>
    <row r="912" spans="1:37" ht="15" hidden="1">
      <c r="A912" s="120">
        <f>ROW()</f>
        <v>912</v>
      </c>
      <c r="B912" s="120"/>
      <c r="C912" s="1"/>
      <c r="E912" s="121" t="s">
        <v>15</v>
      </c>
      <c r="F912" s="138" t="str">
        <f>INDEX(FuncAllocOptions,ROW(A912)-ROW($A$92)+1,[4]Inputs!$S$11)</f>
        <v>P</v>
      </c>
      <c r="G912" s="133" t="e">
        <f>SUMIF(FERCJAMFactor,AK912,JAMValue)</f>
        <v>#VALUE!</v>
      </c>
      <c r="H912" s="139" t="e">
        <f>INDEX(FuncFactorTbl,MATCH($F912,FuncFactors,0),MATCH(H$8,Functions,0))*$G912</f>
        <v>#VALUE!</v>
      </c>
      <c r="I912" s="139" t="e">
        <f>INDEX(FuncFactorTbl,MATCH($F912,FuncFactors,0),MATCH(I$8,Functions,0))*$G912</f>
        <v>#VALUE!</v>
      </c>
      <c r="J912" s="139" t="e">
        <f>INDEX(FuncFactorTbl,MATCH($F912,FuncFactors,0),MATCH(J$8,Functions,0))*$G912</f>
        <v>#VALUE!</v>
      </c>
      <c r="K912" s="139" t="e">
        <f>INDEX(FuncFactorTbl,MATCH($F912,FuncFactors,0),MATCH(K$8,Functions,0))*$G912</f>
        <v>#VALUE!</v>
      </c>
      <c r="L912" s="139" t="e">
        <f>INDEX(FuncFactorTbl,MATCH($F912,FuncFactors,0),MATCH(L$8,Functions,0))*$G912</f>
        <v>#VALUE!</v>
      </c>
      <c r="N912" s="108">
        <v>0.75</v>
      </c>
      <c r="O912" s="116" t="e">
        <f>$H912*$N912*$M912</f>
        <v>#VALUE!</v>
      </c>
      <c r="P912" s="116" t="e">
        <f>$H912*(1-$N912)*$M912</f>
        <v>#VALUE!</v>
      </c>
      <c r="Q912" s="116" t="e">
        <f>$H912*$N912*(1-$M912)</f>
        <v>#VALUE!</v>
      </c>
      <c r="R912" s="116" t="e">
        <f>$H912*(1-$N912)*(1-$M912)</f>
        <v>#VALUE!</v>
      </c>
      <c r="S912" s="108">
        <v>0.75</v>
      </c>
      <c r="T912" s="116" t="e">
        <f>$I912*$S912*$M912</f>
        <v>#VALUE!</v>
      </c>
      <c r="U912" s="116" t="e">
        <f>$I912*(1-$S912)*$M912</f>
        <v>#VALUE!</v>
      </c>
      <c r="V912" s="116" t="e">
        <f>$I912*$S912*(1-$M912)</f>
        <v>#VALUE!</v>
      </c>
      <c r="W912" s="116" t="e">
        <f>$I912*(1-$S912)*(1-$M912)</f>
        <v>#VALUE!</v>
      </c>
      <c r="X912" s="3" t="str">
        <f>INDEX(DistFuncAllocOptions,ROW(A912)-ROW($A$92)+1,[4]Inputs!$S$11)</f>
        <v>PLNT</v>
      </c>
      <c r="Y912" s="116" t="e">
        <f>INDEX(DistFuncFactorTbl,MATCH($X912,DistFuncFactors,0),MATCH(Y$91,DistFunctions,0))*$J912</f>
        <v>#VALUE!</v>
      </c>
      <c r="Z912" s="116" t="e">
        <f>INDEX(DistFuncFactorTbl,MATCH($X912,DistFuncFactors,0),MATCH(Z$91,DistFunctions,0))*$J912</f>
        <v>#VALUE!</v>
      </c>
      <c r="AA912" s="116" t="e">
        <f>INDEX(DistFuncFactorTbl,MATCH($X912,DistFuncFactors,0),MATCH(AA$91,DistFunctions,0))*$J912</f>
        <v>#VALUE!</v>
      </c>
      <c r="AB912" s="116" t="e">
        <f>INDEX(DistFuncFactorTbl,MATCH($X912,DistFuncFactors,0),MATCH(AB$91,DistFunctions,0))*$J912</f>
        <v>#VALUE!</v>
      </c>
      <c r="AC912" s="116" t="e">
        <f>INDEX(DistFuncFactorTbl,MATCH($X912,DistFuncFactors,0),MATCH(AC$91,DistFunctions,0))*$J912</f>
        <v>#VALUE!</v>
      </c>
      <c r="AD912" s="117" t="e">
        <f>ROUND(SUM(-G912,H912:L912),0)</f>
        <v>#VALUE!</v>
      </c>
      <c r="AE912" s="117" t="e">
        <f>ROUND(H912-O912-P912-Q912-R912,0)</f>
        <v>#VALUE!</v>
      </c>
      <c r="AF912" s="117" t="e">
        <f>ROUND(I912-T912-U912-V912-W912,0)</f>
        <v>#VALUE!</v>
      </c>
      <c r="AG912" s="117" t="e">
        <f>ROUND(J912-Y912-Z912-AA912-AC912-AB912,0)</f>
        <v>#VALUE!</v>
      </c>
      <c r="AH912" s="116"/>
      <c r="AI912" t="str">
        <f t="shared" si="425"/>
        <v>404OP</v>
      </c>
      <c r="AJ912" t="str">
        <f t="shared" si="421"/>
        <v>SG</v>
      </c>
      <c r="AK912" t="str">
        <f>IF(ISERROR(MATCH(AI912&amp;"."&amp;AJ912,AK$91:AK911,0)),AI912&amp;"."&amp;AJ912,AI912&amp;"."&amp;AJ912&amp;COUNTIFS(AI$91:AI911,AI912,AJ$91:AJ911,AJ912))</f>
        <v>404OP.SG</v>
      </c>
    </row>
    <row r="913" spans="1:37" ht="15" hidden="1">
      <c r="A913" s="120">
        <f>ROW()</f>
        <v>913</v>
      </c>
      <c r="B913" s="120"/>
      <c r="C913" s="1"/>
      <c r="E913" s="121"/>
      <c r="F913" s="138"/>
      <c r="G913" s="117" t="e">
        <f t="shared" ref="G913:L913" si="462">SUM(G912)</f>
        <v>#VALUE!</v>
      </c>
      <c r="H913" s="116" t="e">
        <f t="shared" si="462"/>
        <v>#VALUE!</v>
      </c>
      <c r="I913" s="116" t="e">
        <f t="shared" si="462"/>
        <v>#VALUE!</v>
      </c>
      <c r="J913" s="116" t="e">
        <f t="shared" si="462"/>
        <v>#VALUE!</v>
      </c>
      <c r="K913" s="116" t="e">
        <f t="shared" si="462"/>
        <v>#VALUE!</v>
      </c>
      <c r="L913" s="116" t="e">
        <f t="shared" si="462"/>
        <v>#VALUE!</v>
      </c>
      <c r="O913" s="116" t="e">
        <f>SUM(O912)</f>
        <v>#VALUE!</v>
      </c>
      <c r="P913" s="116" t="e">
        <f>SUM(P912)</f>
        <v>#VALUE!</v>
      </c>
      <c r="Q913" s="116" t="e">
        <f>SUM(Q912)</f>
        <v>#VALUE!</v>
      </c>
      <c r="R913" s="116" t="e">
        <f>SUM(R912)</f>
        <v>#VALUE!</v>
      </c>
      <c r="T913" s="116" t="e">
        <f>SUM(T912)</f>
        <v>#VALUE!</v>
      </c>
      <c r="U913" s="116" t="e">
        <f>SUM(U912)</f>
        <v>#VALUE!</v>
      </c>
      <c r="V913" s="116" t="e">
        <f>SUM(V912)</f>
        <v>#VALUE!</v>
      </c>
      <c r="W913" s="116" t="e">
        <f>SUM(W912)</f>
        <v>#VALUE!</v>
      </c>
      <c r="X913" s="3"/>
      <c r="Y913" s="116" t="e">
        <f>SUM(Y912)</f>
        <v>#VALUE!</v>
      </c>
      <c r="Z913" s="116" t="e">
        <f>SUM(Z912)</f>
        <v>#VALUE!</v>
      </c>
      <c r="AA913" s="116" t="e">
        <f>SUM(AA912)</f>
        <v>#VALUE!</v>
      </c>
      <c r="AB913" s="116" t="e">
        <f>SUM(AB912)</f>
        <v>#VALUE!</v>
      </c>
      <c r="AC913" s="116" t="e">
        <f>SUM(AC912)</f>
        <v>#VALUE!</v>
      </c>
      <c r="AD913" s="117" t="e">
        <f>ROUND(SUM(-G913,H913:L913),0)</f>
        <v>#VALUE!</v>
      </c>
      <c r="AE913" s="117" t="e">
        <f>ROUND(H913-O913-P913-Q913-R913,0)</f>
        <v>#VALUE!</v>
      </c>
      <c r="AF913" s="117" t="e">
        <f>ROUND(I913-T913-U913-V913-W913,0)</f>
        <v>#VALUE!</v>
      </c>
      <c r="AG913" s="117" t="e">
        <f>ROUND(J913-Y913-Z913-AA913-AC913-AB913,0)</f>
        <v>#VALUE!</v>
      </c>
      <c r="AH913" s="116"/>
      <c r="AI913" t="str">
        <f t="shared" si="425"/>
        <v>404OP</v>
      </c>
      <c r="AJ913" t="str">
        <f t="shared" si="421"/>
        <v>NA</v>
      </c>
      <c r="AK913" t="str">
        <f>IF(ISERROR(MATCH(AI913&amp;"."&amp;AJ913,AK$91:AK912,0)),AI913&amp;"."&amp;AJ913,AI913&amp;"."&amp;AJ913&amp;COUNTIFS(AI$91:AI912,AI913,AJ$91:AJ912,AJ913))</f>
        <v>404OP.NA1</v>
      </c>
    </row>
    <row r="914" spans="1:37" ht="15" hidden="1">
      <c r="A914" s="120">
        <f>ROW()</f>
        <v>914</v>
      </c>
      <c r="B914" s="120"/>
      <c r="C914" s="1"/>
      <c r="E914" s="121"/>
      <c r="F914" s="138"/>
      <c r="G914" s="119"/>
      <c r="X914" s="3"/>
      <c r="AD914" s="119"/>
      <c r="AE914" s="119"/>
      <c r="AF914" s="119"/>
      <c r="AG914" s="119"/>
      <c r="AI914" t="str">
        <f t="shared" si="425"/>
        <v>404OP</v>
      </c>
      <c r="AJ914" t="str">
        <f t="shared" si="421"/>
        <v>NA</v>
      </c>
      <c r="AK914" t="str">
        <f>IF(ISERROR(MATCH(AI914&amp;"."&amp;AJ914,AK$91:AK913,0)),AI914&amp;"."&amp;AJ914,AI914&amp;"."&amp;AJ914&amp;COUNTIFS(AI$91:AI913,AI914,AJ$91:AJ913,AJ914))</f>
        <v>404OP.NA2</v>
      </c>
    </row>
    <row r="915" spans="1:37" ht="15" hidden="1">
      <c r="A915" s="120">
        <f>ROW()</f>
        <v>915</v>
      </c>
      <c r="B915" s="120"/>
      <c r="C915" s="1" t="s">
        <v>234</v>
      </c>
      <c r="D915" s="2" t="s">
        <v>414</v>
      </c>
      <c r="E915" s="121"/>
      <c r="F915" s="138"/>
      <c r="G915" s="119"/>
      <c r="X915" s="3"/>
      <c r="AD915" s="119"/>
      <c r="AE915" s="119"/>
      <c r="AF915" s="119"/>
      <c r="AG915" s="119"/>
      <c r="AI915" t="str">
        <f t="shared" si="425"/>
        <v>404HP</v>
      </c>
      <c r="AJ915" t="str">
        <f t="shared" si="421"/>
        <v>NA</v>
      </c>
      <c r="AK915" t="str">
        <f>IF(ISERROR(MATCH(AI915&amp;"."&amp;AJ915,AK$91:AK914,0)),AI915&amp;"."&amp;AJ915,AI915&amp;"."&amp;AJ915&amp;COUNTIFS(AI$91:AI914,AI915,AJ$91:AJ914,AJ915))</f>
        <v>404HP.NA</v>
      </c>
    </row>
    <row r="916" spans="1:37" ht="15" hidden="1">
      <c r="A916" s="120">
        <f>ROW()</f>
        <v>916</v>
      </c>
      <c r="B916" s="120"/>
      <c r="E916" s="121" t="s">
        <v>15</v>
      </c>
      <c r="F916" s="138" t="str">
        <f>INDEX(FuncAllocOptions,ROW(A916)-ROW($A$92)+1,[4]Inputs!$S$11)</f>
        <v>P</v>
      </c>
      <c r="G916" s="117" t="e">
        <f>SUMIF(FERCJAMFactor,AK916,JAMValue)</f>
        <v>#VALUE!</v>
      </c>
      <c r="H916" s="116" t="e">
        <f t="shared" ref="H916:L917" si="463">INDEX(FuncFactorTbl,MATCH($F916,FuncFactors,0),MATCH(H$8,Functions,0))*$G916</f>
        <v>#VALUE!</v>
      </c>
      <c r="I916" s="116" t="e">
        <f t="shared" si="463"/>
        <v>#VALUE!</v>
      </c>
      <c r="J916" s="116" t="e">
        <f t="shared" si="463"/>
        <v>#VALUE!</v>
      </c>
      <c r="K916" s="116" t="e">
        <f t="shared" si="463"/>
        <v>#VALUE!</v>
      </c>
      <c r="L916" s="116" t="e">
        <f t="shared" si="463"/>
        <v>#VALUE!</v>
      </c>
      <c r="N916" s="108">
        <v>0.75</v>
      </c>
      <c r="O916" s="116" t="e">
        <f>$H916*$N916*$M916</f>
        <v>#VALUE!</v>
      </c>
      <c r="P916" s="116" t="e">
        <f>$H916*(1-$N916)*$M916</f>
        <v>#VALUE!</v>
      </c>
      <c r="Q916" s="116" t="e">
        <f>$H916*$N916*(1-$M916)</f>
        <v>#VALUE!</v>
      </c>
      <c r="R916" s="116" t="e">
        <f>$H916*(1-$N916)*(1-$M916)</f>
        <v>#VALUE!</v>
      </c>
      <c r="S916" s="108">
        <v>0.75</v>
      </c>
      <c r="T916" s="116" t="e">
        <f>$I916*$S916*$M916</f>
        <v>#VALUE!</v>
      </c>
      <c r="U916" s="116" t="e">
        <f>$I916*(1-$S916)*$M916</f>
        <v>#VALUE!</v>
      </c>
      <c r="V916" s="116" t="e">
        <f>$I916*$S916*(1-$M916)</f>
        <v>#VALUE!</v>
      </c>
      <c r="W916" s="116" t="e">
        <f>$I916*(1-$S916)*(1-$M916)</f>
        <v>#VALUE!</v>
      </c>
      <c r="X916" s="3" t="str">
        <f>INDEX(DistFuncAllocOptions,ROW(A916)-ROW($A$92)+1,[4]Inputs!$S$11)</f>
        <v>PLNT</v>
      </c>
      <c r="Y916" s="116" t="e">
        <f t="shared" ref="Y916:AC917" si="464">INDEX(DistFuncFactorTbl,MATCH($X916,DistFuncFactors,0),MATCH(Y$91,DistFunctions,0))*$J916</f>
        <v>#VALUE!</v>
      </c>
      <c r="Z916" s="116" t="e">
        <f t="shared" si="464"/>
        <v>#VALUE!</v>
      </c>
      <c r="AA916" s="116" t="e">
        <f t="shared" si="464"/>
        <v>#VALUE!</v>
      </c>
      <c r="AB916" s="116" t="e">
        <f t="shared" si="464"/>
        <v>#VALUE!</v>
      </c>
      <c r="AC916" s="116" t="e">
        <f t="shared" si="464"/>
        <v>#VALUE!</v>
      </c>
      <c r="AD916" s="117" t="e">
        <f>ROUND(SUM(-G916,H916:L916),0)</f>
        <v>#VALUE!</v>
      </c>
      <c r="AE916" s="117" t="e">
        <f>ROUND(H916-O916-P916-Q916-R916,0)</f>
        <v>#VALUE!</v>
      </c>
      <c r="AF916" s="117" t="e">
        <f>ROUND(I916-T916-U916-V916-W916,0)</f>
        <v>#VALUE!</v>
      </c>
      <c r="AG916" s="117" t="e">
        <f>ROUND(J916-Y916-Z916-AA916-AC916-AB916,0)</f>
        <v>#VALUE!</v>
      </c>
      <c r="AH916" s="116"/>
      <c r="AI916" t="str">
        <f t="shared" si="425"/>
        <v>404HP</v>
      </c>
      <c r="AJ916" t="str">
        <f t="shared" si="421"/>
        <v>SG</v>
      </c>
      <c r="AK916" t="str">
        <f>IF(ISERROR(MATCH(AI916&amp;"."&amp;AJ916,AK$91:AK915,0)),AI916&amp;"."&amp;AJ916,AI916&amp;"."&amp;AJ916&amp;COUNTIFS(AI$91:AI915,AI916,AJ$91:AJ915,AJ916))</f>
        <v>404HP.SG</v>
      </c>
    </row>
    <row r="917" spans="1:37" ht="15" hidden="1">
      <c r="A917" s="120">
        <f>ROW()</f>
        <v>917</v>
      </c>
      <c r="B917" s="120"/>
      <c r="E917" s="121" t="s">
        <v>15</v>
      </c>
      <c r="F917" s="138" t="str">
        <f>INDEX(FuncAllocOptions,ROW(A917)-ROW($A$92)+1,[4]Inputs!$S$11)</f>
        <v>P</v>
      </c>
      <c r="G917" s="133" t="e">
        <f>SUMIF(FERCJAMFactor,AK917,JAMValue)</f>
        <v>#VALUE!</v>
      </c>
      <c r="H917" s="139" t="e">
        <f t="shared" si="463"/>
        <v>#VALUE!</v>
      </c>
      <c r="I917" s="139" t="e">
        <f t="shared" si="463"/>
        <v>#VALUE!</v>
      </c>
      <c r="J917" s="139" t="e">
        <f t="shared" si="463"/>
        <v>#VALUE!</v>
      </c>
      <c r="K917" s="139" t="e">
        <f t="shared" si="463"/>
        <v>#VALUE!</v>
      </c>
      <c r="L917" s="139" t="e">
        <f t="shared" si="463"/>
        <v>#VALUE!</v>
      </c>
      <c r="N917" s="108">
        <v>0.75</v>
      </c>
      <c r="O917" s="116" t="e">
        <f>$H917*$N917*$M917</f>
        <v>#VALUE!</v>
      </c>
      <c r="P917" s="116" t="e">
        <f>$H917*(1-$N917)*$M917</f>
        <v>#VALUE!</v>
      </c>
      <c r="Q917" s="116" t="e">
        <f>$H917*$N917*(1-$M917)</f>
        <v>#VALUE!</v>
      </c>
      <c r="R917" s="116" t="e">
        <f>$H917*(1-$N917)*(1-$M917)</f>
        <v>#VALUE!</v>
      </c>
      <c r="S917" s="108">
        <v>0.75</v>
      </c>
      <c r="T917" s="116" t="e">
        <f>$I917*$S917*$M917</f>
        <v>#VALUE!</v>
      </c>
      <c r="U917" s="116" t="e">
        <f>$I917*(1-$S917)*$M917</f>
        <v>#VALUE!</v>
      </c>
      <c r="V917" s="116" t="e">
        <f>$I917*$S917*(1-$M917)</f>
        <v>#VALUE!</v>
      </c>
      <c r="W917" s="116" t="e">
        <f>$I917*(1-$S917)*(1-$M917)</f>
        <v>#VALUE!</v>
      </c>
      <c r="X917" s="3" t="str">
        <f>INDEX(DistFuncAllocOptions,ROW(A917)-ROW($A$92)+1,[4]Inputs!$S$11)</f>
        <v>PLNT</v>
      </c>
      <c r="Y917" s="116" t="e">
        <f t="shared" si="464"/>
        <v>#VALUE!</v>
      </c>
      <c r="Z917" s="116" t="e">
        <f t="shared" si="464"/>
        <v>#VALUE!</v>
      </c>
      <c r="AA917" s="116" t="e">
        <f t="shared" si="464"/>
        <v>#VALUE!</v>
      </c>
      <c r="AB917" s="116" t="e">
        <f t="shared" si="464"/>
        <v>#VALUE!</v>
      </c>
      <c r="AC917" s="116" t="e">
        <f t="shared" si="464"/>
        <v>#VALUE!</v>
      </c>
      <c r="AD917" s="117" t="e">
        <f>ROUND(SUM(-G917,H917:L917),0)</f>
        <v>#VALUE!</v>
      </c>
      <c r="AE917" s="117" t="e">
        <f>ROUND(H917-O917-P917-Q917-R917,0)</f>
        <v>#VALUE!</v>
      </c>
      <c r="AF917" s="117" t="e">
        <f>ROUND(I917-T917-U917-V917-W917,0)</f>
        <v>#VALUE!</v>
      </c>
      <c r="AG917" s="117" t="e">
        <f>ROUND(J917-Y917-Z917-AA917-AC917-AB917,0)</f>
        <v>#VALUE!</v>
      </c>
      <c r="AH917" s="116"/>
      <c r="AI917" t="str">
        <f t="shared" si="425"/>
        <v>404HP</v>
      </c>
      <c r="AJ917" t="str">
        <f t="shared" si="421"/>
        <v>SG</v>
      </c>
      <c r="AK917" t="str">
        <f>IF(ISERROR(MATCH(AI917&amp;"."&amp;AJ917,AK$91:AK916,0)),AI917&amp;"."&amp;AJ917,AI917&amp;"."&amp;AJ917&amp;COUNTIFS(AI$91:AI916,AI917,AJ$91:AJ916,AJ917))</f>
        <v>404HP.SG1</v>
      </c>
    </row>
    <row r="918" spans="1:37" ht="15" hidden="1">
      <c r="A918" s="120">
        <f>ROW()</f>
        <v>918</v>
      </c>
      <c r="B918" s="120"/>
      <c r="E918" s="121"/>
      <c r="F918" s="138"/>
      <c r="G918" s="117" t="e">
        <f t="shared" ref="G918:L918" si="465">SUM(G916:G917)</f>
        <v>#VALUE!</v>
      </c>
      <c r="H918" s="116" t="e">
        <f t="shared" si="465"/>
        <v>#VALUE!</v>
      </c>
      <c r="I918" s="116" t="e">
        <f t="shared" si="465"/>
        <v>#VALUE!</v>
      </c>
      <c r="J918" s="116" t="e">
        <f t="shared" si="465"/>
        <v>#VALUE!</v>
      </c>
      <c r="K918" s="116" t="e">
        <f t="shared" si="465"/>
        <v>#VALUE!</v>
      </c>
      <c r="L918" s="116" t="e">
        <f t="shared" si="465"/>
        <v>#VALUE!</v>
      </c>
      <c r="O918" s="116" t="e">
        <f>SUM(O916:O917)</f>
        <v>#VALUE!</v>
      </c>
      <c r="P918" s="116" t="e">
        <f>SUM(P916:P917)</f>
        <v>#VALUE!</v>
      </c>
      <c r="Q918" s="116" t="e">
        <f>SUM(Q916:Q917)</f>
        <v>#VALUE!</v>
      </c>
      <c r="R918" s="116" t="e">
        <f>SUM(R916:R917)</f>
        <v>#VALUE!</v>
      </c>
      <c r="T918" s="116">
        <v>0</v>
      </c>
      <c r="U918" s="116">
        <v>0</v>
      </c>
      <c r="V918" s="116">
        <v>0</v>
      </c>
      <c r="W918" s="116">
        <v>0</v>
      </c>
      <c r="X918" s="3"/>
      <c r="Y918" s="116">
        <v>0</v>
      </c>
      <c r="Z918" s="116">
        <v>0</v>
      </c>
      <c r="AA918" s="116">
        <v>0</v>
      </c>
      <c r="AB918" s="116">
        <v>0</v>
      </c>
      <c r="AC918" s="116">
        <v>0</v>
      </c>
      <c r="AD918" s="117" t="e">
        <f>ROUND(SUM(-G918,H918:L918),0)</f>
        <v>#VALUE!</v>
      </c>
      <c r="AE918" s="117" t="e">
        <f>ROUND(H918-O918-P918-Q918-R918,0)</f>
        <v>#VALUE!</v>
      </c>
      <c r="AF918" s="117" t="e">
        <f>ROUND(I918-T918-U918-V918-W918,0)</f>
        <v>#VALUE!</v>
      </c>
      <c r="AG918" s="117" t="e">
        <f>ROUND(J918-Y918-Z918-AA918-AC918-AB918,0)</f>
        <v>#VALUE!</v>
      </c>
      <c r="AH918" s="116"/>
      <c r="AI918" t="str">
        <f t="shared" si="425"/>
        <v>404HP</v>
      </c>
      <c r="AJ918" t="str">
        <f t="shared" si="421"/>
        <v>NA</v>
      </c>
      <c r="AK918" t="str">
        <f>IF(ISERROR(MATCH(AI918&amp;"."&amp;AJ918,AK$91:AK917,0)),AI918&amp;"."&amp;AJ918,AI918&amp;"."&amp;AJ918&amp;COUNTIFS(AI$91:AI917,AI918,AJ$91:AJ917,AJ918))</f>
        <v>404HP.NA1</v>
      </c>
    </row>
    <row r="919" spans="1:37" ht="15" hidden="1">
      <c r="A919" s="120">
        <f>ROW()</f>
        <v>919</v>
      </c>
      <c r="B919" s="120"/>
      <c r="E919" s="121"/>
      <c r="F919" s="138"/>
      <c r="G919" s="119"/>
      <c r="X919" s="3"/>
      <c r="AD919" s="119"/>
      <c r="AE919" s="119"/>
      <c r="AF919" s="119"/>
      <c r="AG919" s="119"/>
      <c r="AI919" t="str">
        <f t="shared" si="425"/>
        <v>404HP</v>
      </c>
      <c r="AJ919" t="str">
        <f t="shared" si="421"/>
        <v>NA</v>
      </c>
      <c r="AK919" t="str">
        <f>IF(ISERROR(MATCH(AI919&amp;"."&amp;AJ919,AK$91:AK918,0)),AI919&amp;"."&amp;AJ919,AI919&amp;"."&amp;AJ919&amp;COUNTIFS(AI$91:AI918,AI919,AJ$91:AJ918,AJ919))</f>
        <v>404HP.NA2</v>
      </c>
    </row>
    <row r="920" spans="1:37" ht="15.75" hidden="1" thickBot="1">
      <c r="A920" s="120">
        <f>ROW()</f>
        <v>920</v>
      </c>
      <c r="B920" s="120"/>
      <c r="C920" s="110" t="s">
        <v>415</v>
      </c>
      <c r="E920" s="121"/>
      <c r="F920" s="138"/>
      <c r="G920" s="153" t="e">
        <f t="shared" ref="G920:L920" si="466">G891+G895+G909+G913+G918</f>
        <v>#VALUE!</v>
      </c>
      <c r="H920" s="152" t="e">
        <f t="shared" si="466"/>
        <v>#VALUE!</v>
      </c>
      <c r="I920" s="152" t="e">
        <f t="shared" si="466"/>
        <v>#VALUE!</v>
      </c>
      <c r="J920" s="152" t="e">
        <f t="shared" si="466"/>
        <v>#VALUE!</v>
      </c>
      <c r="K920" s="152" t="e">
        <f t="shared" si="466"/>
        <v>#VALUE!</v>
      </c>
      <c r="L920" s="152" t="e">
        <f t="shared" si="466"/>
        <v>#VALUE!</v>
      </c>
      <c r="O920" s="116" t="e">
        <f>O891+O895+O909+O913+O918</f>
        <v>#VALUE!</v>
      </c>
      <c r="P920" s="116" t="e">
        <f>P891+P895+P909+P913+P918</f>
        <v>#VALUE!</v>
      </c>
      <c r="Q920" s="116" t="e">
        <f>Q891+Q895+Q909+Q913+Q918</f>
        <v>#VALUE!</v>
      </c>
      <c r="R920" s="116" t="e">
        <f>R891+R895+R909+R913+R918</f>
        <v>#VALUE!</v>
      </c>
      <c r="T920" s="116" t="e">
        <f>T891+T895+T909+T913+T918</f>
        <v>#VALUE!</v>
      </c>
      <c r="U920" s="116" t="e">
        <f>U891+U895+U909+U913+U918</f>
        <v>#VALUE!</v>
      </c>
      <c r="V920" s="116" t="e">
        <f>V891+V895+V909+V913+V918</f>
        <v>#VALUE!</v>
      </c>
      <c r="W920" s="116" t="e">
        <f>W891+W895+W909+W913+W918</f>
        <v>#VALUE!</v>
      </c>
      <c r="X920" s="3"/>
      <c r="Y920" s="116" t="e">
        <f>Y891+Y895+Y909+Y913+Y918</f>
        <v>#VALUE!</v>
      </c>
      <c r="Z920" s="116" t="e">
        <f>Z891+Z895+Z909+Z913+Z918</f>
        <v>#VALUE!</v>
      </c>
      <c r="AA920" s="116" t="e">
        <f>AA891+AA895+AA909+AA913+AA918</f>
        <v>#VALUE!</v>
      </c>
      <c r="AB920" s="116" t="e">
        <f>AB891+AB895+AB909+AB913+AB918</f>
        <v>#VALUE!</v>
      </c>
      <c r="AC920" s="116" t="e">
        <f>AC891+AC895+AC909+AC913+AC918</f>
        <v>#VALUE!</v>
      </c>
      <c r="AD920" s="117" t="e">
        <f>ROUND(SUM(-G920,H920:L920),0)</f>
        <v>#VALUE!</v>
      </c>
      <c r="AE920" s="117" t="e">
        <f>ROUND(H920-O920-P920-Q920-R920,0)</f>
        <v>#VALUE!</v>
      </c>
      <c r="AF920" s="117" t="e">
        <f>ROUND(I920-T920-U920-V920-W920,0)</f>
        <v>#VALUE!</v>
      </c>
      <c r="AG920" s="117" t="e">
        <f>ROUND(J920-Y920-Z920-AA920-AC920-AB920,0)</f>
        <v>#VALUE!</v>
      </c>
      <c r="AH920" s="116"/>
      <c r="AI920" t="str">
        <f t="shared" si="425"/>
        <v>Total Amortization of Limited Term Plant</v>
      </c>
      <c r="AJ920" t="str">
        <f t="shared" si="421"/>
        <v>NA</v>
      </c>
      <c r="AK920" t="str">
        <f>IF(ISERROR(MATCH(AI920&amp;"."&amp;AJ920,AK$91:AK919,0)),AI920&amp;"."&amp;AJ920,AI920&amp;"."&amp;AJ920&amp;COUNTIFS(AI$91:AI919,AI920,AJ$91:AJ919,AJ920))</f>
        <v>Total Amortization of Limited Term Plant.NA</v>
      </c>
    </row>
    <row r="921" spans="1:37" ht="15" hidden="1">
      <c r="A921" s="120">
        <f>ROW()</f>
        <v>921</v>
      </c>
      <c r="B921" s="120"/>
      <c r="E921" s="121"/>
      <c r="F921" s="138"/>
      <c r="G921" s="119"/>
      <c r="X921" s="3"/>
      <c r="AD921" s="119"/>
      <c r="AE921" s="119"/>
      <c r="AF921" s="119"/>
      <c r="AG921" s="119"/>
      <c r="AI921" t="str">
        <f t="shared" si="425"/>
        <v>Total Amortization of Limited Term Plant</v>
      </c>
      <c r="AJ921" t="str">
        <f t="shared" si="421"/>
        <v>NA</v>
      </c>
      <c r="AK921" t="str">
        <f>IF(ISERROR(MATCH(AI921&amp;"."&amp;AJ921,AK$91:AK920,0)),AI921&amp;"."&amp;AJ921,AI921&amp;"."&amp;AJ921&amp;COUNTIFS(AI$91:AI920,AI921,AJ$91:AJ920,AJ921))</f>
        <v>Total Amortization of Limited Term Plant.NA1</v>
      </c>
    </row>
    <row r="922" spans="1:37" ht="15" hidden="1">
      <c r="A922" s="120">
        <f>ROW()</f>
        <v>922</v>
      </c>
      <c r="B922" s="120"/>
      <c r="C922" s="1"/>
      <c r="E922" s="121"/>
      <c r="F922" s="138"/>
      <c r="G922" s="119"/>
      <c r="X922" s="3"/>
      <c r="AD922" s="119"/>
      <c r="AE922" s="119"/>
      <c r="AF922" s="119"/>
      <c r="AG922" s="119"/>
      <c r="AI922" t="str">
        <f t="shared" si="425"/>
        <v>Total Amortization of Limited Term Plant</v>
      </c>
      <c r="AJ922" t="str">
        <f t="shared" si="421"/>
        <v>NA</v>
      </c>
      <c r="AK922" t="str">
        <f>IF(ISERROR(MATCH(AI922&amp;"."&amp;AJ922,AK$91:AK921,0)),AI922&amp;"."&amp;AJ922,AI922&amp;"."&amp;AJ922&amp;COUNTIFS(AI$91:AI921,AI922,AJ$91:AJ921,AJ922))</f>
        <v>Total Amortization of Limited Term Plant.NA2</v>
      </c>
    </row>
    <row r="923" spans="1:37" ht="15" hidden="1">
      <c r="A923" s="120">
        <f>ROW()</f>
        <v>923</v>
      </c>
      <c r="B923" s="120"/>
      <c r="C923" s="1">
        <v>405</v>
      </c>
      <c r="D923" s="2" t="s">
        <v>414</v>
      </c>
      <c r="E923" s="121"/>
      <c r="F923" s="138"/>
      <c r="G923" s="119"/>
      <c r="X923" s="3"/>
      <c r="AD923" s="119"/>
      <c r="AE923" s="119"/>
      <c r="AF923" s="119"/>
      <c r="AG923" s="119"/>
      <c r="AI923">
        <f t="shared" si="425"/>
        <v>405</v>
      </c>
      <c r="AJ923" t="str">
        <f t="shared" si="421"/>
        <v>NA</v>
      </c>
      <c r="AK923" t="str">
        <f>IF(ISERROR(MATCH(AI923&amp;"."&amp;AJ923,AK$91:AK922,0)),AI923&amp;"."&amp;AJ923,AI923&amp;"."&amp;AJ923&amp;COUNTIFS(AI$91:AI922,AI923,AJ$91:AJ922,AJ923))</f>
        <v>405.NA</v>
      </c>
    </row>
    <row r="924" spans="1:37" ht="15" hidden="1">
      <c r="A924" s="120">
        <f>ROW()</f>
        <v>924</v>
      </c>
      <c r="B924" s="120"/>
      <c r="C924" s="1"/>
      <c r="E924" s="121" t="s">
        <v>12</v>
      </c>
      <c r="F924" s="138" t="str">
        <f>INDEX(FuncAllocOptions,ROW(A924)-ROW($A$92)+1,[4]Inputs!$S$11)</f>
        <v>GP</v>
      </c>
      <c r="G924" s="133" t="e">
        <f>SUMIF(FERCJAMFactor,AK924,JAMValue)</f>
        <v>#VALUE!</v>
      </c>
      <c r="H924" s="139" t="e">
        <f>INDEX(FuncFactorTbl,MATCH($F924,FuncFactors,0),MATCH(H$8,Functions,0))*$G924</f>
        <v>#VALUE!</v>
      </c>
      <c r="I924" s="139" t="e">
        <f>INDEX(FuncFactorTbl,MATCH($F924,FuncFactors,0),MATCH(I$8,Functions,0))*$G924</f>
        <v>#VALUE!</v>
      </c>
      <c r="J924" s="139" t="e">
        <f>INDEX(FuncFactorTbl,MATCH($F924,FuncFactors,0),MATCH(J$8,Functions,0))*$G924</f>
        <v>#VALUE!</v>
      </c>
      <c r="K924" s="139" t="e">
        <f>INDEX(FuncFactorTbl,MATCH($F924,FuncFactors,0),MATCH(K$8,Functions,0))*$G924</f>
        <v>#VALUE!</v>
      </c>
      <c r="L924" s="139" t="e">
        <f>INDEX(FuncFactorTbl,MATCH($F924,FuncFactors,0),MATCH(L$8,Functions,0))*$G924</f>
        <v>#VALUE!</v>
      </c>
      <c r="N924" s="108">
        <v>0.75</v>
      </c>
      <c r="O924" s="116" t="e">
        <f>$H924*$N924*$M924</f>
        <v>#VALUE!</v>
      </c>
      <c r="P924" s="116" t="e">
        <f>$H924*(1-$N924)*$M924</f>
        <v>#VALUE!</v>
      </c>
      <c r="Q924" s="116" t="e">
        <f>$H924*$N924*(1-$M924)</f>
        <v>#VALUE!</v>
      </c>
      <c r="R924" s="116" t="e">
        <f>$H924*(1-$N924)*(1-$M924)</f>
        <v>#VALUE!</v>
      </c>
      <c r="S924" s="108">
        <v>0.75</v>
      </c>
      <c r="T924" s="116" t="e">
        <f>$I924*$S924*$M924</f>
        <v>#VALUE!</v>
      </c>
      <c r="U924" s="116" t="e">
        <f>$I924*(1-$S924)*$M924</f>
        <v>#VALUE!</v>
      </c>
      <c r="V924" s="116" t="e">
        <f>$I924*$S924*(1-$M924)</f>
        <v>#VALUE!</v>
      </c>
      <c r="W924" s="116" t="e">
        <f>$I924*(1-$S924)*(1-$M924)</f>
        <v>#VALUE!</v>
      </c>
      <c r="X924" s="3" t="str">
        <f>INDEX(DistFuncAllocOptions,ROW(A924)-ROW($A$92)+1,[4]Inputs!$S$11)</f>
        <v>PLNT</v>
      </c>
      <c r="Y924" s="116" t="e">
        <f>INDEX(DistFuncFactorTbl,MATCH($X924,DistFuncFactors,0),MATCH(Y$91,DistFunctions,0))*$J924</f>
        <v>#VALUE!</v>
      </c>
      <c r="Z924" s="116" t="e">
        <f>INDEX(DistFuncFactorTbl,MATCH($X924,DistFuncFactors,0),MATCH(Z$91,DistFunctions,0))*$J924</f>
        <v>#VALUE!</v>
      </c>
      <c r="AA924" s="116" t="e">
        <f>INDEX(DistFuncFactorTbl,MATCH($X924,DistFuncFactors,0),MATCH(AA$91,DistFunctions,0))*$J924</f>
        <v>#VALUE!</v>
      </c>
      <c r="AB924" s="116" t="e">
        <f>INDEX(DistFuncFactorTbl,MATCH($X924,DistFuncFactors,0),MATCH(AB$91,DistFunctions,0))*$J924</f>
        <v>#VALUE!</v>
      </c>
      <c r="AC924" s="116" t="e">
        <f>INDEX(DistFuncFactorTbl,MATCH($X924,DistFuncFactors,0),MATCH(AC$91,DistFunctions,0))*$J924</f>
        <v>#VALUE!</v>
      </c>
      <c r="AD924" s="117" t="e">
        <f>ROUND(SUM(-G924,H924:L924),0)</f>
        <v>#VALUE!</v>
      </c>
      <c r="AE924" s="117" t="e">
        <f>ROUND(H924-O924-P924-Q924-R924,0)</f>
        <v>#VALUE!</v>
      </c>
      <c r="AF924" s="117" t="e">
        <f>ROUND(I924-T924-U924-V924-W924,0)</f>
        <v>#VALUE!</v>
      </c>
      <c r="AG924" s="117" t="e">
        <f>ROUND(J924-Y924-Z924-AA924-AC924-AB924,0)</f>
        <v>#VALUE!</v>
      </c>
      <c r="AH924" s="116"/>
      <c r="AI924">
        <f t="shared" si="425"/>
        <v>405</v>
      </c>
      <c r="AJ924" t="str">
        <f t="shared" si="421"/>
        <v>S</v>
      </c>
      <c r="AK924" t="str">
        <f>IF(ISERROR(MATCH(AI924&amp;"."&amp;AJ924,AK$91:AK923,0)),AI924&amp;"."&amp;AJ924,AI924&amp;"."&amp;AJ924&amp;COUNTIFS(AI$91:AI923,AI924,AJ$91:AJ923,AJ924))</f>
        <v>405.S</v>
      </c>
    </row>
    <row r="925" spans="1:37" ht="15" hidden="1">
      <c r="A925" s="120">
        <f>ROW()</f>
        <v>925</v>
      </c>
      <c r="B925" s="120"/>
      <c r="C925" s="1"/>
      <c r="E925" s="121"/>
      <c r="F925" s="138"/>
      <c r="G925" s="119"/>
      <c r="X925" s="3"/>
      <c r="AD925" s="119"/>
      <c r="AE925" s="119"/>
      <c r="AF925" s="119"/>
      <c r="AG925" s="119"/>
      <c r="AI925">
        <f t="shared" si="425"/>
        <v>405</v>
      </c>
      <c r="AJ925" t="str">
        <f t="shared" ref="AJ925:AJ988" si="467">IF(E925="","NA",E925)</f>
        <v>NA</v>
      </c>
      <c r="AK925" t="str">
        <f>IF(ISERROR(MATCH(AI925&amp;"."&amp;AJ925,AK$91:AK924,0)),AI925&amp;"."&amp;AJ925,AI925&amp;"."&amp;AJ925&amp;COUNTIFS(AI$91:AI924,AI925,AJ$91:AJ924,AJ925))</f>
        <v>405.NA1</v>
      </c>
    </row>
    <row r="926" spans="1:37" ht="15" hidden="1">
      <c r="A926" s="120">
        <f>ROW()</f>
        <v>926</v>
      </c>
      <c r="B926" s="120"/>
      <c r="C926" s="1"/>
      <c r="E926" s="121"/>
      <c r="F926" s="138"/>
      <c r="G926" s="117" t="e">
        <f t="shared" ref="G926:L926" si="468">SUM(G924)</f>
        <v>#VALUE!</v>
      </c>
      <c r="H926" s="116" t="e">
        <f t="shared" si="468"/>
        <v>#VALUE!</v>
      </c>
      <c r="I926" s="116" t="e">
        <f t="shared" si="468"/>
        <v>#VALUE!</v>
      </c>
      <c r="J926" s="116" t="e">
        <f t="shared" si="468"/>
        <v>#VALUE!</v>
      </c>
      <c r="K926" s="116" t="e">
        <f t="shared" si="468"/>
        <v>#VALUE!</v>
      </c>
      <c r="L926" s="116" t="e">
        <f t="shared" si="468"/>
        <v>#VALUE!</v>
      </c>
      <c r="O926" s="116" t="e">
        <f>SUM(O924)</f>
        <v>#VALUE!</v>
      </c>
      <c r="P926" s="116" t="e">
        <f>SUM(P924)</f>
        <v>#VALUE!</v>
      </c>
      <c r="Q926" s="116" t="e">
        <f>SUM(Q924)</f>
        <v>#VALUE!</v>
      </c>
      <c r="R926" s="116" t="e">
        <f>SUM(R924)</f>
        <v>#VALUE!</v>
      </c>
      <c r="T926" s="116" t="e">
        <f>SUM(T924)</f>
        <v>#VALUE!</v>
      </c>
      <c r="U926" s="116" t="e">
        <f>SUM(U924)</f>
        <v>#VALUE!</v>
      </c>
      <c r="V926" s="116" t="e">
        <f>SUM(V924)</f>
        <v>#VALUE!</v>
      </c>
      <c r="W926" s="116" t="e">
        <f>SUM(W924)</f>
        <v>#VALUE!</v>
      </c>
      <c r="X926" s="3"/>
      <c r="Y926" s="116" t="e">
        <f>SUM(Y924)</f>
        <v>#VALUE!</v>
      </c>
      <c r="Z926" s="116" t="e">
        <f>SUM(Z924)</f>
        <v>#VALUE!</v>
      </c>
      <c r="AA926" s="116" t="e">
        <f>SUM(AA924)</f>
        <v>#VALUE!</v>
      </c>
      <c r="AB926" s="116" t="e">
        <f>SUM(AB924)</f>
        <v>#VALUE!</v>
      </c>
      <c r="AC926" s="116" t="e">
        <f>SUM(AC924)</f>
        <v>#VALUE!</v>
      </c>
      <c r="AD926" s="117" t="e">
        <f>ROUND(SUM(-G926,H926:L926),0)</f>
        <v>#VALUE!</v>
      </c>
      <c r="AE926" s="117" t="e">
        <f>ROUND(H926-O926-P926-Q926-R926,0)</f>
        <v>#VALUE!</v>
      </c>
      <c r="AF926" s="117" t="e">
        <f>ROUND(I926-T926-U926-V926-W926,0)</f>
        <v>#VALUE!</v>
      </c>
      <c r="AG926" s="117" t="e">
        <f>ROUND(J926-Y926-Z926-AA926-AC926-AB926,0)</f>
        <v>#VALUE!</v>
      </c>
      <c r="AH926" s="116"/>
      <c r="AI926">
        <f t="shared" si="425"/>
        <v>405</v>
      </c>
      <c r="AJ926" t="str">
        <f t="shared" si="467"/>
        <v>NA</v>
      </c>
      <c r="AK926" t="str">
        <f>IF(ISERROR(MATCH(AI926&amp;"."&amp;AJ926,AK$91:AK925,0)),AI926&amp;"."&amp;AJ926,AI926&amp;"."&amp;AJ926&amp;COUNTIFS(AI$91:AI925,AI926,AJ$91:AJ925,AJ926))</f>
        <v>405.NA2</v>
      </c>
    </row>
    <row r="927" spans="1:37" ht="15" hidden="1">
      <c r="A927" s="120">
        <f>ROW()</f>
        <v>927</v>
      </c>
      <c r="B927" s="120"/>
      <c r="C927" s="1"/>
      <c r="E927" s="121"/>
      <c r="F927" s="138"/>
      <c r="G927" s="119"/>
      <c r="X927" s="3"/>
      <c r="AD927" s="119"/>
      <c r="AE927" s="119"/>
      <c r="AF927" s="119"/>
      <c r="AG927" s="119"/>
      <c r="AI927">
        <f t="shared" si="425"/>
        <v>405</v>
      </c>
      <c r="AJ927" t="str">
        <f t="shared" si="467"/>
        <v>NA</v>
      </c>
      <c r="AK927" t="str">
        <f>IF(ISERROR(MATCH(AI927&amp;"."&amp;AJ927,AK$91:AK926,0)),AI927&amp;"."&amp;AJ927,AI927&amp;"."&amp;AJ927&amp;COUNTIFS(AI$91:AI926,AI927,AJ$91:AJ926,AJ927))</f>
        <v>405.NA3</v>
      </c>
    </row>
    <row r="928" spans="1:37" ht="15" hidden="1">
      <c r="A928" s="120">
        <f>ROW()</f>
        <v>928</v>
      </c>
      <c r="B928" s="120"/>
      <c r="C928" s="1">
        <v>406</v>
      </c>
      <c r="D928" s="2" t="s">
        <v>416</v>
      </c>
      <c r="E928" s="121"/>
      <c r="F928" s="138"/>
      <c r="G928" s="119"/>
      <c r="X928" s="3"/>
      <c r="AD928" s="119"/>
      <c r="AE928" s="119"/>
      <c r="AF928" s="119"/>
      <c r="AG928" s="119"/>
      <c r="AI928">
        <f t="shared" si="425"/>
        <v>406</v>
      </c>
      <c r="AJ928" t="str">
        <f t="shared" si="467"/>
        <v>NA</v>
      </c>
      <c r="AK928" t="str">
        <f>IF(ISERROR(MATCH(AI928&amp;"."&amp;AJ928,AK$91:AK927,0)),AI928&amp;"."&amp;AJ928,AI928&amp;"."&amp;AJ928&amp;COUNTIFS(AI$91:AI927,AI928,AJ$91:AJ927,AJ928))</f>
        <v>406.NA</v>
      </c>
    </row>
    <row r="929" spans="1:37" ht="15" hidden="1">
      <c r="A929" s="120">
        <f>ROW()</f>
        <v>929</v>
      </c>
      <c r="B929" s="120"/>
      <c r="C929" s="1"/>
      <c r="E929" s="121" t="s">
        <v>12</v>
      </c>
      <c r="F929" s="138" t="str">
        <f>INDEX(FuncAllocOptions,ROW(A929)-ROW($A$92)+1,[4]Inputs!$S$11)</f>
        <v>P</v>
      </c>
      <c r="G929" s="117" t="e">
        <f>SUMIF(FERCJAMFactor,AK929,JAMValue)</f>
        <v>#VALUE!</v>
      </c>
      <c r="H929" s="116" t="e">
        <f t="shared" ref="H929:L933" si="469">INDEX(FuncFactorTbl,MATCH($F929,FuncFactors,0),MATCH(H$8,Functions,0))*$G929</f>
        <v>#VALUE!</v>
      </c>
      <c r="I929" s="116" t="e">
        <f t="shared" si="469"/>
        <v>#VALUE!</v>
      </c>
      <c r="J929" s="116" t="e">
        <f t="shared" si="469"/>
        <v>#VALUE!</v>
      </c>
      <c r="K929" s="116" t="e">
        <f t="shared" si="469"/>
        <v>#VALUE!</v>
      </c>
      <c r="L929" s="116" t="e">
        <f t="shared" si="469"/>
        <v>#VALUE!</v>
      </c>
      <c r="N929" s="108">
        <v>0.75</v>
      </c>
      <c r="O929" s="116" t="e">
        <f>$H929*$N929*$M929</f>
        <v>#VALUE!</v>
      </c>
      <c r="P929" s="116" t="e">
        <f>$H929*(1-$N929)*$M929</f>
        <v>#VALUE!</v>
      </c>
      <c r="Q929" s="116" t="e">
        <f>$H929*$N929*(1-$M929)</f>
        <v>#VALUE!</v>
      </c>
      <c r="R929" s="116" t="e">
        <f>$H929*(1-$N929)*(1-$M929)</f>
        <v>#VALUE!</v>
      </c>
      <c r="S929" s="108">
        <v>0.75</v>
      </c>
      <c r="T929" s="116" t="e">
        <f>$I929*$S929*$M929</f>
        <v>#VALUE!</v>
      </c>
      <c r="U929" s="116" t="e">
        <f>$I929*(1-$S929)*$M929</f>
        <v>#VALUE!</v>
      </c>
      <c r="V929" s="116" t="e">
        <f>$I929*$S929*(1-$M929)</f>
        <v>#VALUE!</v>
      </c>
      <c r="W929" s="116" t="e">
        <f>$I929*(1-$S929)*(1-$M929)</f>
        <v>#VALUE!</v>
      </c>
      <c r="X929" s="3"/>
      <c r="AD929" s="117" t="e">
        <f t="shared" ref="AD929:AD934" si="470">ROUND(SUM(-G929,H929:L929),0)</f>
        <v>#VALUE!</v>
      </c>
      <c r="AE929" s="117" t="e">
        <f t="shared" ref="AE929:AE934" si="471">ROUND(H929-O929-P929-Q929-R929,0)</f>
        <v>#VALUE!</v>
      </c>
      <c r="AF929" s="117" t="e">
        <f t="shared" ref="AF929:AF934" si="472">ROUND(I929-T929-U929-V929-W929,0)</f>
        <v>#VALUE!</v>
      </c>
      <c r="AG929" s="117" t="e">
        <f t="shared" ref="AG929:AG934" si="473">ROUND(J929-Y929-Z929-AA929-AC929-AB929,0)</f>
        <v>#VALUE!</v>
      </c>
      <c r="AH929" s="116"/>
      <c r="AI929">
        <f t="shared" si="425"/>
        <v>406</v>
      </c>
      <c r="AJ929" t="str">
        <f t="shared" si="467"/>
        <v>S</v>
      </c>
      <c r="AK929" t="str">
        <f>IF(ISERROR(MATCH(AI929&amp;"."&amp;AJ929,AK$91:AK928,0)),AI929&amp;"."&amp;AJ929,AI929&amp;"."&amp;AJ929&amp;COUNTIFS(AI$91:AI928,AI929,AJ$91:AJ928,AJ929))</f>
        <v>406.S</v>
      </c>
    </row>
    <row r="930" spans="1:37" ht="15" hidden="1">
      <c r="A930" s="120">
        <f>ROW()</f>
        <v>930</v>
      </c>
      <c r="B930" s="120"/>
      <c r="C930" s="1"/>
      <c r="E930" s="121" t="s">
        <v>15</v>
      </c>
      <c r="F930" s="138" t="str">
        <f>INDEX(FuncAllocOptions,ROW(A930)-ROW($A$92)+1,[4]Inputs!$S$11)</f>
        <v>P</v>
      </c>
      <c r="G930" s="117" t="e">
        <f>SUMIF(FERCJAMFactor,AK930,JAMValue)</f>
        <v>#VALUE!</v>
      </c>
      <c r="H930" s="116" t="e">
        <f t="shared" si="469"/>
        <v>#VALUE!</v>
      </c>
      <c r="I930" s="116" t="e">
        <f t="shared" si="469"/>
        <v>#VALUE!</v>
      </c>
      <c r="J930" s="116" t="e">
        <f t="shared" si="469"/>
        <v>#VALUE!</v>
      </c>
      <c r="K930" s="116" t="e">
        <f t="shared" si="469"/>
        <v>#VALUE!</v>
      </c>
      <c r="L930" s="116" t="e">
        <f t="shared" si="469"/>
        <v>#VALUE!</v>
      </c>
      <c r="N930" s="108">
        <v>0.75</v>
      </c>
      <c r="O930" s="116" t="e">
        <f>$H930*$N930*$M930</f>
        <v>#VALUE!</v>
      </c>
      <c r="P930" s="116" t="e">
        <f>$H930*(1-$N930)*$M930</f>
        <v>#VALUE!</v>
      </c>
      <c r="Q930" s="116" t="e">
        <f>$H930*$N930*(1-$M930)</f>
        <v>#VALUE!</v>
      </c>
      <c r="R930" s="116" t="e">
        <f>$H930*(1-$N930)*(1-$M930)</f>
        <v>#VALUE!</v>
      </c>
      <c r="S930" s="108">
        <v>0.75</v>
      </c>
      <c r="T930" s="116" t="e">
        <f>$I930*$S930*$M930</f>
        <v>#VALUE!</v>
      </c>
      <c r="U930" s="116" t="e">
        <f>$I930*(1-$S930)*$M930</f>
        <v>#VALUE!</v>
      </c>
      <c r="V930" s="116" t="e">
        <f>$I930*$S930*(1-$M930)</f>
        <v>#VALUE!</v>
      </c>
      <c r="W930" s="116" t="e">
        <f>$I930*(1-$S930)*(1-$M930)</f>
        <v>#VALUE!</v>
      </c>
      <c r="X930" s="3"/>
      <c r="AD930" s="117" t="e">
        <f t="shared" si="470"/>
        <v>#VALUE!</v>
      </c>
      <c r="AE930" s="117" t="e">
        <f t="shared" si="471"/>
        <v>#VALUE!</v>
      </c>
      <c r="AF930" s="117" t="e">
        <f t="shared" si="472"/>
        <v>#VALUE!</v>
      </c>
      <c r="AG930" s="117" t="e">
        <f t="shared" si="473"/>
        <v>#VALUE!</v>
      </c>
      <c r="AH930" s="116"/>
      <c r="AI930">
        <f t="shared" si="425"/>
        <v>406</v>
      </c>
      <c r="AJ930" t="str">
        <f t="shared" si="467"/>
        <v>SG</v>
      </c>
      <c r="AK930" t="str">
        <f>IF(ISERROR(MATCH(AI930&amp;"."&amp;AJ930,AK$91:AK929,0)),AI930&amp;"."&amp;AJ930,AI930&amp;"."&amp;AJ930&amp;COUNTIFS(AI$91:AI929,AI930,AJ$91:AJ929,AJ930))</f>
        <v>406.SG</v>
      </c>
    </row>
    <row r="931" spans="1:37" ht="15" hidden="1">
      <c r="A931" s="120">
        <f>ROW()</f>
        <v>931</v>
      </c>
      <c r="B931" s="120"/>
      <c r="C931" s="1"/>
      <c r="E931" s="121" t="s">
        <v>15</v>
      </c>
      <c r="F931" s="138" t="str">
        <f>INDEX(FuncAllocOptions,ROW(A931)-ROW($A$92)+1,[4]Inputs!$S$11)</f>
        <v>P</v>
      </c>
      <c r="G931" s="117" t="e">
        <f>SUMIF(FERCJAMFactor,AK931,JAMValue)</f>
        <v>#VALUE!</v>
      </c>
      <c r="H931" s="116" t="e">
        <f t="shared" si="469"/>
        <v>#VALUE!</v>
      </c>
      <c r="I931" s="116" t="e">
        <f t="shared" si="469"/>
        <v>#VALUE!</v>
      </c>
      <c r="J931" s="116" t="e">
        <f t="shared" si="469"/>
        <v>#VALUE!</v>
      </c>
      <c r="K931" s="116" t="e">
        <f t="shared" si="469"/>
        <v>#VALUE!</v>
      </c>
      <c r="L931" s="116" t="e">
        <f t="shared" si="469"/>
        <v>#VALUE!</v>
      </c>
      <c r="N931" s="108">
        <v>0.75</v>
      </c>
      <c r="O931" s="116" t="e">
        <f>$H931*$N931*$M931</f>
        <v>#VALUE!</v>
      </c>
      <c r="P931" s="116" t="e">
        <f>$H931*(1-$N931)*$M931</f>
        <v>#VALUE!</v>
      </c>
      <c r="Q931" s="116" t="e">
        <f>$H931*$N931*(1-$M931)</f>
        <v>#VALUE!</v>
      </c>
      <c r="R931" s="116" t="e">
        <f>$H931*(1-$N931)*(1-$M931)</f>
        <v>#VALUE!</v>
      </c>
      <c r="S931" s="108">
        <v>0.75</v>
      </c>
      <c r="T931" s="116" t="e">
        <f>$I931*$S931*$M931</f>
        <v>#VALUE!</v>
      </c>
      <c r="U931" s="116" t="e">
        <f>$I931*(1-$S931)*$M931</f>
        <v>#VALUE!</v>
      </c>
      <c r="V931" s="116" t="e">
        <f>$I931*$S931*(1-$M931)</f>
        <v>#VALUE!</v>
      </c>
      <c r="W931" s="116" t="e">
        <f>$I931*(1-$S931)*(1-$M931)</f>
        <v>#VALUE!</v>
      </c>
      <c r="X931" s="3"/>
      <c r="AD931" s="117" t="e">
        <f t="shared" si="470"/>
        <v>#VALUE!</v>
      </c>
      <c r="AE931" s="117" t="e">
        <f t="shared" si="471"/>
        <v>#VALUE!</v>
      </c>
      <c r="AF931" s="117" t="e">
        <f t="shared" si="472"/>
        <v>#VALUE!</v>
      </c>
      <c r="AG931" s="117" t="e">
        <f t="shared" si="473"/>
        <v>#VALUE!</v>
      </c>
      <c r="AH931" s="116"/>
      <c r="AI931">
        <f t="shared" si="425"/>
        <v>406</v>
      </c>
      <c r="AJ931" t="str">
        <f t="shared" si="467"/>
        <v>SG</v>
      </c>
      <c r="AK931" t="str">
        <f>IF(ISERROR(MATCH(AI931&amp;"."&amp;AJ931,AK$91:AK930,0)),AI931&amp;"."&amp;AJ931,AI931&amp;"."&amp;AJ931&amp;COUNTIFS(AI$91:AI930,AI931,AJ$91:AJ930,AJ931))</f>
        <v>406.SG1</v>
      </c>
    </row>
    <row r="932" spans="1:37" ht="15" hidden="1">
      <c r="A932" s="120">
        <f>ROW()</f>
        <v>932</v>
      </c>
      <c r="B932" s="120"/>
      <c r="C932" s="1"/>
      <c r="E932" s="121" t="s">
        <v>15</v>
      </c>
      <c r="F932" s="138" t="str">
        <f>INDEX(FuncAllocOptions,ROW(A932)-ROW($A$92)+1,[4]Inputs!$S$11)</f>
        <v>P</v>
      </c>
      <c r="G932" s="117" t="e">
        <f>SUMIF(FERCJAMFactor,AK932,JAMValue)</f>
        <v>#VALUE!</v>
      </c>
      <c r="H932" s="116" t="e">
        <f t="shared" si="469"/>
        <v>#VALUE!</v>
      </c>
      <c r="I932" s="116" t="e">
        <f t="shared" si="469"/>
        <v>#VALUE!</v>
      </c>
      <c r="J932" s="116" t="e">
        <f t="shared" si="469"/>
        <v>#VALUE!</v>
      </c>
      <c r="K932" s="116" t="e">
        <f t="shared" si="469"/>
        <v>#VALUE!</v>
      </c>
      <c r="L932" s="116" t="e">
        <f t="shared" si="469"/>
        <v>#VALUE!</v>
      </c>
      <c r="N932" s="108">
        <v>0.75</v>
      </c>
      <c r="O932" s="116" t="e">
        <f>$H932*$N932*$M932</f>
        <v>#VALUE!</v>
      </c>
      <c r="P932" s="116" t="e">
        <f>$H932*(1-$N932)*$M932</f>
        <v>#VALUE!</v>
      </c>
      <c r="Q932" s="116" t="e">
        <f>$H932*$N932*(1-$M932)</f>
        <v>#VALUE!</v>
      </c>
      <c r="R932" s="116" t="e">
        <f>$H932*(1-$N932)*(1-$M932)</f>
        <v>#VALUE!</v>
      </c>
      <c r="S932" s="108">
        <v>0.75</v>
      </c>
      <c r="T932" s="116" t="e">
        <f>$I932*$S932*$M932</f>
        <v>#VALUE!</v>
      </c>
      <c r="U932" s="116" t="e">
        <f>$I932*(1-$S932)*$M932</f>
        <v>#VALUE!</v>
      </c>
      <c r="V932" s="116" t="e">
        <f>$I932*$S932*(1-$M932)</f>
        <v>#VALUE!</v>
      </c>
      <c r="W932" s="116" t="e">
        <f>$I932*(1-$S932)*(1-$M932)</f>
        <v>#VALUE!</v>
      </c>
      <c r="X932" s="3"/>
      <c r="AD932" s="117" t="e">
        <f t="shared" si="470"/>
        <v>#VALUE!</v>
      </c>
      <c r="AE932" s="117" t="e">
        <f t="shared" si="471"/>
        <v>#VALUE!</v>
      </c>
      <c r="AF932" s="117" t="e">
        <f t="shared" si="472"/>
        <v>#VALUE!</v>
      </c>
      <c r="AG932" s="117" t="e">
        <f t="shared" si="473"/>
        <v>#VALUE!</v>
      </c>
      <c r="AH932" s="116"/>
      <c r="AI932">
        <f t="shared" si="425"/>
        <v>406</v>
      </c>
      <c r="AJ932" t="str">
        <f t="shared" si="467"/>
        <v>SG</v>
      </c>
      <c r="AK932" t="str">
        <f>IF(ISERROR(MATCH(AI932&amp;"."&amp;AJ932,AK$91:AK931,0)),AI932&amp;"."&amp;AJ932,AI932&amp;"."&amp;AJ932&amp;COUNTIFS(AI$91:AI931,AI932,AJ$91:AJ931,AJ932))</f>
        <v>406.SG2</v>
      </c>
    </row>
    <row r="933" spans="1:37" ht="15" hidden="1">
      <c r="A933" s="120">
        <f>ROW()</f>
        <v>933</v>
      </c>
      <c r="B933" s="120"/>
      <c r="C933" s="1"/>
      <c r="E933" s="121" t="s">
        <v>136</v>
      </c>
      <c r="F933" s="138" t="str">
        <f>INDEX(FuncAllocOptions,ROW(A933)-ROW($A$92)+1,[4]Inputs!$S$11)</f>
        <v>P</v>
      </c>
      <c r="G933" s="133" t="e">
        <f>SUMIF(FERCJAMFactor,AK933,JAMValue)</f>
        <v>#VALUE!</v>
      </c>
      <c r="H933" s="139" t="e">
        <f t="shared" si="469"/>
        <v>#VALUE!</v>
      </c>
      <c r="I933" s="139" t="e">
        <f t="shared" si="469"/>
        <v>#VALUE!</v>
      </c>
      <c r="J933" s="139" t="e">
        <f t="shared" si="469"/>
        <v>#VALUE!</v>
      </c>
      <c r="K933" s="139" t="e">
        <f t="shared" si="469"/>
        <v>#VALUE!</v>
      </c>
      <c r="L933" s="139" t="e">
        <f t="shared" si="469"/>
        <v>#VALUE!</v>
      </c>
      <c r="N933" s="108">
        <v>0.75</v>
      </c>
      <c r="O933" s="116" t="e">
        <f>$H933*$N933*$M933</f>
        <v>#VALUE!</v>
      </c>
      <c r="P933" s="116" t="e">
        <f>$H933*(1-$N933)*$M933</f>
        <v>#VALUE!</v>
      </c>
      <c r="Q933" s="116" t="e">
        <f>$H933*$N933*(1-$M933)</f>
        <v>#VALUE!</v>
      </c>
      <c r="R933" s="116" t="e">
        <f>$H933*(1-$N933)*(1-$M933)</f>
        <v>#VALUE!</v>
      </c>
      <c r="S933" s="108">
        <v>0.75</v>
      </c>
      <c r="T933" s="116" t="e">
        <f>$I933*$S933*$M933</f>
        <v>#VALUE!</v>
      </c>
      <c r="U933" s="116" t="e">
        <f>$I933*(1-$S933)*$M933</f>
        <v>#VALUE!</v>
      </c>
      <c r="V933" s="116" t="e">
        <f>$I933*$S933*(1-$M933)</f>
        <v>#VALUE!</v>
      </c>
      <c r="W933" s="116" t="e">
        <f>$I933*(1-$S933)*(1-$M933)</f>
        <v>#VALUE!</v>
      </c>
      <c r="X933" s="3"/>
      <c r="AD933" s="117" t="e">
        <f t="shared" si="470"/>
        <v>#VALUE!</v>
      </c>
      <c r="AE933" s="117" t="e">
        <f t="shared" si="471"/>
        <v>#VALUE!</v>
      </c>
      <c r="AF933" s="117" t="e">
        <f t="shared" si="472"/>
        <v>#VALUE!</v>
      </c>
      <c r="AG933" s="117" t="e">
        <f t="shared" si="473"/>
        <v>#VALUE!</v>
      </c>
      <c r="AH933" s="116"/>
      <c r="AI933">
        <f t="shared" si="425"/>
        <v>406</v>
      </c>
      <c r="AJ933" t="str">
        <f t="shared" si="467"/>
        <v>SO</v>
      </c>
      <c r="AK933" t="str">
        <f>IF(ISERROR(MATCH(AI933&amp;"."&amp;AJ933,AK$91:AK932,0)),AI933&amp;"."&amp;AJ933,AI933&amp;"."&amp;AJ933&amp;COUNTIFS(AI$91:AI932,AI933,AJ$91:AJ932,AJ933))</f>
        <v>406.SO</v>
      </c>
    </row>
    <row r="934" spans="1:37" ht="15" hidden="1">
      <c r="A934" s="120">
        <f>ROW()</f>
        <v>934</v>
      </c>
      <c r="B934" s="120"/>
      <c r="C934" s="1"/>
      <c r="E934" s="121"/>
      <c r="F934" s="138"/>
      <c r="G934" s="117" t="e">
        <f t="shared" ref="G934:L934" si="474">SUM(G929:G933)</f>
        <v>#VALUE!</v>
      </c>
      <c r="H934" s="116" t="e">
        <f t="shared" si="474"/>
        <v>#VALUE!</v>
      </c>
      <c r="I934" s="116" t="e">
        <f t="shared" si="474"/>
        <v>#VALUE!</v>
      </c>
      <c r="J934" s="116" t="e">
        <f t="shared" si="474"/>
        <v>#VALUE!</v>
      </c>
      <c r="K934" s="116" t="e">
        <f t="shared" si="474"/>
        <v>#VALUE!</v>
      </c>
      <c r="L934" s="116" t="e">
        <f t="shared" si="474"/>
        <v>#VALUE!</v>
      </c>
      <c r="O934" s="116" t="e">
        <f>SUM(O929:O933)</f>
        <v>#VALUE!</v>
      </c>
      <c r="P934" s="116" t="e">
        <f>SUM(P929:P933)</f>
        <v>#VALUE!</v>
      </c>
      <c r="Q934" s="116" t="e">
        <f>SUM(Q929:Q933)</f>
        <v>#VALUE!</v>
      </c>
      <c r="R934" s="116" t="e">
        <f>SUM(R929:R933)</f>
        <v>#VALUE!</v>
      </c>
      <c r="T934" s="116" t="e">
        <f>SUM(T929:T933)</f>
        <v>#VALUE!</v>
      </c>
      <c r="U934" s="116" t="e">
        <f>SUM(U929:U933)</f>
        <v>#VALUE!</v>
      </c>
      <c r="V934" s="116" t="e">
        <f>SUM(V929:V933)</f>
        <v>#VALUE!</v>
      </c>
      <c r="W934" s="116" t="e">
        <f>SUM(W929:W933)</f>
        <v>#VALUE!</v>
      </c>
      <c r="X934" s="3"/>
      <c r="Y934" s="116">
        <f>SUM(Y929:Y933)</f>
        <v>0</v>
      </c>
      <c r="Z934" s="116">
        <f>SUM(Z929:Z933)</f>
        <v>0</v>
      </c>
      <c r="AA934" s="116">
        <f>SUM(AA929:AA933)</f>
        <v>0</v>
      </c>
      <c r="AB934" s="116">
        <f>SUM(AB929:AB933)</f>
        <v>0</v>
      </c>
      <c r="AC934" s="116">
        <f>SUM(AC929:AC933)</f>
        <v>0</v>
      </c>
      <c r="AD934" s="117" t="e">
        <f t="shared" si="470"/>
        <v>#VALUE!</v>
      </c>
      <c r="AE934" s="117" t="e">
        <f t="shared" si="471"/>
        <v>#VALUE!</v>
      </c>
      <c r="AF934" s="117" t="e">
        <f t="shared" si="472"/>
        <v>#VALUE!</v>
      </c>
      <c r="AG934" s="117" t="e">
        <f t="shared" si="473"/>
        <v>#VALUE!</v>
      </c>
      <c r="AH934" s="116"/>
      <c r="AI934">
        <f t="shared" si="425"/>
        <v>406</v>
      </c>
      <c r="AJ934" t="str">
        <f t="shared" si="467"/>
        <v>NA</v>
      </c>
      <c r="AK934" t="str">
        <f>IF(ISERROR(MATCH(AI934&amp;"."&amp;AJ934,AK$91:AK933,0)),AI934&amp;"."&amp;AJ934,AI934&amp;"."&amp;AJ934&amp;COUNTIFS(AI$91:AI933,AI934,AJ$91:AJ933,AJ934))</f>
        <v>406.NA1</v>
      </c>
    </row>
    <row r="935" spans="1:37" ht="15" hidden="1">
      <c r="A935" s="120">
        <f>ROW()</f>
        <v>935</v>
      </c>
      <c r="B935" s="120"/>
      <c r="C935" s="1"/>
      <c r="E935" s="121"/>
      <c r="F935" s="138"/>
      <c r="G935" s="119"/>
      <c r="X935" s="3"/>
      <c r="AD935" s="119"/>
      <c r="AE935" s="119"/>
      <c r="AF935" s="119"/>
      <c r="AG935" s="119"/>
      <c r="AI935">
        <f t="shared" si="425"/>
        <v>406</v>
      </c>
      <c r="AJ935" t="str">
        <f t="shared" si="467"/>
        <v>NA</v>
      </c>
      <c r="AK935" t="str">
        <f>IF(ISERROR(MATCH(AI935&amp;"."&amp;AJ935,AK$91:AK934,0)),AI935&amp;"."&amp;AJ935,AI935&amp;"."&amp;AJ935&amp;COUNTIFS(AI$91:AI934,AI935,AJ$91:AJ934,AJ935))</f>
        <v>406.NA2</v>
      </c>
    </row>
    <row r="936" spans="1:37" ht="15" hidden="1">
      <c r="A936" s="120">
        <f>ROW()</f>
        <v>936</v>
      </c>
      <c r="B936" s="120"/>
      <c r="C936" s="1">
        <v>407</v>
      </c>
      <c r="D936" s="2" t="s">
        <v>417</v>
      </c>
      <c r="E936" s="121"/>
      <c r="F936" s="138"/>
      <c r="G936" s="119"/>
      <c r="X936" s="3"/>
      <c r="AD936" s="119"/>
      <c r="AE936" s="119"/>
      <c r="AF936" s="119"/>
      <c r="AG936" s="119"/>
      <c r="AI936">
        <f t="shared" si="425"/>
        <v>407</v>
      </c>
      <c r="AJ936" t="str">
        <f t="shared" si="467"/>
        <v>NA</v>
      </c>
      <c r="AK936" t="str">
        <f>IF(ISERROR(MATCH(AI936&amp;"."&amp;AJ936,AK$91:AK935,0)),AI936&amp;"."&amp;AJ936,AI936&amp;"."&amp;AJ936&amp;COUNTIFS(AI$91:AI935,AI936,AJ$91:AJ935,AJ936))</f>
        <v>407.NA</v>
      </c>
    </row>
    <row r="937" spans="1:37" ht="15" hidden="1">
      <c r="A937" s="120">
        <f>ROW()</f>
        <v>937</v>
      </c>
      <c r="B937" s="120"/>
      <c r="E937" s="121" t="s">
        <v>12</v>
      </c>
      <c r="F937" s="138" t="str">
        <f>INDEX(FuncAllocOptions,ROW(A937)-ROW($A$92)+1,[4]Inputs!$S$11)</f>
        <v>P</v>
      </c>
      <c r="G937" s="117" t="e">
        <f t="shared" ref="G937:G942" si="475">SUMIF(FERCJAMFactor,AK937,JAMValue)</f>
        <v>#VALUE!</v>
      </c>
      <c r="H937" s="116" t="e">
        <f t="shared" ref="H937:L942" si="476">INDEX(FuncFactorTbl,MATCH($F937,FuncFactors,0),MATCH(H$8,Functions,0))*$G937</f>
        <v>#VALUE!</v>
      </c>
      <c r="I937" s="116" t="e">
        <f t="shared" si="476"/>
        <v>#VALUE!</v>
      </c>
      <c r="J937" s="116" t="e">
        <f t="shared" si="476"/>
        <v>#VALUE!</v>
      </c>
      <c r="K937" s="116" t="e">
        <f t="shared" si="476"/>
        <v>#VALUE!</v>
      </c>
      <c r="L937" s="116" t="e">
        <f t="shared" si="476"/>
        <v>#VALUE!</v>
      </c>
      <c r="N937" s="108">
        <v>0.75</v>
      </c>
      <c r="O937" s="116" t="e">
        <f t="shared" ref="O937:O942" si="477">$H937*$N937*$M937</f>
        <v>#VALUE!</v>
      </c>
      <c r="P937" s="116" t="e">
        <f t="shared" ref="P937:P942" si="478">$H937*(1-$N937)*$M937</f>
        <v>#VALUE!</v>
      </c>
      <c r="Q937" s="116" t="e">
        <f t="shared" ref="Q937:Q942" si="479">$H937*$N937*(1-$M937)</f>
        <v>#VALUE!</v>
      </c>
      <c r="R937" s="116" t="e">
        <f t="shared" ref="R937:R942" si="480">$H937*(1-$N937)*(1-$M937)</f>
        <v>#VALUE!</v>
      </c>
      <c r="S937" s="108">
        <v>0.75</v>
      </c>
      <c r="T937" s="116" t="e">
        <f t="shared" ref="T937:T942" si="481">$I937*$S937*$M937</f>
        <v>#VALUE!</v>
      </c>
      <c r="U937" s="116" t="e">
        <f t="shared" ref="U937:U942" si="482">$I937*(1-$S937)*$M937</f>
        <v>#VALUE!</v>
      </c>
      <c r="V937" s="116" t="e">
        <f t="shared" ref="V937:V942" si="483">$I937*$S937*(1-$M937)</f>
        <v>#VALUE!</v>
      </c>
      <c r="W937" s="116" t="e">
        <f t="shared" ref="W937:W942" si="484">$I937*(1-$S937)*(1-$M937)</f>
        <v>#VALUE!</v>
      </c>
      <c r="X937" s="3" t="str">
        <f>INDEX(DistFuncAllocOptions,ROW(A937)-ROW($A$92)+1,[4]Inputs!$S$11)</f>
        <v>PLNT</v>
      </c>
      <c r="Y937" s="116" t="e">
        <f t="shared" ref="Y937:AC942" si="485">INDEX(DistFuncFactorTbl,MATCH($X937,DistFuncFactors,0),MATCH(Y$91,DistFunctions,0))*$J937</f>
        <v>#VALUE!</v>
      </c>
      <c r="Z937" s="116" t="e">
        <f t="shared" si="485"/>
        <v>#VALUE!</v>
      </c>
      <c r="AA937" s="116" t="e">
        <f t="shared" si="485"/>
        <v>#VALUE!</v>
      </c>
      <c r="AB937" s="116" t="e">
        <f t="shared" si="485"/>
        <v>#VALUE!</v>
      </c>
      <c r="AC937" s="116" t="e">
        <f t="shared" si="485"/>
        <v>#VALUE!</v>
      </c>
      <c r="AD937" s="117" t="e">
        <f t="shared" ref="AD937:AD943" si="486">ROUND(SUM(-G937,H937:L937),0)</f>
        <v>#VALUE!</v>
      </c>
      <c r="AE937" s="117" t="e">
        <f t="shared" ref="AE937:AE943" si="487">ROUND(H937-O937-P937-Q937-R937,0)</f>
        <v>#VALUE!</v>
      </c>
      <c r="AF937" s="117" t="e">
        <f t="shared" ref="AF937:AF943" si="488">ROUND(I937-T937-U937-V937-W937,0)</f>
        <v>#VALUE!</v>
      </c>
      <c r="AG937" s="117" t="e">
        <f t="shared" ref="AG937:AG943" si="489">ROUND(J937-Y937-Z937-AA937-AC937-AB937,0)</f>
        <v>#VALUE!</v>
      </c>
      <c r="AH937" s="116"/>
      <c r="AI937">
        <f t="shared" si="425"/>
        <v>407</v>
      </c>
      <c r="AJ937" t="str">
        <f t="shared" si="467"/>
        <v>S</v>
      </c>
      <c r="AK937" t="str">
        <f>IF(ISERROR(MATCH(AI937&amp;"."&amp;AJ937,AK$91:AK936,0)),AI937&amp;"."&amp;AJ937,AI937&amp;"."&amp;AJ937&amp;COUNTIFS(AI$91:AI936,AI937,AJ$91:AJ936,AJ937))</f>
        <v>407.S</v>
      </c>
    </row>
    <row r="938" spans="1:37" ht="15" hidden="1">
      <c r="A938" s="120">
        <f>ROW()</f>
        <v>938</v>
      </c>
      <c r="B938" s="120"/>
      <c r="E938" s="121" t="s">
        <v>136</v>
      </c>
      <c r="F938" s="138" t="str">
        <f>INDEX(FuncAllocOptions,ROW(A938)-ROW($A$92)+1,[4]Inputs!$S$11)</f>
        <v>GP</v>
      </c>
      <c r="G938" s="117" t="e">
        <f t="shared" si="475"/>
        <v>#VALUE!</v>
      </c>
      <c r="H938" s="116" t="e">
        <f t="shared" si="476"/>
        <v>#VALUE!</v>
      </c>
      <c r="I938" s="116" t="e">
        <f t="shared" si="476"/>
        <v>#VALUE!</v>
      </c>
      <c r="J938" s="116" t="e">
        <f t="shared" si="476"/>
        <v>#VALUE!</v>
      </c>
      <c r="K938" s="116" t="e">
        <f t="shared" si="476"/>
        <v>#VALUE!</v>
      </c>
      <c r="L938" s="116" t="e">
        <f t="shared" si="476"/>
        <v>#VALUE!</v>
      </c>
      <c r="N938" s="108">
        <v>0.75</v>
      </c>
      <c r="O938" s="116" t="e">
        <f t="shared" si="477"/>
        <v>#VALUE!</v>
      </c>
      <c r="P938" s="116" t="e">
        <f t="shared" si="478"/>
        <v>#VALUE!</v>
      </c>
      <c r="Q938" s="116" t="e">
        <f t="shared" si="479"/>
        <v>#VALUE!</v>
      </c>
      <c r="R938" s="116" t="e">
        <f t="shared" si="480"/>
        <v>#VALUE!</v>
      </c>
      <c r="S938" s="108">
        <v>0.75</v>
      </c>
      <c r="T938" s="116" t="e">
        <f t="shared" si="481"/>
        <v>#VALUE!</v>
      </c>
      <c r="U938" s="116" t="e">
        <f t="shared" si="482"/>
        <v>#VALUE!</v>
      </c>
      <c r="V938" s="116" t="e">
        <f t="shared" si="483"/>
        <v>#VALUE!</v>
      </c>
      <c r="W938" s="116" t="e">
        <f t="shared" si="484"/>
        <v>#VALUE!</v>
      </c>
      <c r="X938" s="3" t="str">
        <f>INDEX(DistFuncAllocOptions,ROW(A938)-ROW($A$92)+1,[4]Inputs!$S$11)</f>
        <v>PLNT</v>
      </c>
      <c r="Y938" s="116" t="e">
        <f t="shared" si="485"/>
        <v>#VALUE!</v>
      </c>
      <c r="Z938" s="116" t="e">
        <f t="shared" si="485"/>
        <v>#VALUE!</v>
      </c>
      <c r="AA938" s="116" t="e">
        <f t="shared" si="485"/>
        <v>#VALUE!</v>
      </c>
      <c r="AB938" s="116" t="e">
        <f t="shared" si="485"/>
        <v>#VALUE!</v>
      </c>
      <c r="AC938" s="116" t="e">
        <f t="shared" si="485"/>
        <v>#VALUE!</v>
      </c>
      <c r="AD938" s="117" t="e">
        <f t="shared" si="486"/>
        <v>#VALUE!</v>
      </c>
      <c r="AE938" s="117" t="e">
        <f t="shared" si="487"/>
        <v>#VALUE!</v>
      </c>
      <c r="AF938" s="117" t="e">
        <f t="shared" si="488"/>
        <v>#VALUE!</v>
      </c>
      <c r="AG938" s="117" t="e">
        <f t="shared" si="489"/>
        <v>#VALUE!</v>
      </c>
      <c r="AH938" s="116"/>
      <c r="AI938">
        <f t="shared" si="425"/>
        <v>407</v>
      </c>
      <c r="AJ938" t="str">
        <f t="shared" si="467"/>
        <v>SO</v>
      </c>
      <c r="AK938" t="str">
        <f>IF(ISERROR(MATCH(AI938&amp;"."&amp;AJ938,AK$91:AK937,0)),AI938&amp;"."&amp;AJ938,AI938&amp;"."&amp;AJ938&amp;COUNTIFS(AI$91:AI937,AI938,AJ$91:AJ937,AJ938))</f>
        <v>407.SO</v>
      </c>
    </row>
    <row r="939" spans="1:37" ht="15" hidden="1">
      <c r="A939" s="120">
        <f>ROW()</f>
        <v>939</v>
      </c>
      <c r="B939" s="120"/>
      <c r="E939" s="121" t="s">
        <v>15</v>
      </c>
      <c r="F939" s="138" t="str">
        <f>INDEX(FuncAllocOptions,ROW(A939)-ROW($A$92)+1,[4]Inputs!$S$11)</f>
        <v>P</v>
      </c>
      <c r="G939" s="117" t="e">
        <f t="shared" si="475"/>
        <v>#VALUE!</v>
      </c>
      <c r="H939" s="116" t="e">
        <f t="shared" si="476"/>
        <v>#VALUE!</v>
      </c>
      <c r="I939" s="116" t="e">
        <f t="shared" si="476"/>
        <v>#VALUE!</v>
      </c>
      <c r="J939" s="116" t="e">
        <f t="shared" si="476"/>
        <v>#VALUE!</v>
      </c>
      <c r="K939" s="116" t="e">
        <f t="shared" si="476"/>
        <v>#VALUE!</v>
      </c>
      <c r="L939" s="116" t="e">
        <f t="shared" si="476"/>
        <v>#VALUE!</v>
      </c>
      <c r="N939" s="108">
        <v>0.75</v>
      </c>
      <c r="O939" s="116" t="e">
        <f t="shared" si="477"/>
        <v>#VALUE!</v>
      </c>
      <c r="P939" s="116" t="e">
        <f t="shared" si="478"/>
        <v>#VALUE!</v>
      </c>
      <c r="Q939" s="116" t="e">
        <f t="shared" si="479"/>
        <v>#VALUE!</v>
      </c>
      <c r="R939" s="116" t="e">
        <f t="shared" si="480"/>
        <v>#VALUE!</v>
      </c>
      <c r="S939" s="108">
        <v>0.75</v>
      </c>
      <c r="T939" s="116" t="e">
        <f t="shared" si="481"/>
        <v>#VALUE!</v>
      </c>
      <c r="U939" s="116" t="e">
        <f t="shared" si="482"/>
        <v>#VALUE!</v>
      </c>
      <c r="V939" s="116" t="e">
        <f t="shared" si="483"/>
        <v>#VALUE!</v>
      </c>
      <c r="W939" s="116" t="e">
        <f t="shared" si="484"/>
        <v>#VALUE!</v>
      </c>
      <c r="X939" s="3" t="str">
        <f>INDEX(DistFuncAllocOptions,ROW(A939)-ROW($A$92)+1,[4]Inputs!$S$11)</f>
        <v>PLNT</v>
      </c>
      <c r="Y939" s="116" t="e">
        <f t="shared" si="485"/>
        <v>#VALUE!</v>
      </c>
      <c r="Z939" s="116" t="e">
        <f t="shared" si="485"/>
        <v>#VALUE!</v>
      </c>
      <c r="AA939" s="116" t="e">
        <f t="shared" si="485"/>
        <v>#VALUE!</v>
      </c>
      <c r="AB939" s="116" t="e">
        <f t="shared" si="485"/>
        <v>#VALUE!</v>
      </c>
      <c r="AC939" s="116" t="e">
        <f t="shared" si="485"/>
        <v>#VALUE!</v>
      </c>
      <c r="AD939" s="117" t="e">
        <f t="shared" si="486"/>
        <v>#VALUE!</v>
      </c>
      <c r="AE939" s="117" t="e">
        <f t="shared" si="487"/>
        <v>#VALUE!</v>
      </c>
      <c r="AF939" s="117" t="e">
        <f t="shared" si="488"/>
        <v>#VALUE!</v>
      </c>
      <c r="AG939" s="117" t="e">
        <f t="shared" si="489"/>
        <v>#VALUE!</v>
      </c>
      <c r="AH939" s="116"/>
      <c r="AI939">
        <f t="shared" si="425"/>
        <v>407</v>
      </c>
      <c r="AJ939" t="str">
        <f t="shared" si="467"/>
        <v>SG</v>
      </c>
      <c r="AK939" t="str">
        <f>IF(ISERROR(MATCH(AI939&amp;"."&amp;AJ939,AK$91:AK938,0)),AI939&amp;"."&amp;AJ939,AI939&amp;"."&amp;AJ939&amp;COUNTIFS(AI$91:AI938,AI939,AJ$91:AJ938,AJ939))</f>
        <v>407.SG</v>
      </c>
    </row>
    <row r="940" spans="1:37" ht="15" hidden="1">
      <c r="A940" s="120">
        <f>ROW()</f>
        <v>940</v>
      </c>
      <c r="B940" s="120"/>
      <c r="E940" s="121" t="s">
        <v>16</v>
      </c>
      <c r="F940" s="138" t="str">
        <f>INDEX(FuncAllocOptions,ROW(A940)-ROW($A$92)+1,[4]Inputs!$S$11)</f>
        <v>P</v>
      </c>
      <c r="G940" s="117" t="e">
        <f t="shared" si="475"/>
        <v>#VALUE!</v>
      </c>
      <c r="H940" s="116" t="e">
        <f t="shared" si="476"/>
        <v>#VALUE!</v>
      </c>
      <c r="I940" s="116" t="e">
        <f t="shared" si="476"/>
        <v>#VALUE!</v>
      </c>
      <c r="J940" s="116" t="e">
        <f t="shared" si="476"/>
        <v>#VALUE!</v>
      </c>
      <c r="K940" s="116" t="e">
        <f t="shared" si="476"/>
        <v>#VALUE!</v>
      </c>
      <c r="L940" s="116" t="e">
        <f t="shared" si="476"/>
        <v>#VALUE!</v>
      </c>
      <c r="N940" s="108">
        <v>0.75</v>
      </c>
      <c r="O940" s="116" t="e">
        <f t="shared" si="477"/>
        <v>#VALUE!</v>
      </c>
      <c r="P940" s="116" t="e">
        <f t="shared" si="478"/>
        <v>#VALUE!</v>
      </c>
      <c r="Q940" s="116" t="e">
        <f t="shared" si="479"/>
        <v>#VALUE!</v>
      </c>
      <c r="R940" s="116" t="e">
        <f t="shared" si="480"/>
        <v>#VALUE!</v>
      </c>
      <c r="S940" s="108">
        <v>0.75</v>
      </c>
      <c r="T940" s="116" t="e">
        <f t="shared" si="481"/>
        <v>#VALUE!</v>
      </c>
      <c r="U940" s="116" t="e">
        <f t="shared" si="482"/>
        <v>#VALUE!</v>
      </c>
      <c r="V940" s="116" t="e">
        <f t="shared" si="483"/>
        <v>#VALUE!</v>
      </c>
      <c r="W940" s="116" t="e">
        <f t="shared" si="484"/>
        <v>#VALUE!</v>
      </c>
      <c r="X940" s="3" t="str">
        <f>INDEX(DistFuncAllocOptions,ROW(A940)-ROW($A$92)+1,[4]Inputs!$S$11)</f>
        <v>PLNT</v>
      </c>
      <c r="Y940" s="116" t="e">
        <f t="shared" si="485"/>
        <v>#VALUE!</v>
      </c>
      <c r="Z940" s="116" t="e">
        <f t="shared" si="485"/>
        <v>#VALUE!</v>
      </c>
      <c r="AA940" s="116" t="e">
        <f t="shared" si="485"/>
        <v>#VALUE!</v>
      </c>
      <c r="AB940" s="116" t="e">
        <f t="shared" si="485"/>
        <v>#VALUE!</v>
      </c>
      <c r="AC940" s="116" t="e">
        <f t="shared" si="485"/>
        <v>#VALUE!</v>
      </c>
      <c r="AD940" s="117" t="e">
        <f t="shared" si="486"/>
        <v>#VALUE!</v>
      </c>
      <c r="AE940" s="117" t="e">
        <f t="shared" si="487"/>
        <v>#VALUE!</v>
      </c>
      <c r="AF940" s="117" t="e">
        <f t="shared" si="488"/>
        <v>#VALUE!</v>
      </c>
      <c r="AG940" s="117" t="e">
        <f t="shared" si="489"/>
        <v>#VALUE!</v>
      </c>
      <c r="AH940" s="116"/>
      <c r="AI940">
        <f t="shared" ref="AI940:AI1003" si="490">IF(OR(C940="",C940=" ",C940="  ",C940="   "),AI939,C940)</f>
        <v>407</v>
      </c>
      <c r="AJ940" t="str">
        <f t="shared" si="467"/>
        <v>SE</v>
      </c>
      <c r="AK940" t="str">
        <f>IF(ISERROR(MATCH(AI940&amp;"."&amp;AJ940,AK$91:AK939,0)),AI940&amp;"."&amp;AJ940,AI940&amp;"."&amp;AJ940&amp;COUNTIFS(AI$91:AI939,AI940,AJ$91:AJ939,AJ940))</f>
        <v>407.SE</v>
      </c>
    </row>
    <row r="941" spans="1:37" ht="15" hidden="1">
      <c r="A941" s="120">
        <f>ROW()</f>
        <v>941</v>
      </c>
      <c r="B941" s="120"/>
      <c r="E941" s="121" t="s">
        <v>15</v>
      </c>
      <c r="F941" s="138" t="str">
        <f>INDEX(FuncAllocOptions,ROW(A941)-ROW($A$92)+1,[4]Inputs!$S$11)</f>
        <v>P</v>
      </c>
      <c r="G941" s="117" t="e">
        <f t="shared" si="475"/>
        <v>#VALUE!</v>
      </c>
      <c r="H941" s="116" t="e">
        <f t="shared" si="476"/>
        <v>#VALUE!</v>
      </c>
      <c r="I941" s="116" t="e">
        <f t="shared" si="476"/>
        <v>#VALUE!</v>
      </c>
      <c r="J941" s="116" t="e">
        <f t="shared" si="476"/>
        <v>#VALUE!</v>
      </c>
      <c r="K941" s="116" t="e">
        <f t="shared" si="476"/>
        <v>#VALUE!</v>
      </c>
      <c r="L941" s="116" t="e">
        <f t="shared" si="476"/>
        <v>#VALUE!</v>
      </c>
      <c r="N941" s="108">
        <v>0.75</v>
      </c>
      <c r="O941" s="116" t="e">
        <f t="shared" si="477"/>
        <v>#VALUE!</v>
      </c>
      <c r="P941" s="116" t="e">
        <f t="shared" si="478"/>
        <v>#VALUE!</v>
      </c>
      <c r="Q941" s="116" t="e">
        <f t="shared" si="479"/>
        <v>#VALUE!</v>
      </c>
      <c r="R941" s="116" t="e">
        <f t="shared" si="480"/>
        <v>#VALUE!</v>
      </c>
      <c r="S941" s="108">
        <v>0.75</v>
      </c>
      <c r="T941" s="116" t="e">
        <f t="shared" si="481"/>
        <v>#VALUE!</v>
      </c>
      <c r="U941" s="116" t="e">
        <f t="shared" si="482"/>
        <v>#VALUE!</v>
      </c>
      <c r="V941" s="116" t="e">
        <f t="shared" si="483"/>
        <v>#VALUE!</v>
      </c>
      <c r="W941" s="116" t="e">
        <f t="shared" si="484"/>
        <v>#VALUE!</v>
      </c>
      <c r="X941" s="3" t="str">
        <f>INDEX(DistFuncAllocOptions,ROW(A941)-ROW($A$92)+1,[4]Inputs!$S$11)</f>
        <v>PLNT</v>
      </c>
      <c r="Y941" s="116" t="e">
        <f t="shared" si="485"/>
        <v>#VALUE!</v>
      </c>
      <c r="Z941" s="116" t="e">
        <f t="shared" si="485"/>
        <v>#VALUE!</v>
      </c>
      <c r="AA941" s="116" t="e">
        <f t="shared" si="485"/>
        <v>#VALUE!</v>
      </c>
      <c r="AB941" s="116" t="e">
        <f t="shared" si="485"/>
        <v>#VALUE!</v>
      </c>
      <c r="AC941" s="116" t="e">
        <f t="shared" si="485"/>
        <v>#VALUE!</v>
      </c>
      <c r="AD941" s="117" t="e">
        <f t="shared" si="486"/>
        <v>#VALUE!</v>
      </c>
      <c r="AE941" s="117" t="e">
        <f t="shared" si="487"/>
        <v>#VALUE!</v>
      </c>
      <c r="AF941" s="117" t="e">
        <f t="shared" si="488"/>
        <v>#VALUE!</v>
      </c>
      <c r="AG941" s="117" t="e">
        <f t="shared" si="489"/>
        <v>#VALUE!</v>
      </c>
      <c r="AH941" s="116"/>
      <c r="AI941">
        <f t="shared" si="490"/>
        <v>407</v>
      </c>
      <c r="AJ941" t="str">
        <f t="shared" si="467"/>
        <v>SG</v>
      </c>
      <c r="AK941" t="str">
        <f>IF(ISERROR(MATCH(AI941&amp;"."&amp;AJ941,AK$91:AK940,0)),AI941&amp;"."&amp;AJ941,AI941&amp;"."&amp;AJ941&amp;COUNTIFS(AI$91:AI940,AI941,AJ$91:AJ940,AJ941))</f>
        <v>407.SG1</v>
      </c>
    </row>
    <row r="942" spans="1:37" ht="15" hidden="1">
      <c r="A942" s="120">
        <f>ROW()</f>
        <v>942</v>
      </c>
      <c r="B942" s="120"/>
      <c r="E942" s="121" t="s">
        <v>284</v>
      </c>
      <c r="F942" s="138" t="str">
        <f>INDEX(FuncAllocOptions,ROW(A942)-ROW($A$92)+1,[4]Inputs!$S$11)</f>
        <v>P</v>
      </c>
      <c r="G942" s="133" t="e">
        <f t="shared" si="475"/>
        <v>#VALUE!</v>
      </c>
      <c r="H942" s="139" t="e">
        <f t="shared" si="476"/>
        <v>#VALUE!</v>
      </c>
      <c r="I942" s="139" t="e">
        <f t="shared" si="476"/>
        <v>#VALUE!</v>
      </c>
      <c r="J942" s="139" t="e">
        <f t="shared" si="476"/>
        <v>#VALUE!</v>
      </c>
      <c r="K942" s="139" t="e">
        <f t="shared" si="476"/>
        <v>#VALUE!</v>
      </c>
      <c r="L942" s="139" t="e">
        <f t="shared" si="476"/>
        <v>#VALUE!</v>
      </c>
      <c r="N942" s="108">
        <v>0.75</v>
      </c>
      <c r="O942" s="116" t="e">
        <f t="shared" si="477"/>
        <v>#VALUE!</v>
      </c>
      <c r="P942" s="116" t="e">
        <f t="shared" si="478"/>
        <v>#VALUE!</v>
      </c>
      <c r="Q942" s="116" t="e">
        <f t="shared" si="479"/>
        <v>#VALUE!</v>
      </c>
      <c r="R942" s="116" t="e">
        <f t="shared" si="480"/>
        <v>#VALUE!</v>
      </c>
      <c r="S942" s="108">
        <v>0.75</v>
      </c>
      <c r="T942" s="116" t="e">
        <f t="shared" si="481"/>
        <v>#VALUE!</v>
      </c>
      <c r="U942" s="116" t="e">
        <f t="shared" si="482"/>
        <v>#VALUE!</v>
      </c>
      <c r="V942" s="116" t="e">
        <f t="shared" si="483"/>
        <v>#VALUE!</v>
      </c>
      <c r="W942" s="116" t="e">
        <f t="shared" si="484"/>
        <v>#VALUE!</v>
      </c>
      <c r="X942" s="3" t="str">
        <f>INDEX(DistFuncAllocOptions,ROW(A942)-ROW($A$92)+1,[4]Inputs!$S$11)</f>
        <v>PLNT</v>
      </c>
      <c r="Y942" s="116" t="e">
        <f t="shared" si="485"/>
        <v>#VALUE!</v>
      </c>
      <c r="Z942" s="116" t="e">
        <f t="shared" si="485"/>
        <v>#VALUE!</v>
      </c>
      <c r="AA942" s="116" t="e">
        <f t="shared" si="485"/>
        <v>#VALUE!</v>
      </c>
      <c r="AB942" s="116" t="e">
        <f t="shared" si="485"/>
        <v>#VALUE!</v>
      </c>
      <c r="AC942" s="116" t="e">
        <f t="shared" si="485"/>
        <v>#VALUE!</v>
      </c>
      <c r="AD942" s="117" t="e">
        <f t="shared" si="486"/>
        <v>#VALUE!</v>
      </c>
      <c r="AE942" s="117" t="e">
        <f t="shared" si="487"/>
        <v>#VALUE!</v>
      </c>
      <c r="AF942" s="117" t="e">
        <f t="shared" si="488"/>
        <v>#VALUE!</v>
      </c>
      <c r="AG942" s="117" t="e">
        <f t="shared" si="489"/>
        <v>#VALUE!</v>
      </c>
      <c r="AH942" s="116"/>
      <c r="AI942">
        <f t="shared" si="490"/>
        <v>407</v>
      </c>
      <c r="AJ942" t="str">
        <f t="shared" si="467"/>
        <v>TROJP</v>
      </c>
      <c r="AK942" t="str">
        <f>IF(ISERROR(MATCH(AI942&amp;"."&amp;AJ942,AK$91:AK941,0)),AI942&amp;"."&amp;AJ942,AI942&amp;"."&amp;AJ942&amp;COUNTIFS(AI$91:AI941,AI942,AJ$91:AJ941,AJ942))</f>
        <v>407.TROJP</v>
      </c>
    </row>
    <row r="943" spans="1:37" ht="15" hidden="1">
      <c r="A943" s="120">
        <f>ROW()</f>
        <v>943</v>
      </c>
      <c r="B943" s="120"/>
      <c r="E943" s="121"/>
      <c r="F943" s="138"/>
      <c r="G943" s="117" t="e">
        <f t="shared" ref="G943:L943" si="491">SUM(G937:G942)</f>
        <v>#VALUE!</v>
      </c>
      <c r="H943" s="116" t="e">
        <f t="shared" si="491"/>
        <v>#VALUE!</v>
      </c>
      <c r="I943" s="116" t="e">
        <f t="shared" si="491"/>
        <v>#VALUE!</v>
      </c>
      <c r="J943" s="116" t="e">
        <f t="shared" si="491"/>
        <v>#VALUE!</v>
      </c>
      <c r="K943" s="116" t="e">
        <f t="shared" si="491"/>
        <v>#VALUE!</v>
      </c>
      <c r="L943" s="116" t="e">
        <f t="shared" si="491"/>
        <v>#VALUE!</v>
      </c>
      <c r="O943" s="116" t="e">
        <f>SUM(O937:O942)</f>
        <v>#VALUE!</v>
      </c>
      <c r="P943" s="116" t="e">
        <f>SUM(P937:P942)</f>
        <v>#VALUE!</v>
      </c>
      <c r="Q943" s="116" t="e">
        <f>SUM(Q937:Q942)</f>
        <v>#VALUE!</v>
      </c>
      <c r="R943" s="116" t="e">
        <f>SUM(R937:R942)</f>
        <v>#VALUE!</v>
      </c>
      <c r="T943" s="116" t="e">
        <f>SUM(T937:T942)</f>
        <v>#VALUE!</v>
      </c>
      <c r="U943" s="116" t="e">
        <f>SUM(U937:U942)</f>
        <v>#VALUE!</v>
      </c>
      <c r="V943" s="116" t="e">
        <f>SUM(V937:V942)</f>
        <v>#VALUE!</v>
      </c>
      <c r="W943" s="116" t="e">
        <f>SUM(W937:W942)</f>
        <v>#VALUE!</v>
      </c>
      <c r="X943" s="3"/>
      <c r="Y943" s="116" t="e">
        <f>SUM(Y937:Y942)</f>
        <v>#VALUE!</v>
      </c>
      <c r="Z943" s="116" t="e">
        <f>SUM(Z937:Z942)</f>
        <v>#VALUE!</v>
      </c>
      <c r="AA943" s="116" t="e">
        <f>SUM(AA937:AA942)</f>
        <v>#VALUE!</v>
      </c>
      <c r="AB943" s="116" t="e">
        <f>SUM(AB937:AB942)</f>
        <v>#VALUE!</v>
      </c>
      <c r="AC943" s="116" t="e">
        <f>SUM(AC937:AC942)</f>
        <v>#VALUE!</v>
      </c>
      <c r="AD943" s="117" t="e">
        <f t="shared" si="486"/>
        <v>#VALUE!</v>
      </c>
      <c r="AE943" s="117" t="e">
        <f t="shared" si="487"/>
        <v>#VALUE!</v>
      </c>
      <c r="AF943" s="117" t="e">
        <f t="shared" si="488"/>
        <v>#VALUE!</v>
      </c>
      <c r="AG943" s="117" t="e">
        <f t="shared" si="489"/>
        <v>#VALUE!</v>
      </c>
      <c r="AH943" s="116"/>
      <c r="AI943">
        <f t="shared" si="490"/>
        <v>407</v>
      </c>
      <c r="AJ943" t="str">
        <f t="shared" si="467"/>
        <v>NA</v>
      </c>
      <c r="AK943" t="str">
        <f>IF(ISERROR(MATCH(AI943&amp;"."&amp;AJ943,AK$91:AK942,0)),AI943&amp;"."&amp;AJ943,AI943&amp;"."&amp;AJ943&amp;COUNTIFS(AI$91:AI942,AI943,AJ$91:AJ942,AJ943))</f>
        <v>407.NA1</v>
      </c>
    </row>
    <row r="944" spans="1:37" ht="15" hidden="1">
      <c r="A944" s="120">
        <f>ROW()</f>
        <v>944</v>
      </c>
      <c r="B944" s="120"/>
      <c r="E944" s="121"/>
      <c r="F944" s="138"/>
      <c r="G944" s="119"/>
      <c r="X944" s="3"/>
      <c r="AD944" s="119"/>
      <c r="AE944" s="119"/>
      <c r="AF944" s="119"/>
      <c r="AG944" s="119"/>
      <c r="AI944">
        <f t="shared" si="490"/>
        <v>407</v>
      </c>
      <c r="AJ944" t="str">
        <f t="shared" si="467"/>
        <v>NA</v>
      </c>
      <c r="AK944" t="str">
        <f>IF(ISERROR(MATCH(AI944&amp;"."&amp;AJ944,AK$91:AK943,0)),AI944&amp;"."&amp;AJ944,AI944&amp;"."&amp;AJ944&amp;COUNTIFS(AI$91:AI943,AI944,AJ$91:AJ943,AJ944))</f>
        <v>407.NA2</v>
      </c>
    </row>
    <row r="945" spans="1:37" ht="15.75" hidden="1" thickBot="1">
      <c r="A945" s="120">
        <f>ROW()</f>
        <v>945</v>
      </c>
      <c r="B945" s="120"/>
      <c r="C945" s="110" t="s">
        <v>756</v>
      </c>
      <c r="E945" s="121"/>
      <c r="F945" s="138"/>
      <c r="G945" s="153" t="e">
        <f t="shared" ref="G945:L945" si="492">G920+G934+G943</f>
        <v>#VALUE!</v>
      </c>
      <c r="H945" s="152" t="e">
        <f t="shared" si="492"/>
        <v>#VALUE!</v>
      </c>
      <c r="I945" s="152" t="e">
        <f t="shared" si="492"/>
        <v>#VALUE!</v>
      </c>
      <c r="J945" s="152" t="e">
        <f t="shared" si="492"/>
        <v>#VALUE!</v>
      </c>
      <c r="K945" s="152" t="e">
        <f t="shared" si="492"/>
        <v>#VALUE!</v>
      </c>
      <c r="L945" s="152" t="e">
        <f t="shared" si="492"/>
        <v>#VALUE!</v>
      </c>
      <c r="O945" s="116" t="e">
        <f>O920+O934+O943</f>
        <v>#VALUE!</v>
      </c>
      <c r="P945" s="116" t="e">
        <f>P920+P934+P943</f>
        <v>#VALUE!</v>
      </c>
      <c r="Q945" s="116" t="e">
        <f>Q920+Q934+Q943</f>
        <v>#VALUE!</v>
      </c>
      <c r="R945" s="116" t="e">
        <f>R920+R934+R943</f>
        <v>#VALUE!</v>
      </c>
      <c r="T945" s="116" t="e">
        <f>T920+T934+T943</f>
        <v>#VALUE!</v>
      </c>
      <c r="U945" s="116" t="e">
        <f>U920+U934+U943</f>
        <v>#VALUE!</v>
      </c>
      <c r="V945" s="116" t="e">
        <f>V920+V934+V943</f>
        <v>#VALUE!</v>
      </c>
      <c r="W945" s="116" t="e">
        <f>W920+W934+W943</f>
        <v>#VALUE!</v>
      </c>
      <c r="X945" s="3"/>
      <c r="Y945" s="116" t="e">
        <f>Y920+Y934+Y943</f>
        <v>#VALUE!</v>
      </c>
      <c r="Z945" s="116" t="e">
        <f>Z920+Z934+Z943</f>
        <v>#VALUE!</v>
      </c>
      <c r="AA945" s="116" t="e">
        <f>AA920+AA934+AA943</f>
        <v>#VALUE!</v>
      </c>
      <c r="AB945" s="116" t="e">
        <f>AB920+AB934+AB943</f>
        <v>#VALUE!</v>
      </c>
      <c r="AC945" s="116" t="e">
        <f>AC920+AC934+AC943</f>
        <v>#VALUE!</v>
      </c>
      <c r="AD945" s="117" t="e">
        <f>ROUND(SUM(-G945,H945:L945),0)</f>
        <v>#VALUE!</v>
      </c>
      <c r="AE945" s="117" t="e">
        <f>ROUND(H945-O945-P945-Q945-R945,0)</f>
        <v>#VALUE!</v>
      </c>
      <c r="AF945" s="117" t="e">
        <f>ROUND(I945-T945-U945-V945-W945,0)</f>
        <v>#VALUE!</v>
      </c>
      <c r="AG945" s="117" t="e">
        <f>ROUND(J945-Y945-Z945-AA945-AC945-AB945,0)</f>
        <v>#VALUE!</v>
      </c>
      <c r="AH945" s="116"/>
      <c r="AI945" t="str">
        <f t="shared" si="490"/>
        <v>TOTAL AMORTIZATION EXPENSE</v>
      </c>
      <c r="AJ945" t="str">
        <f t="shared" si="467"/>
        <v>NA</v>
      </c>
      <c r="AK945" t="str">
        <f>IF(ISERROR(MATCH(AI945&amp;"."&amp;AJ945,AK$91:AK944,0)),AI945&amp;"."&amp;AJ945,AI945&amp;"."&amp;AJ945&amp;COUNTIFS(AI$91:AI944,AI945,AJ$91:AJ944,AJ945))</f>
        <v>TOTAL AMORTIZATION EXPENSE.NA</v>
      </c>
    </row>
    <row r="946" spans="1:37" ht="15" hidden="1">
      <c r="A946" s="120">
        <f>ROW()</f>
        <v>946</v>
      </c>
      <c r="B946" s="120"/>
      <c r="E946" s="121"/>
      <c r="F946" s="138"/>
      <c r="G946" s="119"/>
      <c r="X946" s="3"/>
      <c r="AD946" s="119"/>
      <c r="AE946" s="119"/>
      <c r="AF946" s="119"/>
      <c r="AG946" s="119"/>
      <c r="AI946" t="str">
        <f t="shared" si="490"/>
        <v>TOTAL AMORTIZATION EXPENSE</v>
      </c>
      <c r="AJ946" t="str">
        <f t="shared" si="467"/>
        <v>NA</v>
      </c>
      <c r="AK946" t="str">
        <f>IF(ISERROR(MATCH(AI946&amp;"."&amp;AJ946,AK$91:AK945,0)),AI946&amp;"."&amp;AJ946,AI946&amp;"."&amp;AJ946&amp;COUNTIFS(AI$91:AI945,AI946,AJ$91:AJ945,AJ946))</f>
        <v>TOTAL AMORTIZATION EXPENSE.NA1</v>
      </c>
    </row>
    <row r="947" spans="1:37" ht="15" hidden="1">
      <c r="A947" s="120">
        <f>ROW()</f>
        <v>947</v>
      </c>
      <c r="B947" s="120"/>
      <c r="C947" s="1">
        <v>408</v>
      </c>
      <c r="D947" s="2" t="s">
        <v>422</v>
      </c>
      <c r="E947" s="121"/>
      <c r="F947" s="138"/>
      <c r="G947" s="119"/>
      <c r="X947" s="3"/>
      <c r="AD947" s="119"/>
      <c r="AE947" s="119"/>
      <c r="AF947" s="119"/>
      <c r="AG947" s="119"/>
      <c r="AI947">
        <f t="shared" si="490"/>
        <v>408</v>
      </c>
      <c r="AJ947" t="str">
        <f t="shared" si="467"/>
        <v>NA</v>
      </c>
      <c r="AK947" t="str">
        <f>IF(ISERROR(MATCH(AI947&amp;"."&amp;AJ947,AK$91:AK946,0)),AI947&amp;"."&amp;AJ947,AI947&amp;"."&amp;AJ947&amp;COUNTIFS(AI$91:AI946,AI947,AJ$91:AJ946,AJ947))</f>
        <v>408.NA</v>
      </c>
    </row>
    <row r="948" spans="1:37" ht="15" hidden="1">
      <c r="A948" s="120">
        <f>ROW()</f>
        <v>948</v>
      </c>
      <c r="B948" s="120"/>
      <c r="E948" s="120" t="s">
        <v>12</v>
      </c>
      <c r="F948" s="138" t="str">
        <f>INDEX(FuncAllocOptions,ROW(A948)-ROW($A$92)+1,[4]Inputs!$S$11)</f>
        <v>DMSC</v>
      </c>
      <c r="G948" s="117" t="e">
        <f t="shared" ref="G948:G955" si="493">SUMIF(FERCJAMFactor,AK948,JAMValue)</f>
        <v>#VALUE!</v>
      </c>
      <c r="H948" s="116" t="e">
        <f t="shared" ref="H948:L955" si="494">INDEX(FuncFactorTbl,MATCH($F948,FuncFactors,0),MATCH(H$8,Functions,0))*$G948</f>
        <v>#VALUE!</v>
      </c>
      <c r="I948" s="116" t="e">
        <f t="shared" si="494"/>
        <v>#VALUE!</v>
      </c>
      <c r="J948" s="116" t="e">
        <f t="shared" si="494"/>
        <v>#VALUE!</v>
      </c>
      <c r="K948" s="116" t="e">
        <f t="shared" si="494"/>
        <v>#VALUE!</v>
      </c>
      <c r="L948" s="116" t="e">
        <f t="shared" si="494"/>
        <v>#VALUE!</v>
      </c>
      <c r="N948" s="108">
        <v>0.75</v>
      </c>
      <c r="O948" s="116" t="e">
        <f t="shared" ref="O948:O955" si="495">$H948*$N948*$M948</f>
        <v>#VALUE!</v>
      </c>
      <c r="P948" s="116" t="e">
        <f t="shared" ref="P948:P955" si="496">$H948*(1-$N948)*$M948</f>
        <v>#VALUE!</v>
      </c>
      <c r="Q948" s="116" t="e">
        <f t="shared" ref="Q948:Q955" si="497">$H948*$N948*(1-$M948)</f>
        <v>#VALUE!</v>
      </c>
      <c r="R948" s="116" t="e">
        <f t="shared" ref="R948:R955" si="498">$H948*(1-$N948)*(1-$M948)</f>
        <v>#VALUE!</v>
      </c>
      <c r="S948" s="108">
        <v>0.75</v>
      </c>
      <c r="T948" s="116" t="e">
        <f t="shared" ref="T948:T955" si="499">$I948*$S948*$M948</f>
        <v>#VALUE!</v>
      </c>
      <c r="U948" s="116" t="e">
        <f t="shared" ref="U948:U955" si="500">$I948*(1-$S948)*$M948</f>
        <v>#VALUE!</v>
      </c>
      <c r="V948" s="116" t="e">
        <f t="shared" ref="V948:V955" si="501">$I948*$S948*(1-$M948)</f>
        <v>#VALUE!</v>
      </c>
      <c r="W948" s="116" t="e">
        <f t="shared" ref="W948:W955" si="502">$I948*(1-$S948)*(1-$M948)</f>
        <v>#VALUE!</v>
      </c>
      <c r="X948" s="3" t="str">
        <f>INDEX(DistFuncAllocOptions,ROW(A948)-ROW($A$92)+1,[4]Inputs!$S$11)</f>
        <v>PLNT</v>
      </c>
      <c r="Y948" s="116" t="e">
        <f t="shared" ref="Y948:AC955" si="503">INDEX(DistFuncFactorTbl,MATCH($X948,DistFuncFactors,0),MATCH(Y$91,DistFunctions,0))*$J948</f>
        <v>#VALUE!</v>
      </c>
      <c r="Z948" s="116" t="e">
        <f t="shared" si="503"/>
        <v>#VALUE!</v>
      </c>
      <c r="AA948" s="116" t="e">
        <f t="shared" si="503"/>
        <v>#VALUE!</v>
      </c>
      <c r="AB948" s="116" t="e">
        <f t="shared" si="503"/>
        <v>#VALUE!</v>
      </c>
      <c r="AC948" s="116" t="e">
        <f t="shared" si="503"/>
        <v>#VALUE!</v>
      </c>
      <c r="AD948" s="117" t="e">
        <f t="shared" ref="AD948:AD956" si="504">ROUND(SUM(-G948,H948:L948),0)</f>
        <v>#VALUE!</v>
      </c>
      <c r="AE948" s="117" t="e">
        <f t="shared" ref="AE948:AE956" si="505">ROUND(H948-O948-P948-Q948-R948,0)</f>
        <v>#VALUE!</v>
      </c>
      <c r="AF948" s="117" t="e">
        <f t="shared" ref="AF948:AF956" si="506">ROUND(I948-T948-U948-V948-W948,0)</f>
        <v>#VALUE!</v>
      </c>
      <c r="AG948" s="117" t="e">
        <f t="shared" ref="AG948:AG956" si="507">ROUND(J948-Y948-Z948-AA948-AC948-AB948,0)</f>
        <v>#VALUE!</v>
      </c>
      <c r="AH948" s="116"/>
      <c r="AI948">
        <f t="shared" si="490"/>
        <v>408</v>
      </c>
      <c r="AJ948" t="str">
        <f t="shared" si="467"/>
        <v>S</v>
      </c>
      <c r="AK948" t="str">
        <f>IF(ISERROR(MATCH(AI948&amp;"."&amp;AJ948,AK$91:AK947,0)),AI948&amp;"."&amp;AJ948,AI948&amp;"."&amp;AJ948&amp;COUNTIFS(AI$91:AI947,AI948,AJ$91:AJ947,AJ948))</f>
        <v>408.S</v>
      </c>
    </row>
    <row r="949" spans="1:37" ht="15" hidden="1">
      <c r="A949" s="120">
        <f>ROW()</f>
        <v>949</v>
      </c>
      <c r="B949" s="120"/>
      <c r="E949" s="120" t="s">
        <v>423</v>
      </c>
      <c r="F949" s="138" t="str">
        <f>INDEX(FuncAllocOptions,ROW(A949)-ROW($A$92)+1,[4]Inputs!$S$11)</f>
        <v>GP</v>
      </c>
      <c r="G949" s="117" t="e">
        <f t="shared" si="493"/>
        <v>#VALUE!</v>
      </c>
      <c r="H949" s="116" t="e">
        <f t="shared" si="494"/>
        <v>#VALUE!</v>
      </c>
      <c r="I949" s="116" t="e">
        <f t="shared" si="494"/>
        <v>#VALUE!</v>
      </c>
      <c r="J949" s="116" t="e">
        <f t="shared" si="494"/>
        <v>#VALUE!</v>
      </c>
      <c r="K949" s="116" t="e">
        <f t="shared" si="494"/>
        <v>#VALUE!</v>
      </c>
      <c r="L949" s="116" t="e">
        <f t="shared" si="494"/>
        <v>#VALUE!</v>
      </c>
      <c r="N949" s="108">
        <v>0.75</v>
      </c>
      <c r="O949" s="116" t="e">
        <f t="shared" si="495"/>
        <v>#VALUE!</v>
      </c>
      <c r="P949" s="116" t="e">
        <f t="shared" si="496"/>
        <v>#VALUE!</v>
      </c>
      <c r="Q949" s="116" t="e">
        <f t="shared" si="497"/>
        <v>#VALUE!</v>
      </c>
      <c r="R949" s="116" t="e">
        <f t="shared" si="498"/>
        <v>#VALUE!</v>
      </c>
      <c r="S949" s="108">
        <v>0.75</v>
      </c>
      <c r="T949" s="116" t="e">
        <f t="shared" si="499"/>
        <v>#VALUE!</v>
      </c>
      <c r="U949" s="116" t="e">
        <f t="shared" si="500"/>
        <v>#VALUE!</v>
      </c>
      <c r="V949" s="116" t="e">
        <f t="shared" si="501"/>
        <v>#VALUE!</v>
      </c>
      <c r="W949" s="116" t="e">
        <f t="shared" si="502"/>
        <v>#VALUE!</v>
      </c>
      <c r="X949" s="3" t="str">
        <f>INDEX(DistFuncAllocOptions,ROW(A949)-ROW($A$92)+1,[4]Inputs!$S$11)</f>
        <v>PLNT</v>
      </c>
      <c r="Y949" s="116" t="e">
        <f t="shared" si="503"/>
        <v>#VALUE!</v>
      </c>
      <c r="Z949" s="116" t="e">
        <f t="shared" si="503"/>
        <v>#VALUE!</v>
      </c>
      <c r="AA949" s="116" t="e">
        <f t="shared" si="503"/>
        <v>#VALUE!</v>
      </c>
      <c r="AB949" s="116" t="e">
        <f t="shared" si="503"/>
        <v>#VALUE!</v>
      </c>
      <c r="AC949" s="116" t="e">
        <f t="shared" si="503"/>
        <v>#VALUE!</v>
      </c>
      <c r="AD949" s="117" t="e">
        <f t="shared" si="504"/>
        <v>#VALUE!</v>
      </c>
      <c r="AE949" s="117" t="e">
        <f t="shared" si="505"/>
        <v>#VALUE!</v>
      </c>
      <c r="AF949" s="117" t="e">
        <f t="shared" si="506"/>
        <v>#VALUE!</v>
      </c>
      <c r="AG949" s="117" t="e">
        <f t="shared" si="507"/>
        <v>#VALUE!</v>
      </c>
      <c r="AH949" s="116"/>
      <c r="AI949">
        <f t="shared" si="490"/>
        <v>408</v>
      </c>
      <c r="AJ949" t="str">
        <f t="shared" si="467"/>
        <v>GPS</v>
      </c>
      <c r="AK949" t="str">
        <f>IF(ISERROR(MATCH(AI949&amp;"."&amp;AJ949,AK$91:AK948,0)),AI949&amp;"."&amp;AJ949,AI949&amp;"."&amp;AJ949&amp;COUNTIFS(AI$91:AI948,AI949,AJ$91:AJ948,AJ949))</f>
        <v>408.GPS</v>
      </c>
    </row>
    <row r="950" spans="1:37" ht="15" hidden="1">
      <c r="A950" s="120">
        <f>ROW()</f>
        <v>950</v>
      </c>
      <c r="B950" s="120"/>
      <c r="E950" s="120" t="s">
        <v>136</v>
      </c>
      <c r="F950" s="138" t="str">
        <f>INDEX(FuncAllocOptions,ROW(A950)-ROW($A$92)+1,[4]Inputs!$S$11)</f>
        <v>GP</v>
      </c>
      <c r="G950" s="117" t="e">
        <f t="shared" si="493"/>
        <v>#VALUE!</v>
      </c>
      <c r="H950" s="116" t="e">
        <f t="shared" si="494"/>
        <v>#VALUE!</v>
      </c>
      <c r="I950" s="116" t="e">
        <f t="shared" si="494"/>
        <v>#VALUE!</v>
      </c>
      <c r="J950" s="116" t="e">
        <f t="shared" si="494"/>
        <v>#VALUE!</v>
      </c>
      <c r="K950" s="116" t="e">
        <f t="shared" si="494"/>
        <v>#VALUE!</v>
      </c>
      <c r="L950" s="116" t="e">
        <f t="shared" si="494"/>
        <v>#VALUE!</v>
      </c>
      <c r="N950" s="108">
        <v>0.75</v>
      </c>
      <c r="O950" s="116" t="e">
        <f t="shared" si="495"/>
        <v>#VALUE!</v>
      </c>
      <c r="P950" s="116" t="e">
        <f t="shared" si="496"/>
        <v>#VALUE!</v>
      </c>
      <c r="Q950" s="116" t="e">
        <f t="shared" si="497"/>
        <v>#VALUE!</v>
      </c>
      <c r="R950" s="116" t="e">
        <f t="shared" si="498"/>
        <v>#VALUE!</v>
      </c>
      <c r="S950" s="108">
        <v>0.75</v>
      </c>
      <c r="T950" s="116" t="e">
        <f t="shared" si="499"/>
        <v>#VALUE!</v>
      </c>
      <c r="U950" s="116" t="e">
        <f t="shared" si="500"/>
        <v>#VALUE!</v>
      </c>
      <c r="V950" s="116" t="e">
        <f t="shared" si="501"/>
        <v>#VALUE!</v>
      </c>
      <c r="W950" s="116" t="e">
        <f t="shared" si="502"/>
        <v>#VALUE!</v>
      </c>
      <c r="X950" s="3" t="str">
        <f>INDEX(DistFuncAllocOptions,ROW(A950)-ROW($A$92)+1,[4]Inputs!$S$11)</f>
        <v>PLNT</v>
      </c>
      <c r="Y950" s="116" t="e">
        <f t="shared" si="503"/>
        <v>#VALUE!</v>
      </c>
      <c r="Z950" s="116" t="e">
        <f t="shared" si="503"/>
        <v>#VALUE!</v>
      </c>
      <c r="AA950" s="116" t="e">
        <f t="shared" si="503"/>
        <v>#VALUE!</v>
      </c>
      <c r="AB950" s="116" t="e">
        <f t="shared" si="503"/>
        <v>#VALUE!</v>
      </c>
      <c r="AC950" s="116" t="e">
        <f t="shared" si="503"/>
        <v>#VALUE!</v>
      </c>
      <c r="AD950" s="117" t="e">
        <f t="shared" si="504"/>
        <v>#VALUE!</v>
      </c>
      <c r="AE950" s="117" t="e">
        <f t="shared" si="505"/>
        <v>#VALUE!</v>
      </c>
      <c r="AF950" s="117" t="e">
        <f t="shared" si="506"/>
        <v>#VALUE!</v>
      </c>
      <c r="AG950" s="117" t="e">
        <f t="shared" si="507"/>
        <v>#VALUE!</v>
      </c>
      <c r="AH950" s="116"/>
      <c r="AI950">
        <f t="shared" si="490"/>
        <v>408</v>
      </c>
      <c r="AJ950" t="str">
        <f t="shared" si="467"/>
        <v>SO</v>
      </c>
      <c r="AK950" t="str">
        <f>IF(ISERROR(MATCH(AI950&amp;"."&amp;AJ950,AK$91:AK949,0)),AI950&amp;"."&amp;AJ950,AI950&amp;"."&amp;AJ950&amp;COUNTIFS(AI$91:AI949,AI950,AJ$91:AJ949,AJ950))</f>
        <v>408.SO</v>
      </c>
    </row>
    <row r="951" spans="1:37" ht="15" hidden="1">
      <c r="A951" s="120">
        <f>ROW()</f>
        <v>951</v>
      </c>
      <c r="B951" s="120"/>
      <c r="E951" s="120" t="s">
        <v>16</v>
      </c>
      <c r="F951" s="138" t="str">
        <f>INDEX(FuncAllocOptions,ROW(A951)-ROW($A$92)+1,[4]Inputs!$S$11)</f>
        <v>P</v>
      </c>
      <c r="G951" s="117" t="e">
        <f t="shared" si="493"/>
        <v>#VALUE!</v>
      </c>
      <c r="H951" s="116" t="e">
        <f t="shared" si="494"/>
        <v>#VALUE!</v>
      </c>
      <c r="I951" s="116" t="e">
        <f t="shared" si="494"/>
        <v>#VALUE!</v>
      </c>
      <c r="J951" s="116" t="e">
        <f t="shared" si="494"/>
        <v>#VALUE!</v>
      </c>
      <c r="K951" s="116" t="e">
        <f t="shared" si="494"/>
        <v>#VALUE!</v>
      </c>
      <c r="L951" s="116" t="e">
        <f t="shared" si="494"/>
        <v>#VALUE!</v>
      </c>
      <c r="N951" s="108">
        <v>0.75</v>
      </c>
      <c r="O951" s="116" t="e">
        <f t="shared" si="495"/>
        <v>#VALUE!</v>
      </c>
      <c r="P951" s="116" t="e">
        <f t="shared" si="496"/>
        <v>#VALUE!</v>
      </c>
      <c r="Q951" s="116" t="e">
        <f t="shared" si="497"/>
        <v>#VALUE!</v>
      </c>
      <c r="R951" s="116" t="e">
        <f t="shared" si="498"/>
        <v>#VALUE!</v>
      </c>
      <c r="S951" s="108">
        <v>0.75</v>
      </c>
      <c r="T951" s="116" t="e">
        <f t="shared" si="499"/>
        <v>#VALUE!</v>
      </c>
      <c r="U951" s="116" t="e">
        <f t="shared" si="500"/>
        <v>#VALUE!</v>
      </c>
      <c r="V951" s="116" t="e">
        <f t="shared" si="501"/>
        <v>#VALUE!</v>
      </c>
      <c r="W951" s="116" t="e">
        <f t="shared" si="502"/>
        <v>#VALUE!</v>
      </c>
      <c r="X951" s="3" t="str">
        <f>INDEX(DistFuncAllocOptions,ROW(A951)-ROW($A$92)+1,[4]Inputs!$S$11)</f>
        <v>PLNT</v>
      </c>
      <c r="Y951" s="116" t="e">
        <f t="shared" si="503"/>
        <v>#VALUE!</v>
      </c>
      <c r="Z951" s="116" t="e">
        <f t="shared" si="503"/>
        <v>#VALUE!</v>
      </c>
      <c r="AA951" s="116" t="e">
        <f t="shared" si="503"/>
        <v>#VALUE!</v>
      </c>
      <c r="AB951" s="116" t="e">
        <f t="shared" si="503"/>
        <v>#VALUE!</v>
      </c>
      <c r="AC951" s="116" t="e">
        <f t="shared" si="503"/>
        <v>#VALUE!</v>
      </c>
      <c r="AD951" s="117" t="e">
        <f t="shared" si="504"/>
        <v>#VALUE!</v>
      </c>
      <c r="AE951" s="117" t="e">
        <f t="shared" si="505"/>
        <v>#VALUE!</v>
      </c>
      <c r="AF951" s="117" t="e">
        <f t="shared" si="506"/>
        <v>#VALUE!</v>
      </c>
      <c r="AG951" s="117" t="e">
        <f t="shared" si="507"/>
        <v>#VALUE!</v>
      </c>
      <c r="AH951" s="116"/>
      <c r="AI951">
        <f t="shared" si="490"/>
        <v>408</v>
      </c>
      <c r="AJ951" t="str">
        <f t="shared" si="467"/>
        <v>SE</v>
      </c>
      <c r="AK951" t="str">
        <f>IF(ISERROR(MATCH(AI951&amp;"."&amp;AJ951,AK$91:AK950,0)),AI951&amp;"."&amp;AJ951,AI951&amp;"."&amp;AJ951&amp;COUNTIFS(AI$91:AI950,AI951,AJ$91:AJ950,AJ951))</f>
        <v>408.SE</v>
      </c>
    </row>
    <row r="952" spans="1:37" ht="15" hidden="1">
      <c r="A952" s="120">
        <f>ROW()</f>
        <v>952</v>
      </c>
      <c r="B952" s="120"/>
      <c r="E952" s="120" t="s">
        <v>15</v>
      </c>
      <c r="F952" s="138" t="str">
        <f>INDEX(FuncAllocOptions,ROW(A952)-ROW($A$92)+1,[4]Inputs!$S$11)</f>
        <v>P</v>
      </c>
      <c r="G952" s="117" t="e">
        <f t="shared" si="493"/>
        <v>#VALUE!</v>
      </c>
      <c r="H952" s="116" t="e">
        <f t="shared" si="494"/>
        <v>#VALUE!</v>
      </c>
      <c r="I952" s="116" t="e">
        <f t="shared" si="494"/>
        <v>#VALUE!</v>
      </c>
      <c r="J952" s="116" t="e">
        <f t="shared" si="494"/>
        <v>#VALUE!</v>
      </c>
      <c r="K952" s="116" t="e">
        <f t="shared" si="494"/>
        <v>#VALUE!</v>
      </c>
      <c r="L952" s="116" t="e">
        <f t="shared" si="494"/>
        <v>#VALUE!</v>
      </c>
      <c r="N952" s="108">
        <v>0.75</v>
      </c>
      <c r="O952" s="116" t="e">
        <f t="shared" si="495"/>
        <v>#VALUE!</v>
      </c>
      <c r="P952" s="116" t="e">
        <f t="shared" si="496"/>
        <v>#VALUE!</v>
      </c>
      <c r="Q952" s="116" t="e">
        <f t="shared" si="497"/>
        <v>#VALUE!</v>
      </c>
      <c r="R952" s="116" t="e">
        <f t="shared" si="498"/>
        <v>#VALUE!</v>
      </c>
      <c r="S952" s="108">
        <v>0.75</v>
      </c>
      <c r="T952" s="116" t="e">
        <f t="shared" si="499"/>
        <v>#VALUE!</v>
      </c>
      <c r="U952" s="116" t="e">
        <f t="shared" si="500"/>
        <v>#VALUE!</v>
      </c>
      <c r="V952" s="116" t="e">
        <f t="shared" si="501"/>
        <v>#VALUE!</v>
      </c>
      <c r="W952" s="116" t="e">
        <f t="shared" si="502"/>
        <v>#VALUE!</v>
      </c>
      <c r="X952" s="3" t="str">
        <f>INDEX(DistFuncAllocOptions,ROW(A952)-ROW($A$92)+1,[4]Inputs!$S$11)</f>
        <v>PLNT</v>
      </c>
      <c r="Y952" s="116" t="e">
        <f t="shared" si="503"/>
        <v>#VALUE!</v>
      </c>
      <c r="Z952" s="116" t="e">
        <f t="shared" si="503"/>
        <v>#VALUE!</v>
      </c>
      <c r="AA952" s="116" t="e">
        <f t="shared" si="503"/>
        <v>#VALUE!</v>
      </c>
      <c r="AB952" s="116" t="e">
        <f t="shared" si="503"/>
        <v>#VALUE!</v>
      </c>
      <c r="AC952" s="116" t="e">
        <f t="shared" si="503"/>
        <v>#VALUE!</v>
      </c>
      <c r="AD952" s="117" t="e">
        <f t="shared" si="504"/>
        <v>#VALUE!</v>
      </c>
      <c r="AE952" s="117" t="e">
        <f t="shared" si="505"/>
        <v>#VALUE!</v>
      </c>
      <c r="AF952" s="117" t="e">
        <f t="shared" si="506"/>
        <v>#VALUE!</v>
      </c>
      <c r="AG952" s="117" t="e">
        <f t="shared" si="507"/>
        <v>#VALUE!</v>
      </c>
      <c r="AH952" s="116"/>
      <c r="AI952">
        <f t="shared" si="490"/>
        <v>408</v>
      </c>
      <c r="AJ952" t="str">
        <f t="shared" si="467"/>
        <v>SG</v>
      </c>
      <c r="AK952" t="str">
        <f>IF(ISERROR(MATCH(AI952&amp;"."&amp;AJ952,AK$91:AK951,0)),AI952&amp;"."&amp;AJ952,AI952&amp;"."&amp;AJ952&amp;COUNTIFS(AI$91:AI951,AI952,AJ$91:AJ951,AJ952))</f>
        <v>408.SG</v>
      </c>
    </row>
    <row r="953" spans="1:37" ht="15" hidden="1">
      <c r="A953" s="120">
        <f>ROW()</f>
        <v>953</v>
      </c>
      <c r="B953" s="120"/>
      <c r="E953" s="120" t="s">
        <v>424</v>
      </c>
      <c r="F953" s="138" t="str">
        <f>INDEX(FuncAllocOptions,ROW(A953)-ROW($A$92)+1,[4]Inputs!$S$11)</f>
        <v>DMSC</v>
      </c>
      <c r="G953" s="117" t="e">
        <f t="shared" si="493"/>
        <v>#VALUE!</v>
      </c>
      <c r="H953" s="116" t="e">
        <f t="shared" si="494"/>
        <v>#VALUE!</v>
      </c>
      <c r="I953" s="116" t="e">
        <f t="shared" si="494"/>
        <v>#VALUE!</v>
      </c>
      <c r="J953" s="116" t="e">
        <f t="shared" si="494"/>
        <v>#VALUE!</v>
      </c>
      <c r="K953" s="116" t="e">
        <f t="shared" si="494"/>
        <v>#VALUE!</v>
      </c>
      <c r="L953" s="116" t="e">
        <f t="shared" si="494"/>
        <v>#VALUE!</v>
      </c>
      <c r="N953" s="108">
        <v>0.75</v>
      </c>
      <c r="O953" s="116" t="e">
        <f t="shared" si="495"/>
        <v>#VALUE!</v>
      </c>
      <c r="P953" s="116" t="e">
        <f t="shared" si="496"/>
        <v>#VALUE!</v>
      </c>
      <c r="Q953" s="116" t="e">
        <f t="shared" si="497"/>
        <v>#VALUE!</v>
      </c>
      <c r="R953" s="116" t="e">
        <f t="shared" si="498"/>
        <v>#VALUE!</v>
      </c>
      <c r="S953" s="108">
        <v>0.75</v>
      </c>
      <c r="T953" s="116" t="e">
        <f t="shared" si="499"/>
        <v>#VALUE!</v>
      </c>
      <c r="U953" s="116" t="e">
        <f t="shared" si="500"/>
        <v>#VALUE!</v>
      </c>
      <c r="V953" s="116" t="e">
        <f t="shared" si="501"/>
        <v>#VALUE!</v>
      </c>
      <c r="W953" s="116" t="e">
        <f t="shared" si="502"/>
        <v>#VALUE!</v>
      </c>
      <c r="X953" s="3" t="str">
        <f>INDEX(DistFuncAllocOptions,ROW(A953)-ROW($A$92)+1,[4]Inputs!$S$11)</f>
        <v>PLNT</v>
      </c>
      <c r="Y953" s="116" t="e">
        <f t="shared" si="503"/>
        <v>#VALUE!</v>
      </c>
      <c r="Z953" s="116" t="e">
        <f t="shared" si="503"/>
        <v>#VALUE!</v>
      </c>
      <c r="AA953" s="116" t="e">
        <f t="shared" si="503"/>
        <v>#VALUE!</v>
      </c>
      <c r="AB953" s="116" t="e">
        <f t="shared" si="503"/>
        <v>#VALUE!</v>
      </c>
      <c r="AC953" s="116" t="e">
        <f t="shared" si="503"/>
        <v>#VALUE!</v>
      </c>
      <c r="AD953" s="117" t="e">
        <f t="shared" si="504"/>
        <v>#VALUE!</v>
      </c>
      <c r="AE953" s="117" t="e">
        <f t="shared" si="505"/>
        <v>#VALUE!</v>
      </c>
      <c r="AF953" s="117" t="e">
        <f t="shared" si="506"/>
        <v>#VALUE!</v>
      </c>
      <c r="AG953" s="117" t="e">
        <f t="shared" si="507"/>
        <v>#VALUE!</v>
      </c>
      <c r="AH953" s="116"/>
      <c r="AI953">
        <f t="shared" si="490"/>
        <v>408</v>
      </c>
      <c r="AJ953" t="str">
        <f t="shared" si="467"/>
        <v>OPRV-ID</v>
      </c>
      <c r="AK953" t="str">
        <f>IF(ISERROR(MATCH(AI953&amp;"."&amp;AJ953,AK$91:AK952,0)),AI953&amp;"."&amp;AJ953,AI953&amp;"."&amp;AJ953&amp;COUNTIFS(AI$91:AI952,AI953,AJ$91:AJ952,AJ953))</f>
        <v>408.OPRV-ID</v>
      </c>
    </row>
    <row r="954" spans="1:37" ht="15" hidden="1">
      <c r="A954" s="120">
        <f>ROW()</f>
        <v>954</v>
      </c>
      <c r="B954" s="120"/>
      <c r="E954" s="120" t="s">
        <v>425</v>
      </c>
      <c r="F954" s="138" t="str">
        <f>INDEX(FuncAllocOptions,ROW(A954)-ROW($A$92)+1,[4]Inputs!$S$11)</f>
        <v>GP</v>
      </c>
      <c r="G954" s="117" t="e">
        <f t="shared" si="493"/>
        <v>#VALUE!</v>
      </c>
      <c r="H954" s="116" t="e">
        <f t="shared" si="494"/>
        <v>#VALUE!</v>
      </c>
      <c r="I954" s="116" t="e">
        <f t="shared" si="494"/>
        <v>#VALUE!</v>
      </c>
      <c r="J954" s="116" t="e">
        <f t="shared" si="494"/>
        <v>#VALUE!</v>
      </c>
      <c r="K954" s="116" t="e">
        <f t="shared" si="494"/>
        <v>#VALUE!</v>
      </c>
      <c r="L954" s="116" t="e">
        <f t="shared" si="494"/>
        <v>#VALUE!</v>
      </c>
      <c r="N954" s="108">
        <v>0.75</v>
      </c>
      <c r="O954" s="116" t="e">
        <f t="shared" si="495"/>
        <v>#VALUE!</v>
      </c>
      <c r="P954" s="116" t="e">
        <f t="shared" si="496"/>
        <v>#VALUE!</v>
      </c>
      <c r="Q954" s="116" t="e">
        <f t="shared" si="497"/>
        <v>#VALUE!</v>
      </c>
      <c r="R954" s="116" t="e">
        <f t="shared" si="498"/>
        <v>#VALUE!</v>
      </c>
      <c r="S954" s="108">
        <v>0.75</v>
      </c>
      <c r="T954" s="116" t="e">
        <f t="shared" si="499"/>
        <v>#VALUE!</v>
      </c>
      <c r="U954" s="116" t="e">
        <f t="shared" si="500"/>
        <v>#VALUE!</v>
      </c>
      <c r="V954" s="116" t="e">
        <f t="shared" si="501"/>
        <v>#VALUE!</v>
      </c>
      <c r="W954" s="116" t="e">
        <f t="shared" si="502"/>
        <v>#VALUE!</v>
      </c>
      <c r="X954" s="3" t="str">
        <f>INDEX(DistFuncAllocOptions,ROW(A954)-ROW($A$92)+1,[4]Inputs!$S$11)</f>
        <v>PLNT</v>
      </c>
      <c r="Y954" s="116" t="e">
        <f t="shared" si="503"/>
        <v>#VALUE!</v>
      </c>
      <c r="Z954" s="116" t="e">
        <f t="shared" si="503"/>
        <v>#VALUE!</v>
      </c>
      <c r="AA954" s="116" t="e">
        <f t="shared" si="503"/>
        <v>#VALUE!</v>
      </c>
      <c r="AB954" s="116" t="e">
        <f t="shared" si="503"/>
        <v>#VALUE!</v>
      </c>
      <c r="AC954" s="116" t="e">
        <f t="shared" si="503"/>
        <v>#VALUE!</v>
      </c>
      <c r="AD954" s="117" t="e">
        <f t="shared" si="504"/>
        <v>#VALUE!</v>
      </c>
      <c r="AE954" s="117" t="e">
        <f t="shared" si="505"/>
        <v>#VALUE!</v>
      </c>
      <c r="AF954" s="117" t="e">
        <f t="shared" si="506"/>
        <v>#VALUE!</v>
      </c>
      <c r="AG954" s="117" t="e">
        <f t="shared" si="507"/>
        <v>#VALUE!</v>
      </c>
      <c r="AH954" s="116"/>
      <c r="AI954">
        <f t="shared" si="490"/>
        <v>408</v>
      </c>
      <c r="AJ954" t="str">
        <f t="shared" si="467"/>
        <v>EXCTAX</v>
      </c>
      <c r="AK954" t="str">
        <f>IF(ISERROR(MATCH(AI954&amp;"."&amp;AJ954,AK$91:AK953,0)),AI954&amp;"."&amp;AJ954,AI954&amp;"."&amp;AJ954&amp;COUNTIFS(AI$91:AI953,AI954,AJ$91:AJ953,AJ954))</f>
        <v>408.EXCTAX</v>
      </c>
    </row>
    <row r="955" spans="1:37" ht="15" hidden="1">
      <c r="A955" s="120">
        <f>ROW()</f>
        <v>955</v>
      </c>
      <c r="B955" s="120"/>
      <c r="E955" s="120" t="s">
        <v>17</v>
      </c>
      <c r="F955" s="138" t="str">
        <f>INDEX(FuncAllocOptions,ROW(A955)-ROW($A$92)+1,[4]Inputs!$S$11)</f>
        <v>GP</v>
      </c>
      <c r="G955" s="133" t="e">
        <f t="shared" si="493"/>
        <v>#VALUE!</v>
      </c>
      <c r="H955" s="139" t="e">
        <f t="shared" si="494"/>
        <v>#VALUE!</v>
      </c>
      <c r="I955" s="139" t="e">
        <f t="shared" si="494"/>
        <v>#VALUE!</v>
      </c>
      <c r="J955" s="139" t="e">
        <f t="shared" si="494"/>
        <v>#VALUE!</v>
      </c>
      <c r="K955" s="139" t="e">
        <f t="shared" si="494"/>
        <v>#VALUE!</v>
      </c>
      <c r="L955" s="139" t="e">
        <f t="shared" si="494"/>
        <v>#VALUE!</v>
      </c>
      <c r="N955" s="108">
        <v>0.75</v>
      </c>
      <c r="O955" s="116" t="e">
        <f t="shared" si="495"/>
        <v>#VALUE!</v>
      </c>
      <c r="P955" s="116" t="e">
        <f t="shared" si="496"/>
        <v>#VALUE!</v>
      </c>
      <c r="Q955" s="116" t="e">
        <f t="shared" si="497"/>
        <v>#VALUE!</v>
      </c>
      <c r="R955" s="116" t="e">
        <f t="shared" si="498"/>
        <v>#VALUE!</v>
      </c>
      <c r="S955" s="108">
        <v>0.75</v>
      </c>
      <c r="T955" s="116" t="e">
        <f t="shared" si="499"/>
        <v>#VALUE!</v>
      </c>
      <c r="U955" s="116" t="e">
        <f t="shared" si="500"/>
        <v>#VALUE!</v>
      </c>
      <c r="V955" s="116" t="e">
        <f t="shared" si="501"/>
        <v>#VALUE!</v>
      </c>
      <c r="W955" s="116" t="e">
        <f t="shared" si="502"/>
        <v>#VALUE!</v>
      </c>
      <c r="X955" s="3" t="str">
        <f>INDEX(DistFuncAllocOptions,ROW(A955)-ROW($A$92)+1,[4]Inputs!$S$11)</f>
        <v>PLNT</v>
      </c>
      <c r="Y955" s="116" t="e">
        <f t="shared" si="503"/>
        <v>#VALUE!</v>
      </c>
      <c r="Z955" s="116" t="e">
        <f t="shared" si="503"/>
        <v>#VALUE!</v>
      </c>
      <c r="AA955" s="116" t="e">
        <f t="shared" si="503"/>
        <v>#VALUE!</v>
      </c>
      <c r="AB955" s="116" t="e">
        <f t="shared" si="503"/>
        <v>#VALUE!</v>
      </c>
      <c r="AC955" s="116" t="e">
        <f t="shared" si="503"/>
        <v>#VALUE!</v>
      </c>
      <c r="AD955" s="117" t="e">
        <f t="shared" si="504"/>
        <v>#VALUE!</v>
      </c>
      <c r="AE955" s="117" t="e">
        <f t="shared" si="505"/>
        <v>#VALUE!</v>
      </c>
      <c r="AF955" s="117" t="e">
        <f t="shared" si="506"/>
        <v>#VALUE!</v>
      </c>
      <c r="AG955" s="117" t="e">
        <f t="shared" si="507"/>
        <v>#VALUE!</v>
      </c>
      <c r="AH955" s="116"/>
      <c r="AI955">
        <f t="shared" si="490"/>
        <v>408</v>
      </c>
      <c r="AJ955" t="str">
        <f t="shared" si="467"/>
        <v>DGP</v>
      </c>
      <c r="AK955" t="str">
        <f>IF(ISERROR(MATCH(AI955&amp;"."&amp;AJ955,AK$91:AK954,0)),AI955&amp;"."&amp;AJ955,AI955&amp;"."&amp;AJ955&amp;COUNTIFS(AI$91:AI954,AI955,AJ$91:AJ954,AJ955))</f>
        <v>408.DGP</v>
      </c>
    </row>
    <row r="956" spans="1:37" ht="15" hidden="1">
      <c r="A956" s="120">
        <f>ROW()</f>
        <v>956</v>
      </c>
      <c r="B956" s="120"/>
      <c r="E956" s="121"/>
      <c r="F956" s="138"/>
      <c r="G956" s="117" t="e">
        <f t="shared" ref="G956:L956" si="508">SUM(G948:G955)</f>
        <v>#VALUE!</v>
      </c>
      <c r="H956" s="116" t="e">
        <f t="shared" si="508"/>
        <v>#VALUE!</v>
      </c>
      <c r="I956" s="116" t="e">
        <f t="shared" si="508"/>
        <v>#VALUE!</v>
      </c>
      <c r="J956" s="116" t="e">
        <f t="shared" si="508"/>
        <v>#VALUE!</v>
      </c>
      <c r="K956" s="116" t="e">
        <f t="shared" si="508"/>
        <v>#VALUE!</v>
      </c>
      <c r="L956" s="116" t="e">
        <f t="shared" si="508"/>
        <v>#VALUE!</v>
      </c>
      <c r="O956" s="116" t="e">
        <f>SUM(O948:O955)</f>
        <v>#VALUE!</v>
      </c>
      <c r="P956" s="116" t="e">
        <f>SUM(P948:P955)</f>
        <v>#VALUE!</v>
      </c>
      <c r="Q956" s="116" t="e">
        <f>SUM(Q948:Q955)</f>
        <v>#VALUE!</v>
      </c>
      <c r="R956" s="116" t="e">
        <f>SUM(R948:R955)</f>
        <v>#VALUE!</v>
      </c>
      <c r="T956" s="116" t="e">
        <f>SUM(T948:T955)</f>
        <v>#VALUE!</v>
      </c>
      <c r="U956" s="116" t="e">
        <f>SUM(U948:U955)</f>
        <v>#VALUE!</v>
      </c>
      <c r="V956" s="116" t="e">
        <f>SUM(V948:V955)</f>
        <v>#VALUE!</v>
      </c>
      <c r="W956" s="116" t="e">
        <f>SUM(W948:W955)</f>
        <v>#VALUE!</v>
      </c>
      <c r="X956" s="3"/>
      <c r="Y956" s="116" t="e">
        <f>SUM(Y948:Y955)</f>
        <v>#VALUE!</v>
      </c>
      <c r="Z956" s="116" t="e">
        <f>SUM(Z948:Z955)</f>
        <v>#VALUE!</v>
      </c>
      <c r="AA956" s="116" t="e">
        <f>SUM(AA948:AA955)</f>
        <v>#VALUE!</v>
      </c>
      <c r="AB956" s="116" t="e">
        <f>SUM(AB948:AB955)</f>
        <v>#VALUE!</v>
      </c>
      <c r="AC956" s="116" t="e">
        <f>SUM(AC948:AC955)</f>
        <v>#VALUE!</v>
      </c>
      <c r="AD956" s="117" t="e">
        <f t="shared" si="504"/>
        <v>#VALUE!</v>
      </c>
      <c r="AE956" s="117" t="e">
        <f t="shared" si="505"/>
        <v>#VALUE!</v>
      </c>
      <c r="AF956" s="117" t="e">
        <f t="shared" si="506"/>
        <v>#VALUE!</v>
      </c>
      <c r="AG956" s="117" t="e">
        <f t="shared" si="507"/>
        <v>#VALUE!</v>
      </c>
      <c r="AH956" s="116"/>
      <c r="AI956">
        <f t="shared" si="490"/>
        <v>408</v>
      </c>
      <c r="AJ956" t="str">
        <f t="shared" si="467"/>
        <v>NA</v>
      </c>
      <c r="AK956" t="str">
        <f>IF(ISERROR(MATCH(AI956&amp;"."&amp;AJ956,AK$91:AK955,0)),AI956&amp;"."&amp;AJ956,AI956&amp;"."&amp;AJ956&amp;COUNTIFS(AI$91:AI955,AI956,AJ$91:AJ955,AJ956))</f>
        <v>408.NA1</v>
      </c>
    </row>
    <row r="957" spans="1:37" ht="15" hidden="1">
      <c r="A957" s="120">
        <f>ROW()</f>
        <v>957</v>
      </c>
      <c r="B957" s="120"/>
      <c r="E957" s="121"/>
      <c r="F957" s="138"/>
      <c r="G957" s="119"/>
      <c r="X957" s="3"/>
      <c r="AD957" s="119"/>
      <c r="AE957" s="119"/>
      <c r="AF957" s="119"/>
      <c r="AG957" s="119"/>
      <c r="AI957">
        <f t="shared" si="490"/>
        <v>408</v>
      </c>
      <c r="AJ957" t="str">
        <f t="shared" si="467"/>
        <v>NA</v>
      </c>
      <c r="AK957" t="str">
        <f>IF(ISERROR(MATCH(AI957&amp;"."&amp;AJ957,AK$91:AK956,0)),AI957&amp;"."&amp;AJ957,AI957&amp;"."&amp;AJ957&amp;COUNTIFS(AI$91:AI956,AI957,AJ$91:AJ956,AJ957))</f>
        <v>408.NA2</v>
      </c>
    </row>
    <row r="958" spans="1:37" ht="15" hidden="1">
      <c r="A958" s="120">
        <f>ROW()</f>
        <v>958</v>
      </c>
      <c r="B958" s="120"/>
      <c r="C958" s="1">
        <v>41140</v>
      </c>
      <c r="D958" s="2" t="s">
        <v>428</v>
      </c>
      <c r="E958" s="121"/>
      <c r="F958" s="138"/>
      <c r="G958" s="119"/>
      <c r="X958" s="3"/>
      <c r="AD958" s="119"/>
      <c r="AE958" s="119"/>
      <c r="AF958" s="119"/>
      <c r="AG958" s="119"/>
      <c r="AI958">
        <f t="shared" si="490"/>
        <v>41140</v>
      </c>
      <c r="AJ958" t="str">
        <f t="shared" si="467"/>
        <v>NA</v>
      </c>
      <c r="AK958" t="str">
        <f>IF(ISERROR(MATCH(AI958&amp;"."&amp;AJ958,AK$91:AK957,0)),AI958&amp;"."&amp;AJ958,AI958&amp;"."&amp;AJ958&amp;COUNTIFS(AI$91:AI957,AI958,AJ$91:AJ957,AJ958))</f>
        <v>41140.NA</v>
      </c>
    </row>
    <row r="959" spans="1:37" ht="15" hidden="1">
      <c r="A959" s="120">
        <f>ROW()</f>
        <v>959</v>
      </c>
      <c r="B959" s="120"/>
      <c r="C959" s="1"/>
      <c r="E959" s="121" t="s">
        <v>14</v>
      </c>
      <c r="F959" s="138" t="str">
        <f>INDEX(FuncAllocOptions,ROW(A959)-ROW($A$92)+1,[4]Inputs!$S$11)</f>
        <v>PTD</v>
      </c>
      <c r="G959" s="133" t="e">
        <f>SUMIF(FERCJAMFactor,AK959,JAMValue)</f>
        <v>#VALUE!</v>
      </c>
      <c r="H959" s="139" t="e">
        <f>INDEX(FuncFactorTbl,MATCH($F959,FuncFactors,0),MATCH(H$8,Functions,0))*$G959</f>
        <v>#VALUE!</v>
      </c>
      <c r="I959" s="139" t="e">
        <f>INDEX(FuncFactorTbl,MATCH($F959,FuncFactors,0),MATCH(I$8,Functions,0))*$G959</f>
        <v>#VALUE!</v>
      </c>
      <c r="J959" s="139" t="e">
        <f>INDEX(FuncFactorTbl,MATCH($F959,FuncFactors,0),MATCH(J$8,Functions,0))*$G959</f>
        <v>#VALUE!</v>
      </c>
      <c r="K959" s="139" t="e">
        <f>INDEX(FuncFactorTbl,MATCH($F959,FuncFactors,0),MATCH(K$8,Functions,0))*$G959</f>
        <v>#VALUE!</v>
      </c>
      <c r="L959" s="139" t="e">
        <f>INDEX(FuncFactorTbl,MATCH($F959,FuncFactors,0),MATCH(L$8,Functions,0))*$G959</f>
        <v>#VALUE!</v>
      </c>
      <c r="N959" s="108">
        <v>0.75</v>
      </c>
      <c r="O959" s="116" t="e">
        <f>$H959*$N959*$M959</f>
        <v>#VALUE!</v>
      </c>
      <c r="P959" s="116" t="e">
        <f>$H959*(1-$N959)*$M959</f>
        <v>#VALUE!</v>
      </c>
      <c r="Q959" s="116" t="e">
        <f>$H959*$N959*(1-$M959)</f>
        <v>#VALUE!</v>
      </c>
      <c r="R959" s="116" t="e">
        <f>$H959*(1-$N959)*(1-$M959)</f>
        <v>#VALUE!</v>
      </c>
      <c r="S959" s="108">
        <v>0.75</v>
      </c>
      <c r="T959" s="116" t="e">
        <f>$I959*$S959*$M959</f>
        <v>#VALUE!</v>
      </c>
      <c r="U959" s="116" t="e">
        <f>$I959*(1-$S959)*$M959</f>
        <v>#VALUE!</v>
      </c>
      <c r="V959" s="116" t="e">
        <f>$I959*$S959*(1-$M959)</f>
        <v>#VALUE!</v>
      </c>
      <c r="W959" s="116" t="e">
        <f>$I959*(1-$S959)*(1-$M959)</f>
        <v>#VALUE!</v>
      </c>
      <c r="X959" s="3" t="str">
        <f>INDEX(DistFuncAllocOptions,ROW(A959)-ROW($A$92)+1,[4]Inputs!$S$11)</f>
        <v>PLNT</v>
      </c>
      <c r="Y959" s="116" t="e">
        <f>INDEX(DistFuncFactorTbl,MATCH($X959,DistFuncFactors,0),MATCH(Y$91,DistFunctions,0))*$J959</f>
        <v>#VALUE!</v>
      </c>
      <c r="Z959" s="116" t="e">
        <f>INDEX(DistFuncFactorTbl,MATCH($X959,DistFuncFactors,0),MATCH(Z$91,DistFunctions,0))*$J959</f>
        <v>#VALUE!</v>
      </c>
      <c r="AA959" s="116" t="e">
        <f>INDEX(DistFuncFactorTbl,MATCH($X959,DistFuncFactors,0),MATCH(AA$91,DistFunctions,0))*$J959</f>
        <v>#VALUE!</v>
      </c>
      <c r="AB959" s="116" t="e">
        <f>INDEX(DistFuncFactorTbl,MATCH($X959,DistFuncFactors,0),MATCH(AB$91,DistFunctions,0))*$J959</f>
        <v>#VALUE!</v>
      </c>
      <c r="AC959" s="116" t="e">
        <f>INDEX(DistFuncFactorTbl,MATCH($X959,DistFuncFactors,0),MATCH(AC$91,DistFunctions,0))*$J959</f>
        <v>#VALUE!</v>
      </c>
      <c r="AD959" s="117" t="e">
        <f>ROUND(SUM(-G959,H959:L959),0)</f>
        <v>#VALUE!</v>
      </c>
      <c r="AE959" s="117" t="e">
        <f>ROUND(H959-O959-P959-Q959-R959,0)</f>
        <v>#VALUE!</v>
      </c>
      <c r="AF959" s="117" t="e">
        <f>ROUND(I959-T959-U959-V959-W959,0)</f>
        <v>#VALUE!</v>
      </c>
      <c r="AG959" s="117" t="e">
        <f>ROUND(J959-Y959-Z959-AA959-AC959-AB959,0)</f>
        <v>#VALUE!</v>
      </c>
      <c r="AH959" s="116"/>
      <c r="AI959">
        <f t="shared" si="490"/>
        <v>41140</v>
      </c>
      <c r="AJ959" t="str">
        <f t="shared" si="467"/>
        <v>DGU</v>
      </c>
      <c r="AK959" t="str">
        <f>IF(ISERROR(MATCH(AI959&amp;"."&amp;AJ959,AK$91:AK958,0)),AI959&amp;"."&amp;AJ959,AI959&amp;"."&amp;AJ959&amp;COUNTIFS(AI$91:AI958,AI959,AJ$91:AJ958,AJ959))</f>
        <v>41140.DGU</v>
      </c>
    </row>
    <row r="960" spans="1:37" ht="15" hidden="1">
      <c r="A960" s="120">
        <f>ROW()</f>
        <v>960</v>
      </c>
      <c r="B960" s="120"/>
      <c r="C960" s="1"/>
      <c r="E960" s="121"/>
      <c r="F960" s="138"/>
      <c r="G960" s="119"/>
      <c r="X960" s="3"/>
      <c r="AD960" s="119"/>
      <c r="AE960" s="119"/>
      <c r="AF960" s="119"/>
      <c r="AG960" s="119"/>
      <c r="AI960">
        <f t="shared" si="490"/>
        <v>41140</v>
      </c>
      <c r="AJ960" t="str">
        <f t="shared" si="467"/>
        <v>NA</v>
      </c>
      <c r="AK960" t="str">
        <f>IF(ISERROR(MATCH(AI960&amp;"."&amp;AJ960,AK$91:AK959,0)),AI960&amp;"."&amp;AJ960,AI960&amp;"."&amp;AJ960&amp;COUNTIFS(AI$91:AI959,AI960,AJ$91:AJ959,AJ960))</f>
        <v>41140.NA1</v>
      </c>
    </row>
    <row r="961" spans="1:37" ht="15" hidden="1">
      <c r="A961" s="120">
        <f>ROW()</f>
        <v>961</v>
      </c>
      <c r="B961" s="120"/>
      <c r="C961" s="1"/>
      <c r="E961" s="121"/>
      <c r="F961" s="138"/>
      <c r="G961" s="117" t="e">
        <f t="shared" ref="G961:L961" si="509">SUM(G959)</f>
        <v>#VALUE!</v>
      </c>
      <c r="H961" s="116" t="e">
        <f t="shared" si="509"/>
        <v>#VALUE!</v>
      </c>
      <c r="I961" s="116" t="e">
        <f t="shared" si="509"/>
        <v>#VALUE!</v>
      </c>
      <c r="J961" s="116" t="e">
        <f t="shared" si="509"/>
        <v>#VALUE!</v>
      </c>
      <c r="K961" s="116" t="e">
        <f t="shared" si="509"/>
        <v>#VALUE!</v>
      </c>
      <c r="L961" s="116" t="e">
        <f t="shared" si="509"/>
        <v>#VALUE!</v>
      </c>
      <c r="O961" s="116" t="e">
        <f>SUM(O959)</f>
        <v>#VALUE!</v>
      </c>
      <c r="P961" s="116" t="e">
        <f>SUM(P959)</f>
        <v>#VALUE!</v>
      </c>
      <c r="Q961" s="116" t="e">
        <f>SUM(Q959)</f>
        <v>#VALUE!</v>
      </c>
      <c r="R961" s="116" t="e">
        <f>SUM(R959)</f>
        <v>#VALUE!</v>
      </c>
      <c r="T961" s="116" t="e">
        <f>SUM(T959)</f>
        <v>#VALUE!</v>
      </c>
      <c r="U961" s="116" t="e">
        <f>SUM(U959)</f>
        <v>#VALUE!</v>
      </c>
      <c r="V961" s="116" t="e">
        <f>SUM(V959)</f>
        <v>#VALUE!</v>
      </c>
      <c r="W961" s="116" t="e">
        <f>SUM(W959)</f>
        <v>#VALUE!</v>
      </c>
      <c r="X961" s="3"/>
      <c r="Y961" s="116" t="e">
        <f>SUM(Y959)</f>
        <v>#VALUE!</v>
      </c>
      <c r="Z961" s="116" t="e">
        <f>SUM(Z959)</f>
        <v>#VALUE!</v>
      </c>
      <c r="AA961" s="116" t="e">
        <f>SUM(AA959)</f>
        <v>#VALUE!</v>
      </c>
      <c r="AB961" s="116" t="e">
        <f>SUM(AB959)</f>
        <v>#VALUE!</v>
      </c>
      <c r="AC961" s="116" t="e">
        <f>SUM(AC959)</f>
        <v>#VALUE!</v>
      </c>
      <c r="AD961" s="117" t="e">
        <f>ROUND(SUM(-G961,H961:L961),0)</f>
        <v>#VALUE!</v>
      </c>
      <c r="AE961" s="117" t="e">
        <f>ROUND(H961-O961-P961-Q961-R961,0)</f>
        <v>#VALUE!</v>
      </c>
      <c r="AF961" s="117" t="e">
        <f>ROUND(I961-T961-U961-V961-W961,0)</f>
        <v>#VALUE!</v>
      </c>
      <c r="AG961" s="117" t="e">
        <f>ROUND(J961-Y961-Z961-AA961-AC961-AB961,0)</f>
        <v>#VALUE!</v>
      </c>
      <c r="AH961" s="116"/>
      <c r="AI961">
        <f t="shared" si="490"/>
        <v>41140</v>
      </c>
      <c r="AJ961" t="str">
        <f t="shared" si="467"/>
        <v>NA</v>
      </c>
      <c r="AK961" t="str">
        <f>IF(ISERROR(MATCH(AI961&amp;"."&amp;AJ961,AK$91:AK960,0)),AI961&amp;"."&amp;AJ961,AI961&amp;"."&amp;AJ961&amp;COUNTIFS(AI$91:AI960,AI961,AJ$91:AJ960,AJ961))</f>
        <v>41140.NA2</v>
      </c>
    </row>
    <row r="962" spans="1:37" ht="15" hidden="1">
      <c r="A962" s="120">
        <f>ROW()</f>
        <v>962</v>
      </c>
      <c r="B962" s="120"/>
      <c r="C962" s="1"/>
      <c r="E962" s="121"/>
      <c r="F962" s="138"/>
      <c r="G962" s="119"/>
      <c r="X962" s="3"/>
      <c r="AD962" s="119"/>
      <c r="AE962" s="119"/>
      <c r="AF962" s="119"/>
      <c r="AG962" s="119"/>
      <c r="AI962">
        <f t="shared" si="490"/>
        <v>41140</v>
      </c>
      <c r="AJ962" t="str">
        <f t="shared" si="467"/>
        <v>NA</v>
      </c>
      <c r="AK962" t="str">
        <f>IF(ISERROR(MATCH(AI962&amp;"."&amp;AJ962,AK$91:AK961,0)),AI962&amp;"."&amp;AJ962,AI962&amp;"."&amp;AJ962&amp;COUNTIFS(AI$91:AI961,AI962,AJ$91:AJ961,AJ962))</f>
        <v>41140.NA3</v>
      </c>
    </row>
    <row r="963" spans="1:37" ht="15" hidden="1">
      <c r="A963" s="120">
        <f>ROW()</f>
        <v>963</v>
      </c>
      <c r="B963" s="120"/>
      <c r="C963" s="1">
        <v>41141</v>
      </c>
      <c r="D963" s="2" t="s">
        <v>430</v>
      </c>
      <c r="E963" s="121"/>
      <c r="F963" s="138"/>
      <c r="G963" s="119"/>
      <c r="X963" s="3"/>
      <c r="AD963" s="119"/>
      <c r="AE963" s="119"/>
      <c r="AF963" s="119"/>
      <c r="AG963" s="119"/>
      <c r="AI963">
        <f t="shared" si="490"/>
        <v>41141</v>
      </c>
      <c r="AJ963" t="str">
        <f t="shared" si="467"/>
        <v>NA</v>
      </c>
      <c r="AK963" t="str">
        <f>IF(ISERROR(MATCH(AI963&amp;"."&amp;AJ963,AK$91:AK962,0)),AI963&amp;"."&amp;AJ963,AI963&amp;"."&amp;AJ963&amp;COUNTIFS(AI$91:AI962,AI963,AJ$91:AJ962,AJ963))</f>
        <v>41141.NA</v>
      </c>
    </row>
    <row r="964" spans="1:37" ht="15" hidden="1">
      <c r="A964" s="120">
        <f>ROW()</f>
        <v>964</v>
      </c>
      <c r="B964" s="120"/>
      <c r="E964" s="121" t="s">
        <v>14</v>
      </c>
      <c r="F964" s="138" t="str">
        <f>INDEX(FuncAllocOptions,ROW(A964)-ROW($A$92)+1,[4]Inputs!$S$11)</f>
        <v>PTD</v>
      </c>
      <c r="G964" s="133" t="e">
        <f>SUMIF(FERCJAMFactor,AK964,JAMValue)</f>
        <v>#VALUE!</v>
      </c>
      <c r="H964" s="139" t="e">
        <f>INDEX(FuncFactorTbl,MATCH($F964,FuncFactors,0),MATCH(H$8,Functions,0))*$G964</f>
        <v>#VALUE!</v>
      </c>
      <c r="I964" s="139" t="e">
        <f>INDEX(FuncFactorTbl,MATCH($F964,FuncFactors,0),MATCH(I$8,Functions,0))*$G964</f>
        <v>#VALUE!</v>
      </c>
      <c r="J964" s="139" t="e">
        <f>INDEX(FuncFactorTbl,MATCH($F964,FuncFactors,0),MATCH(J$8,Functions,0))*$G964</f>
        <v>#VALUE!</v>
      </c>
      <c r="K964" s="139" t="e">
        <f>INDEX(FuncFactorTbl,MATCH($F964,FuncFactors,0),MATCH(K$8,Functions,0))*$G964</f>
        <v>#VALUE!</v>
      </c>
      <c r="L964" s="139" t="e">
        <f>INDEX(FuncFactorTbl,MATCH($F964,FuncFactors,0),MATCH(L$8,Functions,0))*$G964</f>
        <v>#VALUE!</v>
      </c>
      <c r="N964" s="108">
        <v>0.75</v>
      </c>
      <c r="O964" s="116" t="e">
        <f>$H964*$N964</f>
        <v>#VALUE!</v>
      </c>
      <c r="P964" s="116" t="e">
        <f>$H964*(1-$N964)</f>
        <v>#VALUE!</v>
      </c>
      <c r="Q964" s="116"/>
      <c r="R964" s="116"/>
      <c r="S964" s="108">
        <v>0.75</v>
      </c>
      <c r="T964" s="116" t="e">
        <f>$I964*$S964*$M964</f>
        <v>#VALUE!</v>
      </c>
      <c r="U964" s="116" t="e">
        <f>$I964*(1-$S964)*$M964</f>
        <v>#VALUE!</v>
      </c>
      <c r="V964" s="116" t="e">
        <f>$I964*$S964*(1-$M964)</f>
        <v>#VALUE!</v>
      </c>
      <c r="W964" s="116" t="e">
        <f>$I964*(1-$S964)*(1-$M964)</f>
        <v>#VALUE!</v>
      </c>
      <c r="X964" s="3" t="str">
        <f>INDEX(DistFuncAllocOptions,ROW(A964)-ROW($A$92)+1,[4]Inputs!$S$11)</f>
        <v>PLNT</v>
      </c>
      <c r="Y964" s="116" t="e">
        <f>INDEX(DistFuncFactorTbl,MATCH($X964,DistFuncFactors,0),MATCH(Y$91,DistFunctions,0))*$J964</f>
        <v>#VALUE!</v>
      </c>
      <c r="Z964" s="116" t="e">
        <f>INDEX(DistFuncFactorTbl,MATCH($X964,DistFuncFactors,0),MATCH(Z$91,DistFunctions,0))*$J964</f>
        <v>#VALUE!</v>
      </c>
      <c r="AA964" s="116" t="e">
        <f>INDEX(DistFuncFactorTbl,MATCH($X964,DistFuncFactors,0),MATCH(AA$91,DistFunctions,0))*$J964</f>
        <v>#VALUE!</v>
      </c>
      <c r="AB964" s="116" t="e">
        <f>INDEX(DistFuncFactorTbl,MATCH($X964,DistFuncFactors,0),MATCH(AB$91,DistFunctions,0))*$J964</f>
        <v>#VALUE!</v>
      </c>
      <c r="AC964" s="116" t="e">
        <f>INDEX(DistFuncFactorTbl,MATCH($X964,DistFuncFactors,0),MATCH(AC$91,DistFunctions,0))*$J964</f>
        <v>#VALUE!</v>
      </c>
      <c r="AD964" s="117" t="e">
        <f>ROUND(SUM(-G964,H964:L964),0)</f>
        <v>#VALUE!</v>
      </c>
      <c r="AE964" s="117" t="e">
        <f>ROUND(H964-O964-P964-Q964-R964,0)</f>
        <v>#VALUE!</v>
      </c>
      <c r="AF964" s="117" t="e">
        <f>ROUND(I964-T964-U964-V964-W964,0)</f>
        <v>#VALUE!</v>
      </c>
      <c r="AG964" s="117" t="e">
        <f>ROUND(J964-Y964-Z964-AA964-AC964-AB964,0)</f>
        <v>#VALUE!</v>
      </c>
      <c r="AH964" s="116"/>
      <c r="AI964">
        <f t="shared" si="490"/>
        <v>41141</v>
      </c>
      <c r="AJ964" t="str">
        <f t="shared" si="467"/>
        <v>DGU</v>
      </c>
      <c r="AK964" t="str">
        <f>IF(ISERROR(MATCH(AI964&amp;"."&amp;AJ964,AK$91:AK963,0)),AI964&amp;"."&amp;AJ964,AI964&amp;"."&amp;AJ964&amp;COUNTIFS(AI$91:AI963,AI964,AJ$91:AJ963,AJ964))</f>
        <v>41141.DGU</v>
      </c>
    </row>
    <row r="965" spans="1:37" ht="15" hidden="1">
      <c r="A965" s="120">
        <f>ROW()</f>
        <v>965</v>
      </c>
      <c r="B965" s="120"/>
      <c r="E965" s="121"/>
      <c r="F965" s="138"/>
      <c r="G965" s="119"/>
      <c r="X965" s="3"/>
      <c r="AD965" s="119"/>
      <c r="AE965" s="119"/>
      <c r="AF965" s="119"/>
      <c r="AG965" s="119"/>
      <c r="AI965">
        <f t="shared" si="490"/>
        <v>41141</v>
      </c>
      <c r="AJ965" t="str">
        <f t="shared" si="467"/>
        <v>NA</v>
      </c>
      <c r="AK965" t="str">
        <f>IF(ISERROR(MATCH(AI965&amp;"."&amp;AJ965,AK$91:AK964,0)),AI965&amp;"."&amp;AJ965,AI965&amp;"."&amp;AJ965&amp;COUNTIFS(AI$91:AI964,AI965,AJ$91:AJ964,AJ965))</f>
        <v>41141.NA1</v>
      </c>
    </row>
    <row r="966" spans="1:37" ht="15" hidden="1">
      <c r="A966" s="120">
        <f>ROW()</f>
        <v>966</v>
      </c>
      <c r="B966" s="120"/>
      <c r="E966" s="121"/>
      <c r="F966" s="138"/>
      <c r="G966" s="117" t="e">
        <f t="shared" ref="G966:L966" si="510">SUM(G964)</f>
        <v>#VALUE!</v>
      </c>
      <c r="H966" s="116" t="e">
        <f t="shared" si="510"/>
        <v>#VALUE!</v>
      </c>
      <c r="I966" s="116" t="e">
        <f t="shared" si="510"/>
        <v>#VALUE!</v>
      </c>
      <c r="J966" s="116" t="e">
        <f t="shared" si="510"/>
        <v>#VALUE!</v>
      </c>
      <c r="K966" s="116" t="e">
        <f t="shared" si="510"/>
        <v>#VALUE!</v>
      </c>
      <c r="L966" s="116" t="e">
        <f t="shared" si="510"/>
        <v>#VALUE!</v>
      </c>
      <c r="O966" s="116" t="e">
        <f>SUM(O964)</f>
        <v>#VALUE!</v>
      </c>
      <c r="P966" s="116" t="e">
        <f>SUM(P964)</f>
        <v>#VALUE!</v>
      </c>
      <c r="Q966" s="116">
        <f>SUM(Q964)</f>
        <v>0</v>
      </c>
      <c r="R966" s="116">
        <f>SUM(R964)</f>
        <v>0</v>
      </c>
      <c r="T966" s="116" t="e">
        <f>SUM(T964)</f>
        <v>#VALUE!</v>
      </c>
      <c r="U966" s="116" t="e">
        <f>SUM(U964)</f>
        <v>#VALUE!</v>
      </c>
      <c r="V966" s="116" t="e">
        <f>SUM(V964)</f>
        <v>#VALUE!</v>
      </c>
      <c r="W966" s="116" t="e">
        <f>SUM(W964)</f>
        <v>#VALUE!</v>
      </c>
      <c r="X966" s="3"/>
      <c r="Y966" s="116" t="e">
        <f>SUM(Y964)</f>
        <v>#VALUE!</v>
      </c>
      <c r="Z966" s="116" t="e">
        <f>SUM(Z964)</f>
        <v>#VALUE!</v>
      </c>
      <c r="AA966" s="116" t="e">
        <f>SUM(AA964)</f>
        <v>#VALUE!</v>
      </c>
      <c r="AB966" s="116" t="e">
        <f>SUM(AB964)</f>
        <v>#VALUE!</v>
      </c>
      <c r="AC966" s="116" t="e">
        <f>SUM(AC964)</f>
        <v>#VALUE!</v>
      </c>
      <c r="AD966" s="117" t="e">
        <f>ROUND(SUM(-G966,H966:L966),0)</f>
        <v>#VALUE!</v>
      </c>
      <c r="AE966" s="117" t="e">
        <f>ROUND(H966-O966-P966-Q966-R966,0)</f>
        <v>#VALUE!</v>
      </c>
      <c r="AF966" s="117" t="e">
        <f>ROUND(I966-T966-U966-V966-W966,0)</f>
        <v>#VALUE!</v>
      </c>
      <c r="AG966" s="117" t="e">
        <f>ROUND(J966-Y966-Z966-AA966-AC966-AB966,0)</f>
        <v>#VALUE!</v>
      </c>
      <c r="AH966" s="116"/>
      <c r="AI966">
        <f t="shared" si="490"/>
        <v>41141</v>
      </c>
      <c r="AJ966" t="str">
        <f t="shared" si="467"/>
        <v>NA</v>
      </c>
      <c r="AK966" t="str">
        <f>IF(ISERROR(MATCH(AI966&amp;"."&amp;AJ966,AK$91:AK965,0)),AI966&amp;"."&amp;AJ966,AI966&amp;"."&amp;AJ966&amp;COUNTIFS(AI$91:AI965,AI966,AJ$91:AJ965,AJ966))</f>
        <v>41141.NA2</v>
      </c>
    </row>
    <row r="967" spans="1:37" ht="15" hidden="1">
      <c r="A967" s="120">
        <f>ROW()</f>
        <v>967</v>
      </c>
      <c r="B967" s="120"/>
      <c r="E967" s="121"/>
      <c r="F967" s="138"/>
      <c r="G967" s="119"/>
      <c r="X967" s="3"/>
      <c r="AD967" s="119"/>
      <c r="AE967" s="119"/>
      <c r="AF967" s="119"/>
      <c r="AG967" s="119"/>
      <c r="AI967">
        <f t="shared" si="490"/>
        <v>41141</v>
      </c>
      <c r="AJ967" t="str">
        <f t="shared" si="467"/>
        <v>NA</v>
      </c>
      <c r="AK967" t="str">
        <f>IF(ISERROR(MATCH(AI967&amp;"."&amp;AJ967,AK$91:AK966,0)),AI967&amp;"."&amp;AJ967,AI967&amp;"."&amp;AJ967&amp;COUNTIFS(AI$91:AI966,AI967,AJ$91:AJ966,AJ967))</f>
        <v>41141.NA3</v>
      </c>
    </row>
    <row r="968" spans="1:37" ht="15.75" hidden="1" thickBot="1">
      <c r="A968" s="120">
        <f>ROW()</f>
        <v>968</v>
      </c>
      <c r="B968" s="120"/>
      <c r="C968" s="110" t="s">
        <v>755</v>
      </c>
      <c r="E968" s="121"/>
      <c r="F968" s="138"/>
      <c r="G968" s="153" t="e">
        <f t="shared" ref="G968:L968" si="511">G961+G966</f>
        <v>#VALUE!</v>
      </c>
      <c r="H968" s="152" t="e">
        <f t="shared" si="511"/>
        <v>#VALUE!</v>
      </c>
      <c r="I968" s="152" t="e">
        <f t="shared" si="511"/>
        <v>#VALUE!</v>
      </c>
      <c r="J968" s="152" t="e">
        <f t="shared" si="511"/>
        <v>#VALUE!</v>
      </c>
      <c r="K968" s="152" t="e">
        <f t="shared" si="511"/>
        <v>#VALUE!</v>
      </c>
      <c r="L968" s="152" t="e">
        <f t="shared" si="511"/>
        <v>#VALUE!</v>
      </c>
      <c r="O968" s="116" t="e">
        <f>O961+O966</f>
        <v>#VALUE!</v>
      </c>
      <c r="P968" s="116" t="e">
        <f>P961+P966</f>
        <v>#VALUE!</v>
      </c>
      <c r="Q968" s="116" t="e">
        <f>Q961+Q966</f>
        <v>#VALUE!</v>
      </c>
      <c r="R968" s="116" t="e">
        <f>R961+R966</f>
        <v>#VALUE!</v>
      </c>
      <c r="S968" s="116"/>
      <c r="T968" s="116" t="e">
        <f>T961+T966</f>
        <v>#VALUE!</v>
      </c>
      <c r="U968" s="116" t="e">
        <f>U961+U966</f>
        <v>#VALUE!</v>
      </c>
      <c r="V968" s="116" t="e">
        <f>V961+V966</f>
        <v>#VALUE!</v>
      </c>
      <c r="W968" s="116" t="e">
        <f>W961+W966</f>
        <v>#VALUE!</v>
      </c>
      <c r="X968" s="3"/>
      <c r="Y968" s="116" t="e">
        <f>Y961+Y966</f>
        <v>#VALUE!</v>
      </c>
      <c r="Z968" s="116" t="e">
        <f>Z961+Z966</f>
        <v>#VALUE!</v>
      </c>
      <c r="AA968" s="116" t="e">
        <f>AA961+AA966</f>
        <v>#VALUE!</v>
      </c>
      <c r="AB968" s="116" t="e">
        <f>AB961+AB966</f>
        <v>#VALUE!</v>
      </c>
      <c r="AC968" s="116" t="e">
        <f>AC961+AC966</f>
        <v>#VALUE!</v>
      </c>
      <c r="AD968" s="117" t="e">
        <f>ROUND(SUM(-G968,H968:L968),0)</f>
        <v>#VALUE!</v>
      </c>
      <c r="AE968" s="117" t="e">
        <f>ROUND(H968-O968-P968-Q968-R968,0)</f>
        <v>#VALUE!</v>
      </c>
      <c r="AF968" s="117" t="e">
        <f>ROUND(I968-T968-U968-V968-W968,0)</f>
        <v>#VALUE!</v>
      </c>
      <c r="AG968" s="117" t="e">
        <f>ROUND(J968-Y968-Z968-AA968-AC968-AB968,0)</f>
        <v>#VALUE!</v>
      </c>
      <c r="AH968" s="116"/>
      <c r="AI968" t="str">
        <f t="shared" si="490"/>
        <v>TOTAL DEFERRED ITC</v>
      </c>
      <c r="AJ968" t="str">
        <f t="shared" si="467"/>
        <v>NA</v>
      </c>
      <c r="AK968" t="str">
        <f>IF(ISERROR(MATCH(AI968&amp;"."&amp;AJ968,AK$91:AK967,0)),AI968&amp;"."&amp;AJ968,AI968&amp;"."&amp;AJ968&amp;COUNTIFS(AI$91:AI967,AI968,AJ$91:AJ967,AJ968))</f>
        <v>TOTAL DEFERRED ITC.NA</v>
      </c>
    </row>
    <row r="969" spans="1:37" ht="15" hidden="1">
      <c r="A969" s="120">
        <f>ROW()</f>
        <v>969</v>
      </c>
      <c r="B969" s="120"/>
      <c r="E969" s="121"/>
      <c r="F969" s="138"/>
      <c r="G969" s="119"/>
      <c r="X969" s="3"/>
      <c r="AD969" s="119"/>
      <c r="AE969" s="119"/>
      <c r="AF969" s="119"/>
      <c r="AG969" s="119"/>
      <c r="AI969" t="str">
        <f t="shared" si="490"/>
        <v>TOTAL DEFERRED ITC</v>
      </c>
      <c r="AJ969" t="str">
        <f t="shared" si="467"/>
        <v>NA</v>
      </c>
      <c r="AK969" t="str">
        <f>IF(ISERROR(MATCH(AI969&amp;"."&amp;AJ969,AK$91:AK968,0)),AI969&amp;"."&amp;AJ969,AI969&amp;"."&amp;AJ969&amp;COUNTIFS(AI$91:AI968,AI969,AJ$91:AJ968,AJ969))</f>
        <v>TOTAL DEFERRED ITC.NA1</v>
      </c>
    </row>
    <row r="970" spans="1:37" ht="15" hidden="1">
      <c r="A970" s="120">
        <f>ROW()</f>
        <v>970</v>
      </c>
      <c r="B970" s="120"/>
      <c r="C970" s="1">
        <v>427</v>
      </c>
      <c r="D970" s="2" t="s">
        <v>432</v>
      </c>
      <c r="E970" s="121"/>
      <c r="F970" s="138"/>
      <c r="G970" s="140"/>
      <c r="X970" s="3"/>
      <c r="AD970" s="140"/>
      <c r="AE970" s="119"/>
      <c r="AF970" s="119"/>
      <c r="AG970" s="119"/>
      <c r="AI970">
        <f t="shared" si="490"/>
        <v>427</v>
      </c>
      <c r="AJ970" t="str">
        <f t="shared" si="467"/>
        <v>NA</v>
      </c>
      <c r="AK970" t="str">
        <f>IF(ISERROR(MATCH(AI970&amp;"."&amp;AJ970,AK$91:AK969,0)),AI970&amp;"."&amp;AJ970,AI970&amp;"."&amp;AJ970&amp;COUNTIFS(AI$91:AI969,AI970,AJ$91:AJ969,AJ970))</f>
        <v>427.NA</v>
      </c>
    </row>
    <row r="971" spans="1:37" ht="15" hidden="1">
      <c r="A971" s="120">
        <f>ROW()</f>
        <v>971</v>
      </c>
      <c r="B971" s="120"/>
      <c r="C971" s="1"/>
      <c r="E971" s="121" t="s">
        <v>12</v>
      </c>
      <c r="F971" s="138"/>
      <c r="G971" s="117">
        <f>SUM(H971:L971)</f>
        <v>1</v>
      </c>
      <c r="H971" s="116">
        <f>IFERROR(H57*[4]Inputs!$M$19,1/5)</f>
        <v>0.2</v>
      </c>
      <c r="I971" s="116">
        <f>IFERROR(I57*[4]Inputs!$M$19,1/5)</f>
        <v>0.2</v>
      </c>
      <c r="J971" s="116">
        <f>IFERROR(J57*[4]Inputs!$M$19,1/5)</f>
        <v>0.2</v>
      </c>
      <c r="K971" s="116">
        <f>IFERROR(K57*[4]Inputs!$M$19,1/5)</f>
        <v>0.2</v>
      </c>
      <c r="L971" s="116">
        <f>IFERROR(L57*[4]Inputs!$M$19,1/5)</f>
        <v>0.2</v>
      </c>
      <c r="O971" s="116" t="e">
        <f>O57*[4]Inputs!$M$19</f>
        <v>#VALUE!</v>
      </c>
      <c r="P971" s="116" t="e">
        <f>P57*[4]Inputs!$M$19</f>
        <v>#VALUE!</v>
      </c>
      <c r="Q971" s="116" t="e">
        <f>Q57*[4]Inputs!$M$19</f>
        <v>#VALUE!</v>
      </c>
      <c r="R971" s="116" t="e">
        <f>R57*[4]Inputs!$M$19</f>
        <v>#VALUE!</v>
      </c>
      <c r="T971" s="116" t="e">
        <f>T57*[4]Inputs!$M$19</f>
        <v>#VALUE!</v>
      </c>
      <c r="U971" s="116" t="e">
        <f>U57*[4]Inputs!$M$19</f>
        <v>#VALUE!</v>
      </c>
      <c r="V971" s="116" t="e">
        <f>V57*[4]Inputs!$M$19</f>
        <v>#VALUE!</v>
      </c>
      <c r="W971" s="116" t="e">
        <f>W57*[4]Inputs!$M$19</f>
        <v>#VALUE!</v>
      </c>
      <c r="X971" s="3" t="str">
        <f>INDEX(DistFuncAllocOptions,ROW(A971)-ROW($A$92)+1,[4]Inputs!$S$11)</f>
        <v>PLNT</v>
      </c>
      <c r="Y971" s="116">
        <f t="shared" ref="Y971:AC972" si="512">INDEX(DistFuncFactorTbl,MATCH($X971,DistFuncFactors,0),MATCH(Y$91,DistFunctions,0))*$J971</f>
        <v>3.2702297719706584E-2</v>
      </c>
      <c r="Z971" s="116">
        <f t="shared" si="512"/>
        <v>9.9520859584252844E-2</v>
      </c>
      <c r="AA971" s="116">
        <f t="shared" si="512"/>
        <v>3.8418593162534972E-2</v>
      </c>
      <c r="AB971" s="116">
        <f t="shared" si="512"/>
        <v>2.3018561809227657E-2</v>
      </c>
      <c r="AC971" s="116">
        <f t="shared" si="512"/>
        <v>6.3396877242779181E-3</v>
      </c>
      <c r="AD971" s="117">
        <f>ROUND(SUM(-G971,H971:L971),0)</f>
        <v>0</v>
      </c>
      <c r="AE971" s="117" t="e">
        <f>ROUND(H971-O971-P971-Q971-R971,0)</f>
        <v>#VALUE!</v>
      </c>
      <c r="AF971" s="117" t="e">
        <f>ROUND(I971-T971-U971-V971-W971,0)</f>
        <v>#VALUE!</v>
      </c>
      <c r="AG971" s="117">
        <f>ROUND(J971-Y971-Z971-AA971-AC971-AB971,0)</f>
        <v>0</v>
      </c>
      <c r="AH971" s="116"/>
      <c r="AI971">
        <f t="shared" si="490"/>
        <v>427</v>
      </c>
      <c r="AJ971" t="str">
        <f t="shared" si="467"/>
        <v>S</v>
      </c>
      <c r="AK971" t="str">
        <f>IF(ISERROR(MATCH(AI971&amp;"."&amp;AJ971,AK$91:AK970,0)),AI971&amp;"."&amp;AJ971,AI971&amp;"."&amp;AJ971&amp;COUNTIFS(AI$91:AI970,AI971,AJ$91:AJ970,AJ971))</f>
        <v>427.S</v>
      </c>
    </row>
    <row r="972" spans="1:37" ht="15" hidden="1">
      <c r="A972" s="120">
        <f>ROW()</f>
        <v>972</v>
      </c>
      <c r="B972" s="120"/>
      <c r="C972" s="1"/>
      <c r="E972" s="121" t="s">
        <v>433</v>
      </c>
      <c r="F972" s="138" t="str">
        <f>INDEX(FuncAllocOptions,ROW(A972)-ROW($A$92)+1,[4]Inputs!$S$11)</f>
        <v>GP</v>
      </c>
      <c r="G972" s="133" t="e">
        <f>SUMIF(FERCJAMFactor,AK972,JAMValue)</f>
        <v>#VALUE!</v>
      </c>
      <c r="H972" s="139" t="e">
        <f>INDEX(FuncFactorTbl,MATCH($F972,FuncFactors,0),MATCH(H$8,Functions,0))*$G972</f>
        <v>#VALUE!</v>
      </c>
      <c r="I972" s="139" t="e">
        <f>INDEX(FuncFactorTbl,MATCH($F972,FuncFactors,0),MATCH(I$8,Functions,0))*$G972</f>
        <v>#VALUE!</v>
      </c>
      <c r="J972" s="139" t="e">
        <f>INDEX(FuncFactorTbl,MATCH($F972,FuncFactors,0),MATCH(J$8,Functions,0))*$G972</f>
        <v>#VALUE!</v>
      </c>
      <c r="K972" s="139" t="e">
        <f>INDEX(FuncFactorTbl,MATCH($F972,FuncFactors,0),MATCH(K$8,Functions,0))*$G972</f>
        <v>#VALUE!</v>
      </c>
      <c r="L972" s="139" t="e">
        <f>INDEX(FuncFactorTbl,MATCH($F972,FuncFactors,0),MATCH(L$8,Functions,0))*$G972</f>
        <v>#VALUE!</v>
      </c>
      <c r="N972" s="108">
        <v>0.75</v>
      </c>
      <c r="O972" s="116" t="e">
        <f>$H972*$N972*$M972</f>
        <v>#VALUE!</v>
      </c>
      <c r="P972" s="116" t="e">
        <f>$H972*(1-$N972)*$M972</f>
        <v>#VALUE!</v>
      </c>
      <c r="Q972" s="116" t="e">
        <f>$H972*$N972*(1-$M972)</f>
        <v>#VALUE!</v>
      </c>
      <c r="R972" s="116" t="e">
        <f>$H972*(1-$N972)*(1-$M972)</f>
        <v>#VALUE!</v>
      </c>
      <c r="S972" s="108">
        <v>0.75</v>
      </c>
      <c r="T972" s="116" t="e">
        <f>$I972*$S972*$M972</f>
        <v>#VALUE!</v>
      </c>
      <c r="U972" s="116" t="e">
        <f>$I972*(1-$S972)*$M972</f>
        <v>#VALUE!</v>
      </c>
      <c r="V972" s="116" t="e">
        <f>$I972*$S972*(1-$M972)</f>
        <v>#VALUE!</v>
      </c>
      <c r="W972" s="116" t="e">
        <f>$I972*(1-$S972)*(1-$M972)</f>
        <v>#VALUE!</v>
      </c>
      <c r="X972" s="3" t="str">
        <f>INDEX(DistFuncAllocOptions,ROW(A972)-ROW($A$92)+1,[4]Inputs!$S$11)</f>
        <v>PLNT</v>
      </c>
      <c r="Y972" s="116" t="e">
        <f t="shared" si="512"/>
        <v>#VALUE!</v>
      </c>
      <c r="Z972" s="116" t="e">
        <f t="shared" si="512"/>
        <v>#VALUE!</v>
      </c>
      <c r="AA972" s="116" t="e">
        <f t="shared" si="512"/>
        <v>#VALUE!</v>
      </c>
      <c r="AB972" s="116" t="e">
        <f t="shared" si="512"/>
        <v>#VALUE!</v>
      </c>
      <c r="AC972" s="116" t="e">
        <f t="shared" si="512"/>
        <v>#VALUE!</v>
      </c>
      <c r="AD972" s="117" t="e">
        <f>ROUND(SUM(-G972,H972:L972),0)</f>
        <v>#VALUE!</v>
      </c>
      <c r="AE972" s="117" t="e">
        <f>ROUND(H972-O972-P972-Q972-R972,0)</f>
        <v>#VALUE!</v>
      </c>
      <c r="AF972" s="117" t="e">
        <f>ROUND(I972-T972-U972-V972-W972,0)</f>
        <v>#VALUE!</v>
      </c>
      <c r="AG972" s="117" t="e">
        <f>ROUND(J972-Y972-Z972-AA972-AC972-AB972,0)</f>
        <v>#VALUE!</v>
      </c>
      <c r="AH972" s="116"/>
      <c r="AI972">
        <f t="shared" si="490"/>
        <v>427</v>
      </c>
      <c r="AJ972" t="str">
        <f t="shared" si="467"/>
        <v>SNP</v>
      </c>
      <c r="AK972" t="str">
        <f>IF(ISERROR(MATCH(AI972&amp;"."&amp;AJ972,AK$91:AK971,0)),AI972&amp;"."&amp;AJ972,AI972&amp;"."&amp;AJ972&amp;COUNTIFS(AI$91:AI971,AI972,AJ$91:AJ971,AJ972))</f>
        <v>427.SNP</v>
      </c>
    </row>
    <row r="973" spans="1:37" ht="15" hidden="1">
      <c r="A973" s="120">
        <f>ROW()</f>
        <v>973</v>
      </c>
      <c r="B973" s="120"/>
      <c r="C973" s="1"/>
      <c r="E973" s="121"/>
      <c r="F973" s="138"/>
      <c r="G973" s="117" t="e">
        <f t="shared" ref="G973:L973" si="513">SUM(G971:G972)</f>
        <v>#VALUE!</v>
      </c>
      <c r="H973" s="116" t="e">
        <f t="shared" si="513"/>
        <v>#VALUE!</v>
      </c>
      <c r="I973" s="116" t="e">
        <f t="shared" si="513"/>
        <v>#VALUE!</v>
      </c>
      <c r="J973" s="116" t="e">
        <f t="shared" si="513"/>
        <v>#VALUE!</v>
      </c>
      <c r="K973" s="116" t="e">
        <f t="shared" si="513"/>
        <v>#VALUE!</v>
      </c>
      <c r="L973" s="116" t="e">
        <f t="shared" si="513"/>
        <v>#VALUE!</v>
      </c>
      <c r="O973" s="116" t="e">
        <f>SUM(O971:O972)</f>
        <v>#VALUE!</v>
      </c>
      <c r="P973" s="116" t="e">
        <f>SUM(P971:P972)</f>
        <v>#VALUE!</v>
      </c>
      <c r="Q973" s="116" t="e">
        <f>SUM(Q971:Q972)</f>
        <v>#VALUE!</v>
      </c>
      <c r="R973" s="116" t="e">
        <f>SUM(R971:R972)</f>
        <v>#VALUE!</v>
      </c>
      <c r="T973" s="116" t="e">
        <f>SUM(T971:T972)</f>
        <v>#VALUE!</v>
      </c>
      <c r="U973" s="116" t="e">
        <f>SUM(U971:U972)</f>
        <v>#VALUE!</v>
      </c>
      <c r="V973" s="116" t="e">
        <f>SUM(V971:V972)</f>
        <v>#VALUE!</v>
      </c>
      <c r="W973" s="116" t="e">
        <f>SUM(W971:W972)</f>
        <v>#VALUE!</v>
      </c>
      <c r="X973" s="3"/>
      <c r="Y973" s="116" t="e">
        <f>SUM(Y971:Y972)</f>
        <v>#VALUE!</v>
      </c>
      <c r="Z973" s="116" t="e">
        <f>SUM(Z971:Z972)</f>
        <v>#VALUE!</v>
      </c>
      <c r="AA973" s="116" t="e">
        <f>SUM(AA971:AA972)</f>
        <v>#VALUE!</v>
      </c>
      <c r="AB973" s="116" t="e">
        <f>SUM(AB971:AB972)</f>
        <v>#VALUE!</v>
      </c>
      <c r="AC973" s="116" t="e">
        <f>SUM(AC971:AC972)</f>
        <v>#VALUE!</v>
      </c>
      <c r="AD973" s="117" t="e">
        <f>ROUND(SUM(-G973,H973:L973),0)</f>
        <v>#VALUE!</v>
      </c>
      <c r="AE973" s="117" t="e">
        <f>ROUND(H973-O973-P973-Q973-R973,0)</f>
        <v>#VALUE!</v>
      </c>
      <c r="AF973" s="117" t="e">
        <f>ROUND(I973-T973-U973-V973-W973,0)</f>
        <v>#VALUE!</v>
      </c>
      <c r="AG973" s="117" t="e">
        <f>ROUND(J973-Y973-Z973-AA973-AC973-AB973,0)</f>
        <v>#VALUE!</v>
      </c>
      <c r="AH973" s="116"/>
      <c r="AI973">
        <f t="shared" si="490"/>
        <v>427</v>
      </c>
      <c r="AJ973" t="str">
        <f t="shared" si="467"/>
        <v>NA</v>
      </c>
      <c r="AK973" t="str">
        <f>IF(ISERROR(MATCH(AI973&amp;"."&amp;AJ973,AK$91:AK972,0)),AI973&amp;"."&amp;AJ973,AI973&amp;"."&amp;AJ973&amp;COUNTIFS(AI$91:AI972,AI973,AJ$91:AJ972,AJ973))</f>
        <v>427.NA1</v>
      </c>
    </row>
    <row r="974" spans="1:37" ht="15" hidden="1">
      <c r="A974" s="120">
        <f>ROW()</f>
        <v>974</v>
      </c>
      <c r="B974" s="120"/>
      <c r="C974" s="1"/>
      <c r="E974" s="121"/>
      <c r="F974" s="138"/>
      <c r="G974" s="119"/>
      <c r="X974" s="3"/>
      <c r="AD974" s="119"/>
      <c r="AE974" s="119"/>
      <c r="AF974" s="119"/>
      <c r="AG974" s="119"/>
      <c r="AI974">
        <f t="shared" si="490"/>
        <v>427</v>
      </c>
      <c r="AJ974" t="str">
        <f t="shared" si="467"/>
        <v>NA</v>
      </c>
      <c r="AK974" t="str">
        <f>IF(ISERROR(MATCH(AI974&amp;"."&amp;AJ974,AK$91:AK973,0)),AI974&amp;"."&amp;AJ974,AI974&amp;"."&amp;AJ974&amp;COUNTIFS(AI$91:AI973,AI974,AJ$91:AJ973,AJ974))</f>
        <v>427.NA2</v>
      </c>
    </row>
    <row r="975" spans="1:37" ht="15" hidden="1">
      <c r="A975" s="120">
        <f>ROW()</f>
        <v>975</v>
      </c>
      <c r="B975" s="120"/>
      <c r="C975" s="1">
        <v>428</v>
      </c>
      <c r="D975" s="2" t="s">
        <v>434</v>
      </c>
      <c r="E975" s="121"/>
      <c r="F975" s="138"/>
      <c r="G975" s="140"/>
      <c r="X975" s="3"/>
      <c r="AD975" s="119"/>
      <c r="AE975" s="119"/>
      <c r="AF975" s="119"/>
      <c r="AG975" s="119"/>
      <c r="AI975">
        <f t="shared" si="490"/>
        <v>428</v>
      </c>
      <c r="AJ975" t="str">
        <f t="shared" si="467"/>
        <v>NA</v>
      </c>
      <c r="AK975" t="str">
        <f>IF(ISERROR(MATCH(AI975&amp;"."&amp;AJ975,AK$91:AK974,0)),AI975&amp;"."&amp;AJ975,AI975&amp;"."&amp;AJ975&amp;COUNTIFS(AI$91:AI974,AI975,AJ$91:AJ974,AJ975))</f>
        <v>428.NA</v>
      </c>
    </row>
    <row r="976" spans="1:37" ht="15" hidden="1">
      <c r="A976" s="120">
        <f>ROW()</f>
        <v>976</v>
      </c>
      <c r="B976" s="120"/>
      <c r="C976" s="1"/>
      <c r="E976" s="121" t="s">
        <v>433</v>
      </c>
      <c r="F976" s="138" t="str">
        <f>INDEX(FuncAllocOptions,ROW(A976)-ROW($A$92)+1,[4]Inputs!$S$11)</f>
        <v>GP</v>
      </c>
      <c r="G976" s="133" t="e">
        <f>SUMIF(FERCJAMFactor,AK976,JAMValue)</f>
        <v>#VALUE!</v>
      </c>
      <c r="H976" s="139" t="e">
        <f>INDEX(FuncFactorTbl,MATCH($F976,FuncFactors,0),MATCH(H$8,Functions,0))*$G976</f>
        <v>#VALUE!</v>
      </c>
      <c r="I976" s="139" t="e">
        <f>INDEX(FuncFactorTbl,MATCH($F976,FuncFactors,0),MATCH(I$8,Functions,0))*$G976</f>
        <v>#VALUE!</v>
      </c>
      <c r="J976" s="139" t="e">
        <f>INDEX(FuncFactorTbl,MATCH($F976,FuncFactors,0),MATCH(J$8,Functions,0))*$G976</f>
        <v>#VALUE!</v>
      </c>
      <c r="K976" s="139" t="e">
        <f>INDEX(FuncFactorTbl,MATCH($F976,FuncFactors,0),MATCH(K$8,Functions,0))*$G976</f>
        <v>#VALUE!</v>
      </c>
      <c r="L976" s="139" t="e">
        <f>INDEX(FuncFactorTbl,MATCH($F976,FuncFactors,0),MATCH(L$8,Functions,0))*$G976</f>
        <v>#VALUE!</v>
      </c>
      <c r="N976" s="108">
        <v>0.75</v>
      </c>
      <c r="O976" s="116" t="e">
        <f>$H976*$N976*$M976</f>
        <v>#VALUE!</v>
      </c>
      <c r="P976" s="116" t="e">
        <f>$H976*(1-$N976)*$M976</f>
        <v>#VALUE!</v>
      </c>
      <c r="Q976" s="116" t="e">
        <f>$H976*$N976*(1-$M976)</f>
        <v>#VALUE!</v>
      </c>
      <c r="R976" s="116" t="e">
        <f>$H976*(1-$N976)*(1-$M976)</f>
        <v>#VALUE!</v>
      </c>
      <c r="S976" s="108">
        <v>0.75</v>
      </c>
      <c r="T976" s="116" t="e">
        <f>$I976*$S976*$M976</f>
        <v>#VALUE!</v>
      </c>
      <c r="U976" s="116" t="e">
        <f>$I976*(1-$S976)*$M976</f>
        <v>#VALUE!</v>
      </c>
      <c r="V976" s="116" t="e">
        <f>$I976*$S976*(1-$M976)</f>
        <v>#VALUE!</v>
      </c>
      <c r="W976" s="116" t="e">
        <f>$I976*(1-$S976)*(1-$M976)</f>
        <v>#VALUE!</v>
      </c>
      <c r="X976" s="3" t="str">
        <f>INDEX(DistFuncAllocOptions,ROW(A976)-ROW($A$92)+1,[4]Inputs!$S$11)</f>
        <v>PLNT</v>
      </c>
      <c r="Y976" s="116" t="e">
        <f>INDEX(DistFuncFactorTbl,MATCH($X976,DistFuncFactors,0),MATCH(Y$91,DistFunctions,0))*$J976</f>
        <v>#VALUE!</v>
      </c>
      <c r="Z976" s="116" t="e">
        <f>INDEX(DistFuncFactorTbl,MATCH($X976,DistFuncFactors,0),MATCH(Z$91,DistFunctions,0))*$J976</f>
        <v>#VALUE!</v>
      </c>
      <c r="AA976" s="116" t="e">
        <f>INDEX(DistFuncFactorTbl,MATCH($X976,DistFuncFactors,0),MATCH(AA$91,DistFunctions,0))*$J976</f>
        <v>#VALUE!</v>
      </c>
      <c r="AB976" s="116" t="e">
        <f>INDEX(DistFuncFactorTbl,MATCH($X976,DistFuncFactors,0),MATCH(AB$91,DistFunctions,0))*$J976</f>
        <v>#VALUE!</v>
      </c>
      <c r="AC976" s="116" t="e">
        <f>INDEX(DistFuncFactorTbl,MATCH($X976,DistFuncFactors,0),MATCH(AC$91,DistFunctions,0))*$J976</f>
        <v>#VALUE!</v>
      </c>
      <c r="AD976" s="117" t="e">
        <f>ROUND(SUM(-G976,H976:L976),0)</f>
        <v>#VALUE!</v>
      </c>
      <c r="AE976" s="117" t="e">
        <f>ROUND(H976-O976-P976-Q976-R976,0)</f>
        <v>#VALUE!</v>
      </c>
      <c r="AF976" s="117" t="e">
        <f>ROUND(I976-T976-U976-V976-W976,0)</f>
        <v>#VALUE!</v>
      </c>
      <c r="AG976" s="117" t="e">
        <f>ROUND(J976-Y976-Z976-AA976-AC976-AB976,0)</f>
        <v>#VALUE!</v>
      </c>
      <c r="AH976" s="116"/>
      <c r="AI976">
        <f t="shared" si="490"/>
        <v>428</v>
      </c>
      <c r="AJ976" t="str">
        <f t="shared" si="467"/>
        <v>SNP</v>
      </c>
      <c r="AK976" t="str">
        <f>IF(ISERROR(MATCH(AI976&amp;"."&amp;AJ976,AK$91:AK975,0)),AI976&amp;"."&amp;AJ976,AI976&amp;"."&amp;AJ976&amp;COUNTIFS(AI$91:AI975,AI976,AJ$91:AJ975,AJ976))</f>
        <v>428.SNP</v>
      </c>
    </row>
    <row r="977" spans="1:37" ht="15" hidden="1">
      <c r="A977" s="120">
        <f>ROW()</f>
        <v>977</v>
      </c>
      <c r="B977" s="120"/>
      <c r="C977" s="1"/>
      <c r="E977" s="121"/>
      <c r="F977" s="138"/>
      <c r="G977" s="117" t="e">
        <f t="shared" ref="G977:L977" si="514">SUM(G976)</f>
        <v>#VALUE!</v>
      </c>
      <c r="H977" s="116" t="e">
        <f t="shared" si="514"/>
        <v>#VALUE!</v>
      </c>
      <c r="I977" s="116" t="e">
        <f t="shared" si="514"/>
        <v>#VALUE!</v>
      </c>
      <c r="J977" s="116" t="e">
        <f t="shared" si="514"/>
        <v>#VALUE!</v>
      </c>
      <c r="K977" s="116" t="e">
        <f t="shared" si="514"/>
        <v>#VALUE!</v>
      </c>
      <c r="L977" s="116" t="e">
        <f t="shared" si="514"/>
        <v>#VALUE!</v>
      </c>
      <c r="O977" s="116" t="e">
        <f>SUM(O976)</f>
        <v>#VALUE!</v>
      </c>
      <c r="P977" s="116" t="e">
        <f>SUM(P976)</f>
        <v>#VALUE!</v>
      </c>
      <c r="Q977" s="116" t="e">
        <f>SUM(Q976)</f>
        <v>#VALUE!</v>
      </c>
      <c r="R977" s="116" t="e">
        <f>SUM(R976)</f>
        <v>#VALUE!</v>
      </c>
      <c r="T977" s="116" t="e">
        <f>SUM(T976)</f>
        <v>#VALUE!</v>
      </c>
      <c r="U977" s="116" t="e">
        <f>SUM(U976)</f>
        <v>#VALUE!</v>
      </c>
      <c r="V977" s="116" t="e">
        <f>SUM(V976)</f>
        <v>#VALUE!</v>
      </c>
      <c r="W977" s="116" t="e">
        <f>SUM(W976)</f>
        <v>#VALUE!</v>
      </c>
      <c r="X977" s="3"/>
      <c r="Y977" s="116" t="e">
        <f>SUM(Y976)</f>
        <v>#VALUE!</v>
      </c>
      <c r="Z977" s="116" t="e">
        <f>SUM(Z976)</f>
        <v>#VALUE!</v>
      </c>
      <c r="AA977" s="116" t="e">
        <f>SUM(AA976)</f>
        <v>#VALUE!</v>
      </c>
      <c r="AB977" s="116" t="e">
        <f>SUM(AB976)</f>
        <v>#VALUE!</v>
      </c>
      <c r="AC977" s="116" t="e">
        <f>SUM(AC976)</f>
        <v>#VALUE!</v>
      </c>
      <c r="AD977" s="117" t="e">
        <f>ROUND(SUM(-G977,H977:L977),0)</f>
        <v>#VALUE!</v>
      </c>
      <c r="AE977" s="117" t="e">
        <f>ROUND(H977-O977-P977-Q977-R977,0)</f>
        <v>#VALUE!</v>
      </c>
      <c r="AF977" s="117" t="e">
        <f>ROUND(I977-T977-U977-V977-W977,0)</f>
        <v>#VALUE!</v>
      </c>
      <c r="AG977" s="117" t="e">
        <f>ROUND(J977-Y977-Z977-AA977-AC977-AB977,0)</f>
        <v>#VALUE!</v>
      </c>
      <c r="AH977" s="116"/>
      <c r="AI977">
        <f t="shared" si="490"/>
        <v>428</v>
      </c>
      <c r="AJ977" t="str">
        <f t="shared" si="467"/>
        <v>NA</v>
      </c>
      <c r="AK977" t="str">
        <f>IF(ISERROR(MATCH(AI977&amp;"."&amp;AJ977,AK$91:AK976,0)),AI977&amp;"."&amp;AJ977,AI977&amp;"."&amp;AJ977&amp;COUNTIFS(AI$91:AI976,AI977,AJ$91:AJ976,AJ977))</f>
        <v>428.NA1</v>
      </c>
    </row>
    <row r="978" spans="1:37" ht="15" hidden="1">
      <c r="A978" s="120">
        <f>ROW()</f>
        <v>978</v>
      </c>
      <c r="B978" s="120"/>
      <c r="C978" s="1"/>
      <c r="E978" s="121"/>
      <c r="F978" s="138"/>
      <c r="G978" s="119"/>
      <c r="X978" s="3"/>
      <c r="AD978" s="119"/>
      <c r="AE978" s="119"/>
      <c r="AF978" s="119"/>
      <c r="AG978" s="119"/>
      <c r="AI978">
        <f t="shared" si="490"/>
        <v>428</v>
      </c>
      <c r="AJ978" t="str">
        <f t="shared" si="467"/>
        <v>NA</v>
      </c>
      <c r="AK978" t="str">
        <f>IF(ISERROR(MATCH(AI978&amp;"."&amp;AJ978,AK$91:AK977,0)),AI978&amp;"."&amp;AJ978,AI978&amp;"."&amp;AJ978&amp;COUNTIFS(AI$91:AI977,AI978,AJ$91:AJ977,AJ978))</f>
        <v>428.NA2</v>
      </c>
    </row>
    <row r="979" spans="1:37" ht="15" hidden="1">
      <c r="A979" s="120">
        <f>ROW()</f>
        <v>979</v>
      </c>
      <c r="B979" s="120"/>
      <c r="C979" s="1">
        <v>429</v>
      </c>
      <c r="D979" s="2" t="s">
        <v>435</v>
      </c>
      <c r="E979" s="121"/>
      <c r="F979" s="138"/>
      <c r="G979" s="119"/>
      <c r="X979" s="3"/>
      <c r="AD979" s="119"/>
      <c r="AE979" s="119"/>
      <c r="AF979" s="119"/>
      <c r="AG979" s="119"/>
      <c r="AI979">
        <f t="shared" si="490"/>
        <v>429</v>
      </c>
      <c r="AJ979" t="str">
        <f t="shared" si="467"/>
        <v>NA</v>
      </c>
      <c r="AK979" t="str">
        <f>IF(ISERROR(MATCH(AI979&amp;"."&amp;AJ979,AK$91:AK978,0)),AI979&amp;"."&amp;AJ979,AI979&amp;"."&amp;AJ979&amp;COUNTIFS(AI$91:AI978,AI979,AJ$91:AJ978,AJ979))</f>
        <v>429.NA</v>
      </c>
    </row>
    <row r="980" spans="1:37" ht="15" hidden="1">
      <c r="A980" s="120">
        <f>ROW()</f>
        <v>980</v>
      </c>
      <c r="B980" s="120"/>
      <c r="C980" s="1"/>
      <c r="E980" s="121" t="s">
        <v>433</v>
      </c>
      <c r="F980" s="138" t="str">
        <f>INDEX(FuncAllocOptions,ROW(A980)-ROW($A$92)+1,[4]Inputs!$S$11)</f>
        <v>GP</v>
      </c>
      <c r="G980" s="133" t="e">
        <f>SUMIF(FERCJAMFactor,AK980,JAMValue)</f>
        <v>#VALUE!</v>
      </c>
      <c r="H980" s="139" t="e">
        <f>INDEX(FuncFactorTbl,MATCH($F980,FuncFactors,0),MATCH(H$8,Functions,0))*$G980</f>
        <v>#VALUE!</v>
      </c>
      <c r="I980" s="139" t="e">
        <f>INDEX(FuncFactorTbl,MATCH($F980,FuncFactors,0),MATCH(I$8,Functions,0))*$G980</f>
        <v>#VALUE!</v>
      </c>
      <c r="J980" s="139" t="e">
        <f>INDEX(FuncFactorTbl,MATCH($F980,FuncFactors,0),MATCH(J$8,Functions,0))*$G980</f>
        <v>#VALUE!</v>
      </c>
      <c r="K980" s="139" t="e">
        <f>INDEX(FuncFactorTbl,MATCH($F980,FuncFactors,0),MATCH(K$8,Functions,0))*$G980</f>
        <v>#VALUE!</v>
      </c>
      <c r="L980" s="139" t="e">
        <f>INDEX(FuncFactorTbl,MATCH($F980,FuncFactors,0),MATCH(L$8,Functions,0))*$G980</f>
        <v>#VALUE!</v>
      </c>
      <c r="N980" s="108">
        <v>0.75</v>
      </c>
      <c r="O980" s="116" t="e">
        <f>$H980*$N980*$M980</f>
        <v>#VALUE!</v>
      </c>
      <c r="P980" s="116" t="e">
        <f>$H980*(1-$N980)*$M980</f>
        <v>#VALUE!</v>
      </c>
      <c r="Q980" s="116" t="e">
        <f>$H980*$N980*(1-$M980)</f>
        <v>#VALUE!</v>
      </c>
      <c r="R980" s="116" t="e">
        <f>$H980*(1-$N980)*(1-$M980)</f>
        <v>#VALUE!</v>
      </c>
      <c r="S980" s="108">
        <v>0.75</v>
      </c>
      <c r="T980" s="116" t="e">
        <f>$I980*$S980*$M980</f>
        <v>#VALUE!</v>
      </c>
      <c r="U980" s="116" t="e">
        <f>$I980*(1-$S980)*$M980</f>
        <v>#VALUE!</v>
      </c>
      <c r="V980" s="116" t="e">
        <f>$I980*$S980*(1-$M980)</f>
        <v>#VALUE!</v>
      </c>
      <c r="W980" s="116" t="e">
        <f>$I980*(1-$S980)*(1-$M980)</f>
        <v>#VALUE!</v>
      </c>
      <c r="X980" s="3" t="str">
        <f>INDEX(DistFuncAllocOptions,ROW(A980)-ROW($A$92)+1,[4]Inputs!$S$11)</f>
        <v>PLNT</v>
      </c>
      <c r="Y980" s="116" t="e">
        <f>INDEX(DistFuncFactorTbl,MATCH($X980,DistFuncFactors,0),MATCH(Y$91,DistFunctions,0))*$J980</f>
        <v>#VALUE!</v>
      </c>
      <c r="Z980" s="116" t="e">
        <f>INDEX(DistFuncFactorTbl,MATCH($X980,DistFuncFactors,0),MATCH(Z$91,DistFunctions,0))*$J980</f>
        <v>#VALUE!</v>
      </c>
      <c r="AA980" s="116" t="e">
        <f>INDEX(DistFuncFactorTbl,MATCH($X980,DistFuncFactors,0),MATCH(AA$91,DistFunctions,0))*$J980</f>
        <v>#VALUE!</v>
      </c>
      <c r="AB980" s="116" t="e">
        <f>INDEX(DistFuncFactorTbl,MATCH($X980,DistFuncFactors,0),MATCH(AB$91,DistFunctions,0))*$J980</f>
        <v>#VALUE!</v>
      </c>
      <c r="AC980" s="116" t="e">
        <f>INDEX(DistFuncFactorTbl,MATCH($X980,DistFuncFactors,0),MATCH(AC$91,DistFunctions,0))*$J980</f>
        <v>#VALUE!</v>
      </c>
      <c r="AD980" s="117" t="e">
        <f>ROUND(SUM(-G980,H980:L980),0)</f>
        <v>#VALUE!</v>
      </c>
      <c r="AE980" s="117" t="e">
        <f>ROUND(H980-O980-P980-Q980-R980,0)</f>
        <v>#VALUE!</v>
      </c>
      <c r="AF980" s="117" t="e">
        <f>ROUND(I980-T980-U980-V980-W980,0)</f>
        <v>#VALUE!</v>
      </c>
      <c r="AG980" s="117" t="e">
        <f>ROUND(J980-Y980-Z980-AA980-AC980-AB980,0)</f>
        <v>#VALUE!</v>
      </c>
      <c r="AH980" s="116"/>
      <c r="AI980">
        <f t="shared" si="490"/>
        <v>429</v>
      </c>
      <c r="AJ980" t="str">
        <f t="shared" si="467"/>
        <v>SNP</v>
      </c>
      <c r="AK980" t="str">
        <f>IF(ISERROR(MATCH(AI980&amp;"."&amp;AJ980,AK$91:AK979,0)),AI980&amp;"."&amp;AJ980,AI980&amp;"."&amp;AJ980&amp;COUNTIFS(AI$91:AI979,AI980,AJ$91:AJ979,AJ980))</f>
        <v>429.SNP</v>
      </c>
    </row>
    <row r="981" spans="1:37" ht="15" hidden="1">
      <c r="A981" s="120">
        <f>ROW()</f>
        <v>981</v>
      </c>
      <c r="B981" s="120"/>
      <c r="C981" s="1"/>
      <c r="E981" s="121"/>
      <c r="F981" s="138"/>
      <c r="G981" s="117" t="e">
        <f t="shared" ref="G981:L981" si="515">SUM(G980)</f>
        <v>#VALUE!</v>
      </c>
      <c r="H981" s="116" t="e">
        <f t="shared" si="515"/>
        <v>#VALUE!</v>
      </c>
      <c r="I981" s="116" t="e">
        <f t="shared" si="515"/>
        <v>#VALUE!</v>
      </c>
      <c r="J981" s="116" t="e">
        <f t="shared" si="515"/>
        <v>#VALUE!</v>
      </c>
      <c r="K981" s="116" t="e">
        <f t="shared" si="515"/>
        <v>#VALUE!</v>
      </c>
      <c r="L981" s="116" t="e">
        <f t="shared" si="515"/>
        <v>#VALUE!</v>
      </c>
      <c r="O981" s="116" t="e">
        <f>SUM(O980)</f>
        <v>#VALUE!</v>
      </c>
      <c r="P981" s="116" t="e">
        <f>SUM(P980)</f>
        <v>#VALUE!</v>
      </c>
      <c r="Q981" s="116" t="e">
        <f>SUM(Q980)</f>
        <v>#VALUE!</v>
      </c>
      <c r="R981" s="116" t="e">
        <f>SUM(R980)</f>
        <v>#VALUE!</v>
      </c>
      <c r="T981" s="116" t="e">
        <f>SUM(T980)</f>
        <v>#VALUE!</v>
      </c>
      <c r="U981" s="116" t="e">
        <f>SUM(U980)</f>
        <v>#VALUE!</v>
      </c>
      <c r="V981" s="116" t="e">
        <f>SUM(V980)</f>
        <v>#VALUE!</v>
      </c>
      <c r="W981" s="116" t="e">
        <f>SUM(W980)</f>
        <v>#VALUE!</v>
      </c>
      <c r="X981" s="3"/>
      <c r="Y981" s="116" t="e">
        <f>SUM(Y980)</f>
        <v>#VALUE!</v>
      </c>
      <c r="Z981" s="116" t="e">
        <f>SUM(Z980)</f>
        <v>#VALUE!</v>
      </c>
      <c r="AA981" s="116" t="e">
        <f>SUM(AA980)</f>
        <v>#VALUE!</v>
      </c>
      <c r="AB981" s="116" t="e">
        <f>SUM(AB980)</f>
        <v>#VALUE!</v>
      </c>
      <c r="AC981" s="116" t="e">
        <f>SUM(AC980)</f>
        <v>#VALUE!</v>
      </c>
      <c r="AD981" s="117" t="e">
        <f>ROUND(SUM(-G981,H981:L981),0)</f>
        <v>#VALUE!</v>
      </c>
      <c r="AE981" s="117" t="e">
        <f>ROUND(H981-O981-P981-Q981-R981,0)</f>
        <v>#VALUE!</v>
      </c>
      <c r="AF981" s="117" t="e">
        <f>ROUND(I981-T981-U981-V981-W981,0)</f>
        <v>#VALUE!</v>
      </c>
      <c r="AG981" s="117" t="e">
        <f>ROUND(J981-Y981-Z981-AA981-AC981-AB981,0)</f>
        <v>#VALUE!</v>
      </c>
      <c r="AH981" s="116"/>
      <c r="AI981">
        <f t="shared" si="490"/>
        <v>429</v>
      </c>
      <c r="AJ981" t="str">
        <f t="shared" si="467"/>
        <v>NA</v>
      </c>
      <c r="AK981" t="str">
        <f>IF(ISERROR(MATCH(AI981&amp;"."&amp;AJ981,AK$91:AK980,0)),AI981&amp;"."&amp;AJ981,AI981&amp;"."&amp;AJ981&amp;COUNTIFS(AI$91:AI980,AI981,AJ$91:AJ980,AJ981))</f>
        <v>429.NA1</v>
      </c>
    </row>
    <row r="982" spans="1:37" ht="15" hidden="1">
      <c r="A982" s="120">
        <f>ROW()</f>
        <v>982</v>
      </c>
      <c r="B982" s="120"/>
      <c r="C982" s="1"/>
      <c r="E982" s="121"/>
      <c r="F982" s="138"/>
      <c r="G982" s="119"/>
      <c r="X982" s="3"/>
      <c r="AD982" s="119"/>
      <c r="AE982" s="119"/>
      <c r="AF982" s="119"/>
      <c r="AG982" s="119"/>
      <c r="AI982">
        <f t="shared" si="490"/>
        <v>429</v>
      </c>
      <c r="AJ982" t="str">
        <f t="shared" si="467"/>
        <v>NA</v>
      </c>
      <c r="AK982" t="str">
        <f>IF(ISERROR(MATCH(AI982&amp;"."&amp;AJ982,AK$91:AK981,0)),AI982&amp;"."&amp;AJ982,AI982&amp;"."&amp;AJ982&amp;COUNTIFS(AI$91:AI981,AI982,AJ$91:AJ981,AJ982))</f>
        <v>429.NA2</v>
      </c>
    </row>
    <row r="983" spans="1:37" ht="15" hidden="1">
      <c r="A983" s="120">
        <f>ROW()</f>
        <v>983</v>
      </c>
      <c r="B983" s="120"/>
      <c r="C983" s="1">
        <v>431</v>
      </c>
      <c r="D983" s="2" t="s">
        <v>436</v>
      </c>
      <c r="E983" s="121"/>
      <c r="F983" s="138"/>
      <c r="G983" s="119"/>
      <c r="X983" s="3"/>
      <c r="AD983" s="119"/>
      <c r="AE983" s="119"/>
      <c r="AF983" s="119"/>
      <c r="AG983" s="119"/>
      <c r="AI983">
        <f t="shared" si="490"/>
        <v>431</v>
      </c>
      <c r="AJ983" t="str">
        <f t="shared" si="467"/>
        <v>NA</v>
      </c>
      <c r="AK983" t="str">
        <f>IF(ISERROR(MATCH(AI983&amp;"."&amp;AJ983,AK$91:AK982,0)),AI983&amp;"."&amp;AJ983,AI983&amp;"."&amp;AJ983&amp;COUNTIFS(AI$91:AI982,AI983,AJ$91:AJ982,AJ983))</f>
        <v>431.NA</v>
      </c>
    </row>
    <row r="984" spans="1:37" ht="15" hidden="1">
      <c r="A984" s="120">
        <f>ROW()</f>
        <v>984</v>
      </c>
      <c r="B984" s="120"/>
      <c r="C984" s="1"/>
      <c r="E984" s="121" t="s">
        <v>438</v>
      </c>
      <c r="F984" s="138" t="str">
        <f>INDEX(FuncAllocOptions,ROW(A984)-ROW($A$92)+1,[4]Inputs!$S$11)</f>
        <v>NUTIL</v>
      </c>
      <c r="G984" s="117" t="e">
        <f>SUMIF(FERCJAMFactor,AK984,JAMValue)</f>
        <v>#VALUE!</v>
      </c>
      <c r="H984" s="116" t="e">
        <f t="shared" ref="H984:L986" si="516">INDEX(FuncFactorTbl,MATCH($F984,FuncFactors,0),MATCH(H$8,Functions,0))*$G984</f>
        <v>#VALUE!</v>
      </c>
      <c r="I984" s="116" t="e">
        <f t="shared" si="516"/>
        <v>#VALUE!</v>
      </c>
      <c r="J984" s="116" t="e">
        <f t="shared" si="516"/>
        <v>#VALUE!</v>
      </c>
      <c r="K984" s="116" t="e">
        <f t="shared" si="516"/>
        <v>#VALUE!</v>
      </c>
      <c r="L984" s="116" t="e">
        <f t="shared" si="516"/>
        <v>#VALUE!</v>
      </c>
      <c r="N984" s="108">
        <v>0.75</v>
      </c>
      <c r="O984" s="116" t="e">
        <f>$H984*$N984*$M984</f>
        <v>#VALUE!</v>
      </c>
      <c r="P984" s="116" t="e">
        <f>$H984*(1-$N984)*$M984</f>
        <v>#VALUE!</v>
      </c>
      <c r="Q984" s="116" t="e">
        <f>$H984*$N984*(1-$M984)</f>
        <v>#VALUE!</v>
      </c>
      <c r="R984" s="116" t="e">
        <f>$H984*(1-$N984)*(1-$M984)</f>
        <v>#VALUE!</v>
      </c>
      <c r="S984" s="108">
        <v>0.75</v>
      </c>
      <c r="T984" s="116" t="e">
        <f>$I984*$S984*$M984</f>
        <v>#VALUE!</v>
      </c>
      <c r="U984" s="116" t="e">
        <f>$I984*(1-$S984)*$M984</f>
        <v>#VALUE!</v>
      </c>
      <c r="V984" s="116" t="e">
        <f>$I984*$S984*(1-$M984)</f>
        <v>#VALUE!</v>
      </c>
      <c r="W984" s="116" t="e">
        <f>$I984*(1-$S984)*(1-$M984)</f>
        <v>#VALUE!</v>
      </c>
      <c r="X984" s="3" t="str">
        <f>INDEX(DistFuncAllocOptions,ROW(A984)-ROW($A$92)+1,[4]Inputs!$S$11)</f>
        <v>PLNT</v>
      </c>
      <c r="Y984" s="116" t="e">
        <f t="shared" ref="Y984:AC986" si="517">INDEX(DistFuncFactorTbl,MATCH($X984,DistFuncFactors,0),MATCH(Y$91,DistFunctions,0))*$J984</f>
        <v>#VALUE!</v>
      </c>
      <c r="Z984" s="116" t="e">
        <f t="shared" si="517"/>
        <v>#VALUE!</v>
      </c>
      <c r="AA984" s="116" t="e">
        <f t="shared" si="517"/>
        <v>#VALUE!</v>
      </c>
      <c r="AB984" s="116" t="e">
        <f t="shared" si="517"/>
        <v>#VALUE!</v>
      </c>
      <c r="AC984" s="116" t="e">
        <f t="shared" si="517"/>
        <v>#VALUE!</v>
      </c>
      <c r="AD984" s="117" t="e">
        <f>ROUND(SUM(-G984,H984:L984),0)</f>
        <v>#VALUE!</v>
      </c>
      <c r="AE984" s="117" t="e">
        <f>ROUND(H984-O984-P984-Q984-R984,0)</f>
        <v>#VALUE!</v>
      </c>
      <c r="AF984" s="117" t="e">
        <f>ROUND(I984-T984-U984-V984-W984,0)</f>
        <v>#VALUE!</v>
      </c>
      <c r="AG984" s="117" t="e">
        <f>ROUND(J984-Y984-Z984-AA984-AC984-AB984,0)</f>
        <v>#VALUE!</v>
      </c>
      <c r="AH984" s="116"/>
      <c r="AI984">
        <f t="shared" si="490"/>
        <v>431</v>
      </c>
      <c r="AJ984" t="str">
        <f t="shared" si="467"/>
        <v>OTH</v>
      </c>
      <c r="AK984" t="str">
        <f>IF(ISERROR(MATCH(AI984&amp;"."&amp;AJ984,AK$91:AK983,0)),AI984&amp;"."&amp;AJ984,AI984&amp;"."&amp;AJ984&amp;COUNTIFS(AI$91:AI983,AI984,AJ$91:AJ983,AJ984))</f>
        <v>431.OTH</v>
      </c>
    </row>
    <row r="985" spans="1:37" ht="15" hidden="1">
      <c r="A985" s="120">
        <f>ROW()</f>
        <v>985</v>
      </c>
      <c r="B985" s="120"/>
      <c r="C985" s="1"/>
      <c r="E985" s="121" t="s">
        <v>136</v>
      </c>
      <c r="F985" s="138" t="str">
        <f>INDEX(FuncAllocOptions,ROW(A985)-ROW($A$92)+1,[4]Inputs!$S$11)</f>
        <v>GP</v>
      </c>
      <c r="G985" s="117" t="e">
        <f>SUMIF(FERCJAMFactor,AK985,JAMValue)</f>
        <v>#VALUE!</v>
      </c>
      <c r="H985" s="116" t="e">
        <f t="shared" si="516"/>
        <v>#VALUE!</v>
      </c>
      <c r="I985" s="116" t="e">
        <f t="shared" si="516"/>
        <v>#VALUE!</v>
      </c>
      <c r="J985" s="116" t="e">
        <f t="shared" si="516"/>
        <v>#VALUE!</v>
      </c>
      <c r="K985" s="116" t="e">
        <f t="shared" si="516"/>
        <v>#VALUE!</v>
      </c>
      <c r="L985" s="116" t="e">
        <f t="shared" si="516"/>
        <v>#VALUE!</v>
      </c>
      <c r="N985" s="108">
        <v>0.75</v>
      </c>
      <c r="O985" s="116" t="e">
        <f>$H985*$N985*$M985</f>
        <v>#VALUE!</v>
      </c>
      <c r="P985" s="116" t="e">
        <f>$H985*(1-$N985)*$M985</f>
        <v>#VALUE!</v>
      </c>
      <c r="Q985" s="116" t="e">
        <f>$H985*$N985*(1-$M985)</f>
        <v>#VALUE!</v>
      </c>
      <c r="R985" s="116" t="e">
        <f>$H985*(1-$N985)*(1-$M985)</f>
        <v>#VALUE!</v>
      </c>
      <c r="S985" s="108">
        <v>0.75</v>
      </c>
      <c r="T985" s="116" t="e">
        <f>$I985*$S985*$M985</f>
        <v>#VALUE!</v>
      </c>
      <c r="U985" s="116" t="e">
        <f>$I985*(1-$S985)*$M985</f>
        <v>#VALUE!</v>
      </c>
      <c r="V985" s="116" t="e">
        <f>$I985*$S985*(1-$M985)</f>
        <v>#VALUE!</v>
      </c>
      <c r="W985" s="116" t="e">
        <f>$I985*(1-$S985)*(1-$M985)</f>
        <v>#VALUE!</v>
      </c>
      <c r="X985" s="3" t="str">
        <f>INDEX(DistFuncAllocOptions,ROW(A985)-ROW($A$92)+1,[4]Inputs!$S$11)</f>
        <v>PLNT</v>
      </c>
      <c r="Y985" s="116" t="e">
        <f t="shared" si="517"/>
        <v>#VALUE!</v>
      </c>
      <c r="Z985" s="116" t="e">
        <f t="shared" si="517"/>
        <v>#VALUE!</v>
      </c>
      <c r="AA985" s="116" t="e">
        <f t="shared" si="517"/>
        <v>#VALUE!</v>
      </c>
      <c r="AB985" s="116" t="e">
        <f t="shared" si="517"/>
        <v>#VALUE!</v>
      </c>
      <c r="AC985" s="116" t="e">
        <f t="shared" si="517"/>
        <v>#VALUE!</v>
      </c>
      <c r="AD985" s="117" t="e">
        <f>ROUND(SUM(-G985,H985:L985),0)</f>
        <v>#VALUE!</v>
      </c>
      <c r="AE985" s="117" t="e">
        <f>ROUND(H985-O985-P985-Q985-R985,0)</f>
        <v>#VALUE!</v>
      </c>
      <c r="AF985" s="117" t="e">
        <f>ROUND(I985-T985-U985-V985-W985,0)</f>
        <v>#VALUE!</v>
      </c>
      <c r="AG985" s="117" t="e">
        <f>ROUND(J985-Y985-Z985-AA985-AC985-AB985,0)</f>
        <v>#VALUE!</v>
      </c>
      <c r="AH985" s="116"/>
      <c r="AI985">
        <f t="shared" si="490"/>
        <v>431</v>
      </c>
      <c r="AJ985" t="str">
        <f t="shared" si="467"/>
        <v>SO</v>
      </c>
      <c r="AK985" t="str">
        <f>IF(ISERROR(MATCH(AI985&amp;"."&amp;AJ985,AK$91:AK984,0)),AI985&amp;"."&amp;AJ985,AI985&amp;"."&amp;AJ985&amp;COUNTIFS(AI$91:AI984,AI985,AJ$91:AJ984,AJ985))</f>
        <v>431.SO</v>
      </c>
    </row>
    <row r="986" spans="1:37" ht="15" hidden="1">
      <c r="A986" s="120">
        <f>ROW()</f>
        <v>986</v>
      </c>
      <c r="B986" s="120"/>
      <c r="C986" s="1"/>
      <c r="E986" s="121" t="s">
        <v>433</v>
      </c>
      <c r="F986" s="138" t="str">
        <f>INDEX(FuncAllocOptions,ROW(A986)-ROW($A$92)+1,[4]Inputs!$S$11)</f>
        <v>GP</v>
      </c>
      <c r="G986" s="133" t="e">
        <f>SUMIF(FERCJAMFactor,AK986,JAMValue)</f>
        <v>#VALUE!</v>
      </c>
      <c r="H986" s="139" t="e">
        <f t="shared" si="516"/>
        <v>#VALUE!</v>
      </c>
      <c r="I986" s="139" t="e">
        <f t="shared" si="516"/>
        <v>#VALUE!</v>
      </c>
      <c r="J986" s="139" t="e">
        <f t="shared" si="516"/>
        <v>#VALUE!</v>
      </c>
      <c r="K986" s="139" t="e">
        <f t="shared" si="516"/>
        <v>#VALUE!</v>
      </c>
      <c r="L986" s="139" t="e">
        <f t="shared" si="516"/>
        <v>#VALUE!</v>
      </c>
      <c r="N986" s="108">
        <v>0.75</v>
      </c>
      <c r="O986" s="116" t="e">
        <f>$H986*$N986*$M986</f>
        <v>#VALUE!</v>
      </c>
      <c r="P986" s="116" t="e">
        <f>$H986*(1-$N986)*$M986</f>
        <v>#VALUE!</v>
      </c>
      <c r="Q986" s="116" t="e">
        <f>$H986*$N986*(1-$M986)</f>
        <v>#VALUE!</v>
      </c>
      <c r="R986" s="116" t="e">
        <f>$H986*(1-$N986)*(1-$M986)</f>
        <v>#VALUE!</v>
      </c>
      <c r="S986" s="108">
        <v>0.75</v>
      </c>
      <c r="T986" s="116" t="e">
        <f>$I986*$S986*$M986</f>
        <v>#VALUE!</v>
      </c>
      <c r="U986" s="116" t="e">
        <f>$I986*(1-$S986)*$M986</f>
        <v>#VALUE!</v>
      </c>
      <c r="V986" s="116" t="e">
        <f>$I986*$S986*(1-$M986)</f>
        <v>#VALUE!</v>
      </c>
      <c r="W986" s="116" t="e">
        <f>$I986*(1-$S986)*(1-$M986)</f>
        <v>#VALUE!</v>
      </c>
      <c r="X986" s="3" t="str">
        <f>INDEX(DistFuncAllocOptions,ROW(A986)-ROW($A$92)+1,[4]Inputs!$S$11)</f>
        <v>PLNT</v>
      </c>
      <c r="Y986" s="116" t="e">
        <f t="shared" si="517"/>
        <v>#VALUE!</v>
      </c>
      <c r="Z986" s="116" t="e">
        <f t="shared" si="517"/>
        <v>#VALUE!</v>
      </c>
      <c r="AA986" s="116" t="e">
        <f t="shared" si="517"/>
        <v>#VALUE!</v>
      </c>
      <c r="AB986" s="116" t="e">
        <f t="shared" si="517"/>
        <v>#VALUE!</v>
      </c>
      <c r="AC986" s="116" t="e">
        <f t="shared" si="517"/>
        <v>#VALUE!</v>
      </c>
      <c r="AD986" s="117" t="e">
        <f>ROUND(SUM(-G986,H986:L986),0)</f>
        <v>#VALUE!</v>
      </c>
      <c r="AE986" s="117" t="e">
        <f>ROUND(H986-O986-P986-Q986-R986,0)</f>
        <v>#VALUE!</v>
      </c>
      <c r="AF986" s="117" t="e">
        <f>ROUND(I986-T986-U986-V986-W986,0)</f>
        <v>#VALUE!</v>
      </c>
      <c r="AG986" s="117" t="e">
        <f>ROUND(J986-Y986-Z986-AA986-AC986-AB986,0)</f>
        <v>#VALUE!</v>
      </c>
      <c r="AH986" s="116"/>
      <c r="AI986">
        <f t="shared" si="490"/>
        <v>431</v>
      </c>
      <c r="AJ986" t="str">
        <f t="shared" si="467"/>
        <v>SNP</v>
      </c>
      <c r="AK986" t="str">
        <f>IF(ISERROR(MATCH(AI986&amp;"."&amp;AJ986,AK$91:AK985,0)),AI986&amp;"."&amp;AJ986,AI986&amp;"."&amp;AJ986&amp;COUNTIFS(AI$91:AI985,AI986,AJ$91:AJ985,AJ986))</f>
        <v>431.SNP</v>
      </c>
    </row>
    <row r="987" spans="1:37" ht="15" hidden="1">
      <c r="A987" s="120">
        <f>ROW()</f>
        <v>987</v>
      </c>
      <c r="B987" s="120"/>
      <c r="C987" s="1"/>
      <c r="E987" s="121"/>
      <c r="F987" s="138"/>
      <c r="G987" s="117" t="e">
        <f t="shared" ref="G987:L987" si="518">SUM(G984:G986)</f>
        <v>#VALUE!</v>
      </c>
      <c r="H987" s="116" t="e">
        <f t="shared" si="518"/>
        <v>#VALUE!</v>
      </c>
      <c r="I987" s="116" t="e">
        <f t="shared" si="518"/>
        <v>#VALUE!</v>
      </c>
      <c r="J987" s="116" t="e">
        <f t="shared" si="518"/>
        <v>#VALUE!</v>
      </c>
      <c r="K987" s="116" t="e">
        <f t="shared" si="518"/>
        <v>#VALUE!</v>
      </c>
      <c r="L987" s="116" t="e">
        <f t="shared" si="518"/>
        <v>#VALUE!</v>
      </c>
      <c r="O987" s="116" t="e">
        <f>SUM(O984:O986)</f>
        <v>#VALUE!</v>
      </c>
      <c r="P987" s="116" t="e">
        <f>SUM(P984:P986)</f>
        <v>#VALUE!</v>
      </c>
      <c r="Q987" s="116" t="e">
        <f>SUM(Q984:Q986)</f>
        <v>#VALUE!</v>
      </c>
      <c r="R987" s="116" t="e">
        <f>SUM(R984:R986)</f>
        <v>#VALUE!</v>
      </c>
      <c r="S987" s="116"/>
      <c r="T987" s="116" t="e">
        <f>SUM(T984:T986)</f>
        <v>#VALUE!</v>
      </c>
      <c r="U987" s="116" t="e">
        <f>SUM(U984:U986)</f>
        <v>#VALUE!</v>
      </c>
      <c r="V987" s="116" t="e">
        <f>SUM(V984:V986)</f>
        <v>#VALUE!</v>
      </c>
      <c r="W987" s="116" t="e">
        <f>SUM(W984:W986)</f>
        <v>#VALUE!</v>
      </c>
      <c r="X987" s="3"/>
      <c r="Y987" s="116" t="e">
        <f>SUM(Y984:Y986)</f>
        <v>#VALUE!</v>
      </c>
      <c r="Z987" s="116" t="e">
        <f>SUM(Z984:Z986)</f>
        <v>#VALUE!</v>
      </c>
      <c r="AA987" s="116" t="e">
        <f>SUM(AA984:AA986)</f>
        <v>#VALUE!</v>
      </c>
      <c r="AB987" s="116" t="e">
        <f>SUM(AB984:AB986)</f>
        <v>#VALUE!</v>
      </c>
      <c r="AC987" s="116" t="e">
        <f>SUM(AC984:AC986)</f>
        <v>#VALUE!</v>
      </c>
      <c r="AD987" s="117" t="e">
        <f>ROUND(SUM(-G987,H987:L987),0)</f>
        <v>#VALUE!</v>
      </c>
      <c r="AE987" s="117" t="e">
        <f>ROUND(H987-O987-P987-Q987-R987,0)</f>
        <v>#VALUE!</v>
      </c>
      <c r="AF987" s="117" t="e">
        <f>ROUND(I987-T987-U987-V987-W987,0)</f>
        <v>#VALUE!</v>
      </c>
      <c r="AG987" s="117" t="e">
        <f>ROUND(J987-Y987-Z987-AA987-AC987-AB987,0)</f>
        <v>#VALUE!</v>
      </c>
      <c r="AH987" s="116"/>
      <c r="AI987">
        <f t="shared" si="490"/>
        <v>431</v>
      </c>
      <c r="AJ987" t="str">
        <f t="shared" si="467"/>
        <v>NA</v>
      </c>
      <c r="AK987" t="str">
        <f>IF(ISERROR(MATCH(AI987&amp;"."&amp;AJ987,AK$91:AK986,0)),AI987&amp;"."&amp;AJ987,AI987&amp;"."&amp;AJ987&amp;COUNTIFS(AI$91:AI986,AI987,AJ$91:AJ986,AJ987))</f>
        <v>431.NA1</v>
      </c>
    </row>
    <row r="988" spans="1:37" ht="15" hidden="1">
      <c r="A988" s="120">
        <f>ROW()</f>
        <v>988</v>
      </c>
      <c r="B988" s="120"/>
      <c r="C988" s="1"/>
      <c r="E988" s="121"/>
      <c r="F988" s="138"/>
      <c r="G988" s="119"/>
      <c r="X988" s="3"/>
      <c r="AD988" s="119"/>
      <c r="AE988" s="119"/>
      <c r="AF988" s="119"/>
      <c r="AG988" s="119"/>
      <c r="AI988">
        <f t="shared" si="490"/>
        <v>431</v>
      </c>
      <c r="AJ988" t="str">
        <f t="shared" si="467"/>
        <v>NA</v>
      </c>
      <c r="AK988" t="str">
        <f>IF(ISERROR(MATCH(AI988&amp;"."&amp;AJ988,AK$91:AK987,0)),AI988&amp;"."&amp;AJ988,AI988&amp;"."&amp;AJ988&amp;COUNTIFS(AI$91:AI987,AI988,AJ$91:AJ987,AJ988))</f>
        <v>431.NA2</v>
      </c>
    </row>
    <row r="989" spans="1:37" ht="15" hidden="1">
      <c r="A989" s="120">
        <f>ROW()</f>
        <v>989</v>
      </c>
      <c r="B989" s="120"/>
      <c r="C989" s="1">
        <v>432</v>
      </c>
      <c r="D989" s="2" t="s">
        <v>439</v>
      </c>
      <c r="E989" s="121"/>
      <c r="F989" s="138"/>
      <c r="G989" s="119"/>
      <c r="X989" s="3"/>
      <c r="AD989" s="119"/>
      <c r="AE989" s="119"/>
      <c r="AF989" s="119"/>
      <c r="AG989" s="119"/>
      <c r="AI989">
        <f t="shared" si="490"/>
        <v>432</v>
      </c>
      <c r="AJ989" t="str">
        <f t="shared" ref="AJ989:AJ1052" si="519">IF(E989="","NA",E989)</f>
        <v>NA</v>
      </c>
      <c r="AK989" t="str">
        <f>IF(ISERROR(MATCH(AI989&amp;"."&amp;AJ989,AK$91:AK988,0)),AI989&amp;"."&amp;AJ989,AI989&amp;"."&amp;AJ989&amp;COUNTIFS(AI$91:AI988,AI989,AJ$91:AJ988,AJ989))</f>
        <v>432.NA</v>
      </c>
    </row>
    <row r="990" spans="1:37" ht="15" hidden="1">
      <c r="A990" s="120">
        <f>ROW()</f>
        <v>990</v>
      </c>
      <c r="B990" s="120"/>
      <c r="C990" s="1"/>
      <c r="E990" s="121" t="s">
        <v>433</v>
      </c>
      <c r="F990" s="138" t="str">
        <f>INDEX(FuncAllocOptions,ROW(A990)-ROW($A$92)+1,[4]Inputs!$S$11)</f>
        <v>GP</v>
      </c>
      <c r="G990" s="133" t="e">
        <f>SUMIF(FERCJAMFactor,AK990,JAMValue)</f>
        <v>#VALUE!</v>
      </c>
      <c r="H990" s="139" t="e">
        <f>INDEX(FuncFactorTbl,MATCH($F990,FuncFactors,0),MATCH(H$8,Functions,0))*$G990</f>
        <v>#VALUE!</v>
      </c>
      <c r="I990" s="139" t="e">
        <f>INDEX(FuncFactorTbl,MATCH($F990,FuncFactors,0),MATCH(I$8,Functions,0))*$G990</f>
        <v>#VALUE!</v>
      </c>
      <c r="J990" s="139" t="e">
        <f>INDEX(FuncFactorTbl,MATCH($F990,FuncFactors,0),MATCH(J$8,Functions,0))*$G990</f>
        <v>#VALUE!</v>
      </c>
      <c r="K990" s="139" t="e">
        <f>INDEX(FuncFactorTbl,MATCH($F990,FuncFactors,0),MATCH(K$8,Functions,0))*$G990</f>
        <v>#VALUE!</v>
      </c>
      <c r="L990" s="139" t="e">
        <f>INDEX(FuncFactorTbl,MATCH($F990,FuncFactors,0),MATCH(L$8,Functions,0))*$G990</f>
        <v>#VALUE!</v>
      </c>
      <c r="N990" s="108">
        <v>0.75</v>
      </c>
      <c r="O990" s="116" t="e">
        <f>$H990*$N990*$M990</f>
        <v>#VALUE!</v>
      </c>
      <c r="P990" s="116" t="e">
        <f>$H990*(1-$N990)*$M990</f>
        <v>#VALUE!</v>
      </c>
      <c r="Q990" s="116" t="e">
        <f>$H990*$N990*(1-$M990)</f>
        <v>#VALUE!</v>
      </c>
      <c r="R990" s="116" t="e">
        <f>$H990*(1-$N990)*(1-$M990)</f>
        <v>#VALUE!</v>
      </c>
      <c r="S990" s="108">
        <v>0.75</v>
      </c>
      <c r="T990" s="116" t="e">
        <f>$I990*$S990*$M990</f>
        <v>#VALUE!</v>
      </c>
      <c r="U990" s="116" t="e">
        <f>$I990*(1-$S990)*$M990</f>
        <v>#VALUE!</v>
      </c>
      <c r="V990" s="116" t="e">
        <f>$I990*$S990*(1-$M990)</f>
        <v>#VALUE!</v>
      </c>
      <c r="W990" s="116" t="e">
        <f>$I990*(1-$S990)*(1-$M990)</f>
        <v>#VALUE!</v>
      </c>
      <c r="X990" s="3" t="str">
        <f>INDEX(DistFuncAllocOptions,ROW(A990)-ROW($A$92)+1,[4]Inputs!$S$11)</f>
        <v>PLNT</v>
      </c>
      <c r="Y990" s="116" t="e">
        <f>INDEX(DistFuncFactorTbl,MATCH($X990,DistFuncFactors,0),MATCH(Y$91,DistFunctions,0))*$J990</f>
        <v>#VALUE!</v>
      </c>
      <c r="Z990" s="116" t="e">
        <f>INDEX(DistFuncFactorTbl,MATCH($X990,DistFuncFactors,0),MATCH(Z$91,DistFunctions,0))*$J990</f>
        <v>#VALUE!</v>
      </c>
      <c r="AA990" s="116" t="e">
        <f>INDEX(DistFuncFactorTbl,MATCH($X990,DistFuncFactors,0),MATCH(AA$91,DistFunctions,0))*$J990</f>
        <v>#VALUE!</v>
      </c>
      <c r="AB990" s="116" t="e">
        <f>INDEX(DistFuncFactorTbl,MATCH($X990,DistFuncFactors,0),MATCH(AB$91,DistFunctions,0))*$J990</f>
        <v>#VALUE!</v>
      </c>
      <c r="AC990" s="116" t="e">
        <f>INDEX(DistFuncFactorTbl,MATCH($X990,DistFuncFactors,0),MATCH(AC$91,DistFunctions,0))*$J990</f>
        <v>#VALUE!</v>
      </c>
      <c r="AD990" s="117" t="e">
        <f>ROUND(SUM(-G990,H990:L990),0)</f>
        <v>#VALUE!</v>
      </c>
      <c r="AE990" s="117" t="e">
        <f>ROUND(H990-O990-P990-Q990-R990,0)</f>
        <v>#VALUE!</v>
      </c>
      <c r="AF990" s="117" t="e">
        <f>ROUND(I990-T990-U990-V990-W990,0)</f>
        <v>#VALUE!</v>
      </c>
      <c r="AG990" s="117" t="e">
        <f>ROUND(J990-Y990-Z990-AA990-AC990-AB990,0)</f>
        <v>#VALUE!</v>
      </c>
      <c r="AH990" s="116"/>
      <c r="AI990">
        <f t="shared" si="490"/>
        <v>432</v>
      </c>
      <c r="AJ990" t="str">
        <f t="shared" si="519"/>
        <v>SNP</v>
      </c>
      <c r="AK990" t="str">
        <f>IF(ISERROR(MATCH(AI990&amp;"."&amp;AJ990,AK$91:AK989,0)),AI990&amp;"."&amp;AJ990,AI990&amp;"."&amp;AJ990&amp;COUNTIFS(AI$91:AI989,AI990,AJ$91:AJ989,AJ990))</f>
        <v>432.SNP</v>
      </c>
    </row>
    <row r="991" spans="1:37" ht="15" hidden="1">
      <c r="A991" s="120">
        <f>ROW()</f>
        <v>991</v>
      </c>
      <c r="B991" s="120"/>
      <c r="C991" s="1"/>
      <c r="E991" s="121"/>
      <c r="F991" s="138"/>
      <c r="G991" s="117" t="e">
        <f t="shared" ref="G991:L991" si="520">SUM(G990)</f>
        <v>#VALUE!</v>
      </c>
      <c r="H991" s="116" t="e">
        <f t="shared" si="520"/>
        <v>#VALUE!</v>
      </c>
      <c r="I991" s="116" t="e">
        <f t="shared" si="520"/>
        <v>#VALUE!</v>
      </c>
      <c r="J991" s="116" t="e">
        <f t="shared" si="520"/>
        <v>#VALUE!</v>
      </c>
      <c r="K991" s="116" t="e">
        <f t="shared" si="520"/>
        <v>#VALUE!</v>
      </c>
      <c r="L991" s="116" t="e">
        <f t="shared" si="520"/>
        <v>#VALUE!</v>
      </c>
      <c r="O991" s="116" t="e">
        <f>SUM(O990)</f>
        <v>#VALUE!</v>
      </c>
      <c r="P991" s="116" t="e">
        <f>SUM(P990)</f>
        <v>#VALUE!</v>
      </c>
      <c r="Q991" s="116" t="e">
        <f>SUM(Q990)</f>
        <v>#VALUE!</v>
      </c>
      <c r="R991" s="116" t="e">
        <f>SUM(R990)</f>
        <v>#VALUE!</v>
      </c>
      <c r="T991" s="116" t="e">
        <f>SUM(T990)</f>
        <v>#VALUE!</v>
      </c>
      <c r="U991" s="116" t="e">
        <f>SUM(U990)</f>
        <v>#VALUE!</v>
      </c>
      <c r="V991" s="116" t="e">
        <f>SUM(V990)</f>
        <v>#VALUE!</v>
      </c>
      <c r="W991" s="116" t="e">
        <f>SUM(W990)</f>
        <v>#VALUE!</v>
      </c>
      <c r="X991" s="3"/>
      <c r="Y991" s="116" t="e">
        <f>SUM(Y990)</f>
        <v>#VALUE!</v>
      </c>
      <c r="Z991" s="116" t="e">
        <f>SUM(Z990)</f>
        <v>#VALUE!</v>
      </c>
      <c r="AA991" s="116" t="e">
        <f>SUM(AA990)</f>
        <v>#VALUE!</v>
      </c>
      <c r="AB991" s="116" t="e">
        <f>SUM(AB990)</f>
        <v>#VALUE!</v>
      </c>
      <c r="AC991" s="116" t="e">
        <f>SUM(AC990)</f>
        <v>#VALUE!</v>
      </c>
      <c r="AD991" s="117" t="e">
        <f>ROUND(SUM(-G991,H991:L991),0)</f>
        <v>#VALUE!</v>
      </c>
      <c r="AE991" s="117" t="e">
        <f>ROUND(H991-O991-P991-Q991-R991,0)</f>
        <v>#VALUE!</v>
      </c>
      <c r="AF991" s="117" t="e">
        <f>ROUND(I991-T991-U991-V991-W991,0)</f>
        <v>#VALUE!</v>
      </c>
      <c r="AG991" s="117" t="e">
        <f>ROUND(J991-Y991-Z991-AA991-AC991-AB991,0)</f>
        <v>#VALUE!</v>
      </c>
      <c r="AH991" s="116"/>
      <c r="AI991">
        <f t="shared" si="490"/>
        <v>432</v>
      </c>
      <c r="AJ991" t="str">
        <f t="shared" si="519"/>
        <v>NA</v>
      </c>
      <c r="AK991" t="str">
        <f>IF(ISERROR(MATCH(AI991&amp;"."&amp;AJ991,AK$91:AK990,0)),AI991&amp;"."&amp;AJ991,AI991&amp;"."&amp;AJ991&amp;COUNTIFS(AI$91:AI990,AI991,AJ$91:AJ990,AJ991))</f>
        <v>432.NA1</v>
      </c>
    </row>
    <row r="992" spans="1:37" ht="15" hidden="1">
      <c r="A992" s="120">
        <f>ROW()</f>
        <v>992</v>
      </c>
      <c r="B992" s="120"/>
      <c r="C992" s="1"/>
      <c r="E992" s="121"/>
      <c r="F992" s="138"/>
      <c r="G992" s="117"/>
      <c r="H992" s="116"/>
      <c r="I992" s="116"/>
      <c r="J992" s="116"/>
      <c r="K992" s="116"/>
      <c r="L992" s="116"/>
      <c r="O992" s="116"/>
      <c r="P992" s="116"/>
      <c r="Q992" s="116"/>
      <c r="R992" s="116"/>
      <c r="T992" s="116"/>
      <c r="U992" s="116"/>
      <c r="V992" s="116"/>
      <c r="W992" s="116"/>
      <c r="X992" s="3"/>
      <c r="Y992" s="116"/>
      <c r="Z992" s="116"/>
      <c r="AA992" s="116"/>
      <c r="AB992" s="116"/>
      <c r="AC992" s="116"/>
      <c r="AD992" s="117"/>
      <c r="AE992" s="117"/>
      <c r="AF992" s="117"/>
      <c r="AG992" s="117"/>
      <c r="AH992" s="116"/>
      <c r="AI992">
        <f t="shared" si="490"/>
        <v>432</v>
      </c>
      <c r="AJ992" t="str">
        <f t="shared" si="519"/>
        <v>NA</v>
      </c>
      <c r="AK992" t="str">
        <f>IF(ISERROR(MATCH(AI992&amp;"."&amp;AJ992,AK$91:AK991,0)),AI992&amp;"."&amp;AJ992,AI992&amp;"."&amp;AJ992&amp;COUNTIFS(AI$91:AI991,AI992,AJ$91:AJ991,AJ992))</f>
        <v>432.NA2</v>
      </c>
    </row>
    <row r="993" spans="1:37" ht="15" hidden="1">
      <c r="A993" s="120">
        <f>ROW()</f>
        <v>993</v>
      </c>
      <c r="B993" s="120"/>
      <c r="C993" s="1"/>
      <c r="D993" s="2" t="s">
        <v>754</v>
      </c>
      <c r="E993" s="121"/>
      <c r="F993" s="138"/>
      <c r="G993" s="175" t="e">
        <f t="shared" ref="G993:L993" si="521">G977+G981+G987+G991</f>
        <v>#VALUE!</v>
      </c>
      <c r="H993" s="174" t="e">
        <f t="shared" si="521"/>
        <v>#VALUE!</v>
      </c>
      <c r="I993" s="173" t="e">
        <f t="shared" si="521"/>
        <v>#VALUE!</v>
      </c>
      <c r="J993" s="173" t="e">
        <f t="shared" si="521"/>
        <v>#VALUE!</v>
      </c>
      <c r="K993" s="173" t="e">
        <f t="shared" si="521"/>
        <v>#VALUE!</v>
      </c>
      <c r="L993" s="173" t="e">
        <f t="shared" si="521"/>
        <v>#VALUE!</v>
      </c>
      <c r="O993" s="116" t="e">
        <f>O977+O981+O987+O991</f>
        <v>#VALUE!</v>
      </c>
      <c r="P993" s="116" t="e">
        <f>P977+P981+P987+P991</f>
        <v>#VALUE!</v>
      </c>
      <c r="Q993" s="116" t="e">
        <f>Q977+Q981+Q987+Q991</f>
        <v>#VALUE!</v>
      </c>
      <c r="R993" s="116" t="e">
        <f>R977+R981+R987+R991</f>
        <v>#VALUE!</v>
      </c>
      <c r="T993" s="116" t="e">
        <f>T977+T981+T987+T991</f>
        <v>#VALUE!</v>
      </c>
      <c r="U993" s="116" t="e">
        <f>U977+U981+U987+U991</f>
        <v>#VALUE!</v>
      </c>
      <c r="V993" s="116" t="e">
        <f>V977+V981+V987+V991</f>
        <v>#VALUE!</v>
      </c>
      <c r="W993" s="116" t="e">
        <f>W977+W981+W987+W991</f>
        <v>#VALUE!</v>
      </c>
      <c r="X993" s="3"/>
      <c r="Y993" s="116" t="e">
        <f>Y977+Y981+Y987+Y991</f>
        <v>#VALUE!</v>
      </c>
      <c r="Z993" s="116" t="e">
        <f>Z977+Z981+Z987+Z991</f>
        <v>#VALUE!</v>
      </c>
      <c r="AA993" s="116" t="e">
        <f>AA977+AA981+AA987+AA991</f>
        <v>#VALUE!</v>
      </c>
      <c r="AB993" s="116" t="e">
        <f>AB977+AB981+AB987+AB991</f>
        <v>#VALUE!</v>
      </c>
      <c r="AC993" s="116" t="e">
        <f>AC977+AC981+AC987+AC991</f>
        <v>#VALUE!</v>
      </c>
      <c r="AD993" s="117"/>
      <c r="AE993" s="117"/>
      <c r="AF993" s="117"/>
      <c r="AG993" s="117"/>
      <c r="AH993" s="116"/>
      <c r="AI993">
        <f t="shared" si="490"/>
        <v>432</v>
      </c>
      <c r="AJ993" t="str">
        <f t="shared" si="519"/>
        <v>NA</v>
      </c>
      <c r="AK993" t="str">
        <f>IF(ISERROR(MATCH(AI993&amp;"."&amp;AJ993,AK$91:AK992,0)),AI993&amp;"."&amp;AJ993,AI993&amp;"."&amp;AJ993&amp;COUNTIFS(AI$91:AI992,AI993,AJ$91:AJ992,AJ993))</f>
        <v>432.NA3</v>
      </c>
    </row>
    <row r="994" spans="1:37" ht="15" hidden="1">
      <c r="A994" s="120">
        <f>ROW()</f>
        <v>994</v>
      </c>
      <c r="B994" s="120"/>
      <c r="C994" s="1"/>
      <c r="E994" s="121"/>
      <c r="F994" s="138"/>
      <c r="G994" s="119"/>
      <c r="X994" s="3"/>
      <c r="AD994" s="119"/>
      <c r="AE994" s="119"/>
      <c r="AF994" s="119"/>
      <c r="AG994" s="119"/>
      <c r="AI994">
        <f t="shared" si="490"/>
        <v>432</v>
      </c>
      <c r="AJ994" t="str">
        <f t="shared" si="519"/>
        <v>NA</v>
      </c>
      <c r="AK994" t="str">
        <f>IF(ISERROR(MATCH(AI994&amp;"."&amp;AJ994,AK$91:AK993,0)),AI994&amp;"."&amp;AJ994,AI994&amp;"."&amp;AJ994&amp;COUNTIFS(AI$91:AI993,AI994,AJ$91:AJ993,AJ994))</f>
        <v>432.NA4</v>
      </c>
    </row>
    <row r="995" spans="1:37" ht="15.75" hidden="1" thickBot="1">
      <c r="A995" s="120">
        <f>ROW()</f>
        <v>995</v>
      </c>
      <c r="B995" s="120"/>
      <c r="C995" s="1"/>
      <c r="D995" s="2" t="s">
        <v>753</v>
      </c>
      <c r="E995" s="121"/>
      <c r="F995" s="138"/>
      <c r="G995" s="155" t="e">
        <f t="shared" ref="G995:L995" si="522">G973+G977+G981+G987+G991</f>
        <v>#VALUE!</v>
      </c>
      <c r="H995" s="154" t="e">
        <f t="shared" si="522"/>
        <v>#VALUE!</v>
      </c>
      <c r="I995" s="154" t="e">
        <f t="shared" si="522"/>
        <v>#VALUE!</v>
      </c>
      <c r="J995" s="154" t="e">
        <f t="shared" si="522"/>
        <v>#VALUE!</v>
      </c>
      <c r="K995" s="154" t="e">
        <f t="shared" si="522"/>
        <v>#VALUE!</v>
      </c>
      <c r="L995" s="154" t="e">
        <f t="shared" si="522"/>
        <v>#VALUE!</v>
      </c>
      <c r="O995" s="116" t="e">
        <f>O973+O977+O981+O987+O991</f>
        <v>#VALUE!</v>
      </c>
      <c r="P995" s="116" t="e">
        <f>P973+P977+P981+P987+P991</f>
        <v>#VALUE!</v>
      </c>
      <c r="Q995" s="116" t="e">
        <f>Q973+Q977+Q981+Q987+Q991</f>
        <v>#VALUE!</v>
      </c>
      <c r="R995" s="116" t="e">
        <f>R973+R977+R981+R987+R991</f>
        <v>#VALUE!</v>
      </c>
      <c r="T995" s="116" t="e">
        <f>T973+T977+T981+T987+T991</f>
        <v>#VALUE!</v>
      </c>
      <c r="U995" s="116" t="e">
        <f>U973+U977+U981+U987+U991</f>
        <v>#VALUE!</v>
      </c>
      <c r="V995" s="116" t="e">
        <f>V973+V977+V981+V987+V991</f>
        <v>#VALUE!</v>
      </c>
      <c r="W995" s="116" t="e">
        <f>W973+W977+W981+W987+W991</f>
        <v>#VALUE!</v>
      </c>
      <c r="X995" s="3"/>
      <c r="Y995" s="116" t="e">
        <f>Y973+Y977+Y981+Y987+Y991</f>
        <v>#VALUE!</v>
      </c>
      <c r="Z995" s="116" t="e">
        <f>Z973+Z977+Z981+Z987+Z991</f>
        <v>#VALUE!</v>
      </c>
      <c r="AA995" s="116" t="e">
        <f>AA973+AA977+AA981+AA987+AA991</f>
        <v>#VALUE!</v>
      </c>
      <c r="AB995" s="116" t="e">
        <f>AB973+AB977+AB981+AB987+AB991</f>
        <v>#VALUE!</v>
      </c>
      <c r="AC995" s="116" t="e">
        <f>AC973+AC977+AC981+AC987+AC991</f>
        <v>#VALUE!</v>
      </c>
      <c r="AD995" s="117" t="e">
        <f>ROUND(SUM(-G995,H995:L995),0)</f>
        <v>#VALUE!</v>
      </c>
      <c r="AE995" s="117" t="e">
        <f>ROUND(H995-O995-P995-Q995-R995,0)</f>
        <v>#VALUE!</v>
      </c>
      <c r="AF995" s="117" t="e">
        <f>ROUND(I995-T995-U995-V995-W995,0)</f>
        <v>#VALUE!</v>
      </c>
      <c r="AG995" s="117" t="e">
        <f>ROUND(J995-Y995-Z995-AA995-AC995-AB995,0)</f>
        <v>#VALUE!</v>
      </c>
      <c r="AH995" s="116"/>
      <c r="AI995">
        <f t="shared" si="490"/>
        <v>432</v>
      </c>
      <c r="AJ995" t="str">
        <f t="shared" si="519"/>
        <v>NA</v>
      </c>
      <c r="AK995" t="str">
        <f>IF(ISERROR(MATCH(AI995&amp;"."&amp;AJ995,AK$91:AK994,0)),AI995&amp;"."&amp;AJ995,AI995&amp;"."&amp;AJ995&amp;COUNTIFS(AI$91:AI994,AI995,AJ$91:AJ994,AJ995))</f>
        <v>432.NA5</v>
      </c>
    </row>
    <row r="996" spans="1:37" ht="15" hidden="1">
      <c r="A996" s="120">
        <f>ROW()</f>
        <v>996</v>
      </c>
      <c r="B996" s="120"/>
      <c r="C996" s="1"/>
      <c r="E996" s="121"/>
      <c r="F996" s="138"/>
      <c r="G996" s="119"/>
      <c r="X996" s="3"/>
      <c r="AD996" s="119"/>
      <c r="AE996" s="119"/>
      <c r="AF996" s="119"/>
      <c r="AG996" s="119"/>
      <c r="AI996">
        <f t="shared" si="490"/>
        <v>432</v>
      </c>
      <c r="AJ996" t="str">
        <f t="shared" si="519"/>
        <v>NA</v>
      </c>
      <c r="AK996" t="str">
        <f>IF(ISERROR(MATCH(AI996&amp;"."&amp;AJ996,AK$91:AK995,0)),AI996&amp;"."&amp;AJ996,AI996&amp;"."&amp;AJ996&amp;COUNTIFS(AI$91:AI995,AI996,AJ$91:AJ995,AJ996))</f>
        <v>432.NA6</v>
      </c>
    </row>
    <row r="997" spans="1:37" ht="15" hidden="1">
      <c r="A997" s="120">
        <f>ROW()</f>
        <v>997</v>
      </c>
      <c r="B997" s="120"/>
      <c r="C997" s="1"/>
      <c r="E997" s="121"/>
      <c r="F997" s="138"/>
      <c r="G997" s="119"/>
      <c r="X997" s="3"/>
      <c r="AD997" s="119"/>
      <c r="AE997" s="119"/>
      <c r="AF997" s="119"/>
      <c r="AG997" s="119"/>
      <c r="AI997">
        <f t="shared" si="490"/>
        <v>432</v>
      </c>
      <c r="AJ997" t="str">
        <f t="shared" si="519"/>
        <v>NA</v>
      </c>
      <c r="AK997" t="str">
        <f>IF(ISERROR(MATCH(AI997&amp;"."&amp;AJ997,AK$91:AK996,0)),AI997&amp;"."&amp;AJ997,AI997&amp;"."&amp;AJ997&amp;COUNTIFS(AI$91:AI996,AI997,AJ$91:AJ996,AJ997))</f>
        <v>432.NA7</v>
      </c>
    </row>
    <row r="998" spans="1:37" ht="15" hidden="1">
      <c r="A998" s="120">
        <f>ROW()</f>
        <v>998</v>
      </c>
      <c r="B998" s="120"/>
      <c r="C998" s="1">
        <v>419</v>
      </c>
      <c r="D998" s="2" t="s">
        <v>444</v>
      </c>
      <c r="E998" s="121"/>
      <c r="F998" s="138"/>
      <c r="G998" s="119"/>
      <c r="X998" s="3"/>
      <c r="AD998" s="119"/>
      <c r="AE998" s="119"/>
      <c r="AF998" s="119"/>
      <c r="AG998" s="119"/>
      <c r="AI998">
        <f t="shared" si="490"/>
        <v>419</v>
      </c>
      <c r="AJ998" t="str">
        <f t="shared" si="519"/>
        <v>NA</v>
      </c>
      <c r="AK998" t="str">
        <f>IF(ISERROR(MATCH(AI998&amp;"."&amp;AJ998,AK$91:AK997,0)),AI998&amp;"."&amp;AJ998,AI998&amp;"."&amp;AJ998&amp;COUNTIFS(AI$91:AI997,AI998,AJ$91:AJ997,AJ998))</f>
        <v>419.NA</v>
      </c>
    </row>
    <row r="999" spans="1:37" ht="15" hidden="1">
      <c r="A999" s="120">
        <f>ROW()</f>
        <v>999</v>
      </c>
      <c r="B999" s="120"/>
      <c r="E999" s="121" t="s">
        <v>433</v>
      </c>
      <c r="F999" s="138" t="str">
        <f>INDEX(FuncAllocOptions,ROW(A999)-ROW($A$92)+1,[4]Inputs!$S$11)</f>
        <v>GP</v>
      </c>
      <c r="G999" s="133" t="e">
        <f>SUMIF(FERCJAMFactor,AK999,JAMValue)</f>
        <v>#VALUE!</v>
      </c>
      <c r="H999" s="139" t="e">
        <f>INDEX(FuncFactorTbl,MATCH($F999,FuncFactors,0),MATCH(H$8,Functions,0))*$G999</f>
        <v>#VALUE!</v>
      </c>
      <c r="I999" s="139" t="e">
        <f>INDEX(FuncFactorTbl,MATCH($F999,FuncFactors,0),MATCH(I$8,Functions,0))*$G999</f>
        <v>#VALUE!</v>
      </c>
      <c r="J999" s="139" t="e">
        <f>INDEX(FuncFactorTbl,MATCH($F999,FuncFactors,0),MATCH(J$8,Functions,0))*$G999</f>
        <v>#VALUE!</v>
      </c>
      <c r="K999" s="139" t="e">
        <f>INDEX(FuncFactorTbl,MATCH($F999,FuncFactors,0),MATCH(K$8,Functions,0))*$G999</f>
        <v>#VALUE!</v>
      </c>
      <c r="L999" s="139" t="e">
        <f>INDEX(FuncFactorTbl,MATCH($F999,FuncFactors,0),MATCH(L$8,Functions,0))*$G999</f>
        <v>#VALUE!</v>
      </c>
      <c r="N999" s="108">
        <v>0.75</v>
      </c>
      <c r="O999" s="116" t="e">
        <f>$H999*$N999*$M999</f>
        <v>#VALUE!</v>
      </c>
      <c r="P999" s="116" t="e">
        <f>$H999*(1-$N999)*$M999</f>
        <v>#VALUE!</v>
      </c>
      <c r="Q999" s="116" t="e">
        <f>$H999*$N999*(1-$M999)</f>
        <v>#VALUE!</v>
      </c>
      <c r="R999" s="116" t="e">
        <f>$H999*(1-$N999)*(1-$M999)</f>
        <v>#VALUE!</v>
      </c>
      <c r="S999" s="108">
        <v>0.75</v>
      </c>
      <c r="T999" s="116" t="e">
        <f>$I999*$S999*$M999</f>
        <v>#VALUE!</v>
      </c>
      <c r="U999" s="116" t="e">
        <f>$I999*(1-$S999)*$M999</f>
        <v>#VALUE!</v>
      </c>
      <c r="V999" s="116" t="e">
        <f>$I999*$S999*(1-$M999)</f>
        <v>#VALUE!</v>
      </c>
      <c r="W999" s="116" t="e">
        <f>$I999*(1-$S999)*(1-$M999)</f>
        <v>#VALUE!</v>
      </c>
      <c r="X999" s="3" t="str">
        <f>INDEX(DistFuncAllocOptions,ROW(A999)-ROW($A$92)+1,[4]Inputs!$S$11)</f>
        <v>PLNT</v>
      </c>
      <c r="Y999" s="116" t="e">
        <f>INDEX(DistFuncFactorTbl,MATCH($X999,DistFuncFactors,0),MATCH(Y$91,DistFunctions,0))*$J999</f>
        <v>#VALUE!</v>
      </c>
      <c r="Z999" s="116" t="e">
        <f>INDEX(DistFuncFactorTbl,MATCH($X999,DistFuncFactors,0),MATCH(Z$91,DistFunctions,0))*$J999</f>
        <v>#VALUE!</v>
      </c>
      <c r="AA999" s="116" t="e">
        <f>INDEX(DistFuncFactorTbl,MATCH($X999,DistFuncFactors,0),MATCH(AA$91,DistFunctions,0))*$J999</f>
        <v>#VALUE!</v>
      </c>
      <c r="AB999" s="116" t="e">
        <f>INDEX(DistFuncFactorTbl,MATCH($X999,DistFuncFactors,0),MATCH(AB$91,DistFunctions,0))*$J999</f>
        <v>#VALUE!</v>
      </c>
      <c r="AC999" s="116" t="e">
        <f>INDEX(DistFuncFactorTbl,MATCH($X999,DistFuncFactors,0),MATCH(AC$91,DistFunctions,0))*$J999</f>
        <v>#VALUE!</v>
      </c>
      <c r="AD999" s="119"/>
      <c r="AE999" s="119"/>
      <c r="AF999" s="119"/>
      <c r="AG999" s="119"/>
      <c r="AI999">
        <f t="shared" si="490"/>
        <v>419</v>
      </c>
      <c r="AJ999" t="str">
        <f t="shared" si="519"/>
        <v>SNP</v>
      </c>
      <c r="AK999" t="str">
        <f>IF(ISERROR(MATCH(AI999&amp;"."&amp;AJ999,AK$91:AK998,0)),AI999&amp;"."&amp;AJ999,AI999&amp;"."&amp;AJ999&amp;COUNTIFS(AI$91:AI998,AI999,AJ$91:AJ998,AJ999))</f>
        <v>419.SNP</v>
      </c>
    </row>
    <row r="1000" spans="1:37" ht="15.75" hidden="1" thickBot="1">
      <c r="A1000" s="120">
        <f>ROW()</f>
        <v>1000</v>
      </c>
      <c r="B1000" s="120"/>
      <c r="D1000" s="2" t="s">
        <v>445</v>
      </c>
      <c r="E1000" s="121"/>
      <c r="F1000" s="138"/>
      <c r="G1000" s="153" t="e">
        <f t="shared" ref="G1000:L1000" si="523">SUM(G999)</f>
        <v>#VALUE!</v>
      </c>
      <c r="H1000" s="152" t="e">
        <f t="shared" si="523"/>
        <v>#VALUE!</v>
      </c>
      <c r="I1000" s="152" t="e">
        <f t="shared" si="523"/>
        <v>#VALUE!</v>
      </c>
      <c r="J1000" s="152" t="e">
        <f t="shared" si="523"/>
        <v>#VALUE!</v>
      </c>
      <c r="K1000" s="152" t="e">
        <f t="shared" si="523"/>
        <v>#VALUE!</v>
      </c>
      <c r="L1000" s="152" t="e">
        <f t="shared" si="523"/>
        <v>#VALUE!</v>
      </c>
      <c r="O1000" s="116" t="e">
        <f>SUM(O999)</f>
        <v>#VALUE!</v>
      </c>
      <c r="P1000" s="116" t="e">
        <f>SUM(P999)</f>
        <v>#VALUE!</v>
      </c>
      <c r="Q1000" s="116" t="e">
        <f>SUM(Q999)</f>
        <v>#VALUE!</v>
      </c>
      <c r="R1000" s="116" t="e">
        <f>SUM(R999)</f>
        <v>#VALUE!</v>
      </c>
      <c r="T1000" s="116" t="e">
        <f>SUM(T999)</f>
        <v>#VALUE!</v>
      </c>
      <c r="U1000" s="116" t="e">
        <f>SUM(U999)</f>
        <v>#VALUE!</v>
      </c>
      <c r="V1000" s="116" t="e">
        <f>SUM(V999)</f>
        <v>#VALUE!</v>
      </c>
      <c r="W1000" s="116" t="e">
        <f>SUM(W999)</f>
        <v>#VALUE!</v>
      </c>
      <c r="X1000" s="3"/>
      <c r="Y1000" s="116" t="e">
        <f>SUM(Y999)</f>
        <v>#VALUE!</v>
      </c>
      <c r="Z1000" s="116" t="e">
        <f>SUM(Z999)</f>
        <v>#VALUE!</v>
      </c>
      <c r="AA1000" s="116" t="e">
        <f>SUM(AA999)</f>
        <v>#VALUE!</v>
      </c>
      <c r="AB1000" s="116" t="e">
        <f>SUM(AB999)</f>
        <v>#VALUE!</v>
      </c>
      <c r="AC1000" s="116" t="e">
        <f>SUM(AC999)</f>
        <v>#VALUE!</v>
      </c>
      <c r="AD1000" s="119"/>
      <c r="AE1000" s="119"/>
      <c r="AF1000" s="119"/>
      <c r="AG1000" s="119"/>
      <c r="AI1000">
        <f t="shared" si="490"/>
        <v>419</v>
      </c>
      <c r="AJ1000" t="str">
        <f t="shared" si="519"/>
        <v>NA</v>
      </c>
      <c r="AK1000" t="str">
        <f>IF(ISERROR(MATCH(AI1000&amp;"."&amp;AJ1000,AK$91:AK999,0)),AI1000&amp;"."&amp;AJ1000,AI1000&amp;"."&amp;AJ1000&amp;COUNTIFS(AI$91:AI999,AI1000,AJ$91:AJ999,AJ1000))</f>
        <v>419.NA1</v>
      </c>
    </row>
    <row r="1001" spans="1:37" ht="15" hidden="1">
      <c r="A1001" s="120">
        <f>ROW()</f>
        <v>1001</v>
      </c>
      <c r="B1001" s="120"/>
      <c r="E1001" s="121"/>
      <c r="F1001" s="138"/>
      <c r="G1001" s="119"/>
      <c r="X1001" s="3"/>
      <c r="AD1001" s="119"/>
      <c r="AE1001" s="119"/>
      <c r="AF1001" s="119"/>
      <c r="AG1001" s="119"/>
      <c r="AI1001">
        <f t="shared" si="490"/>
        <v>419</v>
      </c>
      <c r="AJ1001" t="str">
        <f t="shared" si="519"/>
        <v>NA</v>
      </c>
      <c r="AK1001" t="str">
        <f>IF(ISERROR(MATCH(AI1001&amp;"."&amp;AJ1001,AK$91:AK1000,0)),AI1001&amp;"."&amp;AJ1001,AI1001&amp;"."&amp;AJ1001&amp;COUNTIFS(AI$91:AI1000,AI1001,AJ$91:AJ1000,AJ1001))</f>
        <v>419.NA2</v>
      </c>
    </row>
    <row r="1002" spans="1:37" ht="15" hidden="1">
      <c r="A1002" s="120">
        <f>ROW()</f>
        <v>1002</v>
      </c>
      <c r="B1002" s="120"/>
      <c r="C1002" s="1">
        <v>41010</v>
      </c>
      <c r="D1002" s="2" t="s">
        <v>446</v>
      </c>
      <c r="E1002" s="121"/>
      <c r="F1002" s="138"/>
      <c r="G1002" s="119"/>
      <c r="X1002" s="3"/>
      <c r="AD1002" s="119"/>
      <c r="AE1002" s="119"/>
      <c r="AF1002" s="119"/>
      <c r="AG1002" s="119"/>
      <c r="AI1002">
        <f t="shared" si="490"/>
        <v>41010</v>
      </c>
      <c r="AJ1002" t="str">
        <f t="shared" si="519"/>
        <v>NA</v>
      </c>
      <c r="AK1002" t="str">
        <f>IF(ISERROR(MATCH(AI1002&amp;"."&amp;AJ1002,AK$91:AK1001,0)),AI1002&amp;"."&amp;AJ1002,AI1002&amp;"."&amp;AJ1002&amp;COUNTIFS(AI$91:AI1001,AI1002,AJ$91:AJ1001,AJ1002))</f>
        <v>41010.NA</v>
      </c>
    </row>
    <row r="1003" spans="1:37" ht="15" hidden="1">
      <c r="A1003" s="120">
        <f>ROW()</f>
        <v>1003</v>
      </c>
      <c r="B1003" s="120"/>
      <c r="C1003" s="1"/>
      <c r="E1003" s="120" t="s">
        <v>12</v>
      </c>
      <c r="F1003" s="138" t="str">
        <f>INDEX(FuncAllocOptions,ROW(A1003)-ROW($A$92)+1,[4]Inputs!$S$11)</f>
        <v>GP</v>
      </c>
      <c r="G1003" s="117" t="e">
        <f t="shared" ref="G1003:G1018" si="524">SUMIF(FERCJAMFactor,AK1003,JAMValue)</f>
        <v>#VALUE!</v>
      </c>
      <c r="H1003" s="116" t="e">
        <f t="shared" ref="H1003:L1012" si="525">INDEX(FuncFactorTbl,MATCH($F1003,FuncFactors,0),MATCH(H$8,Functions,0))*$G1003</f>
        <v>#VALUE!</v>
      </c>
      <c r="I1003" s="116" t="e">
        <f t="shared" si="525"/>
        <v>#VALUE!</v>
      </c>
      <c r="J1003" s="116" t="e">
        <f t="shared" si="525"/>
        <v>#VALUE!</v>
      </c>
      <c r="K1003" s="116" t="e">
        <f t="shared" si="525"/>
        <v>#VALUE!</v>
      </c>
      <c r="L1003" s="116" t="e">
        <f t="shared" si="525"/>
        <v>#VALUE!</v>
      </c>
      <c r="N1003" s="108">
        <v>0.75</v>
      </c>
      <c r="O1003" s="116" t="e">
        <f t="shared" ref="O1003:O1018" si="526">$H1003*$N1003*$M1003</f>
        <v>#VALUE!</v>
      </c>
      <c r="P1003" s="116" t="e">
        <f t="shared" ref="P1003:P1018" si="527">$H1003*(1-$N1003)*$M1003</f>
        <v>#VALUE!</v>
      </c>
      <c r="Q1003" s="116" t="e">
        <f t="shared" ref="Q1003:Q1018" si="528">$H1003*$N1003*(1-$M1003)</f>
        <v>#VALUE!</v>
      </c>
      <c r="R1003" s="116" t="e">
        <f t="shared" ref="R1003:R1018" si="529">$H1003*(1-$N1003)*(1-$M1003)</f>
        <v>#VALUE!</v>
      </c>
      <c r="S1003" s="108">
        <v>0.75</v>
      </c>
      <c r="T1003" s="116" t="e">
        <f t="shared" ref="T1003:T1017" si="530">$I1003*$S1003*$M1003</f>
        <v>#VALUE!</v>
      </c>
      <c r="U1003" s="116" t="e">
        <f t="shared" ref="U1003:U1017" si="531">$I1003*(1-$S1003)*$M1003</f>
        <v>#VALUE!</v>
      </c>
      <c r="V1003" s="116" t="e">
        <f t="shared" ref="V1003:V1017" si="532">$I1003*$S1003*(1-$M1003)</f>
        <v>#VALUE!</v>
      </c>
      <c r="W1003" s="116" t="e">
        <f t="shared" ref="W1003:W1017" si="533">$I1003*(1-$S1003)*(1-$M1003)</f>
        <v>#VALUE!</v>
      </c>
      <c r="X1003" s="3" t="str">
        <f>INDEX(DistFuncAllocOptions,ROW(A1003)-ROW($A$92)+1,[4]Inputs!$S$11)</f>
        <v>PLNT</v>
      </c>
      <c r="Y1003" s="116" t="e">
        <f t="shared" ref="Y1003:AC1012" si="534">INDEX(DistFuncFactorTbl,MATCH($X1003,DistFuncFactors,0),MATCH(Y$91,DistFunctions,0))*$J1003</f>
        <v>#VALUE!</v>
      </c>
      <c r="Z1003" s="116" t="e">
        <f t="shared" si="534"/>
        <v>#VALUE!</v>
      </c>
      <c r="AA1003" s="116" t="e">
        <f t="shared" si="534"/>
        <v>#VALUE!</v>
      </c>
      <c r="AB1003" s="116" t="e">
        <f t="shared" si="534"/>
        <v>#VALUE!</v>
      </c>
      <c r="AC1003" s="116" t="e">
        <f t="shared" si="534"/>
        <v>#VALUE!</v>
      </c>
      <c r="AD1003" s="117" t="e">
        <f t="shared" ref="AD1003:AD1019" si="535">ROUND(SUM(-G1003,H1003:L1003),0)</f>
        <v>#VALUE!</v>
      </c>
      <c r="AE1003" s="117" t="e">
        <f t="shared" ref="AE1003:AE1019" si="536">ROUND(H1003-O1003-P1003-Q1003-R1003,0)</f>
        <v>#VALUE!</v>
      </c>
      <c r="AF1003" s="117" t="e">
        <f t="shared" ref="AF1003:AF1019" si="537">ROUND(I1003-T1003-U1003-V1003-W1003,0)</f>
        <v>#VALUE!</v>
      </c>
      <c r="AG1003" s="117" t="e">
        <f t="shared" ref="AG1003:AG1019" si="538">ROUND(J1003-Y1003-Z1003-AA1003-AC1003-AB1003,0)</f>
        <v>#VALUE!</v>
      </c>
      <c r="AH1003" s="116"/>
      <c r="AI1003">
        <f t="shared" si="490"/>
        <v>41010</v>
      </c>
      <c r="AJ1003" t="str">
        <f t="shared" si="519"/>
        <v>S</v>
      </c>
      <c r="AK1003" t="str">
        <f>IF(ISERROR(MATCH(AI1003&amp;"."&amp;AJ1003,AK$91:AK1002,0)),AI1003&amp;"."&amp;AJ1003,AI1003&amp;"."&amp;AJ1003&amp;COUNTIFS(AI$91:AI1002,AI1003,AJ$91:AJ1002,AJ1003))</f>
        <v>41010.S</v>
      </c>
    </row>
    <row r="1004" spans="1:37" ht="15" hidden="1">
      <c r="A1004" s="120">
        <f>ROW()</f>
        <v>1004</v>
      </c>
      <c r="B1004" s="120"/>
      <c r="C1004" s="1"/>
      <c r="E1004" s="120" t="s">
        <v>284</v>
      </c>
      <c r="F1004" s="138" t="str">
        <f>INDEX(FuncAllocOptions,ROW(A1004)-ROW($A$92)+1,[4]Inputs!$S$11)</f>
        <v>P</v>
      </c>
      <c r="G1004" s="117" t="e">
        <f t="shared" si="524"/>
        <v>#VALUE!</v>
      </c>
      <c r="H1004" s="116" t="e">
        <f t="shared" si="525"/>
        <v>#VALUE!</v>
      </c>
      <c r="I1004" s="116" t="e">
        <f t="shared" si="525"/>
        <v>#VALUE!</v>
      </c>
      <c r="J1004" s="116" t="e">
        <f t="shared" si="525"/>
        <v>#VALUE!</v>
      </c>
      <c r="K1004" s="116" t="e">
        <f t="shared" si="525"/>
        <v>#VALUE!</v>
      </c>
      <c r="L1004" s="116" t="e">
        <f t="shared" si="525"/>
        <v>#VALUE!</v>
      </c>
      <c r="N1004" s="108">
        <v>0.75</v>
      </c>
      <c r="O1004" s="116" t="e">
        <f t="shared" si="526"/>
        <v>#VALUE!</v>
      </c>
      <c r="P1004" s="116" t="e">
        <f t="shared" si="527"/>
        <v>#VALUE!</v>
      </c>
      <c r="Q1004" s="116" t="e">
        <f t="shared" si="528"/>
        <v>#VALUE!</v>
      </c>
      <c r="R1004" s="116" t="e">
        <f t="shared" si="529"/>
        <v>#VALUE!</v>
      </c>
      <c r="S1004" s="108">
        <v>0.75</v>
      </c>
      <c r="T1004" s="116" t="e">
        <f t="shared" si="530"/>
        <v>#VALUE!</v>
      </c>
      <c r="U1004" s="116" t="e">
        <f t="shared" si="531"/>
        <v>#VALUE!</v>
      </c>
      <c r="V1004" s="116" t="e">
        <f t="shared" si="532"/>
        <v>#VALUE!</v>
      </c>
      <c r="W1004" s="116" t="e">
        <f t="shared" si="533"/>
        <v>#VALUE!</v>
      </c>
      <c r="X1004" s="3" t="str">
        <f>INDEX(DistFuncAllocOptions,ROW(A1004)-ROW($A$92)+1,[4]Inputs!$S$11)</f>
        <v>PLNT</v>
      </c>
      <c r="Y1004" s="116" t="e">
        <f t="shared" si="534"/>
        <v>#VALUE!</v>
      </c>
      <c r="Z1004" s="116" t="e">
        <f t="shared" si="534"/>
        <v>#VALUE!</v>
      </c>
      <c r="AA1004" s="116" t="e">
        <f t="shared" si="534"/>
        <v>#VALUE!</v>
      </c>
      <c r="AB1004" s="116" t="e">
        <f t="shared" si="534"/>
        <v>#VALUE!</v>
      </c>
      <c r="AC1004" s="116" t="e">
        <f t="shared" si="534"/>
        <v>#VALUE!</v>
      </c>
      <c r="AD1004" s="117" t="e">
        <f t="shared" si="535"/>
        <v>#VALUE!</v>
      </c>
      <c r="AE1004" s="117" t="e">
        <f t="shared" si="536"/>
        <v>#VALUE!</v>
      </c>
      <c r="AF1004" s="117" t="e">
        <f t="shared" si="537"/>
        <v>#VALUE!</v>
      </c>
      <c r="AG1004" s="117" t="e">
        <f t="shared" si="538"/>
        <v>#VALUE!</v>
      </c>
      <c r="AH1004" s="116"/>
      <c r="AI1004">
        <f t="shared" ref="AI1004:AI1067" si="539">IF(OR(C1004="",C1004=" ",C1004="  ",C1004="   "),AI1003,C1004)</f>
        <v>41010</v>
      </c>
      <c r="AJ1004" t="str">
        <f t="shared" si="519"/>
        <v>TROJP</v>
      </c>
      <c r="AK1004" t="str">
        <f>IF(ISERROR(MATCH(AI1004&amp;"."&amp;AJ1004,AK$91:AK1003,0)),AI1004&amp;"."&amp;AJ1004,AI1004&amp;"."&amp;AJ1004&amp;COUNTIFS(AI$91:AI1003,AI1004,AJ$91:AJ1003,AJ1004))</f>
        <v>41010.TROJP</v>
      </c>
    </row>
    <row r="1005" spans="1:37" ht="15" hidden="1">
      <c r="A1005" s="120">
        <f>ROW()</f>
        <v>1005</v>
      </c>
      <c r="B1005" s="120"/>
      <c r="C1005" s="1"/>
      <c r="E1005" s="120" t="s">
        <v>15</v>
      </c>
      <c r="F1005" s="138" t="str">
        <f>INDEX(FuncAllocOptions,ROW(A1005)-ROW($A$92)+1,[4]Inputs!$S$11)</f>
        <v>PT</v>
      </c>
      <c r="G1005" s="117" t="e">
        <f t="shared" si="524"/>
        <v>#VALUE!</v>
      </c>
      <c r="H1005" s="116" t="e">
        <f t="shared" si="525"/>
        <v>#VALUE!</v>
      </c>
      <c r="I1005" s="116" t="e">
        <f t="shared" si="525"/>
        <v>#VALUE!</v>
      </c>
      <c r="J1005" s="116" t="e">
        <f t="shared" si="525"/>
        <v>#VALUE!</v>
      </c>
      <c r="K1005" s="116" t="e">
        <f t="shared" si="525"/>
        <v>#VALUE!</v>
      </c>
      <c r="L1005" s="116" t="e">
        <f t="shared" si="525"/>
        <v>#VALUE!</v>
      </c>
      <c r="N1005" s="108">
        <v>0.75</v>
      </c>
      <c r="O1005" s="116" t="e">
        <f t="shared" si="526"/>
        <v>#VALUE!</v>
      </c>
      <c r="P1005" s="116" t="e">
        <f t="shared" si="527"/>
        <v>#VALUE!</v>
      </c>
      <c r="Q1005" s="116" t="e">
        <f t="shared" si="528"/>
        <v>#VALUE!</v>
      </c>
      <c r="R1005" s="116" t="e">
        <f t="shared" si="529"/>
        <v>#VALUE!</v>
      </c>
      <c r="S1005" s="108">
        <v>0.75</v>
      </c>
      <c r="T1005" s="116" t="e">
        <f t="shared" si="530"/>
        <v>#VALUE!</v>
      </c>
      <c r="U1005" s="116" t="e">
        <f t="shared" si="531"/>
        <v>#VALUE!</v>
      </c>
      <c r="V1005" s="116" t="e">
        <f t="shared" si="532"/>
        <v>#VALUE!</v>
      </c>
      <c r="W1005" s="116" t="e">
        <f t="shared" si="533"/>
        <v>#VALUE!</v>
      </c>
      <c r="X1005" s="3" t="str">
        <f>INDEX(DistFuncAllocOptions,ROW(A1005)-ROW($A$92)+1,[4]Inputs!$S$11)</f>
        <v>PLNT</v>
      </c>
      <c r="Y1005" s="116" t="e">
        <f t="shared" si="534"/>
        <v>#VALUE!</v>
      </c>
      <c r="Z1005" s="116" t="e">
        <f t="shared" si="534"/>
        <v>#VALUE!</v>
      </c>
      <c r="AA1005" s="116" t="e">
        <f t="shared" si="534"/>
        <v>#VALUE!</v>
      </c>
      <c r="AB1005" s="116" t="e">
        <f t="shared" si="534"/>
        <v>#VALUE!</v>
      </c>
      <c r="AC1005" s="116" t="e">
        <f t="shared" si="534"/>
        <v>#VALUE!</v>
      </c>
      <c r="AD1005" s="117" t="e">
        <f t="shared" si="535"/>
        <v>#VALUE!</v>
      </c>
      <c r="AE1005" s="117" t="e">
        <f t="shared" si="536"/>
        <v>#VALUE!</v>
      </c>
      <c r="AF1005" s="117" t="e">
        <f t="shared" si="537"/>
        <v>#VALUE!</v>
      </c>
      <c r="AG1005" s="117" t="e">
        <f t="shared" si="538"/>
        <v>#VALUE!</v>
      </c>
      <c r="AH1005" s="116"/>
      <c r="AI1005">
        <f t="shared" si="539"/>
        <v>41010</v>
      </c>
      <c r="AJ1005" t="str">
        <f t="shared" si="519"/>
        <v>SG</v>
      </c>
      <c r="AK1005" t="str">
        <f>IF(ISERROR(MATCH(AI1005&amp;"."&amp;AJ1005,AK$91:AK1004,0)),AI1005&amp;"."&amp;AJ1005,AI1005&amp;"."&amp;AJ1005&amp;COUNTIFS(AI$91:AI1004,AI1005,AJ$91:AJ1004,AJ1005))</f>
        <v>41010.SG</v>
      </c>
    </row>
    <row r="1006" spans="1:37" ht="15" hidden="1">
      <c r="A1006" s="120">
        <f>ROW()</f>
        <v>1006</v>
      </c>
      <c r="B1006" s="120"/>
      <c r="C1006" s="1"/>
      <c r="E1006" s="120" t="s">
        <v>136</v>
      </c>
      <c r="F1006" s="138" t="str">
        <f>INDEX(FuncAllocOptions,ROW(A1006)-ROW($A$92)+1,[4]Inputs!$S$11)</f>
        <v>LABOR</v>
      </c>
      <c r="G1006" s="117" t="e">
        <f t="shared" si="524"/>
        <v>#VALUE!</v>
      </c>
      <c r="H1006" s="116" t="e">
        <f t="shared" si="525"/>
        <v>#VALUE!</v>
      </c>
      <c r="I1006" s="116" t="e">
        <f t="shared" si="525"/>
        <v>#VALUE!</v>
      </c>
      <c r="J1006" s="116" t="e">
        <f t="shared" si="525"/>
        <v>#VALUE!</v>
      </c>
      <c r="K1006" s="116" t="e">
        <f t="shared" si="525"/>
        <v>#VALUE!</v>
      </c>
      <c r="L1006" s="116" t="e">
        <f t="shared" si="525"/>
        <v>#VALUE!</v>
      </c>
      <c r="N1006" s="108">
        <v>0.75</v>
      </c>
      <c r="O1006" s="116" t="e">
        <f t="shared" si="526"/>
        <v>#VALUE!</v>
      </c>
      <c r="P1006" s="116" t="e">
        <f t="shared" si="527"/>
        <v>#VALUE!</v>
      </c>
      <c r="Q1006" s="116" t="e">
        <f t="shared" si="528"/>
        <v>#VALUE!</v>
      </c>
      <c r="R1006" s="116" t="e">
        <f t="shared" si="529"/>
        <v>#VALUE!</v>
      </c>
      <c r="S1006" s="108">
        <v>0.75</v>
      </c>
      <c r="T1006" s="116" t="e">
        <f t="shared" si="530"/>
        <v>#VALUE!</v>
      </c>
      <c r="U1006" s="116" t="e">
        <f t="shared" si="531"/>
        <v>#VALUE!</v>
      </c>
      <c r="V1006" s="116" t="e">
        <f t="shared" si="532"/>
        <v>#VALUE!</v>
      </c>
      <c r="W1006" s="116" t="e">
        <f t="shared" si="533"/>
        <v>#VALUE!</v>
      </c>
      <c r="X1006" s="3" t="str">
        <f>INDEX(DistFuncAllocOptions,ROW(A1006)-ROW($A$92)+1,[4]Inputs!$S$11)</f>
        <v>DISom</v>
      </c>
      <c r="Y1006" s="116" t="e">
        <f t="shared" si="534"/>
        <v>#VALUE!</v>
      </c>
      <c r="Z1006" s="116" t="e">
        <f t="shared" si="534"/>
        <v>#VALUE!</v>
      </c>
      <c r="AA1006" s="116" t="e">
        <f t="shared" si="534"/>
        <v>#VALUE!</v>
      </c>
      <c r="AB1006" s="116" t="e">
        <f t="shared" si="534"/>
        <v>#VALUE!</v>
      </c>
      <c r="AC1006" s="116" t="e">
        <f t="shared" si="534"/>
        <v>#VALUE!</v>
      </c>
      <c r="AD1006" s="117" t="e">
        <f t="shared" si="535"/>
        <v>#VALUE!</v>
      </c>
      <c r="AE1006" s="117" t="e">
        <f t="shared" si="536"/>
        <v>#VALUE!</v>
      </c>
      <c r="AF1006" s="117" t="e">
        <f t="shared" si="537"/>
        <v>#VALUE!</v>
      </c>
      <c r="AG1006" s="117" t="e">
        <f t="shared" si="538"/>
        <v>#VALUE!</v>
      </c>
      <c r="AH1006" s="116"/>
      <c r="AI1006">
        <f t="shared" si="539"/>
        <v>41010</v>
      </c>
      <c r="AJ1006" t="str">
        <f t="shared" si="519"/>
        <v>SO</v>
      </c>
      <c r="AK1006" t="str">
        <f>IF(ISERROR(MATCH(AI1006&amp;"."&amp;AJ1006,AK$91:AK1005,0)),AI1006&amp;"."&amp;AJ1006,AI1006&amp;"."&amp;AJ1006&amp;COUNTIFS(AI$91:AI1005,AI1006,AJ$91:AJ1005,AJ1006))</f>
        <v>41010.SO</v>
      </c>
    </row>
    <row r="1007" spans="1:37" ht="15" hidden="1">
      <c r="A1007" s="120">
        <f>ROW()</f>
        <v>1007</v>
      </c>
      <c r="B1007" s="120"/>
      <c r="C1007" s="1"/>
      <c r="E1007" s="120" t="s">
        <v>433</v>
      </c>
      <c r="F1007" s="138" t="str">
        <f>INDEX(FuncAllocOptions,ROW(A1007)-ROW($A$92)+1,[4]Inputs!$S$11)</f>
        <v>GP</v>
      </c>
      <c r="G1007" s="117" t="e">
        <f t="shared" si="524"/>
        <v>#VALUE!</v>
      </c>
      <c r="H1007" s="116" t="e">
        <f t="shared" si="525"/>
        <v>#VALUE!</v>
      </c>
      <c r="I1007" s="116" t="e">
        <f t="shared" si="525"/>
        <v>#VALUE!</v>
      </c>
      <c r="J1007" s="116" t="e">
        <f t="shared" si="525"/>
        <v>#VALUE!</v>
      </c>
      <c r="K1007" s="116" t="e">
        <f t="shared" si="525"/>
        <v>#VALUE!</v>
      </c>
      <c r="L1007" s="116" t="e">
        <f t="shared" si="525"/>
        <v>#VALUE!</v>
      </c>
      <c r="N1007" s="108">
        <v>0.75</v>
      </c>
      <c r="O1007" s="116" t="e">
        <f t="shared" si="526"/>
        <v>#VALUE!</v>
      </c>
      <c r="P1007" s="116" t="e">
        <f t="shared" si="527"/>
        <v>#VALUE!</v>
      </c>
      <c r="Q1007" s="116" t="e">
        <f t="shared" si="528"/>
        <v>#VALUE!</v>
      </c>
      <c r="R1007" s="116" t="e">
        <f t="shared" si="529"/>
        <v>#VALUE!</v>
      </c>
      <c r="S1007" s="108">
        <v>0.75</v>
      </c>
      <c r="T1007" s="116" t="e">
        <f t="shared" si="530"/>
        <v>#VALUE!</v>
      </c>
      <c r="U1007" s="116" t="e">
        <f t="shared" si="531"/>
        <v>#VALUE!</v>
      </c>
      <c r="V1007" s="116" t="e">
        <f t="shared" si="532"/>
        <v>#VALUE!</v>
      </c>
      <c r="W1007" s="116" t="e">
        <f t="shared" si="533"/>
        <v>#VALUE!</v>
      </c>
      <c r="X1007" s="3" t="str">
        <f>INDEX(DistFuncAllocOptions,ROW(A1007)-ROW($A$92)+1,[4]Inputs!$S$11)</f>
        <v>PLNT</v>
      </c>
      <c r="Y1007" s="116" t="e">
        <f t="shared" si="534"/>
        <v>#VALUE!</v>
      </c>
      <c r="Z1007" s="116" t="e">
        <f t="shared" si="534"/>
        <v>#VALUE!</v>
      </c>
      <c r="AA1007" s="116" t="e">
        <f t="shared" si="534"/>
        <v>#VALUE!</v>
      </c>
      <c r="AB1007" s="116" t="e">
        <f t="shared" si="534"/>
        <v>#VALUE!</v>
      </c>
      <c r="AC1007" s="116" t="e">
        <f t="shared" si="534"/>
        <v>#VALUE!</v>
      </c>
      <c r="AD1007" s="117" t="e">
        <f t="shared" si="535"/>
        <v>#VALUE!</v>
      </c>
      <c r="AE1007" s="117" t="e">
        <f t="shared" si="536"/>
        <v>#VALUE!</v>
      </c>
      <c r="AF1007" s="117" t="e">
        <f t="shared" si="537"/>
        <v>#VALUE!</v>
      </c>
      <c r="AG1007" s="117" t="e">
        <f t="shared" si="538"/>
        <v>#VALUE!</v>
      </c>
      <c r="AH1007" s="116"/>
      <c r="AI1007">
        <f t="shared" si="539"/>
        <v>41010</v>
      </c>
      <c r="AJ1007" t="str">
        <f t="shared" si="519"/>
        <v>SNP</v>
      </c>
      <c r="AK1007" t="str">
        <f>IF(ISERROR(MATCH(AI1007&amp;"."&amp;AJ1007,AK$91:AK1006,0)),AI1007&amp;"."&amp;AJ1007,AI1007&amp;"."&amp;AJ1007&amp;COUNTIFS(AI$91:AI1006,AI1007,AJ$91:AJ1006,AJ1007))</f>
        <v>41010.SNP</v>
      </c>
    </row>
    <row r="1008" spans="1:37" ht="15" hidden="1">
      <c r="A1008" s="120">
        <f>ROW()</f>
        <v>1008</v>
      </c>
      <c r="B1008" s="120"/>
      <c r="C1008" s="1"/>
      <c r="E1008" s="120" t="s">
        <v>16</v>
      </c>
      <c r="F1008" s="138" t="str">
        <f>INDEX(FuncAllocOptions,ROW(A1008)-ROW($A$92)+1,[4]Inputs!$S$11)</f>
        <v>P</v>
      </c>
      <c r="G1008" s="117" t="e">
        <f t="shared" si="524"/>
        <v>#VALUE!</v>
      </c>
      <c r="H1008" s="116" t="e">
        <f t="shared" si="525"/>
        <v>#VALUE!</v>
      </c>
      <c r="I1008" s="116" t="e">
        <f t="shared" si="525"/>
        <v>#VALUE!</v>
      </c>
      <c r="J1008" s="116" t="e">
        <f t="shared" si="525"/>
        <v>#VALUE!</v>
      </c>
      <c r="K1008" s="116" t="e">
        <f t="shared" si="525"/>
        <v>#VALUE!</v>
      </c>
      <c r="L1008" s="116" t="e">
        <f t="shared" si="525"/>
        <v>#VALUE!</v>
      </c>
      <c r="N1008" s="108">
        <v>0.75</v>
      </c>
      <c r="O1008" s="116" t="e">
        <f t="shared" si="526"/>
        <v>#VALUE!</v>
      </c>
      <c r="P1008" s="116" t="e">
        <f t="shared" si="527"/>
        <v>#VALUE!</v>
      </c>
      <c r="Q1008" s="116" t="e">
        <f t="shared" si="528"/>
        <v>#VALUE!</v>
      </c>
      <c r="R1008" s="116" t="e">
        <f t="shared" si="529"/>
        <v>#VALUE!</v>
      </c>
      <c r="S1008" s="108">
        <v>0.75</v>
      </c>
      <c r="T1008" s="116" t="e">
        <f t="shared" si="530"/>
        <v>#VALUE!</v>
      </c>
      <c r="U1008" s="116" t="e">
        <f t="shared" si="531"/>
        <v>#VALUE!</v>
      </c>
      <c r="V1008" s="116" t="e">
        <f t="shared" si="532"/>
        <v>#VALUE!</v>
      </c>
      <c r="W1008" s="116" t="e">
        <f t="shared" si="533"/>
        <v>#VALUE!</v>
      </c>
      <c r="X1008" s="3" t="str">
        <f>INDEX(DistFuncAllocOptions,ROW(A1008)-ROW($A$92)+1,[4]Inputs!$S$11)</f>
        <v>PLNT</v>
      </c>
      <c r="Y1008" s="116" t="e">
        <f t="shared" si="534"/>
        <v>#VALUE!</v>
      </c>
      <c r="Z1008" s="116" t="e">
        <f t="shared" si="534"/>
        <v>#VALUE!</v>
      </c>
      <c r="AA1008" s="116" t="e">
        <f t="shared" si="534"/>
        <v>#VALUE!</v>
      </c>
      <c r="AB1008" s="116" t="e">
        <f t="shared" si="534"/>
        <v>#VALUE!</v>
      </c>
      <c r="AC1008" s="116" t="e">
        <f t="shared" si="534"/>
        <v>#VALUE!</v>
      </c>
      <c r="AD1008" s="117" t="e">
        <f t="shared" si="535"/>
        <v>#VALUE!</v>
      </c>
      <c r="AE1008" s="117" t="e">
        <f t="shared" si="536"/>
        <v>#VALUE!</v>
      </c>
      <c r="AF1008" s="117" t="e">
        <f t="shared" si="537"/>
        <v>#VALUE!</v>
      </c>
      <c r="AG1008" s="117" t="e">
        <f t="shared" si="538"/>
        <v>#VALUE!</v>
      </c>
      <c r="AH1008" s="116"/>
      <c r="AI1008">
        <f t="shared" si="539"/>
        <v>41010</v>
      </c>
      <c r="AJ1008" t="str">
        <f t="shared" si="519"/>
        <v>SE</v>
      </c>
      <c r="AK1008" t="str">
        <f>IF(ISERROR(MATCH(AI1008&amp;"."&amp;AJ1008,AK$91:AK1007,0)),AI1008&amp;"."&amp;AJ1008,AI1008&amp;"."&amp;AJ1008&amp;COUNTIFS(AI$91:AI1007,AI1008,AJ$91:AJ1007,AJ1008))</f>
        <v>41010.SE</v>
      </c>
    </row>
    <row r="1009" spans="1:37" ht="15" hidden="1">
      <c r="A1009" s="120">
        <f>ROW()</f>
        <v>1009</v>
      </c>
      <c r="B1009" s="120"/>
      <c r="C1009" s="1"/>
      <c r="E1009" s="120" t="s">
        <v>15</v>
      </c>
      <c r="F1009" s="138" t="str">
        <f>INDEX(FuncAllocOptions,ROW(A1009)-ROW($A$92)+1,[4]Inputs!$S$11)</f>
        <v>PT</v>
      </c>
      <c r="G1009" s="117" t="e">
        <f t="shared" si="524"/>
        <v>#VALUE!</v>
      </c>
      <c r="H1009" s="116" t="e">
        <f t="shared" si="525"/>
        <v>#VALUE!</v>
      </c>
      <c r="I1009" s="116" t="e">
        <f t="shared" si="525"/>
        <v>#VALUE!</v>
      </c>
      <c r="J1009" s="116" t="e">
        <f t="shared" si="525"/>
        <v>#VALUE!</v>
      </c>
      <c r="K1009" s="116" t="e">
        <f t="shared" si="525"/>
        <v>#VALUE!</v>
      </c>
      <c r="L1009" s="116" t="e">
        <f t="shared" si="525"/>
        <v>#VALUE!</v>
      </c>
      <c r="N1009" s="108">
        <v>0.75</v>
      </c>
      <c r="O1009" s="116" t="e">
        <f t="shared" si="526"/>
        <v>#VALUE!</v>
      </c>
      <c r="P1009" s="116" t="e">
        <f t="shared" si="527"/>
        <v>#VALUE!</v>
      </c>
      <c r="Q1009" s="116" t="e">
        <f t="shared" si="528"/>
        <v>#VALUE!</v>
      </c>
      <c r="R1009" s="116" t="e">
        <f t="shared" si="529"/>
        <v>#VALUE!</v>
      </c>
      <c r="S1009" s="108">
        <v>0.75</v>
      </c>
      <c r="T1009" s="116" t="e">
        <f t="shared" si="530"/>
        <v>#VALUE!</v>
      </c>
      <c r="U1009" s="116" t="e">
        <f t="shared" si="531"/>
        <v>#VALUE!</v>
      </c>
      <c r="V1009" s="116" t="e">
        <f t="shared" si="532"/>
        <v>#VALUE!</v>
      </c>
      <c r="W1009" s="116" t="e">
        <f t="shared" si="533"/>
        <v>#VALUE!</v>
      </c>
      <c r="X1009" s="3" t="str">
        <f>INDEX(DistFuncAllocOptions,ROW(A1009)-ROW($A$92)+1,[4]Inputs!$S$11)</f>
        <v>PLNT</v>
      </c>
      <c r="Y1009" s="116" t="e">
        <f t="shared" si="534"/>
        <v>#VALUE!</v>
      </c>
      <c r="Z1009" s="116" t="e">
        <f t="shared" si="534"/>
        <v>#VALUE!</v>
      </c>
      <c r="AA1009" s="116" t="e">
        <f t="shared" si="534"/>
        <v>#VALUE!</v>
      </c>
      <c r="AB1009" s="116" t="e">
        <f t="shared" si="534"/>
        <v>#VALUE!</v>
      </c>
      <c r="AC1009" s="116" t="e">
        <f t="shared" si="534"/>
        <v>#VALUE!</v>
      </c>
      <c r="AD1009" s="117" t="e">
        <f t="shared" si="535"/>
        <v>#VALUE!</v>
      </c>
      <c r="AE1009" s="117" t="e">
        <f t="shared" si="536"/>
        <v>#VALUE!</v>
      </c>
      <c r="AF1009" s="117" t="e">
        <f t="shared" si="537"/>
        <v>#VALUE!</v>
      </c>
      <c r="AG1009" s="117" t="e">
        <f t="shared" si="538"/>
        <v>#VALUE!</v>
      </c>
      <c r="AH1009" s="116"/>
      <c r="AI1009">
        <f t="shared" si="539"/>
        <v>41010</v>
      </c>
      <c r="AJ1009" t="str">
        <f t="shared" si="519"/>
        <v>SG</v>
      </c>
      <c r="AK1009" t="str">
        <f>IF(ISERROR(MATCH(AI1009&amp;"."&amp;AJ1009,AK$91:AK1008,0)),AI1009&amp;"."&amp;AJ1009,AI1009&amp;"."&amp;AJ1009&amp;COUNTIFS(AI$91:AI1008,AI1009,AJ$91:AJ1008,AJ1009))</f>
        <v>41010.SG1</v>
      </c>
    </row>
    <row r="1010" spans="1:37" ht="15" hidden="1">
      <c r="A1010" s="120">
        <f>ROW()</f>
        <v>1010</v>
      </c>
      <c r="B1010" s="120"/>
      <c r="C1010" s="1"/>
      <c r="E1010" s="120" t="s">
        <v>423</v>
      </c>
      <c r="F1010" s="138" t="str">
        <f>INDEX(FuncAllocOptions,ROW(A1010)-ROW($A$92)+1,[4]Inputs!$S$11)</f>
        <v>GP</v>
      </c>
      <c r="G1010" s="117" t="e">
        <f t="shared" si="524"/>
        <v>#VALUE!</v>
      </c>
      <c r="H1010" s="116" t="e">
        <f t="shared" si="525"/>
        <v>#VALUE!</v>
      </c>
      <c r="I1010" s="116" t="e">
        <f t="shared" si="525"/>
        <v>#VALUE!</v>
      </c>
      <c r="J1010" s="116" t="e">
        <f t="shared" si="525"/>
        <v>#VALUE!</v>
      </c>
      <c r="K1010" s="116" t="e">
        <f t="shared" si="525"/>
        <v>#VALUE!</v>
      </c>
      <c r="L1010" s="116" t="e">
        <f t="shared" si="525"/>
        <v>#VALUE!</v>
      </c>
      <c r="N1010" s="108">
        <v>0.75</v>
      </c>
      <c r="O1010" s="116" t="e">
        <f t="shared" si="526"/>
        <v>#VALUE!</v>
      </c>
      <c r="P1010" s="116" t="e">
        <f t="shared" si="527"/>
        <v>#VALUE!</v>
      </c>
      <c r="Q1010" s="116" t="e">
        <f t="shared" si="528"/>
        <v>#VALUE!</v>
      </c>
      <c r="R1010" s="116" t="e">
        <f t="shared" si="529"/>
        <v>#VALUE!</v>
      </c>
      <c r="S1010" s="108">
        <v>0.75</v>
      </c>
      <c r="T1010" s="116" t="e">
        <f t="shared" si="530"/>
        <v>#VALUE!</v>
      </c>
      <c r="U1010" s="116" t="e">
        <f t="shared" si="531"/>
        <v>#VALUE!</v>
      </c>
      <c r="V1010" s="116" t="e">
        <f t="shared" si="532"/>
        <v>#VALUE!</v>
      </c>
      <c r="W1010" s="116" t="e">
        <f t="shared" si="533"/>
        <v>#VALUE!</v>
      </c>
      <c r="X1010" s="3" t="str">
        <f>INDEX(DistFuncAllocOptions,ROW(A1010)-ROW($A$92)+1,[4]Inputs!$S$11)</f>
        <v>PLNT</v>
      </c>
      <c r="Y1010" s="116" t="e">
        <f t="shared" si="534"/>
        <v>#VALUE!</v>
      </c>
      <c r="Z1010" s="116" t="e">
        <f t="shared" si="534"/>
        <v>#VALUE!</v>
      </c>
      <c r="AA1010" s="116" t="e">
        <f t="shared" si="534"/>
        <v>#VALUE!</v>
      </c>
      <c r="AB1010" s="116" t="e">
        <f t="shared" si="534"/>
        <v>#VALUE!</v>
      </c>
      <c r="AC1010" s="116" t="e">
        <f t="shared" si="534"/>
        <v>#VALUE!</v>
      </c>
      <c r="AD1010" s="117" t="e">
        <f t="shared" si="535"/>
        <v>#VALUE!</v>
      </c>
      <c r="AE1010" s="117" t="e">
        <f t="shared" si="536"/>
        <v>#VALUE!</v>
      </c>
      <c r="AF1010" s="117" t="e">
        <f t="shared" si="537"/>
        <v>#VALUE!</v>
      </c>
      <c r="AG1010" s="117" t="e">
        <f t="shared" si="538"/>
        <v>#VALUE!</v>
      </c>
      <c r="AH1010" s="116"/>
      <c r="AI1010">
        <f t="shared" si="539"/>
        <v>41010</v>
      </c>
      <c r="AJ1010" t="str">
        <f t="shared" si="519"/>
        <v>GPS</v>
      </c>
      <c r="AK1010" t="str">
        <f>IF(ISERROR(MATCH(AI1010&amp;"."&amp;AJ1010,AK$91:AK1009,0)),AI1010&amp;"."&amp;AJ1010,AI1010&amp;"."&amp;AJ1010&amp;COUNTIFS(AI$91:AI1009,AI1010,AJ$91:AJ1009,AJ1010))</f>
        <v>41010.GPS</v>
      </c>
    </row>
    <row r="1011" spans="1:37" ht="15" hidden="1">
      <c r="A1011" s="120">
        <f>ROW()</f>
        <v>1011</v>
      </c>
      <c r="B1011" s="120"/>
      <c r="C1011" s="1"/>
      <c r="E1011" s="120" t="s">
        <v>448</v>
      </c>
      <c r="F1011" s="138" t="str">
        <f>INDEX(FuncAllocOptions,ROW(A1011)-ROW($A$92)+1,[4]Inputs!$S$11)</f>
        <v>DITEXP</v>
      </c>
      <c r="G1011" s="117" t="e">
        <f t="shared" si="524"/>
        <v>#VALUE!</v>
      </c>
      <c r="H1011" s="116" t="e">
        <f t="shared" si="525"/>
        <v>#VALUE!</v>
      </c>
      <c r="I1011" s="116" t="e">
        <f t="shared" si="525"/>
        <v>#VALUE!</v>
      </c>
      <c r="J1011" s="116" t="e">
        <f t="shared" si="525"/>
        <v>#VALUE!</v>
      </c>
      <c r="K1011" s="116" t="e">
        <f t="shared" si="525"/>
        <v>#VALUE!</v>
      </c>
      <c r="L1011" s="116" t="e">
        <f t="shared" si="525"/>
        <v>#VALUE!</v>
      </c>
      <c r="N1011" s="108">
        <v>0.75</v>
      </c>
      <c r="O1011" s="116" t="e">
        <f t="shared" si="526"/>
        <v>#VALUE!</v>
      </c>
      <c r="P1011" s="116" t="e">
        <f t="shared" si="527"/>
        <v>#VALUE!</v>
      </c>
      <c r="Q1011" s="116" t="e">
        <f t="shared" si="528"/>
        <v>#VALUE!</v>
      </c>
      <c r="R1011" s="116" t="e">
        <f t="shared" si="529"/>
        <v>#VALUE!</v>
      </c>
      <c r="S1011" s="108">
        <v>0.75</v>
      </c>
      <c r="T1011" s="116" t="e">
        <f t="shared" si="530"/>
        <v>#VALUE!</v>
      </c>
      <c r="U1011" s="116" t="e">
        <f t="shared" si="531"/>
        <v>#VALUE!</v>
      </c>
      <c r="V1011" s="116" t="e">
        <f t="shared" si="532"/>
        <v>#VALUE!</v>
      </c>
      <c r="W1011" s="116" t="e">
        <f t="shared" si="533"/>
        <v>#VALUE!</v>
      </c>
      <c r="X1011" s="3" t="str">
        <f>INDEX(DistFuncAllocOptions,ROW(A1011)-ROW($A$92)+1,[4]Inputs!$S$11)</f>
        <v>PLNT</v>
      </c>
      <c r="Y1011" s="116" t="e">
        <f t="shared" si="534"/>
        <v>#VALUE!</v>
      </c>
      <c r="Z1011" s="116" t="e">
        <f t="shared" si="534"/>
        <v>#VALUE!</v>
      </c>
      <c r="AA1011" s="116" t="e">
        <f t="shared" si="534"/>
        <v>#VALUE!</v>
      </c>
      <c r="AB1011" s="116" t="e">
        <f t="shared" si="534"/>
        <v>#VALUE!</v>
      </c>
      <c r="AC1011" s="116" t="e">
        <f t="shared" si="534"/>
        <v>#VALUE!</v>
      </c>
      <c r="AD1011" s="117" t="e">
        <f t="shared" si="535"/>
        <v>#VALUE!</v>
      </c>
      <c r="AE1011" s="117" t="e">
        <f t="shared" si="536"/>
        <v>#VALUE!</v>
      </c>
      <c r="AF1011" s="117" t="e">
        <f t="shared" si="537"/>
        <v>#VALUE!</v>
      </c>
      <c r="AG1011" s="117" t="e">
        <f t="shared" si="538"/>
        <v>#VALUE!</v>
      </c>
      <c r="AH1011" s="116"/>
      <c r="AI1011">
        <f t="shared" si="539"/>
        <v>41010</v>
      </c>
      <c r="AJ1011" t="str">
        <f t="shared" si="519"/>
        <v>DITEXP</v>
      </c>
      <c r="AK1011" t="str">
        <f>IF(ISERROR(MATCH(AI1011&amp;"."&amp;AJ1011,AK$91:AK1010,0)),AI1011&amp;"."&amp;AJ1011,AI1011&amp;"."&amp;AJ1011&amp;COUNTIFS(AI$91:AI1010,AI1011,AJ$91:AJ1010,AJ1011))</f>
        <v>41010.DITEXP</v>
      </c>
    </row>
    <row r="1012" spans="1:37" ht="15" hidden="1">
      <c r="A1012" s="120">
        <f>ROW()</f>
        <v>1012</v>
      </c>
      <c r="B1012" s="120"/>
      <c r="C1012" s="1"/>
      <c r="E1012" s="120" t="s">
        <v>449</v>
      </c>
      <c r="F1012" s="138" t="str">
        <f>INDEX(FuncAllocOptions,ROW(A1012)-ROW($A$92)+1,[4]Inputs!$S$11)</f>
        <v>CUST</v>
      </c>
      <c r="G1012" s="117" t="e">
        <f t="shared" si="524"/>
        <v>#VALUE!</v>
      </c>
      <c r="H1012" s="116" t="e">
        <f t="shared" si="525"/>
        <v>#VALUE!</v>
      </c>
      <c r="I1012" s="116" t="e">
        <f t="shared" si="525"/>
        <v>#VALUE!</v>
      </c>
      <c r="J1012" s="116" t="e">
        <f t="shared" si="525"/>
        <v>#VALUE!</v>
      </c>
      <c r="K1012" s="116" t="e">
        <f t="shared" si="525"/>
        <v>#VALUE!</v>
      </c>
      <c r="L1012" s="116" t="e">
        <f t="shared" si="525"/>
        <v>#VALUE!</v>
      </c>
      <c r="N1012" s="108">
        <v>0.75</v>
      </c>
      <c r="O1012" s="116" t="e">
        <f t="shared" si="526"/>
        <v>#VALUE!</v>
      </c>
      <c r="P1012" s="116" t="e">
        <f t="shared" si="527"/>
        <v>#VALUE!</v>
      </c>
      <c r="Q1012" s="116" t="e">
        <f t="shared" si="528"/>
        <v>#VALUE!</v>
      </c>
      <c r="R1012" s="116" t="e">
        <f t="shared" si="529"/>
        <v>#VALUE!</v>
      </c>
      <c r="S1012" s="108">
        <v>0.75</v>
      </c>
      <c r="T1012" s="116" t="e">
        <f t="shared" si="530"/>
        <v>#VALUE!</v>
      </c>
      <c r="U1012" s="116" t="e">
        <f t="shared" si="531"/>
        <v>#VALUE!</v>
      </c>
      <c r="V1012" s="116" t="e">
        <f t="shared" si="532"/>
        <v>#VALUE!</v>
      </c>
      <c r="W1012" s="116" t="e">
        <f t="shared" si="533"/>
        <v>#VALUE!</v>
      </c>
      <c r="X1012" s="3" t="str">
        <f>INDEX(DistFuncAllocOptions,ROW(A1012)-ROW($A$92)+1,[4]Inputs!$S$11)</f>
        <v>PLNT</v>
      </c>
      <c r="Y1012" s="116" t="e">
        <f t="shared" si="534"/>
        <v>#VALUE!</v>
      </c>
      <c r="Z1012" s="116" t="e">
        <f t="shared" si="534"/>
        <v>#VALUE!</v>
      </c>
      <c r="AA1012" s="116" t="e">
        <f t="shared" si="534"/>
        <v>#VALUE!</v>
      </c>
      <c r="AB1012" s="116" t="e">
        <f t="shared" si="534"/>
        <v>#VALUE!</v>
      </c>
      <c r="AC1012" s="116" t="e">
        <f t="shared" si="534"/>
        <v>#VALUE!</v>
      </c>
      <c r="AD1012" s="117" t="e">
        <f t="shared" si="535"/>
        <v>#VALUE!</v>
      </c>
      <c r="AE1012" s="117" t="e">
        <f t="shared" si="536"/>
        <v>#VALUE!</v>
      </c>
      <c r="AF1012" s="117" t="e">
        <f t="shared" si="537"/>
        <v>#VALUE!</v>
      </c>
      <c r="AG1012" s="117" t="e">
        <f t="shared" si="538"/>
        <v>#VALUE!</v>
      </c>
      <c r="AH1012" s="116"/>
      <c r="AI1012">
        <f t="shared" si="539"/>
        <v>41010</v>
      </c>
      <c r="AJ1012" t="str">
        <f t="shared" si="519"/>
        <v>BADDEBT</v>
      </c>
      <c r="AK1012" t="str">
        <f>IF(ISERROR(MATCH(AI1012&amp;"."&amp;AJ1012,AK$91:AK1011,0)),AI1012&amp;"."&amp;AJ1012,AI1012&amp;"."&amp;AJ1012&amp;COUNTIFS(AI$91:AI1011,AI1012,AJ$91:AJ1011,AJ1012))</f>
        <v>41010.BADDEBT</v>
      </c>
    </row>
    <row r="1013" spans="1:37" ht="15" hidden="1">
      <c r="A1013" s="120">
        <f>ROW()</f>
        <v>1013</v>
      </c>
      <c r="B1013" s="120"/>
      <c r="C1013" s="1"/>
      <c r="E1013" s="120" t="s">
        <v>155</v>
      </c>
      <c r="F1013" s="138" t="str">
        <f>INDEX(FuncAllocOptions,ROW(A1013)-ROW($A$92)+1,[4]Inputs!$S$11)</f>
        <v>CUST</v>
      </c>
      <c r="G1013" s="117" t="e">
        <f t="shared" si="524"/>
        <v>#VALUE!</v>
      </c>
      <c r="H1013" s="116" t="e">
        <f t="shared" ref="H1013:L1018" si="540">INDEX(FuncFactorTbl,MATCH($F1013,FuncFactors,0),MATCH(H$8,Functions,0))*$G1013</f>
        <v>#VALUE!</v>
      </c>
      <c r="I1013" s="116" t="e">
        <f t="shared" si="540"/>
        <v>#VALUE!</v>
      </c>
      <c r="J1013" s="116" t="e">
        <f t="shared" si="540"/>
        <v>#VALUE!</v>
      </c>
      <c r="K1013" s="116" t="e">
        <f t="shared" si="540"/>
        <v>#VALUE!</v>
      </c>
      <c r="L1013" s="116" t="e">
        <f t="shared" si="540"/>
        <v>#VALUE!</v>
      </c>
      <c r="N1013" s="108">
        <v>0.75</v>
      </c>
      <c r="O1013" s="116" t="e">
        <f t="shared" si="526"/>
        <v>#VALUE!</v>
      </c>
      <c r="P1013" s="116" t="e">
        <f t="shared" si="527"/>
        <v>#VALUE!</v>
      </c>
      <c r="Q1013" s="116" t="e">
        <f t="shared" si="528"/>
        <v>#VALUE!</v>
      </c>
      <c r="R1013" s="116" t="e">
        <f t="shared" si="529"/>
        <v>#VALUE!</v>
      </c>
      <c r="S1013" s="108">
        <v>0.75</v>
      </c>
      <c r="T1013" s="116" t="e">
        <f t="shared" si="530"/>
        <v>#VALUE!</v>
      </c>
      <c r="U1013" s="116" t="e">
        <f t="shared" si="531"/>
        <v>#VALUE!</v>
      </c>
      <c r="V1013" s="116" t="e">
        <f t="shared" si="532"/>
        <v>#VALUE!</v>
      </c>
      <c r="W1013" s="116" t="e">
        <f t="shared" si="533"/>
        <v>#VALUE!</v>
      </c>
      <c r="X1013" s="3" t="str">
        <f>INDEX(DistFuncAllocOptions,ROW(A1013)-ROW($A$92)+1,[4]Inputs!$S$11)</f>
        <v>PLNT</v>
      </c>
      <c r="Y1013" s="116" t="e">
        <f t="shared" ref="Y1013:AC1018" si="541">INDEX(DistFuncFactorTbl,MATCH($X1013,DistFuncFactors,0),MATCH(Y$91,DistFunctions,0))*$J1013</f>
        <v>#VALUE!</v>
      </c>
      <c r="Z1013" s="116" t="e">
        <f t="shared" si="541"/>
        <v>#VALUE!</v>
      </c>
      <c r="AA1013" s="116" t="e">
        <f t="shared" si="541"/>
        <v>#VALUE!</v>
      </c>
      <c r="AB1013" s="116" t="e">
        <f t="shared" si="541"/>
        <v>#VALUE!</v>
      </c>
      <c r="AC1013" s="116" t="e">
        <f t="shared" si="541"/>
        <v>#VALUE!</v>
      </c>
      <c r="AD1013" s="117" t="e">
        <f t="shared" si="535"/>
        <v>#VALUE!</v>
      </c>
      <c r="AE1013" s="117" t="e">
        <f t="shared" si="536"/>
        <v>#VALUE!</v>
      </c>
      <c r="AF1013" s="117" t="e">
        <f t="shared" si="537"/>
        <v>#VALUE!</v>
      </c>
      <c r="AG1013" s="117" t="e">
        <f t="shared" si="538"/>
        <v>#VALUE!</v>
      </c>
      <c r="AH1013" s="116"/>
      <c r="AI1013">
        <f t="shared" si="539"/>
        <v>41010</v>
      </c>
      <c r="AJ1013" t="str">
        <f t="shared" si="519"/>
        <v>CN</v>
      </c>
      <c r="AK1013" t="str">
        <f>IF(ISERROR(MATCH(AI1013&amp;"."&amp;AJ1013,AK$91:AK1012,0)),AI1013&amp;"."&amp;AJ1013,AI1013&amp;"."&amp;AJ1013&amp;COUNTIFS(AI$91:AI1012,AI1013,AJ$91:AJ1012,AJ1013))</f>
        <v>41010.CN</v>
      </c>
    </row>
    <row r="1014" spans="1:37" ht="15" hidden="1">
      <c r="A1014" s="120">
        <f>ROW()</f>
        <v>1014</v>
      </c>
      <c r="B1014" s="120"/>
      <c r="C1014" s="1"/>
      <c r="E1014" s="120" t="s">
        <v>450</v>
      </c>
      <c r="F1014" s="138" t="str">
        <f>INDEX(FuncAllocOptions,ROW(A1014)-ROW($A$92)+1,[4]Inputs!$S$11)</f>
        <v>IBT</v>
      </c>
      <c r="G1014" s="117" t="e">
        <f t="shared" si="524"/>
        <v>#VALUE!</v>
      </c>
      <c r="H1014" s="116" t="e">
        <f t="shared" si="540"/>
        <v>#VALUE!</v>
      </c>
      <c r="I1014" s="116" t="e">
        <f t="shared" si="540"/>
        <v>#VALUE!</v>
      </c>
      <c r="J1014" s="116" t="e">
        <f t="shared" si="540"/>
        <v>#VALUE!</v>
      </c>
      <c r="K1014" s="116" t="e">
        <f t="shared" si="540"/>
        <v>#VALUE!</v>
      </c>
      <c r="L1014" s="116" t="e">
        <f t="shared" si="540"/>
        <v>#VALUE!</v>
      </c>
      <c r="N1014" s="108">
        <v>0.75</v>
      </c>
      <c r="O1014" s="116" t="e">
        <f t="shared" si="526"/>
        <v>#VALUE!</v>
      </c>
      <c r="P1014" s="116" t="e">
        <f t="shared" si="527"/>
        <v>#VALUE!</v>
      </c>
      <c r="Q1014" s="116" t="e">
        <f t="shared" si="528"/>
        <v>#VALUE!</v>
      </c>
      <c r="R1014" s="116" t="e">
        <f t="shared" si="529"/>
        <v>#VALUE!</v>
      </c>
      <c r="S1014" s="108">
        <v>0.75</v>
      </c>
      <c r="T1014" s="116" t="e">
        <f t="shared" si="530"/>
        <v>#VALUE!</v>
      </c>
      <c r="U1014" s="116" t="e">
        <f t="shared" si="531"/>
        <v>#VALUE!</v>
      </c>
      <c r="V1014" s="116" t="e">
        <f t="shared" si="532"/>
        <v>#VALUE!</v>
      </c>
      <c r="W1014" s="116" t="e">
        <f t="shared" si="533"/>
        <v>#VALUE!</v>
      </c>
      <c r="X1014" s="3" t="str">
        <f>INDEX(DistFuncAllocOptions,ROW(A1014)-ROW($A$92)+1,[4]Inputs!$S$11)</f>
        <v>PLNT</v>
      </c>
      <c r="Y1014" s="116" t="e">
        <f t="shared" si="541"/>
        <v>#VALUE!</v>
      </c>
      <c r="Z1014" s="116" t="e">
        <f t="shared" si="541"/>
        <v>#VALUE!</v>
      </c>
      <c r="AA1014" s="116" t="e">
        <f t="shared" si="541"/>
        <v>#VALUE!</v>
      </c>
      <c r="AB1014" s="116" t="e">
        <f t="shared" si="541"/>
        <v>#VALUE!</v>
      </c>
      <c r="AC1014" s="116" t="e">
        <f t="shared" si="541"/>
        <v>#VALUE!</v>
      </c>
      <c r="AD1014" s="117" t="e">
        <f t="shared" si="535"/>
        <v>#VALUE!</v>
      </c>
      <c r="AE1014" s="117" t="e">
        <f t="shared" si="536"/>
        <v>#VALUE!</v>
      </c>
      <c r="AF1014" s="117" t="e">
        <f t="shared" si="537"/>
        <v>#VALUE!</v>
      </c>
      <c r="AG1014" s="117" t="e">
        <f t="shared" si="538"/>
        <v>#VALUE!</v>
      </c>
      <c r="AH1014" s="116"/>
      <c r="AI1014">
        <f t="shared" si="539"/>
        <v>41010</v>
      </c>
      <c r="AJ1014" t="str">
        <f t="shared" si="519"/>
        <v>IBT</v>
      </c>
      <c r="AK1014" t="str">
        <f>IF(ISERROR(MATCH(AI1014&amp;"."&amp;AJ1014,AK$91:AK1013,0)),AI1014&amp;"."&amp;AJ1014,AI1014&amp;"."&amp;AJ1014&amp;COUNTIFS(AI$91:AI1013,AI1014,AJ$91:AJ1013,AJ1014))</f>
        <v>41010.IBT</v>
      </c>
    </row>
    <row r="1015" spans="1:37" ht="15" hidden="1">
      <c r="A1015" s="120">
        <f>ROW()</f>
        <v>1015</v>
      </c>
      <c r="B1015" s="120"/>
      <c r="C1015" s="1"/>
      <c r="E1015" s="120" t="s">
        <v>451</v>
      </c>
      <c r="F1015" s="138" t="str">
        <f>INDEX(FuncAllocOptions,ROW(A1015)-ROW($A$92)+1,[4]Inputs!$S$11)</f>
        <v>DPW</v>
      </c>
      <c r="G1015" s="117" t="e">
        <f t="shared" si="524"/>
        <v>#VALUE!</v>
      </c>
      <c r="H1015" s="116" t="e">
        <f t="shared" si="540"/>
        <v>#VALUE!</v>
      </c>
      <c r="I1015" s="116" t="e">
        <f t="shared" si="540"/>
        <v>#VALUE!</v>
      </c>
      <c r="J1015" s="116" t="e">
        <f t="shared" si="540"/>
        <v>#VALUE!</v>
      </c>
      <c r="K1015" s="116" t="e">
        <f t="shared" si="540"/>
        <v>#VALUE!</v>
      </c>
      <c r="L1015" s="116" t="e">
        <f t="shared" si="540"/>
        <v>#VALUE!</v>
      </c>
      <c r="N1015" s="108">
        <v>0.75</v>
      </c>
      <c r="O1015" s="116" t="e">
        <f t="shared" si="526"/>
        <v>#VALUE!</v>
      </c>
      <c r="P1015" s="116" t="e">
        <f t="shared" si="527"/>
        <v>#VALUE!</v>
      </c>
      <c r="Q1015" s="116" t="e">
        <f t="shared" si="528"/>
        <v>#VALUE!</v>
      </c>
      <c r="R1015" s="116" t="e">
        <f t="shared" si="529"/>
        <v>#VALUE!</v>
      </c>
      <c r="S1015" s="108">
        <v>0.75</v>
      </c>
      <c r="T1015" s="116" t="e">
        <f t="shared" si="530"/>
        <v>#VALUE!</v>
      </c>
      <c r="U1015" s="116" t="e">
        <f t="shared" si="531"/>
        <v>#VALUE!</v>
      </c>
      <c r="V1015" s="116" t="e">
        <f t="shared" si="532"/>
        <v>#VALUE!</v>
      </c>
      <c r="W1015" s="116" t="e">
        <f t="shared" si="533"/>
        <v>#VALUE!</v>
      </c>
      <c r="X1015" s="3" t="str">
        <f>INDEX(DistFuncAllocOptions,ROW(A1015)-ROW($A$92)+1,[4]Inputs!$S$11)</f>
        <v>PLNT</v>
      </c>
      <c r="Y1015" s="116" t="e">
        <f t="shared" si="541"/>
        <v>#VALUE!</v>
      </c>
      <c r="Z1015" s="116" t="e">
        <f t="shared" si="541"/>
        <v>#VALUE!</v>
      </c>
      <c r="AA1015" s="116" t="e">
        <f t="shared" si="541"/>
        <v>#VALUE!</v>
      </c>
      <c r="AB1015" s="116" t="e">
        <f t="shared" si="541"/>
        <v>#VALUE!</v>
      </c>
      <c r="AC1015" s="116" t="e">
        <f t="shared" si="541"/>
        <v>#VALUE!</v>
      </c>
      <c r="AD1015" s="117" t="e">
        <f t="shared" si="535"/>
        <v>#VALUE!</v>
      </c>
      <c r="AE1015" s="117" t="e">
        <f t="shared" si="536"/>
        <v>#VALUE!</v>
      </c>
      <c r="AF1015" s="117" t="e">
        <f t="shared" si="537"/>
        <v>#VALUE!</v>
      </c>
      <c r="AG1015" s="117" t="e">
        <f t="shared" si="538"/>
        <v>#VALUE!</v>
      </c>
      <c r="AH1015" s="116"/>
      <c r="AI1015">
        <f t="shared" si="539"/>
        <v>41010</v>
      </c>
      <c r="AJ1015" t="str">
        <f t="shared" si="519"/>
        <v>CIAC</v>
      </c>
      <c r="AK1015" t="str">
        <f>IF(ISERROR(MATCH(AI1015&amp;"."&amp;AJ1015,AK$91:AK1014,0)),AI1015&amp;"."&amp;AJ1015,AI1015&amp;"."&amp;AJ1015&amp;COUNTIFS(AI$91:AI1014,AI1015,AJ$91:AJ1014,AJ1015))</f>
        <v>41010.CIAC</v>
      </c>
    </row>
    <row r="1016" spans="1:37" ht="15" hidden="1">
      <c r="A1016" s="120">
        <f>ROW()</f>
        <v>1016</v>
      </c>
      <c r="B1016" s="120"/>
      <c r="C1016" s="1"/>
      <c r="E1016" s="120" t="s">
        <v>452</v>
      </c>
      <c r="F1016" s="138" t="str">
        <f>INDEX(FuncAllocOptions,ROW(A1016)-ROW($A$92)+1,[4]Inputs!$S$11)</f>
        <v>GP</v>
      </c>
      <c r="G1016" s="117" t="e">
        <f t="shared" si="524"/>
        <v>#VALUE!</v>
      </c>
      <c r="H1016" s="116" t="e">
        <f t="shared" si="540"/>
        <v>#VALUE!</v>
      </c>
      <c r="I1016" s="116" t="e">
        <f t="shared" si="540"/>
        <v>#VALUE!</v>
      </c>
      <c r="J1016" s="116" t="e">
        <f t="shared" si="540"/>
        <v>#VALUE!</v>
      </c>
      <c r="K1016" s="116" t="e">
        <f t="shared" si="540"/>
        <v>#VALUE!</v>
      </c>
      <c r="L1016" s="116" t="e">
        <f t="shared" si="540"/>
        <v>#VALUE!</v>
      </c>
      <c r="N1016" s="108">
        <v>0.75</v>
      </c>
      <c r="O1016" s="116" t="e">
        <f t="shared" si="526"/>
        <v>#VALUE!</v>
      </c>
      <c r="P1016" s="116" t="e">
        <f t="shared" si="527"/>
        <v>#VALUE!</v>
      </c>
      <c r="Q1016" s="116" t="e">
        <f t="shared" si="528"/>
        <v>#VALUE!</v>
      </c>
      <c r="R1016" s="116" t="e">
        <f t="shared" si="529"/>
        <v>#VALUE!</v>
      </c>
      <c r="S1016" s="108">
        <v>0.75</v>
      </c>
      <c r="T1016" s="116" t="e">
        <f t="shared" si="530"/>
        <v>#VALUE!</v>
      </c>
      <c r="U1016" s="116" t="e">
        <f t="shared" si="531"/>
        <v>#VALUE!</v>
      </c>
      <c r="V1016" s="116" t="e">
        <f t="shared" si="532"/>
        <v>#VALUE!</v>
      </c>
      <c r="W1016" s="116" t="e">
        <f t="shared" si="533"/>
        <v>#VALUE!</v>
      </c>
      <c r="X1016" s="3" t="str">
        <f>INDEX(DistFuncAllocOptions,ROW(A1016)-ROW($A$92)+1,[4]Inputs!$S$11)</f>
        <v>PLNT</v>
      </c>
      <c r="Y1016" s="116" t="e">
        <f t="shared" si="541"/>
        <v>#VALUE!</v>
      </c>
      <c r="Z1016" s="116" t="e">
        <f t="shared" si="541"/>
        <v>#VALUE!</v>
      </c>
      <c r="AA1016" s="116" t="e">
        <f t="shared" si="541"/>
        <v>#VALUE!</v>
      </c>
      <c r="AB1016" s="116" t="e">
        <f t="shared" si="541"/>
        <v>#VALUE!</v>
      </c>
      <c r="AC1016" s="116" t="e">
        <f t="shared" si="541"/>
        <v>#VALUE!</v>
      </c>
      <c r="AD1016" s="117" t="e">
        <f t="shared" si="535"/>
        <v>#VALUE!</v>
      </c>
      <c r="AE1016" s="117" t="e">
        <f t="shared" si="536"/>
        <v>#VALUE!</v>
      </c>
      <c r="AF1016" s="117" t="e">
        <f t="shared" si="537"/>
        <v>#VALUE!</v>
      </c>
      <c r="AG1016" s="117" t="e">
        <f t="shared" si="538"/>
        <v>#VALUE!</v>
      </c>
      <c r="AH1016" s="116"/>
      <c r="AI1016">
        <f t="shared" si="539"/>
        <v>41010</v>
      </c>
      <c r="AJ1016" t="str">
        <f t="shared" si="519"/>
        <v>SCHMDEXP</v>
      </c>
      <c r="AK1016" t="str">
        <f>IF(ISERROR(MATCH(AI1016&amp;"."&amp;AJ1016,AK$91:AK1015,0)),AI1016&amp;"."&amp;AJ1016,AI1016&amp;"."&amp;AJ1016&amp;COUNTIFS(AI$91:AI1015,AI1016,AJ$91:AJ1015,AJ1016))</f>
        <v>41010.SCHMDEXP</v>
      </c>
    </row>
    <row r="1017" spans="1:37" ht="15" hidden="1">
      <c r="A1017" s="120">
        <f>ROW()</f>
        <v>1017</v>
      </c>
      <c r="B1017" s="120"/>
      <c r="C1017" s="1"/>
      <c r="E1017" s="120" t="s">
        <v>453</v>
      </c>
      <c r="F1017" s="138" t="str">
        <f>INDEX(FuncAllocOptions,ROW(A1017)-ROW($A$92)+1,[4]Inputs!$S$11)</f>
        <v>TAXDEPR</v>
      </c>
      <c r="G1017" s="117" t="e">
        <f t="shared" si="524"/>
        <v>#VALUE!</v>
      </c>
      <c r="H1017" s="116" t="e">
        <f t="shared" si="540"/>
        <v>#VALUE!</v>
      </c>
      <c r="I1017" s="116" t="e">
        <f t="shared" si="540"/>
        <v>#VALUE!</v>
      </c>
      <c r="J1017" s="116" t="e">
        <f t="shared" si="540"/>
        <v>#VALUE!</v>
      </c>
      <c r="K1017" s="116" t="e">
        <f t="shared" si="540"/>
        <v>#VALUE!</v>
      </c>
      <c r="L1017" s="116" t="e">
        <f t="shared" si="540"/>
        <v>#VALUE!</v>
      </c>
      <c r="N1017" s="108">
        <v>0.75</v>
      </c>
      <c r="O1017" s="116" t="e">
        <f t="shared" si="526"/>
        <v>#VALUE!</v>
      </c>
      <c r="P1017" s="116" t="e">
        <f t="shared" si="527"/>
        <v>#VALUE!</v>
      </c>
      <c r="Q1017" s="116" t="e">
        <f t="shared" si="528"/>
        <v>#VALUE!</v>
      </c>
      <c r="R1017" s="116" t="e">
        <f t="shared" si="529"/>
        <v>#VALUE!</v>
      </c>
      <c r="S1017" s="108">
        <v>0.75</v>
      </c>
      <c r="T1017" s="116" t="e">
        <f t="shared" si="530"/>
        <v>#VALUE!</v>
      </c>
      <c r="U1017" s="116" t="e">
        <f t="shared" si="531"/>
        <v>#VALUE!</v>
      </c>
      <c r="V1017" s="116" t="e">
        <f t="shared" si="532"/>
        <v>#VALUE!</v>
      </c>
      <c r="W1017" s="116" t="e">
        <f t="shared" si="533"/>
        <v>#VALUE!</v>
      </c>
      <c r="X1017" s="3" t="str">
        <f>INDEX(DistFuncAllocOptions,ROW(A1017)-ROW($A$92)+1,[4]Inputs!$S$11)</f>
        <v>PLNT</v>
      </c>
      <c r="Y1017" s="116" t="e">
        <f t="shared" si="541"/>
        <v>#VALUE!</v>
      </c>
      <c r="Z1017" s="116" t="e">
        <f t="shared" si="541"/>
        <v>#VALUE!</v>
      </c>
      <c r="AA1017" s="116" t="e">
        <f t="shared" si="541"/>
        <v>#VALUE!</v>
      </c>
      <c r="AB1017" s="116" t="e">
        <f t="shared" si="541"/>
        <v>#VALUE!</v>
      </c>
      <c r="AC1017" s="116" t="e">
        <f t="shared" si="541"/>
        <v>#VALUE!</v>
      </c>
      <c r="AD1017" s="117" t="e">
        <f t="shared" si="535"/>
        <v>#VALUE!</v>
      </c>
      <c r="AE1017" s="117" t="e">
        <f t="shared" si="536"/>
        <v>#VALUE!</v>
      </c>
      <c r="AF1017" s="117" t="e">
        <f t="shared" si="537"/>
        <v>#VALUE!</v>
      </c>
      <c r="AG1017" s="117" t="e">
        <f t="shared" si="538"/>
        <v>#VALUE!</v>
      </c>
      <c r="AH1017" s="116"/>
      <c r="AI1017">
        <f t="shared" si="539"/>
        <v>41010</v>
      </c>
      <c r="AJ1017" t="str">
        <f t="shared" si="519"/>
        <v>TAXDEPR</v>
      </c>
      <c r="AK1017" t="str">
        <f>IF(ISERROR(MATCH(AI1017&amp;"."&amp;AJ1017,AK$91:AK1016,0)),AI1017&amp;"."&amp;AJ1017,AI1017&amp;"."&amp;AJ1017&amp;COUNTIFS(AI$91:AI1016,AI1017,AJ$91:AJ1016,AJ1017))</f>
        <v>41010.TAXDEPR</v>
      </c>
    </row>
    <row r="1018" spans="1:37" ht="15" hidden="1">
      <c r="A1018" s="120">
        <f>ROW()</f>
        <v>1018</v>
      </c>
      <c r="B1018" s="120"/>
      <c r="C1018" s="1"/>
      <c r="E1018" s="120" t="s">
        <v>321</v>
      </c>
      <c r="F1018" s="138" t="str">
        <f>INDEX(FuncAllocOptions,ROW(A1018)-ROW($A$92)+1,[4]Inputs!$S$11)</f>
        <v>DPW</v>
      </c>
      <c r="G1018" s="133" t="e">
        <f t="shared" si="524"/>
        <v>#VALUE!</v>
      </c>
      <c r="H1018" s="139" t="e">
        <f t="shared" si="540"/>
        <v>#VALUE!</v>
      </c>
      <c r="I1018" s="139" t="e">
        <f t="shared" si="540"/>
        <v>#VALUE!</v>
      </c>
      <c r="J1018" s="139" t="e">
        <f t="shared" si="540"/>
        <v>#VALUE!</v>
      </c>
      <c r="K1018" s="139" t="e">
        <f t="shared" si="540"/>
        <v>#VALUE!</v>
      </c>
      <c r="L1018" s="139" t="e">
        <f t="shared" si="540"/>
        <v>#VALUE!</v>
      </c>
      <c r="O1018" s="116" t="e">
        <f t="shared" si="526"/>
        <v>#VALUE!</v>
      </c>
      <c r="P1018" s="116" t="e">
        <f t="shared" si="527"/>
        <v>#VALUE!</v>
      </c>
      <c r="Q1018" s="116" t="e">
        <f t="shared" si="528"/>
        <v>#VALUE!</v>
      </c>
      <c r="R1018" s="116" t="e">
        <f t="shared" si="529"/>
        <v>#VALUE!</v>
      </c>
      <c r="T1018" s="116">
        <v>0</v>
      </c>
      <c r="U1018" s="116">
        <v>0</v>
      </c>
      <c r="V1018" s="116">
        <v>0</v>
      </c>
      <c r="W1018" s="116">
        <v>0</v>
      </c>
      <c r="X1018" s="3" t="str">
        <f>INDEX(DistFuncAllocOptions,ROW(A1018)-ROW($A$92)+1,[4]Inputs!$S$11)</f>
        <v>PLNT</v>
      </c>
      <c r="Y1018" s="116" t="e">
        <f t="shared" si="541"/>
        <v>#VALUE!</v>
      </c>
      <c r="Z1018" s="116" t="e">
        <f t="shared" si="541"/>
        <v>#VALUE!</v>
      </c>
      <c r="AA1018" s="116" t="e">
        <f t="shared" si="541"/>
        <v>#VALUE!</v>
      </c>
      <c r="AB1018" s="116" t="e">
        <f t="shared" si="541"/>
        <v>#VALUE!</v>
      </c>
      <c r="AC1018" s="116" t="e">
        <f t="shared" si="541"/>
        <v>#VALUE!</v>
      </c>
      <c r="AD1018" s="117" t="e">
        <f t="shared" si="535"/>
        <v>#VALUE!</v>
      </c>
      <c r="AE1018" s="117" t="e">
        <f t="shared" si="536"/>
        <v>#VALUE!</v>
      </c>
      <c r="AF1018" s="117" t="e">
        <f t="shared" si="537"/>
        <v>#VALUE!</v>
      </c>
      <c r="AG1018" s="117" t="e">
        <f t="shared" si="538"/>
        <v>#VALUE!</v>
      </c>
      <c r="AH1018" s="116"/>
      <c r="AI1018">
        <f t="shared" si="539"/>
        <v>41010</v>
      </c>
      <c r="AJ1018" t="str">
        <f t="shared" si="519"/>
        <v>SNPD</v>
      </c>
      <c r="AK1018" t="str">
        <f>IF(ISERROR(MATCH(AI1018&amp;"."&amp;AJ1018,AK$91:AK1017,0)),AI1018&amp;"."&amp;AJ1018,AI1018&amp;"."&amp;AJ1018&amp;COUNTIFS(AI$91:AI1017,AI1018,AJ$91:AJ1017,AJ1018))</f>
        <v>41010.SNPD</v>
      </c>
    </row>
    <row r="1019" spans="1:37" ht="15" hidden="1">
      <c r="A1019" s="120">
        <f>ROW()</f>
        <v>1019</v>
      </c>
      <c r="B1019" s="120"/>
      <c r="C1019" s="1"/>
      <c r="E1019" s="121"/>
      <c r="F1019" s="138"/>
      <c r="G1019" s="117" t="e">
        <f t="shared" ref="G1019:L1019" si="542">SUM(G1003:G1018)</f>
        <v>#VALUE!</v>
      </c>
      <c r="H1019" s="116" t="e">
        <f t="shared" si="542"/>
        <v>#VALUE!</v>
      </c>
      <c r="I1019" s="116" t="e">
        <f t="shared" si="542"/>
        <v>#VALUE!</v>
      </c>
      <c r="J1019" s="116" t="e">
        <f t="shared" si="542"/>
        <v>#VALUE!</v>
      </c>
      <c r="K1019" s="116" t="e">
        <f t="shared" si="542"/>
        <v>#VALUE!</v>
      </c>
      <c r="L1019" s="116" t="e">
        <f t="shared" si="542"/>
        <v>#VALUE!</v>
      </c>
      <c r="O1019" s="116" t="e">
        <f>SUM(O1003:O1018)</f>
        <v>#VALUE!</v>
      </c>
      <c r="P1019" s="116" t="e">
        <f>SUM(P1003:P1018)</f>
        <v>#VALUE!</v>
      </c>
      <c r="Q1019" s="116" t="e">
        <f>SUM(Q1003:Q1018)</f>
        <v>#VALUE!</v>
      </c>
      <c r="R1019" s="116" t="e">
        <f>SUM(R1003:R1018)</f>
        <v>#VALUE!</v>
      </c>
      <c r="T1019" s="116" t="e">
        <f>SUM(T1003:T1018)</f>
        <v>#VALUE!</v>
      </c>
      <c r="U1019" s="116" t="e">
        <f>SUM(U1003:U1018)</f>
        <v>#VALUE!</v>
      </c>
      <c r="V1019" s="116" t="e">
        <f>SUM(V1003:V1018)</f>
        <v>#VALUE!</v>
      </c>
      <c r="W1019" s="116" t="e">
        <f>SUM(W1003:W1018)</f>
        <v>#VALUE!</v>
      </c>
      <c r="X1019" s="3"/>
      <c r="Y1019" s="116" t="e">
        <f>SUM(Y1003:Y1018)</f>
        <v>#VALUE!</v>
      </c>
      <c r="Z1019" s="116" t="e">
        <f>SUM(Z1003:Z1018)</f>
        <v>#VALUE!</v>
      </c>
      <c r="AA1019" s="116" t="e">
        <f>SUM(AA1003:AA1018)</f>
        <v>#VALUE!</v>
      </c>
      <c r="AB1019" s="116" t="e">
        <f>SUM(AB1003:AB1018)</f>
        <v>#VALUE!</v>
      </c>
      <c r="AC1019" s="116" t="e">
        <f>SUM(AC1003:AC1018)</f>
        <v>#VALUE!</v>
      </c>
      <c r="AD1019" s="117" t="e">
        <f t="shared" si="535"/>
        <v>#VALUE!</v>
      </c>
      <c r="AE1019" s="117" t="e">
        <f t="shared" si="536"/>
        <v>#VALUE!</v>
      </c>
      <c r="AF1019" s="117" t="e">
        <f t="shared" si="537"/>
        <v>#VALUE!</v>
      </c>
      <c r="AG1019" s="117" t="e">
        <f t="shared" si="538"/>
        <v>#VALUE!</v>
      </c>
      <c r="AH1019" s="116"/>
      <c r="AI1019">
        <f t="shared" si="539"/>
        <v>41010</v>
      </c>
      <c r="AJ1019" t="str">
        <f t="shared" si="519"/>
        <v>NA</v>
      </c>
      <c r="AK1019" t="str">
        <f>IF(ISERROR(MATCH(AI1019&amp;"."&amp;AJ1019,AK$91:AK1018,0)),AI1019&amp;"."&amp;AJ1019,AI1019&amp;"."&amp;AJ1019&amp;COUNTIFS(AI$91:AI1018,AI1019,AJ$91:AJ1018,AJ1019))</f>
        <v>41010.NA1</v>
      </c>
    </row>
    <row r="1020" spans="1:37" ht="15" hidden="1">
      <c r="A1020" s="120">
        <f>ROW()</f>
        <v>1020</v>
      </c>
      <c r="B1020" s="120"/>
      <c r="C1020" s="1"/>
      <c r="E1020" s="121"/>
      <c r="F1020" s="138"/>
      <c r="G1020" s="119"/>
      <c r="X1020" s="3"/>
      <c r="AD1020" s="119"/>
      <c r="AE1020" s="119"/>
      <c r="AF1020" s="119"/>
      <c r="AG1020" s="119"/>
      <c r="AI1020">
        <f t="shared" si="539"/>
        <v>41010</v>
      </c>
      <c r="AJ1020" t="str">
        <f t="shared" si="519"/>
        <v>NA</v>
      </c>
      <c r="AK1020" t="str">
        <f>IF(ISERROR(MATCH(AI1020&amp;"."&amp;AJ1020,AK$91:AK1019,0)),AI1020&amp;"."&amp;AJ1020,AI1020&amp;"."&amp;AJ1020&amp;COUNTIFS(AI$91:AI1019,AI1020,AJ$91:AJ1019,AJ1020))</f>
        <v>41010.NA2</v>
      </c>
    </row>
    <row r="1021" spans="1:37" ht="15" hidden="1">
      <c r="A1021" s="120">
        <f>ROW()</f>
        <v>1021</v>
      </c>
      <c r="B1021" s="120"/>
      <c r="C1021" s="1">
        <v>41020</v>
      </c>
      <c r="D1021" s="2" t="s">
        <v>752</v>
      </c>
      <c r="E1021" s="121"/>
      <c r="F1021" s="138"/>
      <c r="G1021" s="119"/>
      <c r="X1021" s="3"/>
      <c r="AD1021" s="119"/>
      <c r="AE1021" s="119"/>
      <c r="AF1021" s="119"/>
      <c r="AG1021" s="119"/>
      <c r="AI1021">
        <f t="shared" si="539"/>
        <v>41020</v>
      </c>
      <c r="AJ1021" t="str">
        <f t="shared" si="519"/>
        <v>NA</v>
      </c>
      <c r="AK1021" t="str">
        <f>IF(ISERROR(MATCH(AI1021&amp;"."&amp;AJ1021,AK$91:AK1020,0)),AI1021&amp;"."&amp;AJ1021,AI1021&amp;"."&amp;AJ1021&amp;COUNTIFS(AI$91:AI1020,AI1021,AJ$91:AJ1020,AJ1021))</f>
        <v>41020.NA</v>
      </c>
    </row>
    <row r="1022" spans="1:37" ht="15" hidden="1">
      <c r="A1022" s="120">
        <f>ROW()</f>
        <v>1022</v>
      </c>
      <c r="B1022" s="120"/>
      <c r="C1022" s="1"/>
      <c r="E1022" s="121" t="s">
        <v>12</v>
      </c>
      <c r="F1022" s="138" t="str">
        <f>INDEX(FuncAllocOptions,ROW(A1022)-ROW($A$92)+1,[4]Inputs!$S$11)</f>
        <v>GP</v>
      </c>
      <c r="G1022" s="117" t="e">
        <f t="shared" ref="G1022:G1033" si="543">SUMIF(FERCJAMFactor,AK1022,JAMValue)</f>
        <v>#VALUE!</v>
      </c>
      <c r="H1022" s="116" t="e">
        <f t="shared" ref="H1022:L1033" si="544">INDEX(FuncFactorTbl,MATCH($F1022,FuncFactors,0),MATCH(H$8,Functions,0))*$G1022</f>
        <v>#VALUE!</v>
      </c>
      <c r="I1022" s="116" t="e">
        <f t="shared" si="544"/>
        <v>#VALUE!</v>
      </c>
      <c r="J1022" s="116" t="e">
        <f t="shared" si="544"/>
        <v>#VALUE!</v>
      </c>
      <c r="K1022" s="116" t="e">
        <f t="shared" si="544"/>
        <v>#VALUE!</v>
      </c>
      <c r="L1022" s="116" t="e">
        <f t="shared" si="544"/>
        <v>#VALUE!</v>
      </c>
      <c r="N1022" s="108">
        <v>0.75</v>
      </c>
      <c r="O1022" s="116" t="e">
        <f t="shared" ref="O1022:O1033" si="545">$H1022*$N1022*$M1022</f>
        <v>#VALUE!</v>
      </c>
      <c r="P1022" s="116" t="e">
        <f t="shared" ref="P1022:P1033" si="546">$H1022*(1-$N1022)*$M1022</f>
        <v>#VALUE!</v>
      </c>
      <c r="Q1022" s="116" t="e">
        <f t="shared" ref="Q1022:Q1033" si="547">$H1022*$N1022*(1-$M1022)</f>
        <v>#VALUE!</v>
      </c>
      <c r="R1022" s="116" t="e">
        <f t="shared" ref="R1022:R1033" si="548">$H1022*(1-$N1022)*(1-$M1022)</f>
        <v>#VALUE!</v>
      </c>
      <c r="S1022" s="108">
        <v>0.75</v>
      </c>
      <c r="T1022" s="116" t="e">
        <f t="shared" ref="T1022:T1032" si="549">$I1022*$S1022*$M1022</f>
        <v>#VALUE!</v>
      </c>
      <c r="U1022" s="116" t="e">
        <f t="shared" ref="U1022:U1032" si="550">$I1022*(1-$S1022)*$M1022</f>
        <v>#VALUE!</v>
      </c>
      <c r="V1022" s="116" t="e">
        <f t="shared" ref="V1022:V1032" si="551">$I1022*$S1022*(1-$M1022)</f>
        <v>#VALUE!</v>
      </c>
      <c r="W1022" s="116" t="e">
        <f t="shared" ref="W1022:W1032" si="552">$I1022*(1-$S1022)*(1-$M1022)</f>
        <v>#VALUE!</v>
      </c>
      <c r="X1022" s="3" t="str">
        <f>INDEX(DistFuncAllocOptions,ROW(A1022)-ROW($A$92)+1,[4]Inputs!$S$11)</f>
        <v>PLNT</v>
      </c>
      <c r="Y1022" s="116" t="e">
        <f t="shared" ref="Y1022:AC1033" si="553">INDEX(DistFuncFactorTbl,MATCH($X1022,DistFuncFactors,0),MATCH(Y$91,DistFunctions,0))*$J1022</f>
        <v>#VALUE!</v>
      </c>
      <c r="Z1022" s="116" t="e">
        <f t="shared" si="553"/>
        <v>#VALUE!</v>
      </c>
      <c r="AA1022" s="116" t="e">
        <f t="shared" si="553"/>
        <v>#VALUE!</v>
      </c>
      <c r="AB1022" s="116" t="e">
        <f t="shared" si="553"/>
        <v>#VALUE!</v>
      </c>
      <c r="AC1022" s="116" t="e">
        <f t="shared" si="553"/>
        <v>#VALUE!</v>
      </c>
      <c r="AD1022" s="117" t="e">
        <f t="shared" ref="AD1022:AD1034" si="554">ROUND(SUM(-G1022,H1022:L1022),0)</f>
        <v>#VALUE!</v>
      </c>
      <c r="AE1022" s="117" t="e">
        <f t="shared" ref="AE1022:AE1034" si="555">ROUND(H1022-O1022-P1022-Q1022-R1022,0)</f>
        <v>#VALUE!</v>
      </c>
      <c r="AF1022" s="117" t="e">
        <f t="shared" ref="AF1022:AF1034" si="556">ROUND(I1022-T1022-U1022-V1022-W1022,0)</f>
        <v>#VALUE!</v>
      </c>
      <c r="AG1022" s="117" t="e">
        <f t="shared" ref="AG1022:AG1034" si="557">ROUND(J1022-Y1022-Z1022-AA1022-AC1022-AB1022,0)</f>
        <v>#VALUE!</v>
      </c>
      <c r="AH1022" s="116"/>
      <c r="AI1022">
        <f t="shared" si="539"/>
        <v>41020</v>
      </c>
      <c r="AJ1022" t="str">
        <f t="shared" si="519"/>
        <v>S</v>
      </c>
      <c r="AK1022" t="str">
        <f>IF(ISERROR(MATCH(AI1022&amp;"."&amp;AJ1022,AK$91:AK1021,0)),AI1022&amp;"."&amp;AJ1022,AI1022&amp;"."&amp;AJ1022&amp;COUNTIFS(AI$91:AI1021,AI1022,AJ$91:AJ1021,AJ1022))</f>
        <v>41020.S</v>
      </c>
    </row>
    <row r="1023" spans="1:37" ht="15" hidden="1">
      <c r="A1023" s="120">
        <f>ROW()</f>
        <v>1023</v>
      </c>
      <c r="B1023" s="120"/>
      <c r="C1023" s="1"/>
      <c r="E1023" s="121" t="s">
        <v>15</v>
      </c>
      <c r="F1023" s="138" t="str">
        <f>INDEX(FuncAllocOptions,ROW(A1023)-ROW($A$92)+1,[4]Inputs!$S$11)</f>
        <v>PT</v>
      </c>
      <c r="G1023" s="117" t="e">
        <f t="shared" si="543"/>
        <v>#VALUE!</v>
      </c>
      <c r="H1023" s="116" t="e">
        <f t="shared" si="544"/>
        <v>#VALUE!</v>
      </c>
      <c r="I1023" s="116" t="e">
        <f t="shared" si="544"/>
        <v>#VALUE!</v>
      </c>
      <c r="J1023" s="116" t="e">
        <f t="shared" si="544"/>
        <v>#VALUE!</v>
      </c>
      <c r="K1023" s="116" t="e">
        <f t="shared" si="544"/>
        <v>#VALUE!</v>
      </c>
      <c r="L1023" s="116" t="e">
        <f t="shared" si="544"/>
        <v>#VALUE!</v>
      </c>
      <c r="N1023" s="108">
        <v>0.75</v>
      </c>
      <c r="O1023" s="116" t="e">
        <f t="shared" si="545"/>
        <v>#VALUE!</v>
      </c>
      <c r="P1023" s="116" t="e">
        <f t="shared" si="546"/>
        <v>#VALUE!</v>
      </c>
      <c r="Q1023" s="116" t="e">
        <f t="shared" si="547"/>
        <v>#VALUE!</v>
      </c>
      <c r="R1023" s="116" t="e">
        <f t="shared" si="548"/>
        <v>#VALUE!</v>
      </c>
      <c r="S1023" s="108">
        <v>0.75</v>
      </c>
      <c r="T1023" s="116" t="e">
        <f t="shared" si="549"/>
        <v>#VALUE!</v>
      </c>
      <c r="U1023" s="116" t="e">
        <f t="shared" si="550"/>
        <v>#VALUE!</v>
      </c>
      <c r="V1023" s="116" t="e">
        <f t="shared" si="551"/>
        <v>#VALUE!</v>
      </c>
      <c r="W1023" s="116" t="e">
        <f t="shared" si="552"/>
        <v>#VALUE!</v>
      </c>
      <c r="X1023" s="3" t="str">
        <f>INDEX(DistFuncAllocOptions,ROW(A1023)-ROW($A$92)+1,[4]Inputs!$S$11)</f>
        <v>PLNT</v>
      </c>
      <c r="Y1023" s="116" t="e">
        <f t="shared" si="553"/>
        <v>#VALUE!</v>
      </c>
      <c r="Z1023" s="116" t="e">
        <f t="shared" si="553"/>
        <v>#VALUE!</v>
      </c>
      <c r="AA1023" s="116" t="e">
        <f t="shared" si="553"/>
        <v>#VALUE!</v>
      </c>
      <c r="AB1023" s="116" t="e">
        <f t="shared" si="553"/>
        <v>#VALUE!</v>
      </c>
      <c r="AC1023" s="116" t="e">
        <f t="shared" si="553"/>
        <v>#VALUE!</v>
      </c>
      <c r="AD1023" s="117" t="e">
        <f t="shared" si="554"/>
        <v>#VALUE!</v>
      </c>
      <c r="AE1023" s="117" t="e">
        <f t="shared" si="555"/>
        <v>#VALUE!</v>
      </c>
      <c r="AF1023" s="117" t="e">
        <f t="shared" si="556"/>
        <v>#VALUE!</v>
      </c>
      <c r="AG1023" s="117" t="e">
        <f t="shared" si="557"/>
        <v>#VALUE!</v>
      </c>
      <c r="AH1023" s="116"/>
      <c r="AI1023">
        <f t="shared" si="539"/>
        <v>41020</v>
      </c>
      <c r="AJ1023" t="str">
        <f t="shared" si="519"/>
        <v>SG</v>
      </c>
      <c r="AK1023" t="str">
        <f>IF(ISERROR(MATCH(AI1023&amp;"."&amp;AJ1023,AK$91:AK1022,0)),AI1023&amp;"."&amp;AJ1023,AI1023&amp;"."&amp;AJ1023&amp;COUNTIFS(AI$91:AI1022,AI1023,AJ$91:AJ1022,AJ1023))</f>
        <v>41020.SG</v>
      </c>
    </row>
    <row r="1024" spans="1:37" ht="15" hidden="1">
      <c r="A1024" s="120">
        <f>ROW()</f>
        <v>1024</v>
      </c>
      <c r="B1024" s="120"/>
      <c r="C1024" s="1"/>
      <c r="E1024" s="121" t="s">
        <v>136</v>
      </c>
      <c r="F1024" s="138" t="str">
        <f>INDEX(FuncAllocOptions,ROW(A1024)-ROW($A$92)+1,[4]Inputs!$S$11)</f>
        <v>LABOR</v>
      </c>
      <c r="G1024" s="117" t="e">
        <f t="shared" si="543"/>
        <v>#VALUE!</v>
      </c>
      <c r="H1024" s="116" t="e">
        <f t="shared" si="544"/>
        <v>#VALUE!</v>
      </c>
      <c r="I1024" s="116" t="e">
        <f t="shared" si="544"/>
        <v>#VALUE!</v>
      </c>
      <c r="J1024" s="116" t="e">
        <f t="shared" si="544"/>
        <v>#VALUE!</v>
      </c>
      <c r="K1024" s="116" t="e">
        <f t="shared" si="544"/>
        <v>#VALUE!</v>
      </c>
      <c r="L1024" s="116" t="e">
        <f t="shared" si="544"/>
        <v>#VALUE!</v>
      </c>
      <c r="N1024" s="108">
        <v>0.75</v>
      </c>
      <c r="O1024" s="116" t="e">
        <f t="shared" si="545"/>
        <v>#VALUE!</v>
      </c>
      <c r="P1024" s="116" t="e">
        <f t="shared" si="546"/>
        <v>#VALUE!</v>
      </c>
      <c r="Q1024" s="116" t="e">
        <f t="shared" si="547"/>
        <v>#VALUE!</v>
      </c>
      <c r="R1024" s="116" t="e">
        <f t="shared" si="548"/>
        <v>#VALUE!</v>
      </c>
      <c r="S1024" s="108">
        <v>0.75</v>
      </c>
      <c r="T1024" s="116" t="e">
        <f t="shared" si="549"/>
        <v>#VALUE!</v>
      </c>
      <c r="U1024" s="116" t="e">
        <f t="shared" si="550"/>
        <v>#VALUE!</v>
      </c>
      <c r="V1024" s="116" t="e">
        <f t="shared" si="551"/>
        <v>#VALUE!</v>
      </c>
      <c r="W1024" s="116" t="e">
        <f t="shared" si="552"/>
        <v>#VALUE!</v>
      </c>
      <c r="X1024" s="3" t="str">
        <f>INDEX(DistFuncAllocOptions,ROW(A1024)-ROW($A$92)+1,[4]Inputs!$S$11)</f>
        <v>DISom</v>
      </c>
      <c r="Y1024" s="116" t="e">
        <f t="shared" si="553"/>
        <v>#VALUE!</v>
      </c>
      <c r="Z1024" s="116" t="e">
        <f t="shared" si="553"/>
        <v>#VALUE!</v>
      </c>
      <c r="AA1024" s="116" t="e">
        <f t="shared" si="553"/>
        <v>#VALUE!</v>
      </c>
      <c r="AB1024" s="116" t="e">
        <f t="shared" si="553"/>
        <v>#VALUE!</v>
      </c>
      <c r="AC1024" s="116" t="e">
        <f t="shared" si="553"/>
        <v>#VALUE!</v>
      </c>
      <c r="AD1024" s="117" t="e">
        <f t="shared" si="554"/>
        <v>#VALUE!</v>
      </c>
      <c r="AE1024" s="117" t="e">
        <f t="shared" si="555"/>
        <v>#VALUE!</v>
      </c>
      <c r="AF1024" s="117" t="e">
        <f t="shared" si="556"/>
        <v>#VALUE!</v>
      </c>
      <c r="AG1024" s="117" t="e">
        <f t="shared" si="557"/>
        <v>#VALUE!</v>
      </c>
      <c r="AH1024" s="116"/>
      <c r="AI1024">
        <f t="shared" si="539"/>
        <v>41020</v>
      </c>
      <c r="AJ1024" t="str">
        <f t="shared" si="519"/>
        <v>SO</v>
      </c>
      <c r="AK1024" t="str">
        <f>IF(ISERROR(MATCH(AI1024&amp;"."&amp;AJ1024,AK$91:AK1023,0)),AI1024&amp;"."&amp;AJ1024,AI1024&amp;"."&amp;AJ1024&amp;COUNTIFS(AI$91:AI1023,AI1024,AJ$91:AJ1023,AJ1024))</f>
        <v>41020.SO</v>
      </c>
    </row>
    <row r="1025" spans="1:37" ht="15" hidden="1">
      <c r="A1025" s="120">
        <f>ROW()</f>
        <v>1025</v>
      </c>
      <c r="B1025" s="120"/>
      <c r="C1025" s="1"/>
      <c r="E1025" s="121" t="s">
        <v>16</v>
      </c>
      <c r="F1025" s="138" t="str">
        <f>INDEX(FuncAllocOptions,ROW(A1025)-ROW($A$92)+1,[4]Inputs!$S$11)</f>
        <v>P</v>
      </c>
      <c r="G1025" s="117" t="e">
        <f t="shared" si="543"/>
        <v>#VALUE!</v>
      </c>
      <c r="H1025" s="116" t="e">
        <f t="shared" si="544"/>
        <v>#VALUE!</v>
      </c>
      <c r="I1025" s="116" t="e">
        <f t="shared" si="544"/>
        <v>#VALUE!</v>
      </c>
      <c r="J1025" s="116" t="e">
        <f t="shared" si="544"/>
        <v>#VALUE!</v>
      </c>
      <c r="K1025" s="116" t="e">
        <f t="shared" si="544"/>
        <v>#VALUE!</v>
      </c>
      <c r="L1025" s="116" t="e">
        <f t="shared" si="544"/>
        <v>#VALUE!</v>
      </c>
      <c r="N1025" s="108">
        <v>0.75</v>
      </c>
      <c r="O1025" s="116" t="e">
        <f t="shared" si="545"/>
        <v>#VALUE!</v>
      </c>
      <c r="P1025" s="116" t="e">
        <f t="shared" si="546"/>
        <v>#VALUE!</v>
      </c>
      <c r="Q1025" s="116" t="e">
        <f t="shared" si="547"/>
        <v>#VALUE!</v>
      </c>
      <c r="R1025" s="116" t="e">
        <f t="shared" si="548"/>
        <v>#VALUE!</v>
      </c>
      <c r="S1025" s="108">
        <v>0.75</v>
      </c>
      <c r="T1025" s="116" t="e">
        <f t="shared" si="549"/>
        <v>#VALUE!</v>
      </c>
      <c r="U1025" s="116" t="e">
        <f t="shared" si="550"/>
        <v>#VALUE!</v>
      </c>
      <c r="V1025" s="116" t="e">
        <f t="shared" si="551"/>
        <v>#VALUE!</v>
      </c>
      <c r="W1025" s="116" t="e">
        <f t="shared" si="552"/>
        <v>#VALUE!</v>
      </c>
      <c r="X1025" s="3" t="str">
        <f>INDEX(DistFuncAllocOptions,ROW(A1025)-ROW($A$92)+1,[4]Inputs!$S$11)</f>
        <v>PLNT</v>
      </c>
      <c r="Y1025" s="116" t="e">
        <f t="shared" si="553"/>
        <v>#VALUE!</v>
      </c>
      <c r="Z1025" s="116" t="e">
        <f t="shared" si="553"/>
        <v>#VALUE!</v>
      </c>
      <c r="AA1025" s="116" t="e">
        <f t="shared" si="553"/>
        <v>#VALUE!</v>
      </c>
      <c r="AB1025" s="116" t="e">
        <f t="shared" si="553"/>
        <v>#VALUE!</v>
      </c>
      <c r="AC1025" s="116" t="e">
        <f t="shared" si="553"/>
        <v>#VALUE!</v>
      </c>
      <c r="AD1025" s="117" t="e">
        <f t="shared" si="554"/>
        <v>#VALUE!</v>
      </c>
      <c r="AE1025" s="117" t="e">
        <f t="shared" si="555"/>
        <v>#VALUE!</v>
      </c>
      <c r="AF1025" s="117" t="e">
        <f t="shared" si="556"/>
        <v>#VALUE!</v>
      </c>
      <c r="AG1025" s="117" t="e">
        <f t="shared" si="557"/>
        <v>#VALUE!</v>
      </c>
      <c r="AH1025" s="116"/>
      <c r="AI1025">
        <f t="shared" si="539"/>
        <v>41020</v>
      </c>
      <c r="AJ1025" t="str">
        <f t="shared" si="519"/>
        <v>SE</v>
      </c>
      <c r="AK1025" t="str">
        <f>IF(ISERROR(MATCH(AI1025&amp;"."&amp;AJ1025,AK$91:AK1024,0)),AI1025&amp;"."&amp;AJ1025,AI1025&amp;"."&amp;AJ1025&amp;COUNTIFS(AI$91:AI1024,AI1025,AJ$91:AJ1024,AJ1025))</f>
        <v>41020.SE</v>
      </c>
    </row>
    <row r="1026" spans="1:37" ht="15" hidden="1">
      <c r="A1026" s="120">
        <f>ROW()</f>
        <v>1026</v>
      </c>
      <c r="B1026" s="120"/>
      <c r="C1026" s="1"/>
      <c r="E1026" s="121" t="s">
        <v>15</v>
      </c>
      <c r="F1026" s="138" t="str">
        <f>INDEX(FuncAllocOptions,ROW(A1026)-ROW($A$92)+1,[4]Inputs!$S$11)</f>
        <v>PT</v>
      </c>
      <c r="G1026" s="117" t="e">
        <f t="shared" si="543"/>
        <v>#VALUE!</v>
      </c>
      <c r="H1026" s="116" t="e">
        <f t="shared" si="544"/>
        <v>#VALUE!</v>
      </c>
      <c r="I1026" s="116" t="e">
        <f t="shared" si="544"/>
        <v>#VALUE!</v>
      </c>
      <c r="J1026" s="116" t="e">
        <f t="shared" si="544"/>
        <v>#VALUE!</v>
      </c>
      <c r="K1026" s="116" t="e">
        <f t="shared" si="544"/>
        <v>#VALUE!</v>
      </c>
      <c r="L1026" s="116" t="e">
        <f t="shared" si="544"/>
        <v>#VALUE!</v>
      </c>
      <c r="N1026" s="108">
        <v>0.75</v>
      </c>
      <c r="O1026" s="116" t="e">
        <f t="shared" si="545"/>
        <v>#VALUE!</v>
      </c>
      <c r="P1026" s="116" t="e">
        <f t="shared" si="546"/>
        <v>#VALUE!</v>
      </c>
      <c r="Q1026" s="116" t="e">
        <f t="shared" si="547"/>
        <v>#VALUE!</v>
      </c>
      <c r="R1026" s="116" t="e">
        <f t="shared" si="548"/>
        <v>#VALUE!</v>
      </c>
      <c r="S1026" s="108">
        <v>0.75</v>
      </c>
      <c r="T1026" s="116" t="e">
        <f t="shared" si="549"/>
        <v>#VALUE!</v>
      </c>
      <c r="U1026" s="116" t="e">
        <f t="shared" si="550"/>
        <v>#VALUE!</v>
      </c>
      <c r="V1026" s="116" t="e">
        <f t="shared" si="551"/>
        <v>#VALUE!</v>
      </c>
      <c r="W1026" s="116" t="e">
        <f t="shared" si="552"/>
        <v>#VALUE!</v>
      </c>
      <c r="X1026" s="3" t="str">
        <f>INDEX(DistFuncAllocOptions,ROW(A1026)-ROW($A$92)+1,[4]Inputs!$S$11)</f>
        <v>PLNT</v>
      </c>
      <c r="Y1026" s="116" t="e">
        <f t="shared" si="553"/>
        <v>#VALUE!</v>
      </c>
      <c r="Z1026" s="116" t="e">
        <f t="shared" si="553"/>
        <v>#VALUE!</v>
      </c>
      <c r="AA1026" s="116" t="e">
        <f t="shared" si="553"/>
        <v>#VALUE!</v>
      </c>
      <c r="AB1026" s="116" t="e">
        <f t="shared" si="553"/>
        <v>#VALUE!</v>
      </c>
      <c r="AC1026" s="116" t="e">
        <f t="shared" si="553"/>
        <v>#VALUE!</v>
      </c>
      <c r="AD1026" s="117" t="e">
        <f t="shared" si="554"/>
        <v>#VALUE!</v>
      </c>
      <c r="AE1026" s="117" t="e">
        <f t="shared" si="555"/>
        <v>#VALUE!</v>
      </c>
      <c r="AF1026" s="117" t="e">
        <f t="shared" si="556"/>
        <v>#VALUE!</v>
      </c>
      <c r="AG1026" s="117" t="e">
        <f t="shared" si="557"/>
        <v>#VALUE!</v>
      </c>
      <c r="AH1026" s="116"/>
      <c r="AI1026">
        <f t="shared" si="539"/>
        <v>41020</v>
      </c>
      <c r="AJ1026" t="str">
        <f t="shared" si="519"/>
        <v>SG</v>
      </c>
      <c r="AK1026" t="str">
        <f>IF(ISERROR(MATCH(AI1026&amp;"."&amp;AJ1026,AK$91:AK1025,0)),AI1026&amp;"."&amp;AJ1026,AI1026&amp;"."&amp;AJ1026&amp;COUNTIFS(AI$91:AI1025,AI1026,AJ$91:AJ1025,AJ1026))</f>
        <v>41020.SG1</v>
      </c>
    </row>
    <row r="1027" spans="1:37" ht="15" hidden="1">
      <c r="A1027" s="120">
        <f>ROW()</f>
        <v>1027</v>
      </c>
      <c r="B1027" s="120"/>
      <c r="C1027" s="1"/>
      <c r="E1027" s="121" t="s">
        <v>423</v>
      </c>
      <c r="F1027" s="138" t="str">
        <f>INDEX(FuncAllocOptions,ROW(A1027)-ROW($A$92)+1,[4]Inputs!$S$11)</f>
        <v>GP</v>
      </c>
      <c r="G1027" s="117" t="e">
        <f t="shared" si="543"/>
        <v>#VALUE!</v>
      </c>
      <c r="H1027" s="116" t="e">
        <f t="shared" si="544"/>
        <v>#VALUE!</v>
      </c>
      <c r="I1027" s="116" t="e">
        <f t="shared" si="544"/>
        <v>#VALUE!</v>
      </c>
      <c r="J1027" s="116" t="e">
        <f t="shared" si="544"/>
        <v>#VALUE!</v>
      </c>
      <c r="K1027" s="116" t="e">
        <f t="shared" si="544"/>
        <v>#VALUE!</v>
      </c>
      <c r="L1027" s="116" t="e">
        <f t="shared" si="544"/>
        <v>#VALUE!</v>
      </c>
      <c r="N1027" s="108">
        <v>0.75</v>
      </c>
      <c r="O1027" s="116" t="e">
        <f t="shared" si="545"/>
        <v>#VALUE!</v>
      </c>
      <c r="P1027" s="116" t="e">
        <f t="shared" si="546"/>
        <v>#VALUE!</v>
      </c>
      <c r="Q1027" s="116" t="e">
        <f t="shared" si="547"/>
        <v>#VALUE!</v>
      </c>
      <c r="R1027" s="116" t="e">
        <f t="shared" si="548"/>
        <v>#VALUE!</v>
      </c>
      <c r="S1027" s="108">
        <v>0.75</v>
      </c>
      <c r="T1027" s="116" t="e">
        <f t="shared" si="549"/>
        <v>#VALUE!</v>
      </c>
      <c r="U1027" s="116" t="e">
        <f t="shared" si="550"/>
        <v>#VALUE!</v>
      </c>
      <c r="V1027" s="116" t="e">
        <f t="shared" si="551"/>
        <v>#VALUE!</v>
      </c>
      <c r="W1027" s="116" t="e">
        <f t="shared" si="552"/>
        <v>#VALUE!</v>
      </c>
      <c r="X1027" s="3" t="str">
        <f>INDEX(DistFuncAllocOptions,ROW(A1027)-ROW($A$92)+1,[4]Inputs!$S$11)</f>
        <v>PLNT</v>
      </c>
      <c r="Y1027" s="116" t="e">
        <f t="shared" si="553"/>
        <v>#VALUE!</v>
      </c>
      <c r="Z1027" s="116" t="e">
        <f t="shared" si="553"/>
        <v>#VALUE!</v>
      </c>
      <c r="AA1027" s="116" t="e">
        <f t="shared" si="553"/>
        <v>#VALUE!</v>
      </c>
      <c r="AB1027" s="116" t="e">
        <f t="shared" si="553"/>
        <v>#VALUE!</v>
      </c>
      <c r="AC1027" s="116" t="e">
        <f t="shared" si="553"/>
        <v>#VALUE!</v>
      </c>
      <c r="AD1027" s="117" t="e">
        <f t="shared" si="554"/>
        <v>#VALUE!</v>
      </c>
      <c r="AE1027" s="117" t="e">
        <f t="shared" si="555"/>
        <v>#VALUE!</v>
      </c>
      <c r="AF1027" s="117" t="e">
        <f t="shared" si="556"/>
        <v>#VALUE!</v>
      </c>
      <c r="AG1027" s="117" t="e">
        <f t="shared" si="557"/>
        <v>#VALUE!</v>
      </c>
      <c r="AH1027" s="116"/>
      <c r="AI1027">
        <f t="shared" si="539"/>
        <v>41020</v>
      </c>
      <c r="AJ1027" t="str">
        <f t="shared" si="519"/>
        <v>GPS</v>
      </c>
      <c r="AK1027" t="str">
        <f>IF(ISERROR(MATCH(AI1027&amp;"."&amp;AJ1027,AK$91:AK1026,0)),AI1027&amp;"."&amp;AJ1027,AI1027&amp;"."&amp;AJ1027&amp;COUNTIFS(AI$91:AI1026,AI1027,AJ$91:AJ1026,AJ1027))</f>
        <v>41020.GPS</v>
      </c>
    </row>
    <row r="1028" spans="1:37" ht="15" hidden="1">
      <c r="A1028" s="120">
        <f>ROW()</f>
        <v>1028</v>
      </c>
      <c r="B1028" s="120"/>
      <c r="C1028" s="1"/>
      <c r="E1028" s="121" t="s">
        <v>284</v>
      </c>
      <c r="F1028" s="138" t="str">
        <f>INDEX(FuncAllocOptions,ROW(A1028)-ROW($A$92)+1,[4]Inputs!$S$11)</f>
        <v>P</v>
      </c>
      <c r="G1028" s="117" t="e">
        <f t="shared" si="543"/>
        <v>#VALUE!</v>
      </c>
      <c r="H1028" s="116" t="e">
        <f t="shared" si="544"/>
        <v>#VALUE!</v>
      </c>
      <c r="I1028" s="116" t="e">
        <f t="shared" si="544"/>
        <v>#VALUE!</v>
      </c>
      <c r="J1028" s="116" t="e">
        <f t="shared" si="544"/>
        <v>#VALUE!</v>
      </c>
      <c r="K1028" s="116" t="e">
        <f t="shared" si="544"/>
        <v>#VALUE!</v>
      </c>
      <c r="L1028" s="116" t="e">
        <f t="shared" si="544"/>
        <v>#VALUE!</v>
      </c>
      <c r="N1028" s="108">
        <v>0.75</v>
      </c>
      <c r="O1028" s="116" t="e">
        <f t="shared" si="545"/>
        <v>#VALUE!</v>
      </c>
      <c r="P1028" s="116" t="e">
        <f t="shared" si="546"/>
        <v>#VALUE!</v>
      </c>
      <c r="Q1028" s="116" t="e">
        <f t="shared" si="547"/>
        <v>#VALUE!</v>
      </c>
      <c r="R1028" s="116" t="e">
        <f t="shared" si="548"/>
        <v>#VALUE!</v>
      </c>
      <c r="S1028" s="108">
        <v>0.75</v>
      </c>
      <c r="T1028" s="116" t="e">
        <f t="shared" si="549"/>
        <v>#VALUE!</v>
      </c>
      <c r="U1028" s="116" t="e">
        <f t="shared" si="550"/>
        <v>#VALUE!</v>
      </c>
      <c r="V1028" s="116" t="e">
        <f t="shared" si="551"/>
        <v>#VALUE!</v>
      </c>
      <c r="W1028" s="116" t="e">
        <f t="shared" si="552"/>
        <v>#VALUE!</v>
      </c>
      <c r="X1028" s="3" t="str">
        <f>INDEX(DistFuncAllocOptions,ROW(A1028)-ROW($A$92)+1,[4]Inputs!$S$11)</f>
        <v>PLNT</v>
      </c>
      <c r="Y1028" s="116" t="e">
        <f t="shared" si="553"/>
        <v>#VALUE!</v>
      </c>
      <c r="Z1028" s="116" t="e">
        <f t="shared" si="553"/>
        <v>#VALUE!</v>
      </c>
      <c r="AA1028" s="116" t="e">
        <f t="shared" si="553"/>
        <v>#VALUE!</v>
      </c>
      <c r="AB1028" s="116" t="e">
        <f t="shared" si="553"/>
        <v>#VALUE!</v>
      </c>
      <c r="AC1028" s="116" t="e">
        <f t="shared" si="553"/>
        <v>#VALUE!</v>
      </c>
      <c r="AD1028" s="117" t="e">
        <f t="shared" si="554"/>
        <v>#VALUE!</v>
      </c>
      <c r="AE1028" s="117" t="e">
        <f t="shared" si="555"/>
        <v>#VALUE!</v>
      </c>
      <c r="AF1028" s="117" t="e">
        <f t="shared" si="556"/>
        <v>#VALUE!</v>
      </c>
      <c r="AG1028" s="117" t="e">
        <f t="shared" si="557"/>
        <v>#VALUE!</v>
      </c>
      <c r="AH1028" s="116"/>
      <c r="AI1028">
        <f t="shared" si="539"/>
        <v>41020</v>
      </c>
      <c r="AJ1028" t="str">
        <f t="shared" si="519"/>
        <v>TROJP</v>
      </c>
      <c r="AK1028" t="str">
        <f>IF(ISERROR(MATCH(AI1028&amp;"."&amp;AJ1028,AK$91:AK1027,0)),AI1028&amp;"."&amp;AJ1028,AI1028&amp;"."&amp;AJ1028&amp;COUNTIFS(AI$91:AI1027,AI1028,AJ$91:AJ1027,AJ1028))</f>
        <v>41020.TROJP</v>
      </c>
    </row>
    <row r="1029" spans="1:37" ht="15" hidden="1">
      <c r="A1029" s="120">
        <f>ROW()</f>
        <v>1029</v>
      </c>
      <c r="B1029" s="120"/>
      <c r="C1029" s="1"/>
      <c r="E1029" s="121" t="s">
        <v>433</v>
      </c>
      <c r="F1029" s="138" t="str">
        <f>INDEX(FuncAllocOptions,ROW(A1029)-ROW($A$92)+1,[4]Inputs!$S$11)</f>
        <v>GP</v>
      </c>
      <c r="G1029" s="117" t="e">
        <f t="shared" si="543"/>
        <v>#VALUE!</v>
      </c>
      <c r="H1029" s="116" t="e">
        <f t="shared" si="544"/>
        <v>#VALUE!</v>
      </c>
      <c r="I1029" s="116" t="e">
        <f t="shared" si="544"/>
        <v>#VALUE!</v>
      </c>
      <c r="J1029" s="116" t="e">
        <f t="shared" si="544"/>
        <v>#VALUE!</v>
      </c>
      <c r="K1029" s="116" t="e">
        <f t="shared" si="544"/>
        <v>#VALUE!</v>
      </c>
      <c r="L1029" s="116" t="e">
        <f t="shared" si="544"/>
        <v>#VALUE!</v>
      </c>
      <c r="N1029" s="108">
        <v>0.75</v>
      </c>
      <c r="O1029" s="116" t="e">
        <f t="shared" si="545"/>
        <v>#VALUE!</v>
      </c>
      <c r="P1029" s="116" t="e">
        <f t="shared" si="546"/>
        <v>#VALUE!</v>
      </c>
      <c r="Q1029" s="116" t="e">
        <f t="shared" si="547"/>
        <v>#VALUE!</v>
      </c>
      <c r="R1029" s="116" t="e">
        <f t="shared" si="548"/>
        <v>#VALUE!</v>
      </c>
      <c r="S1029" s="108">
        <v>0.75</v>
      </c>
      <c r="T1029" s="116" t="e">
        <f t="shared" si="549"/>
        <v>#VALUE!</v>
      </c>
      <c r="U1029" s="116" t="e">
        <f t="shared" si="550"/>
        <v>#VALUE!</v>
      </c>
      <c r="V1029" s="116" t="e">
        <f t="shared" si="551"/>
        <v>#VALUE!</v>
      </c>
      <c r="W1029" s="116" t="e">
        <f t="shared" si="552"/>
        <v>#VALUE!</v>
      </c>
      <c r="X1029" s="3" t="str">
        <f>INDEX(DistFuncAllocOptions,ROW(A1029)-ROW($A$92)+1,[4]Inputs!$S$11)</f>
        <v>PLNT</v>
      </c>
      <c r="Y1029" s="116" t="e">
        <f t="shared" si="553"/>
        <v>#VALUE!</v>
      </c>
      <c r="Z1029" s="116" t="e">
        <f t="shared" si="553"/>
        <v>#VALUE!</v>
      </c>
      <c r="AA1029" s="116" t="e">
        <f t="shared" si="553"/>
        <v>#VALUE!</v>
      </c>
      <c r="AB1029" s="116" t="e">
        <f t="shared" si="553"/>
        <v>#VALUE!</v>
      </c>
      <c r="AC1029" s="116" t="e">
        <f t="shared" si="553"/>
        <v>#VALUE!</v>
      </c>
      <c r="AD1029" s="117" t="e">
        <f t="shared" si="554"/>
        <v>#VALUE!</v>
      </c>
      <c r="AE1029" s="117" t="e">
        <f t="shared" si="555"/>
        <v>#VALUE!</v>
      </c>
      <c r="AF1029" s="117" t="e">
        <f t="shared" si="556"/>
        <v>#VALUE!</v>
      </c>
      <c r="AG1029" s="117" t="e">
        <f t="shared" si="557"/>
        <v>#VALUE!</v>
      </c>
      <c r="AH1029" s="116"/>
      <c r="AI1029">
        <f t="shared" si="539"/>
        <v>41020</v>
      </c>
      <c r="AJ1029" t="str">
        <f t="shared" si="519"/>
        <v>SNP</v>
      </c>
      <c r="AK1029" t="str">
        <f>IF(ISERROR(MATCH(AI1029&amp;"."&amp;AJ1029,AK$91:AK1028,0)),AI1029&amp;"."&amp;AJ1029,AI1029&amp;"."&amp;AJ1029&amp;COUNTIFS(AI$91:AI1028,AI1029,AJ$91:AJ1028,AJ1029))</f>
        <v>41020.SNP</v>
      </c>
    </row>
    <row r="1030" spans="1:37" ht="15" hidden="1">
      <c r="A1030" s="120">
        <f>ROW()</f>
        <v>1030</v>
      </c>
      <c r="B1030" s="120"/>
      <c r="C1030" s="1"/>
      <c r="E1030" s="121" t="s">
        <v>449</v>
      </c>
      <c r="F1030" s="138" t="str">
        <f>INDEX(FuncAllocOptions,ROW(A1030)-ROW($A$92)+1,[4]Inputs!$S$11)</f>
        <v>CUST</v>
      </c>
      <c r="G1030" s="117" t="e">
        <f t="shared" si="543"/>
        <v>#VALUE!</v>
      </c>
      <c r="H1030" s="116" t="e">
        <f t="shared" si="544"/>
        <v>#VALUE!</v>
      </c>
      <c r="I1030" s="116" t="e">
        <f t="shared" si="544"/>
        <v>#VALUE!</v>
      </c>
      <c r="J1030" s="116" t="e">
        <f t="shared" si="544"/>
        <v>#VALUE!</v>
      </c>
      <c r="K1030" s="116" t="e">
        <f t="shared" si="544"/>
        <v>#VALUE!</v>
      </c>
      <c r="L1030" s="116" t="e">
        <f t="shared" si="544"/>
        <v>#VALUE!</v>
      </c>
      <c r="N1030" s="108">
        <v>0.75</v>
      </c>
      <c r="O1030" s="116" t="e">
        <f t="shared" si="545"/>
        <v>#VALUE!</v>
      </c>
      <c r="P1030" s="116" t="e">
        <f t="shared" si="546"/>
        <v>#VALUE!</v>
      </c>
      <c r="Q1030" s="116" t="e">
        <f t="shared" si="547"/>
        <v>#VALUE!</v>
      </c>
      <c r="R1030" s="116" t="e">
        <f t="shared" si="548"/>
        <v>#VALUE!</v>
      </c>
      <c r="S1030" s="108">
        <v>0.75</v>
      </c>
      <c r="T1030" s="116" t="e">
        <f t="shared" si="549"/>
        <v>#VALUE!</v>
      </c>
      <c r="U1030" s="116" t="e">
        <f t="shared" si="550"/>
        <v>#VALUE!</v>
      </c>
      <c r="V1030" s="116" t="e">
        <f t="shared" si="551"/>
        <v>#VALUE!</v>
      </c>
      <c r="W1030" s="116" t="e">
        <f t="shared" si="552"/>
        <v>#VALUE!</v>
      </c>
      <c r="X1030" s="3" t="str">
        <f>INDEX(DistFuncAllocOptions,ROW(A1030)-ROW($A$92)+1,[4]Inputs!$S$11)</f>
        <v>PLNT</v>
      </c>
      <c r="Y1030" s="116" t="e">
        <f t="shared" si="553"/>
        <v>#VALUE!</v>
      </c>
      <c r="Z1030" s="116" t="e">
        <f t="shared" si="553"/>
        <v>#VALUE!</v>
      </c>
      <c r="AA1030" s="116" t="e">
        <f t="shared" si="553"/>
        <v>#VALUE!</v>
      </c>
      <c r="AB1030" s="116" t="e">
        <f t="shared" si="553"/>
        <v>#VALUE!</v>
      </c>
      <c r="AC1030" s="116" t="e">
        <f t="shared" si="553"/>
        <v>#VALUE!</v>
      </c>
      <c r="AD1030" s="117" t="e">
        <f t="shared" si="554"/>
        <v>#VALUE!</v>
      </c>
      <c r="AE1030" s="117" t="e">
        <f t="shared" si="555"/>
        <v>#VALUE!</v>
      </c>
      <c r="AF1030" s="117" t="e">
        <f t="shared" si="556"/>
        <v>#VALUE!</v>
      </c>
      <c r="AG1030" s="117" t="e">
        <f t="shared" si="557"/>
        <v>#VALUE!</v>
      </c>
      <c r="AH1030" s="116"/>
      <c r="AI1030">
        <f t="shared" si="539"/>
        <v>41020</v>
      </c>
      <c r="AJ1030" t="str">
        <f t="shared" si="519"/>
        <v>BADDEBT</v>
      </c>
      <c r="AK1030" t="str">
        <f>IF(ISERROR(MATCH(AI1030&amp;"."&amp;AJ1030,AK$91:AK1029,0)),AI1030&amp;"."&amp;AJ1030,AI1030&amp;"."&amp;AJ1030&amp;COUNTIFS(AI$91:AI1029,AI1030,AJ$91:AJ1029,AJ1030))</f>
        <v>41020.BADDEBT</v>
      </c>
    </row>
    <row r="1031" spans="1:37" ht="15" hidden="1">
      <c r="A1031" s="120">
        <f>ROW()</f>
        <v>1031</v>
      </c>
      <c r="B1031" s="120"/>
      <c r="C1031" s="1"/>
      <c r="E1031" s="121" t="s">
        <v>448</v>
      </c>
      <c r="F1031" s="138" t="str">
        <f>INDEX(FuncAllocOptions,ROW(A1031)-ROW($A$92)+1,[4]Inputs!$S$11)</f>
        <v>DITEXP</v>
      </c>
      <c r="G1031" s="117" t="e">
        <f t="shared" si="543"/>
        <v>#VALUE!</v>
      </c>
      <c r="H1031" s="116" t="e">
        <f t="shared" si="544"/>
        <v>#VALUE!</v>
      </c>
      <c r="I1031" s="116" t="e">
        <f t="shared" si="544"/>
        <v>#VALUE!</v>
      </c>
      <c r="J1031" s="116" t="e">
        <f t="shared" si="544"/>
        <v>#VALUE!</v>
      </c>
      <c r="K1031" s="116" t="e">
        <f t="shared" si="544"/>
        <v>#VALUE!</v>
      </c>
      <c r="L1031" s="116" t="e">
        <f t="shared" si="544"/>
        <v>#VALUE!</v>
      </c>
      <c r="N1031" s="108">
        <v>0.75</v>
      </c>
      <c r="O1031" s="116" t="e">
        <f t="shared" si="545"/>
        <v>#VALUE!</v>
      </c>
      <c r="P1031" s="116" t="e">
        <f t="shared" si="546"/>
        <v>#VALUE!</v>
      </c>
      <c r="Q1031" s="116" t="e">
        <f t="shared" si="547"/>
        <v>#VALUE!</v>
      </c>
      <c r="R1031" s="116" t="e">
        <f t="shared" si="548"/>
        <v>#VALUE!</v>
      </c>
      <c r="S1031" s="108">
        <v>0.75</v>
      </c>
      <c r="T1031" s="116" t="e">
        <f t="shared" si="549"/>
        <v>#VALUE!</v>
      </c>
      <c r="U1031" s="116" t="e">
        <f t="shared" si="550"/>
        <v>#VALUE!</v>
      </c>
      <c r="V1031" s="116" t="e">
        <f t="shared" si="551"/>
        <v>#VALUE!</v>
      </c>
      <c r="W1031" s="116" t="e">
        <f t="shared" si="552"/>
        <v>#VALUE!</v>
      </c>
      <c r="X1031" s="3" t="str">
        <f>INDEX(DistFuncAllocOptions,ROW(A1031)-ROW($A$92)+1,[4]Inputs!$S$11)</f>
        <v>PLNT</v>
      </c>
      <c r="Y1031" s="116" t="e">
        <f t="shared" si="553"/>
        <v>#VALUE!</v>
      </c>
      <c r="Z1031" s="116" t="e">
        <f t="shared" si="553"/>
        <v>#VALUE!</v>
      </c>
      <c r="AA1031" s="116" t="e">
        <f t="shared" si="553"/>
        <v>#VALUE!</v>
      </c>
      <c r="AB1031" s="116" t="e">
        <f t="shared" si="553"/>
        <v>#VALUE!</v>
      </c>
      <c r="AC1031" s="116" t="e">
        <f t="shared" si="553"/>
        <v>#VALUE!</v>
      </c>
      <c r="AD1031" s="117" t="e">
        <f t="shared" si="554"/>
        <v>#VALUE!</v>
      </c>
      <c r="AE1031" s="117" t="e">
        <f t="shared" si="555"/>
        <v>#VALUE!</v>
      </c>
      <c r="AF1031" s="117" t="e">
        <f t="shared" si="556"/>
        <v>#VALUE!</v>
      </c>
      <c r="AG1031" s="117" t="e">
        <f t="shared" si="557"/>
        <v>#VALUE!</v>
      </c>
      <c r="AH1031" s="116"/>
      <c r="AI1031">
        <f t="shared" si="539"/>
        <v>41020</v>
      </c>
      <c r="AJ1031" t="str">
        <f t="shared" si="519"/>
        <v>DITEXP</v>
      </c>
      <c r="AK1031" t="str">
        <f>IF(ISERROR(MATCH(AI1031&amp;"."&amp;AJ1031,AK$91:AK1030,0)),AI1031&amp;"."&amp;AJ1031,AI1031&amp;"."&amp;AJ1031&amp;COUNTIFS(AI$91:AI1030,AI1031,AJ$91:AJ1030,AJ1031))</f>
        <v>41020.DITEXP</v>
      </c>
    </row>
    <row r="1032" spans="1:37" ht="15" hidden="1">
      <c r="A1032" s="120">
        <f>ROW()</f>
        <v>1032</v>
      </c>
      <c r="B1032" s="120"/>
      <c r="C1032" s="1"/>
      <c r="E1032" s="121" t="s">
        <v>283</v>
      </c>
      <c r="F1032" s="138" t="str">
        <f>INDEX(FuncAllocOptions,ROW(A1032)-ROW($A$92)+1,[4]Inputs!$S$11)</f>
        <v>P</v>
      </c>
      <c r="G1032" s="117" t="e">
        <f t="shared" si="543"/>
        <v>#VALUE!</v>
      </c>
      <c r="H1032" s="116" t="e">
        <f t="shared" si="544"/>
        <v>#VALUE!</v>
      </c>
      <c r="I1032" s="116" t="e">
        <f t="shared" si="544"/>
        <v>#VALUE!</v>
      </c>
      <c r="J1032" s="116" t="e">
        <f t="shared" si="544"/>
        <v>#VALUE!</v>
      </c>
      <c r="K1032" s="116" t="e">
        <f t="shared" si="544"/>
        <v>#VALUE!</v>
      </c>
      <c r="L1032" s="116" t="e">
        <f t="shared" si="544"/>
        <v>#VALUE!</v>
      </c>
      <c r="N1032" s="108">
        <v>0.75</v>
      </c>
      <c r="O1032" s="116" t="e">
        <f t="shared" si="545"/>
        <v>#VALUE!</v>
      </c>
      <c r="P1032" s="116" t="e">
        <f t="shared" si="546"/>
        <v>#VALUE!</v>
      </c>
      <c r="Q1032" s="116" t="e">
        <f t="shared" si="547"/>
        <v>#VALUE!</v>
      </c>
      <c r="R1032" s="116" t="e">
        <f t="shared" si="548"/>
        <v>#VALUE!</v>
      </c>
      <c r="S1032" s="108">
        <v>0.75</v>
      </c>
      <c r="T1032" s="116" t="e">
        <f t="shared" si="549"/>
        <v>#VALUE!</v>
      </c>
      <c r="U1032" s="116" t="e">
        <f t="shared" si="550"/>
        <v>#VALUE!</v>
      </c>
      <c r="V1032" s="116" t="e">
        <f t="shared" si="551"/>
        <v>#VALUE!</v>
      </c>
      <c r="W1032" s="116" t="e">
        <f t="shared" si="552"/>
        <v>#VALUE!</v>
      </c>
      <c r="X1032" s="3" t="str">
        <f>INDEX(DistFuncAllocOptions,ROW(A1032)-ROW($A$92)+1,[4]Inputs!$S$11)</f>
        <v>PLNT</v>
      </c>
      <c r="Y1032" s="116" t="e">
        <f t="shared" si="553"/>
        <v>#VALUE!</v>
      </c>
      <c r="Z1032" s="116" t="e">
        <f t="shared" si="553"/>
        <v>#VALUE!</v>
      </c>
      <c r="AA1032" s="116" t="e">
        <f t="shared" si="553"/>
        <v>#VALUE!</v>
      </c>
      <c r="AB1032" s="116" t="e">
        <f t="shared" si="553"/>
        <v>#VALUE!</v>
      </c>
      <c r="AC1032" s="116" t="e">
        <f t="shared" si="553"/>
        <v>#VALUE!</v>
      </c>
      <c r="AD1032" s="117" t="e">
        <f t="shared" si="554"/>
        <v>#VALUE!</v>
      </c>
      <c r="AE1032" s="117" t="e">
        <f t="shared" si="555"/>
        <v>#VALUE!</v>
      </c>
      <c r="AF1032" s="117" t="e">
        <f t="shared" si="556"/>
        <v>#VALUE!</v>
      </c>
      <c r="AG1032" s="117" t="e">
        <f t="shared" si="557"/>
        <v>#VALUE!</v>
      </c>
      <c r="AH1032" s="116"/>
      <c r="AI1032">
        <f t="shared" si="539"/>
        <v>41020</v>
      </c>
      <c r="AJ1032" t="str">
        <f t="shared" si="519"/>
        <v>SGCT</v>
      </c>
      <c r="AK1032" t="str">
        <f>IF(ISERROR(MATCH(AI1032&amp;"."&amp;AJ1032,AK$91:AK1031,0)),AI1032&amp;"."&amp;AJ1032,AI1032&amp;"."&amp;AJ1032&amp;COUNTIFS(AI$91:AI1031,AI1032,AJ$91:AJ1031,AJ1032))</f>
        <v>41020.SGCT</v>
      </c>
    </row>
    <row r="1033" spans="1:37" ht="15" hidden="1">
      <c r="A1033" s="120">
        <f>ROW()</f>
        <v>1033</v>
      </c>
      <c r="B1033" s="120"/>
      <c r="C1033" s="1"/>
      <c r="E1033" s="121" t="s">
        <v>321</v>
      </c>
      <c r="F1033" s="138" t="str">
        <f>INDEX(FuncAllocOptions,ROW(A1033)-ROW($A$92)+1,[4]Inputs!$S$11)</f>
        <v>DPW</v>
      </c>
      <c r="G1033" s="133" t="e">
        <f t="shared" si="543"/>
        <v>#VALUE!</v>
      </c>
      <c r="H1033" s="139" t="e">
        <f t="shared" si="544"/>
        <v>#VALUE!</v>
      </c>
      <c r="I1033" s="139" t="e">
        <f t="shared" si="544"/>
        <v>#VALUE!</v>
      </c>
      <c r="J1033" s="139" t="e">
        <f t="shared" si="544"/>
        <v>#VALUE!</v>
      </c>
      <c r="K1033" s="139" t="e">
        <f t="shared" si="544"/>
        <v>#VALUE!</v>
      </c>
      <c r="L1033" s="139" t="e">
        <f t="shared" si="544"/>
        <v>#VALUE!</v>
      </c>
      <c r="O1033" s="116" t="e">
        <f t="shared" si="545"/>
        <v>#VALUE!</v>
      </c>
      <c r="P1033" s="116" t="e">
        <f t="shared" si="546"/>
        <v>#VALUE!</v>
      </c>
      <c r="Q1033" s="116" t="e">
        <f t="shared" si="547"/>
        <v>#VALUE!</v>
      </c>
      <c r="R1033" s="116" t="e">
        <f t="shared" si="548"/>
        <v>#VALUE!</v>
      </c>
      <c r="T1033" s="116">
        <v>0</v>
      </c>
      <c r="U1033" s="116">
        <v>0</v>
      </c>
      <c r="V1033" s="116">
        <v>0</v>
      </c>
      <c r="W1033" s="116">
        <v>0</v>
      </c>
      <c r="X1033" s="3" t="str">
        <f>INDEX(DistFuncAllocOptions,ROW(A1033)-ROW($A$92)+1,[4]Inputs!$S$11)</f>
        <v>PLNT</v>
      </c>
      <c r="Y1033" s="116" t="e">
        <f t="shared" si="553"/>
        <v>#VALUE!</v>
      </c>
      <c r="Z1033" s="116" t="e">
        <f t="shared" si="553"/>
        <v>#VALUE!</v>
      </c>
      <c r="AA1033" s="116" t="e">
        <f t="shared" si="553"/>
        <v>#VALUE!</v>
      </c>
      <c r="AB1033" s="116" t="e">
        <f t="shared" si="553"/>
        <v>#VALUE!</v>
      </c>
      <c r="AC1033" s="116" t="e">
        <f t="shared" si="553"/>
        <v>#VALUE!</v>
      </c>
      <c r="AD1033" s="117" t="e">
        <f t="shared" si="554"/>
        <v>#VALUE!</v>
      </c>
      <c r="AE1033" s="117" t="e">
        <f t="shared" si="555"/>
        <v>#VALUE!</v>
      </c>
      <c r="AF1033" s="117" t="e">
        <f t="shared" si="556"/>
        <v>#VALUE!</v>
      </c>
      <c r="AG1033" s="117" t="e">
        <f t="shared" si="557"/>
        <v>#VALUE!</v>
      </c>
      <c r="AH1033" s="116"/>
      <c r="AI1033">
        <f t="shared" si="539"/>
        <v>41020</v>
      </c>
      <c r="AJ1033" t="str">
        <f t="shared" si="519"/>
        <v>SNPD</v>
      </c>
      <c r="AK1033" t="str">
        <f>IF(ISERROR(MATCH(AI1033&amp;"."&amp;AJ1033,AK$91:AK1032,0)),AI1033&amp;"."&amp;AJ1033,AI1033&amp;"."&amp;AJ1033&amp;COUNTIFS(AI$91:AI1032,AI1033,AJ$91:AJ1032,AJ1033))</f>
        <v>41020.SNPD</v>
      </c>
    </row>
    <row r="1034" spans="1:37" ht="15" hidden="1">
      <c r="A1034" s="120">
        <f>ROW()</f>
        <v>1034</v>
      </c>
      <c r="B1034" s="120"/>
      <c r="C1034" s="1"/>
      <c r="E1034" s="121"/>
      <c r="F1034" s="138"/>
      <c r="G1034" s="117" t="e">
        <f t="shared" ref="G1034:L1034" si="558">SUM(G1022:G1033)</f>
        <v>#VALUE!</v>
      </c>
      <c r="H1034" s="116" t="e">
        <f t="shared" si="558"/>
        <v>#VALUE!</v>
      </c>
      <c r="I1034" s="116" t="e">
        <f t="shared" si="558"/>
        <v>#VALUE!</v>
      </c>
      <c r="J1034" s="116" t="e">
        <f t="shared" si="558"/>
        <v>#VALUE!</v>
      </c>
      <c r="K1034" s="116" t="e">
        <f t="shared" si="558"/>
        <v>#VALUE!</v>
      </c>
      <c r="L1034" s="116" t="e">
        <f t="shared" si="558"/>
        <v>#VALUE!</v>
      </c>
      <c r="M1034" s="116"/>
      <c r="N1034" s="116"/>
      <c r="O1034" s="116" t="e">
        <f>SUM(O1022:O1033)</f>
        <v>#VALUE!</v>
      </c>
      <c r="P1034" s="116" t="e">
        <f>SUM(P1022:P1033)</f>
        <v>#VALUE!</v>
      </c>
      <c r="Q1034" s="116" t="e">
        <f>SUM(Q1022:Q1033)</f>
        <v>#VALUE!</v>
      </c>
      <c r="R1034" s="116" t="e">
        <f>SUM(R1022:R1033)</f>
        <v>#VALUE!</v>
      </c>
      <c r="S1034" s="116"/>
      <c r="T1034" s="116" t="e">
        <f>SUM(T1022:T1033)</f>
        <v>#VALUE!</v>
      </c>
      <c r="U1034" s="116" t="e">
        <f>SUM(U1022:U1033)</f>
        <v>#VALUE!</v>
      </c>
      <c r="V1034" s="116" t="e">
        <f>SUM(V1022:V1033)</f>
        <v>#VALUE!</v>
      </c>
      <c r="W1034" s="116" t="e">
        <f>SUM(W1022:W1033)</f>
        <v>#VALUE!</v>
      </c>
      <c r="X1034" s="3"/>
      <c r="Y1034" s="116" t="e">
        <f>SUM(Y1022:Y1033)</f>
        <v>#VALUE!</v>
      </c>
      <c r="Z1034" s="116" t="e">
        <f>SUM(Z1022:Z1033)</f>
        <v>#VALUE!</v>
      </c>
      <c r="AA1034" s="116" t="e">
        <f>SUM(AA1022:AA1033)</f>
        <v>#VALUE!</v>
      </c>
      <c r="AB1034" s="116" t="e">
        <f>SUM(AB1022:AB1033)</f>
        <v>#VALUE!</v>
      </c>
      <c r="AC1034" s="116" t="e">
        <f>SUM(AC1022:AC1033)</f>
        <v>#VALUE!</v>
      </c>
      <c r="AD1034" s="117" t="e">
        <f t="shared" si="554"/>
        <v>#VALUE!</v>
      </c>
      <c r="AE1034" s="117" t="e">
        <f t="shared" si="555"/>
        <v>#VALUE!</v>
      </c>
      <c r="AF1034" s="117" t="e">
        <f t="shared" si="556"/>
        <v>#VALUE!</v>
      </c>
      <c r="AG1034" s="117" t="e">
        <f t="shared" si="557"/>
        <v>#VALUE!</v>
      </c>
      <c r="AH1034" s="116"/>
      <c r="AI1034">
        <f t="shared" si="539"/>
        <v>41020</v>
      </c>
      <c r="AJ1034" t="str">
        <f t="shared" si="519"/>
        <v>NA</v>
      </c>
      <c r="AK1034" t="str">
        <f>IF(ISERROR(MATCH(AI1034&amp;"."&amp;AJ1034,AK$91:AK1033,0)),AI1034&amp;"."&amp;AJ1034,AI1034&amp;"."&amp;AJ1034&amp;COUNTIFS(AI$91:AI1033,AI1034,AJ$91:AJ1033,AJ1034))</f>
        <v>41020.NA1</v>
      </c>
    </row>
    <row r="1035" spans="1:37" ht="15" hidden="1">
      <c r="A1035" s="120">
        <f>ROW()</f>
        <v>1035</v>
      </c>
      <c r="B1035" s="120"/>
      <c r="C1035" s="1"/>
      <c r="E1035" s="121"/>
      <c r="F1035" s="138"/>
      <c r="G1035" s="119"/>
      <c r="X1035" s="3"/>
      <c r="AD1035" s="119"/>
      <c r="AE1035" s="119"/>
      <c r="AF1035" s="119"/>
      <c r="AG1035" s="119"/>
      <c r="AI1035">
        <f t="shared" si="539"/>
        <v>41020</v>
      </c>
      <c r="AJ1035" t="str">
        <f t="shared" si="519"/>
        <v>NA</v>
      </c>
      <c r="AK1035" t="str">
        <f>IF(ISERROR(MATCH(AI1035&amp;"."&amp;AJ1035,AK$91:AK1034,0)),AI1035&amp;"."&amp;AJ1035,AI1035&amp;"."&amp;AJ1035&amp;COUNTIFS(AI$91:AI1034,AI1035,AJ$91:AJ1034,AJ1035))</f>
        <v>41020.NA2</v>
      </c>
    </row>
    <row r="1036" spans="1:37" ht="15" hidden="1">
      <c r="A1036" s="120">
        <f>ROW()</f>
        <v>1036</v>
      </c>
      <c r="B1036" s="120"/>
      <c r="C1036" s="1">
        <v>41110</v>
      </c>
      <c r="D1036" s="2" t="s">
        <v>454</v>
      </c>
      <c r="E1036" s="121"/>
      <c r="F1036" s="138"/>
      <c r="G1036" s="119"/>
      <c r="X1036" s="3"/>
      <c r="AD1036" s="119"/>
      <c r="AE1036" s="119"/>
      <c r="AF1036" s="119"/>
      <c r="AG1036" s="119"/>
      <c r="AI1036">
        <f t="shared" si="539"/>
        <v>41110</v>
      </c>
      <c r="AJ1036" t="str">
        <f t="shared" si="519"/>
        <v>NA</v>
      </c>
      <c r="AK1036" t="str">
        <f>IF(ISERROR(MATCH(AI1036&amp;"."&amp;AJ1036,AK$91:AK1035,0)),AI1036&amp;"."&amp;AJ1036,AI1036&amp;"."&amp;AJ1036&amp;COUNTIFS(AI$91:AI1035,AI1036,AJ$91:AJ1035,AJ1036))</f>
        <v>41110.NA</v>
      </c>
    </row>
    <row r="1037" spans="1:37" ht="15" hidden="1">
      <c r="A1037" s="120">
        <f>ROW()</f>
        <v>1037</v>
      </c>
      <c r="B1037" s="120"/>
      <c r="C1037" s="1"/>
      <c r="E1037" s="121" t="s">
        <v>12</v>
      </c>
      <c r="F1037" s="138" t="str">
        <f>INDEX(FuncAllocOptions,ROW(A1037)-ROW($A$92)+1,[4]Inputs!$S$11)</f>
        <v>GP</v>
      </c>
      <c r="G1037" s="117" t="e">
        <f t="shared" ref="G1037:G1052" si="559">SUMIF(FERCJAMFactor,AK1037,JAMValue)</f>
        <v>#VALUE!</v>
      </c>
      <c r="H1037" s="116" t="e">
        <f t="shared" ref="H1037:L1046" si="560">INDEX(FuncFactorTbl,MATCH($F1037,FuncFactors,0),MATCH(H$8,Functions,0))*$G1037</f>
        <v>#VALUE!</v>
      </c>
      <c r="I1037" s="116" t="e">
        <f t="shared" si="560"/>
        <v>#VALUE!</v>
      </c>
      <c r="J1037" s="116" t="e">
        <f t="shared" si="560"/>
        <v>#VALUE!</v>
      </c>
      <c r="K1037" s="116" t="e">
        <f t="shared" si="560"/>
        <v>#VALUE!</v>
      </c>
      <c r="L1037" s="116" t="e">
        <f t="shared" si="560"/>
        <v>#VALUE!</v>
      </c>
      <c r="N1037" s="108">
        <v>0.75</v>
      </c>
      <c r="O1037" s="116" t="e">
        <f t="shared" ref="O1037:O1052" si="561">$H1037*$N1037*$M1037</f>
        <v>#VALUE!</v>
      </c>
      <c r="P1037" s="116" t="e">
        <f t="shared" ref="P1037:P1052" si="562">$H1037*(1-$N1037)*$M1037</f>
        <v>#VALUE!</v>
      </c>
      <c r="Q1037" s="116" t="e">
        <f t="shared" ref="Q1037:Q1052" si="563">$H1037*$N1037*(1-$M1037)</f>
        <v>#VALUE!</v>
      </c>
      <c r="R1037" s="116" t="e">
        <f t="shared" ref="R1037:R1052" si="564">$H1037*(1-$N1037)*(1-$M1037)</f>
        <v>#VALUE!</v>
      </c>
      <c r="S1037" s="108">
        <v>0.75</v>
      </c>
      <c r="T1037" s="116" t="e">
        <f t="shared" ref="T1037:T1052" si="565">$I1037*$S1037*$M1037</f>
        <v>#VALUE!</v>
      </c>
      <c r="U1037" s="116" t="e">
        <f t="shared" ref="U1037:U1052" si="566">$I1037*(1-$S1037)*$M1037</f>
        <v>#VALUE!</v>
      </c>
      <c r="V1037" s="116" t="e">
        <f t="shared" ref="V1037:V1052" si="567">$I1037*$S1037*(1-$M1037)</f>
        <v>#VALUE!</v>
      </c>
      <c r="W1037" s="116" t="e">
        <f t="shared" ref="W1037:W1052" si="568">$I1037*(1-$S1037)*(1-$M1037)</f>
        <v>#VALUE!</v>
      </c>
      <c r="X1037" s="3" t="str">
        <f>INDEX(DistFuncAllocOptions,ROW(A1037)-ROW($A$92)+1,[4]Inputs!$S$11)</f>
        <v>PLNT</v>
      </c>
      <c r="Y1037" s="116" t="e">
        <f t="shared" ref="Y1037:AC1046" si="569">INDEX(DistFuncFactorTbl,MATCH($X1037,DistFuncFactors,0),MATCH(Y$91,DistFunctions,0))*$J1037</f>
        <v>#VALUE!</v>
      </c>
      <c r="Z1037" s="116" t="e">
        <f t="shared" si="569"/>
        <v>#VALUE!</v>
      </c>
      <c r="AA1037" s="116" t="e">
        <f t="shared" si="569"/>
        <v>#VALUE!</v>
      </c>
      <c r="AB1037" s="116" t="e">
        <f t="shared" si="569"/>
        <v>#VALUE!</v>
      </c>
      <c r="AC1037" s="116" t="e">
        <f t="shared" si="569"/>
        <v>#VALUE!</v>
      </c>
      <c r="AD1037" s="117" t="e">
        <f t="shared" ref="AD1037:AD1053" si="570">ROUND(SUM(-G1037,H1037:L1037),0)</f>
        <v>#VALUE!</v>
      </c>
      <c r="AE1037" s="117" t="e">
        <f t="shared" ref="AE1037:AE1053" si="571">ROUND(H1037-O1037-P1037-Q1037-R1037,0)</f>
        <v>#VALUE!</v>
      </c>
      <c r="AF1037" s="117" t="e">
        <f t="shared" ref="AF1037:AF1053" si="572">ROUND(I1037-T1037-U1037-V1037-W1037,0)</f>
        <v>#VALUE!</v>
      </c>
      <c r="AG1037" s="117" t="e">
        <f t="shared" ref="AG1037:AG1053" si="573">ROUND(J1037-Y1037-Z1037-AA1037-AC1037-AB1037,0)</f>
        <v>#VALUE!</v>
      </c>
      <c r="AH1037" s="116"/>
      <c r="AI1037">
        <f t="shared" si="539"/>
        <v>41110</v>
      </c>
      <c r="AJ1037" t="str">
        <f t="shared" si="519"/>
        <v>S</v>
      </c>
      <c r="AK1037" t="str">
        <f>IF(ISERROR(MATCH(AI1037&amp;"."&amp;AJ1037,AK$91:AK1036,0)),AI1037&amp;"."&amp;AJ1037,AI1037&amp;"."&amp;AJ1037&amp;COUNTIFS(AI$91:AI1036,AI1037,AJ$91:AJ1036,AJ1037))</f>
        <v>41110.S</v>
      </c>
    </row>
    <row r="1038" spans="1:37" ht="15" hidden="1">
      <c r="A1038" s="120">
        <f>ROW()</f>
        <v>1038</v>
      </c>
      <c r="B1038" s="120"/>
      <c r="C1038" s="1"/>
      <c r="E1038" s="121" t="s">
        <v>16</v>
      </c>
      <c r="F1038" s="138" t="str">
        <f>INDEX(FuncAllocOptions,ROW(A1038)-ROW($A$92)+1,[4]Inputs!$S$11)</f>
        <v>P</v>
      </c>
      <c r="G1038" s="117" t="e">
        <f t="shared" si="559"/>
        <v>#VALUE!</v>
      </c>
      <c r="H1038" s="116" t="e">
        <f t="shared" si="560"/>
        <v>#VALUE!</v>
      </c>
      <c r="I1038" s="116" t="e">
        <f t="shared" si="560"/>
        <v>#VALUE!</v>
      </c>
      <c r="J1038" s="116" t="e">
        <f t="shared" si="560"/>
        <v>#VALUE!</v>
      </c>
      <c r="K1038" s="116" t="e">
        <f t="shared" si="560"/>
        <v>#VALUE!</v>
      </c>
      <c r="L1038" s="116" t="e">
        <f t="shared" si="560"/>
        <v>#VALUE!</v>
      </c>
      <c r="N1038" s="108">
        <v>0.75</v>
      </c>
      <c r="O1038" s="116" t="e">
        <f t="shared" si="561"/>
        <v>#VALUE!</v>
      </c>
      <c r="P1038" s="116" t="e">
        <f t="shared" si="562"/>
        <v>#VALUE!</v>
      </c>
      <c r="Q1038" s="116" t="e">
        <f t="shared" si="563"/>
        <v>#VALUE!</v>
      </c>
      <c r="R1038" s="116" t="e">
        <f t="shared" si="564"/>
        <v>#VALUE!</v>
      </c>
      <c r="S1038" s="108">
        <v>0.75</v>
      </c>
      <c r="T1038" s="116" t="e">
        <f t="shared" si="565"/>
        <v>#VALUE!</v>
      </c>
      <c r="U1038" s="116" t="e">
        <f t="shared" si="566"/>
        <v>#VALUE!</v>
      </c>
      <c r="V1038" s="116" t="e">
        <f t="shared" si="567"/>
        <v>#VALUE!</v>
      </c>
      <c r="W1038" s="116" t="e">
        <f t="shared" si="568"/>
        <v>#VALUE!</v>
      </c>
      <c r="X1038" s="3" t="str">
        <f>INDEX(DistFuncAllocOptions,ROW(A1038)-ROW($A$92)+1,[4]Inputs!$S$11)</f>
        <v>PLNT</v>
      </c>
      <c r="Y1038" s="116" t="e">
        <f t="shared" si="569"/>
        <v>#VALUE!</v>
      </c>
      <c r="Z1038" s="116" t="e">
        <f t="shared" si="569"/>
        <v>#VALUE!</v>
      </c>
      <c r="AA1038" s="116" t="e">
        <f t="shared" si="569"/>
        <v>#VALUE!</v>
      </c>
      <c r="AB1038" s="116" t="e">
        <f t="shared" si="569"/>
        <v>#VALUE!</v>
      </c>
      <c r="AC1038" s="116" t="e">
        <f t="shared" si="569"/>
        <v>#VALUE!</v>
      </c>
      <c r="AD1038" s="117" t="e">
        <f t="shared" si="570"/>
        <v>#VALUE!</v>
      </c>
      <c r="AE1038" s="117" t="e">
        <f t="shared" si="571"/>
        <v>#VALUE!</v>
      </c>
      <c r="AF1038" s="117" t="e">
        <f t="shared" si="572"/>
        <v>#VALUE!</v>
      </c>
      <c r="AG1038" s="117" t="e">
        <f t="shared" si="573"/>
        <v>#VALUE!</v>
      </c>
      <c r="AH1038" s="116"/>
      <c r="AI1038">
        <f t="shared" si="539"/>
        <v>41110</v>
      </c>
      <c r="AJ1038" t="str">
        <f t="shared" si="519"/>
        <v>SE</v>
      </c>
      <c r="AK1038" t="str">
        <f>IF(ISERROR(MATCH(AI1038&amp;"."&amp;AJ1038,AK$91:AK1037,0)),AI1038&amp;"."&amp;AJ1038,AI1038&amp;"."&amp;AJ1038&amp;COUNTIFS(AI$91:AI1037,AI1038,AJ$91:AJ1037,AJ1038))</f>
        <v>41110.SE</v>
      </c>
    </row>
    <row r="1039" spans="1:37" ht="15" hidden="1">
      <c r="A1039" s="120">
        <f>ROW()</f>
        <v>1039</v>
      </c>
      <c r="B1039" s="120"/>
      <c r="C1039" s="1"/>
      <c r="E1039" s="121" t="s">
        <v>15</v>
      </c>
      <c r="F1039" s="138" t="str">
        <f>INDEX(FuncAllocOptions,ROW(A1039)-ROW($A$92)+1,[4]Inputs!$S$11)</f>
        <v>PT</v>
      </c>
      <c r="G1039" s="117" t="e">
        <f t="shared" si="559"/>
        <v>#VALUE!</v>
      </c>
      <c r="H1039" s="116" t="e">
        <f t="shared" si="560"/>
        <v>#VALUE!</v>
      </c>
      <c r="I1039" s="116" t="e">
        <f t="shared" si="560"/>
        <v>#VALUE!</v>
      </c>
      <c r="J1039" s="116" t="e">
        <f t="shared" si="560"/>
        <v>#VALUE!</v>
      </c>
      <c r="K1039" s="116" t="e">
        <f t="shared" si="560"/>
        <v>#VALUE!</v>
      </c>
      <c r="L1039" s="116" t="e">
        <f t="shared" si="560"/>
        <v>#VALUE!</v>
      </c>
      <c r="N1039" s="108">
        <v>0.75</v>
      </c>
      <c r="O1039" s="116" t="e">
        <f t="shared" si="561"/>
        <v>#VALUE!</v>
      </c>
      <c r="P1039" s="116" t="e">
        <f t="shared" si="562"/>
        <v>#VALUE!</v>
      </c>
      <c r="Q1039" s="116" t="e">
        <f t="shared" si="563"/>
        <v>#VALUE!</v>
      </c>
      <c r="R1039" s="116" t="e">
        <f t="shared" si="564"/>
        <v>#VALUE!</v>
      </c>
      <c r="S1039" s="108">
        <v>0.75</v>
      </c>
      <c r="T1039" s="116" t="e">
        <f t="shared" si="565"/>
        <v>#VALUE!</v>
      </c>
      <c r="U1039" s="116" t="e">
        <f t="shared" si="566"/>
        <v>#VALUE!</v>
      </c>
      <c r="V1039" s="116" t="e">
        <f t="shared" si="567"/>
        <v>#VALUE!</v>
      </c>
      <c r="W1039" s="116" t="e">
        <f t="shared" si="568"/>
        <v>#VALUE!</v>
      </c>
      <c r="X1039" s="3" t="str">
        <f>INDEX(DistFuncAllocOptions,ROW(A1039)-ROW($A$92)+1,[4]Inputs!$S$11)</f>
        <v>PLNT</v>
      </c>
      <c r="Y1039" s="116" t="e">
        <f t="shared" si="569"/>
        <v>#VALUE!</v>
      </c>
      <c r="Z1039" s="116" t="e">
        <f t="shared" si="569"/>
        <v>#VALUE!</v>
      </c>
      <c r="AA1039" s="116" t="e">
        <f t="shared" si="569"/>
        <v>#VALUE!</v>
      </c>
      <c r="AB1039" s="116" t="e">
        <f t="shared" si="569"/>
        <v>#VALUE!</v>
      </c>
      <c r="AC1039" s="116" t="e">
        <f t="shared" si="569"/>
        <v>#VALUE!</v>
      </c>
      <c r="AD1039" s="117" t="e">
        <f t="shared" si="570"/>
        <v>#VALUE!</v>
      </c>
      <c r="AE1039" s="117" t="e">
        <f t="shared" si="571"/>
        <v>#VALUE!</v>
      </c>
      <c r="AF1039" s="117" t="e">
        <f t="shared" si="572"/>
        <v>#VALUE!</v>
      </c>
      <c r="AG1039" s="117" t="e">
        <f t="shared" si="573"/>
        <v>#VALUE!</v>
      </c>
      <c r="AH1039" s="116"/>
      <c r="AI1039">
        <f t="shared" si="539"/>
        <v>41110</v>
      </c>
      <c r="AJ1039" t="str">
        <f t="shared" si="519"/>
        <v>SG</v>
      </c>
      <c r="AK1039" t="str">
        <f>IF(ISERROR(MATCH(AI1039&amp;"."&amp;AJ1039,AK$91:AK1038,0)),AI1039&amp;"."&amp;AJ1039,AI1039&amp;"."&amp;AJ1039&amp;COUNTIFS(AI$91:AI1038,AI1039,AJ$91:AJ1038,AJ1039))</f>
        <v>41110.SG</v>
      </c>
    </row>
    <row r="1040" spans="1:37" ht="15" hidden="1">
      <c r="A1040" s="120">
        <f>ROW()</f>
        <v>1040</v>
      </c>
      <c r="B1040" s="120"/>
      <c r="C1040" s="1"/>
      <c r="E1040" s="121" t="s">
        <v>433</v>
      </c>
      <c r="F1040" s="138" t="str">
        <f>INDEX(FuncAllocOptions,ROW(A1040)-ROW($A$92)+1,[4]Inputs!$S$11)</f>
        <v>GP</v>
      </c>
      <c r="G1040" s="117" t="e">
        <f t="shared" si="559"/>
        <v>#VALUE!</v>
      </c>
      <c r="H1040" s="116" t="e">
        <f t="shared" si="560"/>
        <v>#VALUE!</v>
      </c>
      <c r="I1040" s="116" t="e">
        <f t="shared" si="560"/>
        <v>#VALUE!</v>
      </c>
      <c r="J1040" s="116" t="e">
        <f t="shared" si="560"/>
        <v>#VALUE!</v>
      </c>
      <c r="K1040" s="116" t="e">
        <f t="shared" si="560"/>
        <v>#VALUE!</v>
      </c>
      <c r="L1040" s="116" t="e">
        <f t="shared" si="560"/>
        <v>#VALUE!</v>
      </c>
      <c r="N1040" s="108">
        <v>0.75</v>
      </c>
      <c r="O1040" s="116" t="e">
        <f t="shared" si="561"/>
        <v>#VALUE!</v>
      </c>
      <c r="P1040" s="116" t="e">
        <f t="shared" si="562"/>
        <v>#VALUE!</v>
      </c>
      <c r="Q1040" s="116" t="e">
        <f t="shared" si="563"/>
        <v>#VALUE!</v>
      </c>
      <c r="R1040" s="116" t="e">
        <f t="shared" si="564"/>
        <v>#VALUE!</v>
      </c>
      <c r="S1040" s="108">
        <v>0.75</v>
      </c>
      <c r="T1040" s="116" t="e">
        <f t="shared" si="565"/>
        <v>#VALUE!</v>
      </c>
      <c r="U1040" s="116" t="e">
        <f t="shared" si="566"/>
        <v>#VALUE!</v>
      </c>
      <c r="V1040" s="116" t="e">
        <f t="shared" si="567"/>
        <v>#VALUE!</v>
      </c>
      <c r="W1040" s="116" t="e">
        <f t="shared" si="568"/>
        <v>#VALUE!</v>
      </c>
      <c r="X1040" s="3" t="str">
        <f>INDEX(DistFuncAllocOptions,ROW(A1040)-ROW($A$92)+1,[4]Inputs!$S$11)</f>
        <v>PLNT</v>
      </c>
      <c r="Y1040" s="116" t="e">
        <f t="shared" si="569"/>
        <v>#VALUE!</v>
      </c>
      <c r="Z1040" s="116" t="e">
        <f t="shared" si="569"/>
        <v>#VALUE!</v>
      </c>
      <c r="AA1040" s="116" t="e">
        <f t="shared" si="569"/>
        <v>#VALUE!</v>
      </c>
      <c r="AB1040" s="116" t="e">
        <f t="shared" si="569"/>
        <v>#VALUE!</v>
      </c>
      <c r="AC1040" s="116" t="e">
        <f t="shared" si="569"/>
        <v>#VALUE!</v>
      </c>
      <c r="AD1040" s="117" t="e">
        <f t="shared" si="570"/>
        <v>#VALUE!</v>
      </c>
      <c r="AE1040" s="117" t="e">
        <f t="shared" si="571"/>
        <v>#VALUE!</v>
      </c>
      <c r="AF1040" s="117" t="e">
        <f t="shared" si="572"/>
        <v>#VALUE!</v>
      </c>
      <c r="AG1040" s="117" t="e">
        <f t="shared" si="573"/>
        <v>#VALUE!</v>
      </c>
      <c r="AH1040" s="116"/>
      <c r="AI1040">
        <f t="shared" si="539"/>
        <v>41110</v>
      </c>
      <c r="AJ1040" t="str">
        <f t="shared" si="519"/>
        <v>SNP</v>
      </c>
      <c r="AK1040" t="str">
        <f>IF(ISERROR(MATCH(AI1040&amp;"."&amp;AJ1040,AK$91:AK1039,0)),AI1040&amp;"."&amp;AJ1040,AI1040&amp;"."&amp;AJ1040&amp;COUNTIFS(AI$91:AI1039,AI1040,AJ$91:AJ1039,AJ1040))</f>
        <v>41110.SNP</v>
      </c>
    </row>
    <row r="1041" spans="1:37" ht="15" hidden="1">
      <c r="A1041" s="120">
        <f>ROW()</f>
        <v>1041</v>
      </c>
      <c r="B1041" s="120"/>
      <c r="C1041" s="1"/>
      <c r="E1041" s="121" t="s">
        <v>15</v>
      </c>
      <c r="F1041" s="138" t="str">
        <f>INDEX(FuncAllocOptions,ROW(A1041)-ROW($A$92)+1,[4]Inputs!$S$11)</f>
        <v>PT</v>
      </c>
      <c r="G1041" s="117" t="e">
        <f t="shared" si="559"/>
        <v>#VALUE!</v>
      </c>
      <c r="H1041" s="116" t="e">
        <f t="shared" si="560"/>
        <v>#VALUE!</v>
      </c>
      <c r="I1041" s="116" t="e">
        <f t="shared" si="560"/>
        <v>#VALUE!</v>
      </c>
      <c r="J1041" s="116" t="e">
        <f t="shared" si="560"/>
        <v>#VALUE!</v>
      </c>
      <c r="K1041" s="116" t="e">
        <f t="shared" si="560"/>
        <v>#VALUE!</v>
      </c>
      <c r="L1041" s="116" t="e">
        <f t="shared" si="560"/>
        <v>#VALUE!</v>
      </c>
      <c r="N1041" s="108">
        <v>0.75</v>
      </c>
      <c r="O1041" s="116" t="e">
        <f t="shared" si="561"/>
        <v>#VALUE!</v>
      </c>
      <c r="P1041" s="116" t="e">
        <f t="shared" si="562"/>
        <v>#VALUE!</v>
      </c>
      <c r="Q1041" s="116" t="e">
        <f t="shared" si="563"/>
        <v>#VALUE!</v>
      </c>
      <c r="R1041" s="116" t="e">
        <f t="shared" si="564"/>
        <v>#VALUE!</v>
      </c>
      <c r="S1041" s="108">
        <v>0.75</v>
      </c>
      <c r="T1041" s="116" t="e">
        <f t="shared" si="565"/>
        <v>#VALUE!</v>
      </c>
      <c r="U1041" s="116" t="e">
        <f t="shared" si="566"/>
        <v>#VALUE!</v>
      </c>
      <c r="V1041" s="116" t="e">
        <f t="shared" si="567"/>
        <v>#VALUE!</v>
      </c>
      <c r="W1041" s="116" t="e">
        <f t="shared" si="568"/>
        <v>#VALUE!</v>
      </c>
      <c r="X1041" s="3" t="str">
        <f>INDEX(DistFuncAllocOptions,ROW(A1041)-ROW($A$92)+1,[4]Inputs!$S$11)</f>
        <v>PLNT</v>
      </c>
      <c r="Y1041" s="116" t="e">
        <f t="shared" si="569"/>
        <v>#VALUE!</v>
      </c>
      <c r="Z1041" s="116" t="e">
        <f t="shared" si="569"/>
        <v>#VALUE!</v>
      </c>
      <c r="AA1041" s="116" t="e">
        <f t="shared" si="569"/>
        <v>#VALUE!</v>
      </c>
      <c r="AB1041" s="116" t="e">
        <f t="shared" si="569"/>
        <v>#VALUE!</v>
      </c>
      <c r="AC1041" s="116" t="e">
        <f t="shared" si="569"/>
        <v>#VALUE!</v>
      </c>
      <c r="AD1041" s="117" t="e">
        <f t="shared" si="570"/>
        <v>#VALUE!</v>
      </c>
      <c r="AE1041" s="117" t="e">
        <f t="shared" si="571"/>
        <v>#VALUE!</v>
      </c>
      <c r="AF1041" s="117" t="e">
        <f t="shared" si="572"/>
        <v>#VALUE!</v>
      </c>
      <c r="AG1041" s="117" t="e">
        <f t="shared" si="573"/>
        <v>#VALUE!</v>
      </c>
      <c r="AH1041" s="116"/>
      <c r="AI1041">
        <f t="shared" si="539"/>
        <v>41110</v>
      </c>
      <c r="AJ1041" t="str">
        <f t="shared" si="519"/>
        <v>SG</v>
      </c>
      <c r="AK1041" t="str">
        <f>IF(ISERROR(MATCH(AI1041&amp;"."&amp;AJ1041,AK$91:AK1040,0)),AI1041&amp;"."&amp;AJ1041,AI1041&amp;"."&amp;AJ1041&amp;COUNTIFS(AI$91:AI1040,AI1041,AJ$91:AJ1040,AJ1041))</f>
        <v>41110.SG1</v>
      </c>
    </row>
    <row r="1042" spans="1:37" ht="15" hidden="1">
      <c r="A1042" s="120">
        <f>ROW()</f>
        <v>1042</v>
      </c>
      <c r="B1042" s="120"/>
      <c r="C1042" s="1"/>
      <c r="E1042" s="121" t="s">
        <v>423</v>
      </c>
      <c r="F1042" s="138" t="str">
        <f>INDEX(FuncAllocOptions,ROW(A1042)-ROW($A$92)+1,[4]Inputs!$S$11)</f>
        <v>GP</v>
      </c>
      <c r="G1042" s="117" t="e">
        <f t="shared" si="559"/>
        <v>#VALUE!</v>
      </c>
      <c r="H1042" s="116" t="e">
        <f t="shared" si="560"/>
        <v>#VALUE!</v>
      </c>
      <c r="I1042" s="116" t="e">
        <f t="shared" si="560"/>
        <v>#VALUE!</v>
      </c>
      <c r="J1042" s="116" t="e">
        <f t="shared" si="560"/>
        <v>#VALUE!</v>
      </c>
      <c r="K1042" s="116" t="e">
        <f t="shared" si="560"/>
        <v>#VALUE!</v>
      </c>
      <c r="L1042" s="116" t="e">
        <f t="shared" si="560"/>
        <v>#VALUE!</v>
      </c>
      <c r="N1042" s="108">
        <v>0.75</v>
      </c>
      <c r="O1042" s="116" t="e">
        <f t="shared" si="561"/>
        <v>#VALUE!</v>
      </c>
      <c r="P1042" s="116" t="e">
        <f t="shared" si="562"/>
        <v>#VALUE!</v>
      </c>
      <c r="Q1042" s="116" t="e">
        <f t="shared" si="563"/>
        <v>#VALUE!</v>
      </c>
      <c r="R1042" s="116" t="e">
        <f t="shared" si="564"/>
        <v>#VALUE!</v>
      </c>
      <c r="S1042" s="108">
        <v>0.75</v>
      </c>
      <c r="T1042" s="116" t="e">
        <f t="shared" si="565"/>
        <v>#VALUE!</v>
      </c>
      <c r="U1042" s="116" t="e">
        <f t="shared" si="566"/>
        <v>#VALUE!</v>
      </c>
      <c r="V1042" s="116" t="e">
        <f t="shared" si="567"/>
        <v>#VALUE!</v>
      </c>
      <c r="W1042" s="116" t="e">
        <f t="shared" si="568"/>
        <v>#VALUE!</v>
      </c>
      <c r="X1042" s="3" t="str">
        <f>INDEX(DistFuncAllocOptions,ROW(A1042)-ROW($A$92)+1,[4]Inputs!$S$11)</f>
        <v>PLNT</v>
      </c>
      <c r="Y1042" s="116" t="e">
        <f t="shared" si="569"/>
        <v>#VALUE!</v>
      </c>
      <c r="Z1042" s="116" t="e">
        <f t="shared" si="569"/>
        <v>#VALUE!</v>
      </c>
      <c r="AA1042" s="116" t="e">
        <f t="shared" si="569"/>
        <v>#VALUE!</v>
      </c>
      <c r="AB1042" s="116" t="e">
        <f t="shared" si="569"/>
        <v>#VALUE!</v>
      </c>
      <c r="AC1042" s="116" t="e">
        <f t="shared" si="569"/>
        <v>#VALUE!</v>
      </c>
      <c r="AD1042" s="117" t="e">
        <f t="shared" si="570"/>
        <v>#VALUE!</v>
      </c>
      <c r="AE1042" s="117" t="e">
        <f t="shared" si="571"/>
        <v>#VALUE!</v>
      </c>
      <c r="AF1042" s="117" t="e">
        <f t="shared" si="572"/>
        <v>#VALUE!</v>
      </c>
      <c r="AG1042" s="117" t="e">
        <f t="shared" si="573"/>
        <v>#VALUE!</v>
      </c>
      <c r="AH1042" s="116"/>
      <c r="AI1042">
        <f t="shared" si="539"/>
        <v>41110</v>
      </c>
      <c r="AJ1042" t="str">
        <f t="shared" si="519"/>
        <v>GPS</v>
      </c>
      <c r="AK1042" t="str">
        <f>IF(ISERROR(MATCH(AI1042&amp;"."&amp;AJ1042,AK$91:AK1041,0)),AI1042&amp;"."&amp;AJ1042,AI1042&amp;"."&amp;AJ1042&amp;COUNTIFS(AI$91:AI1041,AI1042,AJ$91:AJ1041,AJ1042))</f>
        <v>41110.GPS</v>
      </c>
    </row>
    <row r="1043" spans="1:37" ht="15" hidden="1">
      <c r="A1043" s="120">
        <f>ROW()</f>
        <v>1043</v>
      </c>
      <c r="B1043" s="120"/>
      <c r="C1043" s="1"/>
      <c r="E1043" s="121" t="s">
        <v>136</v>
      </c>
      <c r="F1043" s="138" t="str">
        <f>INDEX(FuncAllocOptions,ROW(A1043)-ROW($A$92)+1,[4]Inputs!$S$11)</f>
        <v>LABOR</v>
      </c>
      <c r="G1043" s="117" t="e">
        <f t="shared" si="559"/>
        <v>#VALUE!</v>
      </c>
      <c r="H1043" s="116" t="e">
        <f t="shared" si="560"/>
        <v>#VALUE!</v>
      </c>
      <c r="I1043" s="116" t="e">
        <f t="shared" si="560"/>
        <v>#VALUE!</v>
      </c>
      <c r="J1043" s="116" t="e">
        <f t="shared" si="560"/>
        <v>#VALUE!</v>
      </c>
      <c r="K1043" s="116" t="e">
        <f t="shared" si="560"/>
        <v>#VALUE!</v>
      </c>
      <c r="L1043" s="116" t="e">
        <f t="shared" si="560"/>
        <v>#VALUE!</v>
      </c>
      <c r="N1043" s="108">
        <v>0.75</v>
      </c>
      <c r="O1043" s="116" t="e">
        <f t="shared" si="561"/>
        <v>#VALUE!</v>
      </c>
      <c r="P1043" s="116" t="e">
        <f t="shared" si="562"/>
        <v>#VALUE!</v>
      </c>
      <c r="Q1043" s="116" t="e">
        <f t="shared" si="563"/>
        <v>#VALUE!</v>
      </c>
      <c r="R1043" s="116" t="e">
        <f t="shared" si="564"/>
        <v>#VALUE!</v>
      </c>
      <c r="S1043" s="108">
        <v>0.75</v>
      </c>
      <c r="T1043" s="116" t="e">
        <f t="shared" si="565"/>
        <v>#VALUE!</v>
      </c>
      <c r="U1043" s="116" t="e">
        <f t="shared" si="566"/>
        <v>#VALUE!</v>
      </c>
      <c r="V1043" s="116" t="e">
        <f t="shared" si="567"/>
        <v>#VALUE!</v>
      </c>
      <c r="W1043" s="116" t="e">
        <f t="shared" si="568"/>
        <v>#VALUE!</v>
      </c>
      <c r="X1043" s="3" t="str">
        <f>INDEX(DistFuncAllocOptions,ROW(A1043)-ROW($A$92)+1,[4]Inputs!$S$11)</f>
        <v>DISom</v>
      </c>
      <c r="Y1043" s="116" t="e">
        <f t="shared" si="569"/>
        <v>#VALUE!</v>
      </c>
      <c r="Z1043" s="116" t="e">
        <f t="shared" si="569"/>
        <v>#VALUE!</v>
      </c>
      <c r="AA1043" s="116" t="e">
        <f t="shared" si="569"/>
        <v>#VALUE!</v>
      </c>
      <c r="AB1043" s="116" t="e">
        <f t="shared" si="569"/>
        <v>#VALUE!</v>
      </c>
      <c r="AC1043" s="116" t="e">
        <f t="shared" si="569"/>
        <v>#VALUE!</v>
      </c>
      <c r="AD1043" s="117" t="e">
        <f t="shared" si="570"/>
        <v>#VALUE!</v>
      </c>
      <c r="AE1043" s="117" t="e">
        <f t="shared" si="571"/>
        <v>#VALUE!</v>
      </c>
      <c r="AF1043" s="117" t="e">
        <f t="shared" si="572"/>
        <v>#VALUE!</v>
      </c>
      <c r="AG1043" s="117" t="e">
        <f t="shared" si="573"/>
        <v>#VALUE!</v>
      </c>
      <c r="AH1043" s="116"/>
      <c r="AI1043">
        <f t="shared" si="539"/>
        <v>41110</v>
      </c>
      <c r="AJ1043" t="str">
        <f t="shared" si="519"/>
        <v>SO</v>
      </c>
      <c r="AK1043" t="str">
        <f>IF(ISERROR(MATCH(AI1043&amp;"."&amp;AJ1043,AK$91:AK1042,0)),AI1043&amp;"."&amp;AJ1043,AI1043&amp;"."&amp;AJ1043&amp;COUNTIFS(AI$91:AI1042,AI1043,AJ$91:AJ1042,AJ1043))</f>
        <v>41110.SO</v>
      </c>
    </row>
    <row r="1044" spans="1:37" ht="15" hidden="1">
      <c r="A1044" s="120">
        <f>ROW()</f>
        <v>1044</v>
      </c>
      <c r="B1044" s="120"/>
      <c r="C1044" s="1"/>
      <c r="E1044" s="121" t="s">
        <v>321</v>
      </c>
      <c r="F1044" s="138" t="str">
        <f>INDEX(FuncAllocOptions,ROW(A1044)-ROW($A$92)+1,[4]Inputs!$S$11)</f>
        <v>PT</v>
      </c>
      <c r="G1044" s="117" t="e">
        <f t="shared" si="559"/>
        <v>#VALUE!</v>
      </c>
      <c r="H1044" s="116" t="e">
        <f t="shared" si="560"/>
        <v>#VALUE!</v>
      </c>
      <c r="I1044" s="116" t="e">
        <f t="shared" si="560"/>
        <v>#VALUE!</v>
      </c>
      <c r="J1044" s="116" t="e">
        <f t="shared" si="560"/>
        <v>#VALUE!</v>
      </c>
      <c r="K1044" s="116" t="e">
        <f t="shared" si="560"/>
        <v>#VALUE!</v>
      </c>
      <c r="L1044" s="116" t="e">
        <f t="shared" si="560"/>
        <v>#VALUE!</v>
      </c>
      <c r="N1044" s="108">
        <v>0.75</v>
      </c>
      <c r="O1044" s="116" t="e">
        <f t="shared" si="561"/>
        <v>#VALUE!</v>
      </c>
      <c r="P1044" s="116" t="e">
        <f t="shared" si="562"/>
        <v>#VALUE!</v>
      </c>
      <c r="Q1044" s="116" t="e">
        <f t="shared" si="563"/>
        <v>#VALUE!</v>
      </c>
      <c r="R1044" s="116" t="e">
        <f t="shared" si="564"/>
        <v>#VALUE!</v>
      </c>
      <c r="S1044" s="108">
        <v>0.75</v>
      </c>
      <c r="T1044" s="116" t="e">
        <f t="shared" si="565"/>
        <v>#VALUE!</v>
      </c>
      <c r="U1044" s="116" t="e">
        <f t="shared" si="566"/>
        <v>#VALUE!</v>
      </c>
      <c r="V1044" s="116" t="e">
        <f t="shared" si="567"/>
        <v>#VALUE!</v>
      </c>
      <c r="W1044" s="116" t="e">
        <f t="shared" si="568"/>
        <v>#VALUE!</v>
      </c>
      <c r="X1044" s="3" t="str">
        <f>INDEX(DistFuncAllocOptions,ROW(A1044)-ROW($A$92)+1,[4]Inputs!$S$11)</f>
        <v>PLNT</v>
      </c>
      <c r="Y1044" s="116" t="e">
        <f t="shared" si="569"/>
        <v>#VALUE!</v>
      </c>
      <c r="Z1044" s="116" t="e">
        <f t="shared" si="569"/>
        <v>#VALUE!</v>
      </c>
      <c r="AA1044" s="116" t="e">
        <f t="shared" si="569"/>
        <v>#VALUE!</v>
      </c>
      <c r="AB1044" s="116" t="e">
        <f t="shared" si="569"/>
        <v>#VALUE!</v>
      </c>
      <c r="AC1044" s="116" t="e">
        <f t="shared" si="569"/>
        <v>#VALUE!</v>
      </c>
      <c r="AD1044" s="117" t="e">
        <f t="shared" si="570"/>
        <v>#VALUE!</v>
      </c>
      <c r="AE1044" s="117" t="e">
        <f t="shared" si="571"/>
        <v>#VALUE!</v>
      </c>
      <c r="AF1044" s="117" t="e">
        <f t="shared" si="572"/>
        <v>#VALUE!</v>
      </c>
      <c r="AG1044" s="117" t="e">
        <f t="shared" si="573"/>
        <v>#VALUE!</v>
      </c>
      <c r="AH1044" s="116"/>
      <c r="AI1044">
        <f t="shared" si="539"/>
        <v>41110</v>
      </c>
      <c r="AJ1044" t="str">
        <f t="shared" si="519"/>
        <v>SNPD</v>
      </c>
      <c r="AK1044" t="str">
        <f>IF(ISERROR(MATCH(AI1044&amp;"."&amp;AJ1044,AK$91:AK1043,0)),AI1044&amp;"."&amp;AJ1044,AI1044&amp;"."&amp;AJ1044&amp;COUNTIFS(AI$91:AI1043,AI1044,AJ$91:AJ1043,AJ1044))</f>
        <v>41110.SNPD</v>
      </c>
    </row>
    <row r="1045" spans="1:37" ht="15" hidden="1">
      <c r="A1045" s="120">
        <f>ROW()</f>
        <v>1045</v>
      </c>
      <c r="B1045" s="120"/>
      <c r="C1045" s="1"/>
      <c r="E1045" s="121" t="s">
        <v>449</v>
      </c>
      <c r="F1045" s="138" t="str">
        <f>INDEX(FuncAllocOptions,ROW(A1045)-ROW($A$92)+1,[4]Inputs!$S$11)</f>
        <v>CUST</v>
      </c>
      <c r="G1045" s="117" t="e">
        <f t="shared" si="559"/>
        <v>#VALUE!</v>
      </c>
      <c r="H1045" s="116" t="e">
        <f t="shared" si="560"/>
        <v>#VALUE!</v>
      </c>
      <c r="I1045" s="116" t="e">
        <f t="shared" si="560"/>
        <v>#VALUE!</v>
      </c>
      <c r="J1045" s="116" t="e">
        <f t="shared" si="560"/>
        <v>#VALUE!</v>
      </c>
      <c r="K1045" s="116" t="e">
        <f t="shared" si="560"/>
        <v>#VALUE!</v>
      </c>
      <c r="L1045" s="116" t="e">
        <f t="shared" si="560"/>
        <v>#VALUE!</v>
      </c>
      <c r="N1045" s="108">
        <v>0.75</v>
      </c>
      <c r="O1045" s="116" t="e">
        <f t="shared" si="561"/>
        <v>#VALUE!</v>
      </c>
      <c r="P1045" s="116" t="e">
        <f t="shared" si="562"/>
        <v>#VALUE!</v>
      </c>
      <c r="Q1045" s="116" t="e">
        <f t="shared" si="563"/>
        <v>#VALUE!</v>
      </c>
      <c r="R1045" s="116" t="e">
        <f t="shared" si="564"/>
        <v>#VALUE!</v>
      </c>
      <c r="S1045" s="108">
        <v>0.75</v>
      </c>
      <c r="T1045" s="116" t="e">
        <f t="shared" si="565"/>
        <v>#VALUE!</v>
      </c>
      <c r="U1045" s="116" t="e">
        <f t="shared" si="566"/>
        <v>#VALUE!</v>
      </c>
      <c r="V1045" s="116" t="e">
        <f t="shared" si="567"/>
        <v>#VALUE!</v>
      </c>
      <c r="W1045" s="116" t="e">
        <f t="shared" si="568"/>
        <v>#VALUE!</v>
      </c>
      <c r="X1045" s="3" t="str">
        <f>INDEX(DistFuncAllocOptions,ROW(A1045)-ROW($A$92)+1,[4]Inputs!$S$11)</f>
        <v>PLNT</v>
      </c>
      <c r="Y1045" s="116" t="e">
        <f t="shared" si="569"/>
        <v>#VALUE!</v>
      </c>
      <c r="Z1045" s="116" t="e">
        <f t="shared" si="569"/>
        <v>#VALUE!</v>
      </c>
      <c r="AA1045" s="116" t="e">
        <f t="shared" si="569"/>
        <v>#VALUE!</v>
      </c>
      <c r="AB1045" s="116" t="e">
        <f t="shared" si="569"/>
        <v>#VALUE!</v>
      </c>
      <c r="AC1045" s="116" t="e">
        <f t="shared" si="569"/>
        <v>#VALUE!</v>
      </c>
      <c r="AD1045" s="117" t="e">
        <f t="shared" si="570"/>
        <v>#VALUE!</v>
      </c>
      <c r="AE1045" s="117" t="e">
        <f t="shared" si="571"/>
        <v>#VALUE!</v>
      </c>
      <c r="AF1045" s="117" t="e">
        <f t="shared" si="572"/>
        <v>#VALUE!</v>
      </c>
      <c r="AG1045" s="117" t="e">
        <f t="shared" si="573"/>
        <v>#VALUE!</v>
      </c>
      <c r="AH1045" s="116"/>
      <c r="AI1045">
        <f t="shared" si="539"/>
        <v>41110</v>
      </c>
      <c r="AJ1045" t="str">
        <f t="shared" si="519"/>
        <v>BADDEBT</v>
      </c>
      <c r="AK1045" t="str">
        <f>IF(ISERROR(MATCH(AI1045&amp;"."&amp;AJ1045,AK$91:AK1044,0)),AI1045&amp;"."&amp;AJ1045,AI1045&amp;"."&amp;AJ1045&amp;COUNTIFS(AI$91:AI1044,AI1045,AJ$91:AJ1044,AJ1045))</f>
        <v>41110.BADDEBT</v>
      </c>
    </row>
    <row r="1046" spans="1:37" ht="15" hidden="1">
      <c r="A1046" s="120">
        <f>ROW()</f>
        <v>1046</v>
      </c>
      <c r="B1046" s="120"/>
      <c r="C1046" s="1"/>
      <c r="E1046" s="121" t="s">
        <v>283</v>
      </c>
      <c r="F1046" s="138" t="str">
        <f>INDEX(FuncAllocOptions,ROW(A1046)-ROW($A$92)+1,[4]Inputs!$S$11)</f>
        <v>P</v>
      </c>
      <c r="G1046" s="117" t="e">
        <f t="shared" si="559"/>
        <v>#VALUE!</v>
      </c>
      <c r="H1046" s="116" t="e">
        <f t="shared" si="560"/>
        <v>#VALUE!</v>
      </c>
      <c r="I1046" s="116" t="e">
        <f t="shared" si="560"/>
        <v>#VALUE!</v>
      </c>
      <c r="J1046" s="116" t="e">
        <f t="shared" si="560"/>
        <v>#VALUE!</v>
      </c>
      <c r="K1046" s="116" t="e">
        <f t="shared" si="560"/>
        <v>#VALUE!</v>
      </c>
      <c r="L1046" s="116" t="e">
        <f t="shared" si="560"/>
        <v>#VALUE!</v>
      </c>
      <c r="N1046" s="108">
        <v>0.75</v>
      </c>
      <c r="O1046" s="116" t="e">
        <f t="shared" si="561"/>
        <v>#VALUE!</v>
      </c>
      <c r="P1046" s="116" t="e">
        <f t="shared" si="562"/>
        <v>#VALUE!</v>
      </c>
      <c r="Q1046" s="116" t="e">
        <f t="shared" si="563"/>
        <v>#VALUE!</v>
      </c>
      <c r="R1046" s="116" t="e">
        <f t="shared" si="564"/>
        <v>#VALUE!</v>
      </c>
      <c r="S1046" s="108">
        <v>0.75</v>
      </c>
      <c r="T1046" s="116" t="e">
        <f t="shared" si="565"/>
        <v>#VALUE!</v>
      </c>
      <c r="U1046" s="116" t="e">
        <f t="shared" si="566"/>
        <v>#VALUE!</v>
      </c>
      <c r="V1046" s="116" t="e">
        <f t="shared" si="567"/>
        <v>#VALUE!</v>
      </c>
      <c r="W1046" s="116" t="e">
        <f t="shared" si="568"/>
        <v>#VALUE!</v>
      </c>
      <c r="X1046" s="3" t="str">
        <f>INDEX(DistFuncAllocOptions,ROW(A1046)-ROW($A$92)+1,[4]Inputs!$S$11)</f>
        <v>PLNT</v>
      </c>
      <c r="Y1046" s="116" t="e">
        <f t="shared" si="569"/>
        <v>#VALUE!</v>
      </c>
      <c r="Z1046" s="116" t="e">
        <f t="shared" si="569"/>
        <v>#VALUE!</v>
      </c>
      <c r="AA1046" s="116" t="e">
        <f t="shared" si="569"/>
        <v>#VALUE!</v>
      </c>
      <c r="AB1046" s="116" t="e">
        <f t="shared" si="569"/>
        <v>#VALUE!</v>
      </c>
      <c r="AC1046" s="116" t="e">
        <f t="shared" si="569"/>
        <v>#VALUE!</v>
      </c>
      <c r="AD1046" s="117" t="e">
        <f t="shared" si="570"/>
        <v>#VALUE!</v>
      </c>
      <c r="AE1046" s="117" t="e">
        <f t="shared" si="571"/>
        <v>#VALUE!</v>
      </c>
      <c r="AF1046" s="117" t="e">
        <f t="shared" si="572"/>
        <v>#VALUE!</v>
      </c>
      <c r="AG1046" s="117" t="e">
        <f t="shared" si="573"/>
        <v>#VALUE!</v>
      </c>
      <c r="AH1046" s="116"/>
      <c r="AI1046">
        <f t="shared" si="539"/>
        <v>41110</v>
      </c>
      <c r="AJ1046" t="str">
        <f t="shared" si="519"/>
        <v>SGCT</v>
      </c>
      <c r="AK1046" t="str">
        <f>IF(ISERROR(MATCH(AI1046&amp;"."&amp;AJ1046,AK$91:AK1045,0)),AI1046&amp;"."&amp;AJ1046,AI1046&amp;"."&amp;AJ1046&amp;COUNTIFS(AI$91:AI1045,AI1046,AJ$91:AJ1045,AJ1046))</f>
        <v>41110.SGCT</v>
      </c>
    </row>
    <row r="1047" spans="1:37" ht="15" hidden="1">
      <c r="A1047" s="120">
        <f>ROW()</f>
        <v>1047</v>
      </c>
      <c r="B1047" s="120"/>
      <c r="C1047" s="1"/>
      <c r="E1047" s="121" t="s">
        <v>448</v>
      </c>
      <c r="F1047" s="138" t="str">
        <f>INDEX(FuncAllocOptions,ROW(A1047)-ROW($A$92)+1,[4]Inputs!$S$11)</f>
        <v>DITEXP</v>
      </c>
      <c r="G1047" s="117" t="e">
        <f t="shared" si="559"/>
        <v>#VALUE!</v>
      </c>
      <c r="H1047" s="116" t="e">
        <f t="shared" ref="H1047:L1052" si="574">INDEX(FuncFactorTbl,MATCH($F1047,FuncFactors,0),MATCH(H$8,Functions,0))*$G1047</f>
        <v>#VALUE!</v>
      </c>
      <c r="I1047" s="116" t="e">
        <f t="shared" si="574"/>
        <v>#VALUE!</v>
      </c>
      <c r="J1047" s="116" t="e">
        <f t="shared" si="574"/>
        <v>#VALUE!</v>
      </c>
      <c r="K1047" s="116" t="e">
        <f t="shared" si="574"/>
        <v>#VALUE!</v>
      </c>
      <c r="L1047" s="116" t="e">
        <f t="shared" si="574"/>
        <v>#VALUE!</v>
      </c>
      <c r="N1047" s="108">
        <v>0.75</v>
      </c>
      <c r="O1047" s="116" t="e">
        <f t="shared" si="561"/>
        <v>#VALUE!</v>
      </c>
      <c r="P1047" s="116" t="e">
        <f t="shared" si="562"/>
        <v>#VALUE!</v>
      </c>
      <c r="Q1047" s="116" t="e">
        <f t="shared" si="563"/>
        <v>#VALUE!</v>
      </c>
      <c r="R1047" s="116" t="e">
        <f t="shared" si="564"/>
        <v>#VALUE!</v>
      </c>
      <c r="S1047" s="108">
        <v>0.75</v>
      </c>
      <c r="T1047" s="116" t="e">
        <f t="shared" si="565"/>
        <v>#VALUE!</v>
      </c>
      <c r="U1047" s="116" t="e">
        <f t="shared" si="566"/>
        <v>#VALUE!</v>
      </c>
      <c r="V1047" s="116" t="e">
        <f t="shared" si="567"/>
        <v>#VALUE!</v>
      </c>
      <c r="W1047" s="116" t="e">
        <f t="shared" si="568"/>
        <v>#VALUE!</v>
      </c>
      <c r="X1047" s="3" t="str">
        <f>INDEX(DistFuncAllocOptions,ROW(A1047)-ROW($A$92)+1,[4]Inputs!$S$11)</f>
        <v>PLNT</v>
      </c>
      <c r="Y1047" s="116" t="e">
        <f t="shared" ref="Y1047:AC1052" si="575">INDEX(DistFuncFactorTbl,MATCH($X1047,DistFuncFactors,0),MATCH(Y$91,DistFunctions,0))*$J1047</f>
        <v>#VALUE!</v>
      </c>
      <c r="Z1047" s="116" t="e">
        <f t="shared" si="575"/>
        <v>#VALUE!</v>
      </c>
      <c r="AA1047" s="116" t="e">
        <f t="shared" si="575"/>
        <v>#VALUE!</v>
      </c>
      <c r="AB1047" s="116" t="e">
        <f t="shared" si="575"/>
        <v>#VALUE!</v>
      </c>
      <c r="AC1047" s="116" t="e">
        <f t="shared" si="575"/>
        <v>#VALUE!</v>
      </c>
      <c r="AD1047" s="117" t="e">
        <f t="shared" si="570"/>
        <v>#VALUE!</v>
      </c>
      <c r="AE1047" s="117" t="e">
        <f t="shared" si="571"/>
        <v>#VALUE!</v>
      </c>
      <c r="AF1047" s="117" t="e">
        <f t="shared" si="572"/>
        <v>#VALUE!</v>
      </c>
      <c r="AG1047" s="117" t="e">
        <f t="shared" si="573"/>
        <v>#VALUE!</v>
      </c>
      <c r="AH1047" s="116"/>
      <c r="AI1047">
        <f t="shared" si="539"/>
        <v>41110</v>
      </c>
      <c r="AJ1047" t="str">
        <f t="shared" si="519"/>
        <v>DITEXP</v>
      </c>
      <c r="AK1047" t="str">
        <f>IF(ISERROR(MATCH(AI1047&amp;"."&amp;AJ1047,AK$91:AK1046,0)),AI1047&amp;"."&amp;AJ1047,AI1047&amp;"."&amp;AJ1047&amp;COUNTIFS(AI$91:AI1046,AI1047,AJ$91:AJ1046,AJ1047))</f>
        <v>41110.DITEXP</v>
      </c>
    </row>
    <row r="1048" spans="1:37" ht="15" hidden="1">
      <c r="A1048" s="120">
        <f>ROW()</f>
        <v>1048</v>
      </c>
      <c r="B1048" s="120"/>
      <c r="C1048" s="1"/>
      <c r="E1048" s="121" t="s">
        <v>447</v>
      </c>
      <c r="F1048" s="138" t="str">
        <f>INDEX(FuncAllocOptions,ROW(A1048)-ROW($A$92)+1,[4]Inputs!$S$11)</f>
        <v>P</v>
      </c>
      <c r="G1048" s="117" t="e">
        <f t="shared" si="559"/>
        <v>#VALUE!</v>
      </c>
      <c r="H1048" s="116" t="e">
        <f t="shared" si="574"/>
        <v>#VALUE!</v>
      </c>
      <c r="I1048" s="116" t="e">
        <f t="shared" si="574"/>
        <v>#VALUE!</v>
      </c>
      <c r="J1048" s="116" t="e">
        <f t="shared" si="574"/>
        <v>#VALUE!</v>
      </c>
      <c r="K1048" s="116" t="e">
        <f t="shared" si="574"/>
        <v>#VALUE!</v>
      </c>
      <c r="L1048" s="116" t="e">
        <f t="shared" si="574"/>
        <v>#VALUE!</v>
      </c>
      <c r="N1048" s="108">
        <v>0.75</v>
      </c>
      <c r="O1048" s="116" t="e">
        <f t="shared" si="561"/>
        <v>#VALUE!</v>
      </c>
      <c r="P1048" s="116" t="e">
        <f t="shared" si="562"/>
        <v>#VALUE!</v>
      </c>
      <c r="Q1048" s="116" t="e">
        <f t="shared" si="563"/>
        <v>#VALUE!</v>
      </c>
      <c r="R1048" s="116" t="e">
        <f t="shared" si="564"/>
        <v>#VALUE!</v>
      </c>
      <c r="S1048" s="108">
        <v>0.75</v>
      </c>
      <c r="T1048" s="116" t="e">
        <f t="shared" si="565"/>
        <v>#VALUE!</v>
      </c>
      <c r="U1048" s="116" t="e">
        <f t="shared" si="566"/>
        <v>#VALUE!</v>
      </c>
      <c r="V1048" s="116" t="e">
        <f t="shared" si="567"/>
        <v>#VALUE!</v>
      </c>
      <c r="W1048" s="116" t="e">
        <f t="shared" si="568"/>
        <v>#VALUE!</v>
      </c>
      <c r="X1048" s="3" t="str">
        <f>INDEX(DistFuncAllocOptions,ROW(A1048)-ROW($A$92)+1,[4]Inputs!$S$11)</f>
        <v>PLNT</v>
      </c>
      <c r="Y1048" s="116" t="e">
        <f t="shared" si="575"/>
        <v>#VALUE!</v>
      </c>
      <c r="Z1048" s="116" t="e">
        <f t="shared" si="575"/>
        <v>#VALUE!</v>
      </c>
      <c r="AA1048" s="116" t="e">
        <f t="shared" si="575"/>
        <v>#VALUE!</v>
      </c>
      <c r="AB1048" s="116" t="e">
        <f t="shared" si="575"/>
        <v>#VALUE!</v>
      </c>
      <c r="AC1048" s="116" t="e">
        <f t="shared" si="575"/>
        <v>#VALUE!</v>
      </c>
      <c r="AD1048" s="117" t="e">
        <f t="shared" si="570"/>
        <v>#VALUE!</v>
      </c>
      <c r="AE1048" s="117" t="e">
        <f t="shared" si="571"/>
        <v>#VALUE!</v>
      </c>
      <c r="AF1048" s="117" t="e">
        <f t="shared" si="572"/>
        <v>#VALUE!</v>
      </c>
      <c r="AG1048" s="117" t="e">
        <f t="shared" si="573"/>
        <v>#VALUE!</v>
      </c>
      <c r="AH1048" s="116"/>
      <c r="AI1048">
        <f t="shared" si="539"/>
        <v>41110</v>
      </c>
      <c r="AJ1048" t="str">
        <f t="shared" si="519"/>
        <v>TROJD</v>
      </c>
      <c r="AK1048" t="str">
        <f>IF(ISERROR(MATCH(AI1048&amp;"."&amp;AJ1048,AK$91:AK1047,0)),AI1048&amp;"."&amp;AJ1048,AI1048&amp;"."&amp;AJ1048&amp;COUNTIFS(AI$91:AI1047,AI1048,AJ$91:AJ1047,AJ1048))</f>
        <v>41110.TROJD</v>
      </c>
    </row>
    <row r="1049" spans="1:37" ht="15" hidden="1">
      <c r="A1049" s="120">
        <f>ROW()</f>
        <v>1049</v>
      </c>
      <c r="B1049" s="120"/>
      <c r="C1049" s="1"/>
      <c r="E1049" s="121" t="s">
        <v>450</v>
      </c>
      <c r="F1049" s="138" t="str">
        <f>INDEX(FuncAllocOptions,ROW(A1049)-ROW($A$92)+1,[4]Inputs!$S$11)</f>
        <v>IBT</v>
      </c>
      <c r="G1049" s="117" t="e">
        <f t="shared" si="559"/>
        <v>#VALUE!</v>
      </c>
      <c r="H1049" s="116" t="e">
        <f t="shared" si="574"/>
        <v>#VALUE!</v>
      </c>
      <c r="I1049" s="116" t="e">
        <f t="shared" si="574"/>
        <v>#VALUE!</v>
      </c>
      <c r="J1049" s="116" t="e">
        <f t="shared" si="574"/>
        <v>#VALUE!</v>
      </c>
      <c r="K1049" s="116" t="e">
        <f t="shared" si="574"/>
        <v>#VALUE!</v>
      </c>
      <c r="L1049" s="116" t="e">
        <f t="shared" si="574"/>
        <v>#VALUE!</v>
      </c>
      <c r="N1049" s="108">
        <v>0.75</v>
      </c>
      <c r="O1049" s="116" t="e">
        <f t="shared" si="561"/>
        <v>#VALUE!</v>
      </c>
      <c r="P1049" s="116" t="e">
        <f t="shared" si="562"/>
        <v>#VALUE!</v>
      </c>
      <c r="Q1049" s="116" t="e">
        <f t="shared" si="563"/>
        <v>#VALUE!</v>
      </c>
      <c r="R1049" s="116" t="e">
        <f t="shared" si="564"/>
        <v>#VALUE!</v>
      </c>
      <c r="S1049" s="108">
        <v>0.75</v>
      </c>
      <c r="T1049" s="116" t="e">
        <f t="shared" si="565"/>
        <v>#VALUE!</v>
      </c>
      <c r="U1049" s="116" t="e">
        <f t="shared" si="566"/>
        <v>#VALUE!</v>
      </c>
      <c r="V1049" s="116" t="e">
        <f t="shared" si="567"/>
        <v>#VALUE!</v>
      </c>
      <c r="W1049" s="116" t="e">
        <f t="shared" si="568"/>
        <v>#VALUE!</v>
      </c>
      <c r="X1049" s="3" t="str">
        <f>INDEX(DistFuncAllocOptions,ROW(A1049)-ROW($A$92)+1,[4]Inputs!$S$11)</f>
        <v>PLNT</v>
      </c>
      <c r="Y1049" s="116" t="e">
        <f t="shared" si="575"/>
        <v>#VALUE!</v>
      </c>
      <c r="Z1049" s="116" t="e">
        <f t="shared" si="575"/>
        <v>#VALUE!</v>
      </c>
      <c r="AA1049" s="116" t="e">
        <f t="shared" si="575"/>
        <v>#VALUE!</v>
      </c>
      <c r="AB1049" s="116" t="e">
        <f t="shared" si="575"/>
        <v>#VALUE!</v>
      </c>
      <c r="AC1049" s="116" t="e">
        <f t="shared" si="575"/>
        <v>#VALUE!</v>
      </c>
      <c r="AD1049" s="117" t="e">
        <f t="shared" si="570"/>
        <v>#VALUE!</v>
      </c>
      <c r="AE1049" s="117" t="e">
        <f t="shared" si="571"/>
        <v>#VALUE!</v>
      </c>
      <c r="AF1049" s="117" t="e">
        <f t="shared" si="572"/>
        <v>#VALUE!</v>
      </c>
      <c r="AG1049" s="117" t="e">
        <f t="shared" si="573"/>
        <v>#VALUE!</v>
      </c>
      <c r="AH1049" s="116"/>
      <c r="AI1049">
        <f t="shared" si="539"/>
        <v>41110</v>
      </c>
      <c r="AJ1049" t="str">
        <f t="shared" si="519"/>
        <v>IBT</v>
      </c>
      <c r="AK1049" t="str">
        <f>IF(ISERROR(MATCH(AI1049&amp;"."&amp;AJ1049,AK$91:AK1048,0)),AI1049&amp;"."&amp;AJ1049,AI1049&amp;"."&amp;AJ1049&amp;COUNTIFS(AI$91:AI1048,AI1049,AJ$91:AJ1048,AJ1049))</f>
        <v>41110.IBT</v>
      </c>
    </row>
    <row r="1050" spans="1:37" ht="15" hidden="1">
      <c r="A1050" s="120">
        <f>ROW()</f>
        <v>1050</v>
      </c>
      <c r="B1050" s="120"/>
      <c r="C1050" s="1"/>
      <c r="E1050" s="120" t="s">
        <v>451</v>
      </c>
      <c r="F1050" s="138" t="str">
        <f>INDEX(FuncAllocOptions,ROW(A1050)-ROW($A$92)+1,[4]Inputs!$S$11)</f>
        <v>DPW</v>
      </c>
      <c r="G1050" s="117" t="e">
        <f t="shared" si="559"/>
        <v>#VALUE!</v>
      </c>
      <c r="H1050" s="116" t="e">
        <f t="shared" si="574"/>
        <v>#VALUE!</v>
      </c>
      <c r="I1050" s="116" t="e">
        <f t="shared" si="574"/>
        <v>#VALUE!</v>
      </c>
      <c r="J1050" s="116" t="e">
        <f t="shared" si="574"/>
        <v>#VALUE!</v>
      </c>
      <c r="K1050" s="116" t="e">
        <f t="shared" si="574"/>
        <v>#VALUE!</v>
      </c>
      <c r="L1050" s="116" t="e">
        <f t="shared" si="574"/>
        <v>#VALUE!</v>
      </c>
      <c r="N1050" s="108">
        <v>0.75</v>
      </c>
      <c r="O1050" s="116" t="e">
        <f t="shared" si="561"/>
        <v>#VALUE!</v>
      </c>
      <c r="P1050" s="116" t="e">
        <f t="shared" si="562"/>
        <v>#VALUE!</v>
      </c>
      <c r="Q1050" s="116" t="e">
        <f t="shared" si="563"/>
        <v>#VALUE!</v>
      </c>
      <c r="R1050" s="116" t="e">
        <f t="shared" si="564"/>
        <v>#VALUE!</v>
      </c>
      <c r="S1050" s="108">
        <v>0.75</v>
      </c>
      <c r="T1050" s="116" t="e">
        <f t="shared" si="565"/>
        <v>#VALUE!</v>
      </c>
      <c r="U1050" s="116" t="e">
        <f t="shared" si="566"/>
        <v>#VALUE!</v>
      </c>
      <c r="V1050" s="116" t="e">
        <f t="shared" si="567"/>
        <v>#VALUE!</v>
      </c>
      <c r="W1050" s="116" t="e">
        <f t="shared" si="568"/>
        <v>#VALUE!</v>
      </c>
      <c r="X1050" s="3" t="str">
        <f>INDEX(DistFuncAllocOptions,ROW(A1050)-ROW($A$92)+1,[4]Inputs!$S$11)</f>
        <v>PLNT</v>
      </c>
      <c r="Y1050" s="116" t="e">
        <f t="shared" si="575"/>
        <v>#VALUE!</v>
      </c>
      <c r="Z1050" s="116" t="e">
        <f t="shared" si="575"/>
        <v>#VALUE!</v>
      </c>
      <c r="AA1050" s="116" t="e">
        <f t="shared" si="575"/>
        <v>#VALUE!</v>
      </c>
      <c r="AB1050" s="116" t="e">
        <f t="shared" si="575"/>
        <v>#VALUE!</v>
      </c>
      <c r="AC1050" s="116" t="e">
        <f t="shared" si="575"/>
        <v>#VALUE!</v>
      </c>
      <c r="AD1050" s="117" t="e">
        <f t="shared" si="570"/>
        <v>#VALUE!</v>
      </c>
      <c r="AE1050" s="117" t="e">
        <f t="shared" si="571"/>
        <v>#VALUE!</v>
      </c>
      <c r="AF1050" s="117" t="e">
        <f t="shared" si="572"/>
        <v>#VALUE!</v>
      </c>
      <c r="AG1050" s="117" t="e">
        <f t="shared" si="573"/>
        <v>#VALUE!</v>
      </c>
      <c r="AH1050" s="116"/>
      <c r="AI1050">
        <f t="shared" si="539"/>
        <v>41110</v>
      </c>
      <c r="AJ1050" t="str">
        <f t="shared" si="519"/>
        <v>CIAC</v>
      </c>
      <c r="AK1050" t="str">
        <f>IF(ISERROR(MATCH(AI1050&amp;"."&amp;AJ1050,AK$91:AK1049,0)),AI1050&amp;"."&amp;AJ1050,AI1050&amp;"."&amp;AJ1050&amp;COUNTIFS(AI$91:AI1049,AI1050,AJ$91:AJ1049,AJ1050))</f>
        <v>41110.CIAC</v>
      </c>
    </row>
    <row r="1051" spans="1:37" ht="15" hidden="1">
      <c r="A1051" s="120">
        <f>ROW()</f>
        <v>1051</v>
      </c>
      <c r="B1051" s="120"/>
      <c r="C1051" s="1"/>
      <c r="E1051" s="120" t="s">
        <v>452</v>
      </c>
      <c r="F1051" s="138" t="str">
        <f>INDEX(FuncAllocOptions,ROW(A1051)-ROW($A$92)+1,[4]Inputs!$S$11)</f>
        <v>GP</v>
      </c>
      <c r="G1051" s="117" t="e">
        <f t="shared" si="559"/>
        <v>#VALUE!</v>
      </c>
      <c r="H1051" s="116" t="e">
        <f t="shared" si="574"/>
        <v>#VALUE!</v>
      </c>
      <c r="I1051" s="116" t="e">
        <f t="shared" si="574"/>
        <v>#VALUE!</v>
      </c>
      <c r="J1051" s="116" t="e">
        <f t="shared" si="574"/>
        <v>#VALUE!</v>
      </c>
      <c r="K1051" s="116" t="e">
        <f t="shared" si="574"/>
        <v>#VALUE!</v>
      </c>
      <c r="L1051" s="116" t="e">
        <f t="shared" si="574"/>
        <v>#VALUE!</v>
      </c>
      <c r="N1051" s="108">
        <v>0.75</v>
      </c>
      <c r="O1051" s="116" t="e">
        <f t="shared" si="561"/>
        <v>#VALUE!</v>
      </c>
      <c r="P1051" s="116" t="e">
        <f t="shared" si="562"/>
        <v>#VALUE!</v>
      </c>
      <c r="Q1051" s="116" t="e">
        <f t="shared" si="563"/>
        <v>#VALUE!</v>
      </c>
      <c r="R1051" s="116" t="e">
        <f t="shared" si="564"/>
        <v>#VALUE!</v>
      </c>
      <c r="S1051" s="108">
        <v>0.75</v>
      </c>
      <c r="T1051" s="116" t="e">
        <f t="shared" si="565"/>
        <v>#VALUE!</v>
      </c>
      <c r="U1051" s="116" t="e">
        <f t="shared" si="566"/>
        <v>#VALUE!</v>
      </c>
      <c r="V1051" s="116" t="e">
        <f t="shared" si="567"/>
        <v>#VALUE!</v>
      </c>
      <c r="W1051" s="116" t="e">
        <f t="shared" si="568"/>
        <v>#VALUE!</v>
      </c>
      <c r="X1051" s="3" t="str">
        <f>INDEX(DistFuncAllocOptions,ROW(A1051)-ROW($A$92)+1,[4]Inputs!$S$11)</f>
        <v>PLNT</v>
      </c>
      <c r="Y1051" s="116" t="e">
        <f t="shared" si="575"/>
        <v>#VALUE!</v>
      </c>
      <c r="Z1051" s="116" t="e">
        <f t="shared" si="575"/>
        <v>#VALUE!</v>
      </c>
      <c r="AA1051" s="116" t="e">
        <f t="shared" si="575"/>
        <v>#VALUE!</v>
      </c>
      <c r="AB1051" s="116" t="e">
        <f t="shared" si="575"/>
        <v>#VALUE!</v>
      </c>
      <c r="AC1051" s="116" t="e">
        <f t="shared" si="575"/>
        <v>#VALUE!</v>
      </c>
      <c r="AD1051" s="117" t="e">
        <f t="shared" si="570"/>
        <v>#VALUE!</v>
      </c>
      <c r="AE1051" s="117" t="e">
        <f t="shared" si="571"/>
        <v>#VALUE!</v>
      </c>
      <c r="AF1051" s="117" t="e">
        <f t="shared" si="572"/>
        <v>#VALUE!</v>
      </c>
      <c r="AG1051" s="117" t="e">
        <f t="shared" si="573"/>
        <v>#VALUE!</v>
      </c>
      <c r="AH1051" s="116"/>
      <c r="AI1051">
        <f t="shared" si="539"/>
        <v>41110</v>
      </c>
      <c r="AJ1051" t="str">
        <f t="shared" si="519"/>
        <v>SCHMDEXP</v>
      </c>
      <c r="AK1051" t="str">
        <f>IF(ISERROR(MATCH(AI1051&amp;"."&amp;AJ1051,AK$91:AK1050,0)),AI1051&amp;"."&amp;AJ1051,AI1051&amp;"."&amp;AJ1051&amp;COUNTIFS(AI$91:AI1050,AI1051,AJ$91:AJ1050,AJ1051))</f>
        <v>41110.SCHMDEXP</v>
      </c>
    </row>
    <row r="1052" spans="1:37" ht="15" hidden="1">
      <c r="A1052" s="120">
        <f>ROW()</f>
        <v>1052</v>
      </c>
      <c r="B1052" s="120"/>
      <c r="C1052" s="1"/>
      <c r="E1052" s="120" t="s">
        <v>453</v>
      </c>
      <c r="F1052" s="138" t="str">
        <f>INDEX(FuncAllocOptions,ROW(A1052)-ROW($A$92)+1,[4]Inputs!$S$11)</f>
        <v>TAXDEPR</v>
      </c>
      <c r="G1052" s="133" t="e">
        <f t="shared" si="559"/>
        <v>#VALUE!</v>
      </c>
      <c r="H1052" s="139" t="e">
        <f t="shared" si="574"/>
        <v>#VALUE!</v>
      </c>
      <c r="I1052" s="139" t="e">
        <f t="shared" si="574"/>
        <v>#VALUE!</v>
      </c>
      <c r="J1052" s="139" t="e">
        <f t="shared" si="574"/>
        <v>#VALUE!</v>
      </c>
      <c r="K1052" s="139" t="e">
        <f t="shared" si="574"/>
        <v>#VALUE!</v>
      </c>
      <c r="L1052" s="139" t="e">
        <f t="shared" si="574"/>
        <v>#VALUE!</v>
      </c>
      <c r="N1052" s="108">
        <v>0.75</v>
      </c>
      <c r="O1052" s="116" t="e">
        <f t="shared" si="561"/>
        <v>#VALUE!</v>
      </c>
      <c r="P1052" s="116" t="e">
        <f t="shared" si="562"/>
        <v>#VALUE!</v>
      </c>
      <c r="Q1052" s="116" t="e">
        <f t="shared" si="563"/>
        <v>#VALUE!</v>
      </c>
      <c r="R1052" s="116" t="e">
        <f t="shared" si="564"/>
        <v>#VALUE!</v>
      </c>
      <c r="S1052" s="108">
        <v>0.75</v>
      </c>
      <c r="T1052" s="116" t="e">
        <f t="shared" si="565"/>
        <v>#VALUE!</v>
      </c>
      <c r="U1052" s="116" t="e">
        <f t="shared" si="566"/>
        <v>#VALUE!</v>
      </c>
      <c r="V1052" s="116" t="e">
        <f t="shared" si="567"/>
        <v>#VALUE!</v>
      </c>
      <c r="W1052" s="116" t="e">
        <f t="shared" si="568"/>
        <v>#VALUE!</v>
      </c>
      <c r="X1052" s="3" t="str">
        <f>INDEX(DistFuncAllocOptions,ROW(A1052)-ROW($A$92)+1,[4]Inputs!$S$11)</f>
        <v>PLNT</v>
      </c>
      <c r="Y1052" s="116" t="e">
        <f t="shared" si="575"/>
        <v>#VALUE!</v>
      </c>
      <c r="Z1052" s="116" t="e">
        <f t="shared" si="575"/>
        <v>#VALUE!</v>
      </c>
      <c r="AA1052" s="116" t="e">
        <f t="shared" si="575"/>
        <v>#VALUE!</v>
      </c>
      <c r="AB1052" s="116" t="e">
        <f t="shared" si="575"/>
        <v>#VALUE!</v>
      </c>
      <c r="AC1052" s="116" t="e">
        <f t="shared" si="575"/>
        <v>#VALUE!</v>
      </c>
      <c r="AD1052" s="117" t="e">
        <f t="shared" si="570"/>
        <v>#VALUE!</v>
      </c>
      <c r="AE1052" s="117" t="e">
        <f t="shared" si="571"/>
        <v>#VALUE!</v>
      </c>
      <c r="AF1052" s="117" t="e">
        <f t="shared" si="572"/>
        <v>#VALUE!</v>
      </c>
      <c r="AG1052" s="117" t="e">
        <f t="shared" si="573"/>
        <v>#VALUE!</v>
      </c>
      <c r="AH1052" s="116"/>
      <c r="AI1052">
        <f t="shared" si="539"/>
        <v>41110</v>
      </c>
      <c r="AJ1052" t="str">
        <f t="shared" si="519"/>
        <v>TAXDEPR</v>
      </c>
      <c r="AK1052" t="str">
        <f>IF(ISERROR(MATCH(AI1052&amp;"."&amp;AJ1052,AK$91:AK1051,0)),AI1052&amp;"."&amp;AJ1052,AI1052&amp;"."&amp;AJ1052&amp;COUNTIFS(AI$91:AI1051,AI1052,AJ$91:AJ1051,AJ1052))</f>
        <v>41110.TAXDEPR</v>
      </c>
    </row>
    <row r="1053" spans="1:37" ht="15" hidden="1">
      <c r="A1053" s="120">
        <f>ROW()</f>
        <v>1053</v>
      </c>
      <c r="B1053" s="120"/>
      <c r="C1053" s="1"/>
      <c r="E1053" s="121"/>
      <c r="F1053" s="138"/>
      <c r="G1053" s="117" t="e">
        <f t="shared" ref="G1053:L1053" si="576">SUM(G1037:G1052)</f>
        <v>#VALUE!</v>
      </c>
      <c r="H1053" s="116" t="e">
        <f t="shared" si="576"/>
        <v>#VALUE!</v>
      </c>
      <c r="I1053" s="116" t="e">
        <f t="shared" si="576"/>
        <v>#VALUE!</v>
      </c>
      <c r="J1053" s="116" t="e">
        <f t="shared" si="576"/>
        <v>#VALUE!</v>
      </c>
      <c r="K1053" s="116" t="e">
        <f t="shared" si="576"/>
        <v>#VALUE!</v>
      </c>
      <c r="L1053" s="116" t="e">
        <f t="shared" si="576"/>
        <v>#VALUE!</v>
      </c>
      <c r="O1053" s="116" t="e">
        <f>SUM(O1037:O1052)</f>
        <v>#VALUE!</v>
      </c>
      <c r="P1053" s="116" t="e">
        <f>SUM(P1037:P1052)</f>
        <v>#VALUE!</v>
      </c>
      <c r="Q1053" s="116" t="e">
        <f>SUM(Q1037:Q1052)</f>
        <v>#VALUE!</v>
      </c>
      <c r="R1053" s="116" t="e">
        <f>SUM(R1037:R1052)</f>
        <v>#VALUE!</v>
      </c>
      <c r="T1053" s="116" t="e">
        <f>SUM(T1037:T1052)</f>
        <v>#VALUE!</v>
      </c>
      <c r="U1053" s="116" t="e">
        <f>SUM(U1037:U1052)</f>
        <v>#VALUE!</v>
      </c>
      <c r="V1053" s="116" t="e">
        <f>SUM(V1037:V1052)</f>
        <v>#VALUE!</v>
      </c>
      <c r="W1053" s="116" t="e">
        <f>SUM(W1037:W1052)</f>
        <v>#VALUE!</v>
      </c>
      <c r="X1053" s="3"/>
      <c r="Y1053" s="116" t="e">
        <f>SUM(Y1037:Y1052)</f>
        <v>#VALUE!</v>
      </c>
      <c r="Z1053" s="116" t="e">
        <f>SUM(Z1037:Z1052)</f>
        <v>#VALUE!</v>
      </c>
      <c r="AA1053" s="116" t="e">
        <f>SUM(AA1037:AA1052)</f>
        <v>#VALUE!</v>
      </c>
      <c r="AB1053" s="116" t="e">
        <f>SUM(AB1037:AB1052)</f>
        <v>#VALUE!</v>
      </c>
      <c r="AC1053" s="116" t="e">
        <f>SUM(AC1037:AC1052)</f>
        <v>#VALUE!</v>
      </c>
      <c r="AD1053" s="117" t="e">
        <f t="shared" si="570"/>
        <v>#VALUE!</v>
      </c>
      <c r="AE1053" s="117" t="e">
        <f t="shared" si="571"/>
        <v>#VALUE!</v>
      </c>
      <c r="AF1053" s="117" t="e">
        <f t="shared" si="572"/>
        <v>#VALUE!</v>
      </c>
      <c r="AG1053" s="117" t="e">
        <f t="shared" si="573"/>
        <v>#VALUE!</v>
      </c>
      <c r="AH1053" s="116"/>
      <c r="AI1053">
        <f t="shared" si="539"/>
        <v>41110</v>
      </c>
      <c r="AJ1053" t="str">
        <f t="shared" ref="AJ1053:AJ1116" si="577">IF(E1053="","NA",E1053)</f>
        <v>NA</v>
      </c>
      <c r="AK1053" t="str">
        <f>IF(ISERROR(MATCH(AI1053&amp;"."&amp;AJ1053,AK$91:AK1052,0)),AI1053&amp;"."&amp;AJ1053,AI1053&amp;"."&amp;AJ1053&amp;COUNTIFS(AI$91:AI1052,AI1053,AJ$91:AJ1052,AJ1053))</f>
        <v>41110.NA1</v>
      </c>
    </row>
    <row r="1054" spans="1:37" ht="15" hidden="1">
      <c r="A1054" s="120">
        <f>ROW()</f>
        <v>1054</v>
      </c>
      <c r="B1054" s="120"/>
      <c r="C1054" s="1"/>
      <c r="E1054" s="121"/>
      <c r="F1054" s="138"/>
      <c r="G1054" s="119"/>
      <c r="X1054" s="3"/>
      <c r="AD1054" s="119"/>
      <c r="AE1054" s="119"/>
      <c r="AF1054" s="119"/>
      <c r="AG1054" s="119"/>
      <c r="AI1054">
        <f t="shared" si="539"/>
        <v>41110</v>
      </c>
      <c r="AJ1054" t="str">
        <f t="shared" si="577"/>
        <v>NA</v>
      </c>
      <c r="AK1054" t="str">
        <f>IF(ISERROR(MATCH(AI1054&amp;"."&amp;AJ1054,AK$91:AK1053,0)),AI1054&amp;"."&amp;AJ1054,AI1054&amp;"."&amp;AJ1054&amp;COUNTIFS(AI$91:AI1053,AI1054,AJ$91:AJ1053,AJ1054))</f>
        <v>41110.NA2</v>
      </c>
    </row>
    <row r="1055" spans="1:37" ht="15" hidden="1">
      <c r="A1055" s="120">
        <f>ROW()</f>
        <v>1055</v>
      </c>
      <c r="B1055" s="120"/>
      <c r="C1055" s="1">
        <v>41111</v>
      </c>
      <c r="D1055" s="2" t="s">
        <v>751</v>
      </c>
      <c r="E1055" s="121"/>
      <c r="F1055" s="138"/>
      <c r="G1055" s="119"/>
      <c r="X1055" s="3"/>
      <c r="AD1055" s="119"/>
      <c r="AE1055" s="119"/>
      <c r="AF1055" s="119"/>
      <c r="AG1055" s="119"/>
      <c r="AI1055">
        <f t="shared" si="539"/>
        <v>41111</v>
      </c>
      <c r="AJ1055" t="str">
        <f t="shared" si="577"/>
        <v>NA</v>
      </c>
      <c r="AK1055" t="str">
        <f>IF(ISERROR(MATCH(AI1055&amp;"."&amp;AJ1055,AK$91:AK1054,0)),AI1055&amp;"."&amp;AJ1055,AI1055&amp;"."&amp;AJ1055&amp;COUNTIFS(AI$91:AI1054,AI1055,AJ$91:AJ1054,AJ1055))</f>
        <v>41111.NA</v>
      </c>
    </row>
    <row r="1056" spans="1:37" ht="15" hidden="1">
      <c r="A1056" s="120">
        <f>ROW()</f>
        <v>1056</v>
      </c>
      <c r="B1056" s="120"/>
      <c r="E1056" s="120" t="s">
        <v>12</v>
      </c>
      <c r="F1056" s="138" t="str">
        <f>INDEX(FuncAllocOptions,ROW(A1056)-ROW($A$92)+1,[4]Inputs!$S$11)</f>
        <v>GP</v>
      </c>
      <c r="G1056" s="117" t="e">
        <f t="shared" ref="G1056:G1067" si="578">SUMIF(FERCJAMFactor,AK1056,JAMValue)</f>
        <v>#VALUE!</v>
      </c>
      <c r="H1056" s="116" t="e">
        <f t="shared" ref="H1056:L1067" si="579">INDEX(FuncFactorTbl,MATCH($F1056,FuncFactors,0),MATCH(H$8,Functions,0))*$G1056</f>
        <v>#VALUE!</v>
      </c>
      <c r="I1056" s="116" t="e">
        <f t="shared" si="579"/>
        <v>#VALUE!</v>
      </c>
      <c r="J1056" s="116" t="e">
        <f t="shared" si="579"/>
        <v>#VALUE!</v>
      </c>
      <c r="K1056" s="116" t="e">
        <f t="shared" si="579"/>
        <v>#VALUE!</v>
      </c>
      <c r="L1056" s="116" t="e">
        <f t="shared" si="579"/>
        <v>#VALUE!</v>
      </c>
      <c r="N1056" s="108">
        <v>0.75</v>
      </c>
      <c r="O1056" s="116" t="e">
        <f t="shared" ref="O1056:O1067" si="580">$H1056*$N1056*$M1056</f>
        <v>#VALUE!</v>
      </c>
      <c r="P1056" s="116" t="e">
        <f t="shared" ref="P1056:P1067" si="581">$H1056*(1-$N1056)*$M1056</f>
        <v>#VALUE!</v>
      </c>
      <c r="Q1056" s="116" t="e">
        <f t="shared" ref="Q1056:Q1067" si="582">$H1056*$N1056*(1-$M1056)</f>
        <v>#VALUE!</v>
      </c>
      <c r="R1056" s="116" t="e">
        <f t="shared" ref="R1056:R1067" si="583">$H1056*(1-$N1056)*(1-$M1056)</f>
        <v>#VALUE!</v>
      </c>
      <c r="S1056" s="108">
        <v>0.75</v>
      </c>
      <c r="T1056" s="116" t="e">
        <f t="shared" ref="T1056:T1067" si="584">$I1056*$S1056*$M1056</f>
        <v>#VALUE!</v>
      </c>
      <c r="U1056" s="116" t="e">
        <f t="shared" ref="U1056:U1067" si="585">$I1056*(1-$S1056)*$M1056</f>
        <v>#VALUE!</v>
      </c>
      <c r="V1056" s="116" t="e">
        <f t="shared" ref="V1056:V1067" si="586">$I1056*$S1056*(1-$M1056)</f>
        <v>#VALUE!</v>
      </c>
      <c r="W1056" s="116" t="e">
        <f t="shared" ref="W1056:W1067" si="587">$I1056*(1-$S1056)*(1-$M1056)</f>
        <v>#VALUE!</v>
      </c>
      <c r="X1056" s="3" t="str">
        <f>INDEX(DistFuncAllocOptions,ROW(A1056)-ROW($A$92)+1,[4]Inputs!$S$11)</f>
        <v>PLNT</v>
      </c>
      <c r="Y1056" s="116" t="e">
        <f t="shared" ref="Y1056:AC1067" si="588">INDEX(DistFuncFactorTbl,MATCH($X1056,DistFuncFactors,0),MATCH(Y$91,DistFunctions,0))*$J1056</f>
        <v>#VALUE!</v>
      </c>
      <c r="Z1056" s="116" t="e">
        <f t="shared" si="588"/>
        <v>#VALUE!</v>
      </c>
      <c r="AA1056" s="116" t="e">
        <f t="shared" si="588"/>
        <v>#VALUE!</v>
      </c>
      <c r="AB1056" s="116" t="e">
        <f t="shared" si="588"/>
        <v>#VALUE!</v>
      </c>
      <c r="AC1056" s="116" t="e">
        <f t="shared" si="588"/>
        <v>#VALUE!</v>
      </c>
      <c r="AD1056" s="117" t="e">
        <f t="shared" ref="AD1056:AD1068" si="589">ROUND(SUM(-G1056,H1056:L1056),0)</f>
        <v>#VALUE!</v>
      </c>
      <c r="AE1056" s="117" t="e">
        <f t="shared" ref="AE1056:AE1068" si="590">ROUND(H1056-O1056-P1056-Q1056-R1056,0)</f>
        <v>#VALUE!</v>
      </c>
      <c r="AF1056" s="117" t="e">
        <f t="shared" ref="AF1056:AF1068" si="591">ROUND(I1056-T1056-U1056-V1056-W1056,0)</f>
        <v>#VALUE!</v>
      </c>
      <c r="AG1056" s="117" t="e">
        <f t="shared" ref="AG1056:AG1068" si="592">ROUND(J1056-Y1056-Z1056-AA1056-AC1056-AB1056,0)</f>
        <v>#VALUE!</v>
      </c>
      <c r="AH1056" s="116"/>
      <c r="AI1056">
        <f t="shared" si="539"/>
        <v>41111</v>
      </c>
      <c r="AJ1056" t="str">
        <f t="shared" si="577"/>
        <v>S</v>
      </c>
      <c r="AK1056" t="str">
        <f>IF(ISERROR(MATCH(AI1056&amp;"."&amp;AJ1056,AK$91:AK1055,0)),AI1056&amp;"."&amp;AJ1056,AI1056&amp;"."&amp;AJ1056&amp;COUNTIFS(AI$91:AI1055,AI1056,AJ$91:AJ1055,AJ1056))</f>
        <v>41111.S</v>
      </c>
    </row>
    <row r="1057" spans="1:37" ht="15" hidden="1">
      <c r="A1057" s="120">
        <f>ROW()</f>
        <v>1057</v>
      </c>
      <c r="B1057" s="120"/>
      <c r="E1057" s="120" t="s">
        <v>433</v>
      </c>
      <c r="F1057" s="138" t="str">
        <f>INDEX(FuncAllocOptions,ROW(A1057)-ROW($A$92)+1,[4]Inputs!$S$11)</f>
        <v>GP</v>
      </c>
      <c r="G1057" s="117" t="e">
        <f t="shared" si="578"/>
        <v>#VALUE!</v>
      </c>
      <c r="H1057" s="116" t="e">
        <f t="shared" si="579"/>
        <v>#VALUE!</v>
      </c>
      <c r="I1057" s="116" t="e">
        <f t="shared" si="579"/>
        <v>#VALUE!</v>
      </c>
      <c r="J1057" s="116" t="e">
        <f t="shared" si="579"/>
        <v>#VALUE!</v>
      </c>
      <c r="K1057" s="116" t="e">
        <f t="shared" si="579"/>
        <v>#VALUE!</v>
      </c>
      <c r="L1057" s="116" t="e">
        <f t="shared" si="579"/>
        <v>#VALUE!</v>
      </c>
      <c r="N1057" s="108">
        <v>0.75</v>
      </c>
      <c r="O1057" s="116" t="e">
        <f t="shared" si="580"/>
        <v>#VALUE!</v>
      </c>
      <c r="P1057" s="116" t="e">
        <f t="shared" si="581"/>
        <v>#VALUE!</v>
      </c>
      <c r="Q1057" s="116" t="e">
        <f t="shared" si="582"/>
        <v>#VALUE!</v>
      </c>
      <c r="R1057" s="116" t="e">
        <f t="shared" si="583"/>
        <v>#VALUE!</v>
      </c>
      <c r="S1057" s="108">
        <v>0.75</v>
      </c>
      <c r="T1057" s="116" t="e">
        <f t="shared" si="584"/>
        <v>#VALUE!</v>
      </c>
      <c r="U1057" s="116" t="e">
        <f t="shared" si="585"/>
        <v>#VALUE!</v>
      </c>
      <c r="V1057" s="116" t="e">
        <f t="shared" si="586"/>
        <v>#VALUE!</v>
      </c>
      <c r="W1057" s="116" t="e">
        <f t="shared" si="587"/>
        <v>#VALUE!</v>
      </c>
      <c r="X1057" s="3" t="str">
        <f>INDEX(DistFuncAllocOptions,ROW(A1057)-ROW($A$92)+1,[4]Inputs!$S$11)</f>
        <v>PLNT</v>
      </c>
      <c r="Y1057" s="116" t="e">
        <f t="shared" si="588"/>
        <v>#VALUE!</v>
      </c>
      <c r="Z1057" s="116" t="e">
        <f t="shared" si="588"/>
        <v>#VALUE!</v>
      </c>
      <c r="AA1057" s="116" t="e">
        <f t="shared" si="588"/>
        <v>#VALUE!</v>
      </c>
      <c r="AB1057" s="116" t="e">
        <f t="shared" si="588"/>
        <v>#VALUE!</v>
      </c>
      <c r="AC1057" s="116" t="e">
        <f t="shared" si="588"/>
        <v>#VALUE!</v>
      </c>
      <c r="AD1057" s="117" t="e">
        <f t="shared" si="589"/>
        <v>#VALUE!</v>
      </c>
      <c r="AE1057" s="117" t="e">
        <f t="shared" si="590"/>
        <v>#VALUE!</v>
      </c>
      <c r="AF1057" s="117" t="e">
        <f t="shared" si="591"/>
        <v>#VALUE!</v>
      </c>
      <c r="AG1057" s="117" t="e">
        <f t="shared" si="592"/>
        <v>#VALUE!</v>
      </c>
      <c r="AH1057" s="116"/>
      <c r="AI1057">
        <f t="shared" si="539"/>
        <v>41111</v>
      </c>
      <c r="AJ1057" t="str">
        <f t="shared" si="577"/>
        <v>SNP</v>
      </c>
      <c r="AK1057" t="str">
        <f>IF(ISERROR(MATCH(AI1057&amp;"."&amp;AJ1057,AK$91:AK1056,0)),AI1057&amp;"."&amp;AJ1057,AI1057&amp;"."&amp;AJ1057&amp;COUNTIFS(AI$91:AI1056,AI1057,AJ$91:AJ1056,AJ1057))</f>
        <v>41111.SNP</v>
      </c>
    </row>
    <row r="1058" spans="1:37" ht="15" hidden="1">
      <c r="A1058" s="120">
        <f>ROW()</f>
        <v>1058</v>
      </c>
      <c r="B1058" s="120"/>
      <c r="E1058" s="120" t="s">
        <v>750</v>
      </c>
      <c r="F1058" s="138" t="str">
        <f>INDEX(FuncAllocOptions,ROW(A1058)-ROW($A$92)+1,[4]Inputs!$S$11)</f>
        <v>DITEXP</v>
      </c>
      <c r="G1058" s="117" t="e">
        <f t="shared" si="578"/>
        <v>#VALUE!</v>
      </c>
      <c r="H1058" s="116" t="e">
        <f t="shared" si="579"/>
        <v>#VALUE!</v>
      </c>
      <c r="I1058" s="116" t="e">
        <f t="shared" si="579"/>
        <v>#VALUE!</v>
      </c>
      <c r="J1058" s="116" t="e">
        <f t="shared" si="579"/>
        <v>#VALUE!</v>
      </c>
      <c r="K1058" s="116" t="e">
        <f t="shared" si="579"/>
        <v>#VALUE!</v>
      </c>
      <c r="L1058" s="116" t="e">
        <f t="shared" si="579"/>
        <v>#VALUE!</v>
      </c>
      <c r="N1058" s="108">
        <v>0.75</v>
      </c>
      <c r="O1058" s="116" t="e">
        <f t="shared" si="580"/>
        <v>#VALUE!</v>
      </c>
      <c r="P1058" s="116" t="e">
        <f t="shared" si="581"/>
        <v>#VALUE!</v>
      </c>
      <c r="Q1058" s="116" t="e">
        <f t="shared" si="582"/>
        <v>#VALUE!</v>
      </c>
      <c r="R1058" s="116" t="e">
        <f t="shared" si="583"/>
        <v>#VALUE!</v>
      </c>
      <c r="S1058" s="108">
        <v>0.75</v>
      </c>
      <c r="T1058" s="116" t="e">
        <f t="shared" si="584"/>
        <v>#VALUE!</v>
      </c>
      <c r="U1058" s="116" t="e">
        <f t="shared" si="585"/>
        <v>#VALUE!</v>
      </c>
      <c r="V1058" s="116" t="e">
        <f t="shared" si="586"/>
        <v>#VALUE!</v>
      </c>
      <c r="W1058" s="116" t="e">
        <f t="shared" si="587"/>
        <v>#VALUE!</v>
      </c>
      <c r="X1058" s="3" t="str">
        <f>INDEX(DistFuncAllocOptions,ROW(A1058)-ROW($A$92)+1,[4]Inputs!$S$11)</f>
        <v>PLNT</v>
      </c>
      <c r="Y1058" s="116" t="e">
        <f t="shared" si="588"/>
        <v>#VALUE!</v>
      </c>
      <c r="Z1058" s="116" t="e">
        <f t="shared" si="588"/>
        <v>#VALUE!</v>
      </c>
      <c r="AA1058" s="116" t="e">
        <f t="shared" si="588"/>
        <v>#VALUE!</v>
      </c>
      <c r="AB1058" s="116" t="e">
        <f t="shared" si="588"/>
        <v>#VALUE!</v>
      </c>
      <c r="AC1058" s="116" t="e">
        <f t="shared" si="588"/>
        <v>#VALUE!</v>
      </c>
      <c r="AD1058" s="117" t="e">
        <f t="shared" si="589"/>
        <v>#VALUE!</v>
      </c>
      <c r="AE1058" s="117" t="e">
        <f t="shared" si="590"/>
        <v>#VALUE!</v>
      </c>
      <c r="AF1058" s="117" t="e">
        <f t="shared" si="591"/>
        <v>#VALUE!</v>
      </c>
      <c r="AG1058" s="117" t="e">
        <f t="shared" si="592"/>
        <v>#VALUE!</v>
      </c>
      <c r="AH1058" s="116"/>
      <c r="AI1058">
        <f t="shared" si="539"/>
        <v>41111</v>
      </c>
      <c r="AJ1058" t="str">
        <f t="shared" si="577"/>
        <v>DITEXPRL</v>
      </c>
      <c r="AK1058" t="str">
        <f>IF(ISERROR(MATCH(AI1058&amp;"."&amp;AJ1058,AK$91:AK1057,0)),AI1058&amp;"."&amp;AJ1058,AI1058&amp;"."&amp;AJ1058&amp;COUNTIFS(AI$91:AI1057,AI1058,AJ$91:AJ1057,AJ1058))</f>
        <v>41111.DITEXPRL</v>
      </c>
    </row>
    <row r="1059" spans="1:37" ht="15" hidden="1">
      <c r="A1059" s="120">
        <f>ROW()</f>
        <v>1059</v>
      </c>
      <c r="B1059" s="120"/>
      <c r="E1059" s="120" t="s">
        <v>321</v>
      </c>
      <c r="F1059" s="138" t="str">
        <f>INDEX(FuncAllocOptions,ROW(A1059)-ROW($A$92)+1,[4]Inputs!$S$11)</f>
        <v>PT</v>
      </c>
      <c r="G1059" s="117" t="e">
        <f t="shared" si="578"/>
        <v>#VALUE!</v>
      </c>
      <c r="H1059" s="116" t="e">
        <f t="shared" si="579"/>
        <v>#VALUE!</v>
      </c>
      <c r="I1059" s="116" t="e">
        <f t="shared" si="579"/>
        <v>#VALUE!</v>
      </c>
      <c r="J1059" s="116" t="e">
        <f t="shared" si="579"/>
        <v>#VALUE!</v>
      </c>
      <c r="K1059" s="116" t="e">
        <f t="shared" si="579"/>
        <v>#VALUE!</v>
      </c>
      <c r="L1059" s="116" t="e">
        <f t="shared" si="579"/>
        <v>#VALUE!</v>
      </c>
      <c r="N1059" s="108">
        <v>0.75</v>
      </c>
      <c r="O1059" s="116" t="e">
        <f t="shared" si="580"/>
        <v>#VALUE!</v>
      </c>
      <c r="P1059" s="116" t="e">
        <f t="shared" si="581"/>
        <v>#VALUE!</v>
      </c>
      <c r="Q1059" s="116" t="e">
        <f t="shared" si="582"/>
        <v>#VALUE!</v>
      </c>
      <c r="R1059" s="116" t="e">
        <f t="shared" si="583"/>
        <v>#VALUE!</v>
      </c>
      <c r="S1059" s="108">
        <v>0.75</v>
      </c>
      <c r="T1059" s="116" t="e">
        <f t="shared" si="584"/>
        <v>#VALUE!</v>
      </c>
      <c r="U1059" s="116" t="e">
        <f t="shared" si="585"/>
        <v>#VALUE!</v>
      </c>
      <c r="V1059" s="116" t="e">
        <f t="shared" si="586"/>
        <v>#VALUE!</v>
      </c>
      <c r="W1059" s="116" t="e">
        <f t="shared" si="587"/>
        <v>#VALUE!</v>
      </c>
      <c r="X1059" s="3" t="str">
        <f>INDEX(DistFuncAllocOptions,ROW(A1059)-ROW($A$92)+1,[4]Inputs!$S$11)</f>
        <v>PLNT</v>
      </c>
      <c r="Y1059" s="116" t="e">
        <f t="shared" si="588"/>
        <v>#VALUE!</v>
      </c>
      <c r="Z1059" s="116" t="e">
        <f t="shared" si="588"/>
        <v>#VALUE!</v>
      </c>
      <c r="AA1059" s="116" t="e">
        <f t="shared" si="588"/>
        <v>#VALUE!</v>
      </c>
      <c r="AB1059" s="116" t="e">
        <f t="shared" si="588"/>
        <v>#VALUE!</v>
      </c>
      <c r="AC1059" s="116" t="e">
        <f t="shared" si="588"/>
        <v>#VALUE!</v>
      </c>
      <c r="AD1059" s="117" t="e">
        <f t="shared" si="589"/>
        <v>#VALUE!</v>
      </c>
      <c r="AE1059" s="117" t="e">
        <f t="shared" si="590"/>
        <v>#VALUE!</v>
      </c>
      <c r="AF1059" s="117" t="e">
        <f t="shared" si="591"/>
        <v>#VALUE!</v>
      </c>
      <c r="AG1059" s="117" t="e">
        <f t="shared" si="592"/>
        <v>#VALUE!</v>
      </c>
      <c r="AH1059" s="116"/>
      <c r="AI1059">
        <f t="shared" si="539"/>
        <v>41111</v>
      </c>
      <c r="AJ1059" t="str">
        <f t="shared" si="577"/>
        <v>SNPD</v>
      </c>
      <c r="AK1059" t="str">
        <f>IF(ISERROR(MATCH(AI1059&amp;"."&amp;AJ1059,AK$91:AK1058,0)),AI1059&amp;"."&amp;AJ1059,AI1059&amp;"."&amp;AJ1059&amp;COUNTIFS(AI$91:AI1058,AI1059,AJ$91:AJ1058,AJ1059))</f>
        <v>41111.SNPD</v>
      </c>
    </row>
    <row r="1060" spans="1:37" ht="15" hidden="1">
      <c r="A1060" s="120">
        <f>ROW()</f>
        <v>1060</v>
      </c>
      <c r="B1060" s="120"/>
      <c r="E1060" s="120" t="s">
        <v>283</v>
      </c>
      <c r="F1060" s="138" t="str">
        <f>INDEX(FuncAllocOptions,ROW(A1060)-ROW($A$92)+1,[4]Inputs!$S$11)</f>
        <v>P</v>
      </c>
      <c r="G1060" s="117" t="e">
        <f t="shared" si="578"/>
        <v>#VALUE!</v>
      </c>
      <c r="H1060" s="116" t="e">
        <f t="shared" si="579"/>
        <v>#VALUE!</v>
      </c>
      <c r="I1060" s="116" t="e">
        <f t="shared" si="579"/>
        <v>#VALUE!</v>
      </c>
      <c r="J1060" s="116" t="e">
        <f t="shared" si="579"/>
        <v>#VALUE!</v>
      </c>
      <c r="K1060" s="116" t="e">
        <f t="shared" si="579"/>
        <v>#VALUE!</v>
      </c>
      <c r="L1060" s="116" t="e">
        <f t="shared" si="579"/>
        <v>#VALUE!</v>
      </c>
      <c r="N1060" s="108">
        <v>0.75</v>
      </c>
      <c r="O1060" s="116" t="e">
        <f t="shared" si="580"/>
        <v>#VALUE!</v>
      </c>
      <c r="P1060" s="116" t="e">
        <f t="shared" si="581"/>
        <v>#VALUE!</v>
      </c>
      <c r="Q1060" s="116" t="e">
        <f t="shared" si="582"/>
        <v>#VALUE!</v>
      </c>
      <c r="R1060" s="116" t="e">
        <f t="shared" si="583"/>
        <v>#VALUE!</v>
      </c>
      <c r="S1060" s="108">
        <v>0.75</v>
      </c>
      <c r="T1060" s="116" t="e">
        <f t="shared" si="584"/>
        <v>#VALUE!</v>
      </c>
      <c r="U1060" s="116" t="e">
        <f t="shared" si="585"/>
        <v>#VALUE!</v>
      </c>
      <c r="V1060" s="116" t="e">
        <f t="shared" si="586"/>
        <v>#VALUE!</v>
      </c>
      <c r="W1060" s="116" t="e">
        <f t="shared" si="587"/>
        <v>#VALUE!</v>
      </c>
      <c r="X1060" s="3" t="str">
        <f>INDEX(DistFuncAllocOptions,ROW(A1060)-ROW($A$92)+1,[4]Inputs!$S$11)</f>
        <v>PLNT</v>
      </c>
      <c r="Y1060" s="116" t="e">
        <f t="shared" si="588"/>
        <v>#VALUE!</v>
      </c>
      <c r="Z1060" s="116" t="e">
        <f t="shared" si="588"/>
        <v>#VALUE!</v>
      </c>
      <c r="AA1060" s="116" t="e">
        <f t="shared" si="588"/>
        <v>#VALUE!</v>
      </c>
      <c r="AB1060" s="116" t="e">
        <f t="shared" si="588"/>
        <v>#VALUE!</v>
      </c>
      <c r="AC1060" s="116" t="e">
        <f t="shared" si="588"/>
        <v>#VALUE!</v>
      </c>
      <c r="AD1060" s="117" t="e">
        <f t="shared" si="589"/>
        <v>#VALUE!</v>
      </c>
      <c r="AE1060" s="117" t="e">
        <f t="shared" si="590"/>
        <v>#VALUE!</v>
      </c>
      <c r="AF1060" s="117" t="e">
        <f t="shared" si="591"/>
        <v>#VALUE!</v>
      </c>
      <c r="AG1060" s="117" t="e">
        <f t="shared" si="592"/>
        <v>#VALUE!</v>
      </c>
      <c r="AH1060" s="116"/>
      <c r="AI1060">
        <f t="shared" si="539"/>
        <v>41111</v>
      </c>
      <c r="AJ1060" t="str">
        <f t="shared" si="577"/>
        <v>SGCT</v>
      </c>
      <c r="AK1060" t="str">
        <f>IF(ISERROR(MATCH(AI1060&amp;"."&amp;AJ1060,AK$91:AK1059,0)),AI1060&amp;"."&amp;AJ1060,AI1060&amp;"."&amp;AJ1060&amp;COUNTIFS(AI$91:AI1059,AI1060,AJ$91:AJ1059,AJ1060))</f>
        <v>41111.SGCT</v>
      </c>
    </row>
    <row r="1061" spans="1:37" ht="15" hidden="1">
      <c r="A1061" s="120">
        <f>ROW()</f>
        <v>1061</v>
      </c>
      <c r="B1061" s="120"/>
      <c r="E1061" s="120" t="s">
        <v>15</v>
      </c>
      <c r="F1061" s="138" t="str">
        <f>INDEX(FuncAllocOptions,ROW(A1061)-ROW($A$92)+1,[4]Inputs!$S$11)</f>
        <v>PT</v>
      </c>
      <c r="G1061" s="117" t="e">
        <f t="shared" si="578"/>
        <v>#VALUE!</v>
      </c>
      <c r="H1061" s="116" t="e">
        <f t="shared" si="579"/>
        <v>#VALUE!</v>
      </c>
      <c r="I1061" s="116" t="e">
        <f t="shared" si="579"/>
        <v>#VALUE!</v>
      </c>
      <c r="J1061" s="116" t="e">
        <f t="shared" si="579"/>
        <v>#VALUE!</v>
      </c>
      <c r="K1061" s="116" t="e">
        <f t="shared" si="579"/>
        <v>#VALUE!</v>
      </c>
      <c r="L1061" s="116" t="e">
        <f t="shared" si="579"/>
        <v>#VALUE!</v>
      </c>
      <c r="N1061" s="108">
        <v>0.75</v>
      </c>
      <c r="O1061" s="116" t="e">
        <f t="shared" si="580"/>
        <v>#VALUE!</v>
      </c>
      <c r="P1061" s="116" t="e">
        <f t="shared" si="581"/>
        <v>#VALUE!</v>
      </c>
      <c r="Q1061" s="116" t="e">
        <f t="shared" si="582"/>
        <v>#VALUE!</v>
      </c>
      <c r="R1061" s="116" t="e">
        <f t="shared" si="583"/>
        <v>#VALUE!</v>
      </c>
      <c r="S1061" s="108">
        <v>0.75</v>
      </c>
      <c r="T1061" s="116" t="e">
        <f t="shared" si="584"/>
        <v>#VALUE!</v>
      </c>
      <c r="U1061" s="116" t="e">
        <f t="shared" si="585"/>
        <v>#VALUE!</v>
      </c>
      <c r="V1061" s="116" t="e">
        <f t="shared" si="586"/>
        <v>#VALUE!</v>
      </c>
      <c r="W1061" s="116" t="e">
        <f t="shared" si="587"/>
        <v>#VALUE!</v>
      </c>
      <c r="X1061" s="3" t="str">
        <f>INDEX(DistFuncAllocOptions,ROW(A1061)-ROW($A$92)+1,[4]Inputs!$S$11)</f>
        <v>PLNT</v>
      </c>
      <c r="Y1061" s="116" t="e">
        <f t="shared" si="588"/>
        <v>#VALUE!</v>
      </c>
      <c r="Z1061" s="116" t="e">
        <f t="shared" si="588"/>
        <v>#VALUE!</v>
      </c>
      <c r="AA1061" s="116" t="e">
        <f t="shared" si="588"/>
        <v>#VALUE!</v>
      </c>
      <c r="AB1061" s="116" t="e">
        <f t="shared" si="588"/>
        <v>#VALUE!</v>
      </c>
      <c r="AC1061" s="116" t="e">
        <f t="shared" si="588"/>
        <v>#VALUE!</v>
      </c>
      <c r="AD1061" s="117" t="e">
        <f t="shared" si="589"/>
        <v>#VALUE!</v>
      </c>
      <c r="AE1061" s="117" t="e">
        <f t="shared" si="590"/>
        <v>#VALUE!</v>
      </c>
      <c r="AF1061" s="117" t="e">
        <f t="shared" si="591"/>
        <v>#VALUE!</v>
      </c>
      <c r="AG1061" s="117" t="e">
        <f t="shared" si="592"/>
        <v>#VALUE!</v>
      </c>
      <c r="AH1061" s="116"/>
      <c r="AI1061">
        <f t="shared" si="539"/>
        <v>41111</v>
      </c>
      <c r="AJ1061" t="str">
        <f t="shared" si="577"/>
        <v>SG</v>
      </c>
      <c r="AK1061" t="str">
        <f>IF(ISERROR(MATCH(AI1061&amp;"."&amp;AJ1061,AK$91:AK1060,0)),AI1061&amp;"."&amp;AJ1061,AI1061&amp;"."&amp;AJ1061&amp;COUNTIFS(AI$91:AI1060,AI1061,AJ$91:AJ1060,AJ1061))</f>
        <v>41111.SG</v>
      </c>
    </row>
    <row r="1062" spans="1:37" ht="15" hidden="1">
      <c r="A1062" s="120">
        <f>ROW()</f>
        <v>1062</v>
      </c>
      <c r="B1062" s="120"/>
      <c r="E1062" s="120" t="s">
        <v>449</v>
      </c>
      <c r="F1062" s="138" t="str">
        <f>INDEX(FuncAllocOptions,ROW(A1062)-ROW($A$92)+1,[4]Inputs!$S$11)</f>
        <v>CUST</v>
      </c>
      <c r="G1062" s="117" t="e">
        <f t="shared" si="578"/>
        <v>#VALUE!</v>
      </c>
      <c r="H1062" s="116" t="e">
        <f t="shared" si="579"/>
        <v>#VALUE!</v>
      </c>
      <c r="I1062" s="116" t="e">
        <f t="shared" si="579"/>
        <v>#VALUE!</v>
      </c>
      <c r="J1062" s="116" t="e">
        <f t="shared" si="579"/>
        <v>#VALUE!</v>
      </c>
      <c r="K1062" s="116" t="e">
        <f t="shared" si="579"/>
        <v>#VALUE!</v>
      </c>
      <c r="L1062" s="116" t="e">
        <f t="shared" si="579"/>
        <v>#VALUE!</v>
      </c>
      <c r="N1062" s="108">
        <v>0.75</v>
      </c>
      <c r="O1062" s="116" t="e">
        <f t="shared" si="580"/>
        <v>#VALUE!</v>
      </c>
      <c r="P1062" s="116" t="e">
        <f t="shared" si="581"/>
        <v>#VALUE!</v>
      </c>
      <c r="Q1062" s="116" t="e">
        <f t="shared" si="582"/>
        <v>#VALUE!</v>
      </c>
      <c r="R1062" s="116" t="e">
        <f t="shared" si="583"/>
        <v>#VALUE!</v>
      </c>
      <c r="S1062" s="108">
        <v>0.75</v>
      </c>
      <c r="T1062" s="116" t="e">
        <f t="shared" si="584"/>
        <v>#VALUE!</v>
      </c>
      <c r="U1062" s="116" t="e">
        <f t="shared" si="585"/>
        <v>#VALUE!</v>
      </c>
      <c r="V1062" s="116" t="e">
        <f t="shared" si="586"/>
        <v>#VALUE!</v>
      </c>
      <c r="W1062" s="116" t="e">
        <f t="shared" si="587"/>
        <v>#VALUE!</v>
      </c>
      <c r="X1062" s="3" t="str">
        <f>INDEX(DistFuncAllocOptions,ROW(A1062)-ROW($A$92)+1,[4]Inputs!$S$11)</f>
        <v>PLNT</v>
      </c>
      <c r="Y1062" s="116" t="e">
        <f t="shared" si="588"/>
        <v>#VALUE!</v>
      </c>
      <c r="Z1062" s="116" t="e">
        <f t="shared" si="588"/>
        <v>#VALUE!</v>
      </c>
      <c r="AA1062" s="116" t="e">
        <f t="shared" si="588"/>
        <v>#VALUE!</v>
      </c>
      <c r="AB1062" s="116" t="e">
        <f t="shared" si="588"/>
        <v>#VALUE!</v>
      </c>
      <c r="AC1062" s="116" t="e">
        <f t="shared" si="588"/>
        <v>#VALUE!</v>
      </c>
      <c r="AD1062" s="117" t="e">
        <f t="shared" si="589"/>
        <v>#VALUE!</v>
      </c>
      <c r="AE1062" s="117" t="e">
        <f t="shared" si="590"/>
        <v>#VALUE!</v>
      </c>
      <c r="AF1062" s="117" t="e">
        <f t="shared" si="591"/>
        <v>#VALUE!</v>
      </c>
      <c r="AG1062" s="117" t="e">
        <f t="shared" si="592"/>
        <v>#VALUE!</v>
      </c>
      <c r="AH1062" s="116"/>
      <c r="AI1062">
        <f t="shared" si="539"/>
        <v>41111</v>
      </c>
      <c r="AJ1062" t="str">
        <f t="shared" si="577"/>
        <v>BADDEBT</v>
      </c>
      <c r="AK1062" t="str">
        <f>IF(ISERROR(MATCH(AI1062&amp;"."&amp;AJ1062,AK$91:AK1061,0)),AI1062&amp;"."&amp;AJ1062,AI1062&amp;"."&amp;AJ1062&amp;COUNTIFS(AI$91:AI1061,AI1062,AJ$91:AJ1061,AJ1062))</f>
        <v>41111.BADDEBT</v>
      </c>
    </row>
    <row r="1063" spans="1:37" ht="15" hidden="1">
      <c r="A1063" s="120">
        <f>ROW()</f>
        <v>1063</v>
      </c>
      <c r="B1063" s="120"/>
      <c r="E1063" s="120" t="s">
        <v>423</v>
      </c>
      <c r="F1063" s="138" t="str">
        <f>INDEX(FuncAllocOptions,ROW(A1063)-ROW($A$92)+1,[4]Inputs!$S$11)</f>
        <v>GP</v>
      </c>
      <c r="G1063" s="117" t="e">
        <f t="shared" si="578"/>
        <v>#VALUE!</v>
      </c>
      <c r="H1063" s="116" t="e">
        <f t="shared" si="579"/>
        <v>#VALUE!</v>
      </c>
      <c r="I1063" s="116" t="e">
        <f t="shared" si="579"/>
        <v>#VALUE!</v>
      </c>
      <c r="J1063" s="116" t="e">
        <f t="shared" si="579"/>
        <v>#VALUE!</v>
      </c>
      <c r="K1063" s="116" t="e">
        <f t="shared" si="579"/>
        <v>#VALUE!</v>
      </c>
      <c r="L1063" s="116" t="e">
        <f t="shared" si="579"/>
        <v>#VALUE!</v>
      </c>
      <c r="N1063" s="108">
        <v>0.75</v>
      </c>
      <c r="O1063" s="116" t="e">
        <f t="shared" si="580"/>
        <v>#VALUE!</v>
      </c>
      <c r="P1063" s="116" t="e">
        <f t="shared" si="581"/>
        <v>#VALUE!</v>
      </c>
      <c r="Q1063" s="116" t="e">
        <f t="shared" si="582"/>
        <v>#VALUE!</v>
      </c>
      <c r="R1063" s="116" t="e">
        <f t="shared" si="583"/>
        <v>#VALUE!</v>
      </c>
      <c r="S1063" s="108">
        <v>0.75</v>
      </c>
      <c r="T1063" s="116" t="e">
        <f t="shared" si="584"/>
        <v>#VALUE!</v>
      </c>
      <c r="U1063" s="116" t="e">
        <f t="shared" si="585"/>
        <v>#VALUE!</v>
      </c>
      <c r="V1063" s="116" t="e">
        <f t="shared" si="586"/>
        <v>#VALUE!</v>
      </c>
      <c r="W1063" s="116" t="e">
        <f t="shared" si="587"/>
        <v>#VALUE!</v>
      </c>
      <c r="X1063" s="3" t="str">
        <f>INDEX(DistFuncAllocOptions,ROW(A1063)-ROW($A$92)+1,[4]Inputs!$S$11)</f>
        <v>PLNT</v>
      </c>
      <c r="Y1063" s="116" t="e">
        <f t="shared" si="588"/>
        <v>#VALUE!</v>
      </c>
      <c r="Z1063" s="116" t="e">
        <f t="shared" si="588"/>
        <v>#VALUE!</v>
      </c>
      <c r="AA1063" s="116" t="e">
        <f t="shared" si="588"/>
        <v>#VALUE!</v>
      </c>
      <c r="AB1063" s="116" t="e">
        <f t="shared" si="588"/>
        <v>#VALUE!</v>
      </c>
      <c r="AC1063" s="116" t="e">
        <f t="shared" si="588"/>
        <v>#VALUE!</v>
      </c>
      <c r="AD1063" s="117" t="e">
        <f t="shared" si="589"/>
        <v>#VALUE!</v>
      </c>
      <c r="AE1063" s="117" t="e">
        <f t="shared" si="590"/>
        <v>#VALUE!</v>
      </c>
      <c r="AF1063" s="117" t="e">
        <f t="shared" si="591"/>
        <v>#VALUE!</v>
      </c>
      <c r="AG1063" s="117" t="e">
        <f t="shared" si="592"/>
        <v>#VALUE!</v>
      </c>
      <c r="AH1063" s="116"/>
      <c r="AI1063">
        <f t="shared" si="539"/>
        <v>41111</v>
      </c>
      <c r="AJ1063" t="str">
        <f t="shared" si="577"/>
        <v>GPS</v>
      </c>
      <c r="AK1063" t="str">
        <f>IF(ISERROR(MATCH(AI1063&amp;"."&amp;AJ1063,AK$91:AK1062,0)),AI1063&amp;"."&amp;AJ1063,AI1063&amp;"."&amp;AJ1063&amp;COUNTIFS(AI$91:AI1062,AI1063,AJ$91:AJ1062,AJ1063))</f>
        <v>41111.GPS</v>
      </c>
    </row>
    <row r="1064" spans="1:37" ht="15" hidden="1">
      <c r="A1064" s="120">
        <f>ROW()</f>
        <v>1064</v>
      </c>
      <c r="B1064" s="120"/>
      <c r="E1064" s="120" t="s">
        <v>136</v>
      </c>
      <c r="F1064" s="138" t="str">
        <f>INDEX(FuncAllocOptions,ROW(A1064)-ROW($A$92)+1,[4]Inputs!$S$11)</f>
        <v>LABOR</v>
      </c>
      <c r="G1064" s="117" t="e">
        <f t="shared" si="578"/>
        <v>#VALUE!</v>
      </c>
      <c r="H1064" s="116" t="e">
        <f t="shared" si="579"/>
        <v>#VALUE!</v>
      </c>
      <c r="I1064" s="116" t="e">
        <f t="shared" si="579"/>
        <v>#VALUE!</v>
      </c>
      <c r="J1064" s="116" t="e">
        <f t="shared" si="579"/>
        <v>#VALUE!</v>
      </c>
      <c r="K1064" s="116" t="e">
        <f t="shared" si="579"/>
        <v>#VALUE!</v>
      </c>
      <c r="L1064" s="116" t="e">
        <f t="shared" si="579"/>
        <v>#VALUE!</v>
      </c>
      <c r="N1064" s="108">
        <v>0.75</v>
      </c>
      <c r="O1064" s="116" t="e">
        <f t="shared" si="580"/>
        <v>#VALUE!</v>
      </c>
      <c r="P1064" s="116" t="e">
        <f t="shared" si="581"/>
        <v>#VALUE!</v>
      </c>
      <c r="Q1064" s="116" t="e">
        <f t="shared" si="582"/>
        <v>#VALUE!</v>
      </c>
      <c r="R1064" s="116" t="e">
        <f t="shared" si="583"/>
        <v>#VALUE!</v>
      </c>
      <c r="S1064" s="108">
        <v>0.75</v>
      </c>
      <c r="T1064" s="116" t="e">
        <f t="shared" si="584"/>
        <v>#VALUE!</v>
      </c>
      <c r="U1064" s="116" t="e">
        <f t="shared" si="585"/>
        <v>#VALUE!</v>
      </c>
      <c r="V1064" s="116" t="e">
        <f t="shared" si="586"/>
        <v>#VALUE!</v>
      </c>
      <c r="W1064" s="116" t="e">
        <f t="shared" si="587"/>
        <v>#VALUE!</v>
      </c>
      <c r="X1064" s="3" t="str">
        <f>INDEX(DistFuncAllocOptions,ROW(A1064)-ROW($A$92)+1,[4]Inputs!$S$11)</f>
        <v>DISom</v>
      </c>
      <c r="Y1064" s="116" t="e">
        <f t="shared" si="588"/>
        <v>#VALUE!</v>
      </c>
      <c r="Z1064" s="116" t="e">
        <f t="shared" si="588"/>
        <v>#VALUE!</v>
      </c>
      <c r="AA1064" s="116" t="e">
        <f t="shared" si="588"/>
        <v>#VALUE!</v>
      </c>
      <c r="AB1064" s="116" t="e">
        <f t="shared" si="588"/>
        <v>#VALUE!</v>
      </c>
      <c r="AC1064" s="116" t="e">
        <f t="shared" si="588"/>
        <v>#VALUE!</v>
      </c>
      <c r="AD1064" s="117" t="e">
        <f t="shared" si="589"/>
        <v>#VALUE!</v>
      </c>
      <c r="AE1064" s="117" t="e">
        <f t="shared" si="590"/>
        <v>#VALUE!</v>
      </c>
      <c r="AF1064" s="117" t="e">
        <f t="shared" si="591"/>
        <v>#VALUE!</v>
      </c>
      <c r="AG1064" s="117" t="e">
        <f t="shared" si="592"/>
        <v>#VALUE!</v>
      </c>
      <c r="AH1064" s="116"/>
      <c r="AI1064">
        <f t="shared" si="539"/>
        <v>41111</v>
      </c>
      <c r="AJ1064" t="str">
        <f t="shared" si="577"/>
        <v>SO</v>
      </c>
      <c r="AK1064" t="str">
        <f>IF(ISERROR(MATCH(AI1064&amp;"."&amp;AJ1064,AK$91:AK1063,0)),AI1064&amp;"."&amp;AJ1064,AI1064&amp;"."&amp;AJ1064&amp;COUNTIFS(AI$91:AI1063,AI1064,AJ$91:AJ1063,AJ1064))</f>
        <v>41111.SO</v>
      </c>
    </row>
    <row r="1065" spans="1:37" ht="15" hidden="1">
      <c r="A1065" s="120">
        <f>ROW()</f>
        <v>1065</v>
      </c>
      <c r="B1065" s="120"/>
      <c r="E1065" s="120" t="s">
        <v>16</v>
      </c>
      <c r="F1065" s="138" t="str">
        <f>INDEX(FuncAllocOptions,ROW(A1065)-ROW($A$92)+1,[4]Inputs!$S$11)</f>
        <v>P</v>
      </c>
      <c r="G1065" s="117" t="e">
        <f t="shared" si="578"/>
        <v>#VALUE!</v>
      </c>
      <c r="H1065" s="116" t="e">
        <f t="shared" si="579"/>
        <v>#VALUE!</v>
      </c>
      <c r="I1065" s="116" t="e">
        <f t="shared" si="579"/>
        <v>#VALUE!</v>
      </c>
      <c r="J1065" s="116" t="e">
        <f t="shared" si="579"/>
        <v>#VALUE!</v>
      </c>
      <c r="K1065" s="116" t="e">
        <f t="shared" si="579"/>
        <v>#VALUE!</v>
      </c>
      <c r="L1065" s="116" t="e">
        <f t="shared" si="579"/>
        <v>#VALUE!</v>
      </c>
      <c r="N1065" s="108">
        <v>0.75</v>
      </c>
      <c r="O1065" s="116" t="e">
        <f t="shared" si="580"/>
        <v>#VALUE!</v>
      </c>
      <c r="P1065" s="116" t="e">
        <f t="shared" si="581"/>
        <v>#VALUE!</v>
      </c>
      <c r="Q1065" s="116" t="e">
        <f t="shared" si="582"/>
        <v>#VALUE!</v>
      </c>
      <c r="R1065" s="116" t="e">
        <f t="shared" si="583"/>
        <v>#VALUE!</v>
      </c>
      <c r="S1065" s="108">
        <v>0.75</v>
      </c>
      <c r="T1065" s="116" t="e">
        <f t="shared" si="584"/>
        <v>#VALUE!</v>
      </c>
      <c r="U1065" s="116" t="e">
        <f t="shared" si="585"/>
        <v>#VALUE!</v>
      </c>
      <c r="V1065" s="116" t="e">
        <f t="shared" si="586"/>
        <v>#VALUE!</v>
      </c>
      <c r="W1065" s="116" t="e">
        <f t="shared" si="587"/>
        <v>#VALUE!</v>
      </c>
      <c r="X1065" s="3" t="str">
        <f>INDEX(DistFuncAllocOptions,ROW(A1065)-ROW($A$92)+1,[4]Inputs!$S$11)</f>
        <v>PLNT</v>
      </c>
      <c r="Y1065" s="116" t="e">
        <f t="shared" si="588"/>
        <v>#VALUE!</v>
      </c>
      <c r="Z1065" s="116" t="e">
        <f t="shared" si="588"/>
        <v>#VALUE!</v>
      </c>
      <c r="AA1065" s="116" t="e">
        <f t="shared" si="588"/>
        <v>#VALUE!</v>
      </c>
      <c r="AB1065" s="116" t="e">
        <f t="shared" si="588"/>
        <v>#VALUE!</v>
      </c>
      <c r="AC1065" s="116" t="e">
        <f t="shared" si="588"/>
        <v>#VALUE!</v>
      </c>
      <c r="AD1065" s="117" t="e">
        <f t="shared" si="589"/>
        <v>#VALUE!</v>
      </c>
      <c r="AE1065" s="117" t="e">
        <f t="shared" si="590"/>
        <v>#VALUE!</v>
      </c>
      <c r="AF1065" s="117" t="e">
        <f t="shared" si="591"/>
        <v>#VALUE!</v>
      </c>
      <c r="AG1065" s="117" t="e">
        <f t="shared" si="592"/>
        <v>#VALUE!</v>
      </c>
      <c r="AH1065" s="116"/>
      <c r="AI1065">
        <f t="shared" si="539"/>
        <v>41111</v>
      </c>
      <c r="AJ1065" t="str">
        <f t="shared" si="577"/>
        <v>SE</v>
      </c>
      <c r="AK1065" t="str">
        <f>IF(ISERROR(MATCH(AI1065&amp;"."&amp;AJ1065,AK$91:AK1064,0)),AI1065&amp;"."&amp;AJ1065,AI1065&amp;"."&amp;AJ1065&amp;COUNTIFS(AI$91:AI1064,AI1065,AJ$91:AJ1064,AJ1065))</f>
        <v>41111.SE</v>
      </c>
    </row>
    <row r="1066" spans="1:37" ht="15" hidden="1">
      <c r="A1066" s="120">
        <f>ROW()</f>
        <v>1066</v>
      </c>
      <c r="B1066" s="120"/>
      <c r="E1066" s="120" t="s">
        <v>284</v>
      </c>
      <c r="F1066" s="138" t="str">
        <f>INDEX(FuncAllocOptions,ROW(A1066)-ROW($A$92)+1,[4]Inputs!$S$11)</f>
        <v>P</v>
      </c>
      <c r="G1066" s="117" t="e">
        <f t="shared" si="578"/>
        <v>#VALUE!</v>
      </c>
      <c r="H1066" s="116" t="e">
        <f t="shared" si="579"/>
        <v>#VALUE!</v>
      </c>
      <c r="I1066" s="116" t="e">
        <f t="shared" si="579"/>
        <v>#VALUE!</v>
      </c>
      <c r="J1066" s="116" t="e">
        <f t="shared" si="579"/>
        <v>#VALUE!</v>
      </c>
      <c r="K1066" s="116" t="e">
        <f t="shared" si="579"/>
        <v>#VALUE!</v>
      </c>
      <c r="L1066" s="116" t="e">
        <f t="shared" si="579"/>
        <v>#VALUE!</v>
      </c>
      <c r="N1066" s="108">
        <v>0.75</v>
      </c>
      <c r="O1066" s="116" t="e">
        <f t="shared" si="580"/>
        <v>#VALUE!</v>
      </c>
      <c r="P1066" s="116" t="e">
        <f t="shared" si="581"/>
        <v>#VALUE!</v>
      </c>
      <c r="Q1066" s="116" t="e">
        <f t="shared" si="582"/>
        <v>#VALUE!</v>
      </c>
      <c r="R1066" s="116" t="e">
        <f t="shared" si="583"/>
        <v>#VALUE!</v>
      </c>
      <c r="S1066" s="108">
        <v>0.75</v>
      </c>
      <c r="T1066" s="116" t="e">
        <f t="shared" si="584"/>
        <v>#VALUE!</v>
      </c>
      <c r="U1066" s="116" t="e">
        <f t="shared" si="585"/>
        <v>#VALUE!</v>
      </c>
      <c r="V1066" s="116" t="e">
        <f t="shared" si="586"/>
        <v>#VALUE!</v>
      </c>
      <c r="W1066" s="116" t="e">
        <f t="shared" si="587"/>
        <v>#VALUE!</v>
      </c>
      <c r="X1066" s="3" t="str">
        <f>INDEX(DistFuncAllocOptions,ROW(A1066)-ROW($A$92)+1,[4]Inputs!$S$11)</f>
        <v>PLNT</v>
      </c>
      <c r="Y1066" s="116" t="e">
        <f t="shared" si="588"/>
        <v>#VALUE!</v>
      </c>
      <c r="Z1066" s="116" t="e">
        <f t="shared" si="588"/>
        <v>#VALUE!</v>
      </c>
      <c r="AA1066" s="116" t="e">
        <f t="shared" si="588"/>
        <v>#VALUE!</v>
      </c>
      <c r="AB1066" s="116" t="e">
        <f t="shared" si="588"/>
        <v>#VALUE!</v>
      </c>
      <c r="AC1066" s="116" t="e">
        <f t="shared" si="588"/>
        <v>#VALUE!</v>
      </c>
      <c r="AD1066" s="117" t="e">
        <f t="shared" si="589"/>
        <v>#VALUE!</v>
      </c>
      <c r="AE1066" s="117" t="e">
        <f t="shared" si="590"/>
        <v>#VALUE!</v>
      </c>
      <c r="AF1066" s="117" t="e">
        <f t="shared" si="591"/>
        <v>#VALUE!</v>
      </c>
      <c r="AG1066" s="117" t="e">
        <f t="shared" si="592"/>
        <v>#VALUE!</v>
      </c>
      <c r="AH1066" s="116"/>
      <c r="AI1066">
        <f t="shared" si="539"/>
        <v>41111</v>
      </c>
      <c r="AJ1066" t="str">
        <f t="shared" si="577"/>
        <v>TROJP</v>
      </c>
      <c r="AK1066" t="str">
        <f>IF(ISERROR(MATCH(AI1066&amp;"."&amp;AJ1066,AK$91:AK1065,0)),AI1066&amp;"."&amp;AJ1066,AI1066&amp;"."&amp;AJ1066&amp;COUNTIFS(AI$91:AI1065,AI1066,AJ$91:AJ1065,AJ1066))</f>
        <v>41111.TROJP</v>
      </c>
    </row>
    <row r="1067" spans="1:37" ht="15" hidden="1">
      <c r="A1067" s="120">
        <f>ROW()</f>
        <v>1067</v>
      </c>
      <c r="B1067" s="120"/>
      <c r="E1067" s="120" t="s">
        <v>15</v>
      </c>
      <c r="F1067" s="138" t="str">
        <f>INDEX(FuncAllocOptions,ROW(A1067)-ROW($A$92)+1,[4]Inputs!$S$11)</f>
        <v>PT</v>
      </c>
      <c r="G1067" s="133" t="e">
        <f t="shared" si="578"/>
        <v>#VALUE!</v>
      </c>
      <c r="H1067" s="139" t="e">
        <f t="shared" si="579"/>
        <v>#VALUE!</v>
      </c>
      <c r="I1067" s="139" t="e">
        <f t="shared" si="579"/>
        <v>#VALUE!</v>
      </c>
      <c r="J1067" s="139" t="e">
        <f t="shared" si="579"/>
        <v>#VALUE!</v>
      </c>
      <c r="K1067" s="139" t="e">
        <f t="shared" si="579"/>
        <v>#VALUE!</v>
      </c>
      <c r="L1067" s="139" t="e">
        <f t="shared" si="579"/>
        <v>#VALUE!</v>
      </c>
      <c r="N1067" s="108">
        <v>0.75</v>
      </c>
      <c r="O1067" s="116" t="e">
        <f t="shared" si="580"/>
        <v>#VALUE!</v>
      </c>
      <c r="P1067" s="116" t="e">
        <f t="shared" si="581"/>
        <v>#VALUE!</v>
      </c>
      <c r="Q1067" s="116" t="e">
        <f t="shared" si="582"/>
        <v>#VALUE!</v>
      </c>
      <c r="R1067" s="116" t="e">
        <f t="shared" si="583"/>
        <v>#VALUE!</v>
      </c>
      <c r="S1067" s="108">
        <v>0.75</v>
      </c>
      <c r="T1067" s="116" t="e">
        <f t="shared" si="584"/>
        <v>#VALUE!</v>
      </c>
      <c r="U1067" s="116" t="e">
        <f t="shared" si="585"/>
        <v>#VALUE!</v>
      </c>
      <c r="V1067" s="116" t="e">
        <f t="shared" si="586"/>
        <v>#VALUE!</v>
      </c>
      <c r="W1067" s="116" t="e">
        <f t="shared" si="587"/>
        <v>#VALUE!</v>
      </c>
      <c r="X1067" s="3" t="str">
        <f>INDEX(DistFuncAllocOptions,ROW(A1067)-ROW($A$92)+1,[4]Inputs!$S$11)</f>
        <v>PLNT</v>
      </c>
      <c r="Y1067" s="116" t="e">
        <f t="shared" si="588"/>
        <v>#VALUE!</v>
      </c>
      <c r="Z1067" s="116" t="e">
        <f t="shared" si="588"/>
        <v>#VALUE!</v>
      </c>
      <c r="AA1067" s="116" t="e">
        <f t="shared" si="588"/>
        <v>#VALUE!</v>
      </c>
      <c r="AB1067" s="116" t="e">
        <f t="shared" si="588"/>
        <v>#VALUE!</v>
      </c>
      <c r="AC1067" s="116" t="e">
        <f t="shared" si="588"/>
        <v>#VALUE!</v>
      </c>
      <c r="AD1067" s="117" t="e">
        <f t="shared" si="589"/>
        <v>#VALUE!</v>
      </c>
      <c r="AE1067" s="117" t="e">
        <f t="shared" si="590"/>
        <v>#VALUE!</v>
      </c>
      <c r="AF1067" s="117" t="e">
        <f t="shared" si="591"/>
        <v>#VALUE!</v>
      </c>
      <c r="AG1067" s="117" t="e">
        <f t="shared" si="592"/>
        <v>#VALUE!</v>
      </c>
      <c r="AH1067" s="116"/>
      <c r="AI1067">
        <f t="shared" si="539"/>
        <v>41111</v>
      </c>
      <c r="AJ1067" t="str">
        <f t="shared" si="577"/>
        <v>SG</v>
      </c>
      <c r="AK1067" t="str">
        <f>IF(ISERROR(MATCH(AI1067&amp;"."&amp;AJ1067,AK$91:AK1066,0)),AI1067&amp;"."&amp;AJ1067,AI1067&amp;"."&amp;AJ1067&amp;COUNTIFS(AI$91:AI1066,AI1067,AJ$91:AJ1066,AJ1067))</f>
        <v>41111.SG1</v>
      </c>
    </row>
    <row r="1068" spans="1:37" ht="15" hidden="1">
      <c r="A1068" s="120">
        <f>ROW()</f>
        <v>1068</v>
      </c>
      <c r="B1068" s="120"/>
      <c r="E1068" s="121"/>
      <c r="F1068" s="138"/>
      <c r="G1068" s="117" t="e">
        <f t="shared" ref="G1068:L1068" si="593">SUM(G1056:G1067)</f>
        <v>#VALUE!</v>
      </c>
      <c r="H1068" s="116" t="e">
        <f t="shared" si="593"/>
        <v>#VALUE!</v>
      </c>
      <c r="I1068" s="116" t="e">
        <f t="shared" si="593"/>
        <v>#VALUE!</v>
      </c>
      <c r="J1068" s="116" t="e">
        <f t="shared" si="593"/>
        <v>#VALUE!</v>
      </c>
      <c r="K1068" s="116" t="e">
        <f t="shared" si="593"/>
        <v>#VALUE!</v>
      </c>
      <c r="L1068" s="116" t="e">
        <f t="shared" si="593"/>
        <v>#VALUE!</v>
      </c>
      <c r="O1068" s="116" t="e">
        <f>SUM(O1056:O1067)</f>
        <v>#VALUE!</v>
      </c>
      <c r="P1068" s="116" t="e">
        <f>SUM(P1056:P1067)</f>
        <v>#VALUE!</v>
      </c>
      <c r="Q1068" s="116" t="e">
        <f>SUM(Q1056:Q1067)</f>
        <v>#VALUE!</v>
      </c>
      <c r="R1068" s="116" t="e">
        <f>SUM(R1056:R1067)</f>
        <v>#VALUE!</v>
      </c>
      <c r="T1068" s="116" t="e">
        <f>SUM(T1056:T1067)</f>
        <v>#VALUE!</v>
      </c>
      <c r="U1068" s="116" t="e">
        <f>SUM(U1056:U1067)</f>
        <v>#VALUE!</v>
      </c>
      <c r="V1068" s="116" t="e">
        <f>SUM(V1056:V1067)</f>
        <v>#VALUE!</v>
      </c>
      <c r="W1068" s="116" t="e">
        <f>SUM(W1056:W1067)</f>
        <v>#VALUE!</v>
      </c>
      <c r="X1068" s="3"/>
      <c r="Y1068" s="116" t="e">
        <f>SUM(Y1056:Y1067)</f>
        <v>#VALUE!</v>
      </c>
      <c r="Z1068" s="116" t="e">
        <f>SUM(Z1056:Z1067)</f>
        <v>#VALUE!</v>
      </c>
      <c r="AA1068" s="116" t="e">
        <f>SUM(AA1056:AA1067)</f>
        <v>#VALUE!</v>
      </c>
      <c r="AB1068" s="116" t="e">
        <f>SUM(AB1056:AB1067)</f>
        <v>#VALUE!</v>
      </c>
      <c r="AC1068" s="116" t="e">
        <f>SUM(AC1056:AC1067)</f>
        <v>#VALUE!</v>
      </c>
      <c r="AD1068" s="117" t="e">
        <f t="shared" si="589"/>
        <v>#VALUE!</v>
      </c>
      <c r="AE1068" s="117" t="e">
        <f t="shared" si="590"/>
        <v>#VALUE!</v>
      </c>
      <c r="AF1068" s="117" t="e">
        <f t="shared" si="591"/>
        <v>#VALUE!</v>
      </c>
      <c r="AG1068" s="117" t="e">
        <f t="shared" si="592"/>
        <v>#VALUE!</v>
      </c>
      <c r="AH1068" s="116"/>
      <c r="AI1068">
        <f t="shared" ref="AI1068:AI1131" si="594">IF(OR(C1068="",C1068=" ",C1068="  ",C1068="   "),AI1067,C1068)</f>
        <v>41111</v>
      </c>
      <c r="AJ1068" t="str">
        <f t="shared" si="577"/>
        <v>NA</v>
      </c>
      <c r="AK1068" t="str">
        <f>IF(ISERROR(MATCH(AI1068&amp;"."&amp;AJ1068,AK$91:AK1067,0)),AI1068&amp;"."&amp;AJ1068,AI1068&amp;"."&amp;AJ1068&amp;COUNTIFS(AI$91:AI1067,AI1068,AJ$91:AJ1067,AJ1068))</f>
        <v>41111.NA1</v>
      </c>
    </row>
    <row r="1069" spans="1:37" ht="15" hidden="1">
      <c r="A1069" s="120">
        <f>ROW()</f>
        <v>1069</v>
      </c>
      <c r="B1069" s="120"/>
      <c r="E1069" s="121"/>
      <c r="F1069" s="138"/>
      <c r="G1069" s="119"/>
      <c r="X1069" s="3"/>
      <c r="AD1069" s="119"/>
      <c r="AE1069" s="119"/>
      <c r="AF1069" s="119"/>
      <c r="AG1069" s="119"/>
      <c r="AI1069">
        <f t="shared" si="594"/>
        <v>41111</v>
      </c>
      <c r="AJ1069" t="str">
        <f t="shared" si="577"/>
        <v>NA</v>
      </c>
      <c r="AK1069" t="str">
        <f>IF(ISERROR(MATCH(AI1069&amp;"."&amp;AJ1069,AK$91:AK1068,0)),AI1069&amp;"."&amp;AJ1069,AI1069&amp;"."&amp;AJ1069&amp;COUNTIFS(AI$91:AI1068,AI1069,AJ$91:AJ1068,AJ1069))</f>
        <v>41111.NA2</v>
      </c>
    </row>
    <row r="1070" spans="1:37" ht="15.75" hidden="1" thickBot="1">
      <c r="A1070" s="120">
        <f>ROW()</f>
        <v>1070</v>
      </c>
      <c r="B1070" s="120"/>
      <c r="C1070" s="110" t="s">
        <v>749</v>
      </c>
      <c r="E1070" s="121"/>
      <c r="F1070" s="138"/>
      <c r="G1070" s="153" t="e">
        <f t="shared" ref="G1070:L1070" si="595">G1019+G1034+G1053+G1068</f>
        <v>#VALUE!</v>
      </c>
      <c r="H1070" s="152" t="e">
        <f t="shared" si="595"/>
        <v>#VALUE!</v>
      </c>
      <c r="I1070" s="152" t="e">
        <f t="shared" si="595"/>
        <v>#VALUE!</v>
      </c>
      <c r="J1070" s="152" t="e">
        <f t="shared" si="595"/>
        <v>#VALUE!</v>
      </c>
      <c r="K1070" s="152" t="e">
        <f t="shared" si="595"/>
        <v>#VALUE!</v>
      </c>
      <c r="L1070" s="152" t="e">
        <f t="shared" si="595"/>
        <v>#VALUE!</v>
      </c>
      <c r="O1070" s="116" t="e">
        <f>O1019+O1034+O1053+O1068</f>
        <v>#VALUE!</v>
      </c>
      <c r="P1070" s="116" t="e">
        <f>P1019+P1034+P1053+P1068</f>
        <v>#VALUE!</v>
      </c>
      <c r="Q1070" s="116" t="e">
        <f>Q1019+Q1034+Q1053+Q1068</f>
        <v>#VALUE!</v>
      </c>
      <c r="R1070" s="116" t="e">
        <f>R1019+R1034+R1053+R1068</f>
        <v>#VALUE!</v>
      </c>
      <c r="S1070" s="116"/>
      <c r="T1070" s="116" t="e">
        <f>T1019+T1034+T1053+T1068</f>
        <v>#VALUE!</v>
      </c>
      <c r="U1070" s="116" t="e">
        <f>U1019+U1034+U1053+U1068</f>
        <v>#VALUE!</v>
      </c>
      <c r="V1070" s="116" t="e">
        <f>V1019+V1034+V1053+V1068</f>
        <v>#VALUE!</v>
      </c>
      <c r="W1070" s="116" t="e">
        <f>W1019+W1034+W1053+W1068</f>
        <v>#VALUE!</v>
      </c>
      <c r="X1070" s="3"/>
      <c r="Y1070" s="116" t="e">
        <f>Y1019+Y1034+Y1053+Y1068</f>
        <v>#VALUE!</v>
      </c>
      <c r="Z1070" s="116" t="e">
        <f>Z1019+Z1034+Z1053+Z1068</f>
        <v>#VALUE!</v>
      </c>
      <c r="AA1070" s="116" t="e">
        <f>AA1019+AA1034+AA1053+AA1068</f>
        <v>#VALUE!</v>
      </c>
      <c r="AB1070" s="116" t="e">
        <f>AB1019+AB1034+AB1053+AB1068</f>
        <v>#VALUE!</v>
      </c>
      <c r="AC1070" s="116" t="e">
        <f>AC1019+AC1034+AC1053+AC1068</f>
        <v>#VALUE!</v>
      </c>
      <c r="AD1070" s="117" t="e">
        <f>ROUND(SUM(-G1070,H1070:L1070),0)</f>
        <v>#VALUE!</v>
      </c>
      <c r="AE1070" s="117" t="e">
        <f>ROUND(H1070-O1070-P1070-Q1070-R1070,0)</f>
        <v>#VALUE!</v>
      </c>
      <c r="AF1070" s="117" t="e">
        <f>ROUND(I1070-T1070-U1070-V1070-W1070,0)</f>
        <v>#VALUE!</v>
      </c>
      <c r="AG1070" s="117" t="e">
        <f>ROUND(J1070-Y1070-Z1070-AA1070-AC1070-AB1070,0)</f>
        <v>#VALUE!</v>
      </c>
      <c r="AH1070" s="116"/>
      <c r="AI1070" t="str">
        <f t="shared" si="594"/>
        <v>TOTAL DEFERRED INCOME TAXES</v>
      </c>
      <c r="AJ1070" t="str">
        <f t="shared" si="577"/>
        <v>NA</v>
      </c>
      <c r="AK1070" t="str">
        <f>IF(ISERROR(MATCH(AI1070&amp;"."&amp;AJ1070,AK$91:AK1069,0)),AI1070&amp;"."&amp;AJ1070,AI1070&amp;"."&amp;AJ1070&amp;COUNTIFS(AI$91:AI1069,AI1070,AJ$91:AJ1069,AJ1070))</f>
        <v>TOTAL DEFERRED INCOME TAXES.NA</v>
      </c>
    </row>
    <row r="1071" spans="1:37" ht="15" hidden="1">
      <c r="A1071" s="120">
        <f>ROW()</f>
        <v>1071</v>
      </c>
      <c r="B1071" s="120"/>
      <c r="E1071" s="121"/>
      <c r="F1071" s="138"/>
      <c r="G1071" s="117"/>
      <c r="H1071" s="116"/>
      <c r="I1071" s="116"/>
      <c r="J1071" s="116"/>
      <c r="K1071" s="116"/>
      <c r="L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X1071" s="3"/>
      <c r="Y1071" s="116"/>
      <c r="Z1071" s="116"/>
      <c r="AA1071" s="116"/>
      <c r="AB1071" s="116"/>
      <c r="AC1071" s="116"/>
      <c r="AD1071" s="117"/>
      <c r="AE1071" s="117"/>
      <c r="AF1071" s="117"/>
      <c r="AG1071" s="117"/>
      <c r="AH1071" s="116"/>
      <c r="AI1071" t="str">
        <f t="shared" si="594"/>
        <v>TOTAL DEFERRED INCOME TAXES</v>
      </c>
      <c r="AJ1071" t="str">
        <f t="shared" si="577"/>
        <v>NA</v>
      </c>
      <c r="AK1071" t="str">
        <f>IF(ISERROR(MATCH(AI1071&amp;"."&amp;AJ1071,AK$91:AK1070,0)),AI1071&amp;"."&amp;AJ1071,AI1071&amp;"."&amp;AJ1071&amp;COUNTIFS(AI$91:AI1070,AI1071,AJ$91:AJ1070,AJ1071))</f>
        <v>TOTAL DEFERRED INCOME TAXES.NA1</v>
      </c>
    </row>
    <row r="1072" spans="1:37" ht="15" hidden="1">
      <c r="A1072" s="120">
        <f>ROW()</f>
        <v>1072</v>
      </c>
      <c r="B1072" s="120"/>
      <c r="C1072" s="120" t="s">
        <v>258</v>
      </c>
      <c r="D1072" s="150" t="s">
        <v>456</v>
      </c>
      <c r="E1072" s="121"/>
      <c r="F1072" s="138"/>
      <c r="G1072" s="117"/>
      <c r="H1072" s="116"/>
      <c r="I1072" s="116"/>
      <c r="J1072" s="116"/>
      <c r="K1072" s="116"/>
      <c r="L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X1072" s="3"/>
      <c r="Y1072" s="116"/>
      <c r="Z1072" s="116"/>
      <c r="AA1072" s="116"/>
      <c r="AB1072" s="116"/>
      <c r="AC1072" s="116"/>
      <c r="AD1072" s="117"/>
      <c r="AE1072" s="117"/>
      <c r="AF1072" s="117"/>
      <c r="AG1072" s="117"/>
      <c r="AH1072" s="116"/>
      <c r="AI1072" t="str">
        <f t="shared" si="594"/>
        <v>SCHMAF</v>
      </c>
      <c r="AJ1072" t="str">
        <f t="shared" si="577"/>
        <v>NA</v>
      </c>
      <c r="AK1072" t="str">
        <f>IF(ISERROR(MATCH(AI1072&amp;"."&amp;AJ1072,AK$91:AK1071,0)),AI1072&amp;"."&amp;AJ1072,AI1072&amp;"."&amp;AJ1072&amp;COUNTIFS(AI$91:AI1071,AI1072,AJ$91:AJ1071,AJ1072))</f>
        <v>SCHMAF.NA</v>
      </c>
    </row>
    <row r="1073" spans="1:37" ht="15" hidden="1">
      <c r="A1073" s="120">
        <f>ROW()</f>
        <v>1073</v>
      </c>
      <c r="B1073" s="120"/>
      <c r="C1073" s="120"/>
      <c r="D1073" s="150"/>
      <c r="E1073" s="121" t="s">
        <v>12</v>
      </c>
      <c r="F1073" s="138" t="str">
        <f>INDEX(FuncAllocOptions,ROW(A1073)-ROW($A$92)+1,[4]Inputs!$S$11)</f>
        <v>SCHMAF</v>
      </c>
      <c r="G1073" s="117" t="e">
        <f t="shared" ref="G1073:G1078" si="596">SUMIF(FERCJAMFactor,AK1073,JAMValue)</f>
        <v>#VALUE!</v>
      </c>
      <c r="H1073" s="116" t="e">
        <f t="shared" ref="H1073:L1078" si="597">INDEX(FuncFactorTbl,MATCH($F1073,FuncFactors,0),MATCH(H$8,Functions,0))*$G1073</f>
        <v>#VALUE!</v>
      </c>
      <c r="I1073" s="116" t="e">
        <f t="shared" si="597"/>
        <v>#VALUE!</v>
      </c>
      <c r="J1073" s="116" t="e">
        <f t="shared" si="597"/>
        <v>#VALUE!</v>
      </c>
      <c r="K1073" s="116" t="e">
        <f t="shared" si="597"/>
        <v>#VALUE!</v>
      </c>
      <c r="L1073" s="116" t="e">
        <f t="shared" si="597"/>
        <v>#VALUE!</v>
      </c>
      <c r="N1073" s="108">
        <v>0.75</v>
      </c>
      <c r="O1073" s="116" t="e">
        <f t="shared" ref="O1073:O1078" si="598">$H1073*$N1073*$M1073</f>
        <v>#VALUE!</v>
      </c>
      <c r="P1073" s="116" t="e">
        <f t="shared" ref="P1073:P1078" si="599">$H1073*(1-$N1073)*$M1073</f>
        <v>#VALUE!</v>
      </c>
      <c r="Q1073" s="116" t="e">
        <f t="shared" ref="Q1073:Q1078" si="600">$H1073*$N1073*(1-$M1073)</f>
        <v>#VALUE!</v>
      </c>
      <c r="R1073" s="116" t="e">
        <f t="shared" ref="R1073:R1078" si="601">$H1073*(1-$N1073)*(1-$M1073)</f>
        <v>#VALUE!</v>
      </c>
      <c r="S1073" s="108">
        <v>0.75</v>
      </c>
      <c r="T1073" s="116" t="e">
        <f t="shared" ref="T1073:T1078" si="602">$I1073*$S1073*$M1073</f>
        <v>#VALUE!</v>
      </c>
      <c r="U1073" s="116" t="e">
        <f t="shared" ref="U1073:U1078" si="603">$I1073*(1-$S1073)*$M1073</f>
        <v>#VALUE!</v>
      </c>
      <c r="V1073" s="116" t="e">
        <f t="shared" ref="V1073:V1078" si="604">$I1073*$S1073*(1-$M1073)</f>
        <v>#VALUE!</v>
      </c>
      <c r="W1073" s="116" t="e">
        <f t="shared" ref="W1073:W1078" si="605">$I1073*(1-$S1073)*(1-$M1073)</f>
        <v>#VALUE!</v>
      </c>
      <c r="X1073" s="3" t="str">
        <f>INDEX(DistFuncAllocOptions,ROW(A1073)-ROW($A$92)+1,[4]Inputs!$S$11)</f>
        <v>PLNT</v>
      </c>
      <c r="Y1073" s="116" t="e">
        <f t="shared" ref="Y1073:AC1078" si="606">INDEX(DistFuncFactorTbl,MATCH($X1073,DistFuncFactors,0),MATCH(Y$91,DistFunctions,0))*$J1073</f>
        <v>#VALUE!</v>
      </c>
      <c r="Z1073" s="116" t="e">
        <f t="shared" si="606"/>
        <v>#VALUE!</v>
      </c>
      <c r="AA1073" s="116" t="e">
        <f t="shared" si="606"/>
        <v>#VALUE!</v>
      </c>
      <c r="AB1073" s="116" t="e">
        <f t="shared" si="606"/>
        <v>#VALUE!</v>
      </c>
      <c r="AC1073" s="116" t="e">
        <f t="shared" si="606"/>
        <v>#VALUE!</v>
      </c>
      <c r="AD1073" s="117" t="e">
        <f t="shared" ref="AD1073:AD1078" si="607">ROUND(SUM(-G1073,H1073:L1073),0)</f>
        <v>#VALUE!</v>
      </c>
      <c r="AE1073" s="117" t="e">
        <f t="shared" ref="AE1073:AE1078" si="608">ROUND(H1073-O1073-P1073-Q1073-R1073,0)</f>
        <v>#VALUE!</v>
      </c>
      <c r="AF1073" s="117" t="e">
        <f t="shared" ref="AF1073:AF1078" si="609">ROUND(I1073-T1073-U1073-V1073-W1073,0)</f>
        <v>#VALUE!</v>
      </c>
      <c r="AG1073" s="117" t="e">
        <f t="shared" ref="AG1073:AG1078" si="610">ROUND(J1073-Y1073-Z1073-AA1073-AC1073-AB1073,0)</f>
        <v>#VALUE!</v>
      </c>
      <c r="AH1073" s="116"/>
      <c r="AI1073" t="str">
        <f t="shared" si="594"/>
        <v>SCHMAF</v>
      </c>
      <c r="AJ1073" t="str">
        <f t="shared" si="577"/>
        <v>S</v>
      </c>
      <c r="AK1073" t="str">
        <f>IF(ISERROR(MATCH(AI1073&amp;"."&amp;AJ1073,AK$91:AK1072,0)),AI1073&amp;"."&amp;AJ1073,AI1073&amp;"."&amp;AJ1073&amp;COUNTIFS(AI$91:AI1072,AI1073,AJ$91:AJ1072,AJ1073))</f>
        <v>SCHMAF.S</v>
      </c>
    </row>
    <row r="1074" spans="1:37" ht="15" hidden="1">
      <c r="A1074" s="120">
        <f>ROW()</f>
        <v>1074</v>
      </c>
      <c r="B1074" s="120"/>
      <c r="C1074" s="120"/>
      <c r="D1074" s="150"/>
      <c r="E1074" s="121" t="s">
        <v>433</v>
      </c>
      <c r="F1074" s="138" t="str">
        <f>INDEX(FuncAllocOptions,ROW(A1074)-ROW($A$92)+1,[4]Inputs!$S$11)</f>
        <v>SCHMAF</v>
      </c>
      <c r="G1074" s="117" t="e">
        <f t="shared" si="596"/>
        <v>#VALUE!</v>
      </c>
      <c r="H1074" s="116" t="e">
        <f t="shared" si="597"/>
        <v>#VALUE!</v>
      </c>
      <c r="I1074" s="116" t="e">
        <f t="shared" si="597"/>
        <v>#VALUE!</v>
      </c>
      <c r="J1074" s="116" t="e">
        <f t="shared" si="597"/>
        <v>#VALUE!</v>
      </c>
      <c r="K1074" s="116" t="e">
        <f t="shared" si="597"/>
        <v>#VALUE!</v>
      </c>
      <c r="L1074" s="116" t="e">
        <f t="shared" si="597"/>
        <v>#VALUE!</v>
      </c>
      <c r="N1074" s="108">
        <v>0.75</v>
      </c>
      <c r="O1074" s="116" t="e">
        <f t="shared" si="598"/>
        <v>#VALUE!</v>
      </c>
      <c r="P1074" s="116" t="e">
        <f t="shared" si="599"/>
        <v>#VALUE!</v>
      </c>
      <c r="Q1074" s="116" t="e">
        <f t="shared" si="600"/>
        <v>#VALUE!</v>
      </c>
      <c r="R1074" s="116" t="e">
        <f t="shared" si="601"/>
        <v>#VALUE!</v>
      </c>
      <c r="S1074" s="108">
        <v>0.75</v>
      </c>
      <c r="T1074" s="116" t="e">
        <f t="shared" si="602"/>
        <v>#VALUE!</v>
      </c>
      <c r="U1074" s="116" t="e">
        <f t="shared" si="603"/>
        <v>#VALUE!</v>
      </c>
      <c r="V1074" s="116" t="e">
        <f t="shared" si="604"/>
        <v>#VALUE!</v>
      </c>
      <c r="W1074" s="116" t="e">
        <f t="shared" si="605"/>
        <v>#VALUE!</v>
      </c>
      <c r="X1074" s="3" t="str">
        <f>INDEX(DistFuncAllocOptions,ROW(A1074)-ROW($A$92)+1,[4]Inputs!$S$11)</f>
        <v>PLNT</v>
      </c>
      <c r="Y1074" s="116" t="e">
        <f t="shared" si="606"/>
        <v>#VALUE!</v>
      </c>
      <c r="Z1074" s="116" t="e">
        <f t="shared" si="606"/>
        <v>#VALUE!</v>
      </c>
      <c r="AA1074" s="116" t="e">
        <f t="shared" si="606"/>
        <v>#VALUE!</v>
      </c>
      <c r="AB1074" s="116" t="e">
        <f t="shared" si="606"/>
        <v>#VALUE!</v>
      </c>
      <c r="AC1074" s="116" t="e">
        <f t="shared" si="606"/>
        <v>#VALUE!</v>
      </c>
      <c r="AD1074" s="117" t="e">
        <f t="shared" si="607"/>
        <v>#VALUE!</v>
      </c>
      <c r="AE1074" s="117" t="e">
        <f t="shared" si="608"/>
        <v>#VALUE!</v>
      </c>
      <c r="AF1074" s="117" t="e">
        <f t="shared" si="609"/>
        <v>#VALUE!</v>
      </c>
      <c r="AG1074" s="117" t="e">
        <f t="shared" si="610"/>
        <v>#VALUE!</v>
      </c>
      <c r="AH1074" s="116"/>
      <c r="AI1074" t="str">
        <f t="shared" si="594"/>
        <v>SCHMAF</v>
      </c>
      <c r="AJ1074" t="str">
        <f t="shared" si="577"/>
        <v>SNP</v>
      </c>
      <c r="AK1074" t="str">
        <f>IF(ISERROR(MATCH(AI1074&amp;"."&amp;AJ1074,AK$91:AK1073,0)),AI1074&amp;"."&amp;AJ1074,AI1074&amp;"."&amp;AJ1074&amp;COUNTIFS(AI$91:AI1073,AI1074,AJ$91:AJ1073,AJ1074))</f>
        <v>SCHMAF.SNP</v>
      </c>
    </row>
    <row r="1075" spans="1:37" ht="15" hidden="1">
      <c r="A1075" s="120">
        <f>ROW()</f>
        <v>1075</v>
      </c>
      <c r="B1075" s="120"/>
      <c r="C1075" s="120"/>
      <c r="D1075" s="150"/>
      <c r="E1075" s="121" t="s">
        <v>136</v>
      </c>
      <c r="F1075" s="138" t="str">
        <f>INDEX(FuncAllocOptions,ROW(A1075)-ROW($A$92)+1,[4]Inputs!$S$11)</f>
        <v>SCHMAF</v>
      </c>
      <c r="G1075" s="117" t="e">
        <f t="shared" si="596"/>
        <v>#VALUE!</v>
      </c>
      <c r="H1075" s="116" t="e">
        <f t="shared" si="597"/>
        <v>#VALUE!</v>
      </c>
      <c r="I1075" s="116" t="e">
        <f t="shared" si="597"/>
        <v>#VALUE!</v>
      </c>
      <c r="J1075" s="116" t="e">
        <f t="shared" si="597"/>
        <v>#VALUE!</v>
      </c>
      <c r="K1075" s="116" t="e">
        <f t="shared" si="597"/>
        <v>#VALUE!</v>
      </c>
      <c r="L1075" s="116" t="e">
        <f t="shared" si="597"/>
        <v>#VALUE!</v>
      </c>
      <c r="N1075" s="108">
        <v>0.75</v>
      </c>
      <c r="O1075" s="116" t="e">
        <f t="shared" si="598"/>
        <v>#VALUE!</v>
      </c>
      <c r="P1075" s="116" t="e">
        <f t="shared" si="599"/>
        <v>#VALUE!</v>
      </c>
      <c r="Q1075" s="116" t="e">
        <f t="shared" si="600"/>
        <v>#VALUE!</v>
      </c>
      <c r="R1075" s="116" t="e">
        <f t="shared" si="601"/>
        <v>#VALUE!</v>
      </c>
      <c r="S1075" s="108">
        <v>0.75</v>
      </c>
      <c r="T1075" s="116" t="e">
        <f t="shared" si="602"/>
        <v>#VALUE!</v>
      </c>
      <c r="U1075" s="116" t="e">
        <f t="shared" si="603"/>
        <v>#VALUE!</v>
      </c>
      <c r="V1075" s="116" t="e">
        <f t="shared" si="604"/>
        <v>#VALUE!</v>
      </c>
      <c r="W1075" s="116" t="e">
        <f t="shared" si="605"/>
        <v>#VALUE!</v>
      </c>
      <c r="X1075" s="3" t="str">
        <f>INDEX(DistFuncAllocOptions,ROW(A1075)-ROW($A$92)+1,[4]Inputs!$S$11)</f>
        <v>PLNT</v>
      </c>
      <c r="Y1075" s="116" t="e">
        <f t="shared" si="606"/>
        <v>#VALUE!</v>
      </c>
      <c r="Z1075" s="116" t="e">
        <f t="shared" si="606"/>
        <v>#VALUE!</v>
      </c>
      <c r="AA1075" s="116" t="e">
        <f t="shared" si="606"/>
        <v>#VALUE!</v>
      </c>
      <c r="AB1075" s="116" t="e">
        <f t="shared" si="606"/>
        <v>#VALUE!</v>
      </c>
      <c r="AC1075" s="116" t="e">
        <f t="shared" si="606"/>
        <v>#VALUE!</v>
      </c>
      <c r="AD1075" s="117" t="e">
        <f t="shared" si="607"/>
        <v>#VALUE!</v>
      </c>
      <c r="AE1075" s="117" t="e">
        <f t="shared" si="608"/>
        <v>#VALUE!</v>
      </c>
      <c r="AF1075" s="117" t="e">
        <f t="shared" si="609"/>
        <v>#VALUE!</v>
      </c>
      <c r="AG1075" s="117" t="e">
        <f t="shared" si="610"/>
        <v>#VALUE!</v>
      </c>
      <c r="AH1075" s="116"/>
      <c r="AI1075" t="str">
        <f t="shared" si="594"/>
        <v>SCHMAF</v>
      </c>
      <c r="AJ1075" t="str">
        <f t="shared" si="577"/>
        <v>SO</v>
      </c>
      <c r="AK1075" t="str">
        <f>IF(ISERROR(MATCH(AI1075&amp;"."&amp;AJ1075,AK$91:AK1074,0)),AI1075&amp;"."&amp;AJ1075,AI1075&amp;"."&amp;AJ1075&amp;COUNTIFS(AI$91:AI1074,AI1075,AJ$91:AJ1074,AJ1075))</f>
        <v>SCHMAF.SO</v>
      </c>
    </row>
    <row r="1076" spans="1:37" ht="15" hidden="1">
      <c r="A1076" s="120">
        <f>ROW()</f>
        <v>1076</v>
      </c>
      <c r="B1076" s="120"/>
      <c r="C1076" s="120"/>
      <c r="D1076" s="150"/>
      <c r="E1076" s="121" t="s">
        <v>16</v>
      </c>
      <c r="F1076" s="138" t="str">
        <f>INDEX(FuncAllocOptions,ROW(A1076)-ROW($A$92)+1,[4]Inputs!$S$11)</f>
        <v>SCHMAF</v>
      </c>
      <c r="G1076" s="117" t="e">
        <f t="shared" si="596"/>
        <v>#VALUE!</v>
      </c>
      <c r="H1076" s="116" t="e">
        <f t="shared" si="597"/>
        <v>#VALUE!</v>
      </c>
      <c r="I1076" s="116" t="e">
        <f t="shared" si="597"/>
        <v>#VALUE!</v>
      </c>
      <c r="J1076" s="116" t="e">
        <f t="shared" si="597"/>
        <v>#VALUE!</v>
      </c>
      <c r="K1076" s="116" t="e">
        <f t="shared" si="597"/>
        <v>#VALUE!</v>
      </c>
      <c r="L1076" s="116" t="e">
        <f t="shared" si="597"/>
        <v>#VALUE!</v>
      </c>
      <c r="N1076" s="108">
        <v>0</v>
      </c>
      <c r="O1076" s="116" t="e">
        <f t="shared" si="598"/>
        <v>#VALUE!</v>
      </c>
      <c r="P1076" s="116" t="e">
        <f t="shared" si="599"/>
        <v>#VALUE!</v>
      </c>
      <c r="Q1076" s="116" t="e">
        <f t="shared" si="600"/>
        <v>#VALUE!</v>
      </c>
      <c r="R1076" s="116" t="e">
        <f t="shared" si="601"/>
        <v>#VALUE!</v>
      </c>
      <c r="S1076" s="108">
        <v>0</v>
      </c>
      <c r="T1076" s="116" t="e">
        <f t="shared" si="602"/>
        <v>#VALUE!</v>
      </c>
      <c r="U1076" s="116" t="e">
        <f t="shared" si="603"/>
        <v>#VALUE!</v>
      </c>
      <c r="V1076" s="116" t="e">
        <f t="shared" si="604"/>
        <v>#VALUE!</v>
      </c>
      <c r="W1076" s="116" t="e">
        <f t="shared" si="605"/>
        <v>#VALUE!</v>
      </c>
      <c r="X1076" s="3" t="str">
        <f>INDEX(DistFuncAllocOptions,ROW(A1076)-ROW($A$92)+1,[4]Inputs!$S$11)</f>
        <v>PLNT</v>
      </c>
      <c r="Y1076" s="116" t="e">
        <f t="shared" si="606"/>
        <v>#VALUE!</v>
      </c>
      <c r="Z1076" s="116" t="e">
        <f t="shared" si="606"/>
        <v>#VALUE!</v>
      </c>
      <c r="AA1076" s="116" t="e">
        <f t="shared" si="606"/>
        <v>#VALUE!</v>
      </c>
      <c r="AB1076" s="116" t="e">
        <f t="shared" si="606"/>
        <v>#VALUE!</v>
      </c>
      <c r="AC1076" s="116" t="e">
        <f t="shared" si="606"/>
        <v>#VALUE!</v>
      </c>
      <c r="AD1076" s="117" t="e">
        <f t="shared" si="607"/>
        <v>#VALUE!</v>
      </c>
      <c r="AE1076" s="117" t="e">
        <f t="shared" si="608"/>
        <v>#VALUE!</v>
      </c>
      <c r="AF1076" s="117" t="e">
        <f t="shared" si="609"/>
        <v>#VALUE!</v>
      </c>
      <c r="AG1076" s="117" t="e">
        <f t="shared" si="610"/>
        <v>#VALUE!</v>
      </c>
      <c r="AH1076" s="116"/>
      <c r="AI1076" t="str">
        <f t="shared" si="594"/>
        <v>SCHMAF</v>
      </c>
      <c r="AJ1076" t="str">
        <f t="shared" si="577"/>
        <v>SE</v>
      </c>
      <c r="AK1076" t="str">
        <f>IF(ISERROR(MATCH(AI1076&amp;"."&amp;AJ1076,AK$91:AK1075,0)),AI1076&amp;"."&amp;AJ1076,AI1076&amp;"."&amp;AJ1076&amp;COUNTIFS(AI$91:AI1075,AI1076,AJ$91:AJ1075,AJ1076))</f>
        <v>SCHMAF.SE</v>
      </c>
    </row>
    <row r="1077" spans="1:37" ht="15" hidden="1">
      <c r="A1077" s="120">
        <f>ROW()</f>
        <v>1077</v>
      </c>
      <c r="B1077" s="120"/>
      <c r="C1077" s="120"/>
      <c r="D1077" s="150"/>
      <c r="E1077" s="121" t="s">
        <v>284</v>
      </c>
      <c r="F1077" s="138" t="str">
        <f>INDEX(FuncAllocOptions,ROW(A1077)-ROW($A$92)+1,[4]Inputs!$S$11)</f>
        <v>SCHMAF</v>
      </c>
      <c r="G1077" s="117" t="e">
        <f t="shared" si="596"/>
        <v>#VALUE!</v>
      </c>
      <c r="H1077" s="116" t="e">
        <f t="shared" si="597"/>
        <v>#VALUE!</v>
      </c>
      <c r="I1077" s="116" t="e">
        <f t="shared" si="597"/>
        <v>#VALUE!</v>
      </c>
      <c r="J1077" s="116" t="e">
        <f t="shared" si="597"/>
        <v>#VALUE!</v>
      </c>
      <c r="K1077" s="116" t="e">
        <f t="shared" si="597"/>
        <v>#VALUE!</v>
      </c>
      <c r="L1077" s="116" t="e">
        <f t="shared" si="597"/>
        <v>#VALUE!</v>
      </c>
      <c r="N1077" s="108">
        <v>0.75</v>
      </c>
      <c r="O1077" s="116" t="e">
        <f t="shared" si="598"/>
        <v>#VALUE!</v>
      </c>
      <c r="P1077" s="116" t="e">
        <f t="shared" si="599"/>
        <v>#VALUE!</v>
      </c>
      <c r="Q1077" s="116" t="e">
        <f t="shared" si="600"/>
        <v>#VALUE!</v>
      </c>
      <c r="R1077" s="116" t="e">
        <f t="shared" si="601"/>
        <v>#VALUE!</v>
      </c>
      <c r="S1077" s="108">
        <v>0.75</v>
      </c>
      <c r="T1077" s="116" t="e">
        <f t="shared" si="602"/>
        <v>#VALUE!</v>
      </c>
      <c r="U1077" s="116" t="e">
        <f t="shared" si="603"/>
        <v>#VALUE!</v>
      </c>
      <c r="V1077" s="116" t="e">
        <f t="shared" si="604"/>
        <v>#VALUE!</v>
      </c>
      <c r="W1077" s="116" t="e">
        <f t="shared" si="605"/>
        <v>#VALUE!</v>
      </c>
      <c r="X1077" s="3" t="str">
        <f>INDEX(DistFuncAllocOptions,ROW(A1077)-ROW($A$92)+1,[4]Inputs!$S$11)</f>
        <v>PLNT</v>
      </c>
      <c r="Y1077" s="116" t="e">
        <f t="shared" si="606"/>
        <v>#VALUE!</v>
      </c>
      <c r="Z1077" s="116" t="e">
        <f t="shared" si="606"/>
        <v>#VALUE!</v>
      </c>
      <c r="AA1077" s="116" t="e">
        <f t="shared" si="606"/>
        <v>#VALUE!</v>
      </c>
      <c r="AB1077" s="116" t="e">
        <f t="shared" si="606"/>
        <v>#VALUE!</v>
      </c>
      <c r="AC1077" s="116" t="e">
        <f t="shared" si="606"/>
        <v>#VALUE!</v>
      </c>
      <c r="AD1077" s="117" t="e">
        <f t="shared" si="607"/>
        <v>#VALUE!</v>
      </c>
      <c r="AE1077" s="117" t="e">
        <f t="shared" si="608"/>
        <v>#VALUE!</v>
      </c>
      <c r="AF1077" s="117" t="e">
        <f t="shared" si="609"/>
        <v>#VALUE!</v>
      </c>
      <c r="AG1077" s="117" t="e">
        <f t="shared" si="610"/>
        <v>#VALUE!</v>
      </c>
      <c r="AH1077" s="116"/>
      <c r="AI1077" t="str">
        <f t="shared" si="594"/>
        <v>SCHMAF</v>
      </c>
      <c r="AJ1077" t="str">
        <f t="shared" si="577"/>
        <v>TROJP</v>
      </c>
      <c r="AK1077" t="str">
        <f>IF(ISERROR(MATCH(AI1077&amp;"."&amp;AJ1077,AK$91:AK1076,0)),AI1077&amp;"."&amp;AJ1077,AI1077&amp;"."&amp;AJ1077&amp;COUNTIFS(AI$91:AI1076,AI1077,AJ$91:AJ1076,AJ1077))</f>
        <v>SCHMAF.TROJP</v>
      </c>
    </row>
    <row r="1078" spans="1:37" ht="15" hidden="1">
      <c r="A1078" s="120">
        <f>ROW()</f>
        <v>1078</v>
      </c>
      <c r="B1078" s="120"/>
      <c r="C1078" s="120"/>
      <c r="D1078" s="150"/>
      <c r="E1078" s="121" t="s">
        <v>15</v>
      </c>
      <c r="F1078" s="138" t="str">
        <f>INDEX(FuncAllocOptions,ROW(A1078)-ROW($A$92)+1,[4]Inputs!$S$11)</f>
        <v>SCHMAF</v>
      </c>
      <c r="G1078" s="117" t="e">
        <f t="shared" si="596"/>
        <v>#VALUE!</v>
      </c>
      <c r="H1078" s="116" t="e">
        <f t="shared" si="597"/>
        <v>#VALUE!</v>
      </c>
      <c r="I1078" s="116" t="e">
        <f t="shared" si="597"/>
        <v>#VALUE!</v>
      </c>
      <c r="J1078" s="116" t="e">
        <f t="shared" si="597"/>
        <v>#VALUE!</v>
      </c>
      <c r="K1078" s="116" t="e">
        <f t="shared" si="597"/>
        <v>#VALUE!</v>
      </c>
      <c r="L1078" s="116" t="e">
        <f t="shared" si="597"/>
        <v>#VALUE!</v>
      </c>
      <c r="N1078" s="108">
        <v>0.75</v>
      </c>
      <c r="O1078" s="116" t="e">
        <f t="shared" si="598"/>
        <v>#VALUE!</v>
      </c>
      <c r="P1078" s="116" t="e">
        <f t="shared" si="599"/>
        <v>#VALUE!</v>
      </c>
      <c r="Q1078" s="116" t="e">
        <f t="shared" si="600"/>
        <v>#VALUE!</v>
      </c>
      <c r="R1078" s="116" t="e">
        <f t="shared" si="601"/>
        <v>#VALUE!</v>
      </c>
      <c r="S1078" s="108">
        <v>0.75</v>
      </c>
      <c r="T1078" s="116" t="e">
        <f t="shared" si="602"/>
        <v>#VALUE!</v>
      </c>
      <c r="U1078" s="116" t="e">
        <f t="shared" si="603"/>
        <v>#VALUE!</v>
      </c>
      <c r="V1078" s="116" t="e">
        <f t="shared" si="604"/>
        <v>#VALUE!</v>
      </c>
      <c r="W1078" s="116" t="e">
        <f t="shared" si="605"/>
        <v>#VALUE!</v>
      </c>
      <c r="X1078" s="3" t="str">
        <f>INDEX(DistFuncAllocOptions,ROW(A1078)-ROW($A$92)+1,[4]Inputs!$S$11)</f>
        <v>PLNT</v>
      </c>
      <c r="Y1078" s="116" t="e">
        <f t="shared" si="606"/>
        <v>#VALUE!</v>
      </c>
      <c r="Z1078" s="116" t="e">
        <f t="shared" si="606"/>
        <v>#VALUE!</v>
      </c>
      <c r="AA1078" s="116" t="e">
        <f t="shared" si="606"/>
        <v>#VALUE!</v>
      </c>
      <c r="AB1078" s="116" t="e">
        <f t="shared" si="606"/>
        <v>#VALUE!</v>
      </c>
      <c r="AC1078" s="116" t="e">
        <f t="shared" si="606"/>
        <v>#VALUE!</v>
      </c>
      <c r="AD1078" s="117" t="e">
        <f t="shared" si="607"/>
        <v>#VALUE!</v>
      </c>
      <c r="AE1078" s="117" t="e">
        <f t="shared" si="608"/>
        <v>#VALUE!</v>
      </c>
      <c r="AF1078" s="117" t="e">
        <f t="shared" si="609"/>
        <v>#VALUE!</v>
      </c>
      <c r="AG1078" s="117" t="e">
        <f t="shared" si="610"/>
        <v>#VALUE!</v>
      </c>
      <c r="AH1078" s="116"/>
      <c r="AI1078" t="str">
        <f t="shared" si="594"/>
        <v>SCHMAF</v>
      </c>
      <c r="AJ1078" t="str">
        <f t="shared" si="577"/>
        <v>SG</v>
      </c>
      <c r="AK1078" t="str">
        <f>IF(ISERROR(MATCH(AI1078&amp;"."&amp;AJ1078,AK$91:AK1077,0)),AI1078&amp;"."&amp;AJ1078,AI1078&amp;"."&amp;AJ1078&amp;COUNTIFS(AI$91:AI1077,AI1078,AJ$91:AJ1077,AJ1078))</f>
        <v>SCHMAF.SG</v>
      </c>
    </row>
    <row r="1079" spans="1:37" ht="15" hidden="1">
      <c r="A1079" s="120">
        <f>ROW()</f>
        <v>1079</v>
      </c>
      <c r="B1079" s="120"/>
      <c r="C1079" s="120"/>
      <c r="D1079" s="150"/>
      <c r="E1079" s="121"/>
      <c r="F1079" s="138"/>
      <c r="G1079" s="117"/>
      <c r="H1079" s="116"/>
      <c r="I1079" s="116"/>
      <c r="J1079" s="116"/>
      <c r="K1079" s="116"/>
      <c r="L1079" s="116"/>
      <c r="O1079" s="116"/>
      <c r="P1079" s="116"/>
      <c r="Q1079" s="116"/>
      <c r="R1079" s="116"/>
      <c r="T1079" s="116"/>
      <c r="U1079" s="116"/>
      <c r="V1079" s="116"/>
      <c r="W1079" s="116"/>
      <c r="X1079" s="3"/>
      <c r="Y1079" s="116"/>
      <c r="Z1079" s="116"/>
      <c r="AA1079" s="116"/>
      <c r="AB1079" s="116"/>
      <c r="AC1079" s="116"/>
      <c r="AD1079" s="117"/>
      <c r="AE1079" s="117"/>
      <c r="AF1079" s="117"/>
      <c r="AG1079" s="117"/>
      <c r="AH1079" s="116"/>
      <c r="AI1079" t="str">
        <f t="shared" si="594"/>
        <v>SCHMAF</v>
      </c>
      <c r="AJ1079" t="str">
        <f t="shared" si="577"/>
        <v>NA</v>
      </c>
      <c r="AK1079" t="str">
        <f>IF(ISERROR(MATCH(AI1079&amp;"."&amp;AJ1079,AK$91:AK1078,0)),AI1079&amp;"."&amp;AJ1079,AI1079&amp;"."&amp;AJ1079&amp;COUNTIFS(AI$91:AI1078,AI1079,AJ$91:AJ1078,AJ1079))</f>
        <v>SCHMAF.NA1</v>
      </c>
    </row>
    <row r="1080" spans="1:37" ht="15" hidden="1">
      <c r="A1080" s="120">
        <f>ROW()</f>
        <v>1080</v>
      </c>
      <c r="B1080" s="120"/>
      <c r="C1080" s="120"/>
      <c r="D1080" s="150"/>
      <c r="E1080" s="121"/>
      <c r="F1080" s="138"/>
      <c r="G1080" s="117"/>
      <c r="H1080" s="116"/>
      <c r="I1080" s="116"/>
      <c r="J1080" s="116"/>
      <c r="K1080" s="116"/>
      <c r="L1080" s="116"/>
      <c r="O1080" s="116"/>
      <c r="P1080" s="116"/>
      <c r="Q1080" s="116"/>
      <c r="R1080" s="116"/>
      <c r="T1080" s="116"/>
      <c r="U1080" s="116"/>
      <c r="V1080" s="116"/>
      <c r="W1080" s="116"/>
      <c r="X1080" s="3"/>
      <c r="Y1080" s="116"/>
      <c r="Z1080" s="116"/>
      <c r="AA1080" s="116"/>
      <c r="AB1080" s="116"/>
      <c r="AC1080" s="116"/>
      <c r="AD1080" s="117"/>
      <c r="AE1080" s="117"/>
      <c r="AF1080" s="117"/>
      <c r="AG1080" s="117"/>
      <c r="AH1080" s="116"/>
      <c r="AI1080" t="str">
        <f t="shared" si="594"/>
        <v>SCHMAF</v>
      </c>
      <c r="AJ1080" t="str">
        <f t="shared" si="577"/>
        <v>NA</v>
      </c>
      <c r="AK1080" t="str">
        <f>IF(ISERROR(MATCH(AI1080&amp;"."&amp;AJ1080,AK$91:AK1079,0)),AI1080&amp;"."&amp;AJ1080,AI1080&amp;"."&amp;AJ1080&amp;COUNTIFS(AI$91:AI1079,AI1080,AJ$91:AJ1079,AJ1080))</f>
        <v>SCHMAF.NA2</v>
      </c>
    </row>
    <row r="1081" spans="1:37" ht="15" hidden="1">
      <c r="A1081" s="120">
        <f>ROW()</f>
        <v>1081</v>
      </c>
      <c r="B1081" s="120"/>
      <c r="C1081" s="120" t="s">
        <v>259</v>
      </c>
      <c r="D1081" s="150" t="s">
        <v>457</v>
      </c>
      <c r="E1081" s="121"/>
      <c r="F1081" s="138"/>
      <c r="G1081" s="117"/>
      <c r="H1081" s="116"/>
      <c r="I1081" s="116"/>
      <c r="J1081" s="116"/>
      <c r="K1081" s="116"/>
      <c r="L1081" s="116"/>
      <c r="O1081" s="116"/>
      <c r="P1081" s="116"/>
      <c r="Q1081" s="116"/>
      <c r="R1081" s="116"/>
      <c r="T1081" s="116"/>
      <c r="U1081" s="116"/>
      <c r="V1081" s="116"/>
      <c r="W1081" s="116"/>
      <c r="X1081" s="3"/>
      <c r="Y1081" s="116"/>
      <c r="Z1081" s="116"/>
      <c r="AA1081" s="116"/>
      <c r="AB1081" s="116"/>
      <c r="AC1081" s="116"/>
      <c r="AD1081" s="117"/>
      <c r="AE1081" s="117"/>
      <c r="AF1081" s="117"/>
      <c r="AG1081" s="117"/>
      <c r="AH1081" s="116"/>
      <c r="AI1081" t="str">
        <f t="shared" si="594"/>
        <v>SCHMAP</v>
      </c>
      <c r="AJ1081" t="str">
        <f t="shared" si="577"/>
        <v>NA</v>
      </c>
      <c r="AK1081" t="str">
        <f>IF(ISERROR(MATCH(AI1081&amp;"."&amp;AJ1081,AK$91:AK1080,0)),AI1081&amp;"."&amp;AJ1081,AI1081&amp;"."&amp;AJ1081&amp;COUNTIFS(AI$91:AI1080,AI1081,AJ$91:AJ1080,AJ1081))</f>
        <v>SCHMAP.NA</v>
      </c>
    </row>
    <row r="1082" spans="1:37" ht="15" hidden="1">
      <c r="A1082" s="120">
        <f>ROW()</f>
        <v>1082</v>
      </c>
      <c r="B1082" s="120"/>
      <c r="C1082" s="120"/>
      <c r="D1082" s="150"/>
      <c r="E1082" s="121" t="s">
        <v>12</v>
      </c>
      <c r="F1082" s="138" t="str">
        <f>INDEX(FuncAllocOptions,ROW(A1082)-ROW($A$92)+1,[4]Inputs!$S$11)</f>
        <v>P</v>
      </c>
      <c r="G1082" s="117" t="e">
        <f t="shared" ref="G1082:G1087" si="611">SUMIF(FERCJAMFactor,AK1082,JAMValue)</f>
        <v>#VALUE!</v>
      </c>
      <c r="H1082" s="116" t="e">
        <f t="shared" ref="H1082:L1087" si="612">INDEX(FuncFactorTbl,MATCH($F1082,FuncFactors,0),MATCH(H$8,Functions,0))*$G1082</f>
        <v>#VALUE!</v>
      </c>
      <c r="I1082" s="116" t="e">
        <f t="shared" si="612"/>
        <v>#VALUE!</v>
      </c>
      <c r="J1082" s="116" t="e">
        <f t="shared" si="612"/>
        <v>#VALUE!</v>
      </c>
      <c r="K1082" s="116" t="e">
        <f t="shared" si="612"/>
        <v>#VALUE!</v>
      </c>
      <c r="L1082" s="116" t="e">
        <f t="shared" si="612"/>
        <v>#VALUE!</v>
      </c>
      <c r="N1082" s="108">
        <v>0.75</v>
      </c>
      <c r="O1082" s="116" t="e">
        <f t="shared" ref="O1082:O1087" si="613">$H1082*$N1082*$M1082</f>
        <v>#VALUE!</v>
      </c>
      <c r="P1082" s="116" t="e">
        <f t="shared" ref="P1082:P1087" si="614">$H1082*(1-$N1082)*$M1082</f>
        <v>#VALUE!</v>
      </c>
      <c r="Q1082" s="116" t="e">
        <f t="shared" ref="Q1082:Q1087" si="615">$H1082*$N1082*(1-$M1082)</f>
        <v>#VALUE!</v>
      </c>
      <c r="R1082" s="116" t="e">
        <f t="shared" ref="R1082:R1087" si="616">$H1082*(1-$N1082)*(1-$M1082)</f>
        <v>#VALUE!</v>
      </c>
      <c r="S1082" s="108">
        <v>0.75</v>
      </c>
      <c r="T1082" s="116" t="e">
        <f t="shared" ref="T1082:T1087" si="617">$I1082*$S1082*$M1082</f>
        <v>#VALUE!</v>
      </c>
      <c r="U1082" s="116" t="e">
        <f t="shared" ref="U1082:U1087" si="618">$I1082*(1-$S1082)*$M1082</f>
        <v>#VALUE!</v>
      </c>
      <c r="V1082" s="116" t="e">
        <f t="shared" ref="V1082:V1087" si="619">$I1082*$S1082*(1-$M1082)</f>
        <v>#VALUE!</v>
      </c>
      <c r="W1082" s="116" t="e">
        <f t="shared" ref="W1082:W1087" si="620">$I1082*(1-$S1082)*(1-$M1082)</f>
        <v>#VALUE!</v>
      </c>
      <c r="X1082" s="3" t="str">
        <f>INDEX(DistFuncAllocOptions,ROW(A1082)-ROW($A$92)+1,[4]Inputs!$S$11)</f>
        <v>DRB</v>
      </c>
      <c r="Y1082" s="116" t="e">
        <f t="shared" ref="Y1082:AC1087" si="621">INDEX(DistFuncFactorTbl,MATCH($X1082,DistFuncFactors,0),MATCH(Y$91,DistFunctions,0))*$J1082</f>
        <v>#VALUE!</v>
      </c>
      <c r="Z1082" s="116" t="e">
        <f t="shared" si="621"/>
        <v>#VALUE!</v>
      </c>
      <c r="AA1082" s="116" t="e">
        <f t="shared" si="621"/>
        <v>#VALUE!</v>
      </c>
      <c r="AB1082" s="116" t="e">
        <f t="shared" si="621"/>
        <v>#VALUE!</v>
      </c>
      <c r="AC1082" s="116" t="e">
        <f t="shared" si="621"/>
        <v>#VALUE!</v>
      </c>
      <c r="AD1082" s="117" t="e">
        <f t="shared" ref="AD1082:AD1087" si="622">ROUND(SUM(-G1082,H1082:L1082),0)</f>
        <v>#VALUE!</v>
      </c>
      <c r="AE1082" s="117" t="e">
        <f t="shared" ref="AE1082:AE1087" si="623">ROUND(H1082-O1082-P1082-Q1082-R1082,0)</f>
        <v>#VALUE!</v>
      </c>
      <c r="AF1082" s="117" t="e">
        <f t="shared" ref="AF1082:AF1087" si="624">ROUND(I1082-T1082-U1082-V1082-W1082,0)</f>
        <v>#VALUE!</v>
      </c>
      <c r="AG1082" s="117" t="e">
        <f t="shared" ref="AG1082:AG1087" si="625">ROUND(J1082-Y1082-Z1082-AA1082-AC1082-AB1082,0)</f>
        <v>#VALUE!</v>
      </c>
      <c r="AH1082" s="116"/>
      <c r="AI1082" t="str">
        <f t="shared" si="594"/>
        <v>SCHMAP</v>
      </c>
      <c r="AJ1082" t="str">
        <f t="shared" si="577"/>
        <v>S</v>
      </c>
      <c r="AK1082" t="str">
        <f>IF(ISERROR(MATCH(AI1082&amp;"."&amp;AJ1082,AK$91:AK1081,0)),AI1082&amp;"."&amp;AJ1082,AI1082&amp;"."&amp;AJ1082&amp;COUNTIFS(AI$91:AI1081,AI1082,AJ$91:AJ1081,AJ1082))</f>
        <v>SCHMAP.S</v>
      </c>
    </row>
    <row r="1083" spans="1:37" ht="15" hidden="1">
      <c r="A1083" s="120">
        <f>ROW()</f>
        <v>1083</v>
      </c>
      <c r="B1083" s="120"/>
      <c r="C1083" s="120"/>
      <c r="D1083" s="150"/>
      <c r="E1083" s="121" t="s">
        <v>16</v>
      </c>
      <c r="F1083" s="138" t="str">
        <f>INDEX(FuncAllocOptions,ROW(A1083)-ROW($A$92)+1,[4]Inputs!$S$11)</f>
        <v>P</v>
      </c>
      <c r="G1083" s="117" t="e">
        <f t="shared" si="611"/>
        <v>#VALUE!</v>
      </c>
      <c r="H1083" s="116" t="e">
        <f t="shared" si="612"/>
        <v>#VALUE!</v>
      </c>
      <c r="I1083" s="116" t="e">
        <f t="shared" si="612"/>
        <v>#VALUE!</v>
      </c>
      <c r="J1083" s="116" t="e">
        <f t="shared" si="612"/>
        <v>#VALUE!</v>
      </c>
      <c r="K1083" s="116" t="e">
        <f t="shared" si="612"/>
        <v>#VALUE!</v>
      </c>
      <c r="L1083" s="116" t="e">
        <f t="shared" si="612"/>
        <v>#VALUE!</v>
      </c>
      <c r="N1083" s="108">
        <v>0</v>
      </c>
      <c r="O1083" s="116" t="e">
        <f t="shared" si="613"/>
        <v>#VALUE!</v>
      </c>
      <c r="P1083" s="116" t="e">
        <f t="shared" si="614"/>
        <v>#VALUE!</v>
      </c>
      <c r="Q1083" s="116" t="e">
        <f t="shared" si="615"/>
        <v>#VALUE!</v>
      </c>
      <c r="R1083" s="116" t="e">
        <f t="shared" si="616"/>
        <v>#VALUE!</v>
      </c>
      <c r="S1083" s="108">
        <v>0</v>
      </c>
      <c r="T1083" s="116" t="e">
        <f t="shared" si="617"/>
        <v>#VALUE!</v>
      </c>
      <c r="U1083" s="116" t="e">
        <f t="shared" si="618"/>
        <v>#VALUE!</v>
      </c>
      <c r="V1083" s="116" t="e">
        <f t="shared" si="619"/>
        <v>#VALUE!</v>
      </c>
      <c r="W1083" s="116" t="e">
        <f t="shared" si="620"/>
        <v>#VALUE!</v>
      </c>
      <c r="X1083" s="3" t="str">
        <f>INDEX(DistFuncAllocOptions,ROW(A1083)-ROW($A$92)+1,[4]Inputs!$S$11)</f>
        <v>DRB</v>
      </c>
      <c r="Y1083" s="116" t="e">
        <f t="shared" si="621"/>
        <v>#VALUE!</v>
      </c>
      <c r="Z1083" s="116" t="e">
        <f t="shared" si="621"/>
        <v>#VALUE!</v>
      </c>
      <c r="AA1083" s="116" t="e">
        <f t="shared" si="621"/>
        <v>#VALUE!</v>
      </c>
      <c r="AB1083" s="116" t="e">
        <f t="shared" si="621"/>
        <v>#VALUE!</v>
      </c>
      <c r="AC1083" s="116" t="e">
        <f t="shared" si="621"/>
        <v>#VALUE!</v>
      </c>
      <c r="AD1083" s="117" t="e">
        <f t="shared" si="622"/>
        <v>#VALUE!</v>
      </c>
      <c r="AE1083" s="117" t="e">
        <f t="shared" si="623"/>
        <v>#VALUE!</v>
      </c>
      <c r="AF1083" s="117" t="e">
        <f t="shared" si="624"/>
        <v>#VALUE!</v>
      </c>
      <c r="AG1083" s="117" t="e">
        <f t="shared" si="625"/>
        <v>#VALUE!</v>
      </c>
      <c r="AH1083" s="116"/>
      <c r="AI1083" t="str">
        <f t="shared" si="594"/>
        <v>SCHMAP</v>
      </c>
      <c r="AJ1083" t="str">
        <f t="shared" si="577"/>
        <v>SE</v>
      </c>
      <c r="AK1083" t="str">
        <f>IF(ISERROR(MATCH(AI1083&amp;"."&amp;AJ1083,AK$91:AK1082,0)),AI1083&amp;"."&amp;AJ1083,AI1083&amp;"."&amp;AJ1083&amp;COUNTIFS(AI$91:AI1082,AI1083,AJ$91:AJ1082,AJ1083))</f>
        <v>SCHMAP.SE</v>
      </c>
    </row>
    <row r="1084" spans="1:37" ht="15" hidden="1">
      <c r="A1084" s="120">
        <f>ROW()</f>
        <v>1084</v>
      </c>
      <c r="B1084" s="120"/>
      <c r="C1084" s="120"/>
      <c r="D1084" s="150"/>
      <c r="E1084" s="121" t="s">
        <v>433</v>
      </c>
      <c r="F1084" s="138" t="str">
        <f>INDEX(FuncAllocOptions,ROW(A1084)-ROW($A$92)+1,[4]Inputs!$S$11)</f>
        <v>LABOR</v>
      </c>
      <c r="G1084" s="117" t="e">
        <f t="shared" si="611"/>
        <v>#VALUE!</v>
      </c>
      <c r="H1084" s="116" t="e">
        <f t="shared" si="612"/>
        <v>#VALUE!</v>
      </c>
      <c r="I1084" s="116" t="e">
        <f t="shared" si="612"/>
        <v>#VALUE!</v>
      </c>
      <c r="J1084" s="116" t="e">
        <f t="shared" si="612"/>
        <v>#VALUE!</v>
      </c>
      <c r="K1084" s="116" t="e">
        <f t="shared" si="612"/>
        <v>#VALUE!</v>
      </c>
      <c r="L1084" s="116" t="e">
        <f t="shared" si="612"/>
        <v>#VALUE!</v>
      </c>
      <c r="N1084" s="108">
        <v>0.75</v>
      </c>
      <c r="O1084" s="116" t="e">
        <f t="shared" si="613"/>
        <v>#VALUE!</v>
      </c>
      <c r="P1084" s="116" t="e">
        <f t="shared" si="614"/>
        <v>#VALUE!</v>
      </c>
      <c r="Q1084" s="116" t="e">
        <f t="shared" si="615"/>
        <v>#VALUE!</v>
      </c>
      <c r="R1084" s="116" t="e">
        <f t="shared" si="616"/>
        <v>#VALUE!</v>
      </c>
      <c r="S1084" s="108">
        <v>0.75</v>
      </c>
      <c r="T1084" s="116" t="e">
        <f t="shared" si="617"/>
        <v>#VALUE!</v>
      </c>
      <c r="U1084" s="116" t="e">
        <f t="shared" si="618"/>
        <v>#VALUE!</v>
      </c>
      <c r="V1084" s="116" t="e">
        <f t="shared" si="619"/>
        <v>#VALUE!</v>
      </c>
      <c r="W1084" s="116" t="e">
        <f t="shared" si="620"/>
        <v>#VALUE!</v>
      </c>
      <c r="X1084" s="3" t="str">
        <f>INDEX(DistFuncAllocOptions,ROW(A1084)-ROW($A$92)+1,[4]Inputs!$S$11)</f>
        <v>DISom</v>
      </c>
      <c r="Y1084" s="116" t="e">
        <f t="shared" si="621"/>
        <v>#VALUE!</v>
      </c>
      <c r="Z1084" s="116" t="e">
        <f t="shared" si="621"/>
        <v>#VALUE!</v>
      </c>
      <c r="AA1084" s="116" t="e">
        <f t="shared" si="621"/>
        <v>#VALUE!</v>
      </c>
      <c r="AB1084" s="116" t="e">
        <f t="shared" si="621"/>
        <v>#VALUE!</v>
      </c>
      <c r="AC1084" s="116" t="e">
        <f t="shared" si="621"/>
        <v>#VALUE!</v>
      </c>
      <c r="AD1084" s="117" t="e">
        <f t="shared" si="622"/>
        <v>#VALUE!</v>
      </c>
      <c r="AE1084" s="117" t="e">
        <f t="shared" si="623"/>
        <v>#VALUE!</v>
      </c>
      <c r="AF1084" s="117" t="e">
        <f t="shared" si="624"/>
        <v>#VALUE!</v>
      </c>
      <c r="AG1084" s="117" t="e">
        <f t="shared" si="625"/>
        <v>#VALUE!</v>
      </c>
      <c r="AH1084" s="116"/>
      <c r="AI1084" t="str">
        <f t="shared" si="594"/>
        <v>SCHMAP</v>
      </c>
      <c r="AJ1084" t="str">
        <f t="shared" si="577"/>
        <v>SNP</v>
      </c>
      <c r="AK1084" t="str">
        <f>IF(ISERROR(MATCH(AI1084&amp;"."&amp;AJ1084,AK$91:AK1083,0)),AI1084&amp;"."&amp;AJ1084,AI1084&amp;"."&amp;AJ1084&amp;COUNTIFS(AI$91:AI1083,AI1084,AJ$91:AJ1083,AJ1084))</f>
        <v>SCHMAP.SNP</v>
      </c>
    </row>
    <row r="1085" spans="1:37" ht="15" hidden="1">
      <c r="A1085" s="120">
        <f>ROW()</f>
        <v>1085</v>
      </c>
      <c r="B1085" s="120"/>
      <c r="C1085" s="120"/>
      <c r="D1085" s="150"/>
      <c r="E1085" s="121" t="s">
        <v>136</v>
      </c>
      <c r="F1085" s="138" t="str">
        <f>INDEX(FuncAllocOptions,ROW(A1085)-ROW($A$92)+1,[4]Inputs!$S$11)</f>
        <v>SCHMAP-SO</v>
      </c>
      <c r="G1085" s="117" t="e">
        <f t="shared" si="611"/>
        <v>#VALUE!</v>
      </c>
      <c r="H1085" s="116" t="e">
        <f t="shared" si="612"/>
        <v>#VALUE!</v>
      </c>
      <c r="I1085" s="116" t="e">
        <f t="shared" si="612"/>
        <v>#VALUE!</v>
      </c>
      <c r="J1085" s="116" t="e">
        <f t="shared" si="612"/>
        <v>#VALUE!</v>
      </c>
      <c r="K1085" s="116" t="e">
        <f t="shared" si="612"/>
        <v>#VALUE!</v>
      </c>
      <c r="L1085" s="116" t="e">
        <f t="shared" si="612"/>
        <v>#VALUE!</v>
      </c>
      <c r="N1085" s="108">
        <v>0.75</v>
      </c>
      <c r="O1085" s="116" t="e">
        <f t="shared" si="613"/>
        <v>#VALUE!</v>
      </c>
      <c r="P1085" s="116" t="e">
        <f t="shared" si="614"/>
        <v>#VALUE!</v>
      </c>
      <c r="Q1085" s="116" t="e">
        <f t="shared" si="615"/>
        <v>#VALUE!</v>
      </c>
      <c r="R1085" s="116" t="e">
        <f t="shared" si="616"/>
        <v>#VALUE!</v>
      </c>
      <c r="S1085" s="108">
        <v>0.75</v>
      </c>
      <c r="T1085" s="116" t="e">
        <f t="shared" si="617"/>
        <v>#VALUE!</v>
      </c>
      <c r="U1085" s="116" t="e">
        <f t="shared" si="618"/>
        <v>#VALUE!</v>
      </c>
      <c r="V1085" s="116" t="e">
        <f t="shared" si="619"/>
        <v>#VALUE!</v>
      </c>
      <c r="W1085" s="116" t="e">
        <f t="shared" si="620"/>
        <v>#VALUE!</v>
      </c>
      <c r="X1085" s="3" t="str">
        <f>INDEX(DistFuncAllocOptions,ROW(A1085)-ROW($A$92)+1,[4]Inputs!$S$11)</f>
        <v>DISom</v>
      </c>
      <c r="Y1085" s="116" t="e">
        <f t="shared" si="621"/>
        <v>#VALUE!</v>
      </c>
      <c r="Z1085" s="116" t="e">
        <f t="shared" si="621"/>
        <v>#VALUE!</v>
      </c>
      <c r="AA1085" s="116" t="e">
        <f t="shared" si="621"/>
        <v>#VALUE!</v>
      </c>
      <c r="AB1085" s="116" t="e">
        <f t="shared" si="621"/>
        <v>#VALUE!</v>
      </c>
      <c r="AC1085" s="116" t="e">
        <f t="shared" si="621"/>
        <v>#VALUE!</v>
      </c>
      <c r="AD1085" s="117" t="e">
        <f t="shared" si="622"/>
        <v>#VALUE!</v>
      </c>
      <c r="AE1085" s="117" t="e">
        <f t="shared" si="623"/>
        <v>#VALUE!</v>
      </c>
      <c r="AF1085" s="117" t="e">
        <f t="shared" si="624"/>
        <v>#VALUE!</v>
      </c>
      <c r="AG1085" s="117" t="e">
        <f t="shared" si="625"/>
        <v>#VALUE!</v>
      </c>
      <c r="AH1085" s="116"/>
      <c r="AI1085" t="str">
        <f t="shared" si="594"/>
        <v>SCHMAP</v>
      </c>
      <c r="AJ1085" t="str">
        <f t="shared" si="577"/>
        <v>SO</v>
      </c>
      <c r="AK1085" t="str">
        <f>IF(ISERROR(MATCH(AI1085&amp;"."&amp;AJ1085,AK$91:AK1084,0)),AI1085&amp;"."&amp;AJ1085,AI1085&amp;"."&amp;AJ1085&amp;COUNTIFS(AI$91:AI1084,AI1085,AJ$91:AJ1084,AJ1085))</f>
        <v>SCHMAP.SO</v>
      </c>
    </row>
    <row r="1086" spans="1:37" ht="15" hidden="1">
      <c r="A1086" s="120">
        <f>ROW()</f>
        <v>1086</v>
      </c>
      <c r="B1086" s="120"/>
      <c r="C1086" s="120"/>
      <c r="D1086" s="150"/>
      <c r="E1086" s="121" t="s">
        <v>15</v>
      </c>
      <c r="F1086" s="138" t="str">
        <f>INDEX(FuncAllocOptions,ROW(A1086)-ROW($A$92)+1,[4]Inputs!$S$11)</f>
        <v>SCHMAP</v>
      </c>
      <c r="G1086" s="117" t="e">
        <f t="shared" si="611"/>
        <v>#VALUE!</v>
      </c>
      <c r="H1086" s="116" t="e">
        <f t="shared" si="612"/>
        <v>#VALUE!</v>
      </c>
      <c r="I1086" s="116" t="e">
        <f t="shared" si="612"/>
        <v>#VALUE!</v>
      </c>
      <c r="J1086" s="116" t="e">
        <f t="shared" si="612"/>
        <v>#VALUE!</v>
      </c>
      <c r="K1086" s="116" t="e">
        <f t="shared" si="612"/>
        <v>#VALUE!</v>
      </c>
      <c r="L1086" s="116" t="e">
        <f t="shared" si="612"/>
        <v>#VALUE!</v>
      </c>
      <c r="N1086" s="108">
        <v>0.75</v>
      </c>
      <c r="O1086" s="116" t="e">
        <f t="shared" si="613"/>
        <v>#VALUE!</v>
      </c>
      <c r="P1086" s="116" t="e">
        <f t="shared" si="614"/>
        <v>#VALUE!</v>
      </c>
      <c r="Q1086" s="116" t="e">
        <f t="shared" si="615"/>
        <v>#VALUE!</v>
      </c>
      <c r="R1086" s="116" t="e">
        <f t="shared" si="616"/>
        <v>#VALUE!</v>
      </c>
      <c r="S1086" s="108">
        <v>0.75</v>
      </c>
      <c r="T1086" s="116" t="e">
        <f t="shared" si="617"/>
        <v>#VALUE!</v>
      </c>
      <c r="U1086" s="116" t="e">
        <f t="shared" si="618"/>
        <v>#VALUE!</v>
      </c>
      <c r="V1086" s="116" t="e">
        <f t="shared" si="619"/>
        <v>#VALUE!</v>
      </c>
      <c r="W1086" s="116" t="e">
        <f t="shared" si="620"/>
        <v>#VALUE!</v>
      </c>
      <c r="X1086" s="3" t="str">
        <f>INDEX(DistFuncAllocOptions,ROW(A1086)-ROW($A$92)+1,[4]Inputs!$S$11)</f>
        <v>DRB</v>
      </c>
      <c r="Y1086" s="116" t="e">
        <f t="shared" si="621"/>
        <v>#VALUE!</v>
      </c>
      <c r="Z1086" s="116" t="e">
        <f t="shared" si="621"/>
        <v>#VALUE!</v>
      </c>
      <c r="AA1086" s="116" t="e">
        <f t="shared" si="621"/>
        <v>#VALUE!</v>
      </c>
      <c r="AB1086" s="116" t="e">
        <f t="shared" si="621"/>
        <v>#VALUE!</v>
      </c>
      <c r="AC1086" s="116" t="e">
        <f t="shared" si="621"/>
        <v>#VALUE!</v>
      </c>
      <c r="AD1086" s="117" t="e">
        <f t="shared" si="622"/>
        <v>#VALUE!</v>
      </c>
      <c r="AE1086" s="117" t="e">
        <f t="shared" si="623"/>
        <v>#VALUE!</v>
      </c>
      <c r="AF1086" s="117" t="e">
        <f t="shared" si="624"/>
        <v>#VALUE!</v>
      </c>
      <c r="AG1086" s="117" t="e">
        <f t="shared" si="625"/>
        <v>#VALUE!</v>
      </c>
      <c r="AH1086" s="116"/>
      <c r="AI1086" t="str">
        <f t="shared" si="594"/>
        <v>SCHMAP</v>
      </c>
      <c r="AJ1086" t="str">
        <f t="shared" si="577"/>
        <v>SG</v>
      </c>
      <c r="AK1086" t="str">
        <f>IF(ISERROR(MATCH(AI1086&amp;"."&amp;AJ1086,AK$91:AK1085,0)),AI1086&amp;"."&amp;AJ1086,AI1086&amp;"."&amp;AJ1086&amp;COUNTIFS(AI$91:AI1085,AI1086,AJ$91:AJ1085,AJ1086))</f>
        <v>SCHMAP.SG</v>
      </c>
    </row>
    <row r="1087" spans="1:37" ht="15" hidden="1">
      <c r="A1087" s="120">
        <f>ROW()</f>
        <v>1087</v>
      </c>
      <c r="B1087" s="120"/>
      <c r="C1087" s="120"/>
      <c r="D1087" s="150"/>
      <c r="E1087" s="121" t="s">
        <v>452</v>
      </c>
      <c r="F1087" s="138" t="str">
        <f>INDEX(FuncAllocOptions,ROW(A1087)-ROW($A$92)+1,[4]Inputs!$S$11)</f>
        <v>BOOKDEPR</v>
      </c>
      <c r="G1087" s="133" t="e">
        <f t="shared" si="611"/>
        <v>#VALUE!</v>
      </c>
      <c r="H1087" s="139" t="e">
        <f t="shared" si="612"/>
        <v>#VALUE!</v>
      </c>
      <c r="I1087" s="139" t="e">
        <f t="shared" si="612"/>
        <v>#VALUE!</v>
      </c>
      <c r="J1087" s="139" t="e">
        <f t="shared" si="612"/>
        <v>#VALUE!</v>
      </c>
      <c r="K1087" s="139" t="e">
        <f t="shared" si="612"/>
        <v>#VALUE!</v>
      </c>
      <c r="L1087" s="139" t="e">
        <f t="shared" si="612"/>
        <v>#VALUE!</v>
      </c>
      <c r="N1087" s="108">
        <v>0.75</v>
      </c>
      <c r="O1087" s="116" t="e">
        <f t="shared" si="613"/>
        <v>#VALUE!</v>
      </c>
      <c r="P1087" s="116" t="e">
        <f t="shared" si="614"/>
        <v>#VALUE!</v>
      </c>
      <c r="Q1087" s="116" t="e">
        <f t="shared" si="615"/>
        <v>#VALUE!</v>
      </c>
      <c r="R1087" s="116" t="e">
        <f t="shared" si="616"/>
        <v>#VALUE!</v>
      </c>
      <c r="S1087" s="108">
        <v>0.75</v>
      </c>
      <c r="T1087" s="116" t="e">
        <f t="shared" si="617"/>
        <v>#VALUE!</v>
      </c>
      <c r="U1087" s="116" t="e">
        <f t="shared" si="618"/>
        <v>#VALUE!</v>
      </c>
      <c r="V1087" s="116" t="e">
        <f t="shared" si="619"/>
        <v>#VALUE!</v>
      </c>
      <c r="W1087" s="116" t="e">
        <f t="shared" si="620"/>
        <v>#VALUE!</v>
      </c>
      <c r="X1087" s="3" t="str">
        <f>INDEX(DistFuncAllocOptions,ROW(A1087)-ROW($A$92)+1,[4]Inputs!$S$11)</f>
        <v>PLNT</v>
      </c>
      <c r="Y1087" s="116" t="e">
        <f t="shared" si="621"/>
        <v>#VALUE!</v>
      </c>
      <c r="Z1087" s="116" t="e">
        <f t="shared" si="621"/>
        <v>#VALUE!</v>
      </c>
      <c r="AA1087" s="116" t="e">
        <f t="shared" si="621"/>
        <v>#VALUE!</v>
      </c>
      <c r="AB1087" s="116" t="e">
        <f t="shared" si="621"/>
        <v>#VALUE!</v>
      </c>
      <c r="AC1087" s="116" t="e">
        <f t="shared" si="621"/>
        <v>#VALUE!</v>
      </c>
      <c r="AD1087" s="117" t="e">
        <f t="shared" si="622"/>
        <v>#VALUE!</v>
      </c>
      <c r="AE1087" s="117" t="e">
        <f t="shared" si="623"/>
        <v>#VALUE!</v>
      </c>
      <c r="AF1087" s="117" t="e">
        <f t="shared" si="624"/>
        <v>#VALUE!</v>
      </c>
      <c r="AG1087" s="117" t="e">
        <f t="shared" si="625"/>
        <v>#VALUE!</v>
      </c>
      <c r="AH1087" s="116"/>
      <c r="AI1087" t="str">
        <f t="shared" si="594"/>
        <v>SCHMAP</v>
      </c>
      <c r="AJ1087" t="str">
        <f t="shared" si="577"/>
        <v>SCHMDEXP</v>
      </c>
      <c r="AK1087" t="str">
        <f>IF(ISERROR(MATCH(AI1087&amp;"."&amp;AJ1087,AK$91:AK1086,0)),AI1087&amp;"."&amp;AJ1087,AI1087&amp;"."&amp;AJ1087&amp;COUNTIFS(AI$91:AI1086,AI1087,AJ$91:AJ1086,AJ1087))</f>
        <v>SCHMAP.SCHMDEXP</v>
      </c>
    </row>
    <row r="1088" spans="1:37" ht="15" hidden="1">
      <c r="A1088" s="120">
        <f>ROW()</f>
        <v>1088</v>
      </c>
      <c r="B1088" s="120"/>
      <c r="C1088" s="120"/>
      <c r="D1088" s="150"/>
      <c r="E1088" s="121"/>
      <c r="F1088" s="138"/>
      <c r="G1088" s="117" t="e">
        <f t="shared" ref="G1088:L1088" si="626">SUM(G1082:G1087)</f>
        <v>#VALUE!</v>
      </c>
      <c r="H1088" s="116" t="e">
        <f t="shared" si="626"/>
        <v>#VALUE!</v>
      </c>
      <c r="I1088" s="116" t="e">
        <f t="shared" si="626"/>
        <v>#VALUE!</v>
      </c>
      <c r="J1088" s="116" t="e">
        <f t="shared" si="626"/>
        <v>#VALUE!</v>
      </c>
      <c r="K1088" s="116" t="e">
        <f t="shared" si="626"/>
        <v>#VALUE!</v>
      </c>
      <c r="L1088" s="116" t="e">
        <f t="shared" si="626"/>
        <v>#VALUE!</v>
      </c>
      <c r="O1088" s="116" t="e">
        <f>SUM(O1082:O1087)</f>
        <v>#VALUE!</v>
      </c>
      <c r="P1088" s="116" t="e">
        <f>SUM(P1082:P1087)</f>
        <v>#VALUE!</v>
      </c>
      <c r="Q1088" s="116" t="e">
        <f>SUM(Q1082:Q1087)</f>
        <v>#VALUE!</v>
      </c>
      <c r="R1088" s="116" t="e">
        <f>SUM(R1082:R1087)</f>
        <v>#VALUE!</v>
      </c>
      <c r="T1088" s="116" t="e">
        <f>SUM(T1082:T1087)</f>
        <v>#VALUE!</v>
      </c>
      <c r="U1088" s="116" t="e">
        <f>SUM(U1082:U1087)</f>
        <v>#VALUE!</v>
      </c>
      <c r="V1088" s="116" t="e">
        <f>SUM(V1082:V1087)</f>
        <v>#VALUE!</v>
      </c>
      <c r="W1088" s="116" t="e">
        <f>SUM(W1082:W1087)</f>
        <v>#VALUE!</v>
      </c>
      <c r="X1088" s="3"/>
      <c r="Y1088" s="116" t="e">
        <f>SUM(Y1082:Y1087)</f>
        <v>#VALUE!</v>
      </c>
      <c r="Z1088" s="116" t="e">
        <f>SUM(Z1082:Z1087)</f>
        <v>#VALUE!</v>
      </c>
      <c r="AA1088" s="116" t="e">
        <f>SUM(AA1082:AA1087)</f>
        <v>#VALUE!</v>
      </c>
      <c r="AB1088" s="116" t="e">
        <f>SUM(AB1082:AB1087)</f>
        <v>#VALUE!</v>
      </c>
      <c r="AC1088" s="116" t="e">
        <f>SUM(AC1082:AC1087)</f>
        <v>#VALUE!</v>
      </c>
      <c r="AD1088" s="117"/>
      <c r="AE1088" s="117"/>
      <c r="AF1088" s="117"/>
      <c r="AG1088" s="117"/>
      <c r="AH1088" s="116"/>
      <c r="AI1088" t="str">
        <f t="shared" si="594"/>
        <v>SCHMAP</v>
      </c>
      <c r="AJ1088" t="str">
        <f t="shared" si="577"/>
        <v>NA</v>
      </c>
      <c r="AK1088" t="str">
        <f>IF(ISERROR(MATCH(AI1088&amp;"."&amp;AJ1088,AK$91:AK1087,0)),AI1088&amp;"."&amp;AJ1088,AI1088&amp;"."&amp;AJ1088&amp;COUNTIFS(AI$91:AI1087,AI1088,AJ$91:AJ1087,AJ1088))</f>
        <v>SCHMAP.NA1</v>
      </c>
    </row>
    <row r="1089" spans="1:37" ht="15" hidden="1">
      <c r="A1089" s="120">
        <f>ROW()</f>
        <v>1089</v>
      </c>
      <c r="B1089" s="120"/>
      <c r="C1089" s="120"/>
      <c r="D1089" s="150"/>
      <c r="E1089" s="121"/>
      <c r="F1089" s="138"/>
      <c r="G1089" s="117"/>
      <c r="H1089" s="116"/>
      <c r="I1089" s="116"/>
      <c r="J1089" s="116"/>
      <c r="K1089" s="116"/>
      <c r="L1089" s="116"/>
      <c r="O1089" s="116"/>
      <c r="P1089" s="116"/>
      <c r="Q1089" s="116"/>
      <c r="R1089" s="116"/>
      <c r="T1089" s="116"/>
      <c r="U1089" s="116"/>
      <c r="V1089" s="116"/>
      <c r="W1089" s="116"/>
      <c r="X1089" s="3"/>
      <c r="Y1089" s="116"/>
      <c r="Z1089" s="116"/>
      <c r="AA1089" s="116"/>
      <c r="AB1089" s="116"/>
      <c r="AC1089" s="116"/>
      <c r="AD1089" s="117"/>
      <c r="AE1089" s="117"/>
      <c r="AF1089" s="117"/>
      <c r="AG1089" s="117"/>
      <c r="AH1089" s="116"/>
      <c r="AI1089" t="str">
        <f t="shared" si="594"/>
        <v>SCHMAP</v>
      </c>
      <c r="AJ1089" t="str">
        <f t="shared" si="577"/>
        <v>NA</v>
      </c>
      <c r="AK1089" t="str">
        <f>IF(ISERROR(MATCH(AI1089&amp;"."&amp;AJ1089,AK$91:AK1088,0)),AI1089&amp;"."&amp;AJ1089,AI1089&amp;"."&amp;AJ1089&amp;COUNTIFS(AI$91:AI1088,AI1089,AJ$91:AJ1088,AJ1089))</f>
        <v>SCHMAP.NA2</v>
      </c>
    </row>
    <row r="1090" spans="1:37" ht="15" hidden="1">
      <c r="A1090" s="120">
        <f>ROW()</f>
        <v>1090</v>
      </c>
      <c r="B1090" s="120"/>
      <c r="C1090" s="120" t="s">
        <v>260</v>
      </c>
      <c r="D1090" s="150" t="s">
        <v>459</v>
      </c>
      <c r="E1090" s="121"/>
      <c r="F1090" s="138"/>
      <c r="G1090" s="117"/>
      <c r="H1090" s="116"/>
      <c r="I1090" s="116"/>
      <c r="J1090" s="116"/>
      <c r="K1090" s="116"/>
      <c r="L1090" s="116"/>
      <c r="O1090" s="116"/>
      <c r="P1090" s="116"/>
      <c r="Q1090" s="116"/>
      <c r="R1090" s="116"/>
      <c r="T1090" s="116"/>
      <c r="U1090" s="116"/>
      <c r="V1090" s="116"/>
      <c r="W1090" s="116"/>
      <c r="X1090" s="3"/>
      <c r="Y1090" s="116"/>
      <c r="Z1090" s="116"/>
      <c r="AA1090" s="116"/>
      <c r="AB1090" s="116"/>
      <c r="AC1090" s="116"/>
      <c r="AD1090" s="117"/>
      <c r="AE1090" s="117"/>
      <c r="AF1090" s="117"/>
      <c r="AG1090" s="117"/>
      <c r="AH1090" s="116"/>
      <c r="AI1090" t="str">
        <f t="shared" si="594"/>
        <v>SCHMAT</v>
      </c>
      <c r="AJ1090" t="str">
        <f t="shared" si="577"/>
        <v>NA</v>
      </c>
      <c r="AK1090" t="str">
        <f>IF(ISERROR(MATCH(AI1090&amp;"."&amp;AJ1090,AK$91:AK1089,0)),AI1090&amp;"."&amp;AJ1090,AI1090&amp;"."&amp;AJ1090&amp;COUNTIFS(AI$91:AI1089,AI1090,AJ$91:AJ1089,AJ1090))</f>
        <v>SCHMAT.NA</v>
      </c>
    </row>
    <row r="1091" spans="1:37" ht="15" hidden="1">
      <c r="A1091" s="120">
        <f>ROW()</f>
        <v>1091</v>
      </c>
      <c r="B1091" s="120"/>
      <c r="C1091" s="120"/>
      <c r="D1091" s="150"/>
      <c r="E1091" s="121" t="s">
        <v>12</v>
      </c>
      <c r="F1091" s="138" t="str">
        <f>INDEX(FuncAllocOptions,ROW(A1091)-ROW($A$92)+1,[4]Inputs!$S$11)</f>
        <v>SCHMAT-SITUS</v>
      </c>
      <c r="G1091" s="117" t="e">
        <f t="shared" ref="G1091:G1104" si="627">SUMIF(FERCJAMFactor,AK1091,JAMValue)</f>
        <v>#VALUE!</v>
      </c>
      <c r="H1091" s="116" t="e">
        <f t="shared" ref="H1091:L1104" si="628">INDEX(FuncFactorTbl,MATCH($F1091,FuncFactors,0),MATCH(H$8,Functions,0))*$G1091</f>
        <v>#VALUE!</v>
      </c>
      <c r="I1091" s="116" t="e">
        <f t="shared" si="628"/>
        <v>#VALUE!</v>
      </c>
      <c r="J1091" s="116" t="e">
        <f t="shared" si="628"/>
        <v>#VALUE!</v>
      </c>
      <c r="K1091" s="116" t="e">
        <f t="shared" si="628"/>
        <v>#VALUE!</v>
      </c>
      <c r="L1091" s="116" t="e">
        <f t="shared" si="628"/>
        <v>#VALUE!</v>
      </c>
      <c r="N1091" s="108">
        <v>0.75</v>
      </c>
      <c r="O1091" s="116" t="e">
        <f t="shared" ref="O1091:O1104" si="629">$H1091*$N1091*$M1091</f>
        <v>#VALUE!</v>
      </c>
      <c r="P1091" s="116" t="e">
        <f t="shared" ref="P1091:P1104" si="630">$H1091*(1-$N1091)*$M1091</f>
        <v>#VALUE!</v>
      </c>
      <c r="Q1091" s="116" t="e">
        <f t="shared" ref="Q1091:Q1104" si="631">$H1091*$N1091*(1-$M1091)</f>
        <v>#VALUE!</v>
      </c>
      <c r="R1091" s="116" t="e">
        <f t="shared" ref="R1091:R1104" si="632">$H1091*(1-$N1091)*(1-$M1091)</f>
        <v>#VALUE!</v>
      </c>
      <c r="S1091" s="108">
        <v>0.75</v>
      </c>
      <c r="T1091" s="116" t="e">
        <f t="shared" ref="T1091:T1104" si="633">$I1091*$S1091*$M1091</f>
        <v>#VALUE!</v>
      </c>
      <c r="U1091" s="116" t="e">
        <f t="shared" ref="U1091:U1104" si="634">$I1091*(1-$S1091)*$M1091</f>
        <v>#VALUE!</v>
      </c>
      <c r="V1091" s="116" t="e">
        <f t="shared" ref="V1091:V1104" si="635">$I1091*$S1091*(1-$M1091)</f>
        <v>#VALUE!</v>
      </c>
      <c r="W1091" s="116" t="e">
        <f t="shared" ref="W1091:W1104" si="636">$I1091*(1-$S1091)*(1-$M1091)</f>
        <v>#VALUE!</v>
      </c>
      <c r="X1091" s="3" t="str">
        <f>INDEX(DistFuncAllocOptions,ROW(A1091)-ROW($A$92)+1,[4]Inputs!$S$11)</f>
        <v>PLNT</v>
      </c>
      <c r="Y1091" s="116" t="e">
        <f t="shared" ref="Y1091:AC1104" si="637">INDEX(DistFuncFactorTbl,MATCH($X1091,DistFuncFactors,0),MATCH(Y$91,DistFunctions,0))*$J1091</f>
        <v>#VALUE!</v>
      </c>
      <c r="Z1091" s="116" t="e">
        <f t="shared" si="637"/>
        <v>#VALUE!</v>
      </c>
      <c r="AA1091" s="116" t="e">
        <f t="shared" si="637"/>
        <v>#VALUE!</v>
      </c>
      <c r="AB1091" s="116" t="e">
        <f t="shared" si="637"/>
        <v>#VALUE!</v>
      </c>
      <c r="AC1091" s="116" t="e">
        <f t="shared" si="637"/>
        <v>#VALUE!</v>
      </c>
      <c r="AD1091" s="117" t="e">
        <f t="shared" ref="AD1091:AD1104" si="638">ROUND(SUM(-G1091,H1091:L1091),0)</f>
        <v>#VALUE!</v>
      </c>
      <c r="AE1091" s="117" t="e">
        <f t="shared" ref="AE1091:AE1104" si="639">ROUND(H1091-O1091-P1091-Q1091-R1091,0)</f>
        <v>#VALUE!</v>
      </c>
      <c r="AF1091" s="117" t="e">
        <f t="shared" ref="AF1091:AF1104" si="640">ROUND(I1091-T1091-U1091-V1091-W1091,0)</f>
        <v>#VALUE!</v>
      </c>
      <c r="AG1091" s="117" t="e">
        <f t="shared" ref="AG1091:AG1104" si="641">ROUND(J1091-Y1091-Z1091-AA1091-AC1091-AB1091,0)</f>
        <v>#VALUE!</v>
      </c>
      <c r="AH1091" s="116"/>
      <c r="AI1091" t="str">
        <f t="shared" si="594"/>
        <v>SCHMAT</v>
      </c>
      <c r="AJ1091" t="str">
        <f t="shared" si="577"/>
        <v>S</v>
      </c>
      <c r="AK1091" t="str">
        <f>IF(ISERROR(MATCH(AI1091&amp;"."&amp;AJ1091,AK$91:AK1090,0)),AI1091&amp;"."&amp;AJ1091,AI1091&amp;"."&amp;AJ1091&amp;COUNTIFS(AI$91:AI1090,AI1091,AJ$91:AJ1090,AJ1091))</f>
        <v>SCHMAT.S</v>
      </c>
    </row>
    <row r="1092" spans="1:37" ht="15" hidden="1">
      <c r="A1092" s="120">
        <f>ROW()</f>
        <v>1092</v>
      </c>
      <c r="B1092" s="120"/>
      <c r="C1092" s="120"/>
      <c r="D1092" s="150"/>
      <c r="E1092" s="121" t="s">
        <v>283</v>
      </c>
      <c r="F1092" s="138" t="str">
        <f>INDEX(FuncAllocOptions,ROW(A1092)-ROW($A$92)+1,[4]Inputs!$S$11)</f>
        <v>P</v>
      </c>
      <c r="G1092" s="117" t="e">
        <f t="shared" si="627"/>
        <v>#VALUE!</v>
      </c>
      <c r="H1092" s="116" t="e">
        <f t="shared" si="628"/>
        <v>#VALUE!</v>
      </c>
      <c r="I1092" s="116" t="e">
        <f t="shared" si="628"/>
        <v>#VALUE!</v>
      </c>
      <c r="J1092" s="116" t="e">
        <f t="shared" si="628"/>
        <v>#VALUE!</v>
      </c>
      <c r="K1092" s="116" t="e">
        <f t="shared" si="628"/>
        <v>#VALUE!</v>
      </c>
      <c r="L1092" s="116" t="e">
        <f t="shared" si="628"/>
        <v>#VALUE!</v>
      </c>
      <c r="N1092" s="108">
        <v>0.75</v>
      </c>
      <c r="O1092" s="116" t="e">
        <f t="shared" si="629"/>
        <v>#VALUE!</v>
      </c>
      <c r="P1092" s="116" t="e">
        <f t="shared" si="630"/>
        <v>#VALUE!</v>
      </c>
      <c r="Q1092" s="116" t="e">
        <f t="shared" si="631"/>
        <v>#VALUE!</v>
      </c>
      <c r="R1092" s="116" t="e">
        <f t="shared" si="632"/>
        <v>#VALUE!</v>
      </c>
      <c r="S1092" s="108">
        <v>0.75</v>
      </c>
      <c r="T1092" s="116" t="e">
        <f t="shared" si="633"/>
        <v>#VALUE!</v>
      </c>
      <c r="U1092" s="116" t="e">
        <f t="shared" si="634"/>
        <v>#VALUE!</v>
      </c>
      <c r="V1092" s="116" t="e">
        <f t="shared" si="635"/>
        <v>#VALUE!</v>
      </c>
      <c r="W1092" s="116" t="e">
        <f t="shared" si="636"/>
        <v>#VALUE!</v>
      </c>
      <c r="X1092" s="3" t="str">
        <f>INDEX(DistFuncAllocOptions,ROW(A1092)-ROW($A$92)+1,[4]Inputs!$S$11)</f>
        <v>DRB</v>
      </c>
      <c r="Y1092" s="116" t="e">
        <f t="shared" si="637"/>
        <v>#VALUE!</v>
      </c>
      <c r="Z1092" s="116" t="e">
        <f t="shared" si="637"/>
        <v>#VALUE!</v>
      </c>
      <c r="AA1092" s="116" t="e">
        <f t="shared" si="637"/>
        <v>#VALUE!</v>
      </c>
      <c r="AB1092" s="116" t="e">
        <f t="shared" si="637"/>
        <v>#VALUE!</v>
      </c>
      <c r="AC1092" s="116" t="e">
        <f t="shared" si="637"/>
        <v>#VALUE!</v>
      </c>
      <c r="AD1092" s="117" t="e">
        <f t="shared" si="638"/>
        <v>#VALUE!</v>
      </c>
      <c r="AE1092" s="117" t="e">
        <f t="shared" si="639"/>
        <v>#VALUE!</v>
      </c>
      <c r="AF1092" s="117" t="e">
        <f t="shared" si="640"/>
        <v>#VALUE!</v>
      </c>
      <c r="AG1092" s="117" t="e">
        <f t="shared" si="641"/>
        <v>#VALUE!</v>
      </c>
      <c r="AH1092" s="116"/>
      <c r="AI1092" t="str">
        <f t="shared" si="594"/>
        <v>SCHMAT</v>
      </c>
      <c r="AJ1092" t="str">
        <f t="shared" si="577"/>
        <v>SGCT</v>
      </c>
      <c r="AK1092" t="str">
        <f>IF(ISERROR(MATCH(AI1092&amp;"."&amp;AJ1092,AK$91:AK1091,0)),AI1092&amp;"."&amp;AJ1092,AI1092&amp;"."&amp;AJ1092&amp;COUNTIFS(AI$91:AI1091,AI1092,AJ$91:AJ1091,AJ1092))</f>
        <v>SCHMAT.SGCT</v>
      </c>
    </row>
    <row r="1093" spans="1:37" ht="15" hidden="1">
      <c r="A1093" s="120">
        <f>ROW()</f>
        <v>1093</v>
      </c>
      <c r="B1093" s="120"/>
      <c r="C1093" s="120"/>
      <c r="D1093" s="150"/>
      <c r="E1093" s="121" t="s">
        <v>451</v>
      </c>
      <c r="F1093" s="138" t="str">
        <f>INDEX(FuncAllocOptions,ROW(A1093)-ROW($A$92)+1,[4]Inputs!$S$11)</f>
        <v>DPW</v>
      </c>
      <c r="G1093" s="117" t="e">
        <f t="shared" si="627"/>
        <v>#VALUE!</v>
      </c>
      <c r="H1093" s="116" t="e">
        <f t="shared" si="628"/>
        <v>#VALUE!</v>
      </c>
      <c r="I1093" s="116" t="e">
        <f t="shared" si="628"/>
        <v>#VALUE!</v>
      </c>
      <c r="J1093" s="116" t="e">
        <f t="shared" si="628"/>
        <v>#VALUE!</v>
      </c>
      <c r="K1093" s="116" t="e">
        <f t="shared" si="628"/>
        <v>#VALUE!</v>
      </c>
      <c r="L1093" s="116" t="e">
        <f t="shared" si="628"/>
        <v>#VALUE!</v>
      </c>
      <c r="N1093" s="108">
        <v>0.75</v>
      </c>
      <c r="O1093" s="116" t="e">
        <f t="shared" si="629"/>
        <v>#VALUE!</v>
      </c>
      <c r="P1093" s="116" t="e">
        <f t="shared" si="630"/>
        <v>#VALUE!</v>
      </c>
      <c r="Q1093" s="116" t="e">
        <f t="shared" si="631"/>
        <v>#VALUE!</v>
      </c>
      <c r="R1093" s="116" t="e">
        <f t="shared" si="632"/>
        <v>#VALUE!</v>
      </c>
      <c r="S1093" s="108">
        <v>0.75</v>
      </c>
      <c r="T1093" s="116" t="e">
        <f t="shared" si="633"/>
        <v>#VALUE!</v>
      </c>
      <c r="U1093" s="116" t="e">
        <f t="shared" si="634"/>
        <v>#VALUE!</v>
      </c>
      <c r="V1093" s="116" t="e">
        <f t="shared" si="635"/>
        <v>#VALUE!</v>
      </c>
      <c r="W1093" s="116" t="e">
        <f t="shared" si="636"/>
        <v>#VALUE!</v>
      </c>
      <c r="X1093" s="3" t="str">
        <f>INDEX(DistFuncAllocOptions,ROW(A1093)-ROW($A$92)+1,[4]Inputs!$S$11)</f>
        <v>PLNT</v>
      </c>
      <c r="Y1093" s="116" t="e">
        <f t="shared" si="637"/>
        <v>#VALUE!</v>
      </c>
      <c r="Z1093" s="116" t="e">
        <f t="shared" si="637"/>
        <v>#VALUE!</v>
      </c>
      <c r="AA1093" s="116" t="e">
        <f t="shared" si="637"/>
        <v>#VALUE!</v>
      </c>
      <c r="AB1093" s="116" t="e">
        <f t="shared" si="637"/>
        <v>#VALUE!</v>
      </c>
      <c r="AC1093" s="116" t="e">
        <f t="shared" si="637"/>
        <v>#VALUE!</v>
      </c>
      <c r="AD1093" s="117" t="e">
        <f t="shared" si="638"/>
        <v>#VALUE!</v>
      </c>
      <c r="AE1093" s="117" t="e">
        <f t="shared" si="639"/>
        <v>#VALUE!</v>
      </c>
      <c r="AF1093" s="117" t="e">
        <f t="shared" si="640"/>
        <v>#VALUE!</v>
      </c>
      <c r="AG1093" s="117" t="e">
        <f t="shared" si="641"/>
        <v>#VALUE!</v>
      </c>
      <c r="AH1093" s="116"/>
      <c r="AI1093" t="str">
        <f t="shared" si="594"/>
        <v>SCHMAT</v>
      </c>
      <c r="AJ1093" t="str">
        <f t="shared" si="577"/>
        <v>CIAC</v>
      </c>
      <c r="AK1093" t="str">
        <f>IF(ISERROR(MATCH(AI1093&amp;"."&amp;AJ1093,AK$91:AK1092,0)),AI1093&amp;"."&amp;AJ1093,AI1093&amp;"."&amp;AJ1093&amp;COUNTIFS(AI$91:AI1092,AI1093,AJ$91:AJ1092,AJ1093))</f>
        <v>SCHMAT.CIAC</v>
      </c>
    </row>
    <row r="1094" spans="1:37" ht="15" hidden="1">
      <c r="A1094" s="120">
        <f>ROW()</f>
        <v>1094</v>
      </c>
      <c r="B1094" s="120"/>
      <c r="C1094" s="120"/>
      <c r="D1094" s="150"/>
      <c r="E1094" s="121" t="s">
        <v>433</v>
      </c>
      <c r="F1094" s="138" t="str">
        <f>INDEX(FuncAllocOptions,ROW(A1094)-ROW($A$92)+1,[4]Inputs!$S$11)</f>
        <v>SCHMAT-SNP</v>
      </c>
      <c r="G1094" s="117" t="e">
        <f t="shared" si="627"/>
        <v>#VALUE!</v>
      </c>
      <c r="H1094" s="116" t="e">
        <f t="shared" si="628"/>
        <v>#VALUE!</v>
      </c>
      <c r="I1094" s="116" t="e">
        <f t="shared" si="628"/>
        <v>#VALUE!</v>
      </c>
      <c r="J1094" s="116" t="e">
        <f t="shared" si="628"/>
        <v>#VALUE!</v>
      </c>
      <c r="K1094" s="116" t="e">
        <f t="shared" si="628"/>
        <v>#VALUE!</v>
      </c>
      <c r="L1094" s="116" t="e">
        <f t="shared" si="628"/>
        <v>#VALUE!</v>
      </c>
      <c r="N1094" s="108">
        <v>0.75</v>
      </c>
      <c r="O1094" s="116" t="e">
        <f t="shared" si="629"/>
        <v>#VALUE!</v>
      </c>
      <c r="P1094" s="116" t="e">
        <f t="shared" si="630"/>
        <v>#VALUE!</v>
      </c>
      <c r="Q1094" s="116" t="e">
        <f t="shared" si="631"/>
        <v>#VALUE!</v>
      </c>
      <c r="R1094" s="116" t="e">
        <f t="shared" si="632"/>
        <v>#VALUE!</v>
      </c>
      <c r="S1094" s="108">
        <v>0.75</v>
      </c>
      <c r="T1094" s="116" t="e">
        <f t="shared" si="633"/>
        <v>#VALUE!</v>
      </c>
      <c r="U1094" s="116" t="e">
        <f t="shared" si="634"/>
        <v>#VALUE!</v>
      </c>
      <c r="V1094" s="116" t="e">
        <f t="shared" si="635"/>
        <v>#VALUE!</v>
      </c>
      <c r="W1094" s="116" t="e">
        <f t="shared" si="636"/>
        <v>#VALUE!</v>
      </c>
      <c r="X1094" s="3" t="str">
        <f>INDEX(DistFuncAllocOptions,ROW(A1094)-ROW($A$92)+1,[4]Inputs!$S$11)</f>
        <v>DISom</v>
      </c>
      <c r="Y1094" s="116" t="e">
        <f t="shared" si="637"/>
        <v>#VALUE!</v>
      </c>
      <c r="Z1094" s="116" t="e">
        <f t="shared" si="637"/>
        <v>#VALUE!</v>
      </c>
      <c r="AA1094" s="116" t="e">
        <f t="shared" si="637"/>
        <v>#VALUE!</v>
      </c>
      <c r="AB1094" s="116" t="e">
        <f t="shared" si="637"/>
        <v>#VALUE!</v>
      </c>
      <c r="AC1094" s="116" t="e">
        <f t="shared" si="637"/>
        <v>#VALUE!</v>
      </c>
      <c r="AD1094" s="117" t="e">
        <f t="shared" si="638"/>
        <v>#VALUE!</v>
      </c>
      <c r="AE1094" s="117" t="e">
        <f t="shared" si="639"/>
        <v>#VALUE!</v>
      </c>
      <c r="AF1094" s="117" t="e">
        <f t="shared" si="640"/>
        <v>#VALUE!</v>
      </c>
      <c r="AG1094" s="117" t="e">
        <f t="shared" si="641"/>
        <v>#VALUE!</v>
      </c>
      <c r="AH1094" s="116"/>
      <c r="AI1094" t="str">
        <f t="shared" si="594"/>
        <v>SCHMAT</v>
      </c>
      <c r="AJ1094" t="str">
        <f t="shared" si="577"/>
        <v>SNP</v>
      </c>
      <c r="AK1094" t="str">
        <f>IF(ISERROR(MATCH(AI1094&amp;"."&amp;AJ1094,AK$91:AK1093,0)),AI1094&amp;"."&amp;AJ1094,AI1094&amp;"."&amp;AJ1094&amp;COUNTIFS(AI$91:AI1093,AI1094,AJ$91:AJ1093,AJ1094))</f>
        <v>SCHMAT.SNP</v>
      </c>
    </row>
    <row r="1095" spans="1:37" ht="15" hidden="1">
      <c r="A1095" s="120">
        <f>ROW()</f>
        <v>1095</v>
      </c>
      <c r="B1095" s="120"/>
      <c r="C1095" s="120"/>
      <c r="D1095" s="150"/>
      <c r="E1095" s="121" t="s">
        <v>447</v>
      </c>
      <c r="F1095" s="138" t="str">
        <f>INDEX(FuncAllocOptions,ROW(A1095)-ROW($A$92)+1,[4]Inputs!$S$11)</f>
        <v>P</v>
      </c>
      <c r="G1095" s="117" t="e">
        <f t="shared" si="627"/>
        <v>#VALUE!</v>
      </c>
      <c r="H1095" s="116" t="e">
        <f t="shared" si="628"/>
        <v>#VALUE!</v>
      </c>
      <c r="I1095" s="116" t="e">
        <f t="shared" si="628"/>
        <v>#VALUE!</v>
      </c>
      <c r="J1095" s="116" t="e">
        <f t="shared" si="628"/>
        <v>#VALUE!</v>
      </c>
      <c r="K1095" s="116" t="e">
        <f t="shared" si="628"/>
        <v>#VALUE!</v>
      </c>
      <c r="L1095" s="116" t="e">
        <f t="shared" si="628"/>
        <v>#VALUE!</v>
      </c>
      <c r="N1095" s="108">
        <v>0.75</v>
      </c>
      <c r="O1095" s="116" t="e">
        <f t="shared" si="629"/>
        <v>#VALUE!</v>
      </c>
      <c r="P1095" s="116" t="e">
        <f t="shared" si="630"/>
        <v>#VALUE!</v>
      </c>
      <c r="Q1095" s="116" t="e">
        <f t="shared" si="631"/>
        <v>#VALUE!</v>
      </c>
      <c r="R1095" s="116" t="e">
        <f t="shared" si="632"/>
        <v>#VALUE!</v>
      </c>
      <c r="S1095" s="108">
        <v>0.75</v>
      </c>
      <c r="T1095" s="116" t="e">
        <f t="shared" si="633"/>
        <v>#VALUE!</v>
      </c>
      <c r="U1095" s="116" t="e">
        <f t="shared" si="634"/>
        <v>#VALUE!</v>
      </c>
      <c r="V1095" s="116" t="e">
        <f t="shared" si="635"/>
        <v>#VALUE!</v>
      </c>
      <c r="W1095" s="116" t="e">
        <f t="shared" si="636"/>
        <v>#VALUE!</v>
      </c>
      <c r="X1095" s="3" t="str">
        <f>INDEX(DistFuncAllocOptions,ROW(A1095)-ROW($A$92)+1,[4]Inputs!$S$11)</f>
        <v>DRB</v>
      </c>
      <c r="Y1095" s="116" t="e">
        <f t="shared" si="637"/>
        <v>#VALUE!</v>
      </c>
      <c r="Z1095" s="116" t="e">
        <f t="shared" si="637"/>
        <v>#VALUE!</v>
      </c>
      <c r="AA1095" s="116" t="e">
        <f t="shared" si="637"/>
        <v>#VALUE!</v>
      </c>
      <c r="AB1095" s="116" t="e">
        <f t="shared" si="637"/>
        <v>#VALUE!</v>
      </c>
      <c r="AC1095" s="116" t="e">
        <f t="shared" si="637"/>
        <v>#VALUE!</v>
      </c>
      <c r="AD1095" s="117" t="e">
        <f t="shared" si="638"/>
        <v>#VALUE!</v>
      </c>
      <c r="AE1095" s="117" t="e">
        <f t="shared" si="639"/>
        <v>#VALUE!</v>
      </c>
      <c r="AF1095" s="117" t="e">
        <f t="shared" si="640"/>
        <v>#VALUE!</v>
      </c>
      <c r="AG1095" s="117" t="e">
        <f t="shared" si="641"/>
        <v>#VALUE!</v>
      </c>
      <c r="AH1095" s="116"/>
      <c r="AI1095" t="str">
        <f t="shared" si="594"/>
        <v>SCHMAT</v>
      </c>
      <c r="AJ1095" t="str">
        <f t="shared" si="577"/>
        <v>TROJD</v>
      </c>
      <c r="AK1095" t="str">
        <f>IF(ISERROR(MATCH(AI1095&amp;"."&amp;AJ1095,AK$91:AK1094,0)),AI1095&amp;"."&amp;AJ1095,AI1095&amp;"."&amp;AJ1095&amp;COUNTIFS(AI$91:AI1094,AI1095,AJ$91:AJ1094,AJ1095))</f>
        <v>SCHMAT.TROJD</v>
      </c>
    </row>
    <row r="1096" spans="1:37" ht="15" hidden="1">
      <c r="A1096" s="120">
        <f>ROW()</f>
        <v>1096</v>
      </c>
      <c r="B1096" s="120"/>
      <c r="C1096" s="120"/>
      <c r="D1096" s="150"/>
      <c r="E1096" s="121" t="s">
        <v>15</v>
      </c>
      <c r="F1096" s="138" t="str">
        <f>INDEX(FuncAllocOptions,ROW(A1096)-ROW($A$92)+1,[4]Inputs!$S$11)</f>
        <v>P</v>
      </c>
      <c r="G1096" s="117" t="e">
        <f t="shared" si="627"/>
        <v>#VALUE!</v>
      </c>
      <c r="H1096" s="116" t="e">
        <f t="shared" si="628"/>
        <v>#VALUE!</v>
      </c>
      <c r="I1096" s="116" t="e">
        <f t="shared" si="628"/>
        <v>#VALUE!</v>
      </c>
      <c r="J1096" s="116" t="e">
        <f t="shared" si="628"/>
        <v>#VALUE!</v>
      </c>
      <c r="K1096" s="116" t="e">
        <f t="shared" si="628"/>
        <v>#VALUE!</v>
      </c>
      <c r="L1096" s="116" t="e">
        <f t="shared" si="628"/>
        <v>#VALUE!</v>
      </c>
      <c r="N1096" s="108">
        <v>0.75</v>
      </c>
      <c r="O1096" s="116" t="e">
        <f t="shared" si="629"/>
        <v>#VALUE!</v>
      </c>
      <c r="P1096" s="116" t="e">
        <f t="shared" si="630"/>
        <v>#VALUE!</v>
      </c>
      <c r="Q1096" s="116" t="e">
        <f t="shared" si="631"/>
        <v>#VALUE!</v>
      </c>
      <c r="R1096" s="116" t="e">
        <f t="shared" si="632"/>
        <v>#VALUE!</v>
      </c>
      <c r="S1096" s="108">
        <v>0.75</v>
      </c>
      <c r="T1096" s="116" t="e">
        <f t="shared" si="633"/>
        <v>#VALUE!</v>
      </c>
      <c r="U1096" s="116" t="e">
        <f t="shared" si="634"/>
        <v>#VALUE!</v>
      </c>
      <c r="V1096" s="116" t="e">
        <f t="shared" si="635"/>
        <v>#VALUE!</v>
      </c>
      <c r="W1096" s="116" t="e">
        <f t="shared" si="636"/>
        <v>#VALUE!</v>
      </c>
      <c r="X1096" s="3" t="str">
        <f>INDEX(DistFuncAllocOptions,ROW(A1096)-ROW($A$92)+1,[4]Inputs!$S$11)</f>
        <v>DRB</v>
      </c>
      <c r="Y1096" s="116" t="e">
        <f t="shared" si="637"/>
        <v>#VALUE!</v>
      </c>
      <c r="Z1096" s="116" t="e">
        <f t="shared" si="637"/>
        <v>#VALUE!</v>
      </c>
      <c r="AA1096" s="116" t="e">
        <f t="shared" si="637"/>
        <v>#VALUE!</v>
      </c>
      <c r="AB1096" s="116" t="e">
        <f t="shared" si="637"/>
        <v>#VALUE!</v>
      </c>
      <c r="AC1096" s="116" t="e">
        <f t="shared" si="637"/>
        <v>#VALUE!</v>
      </c>
      <c r="AD1096" s="117" t="e">
        <f t="shared" si="638"/>
        <v>#VALUE!</v>
      </c>
      <c r="AE1096" s="117" t="e">
        <f t="shared" si="639"/>
        <v>#VALUE!</v>
      </c>
      <c r="AF1096" s="117" t="e">
        <f t="shared" si="640"/>
        <v>#VALUE!</v>
      </c>
      <c r="AG1096" s="117" t="e">
        <f t="shared" si="641"/>
        <v>#VALUE!</v>
      </c>
      <c r="AH1096" s="116"/>
      <c r="AI1096" t="str">
        <f t="shared" si="594"/>
        <v>SCHMAT</v>
      </c>
      <c r="AJ1096" t="str">
        <f t="shared" si="577"/>
        <v>SG</v>
      </c>
      <c r="AK1096" t="str">
        <f>IF(ISERROR(MATCH(AI1096&amp;"."&amp;AJ1096,AK$91:AK1095,0)),AI1096&amp;"."&amp;AJ1096,AI1096&amp;"."&amp;AJ1096&amp;COUNTIFS(AI$91:AI1095,AI1096,AJ$91:AJ1095,AJ1096))</f>
        <v>SCHMAT.SG</v>
      </c>
    </row>
    <row r="1097" spans="1:37" ht="15" hidden="1">
      <c r="A1097" s="120">
        <f>ROW()</f>
        <v>1097</v>
      </c>
      <c r="B1097" s="120"/>
      <c r="C1097" s="120"/>
      <c r="D1097" s="150"/>
      <c r="E1097" s="121" t="s">
        <v>16</v>
      </c>
      <c r="F1097" s="138" t="str">
        <f>INDEX(FuncAllocOptions,ROW(A1097)-ROW($A$92)+1,[4]Inputs!$S$11)</f>
        <v>SCHMAT-SE</v>
      </c>
      <c r="G1097" s="117" t="e">
        <f t="shared" si="627"/>
        <v>#VALUE!</v>
      </c>
      <c r="H1097" s="116" t="e">
        <f t="shared" si="628"/>
        <v>#VALUE!</v>
      </c>
      <c r="I1097" s="116" t="e">
        <f t="shared" si="628"/>
        <v>#VALUE!</v>
      </c>
      <c r="J1097" s="116" t="e">
        <f t="shared" si="628"/>
        <v>#VALUE!</v>
      </c>
      <c r="K1097" s="116" t="e">
        <f t="shared" si="628"/>
        <v>#VALUE!</v>
      </c>
      <c r="L1097" s="116" t="e">
        <f t="shared" si="628"/>
        <v>#VALUE!</v>
      </c>
      <c r="N1097" s="108">
        <v>0</v>
      </c>
      <c r="O1097" s="116" t="e">
        <f t="shared" si="629"/>
        <v>#VALUE!</v>
      </c>
      <c r="P1097" s="116" t="e">
        <f t="shared" si="630"/>
        <v>#VALUE!</v>
      </c>
      <c r="Q1097" s="116" t="e">
        <f t="shared" si="631"/>
        <v>#VALUE!</v>
      </c>
      <c r="R1097" s="116" t="e">
        <f t="shared" si="632"/>
        <v>#VALUE!</v>
      </c>
      <c r="S1097" s="108">
        <v>0</v>
      </c>
      <c r="T1097" s="116" t="e">
        <f t="shared" si="633"/>
        <v>#VALUE!</v>
      </c>
      <c r="U1097" s="116" t="e">
        <f t="shared" si="634"/>
        <v>#VALUE!</v>
      </c>
      <c r="V1097" s="116" t="e">
        <f t="shared" si="635"/>
        <v>#VALUE!</v>
      </c>
      <c r="W1097" s="116" t="e">
        <f t="shared" si="636"/>
        <v>#VALUE!</v>
      </c>
      <c r="X1097" s="3" t="str">
        <f>INDEX(DistFuncAllocOptions,ROW(A1097)-ROW($A$92)+1,[4]Inputs!$S$11)</f>
        <v>DRB</v>
      </c>
      <c r="Y1097" s="116" t="e">
        <f t="shared" si="637"/>
        <v>#VALUE!</v>
      </c>
      <c r="Z1097" s="116" t="e">
        <f t="shared" si="637"/>
        <v>#VALUE!</v>
      </c>
      <c r="AA1097" s="116" t="e">
        <f t="shared" si="637"/>
        <v>#VALUE!</v>
      </c>
      <c r="AB1097" s="116" t="e">
        <f t="shared" si="637"/>
        <v>#VALUE!</v>
      </c>
      <c r="AC1097" s="116" t="e">
        <f t="shared" si="637"/>
        <v>#VALUE!</v>
      </c>
      <c r="AD1097" s="117" t="e">
        <f t="shared" si="638"/>
        <v>#VALUE!</v>
      </c>
      <c r="AE1097" s="117" t="e">
        <f t="shared" si="639"/>
        <v>#VALUE!</v>
      </c>
      <c r="AF1097" s="117" t="e">
        <f t="shared" si="640"/>
        <v>#VALUE!</v>
      </c>
      <c r="AG1097" s="117" t="e">
        <f t="shared" si="641"/>
        <v>#VALUE!</v>
      </c>
      <c r="AH1097" s="116"/>
      <c r="AI1097" t="str">
        <f t="shared" si="594"/>
        <v>SCHMAT</v>
      </c>
      <c r="AJ1097" t="str">
        <f t="shared" si="577"/>
        <v>SE</v>
      </c>
      <c r="AK1097" t="str">
        <f>IF(ISERROR(MATCH(AI1097&amp;"."&amp;AJ1097,AK$91:AK1096,0)),AI1097&amp;"."&amp;AJ1097,AI1097&amp;"."&amp;AJ1097&amp;COUNTIFS(AI$91:AI1096,AI1097,AJ$91:AJ1096,AJ1097))</f>
        <v>SCHMAT.SE</v>
      </c>
    </row>
    <row r="1098" spans="1:37" ht="15" hidden="1">
      <c r="A1098" s="120">
        <f>ROW()</f>
        <v>1098</v>
      </c>
      <c r="B1098" s="120"/>
      <c r="C1098" s="120"/>
      <c r="D1098" s="150"/>
      <c r="E1098" s="121" t="s">
        <v>15</v>
      </c>
      <c r="F1098" s="138" t="str">
        <f>INDEX(FuncAllocOptions,ROW(A1098)-ROW($A$92)+1,[4]Inputs!$S$11)</f>
        <v>P</v>
      </c>
      <c r="G1098" s="117" t="e">
        <f t="shared" si="627"/>
        <v>#VALUE!</v>
      </c>
      <c r="H1098" s="116" t="e">
        <f t="shared" si="628"/>
        <v>#VALUE!</v>
      </c>
      <c r="I1098" s="116" t="e">
        <f t="shared" si="628"/>
        <v>#VALUE!</v>
      </c>
      <c r="J1098" s="116" t="e">
        <f t="shared" si="628"/>
        <v>#VALUE!</v>
      </c>
      <c r="K1098" s="116" t="e">
        <f t="shared" si="628"/>
        <v>#VALUE!</v>
      </c>
      <c r="L1098" s="116" t="e">
        <f t="shared" si="628"/>
        <v>#VALUE!</v>
      </c>
      <c r="N1098" s="108">
        <v>0.75</v>
      </c>
      <c r="O1098" s="116" t="e">
        <f t="shared" si="629"/>
        <v>#VALUE!</v>
      </c>
      <c r="P1098" s="116" t="e">
        <f t="shared" si="630"/>
        <v>#VALUE!</v>
      </c>
      <c r="Q1098" s="116" t="e">
        <f t="shared" si="631"/>
        <v>#VALUE!</v>
      </c>
      <c r="R1098" s="116" t="e">
        <f t="shared" si="632"/>
        <v>#VALUE!</v>
      </c>
      <c r="S1098" s="108">
        <v>0.75</v>
      </c>
      <c r="T1098" s="116" t="e">
        <f t="shared" si="633"/>
        <v>#VALUE!</v>
      </c>
      <c r="U1098" s="116" t="e">
        <f t="shared" si="634"/>
        <v>#VALUE!</v>
      </c>
      <c r="V1098" s="116" t="e">
        <f t="shared" si="635"/>
        <v>#VALUE!</v>
      </c>
      <c r="W1098" s="116" t="e">
        <f t="shared" si="636"/>
        <v>#VALUE!</v>
      </c>
      <c r="X1098" s="3" t="str">
        <f>INDEX(DistFuncAllocOptions,ROW(A1098)-ROW($A$92)+1,[4]Inputs!$S$11)</f>
        <v>DRB</v>
      </c>
      <c r="Y1098" s="116" t="e">
        <f t="shared" si="637"/>
        <v>#VALUE!</v>
      </c>
      <c r="Z1098" s="116" t="e">
        <f t="shared" si="637"/>
        <v>#VALUE!</v>
      </c>
      <c r="AA1098" s="116" t="e">
        <f t="shared" si="637"/>
        <v>#VALUE!</v>
      </c>
      <c r="AB1098" s="116" t="e">
        <f t="shared" si="637"/>
        <v>#VALUE!</v>
      </c>
      <c r="AC1098" s="116" t="e">
        <f t="shared" si="637"/>
        <v>#VALUE!</v>
      </c>
      <c r="AD1098" s="117" t="e">
        <f t="shared" si="638"/>
        <v>#VALUE!</v>
      </c>
      <c r="AE1098" s="117" t="e">
        <f t="shared" si="639"/>
        <v>#VALUE!</v>
      </c>
      <c r="AF1098" s="117" t="e">
        <f t="shared" si="640"/>
        <v>#VALUE!</v>
      </c>
      <c r="AG1098" s="117" t="e">
        <f t="shared" si="641"/>
        <v>#VALUE!</v>
      </c>
      <c r="AH1098" s="116"/>
      <c r="AI1098" t="str">
        <f t="shared" si="594"/>
        <v>SCHMAT</v>
      </c>
      <c r="AJ1098" t="str">
        <f t="shared" si="577"/>
        <v>SG</v>
      </c>
      <c r="AK1098" t="str">
        <f>IF(ISERROR(MATCH(AI1098&amp;"."&amp;AJ1098,AK$91:AK1097,0)),AI1098&amp;"."&amp;AJ1098,AI1098&amp;"."&amp;AJ1098&amp;COUNTIFS(AI$91:AI1097,AI1098,AJ$91:AJ1097,AJ1098))</f>
        <v>SCHMAT.SG1</v>
      </c>
    </row>
    <row r="1099" spans="1:37" ht="15" hidden="1">
      <c r="A1099" s="120">
        <f>ROW()</f>
        <v>1099</v>
      </c>
      <c r="B1099" s="120"/>
      <c r="C1099" s="120"/>
      <c r="D1099" s="150"/>
      <c r="E1099" s="121" t="s">
        <v>423</v>
      </c>
      <c r="F1099" s="138" t="str">
        <f>INDEX(FuncAllocOptions,ROW(A1099)-ROW($A$92)+1,[4]Inputs!$S$11)</f>
        <v>SCHMAT</v>
      </c>
      <c r="G1099" s="117" t="e">
        <f t="shared" si="627"/>
        <v>#VALUE!</v>
      </c>
      <c r="H1099" s="116" t="e">
        <f t="shared" si="628"/>
        <v>#VALUE!</v>
      </c>
      <c r="I1099" s="116" t="e">
        <f t="shared" si="628"/>
        <v>#VALUE!</v>
      </c>
      <c r="J1099" s="116" t="e">
        <f t="shared" si="628"/>
        <v>#VALUE!</v>
      </c>
      <c r="K1099" s="116" t="e">
        <f t="shared" si="628"/>
        <v>#VALUE!</v>
      </c>
      <c r="L1099" s="116" t="e">
        <f t="shared" si="628"/>
        <v>#VALUE!</v>
      </c>
      <c r="N1099" s="108">
        <v>0.75</v>
      </c>
      <c r="O1099" s="116" t="e">
        <f t="shared" si="629"/>
        <v>#VALUE!</v>
      </c>
      <c r="P1099" s="116" t="e">
        <f t="shared" si="630"/>
        <v>#VALUE!</v>
      </c>
      <c r="Q1099" s="116" t="e">
        <f t="shared" si="631"/>
        <v>#VALUE!</v>
      </c>
      <c r="R1099" s="116" t="e">
        <f t="shared" si="632"/>
        <v>#VALUE!</v>
      </c>
      <c r="S1099" s="108">
        <v>0.75</v>
      </c>
      <c r="T1099" s="116" t="e">
        <f t="shared" si="633"/>
        <v>#VALUE!</v>
      </c>
      <c r="U1099" s="116" t="e">
        <f t="shared" si="634"/>
        <v>#VALUE!</v>
      </c>
      <c r="V1099" s="116" t="e">
        <f t="shared" si="635"/>
        <v>#VALUE!</v>
      </c>
      <c r="W1099" s="116" t="e">
        <f t="shared" si="636"/>
        <v>#VALUE!</v>
      </c>
      <c r="X1099" s="3" t="str">
        <f>INDEX(DistFuncAllocOptions,ROW(A1099)-ROW($A$92)+1,[4]Inputs!$S$11)</f>
        <v>PLNT</v>
      </c>
      <c r="Y1099" s="116" t="e">
        <f t="shared" si="637"/>
        <v>#VALUE!</v>
      </c>
      <c r="Z1099" s="116" t="e">
        <f t="shared" si="637"/>
        <v>#VALUE!</v>
      </c>
      <c r="AA1099" s="116" t="e">
        <f t="shared" si="637"/>
        <v>#VALUE!</v>
      </c>
      <c r="AB1099" s="116" t="e">
        <f t="shared" si="637"/>
        <v>#VALUE!</v>
      </c>
      <c r="AC1099" s="116" t="e">
        <f t="shared" si="637"/>
        <v>#VALUE!</v>
      </c>
      <c r="AD1099" s="117" t="e">
        <f t="shared" si="638"/>
        <v>#VALUE!</v>
      </c>
      <c r="AE1099" s="117" t="e">
        <f t="shared" si="639"/>
        <v>#VALUE!</v>
      </c>
      <c r="AF1099" s="117" t="e">
        <f t="shared" si="640"/>
        <v>#VALUE!</v>
      </c>
      <c r="AG1099" s="117" t="e">
        <f t="shared" si="641"/>
        <v>#VALUE!</v>
      </c>
      <c r="AH1099" s="116"/>
      <c r="AI1099" t="str">
        <f t="shared" si="594"/>
        <v>SCHMAT</v>
      </c>
      <c r="AJ1099" t="str">
        <f t="shared" si="577"/>
        <v>GPS</v>
      </c>
      <c r="AK1099" t="str">
        <f>IF(ISERROR(MATCH(AI1099&amp;"."&amp;AJ1099,AK$91:AK1098,0)),AI1099&amp;"."&amp;AJ1099,AI1099&amp;"."&amp;AJ1099&amp;COUNTIFS(AI$91:AI1098,AI1099,AJ$91:AJ1098,AJ1099))</f>
        <v>SCHMAT.GPS</v>
      </c>
    </row>
    <row r="1100" spans="1:37" ht="15" hidden="1">
      <c r="A1100" s="120">
        <f>ROW()</f>
        <v>1100</v>
      </c>
      <c r="B1100" s="120"/>
      <c r="C1100" s="120"/>
      <c r="D1100" s="150"/>
      <c r="E1100" s="121" t="s">
        <v>136</v>
      </c>
      <c r="F1100" s="138" t="str">
        <f>INDEX(FuncAllocOptions,ROW(A1100)-ROW($A$92)+1,[4]Inputs!$S$11)</f>
        <v>SCHMAT-SO</v>
      </c>
      <c r="G1100" s="117" t="e">
        <f t="shared" si="627"/>
        <v>#VALUE!</v>
      </c>
      <c r="H1100" s="116" t="e">
        <f t="shared" si="628"/>
        <v>#VALUE!</v>
      </c>
      <c r="I1100" s="116" t="e">
        <f t="shared" si="628"/>
        <v>#VALUE!</v>
      </c>
      <c r="J1100" s="116" t="e">
        <f t="shared" si="628"/>
        <v>#VALUE!</v>
      </c>
      <c r="K1100" s="116" t="e">
        <f t="shared" si="628"/>
        <v>#VALUE!</v>
      </c>
      <c r="L1100" s="116" t="e">
        <f t="shared" si="628"/>
        <v>#VALUE!</v>
      </c>
      <c r="N1100" s="108">
        <v>0.75</v>
      </c>
      <c r="O1100" s="116" t="e">
        <f t="shared" si="629"/>
        <v>#VALUE!</v>
      </c>
      <c r="P1100" s="116" t="e">
        <f t="shared" si="630"/>
        <v>#VALUE!</v>
      </c>
      <c r="Q1100" s="116" t="e">
        <f t="shared" si="631"/>
        <v>#VALUE!</v>
      </c>
      <c r="R1100" s="116" t="e">
        <f t="shared" si="632"/>
        <v>#VALUE!</v>
      </c>
      <c r="S1100" s="108">
        <v>0.75</v>
      </c>
      <c r="T1100" s="116" t="e">
        <f t="shared" si="633"/>
        <v>#VALUE!</v>
      </c>
      <c r="U1100" s="116" t="e">
        <f t="shared" si="634"/>
        <v>#VALUE!</v>
      </c>
      <c r="V1100" s="116" t="e">
        <f t="shared" si="635"/>
        <v>#VALUE!</v>
      </c>
      <c r="W1100" s="116" t="e">
        <f t="shared" si="636"/>
        <v>#VALUE!</v>
      </c>
      <c r="X1100" s="3" t="str">
        <f>INDEX(DistFuncAllocOptions,ROW(A1100)-ROW($A$92)+1,[4]Inputs!$S$11)</f>
        <v>DISom</v>
      </c>
      <c r="Y1100" s="116" t="e">
        <f t="shared" si="637"/>
        <v>#VALUE!</v>
      </c>
      <c r="Z1100" s="116" t="e">
        <f t="shared" si="637"/>
        <v>#VALUE!</v>
      </c>
      <c r="AA1100" s="116" t="e">
        <f t="shared" si="637"/>
        <v>#VALUE!</v>
      </c>
      <c r="AB1100" s="116" t="e">
        <f t="shared" si="637"/>
        <v>#VALUE!</v>
      </c>
      <c r="AC1100" s="116" t="e">
        <f t="shared" si="637"/>
        <v>#VALUE!</v>
      </c>
      <c r="AD1100" s="117" t="e">
        <f t="shared" si="638"/>
        <v>#VALUE!</v>
      </c>
      <c r="AE1100" s="117" t="e">
        <f t="shared" si="639"/>
        <v>#VALUE!</v>
      </c>
      <c r="AF1100" s="117" t="e">
        <f t="shared" si="640"/>
        <v>#VALUE!</v>
      </c>
      <c r="AG1100" s="117" t="e">
        <f t="shared" si="641"/>
        <v>#VALUE!</v>
      </c>
      <c r="AH1100" s="116"/>
      <c r="AI1100" t="str">
        <f t="shared" si="594"/>
        <v>SCHMAT</v>
      </c>
      <c r="AJ1100" t="str">
        <f t="shared" si="577"/>
        <v>SO</v>
      </c>
      <c r="AK1100" t="str">
        <f>IF(ISERROR(MATCH(AI1100&amp;"."&amp;AJ1100,AK$91:AK1099,0)),AI1100&amp;"."&amp;AJ1100,AI1100&amp;"."&amp;AJ1100&amp;COUNTIFS(AI$91:AI1099,AI1100,AJ$91:AJ1099,AJ1100))</f>
        <v>SCHMAT.SO</v>
      </c>
    </row>
    <row r="1101" spans="1:37" ht="15" hidden="1">
      <c r="A1101" s="120">
        <f>ROW()</f>
        <v>1101</v>
      </c>
      <c r="B1101" s="120"/>
      <c r="C1101" s="120"/>
      <c r="D1101" s="150"/>
      <c r="E1101" s="121" t="s">
        <v>321</v>
      </c>
      <c r="F1101" s="138" t="str">
        <f>INDEX(FuncAllocOptions,ROW(A1101)-ROW($A$92)+1,[4]Inputs!$S$11)</f>
        <v>SCHMAT-SNP</v>
      </c>
      <c r="G1101" s="117" t="e">
        <f t="shared" si="627"/>
        <v>#VALUE!</v>
      </c>
      <c r="H1101" s="116" t="e">
        <f t="shared" si="628"/>
        <v>#VALUE!</v>
      </c>
      <c r="I1101" s="116" t="e">
        <f t="shared" si="628"/>
        <v>#VALUE!</v>
      </c>
      <c r="J1101" s="116" t="e">
        <f t="shared" si="628"/>
        <v>#VALUE!</v>
      </c>
      <c r="K1101" s="116" t="e">
        <f t="shared" si="628"/>
        <v>#VALUE!</v>
      </c>
      <c r="L1101" s="116" t="e">
        <f t="shared" si="628"/>
        <v>#VALUE!</v>
      </c>
      <c r="N1101" s="108">
        <v>0.75</v>
      </c>
      <c r="O1101" s="116" t="e">
        <f t="shared" si="629"/>
        <v>#VALUE!</v>
      </c>
      <c r="P1101" s="116" t="e">
        <f t="shared" si="630"/>
        <v>#VALUE!</v>
      </c>
      <c r="Q1101" s="116" t="e">
        <f t="shared" si="631"/>
        <v>#VALUE!</v>
      </c>
      <c r="R1101" s="116" t="e">
        <f t="shared" si="632"/>
        <v>#VALUE!</v>
      </c>
      <c r="S1101" s="108">
        <v>0.75</v>
      </c>
      <c r="T1101" s="116" t="e">
        <f t="shared" si="633"/>
        <v>#VALUE!</v>
      </c>
      <c r="U1101" s="116" t="e">
        <f t="shared" si="634"/>
        <v>#VALUE!</v>
      </c>
      <c r="V1101" s="116" t="e">
        <f t="shared" si="635"/>
        <v>#VALUE!</v>
      </c>
      <c r="W1101" s="116" t="e">
        <f t="shared" si="636"/>
        <v>#VALUE!</v>
      </c>
      <c r="X1101" s="3" t="str">
        <f>INDEX(DistFuncAllocOptions,ROW(A1101)-ROW($A$92)+1,[4]Inputs!$S$11)</f>
        <v>DISom</v>
      </c>
      <c r="Y1101" s="116" t="e">
        <f t="shared" si="637"/>
        <v>#VALUE!</v>
      </c>
      <c r="Z1101" s="116" t="e">
        <f t="shared" si="637"/>
        <v>#VALUE!</v>
      </c>
      <c r="AA1101" s="116" t="e">
        <f t="shared" si="637"/>
        <v>#VALUE!</v>
      </c>
      <c r="AB1101" s="116" t="e">
        <f t="shared" si="637"/>
        <v>#VALUE!</v>
      </c>
      <c r="AC1101" s="116" t="e">
        <f t="shared" si="637"/>
        <v>#VALUE!</v>
      </c>
      <c r="AD1101" s="117" t="e">
        <f t="shared" si="638"/>
        <v>#VALUE!</v>
      </c>
      <c r="AE1101" s="117" t="e">
        <f t="shared" si="639"/>
        <v>#VALUE!</v>
      </c>
      <c r="AF1101" s="117" t="e">
        <f t="shared" si="640"/>
        <v>#VALUE!</v>
      </c>
      <c r="AG1101" s="117" t="e">
        <f t="shared" si="641"/>
        <v>#VALUE!</v>
      </c>
      <c r="AH1101" s="116"/>
      <c r="AI1101" t="str">
        <f t="shared" si="594"/>
        <v>SCHMAT</v>
      </c>
      <c r="AJ1101" t="str">
        <f t="shared" si="577"/>
        <v>SNPD</v>
      </c>
      <c r="AK1101" t="str">
        <f>IF(ISERROR(MATCH(AI1101&amp;"."&amp;AJ1101,AK$91:AK1100,0)),AI1101&amp;"."&amp;AJ1101,AI1101&amp;"."&amp;AJ1101&amp;COUNTIFS(AI$91:AI1100,AI1101,AJ$91:AJ1100,AJ1101))</f>
        <v>SCHMAT.SNPD</v>
      </c>
    </row>
    <row r="1102" spans="1:37" ht="15" hidden="1">
      <c r="A1102" s="120">
        <f>ROW()</f>
        <v>1102</v>
      </c>
      <c r="B1102" s="120"/>
      <c r="C1102" s="120"/>
      <c r="D1102" s="150"/>
      <c r="E1102" s="121" t="s">
        <v>449</v>
      </c>
      <c r="F1102" s="138" t="str">
        <f>INDEX(FuncAllocOptions,ROW(A1102)-ROW($A$92)+1,[4]Inputs!$S$11)</f>
        <v>CUST</v>
      </c>
      <c r="G1102" s="117" t="e">
        <f t="shared" si="627"/>
        <v>#VALUE!</v>
      </c>
      <c r="H1102" s="116" t="e">
        <f t="shared" si="628"/>
        <v>#VALUE!</v>
      </c>
      <c r="I1102" s="116" t="e">
        <f t="shared" si="628"/>
        <v>#VALUE!</v>
      </c>
      <c r="J1102" s="116" t="e">
        <f t="shared" si="628"/>
        <v>#VALUE!</v>
      </c>
      <c r="K1102" s="116" t="e">
        <f t="shared" si="628"/>
        <v>#VALUE!</v>
      </c>
      <c r="L1102" s="116" t="e">
        <f t="shared" si="628"/>
        <v>#VALUE!</v>
      </c>
      <c r="N1102" s="108">
        <v>0.75</v>
      </c>
      <c r="O1102" s="116" t="e">
        <f t="shared" si="629"/>
        <v>#VALUE!</v>
      </c>
      <c r="P1102" s="116" t="e">
        <f t="shared" si="630"/>
        <v>#VALUE!</v>
      </c>
      <c r="Q1102" s="116" t="e">
        <f t="shared" si="631"/>
        <v>#VALUE!</v>
      </c>
      <c r="R1102" s="116" t="e">
        <f t="shared" si="632"/>
        <v>#VALUE!</v>
      </c>
      <c r="S1102" s="108">
        <v>0.75</v>
      </c>
      <c r="T1102" s="116" t="e">
        <f t="shared" si="633"/>
        <v>#VALUE!</v>
      </c>
      <c r="U1102" s="116" t="e">
        <f t="shared" si="634"/>
        <v>#VALUE!</v>
      </c>
      <c r="V1102" s="116" t="e">
        <f t="shared" si="635"/>
        <v>#VALUE!</v>
      </c>
      <c r="W1102" s="116" t="e">
        <f t="shared" si="636"/>
        <v>#VALUE!</v>
      </c>
      <c r="X1102" s="3" t="str">
        <f>INDEX(DistFuncAllocOptions,ROW(A1102)-ROW($A$92)+1,[4]Inputs!$S$11)</f>
        <v>CUST</v>
      </c>
      <c r="Y1102" s="116" t="e">
        <f t="shared" si="637"/>
        <v>#VALUE!</v>
      </c>
      <c r="Z1102" s="116" t="e">
        <f t="shared" si="637"/>
        <v>#VALUE!</v>
      </c>
      <c r="AA1102" s="116" t="e">
        <f t="shared" si="637"/>
        <v>#VALUE!</v>
      </c>
      <c r="AB1102" s="116" t="e">
        <f t="shared" si="637"/>
        <v>#VALUE!</v>
      </c>
      <c r="AC1102" s="116" t="e">
        <f t="shared" si="637"/>
        <v>#VALUE!</v>
      </c>
      <c r="AD1102" s="117" t="e">
        <f t="shared" si="638"/>
        <v>#VALUE!</v>
      </c>
      <c r="AE1102" s="117" t="e">
        <f t="shared" si="639"/>
        <v>#VALUE!</v>
      </c>
      <c r="AF1102" s="117" t="e">
        <f t="shared" si="640"/>
        <v>#VALUE!</v>
      </c>
      <c r="AG1102" s="117" t="e">
        <f t="shared" si="641"/>
        <v>#VALUE!</v>
      </c>
      <c r="AH1102" s="116"/>
      <c r="AI1102" t="str">
        <f t="shared" si="594"/>
        <v>SCHMAT</v>
      </c>
      <c r="AJ1102" t="str">
        <f t="shared" si="577"/>
        <v>BADDEBT</v>
      </c>
      <c r="AK1102" t="str">
        <f>IF(ISERROR(MATCH(AI1102&amp;"."&amp;AJ1102,AK$91:AK1101,0)),AI1102&amp;"."&amp;AJ1102,AI1102&amp;"."&amp;AJ1102&amp;COUNTIFS(AI$91:AI1101,AI1102,AJ$91:AJ1101,AJ1102))</f>
        <v>SCHMAT.BADDEBT</v>
      </c>
    </row>
    <row r="1103" spans="1:37" ht="15" hidden="1">
      <c r="A1103" s="120">
        <f>ROW()</f>
        <v>1103</v>
      </c>
      <c r="B1103" s="120"/>
      <c r="C1103" s="120"/>
      <c r="D1103" s="150"/>
      <c r="E1103" s="121" t="s">
        <v>453</v>
      </c>
      <c r="F1103" s="138" t="str">
        <f>INDEX(FuncAllocOptions,ROW(A1103)-ROW($A$92)+1,[4]Inputs!$S$11)</f>
        <v>P</v>
      </c>
      <c r="G1103" s="117" t="e">
        <f t="shared" si="627"/>
        <v>#VALUE!</v>
      </c>
      <c r="H1103" s="116" t="e">
        <f t="shared" si="628"/>
        <v>#VALUE!</v>
      </c>
      <c r="I1103" s="116" t="e">
        <f t="shared" si="628"/>
        <v>#VALUE!</v>
      </c>
      <c r="J1103" s="116" t="e">
        <f t="shared" si="628"/>
        <v>#VALUE!</v>
      </c>
      <c r="K1103" s="116" t="e">
        <f t="shared" si="628"/>
        <v>#VALUE!</v>
      </c>
      <c r="L1103" s="116" t="e">
        <f t="shared" si="628"/>
        <v>#VALUE!</v>
      </c>
      <c r="N1103" s="108">
        <v>0.75</v>
      </c>
      <c r="O1103" s="116" t="e">
        <f t="shared" si="629"/>
        <v>#VALUE!</v>
      </c>
      <c r="P1103" s="116" t="e">
        <f t="shared" si="630"/>
        <v>#VALUE!</v>
      </c>
      <c r="Q1103" s="116" t="e">
        <f t="shared" si="631"/>
        <v>#VALUE!</v>
      </c>
      <c r="R1103" s="116" t="e">
        <f t="shared" si="632"/>
        <v>#VALUE!</v>
      </c>
      <c r="S1103" s="108">
        <v>0.75</v>
      </c>
      <c r="T1103" s="116" t="e">
        <f t="shared" si="633"/>
        <v>#VALUE!</v>
      </c>
      <c r="U1103" s="116" t="e">
        <f t="shared" si="634"/>
        <v>#VALUE!</v>
      </c>
      <c r="V1103" s="116" t="e">
        <f t="shared" si="635"/>
        <v>#VALUE!</v>
      </c>
      <c r="W1103" s="116" t="e">
        <f t="shared" si="636"/>
        <v>#VALUE!</v>
      </c>
      <c r="X1103" s="3" t="str">
        <f>INDEX(DistFuncAllocOptions,ROW(A1103)-ROW($A$92)+1,[4]Inputs!$S$11)</f>
        <v>DRB</v>
      </c>
      <c r="Y1103" s="116" t="e">
        <f t="shared" si="637"/>
        <v>#VALUE!</v>
      </c>
      <c r="Z1103" s="116" t="e">
        <f t="shared" si="637"/>
        <v>#VALUE!</v>
      </c>
      <c r="AA1103" s="116" t="e">
        <f t="shared" si="637"/>
        <v>#VALUE!</v>
      </c>
      <c r="AB1103" s="116" t="e">
        <f t="shared" si="637"/>
        <v>#VALUE!</v>
      </c>
      <c r="AC1103" s="116" t="e">
        <f t="shared" si="637"/>
        <v>#VALUE!</v>
      </c>
      <c r="AD1103" s="117" t="e">
        <f t="shared" si="638"/>
        <v>#VALUE!</v>
      </c>
      <c r="AE1103" s="117" t="e">
        <f t="shared" si="639"/>
        <v>#VALUE!</v>
      </c>
      <c r="AF1103" s="117" t="e">
        <f t="shared" si="640"/>
        <v>#VALUE!</v>
      </c>
      <c r="AG1103" s="117" t="e">
        <f t="shared" si="641"/>
        <v>#VALUE!</v>
      </c>
      <c r="AH1103" s="116"/>
      <c r="AI1103" t="str">
        <f t="shared" si="594"/>
        <v>SCHMAT</v>
      </c>
      <c r="AJ1103" t="str">
        <f t="shared" si="577"/>
        <v>TAXDEPR</v>
      </c>
      <c r="AK1103" t="str">
        <f>IF(ISERROR(MATCH(AI1103&amp;"."&amp;AJ1103,AK$91:AK1102,0)),AI1103&amp;"."&amp;AJ1103,AI1103&amp;"."&amp;AJ1103&amp;COUNTIFS(AI$91:AI1102,AI1103,AJ$91:AJ1102,AJ1103))</f>
        <v>SCHMAT.TAXDEPR</v>
      </c>
    </row>
    <row r="1104" spans="1:37" ht="15" hidden="1">
      <c r="A1104" s="120">
        <f>ROW()</f>
        <v>1104</v>
      </c>
      <c r="B1104" s="120"/>
      <c r="C1104" s="120"/>
      <c r="D1104" s="150"/>
      <c r="E1104" s="121" t="s">
        <v>452</v>
      </c>
      <c r="F1104" s="138" t="str">
        <f>INDEX(FuncAllocOptions,ROW(A1104)-ROW($A$92)+1,[4]Inputs!$S$11)</f>
        <v>BOOKDEPR</v>
      </c>
      <c r="G1104" s="133" t="e">
        <f t="shared" si="627"/>
        <v>#VALUE!</v>
      </c>
      <c r="H1104" s="139" t="e">
        <f t="shared" si="628"/>
        <v>#VALUE!</v>
      </c>
      <c r="I1104" s="139" t="e">
        <f t="shared" si="628"/>
        <v>#VALUE!</v>
      </c>
      <c r="J1104" s="139" t="e">
        <f t="shared" si="628"/>
        <v>#VALUE!</v>
      </c>
      <c r="K1104" s="139" t="e">
        <f t="shared" si="628"/>
        <v>#VALUE!</v>
      </c>
      <c r="L1104" s="139" t="e">
        <f t="shared" si="628"/>
        <v>#VALUE!</v>
      </c>
      <c r="N1104" s="108">
        <v>0.75</v>
      </c>
      <c r="O1104" s="116" t="e">
        <f t="shared" si="629"/>
        <v>#VALUE!</v>
      </c>
      <c r="P1104" s="116" t="e">
        <f t="shared" si="630"/>
        <v>#VALUE!</v>
      </c>
      <c r="Q1104" s="116" t="e">
        <f t="shared" si="631"/>
        <v>#VALUE!</v>
      </c>
      <c r="R1104" s="116" t="e">
        <f t="shared" si="632"/>
        <v>#VALUE!</v>
      </c>
      <c r="S1104" s="108">
        <v>0.75</v>
      </c>
      <c r="T1104" s="116" t="e">
        <f t="shared" si="633"/>
        <v>#VALUE!</v>
      </c>
      <c r="U1104" s="116" t="e">
        <f t="shared" si="634"/>
        <v>#VALUE!</v>
      </c>
      <c r="V1104" s="116" t="e">
        <f t="shared" si="635"/>
        <v>#VALUE!</v>
      </c>
      <c r="W1104" s="116" t="e">
        <f t="shared" si="636"/>
        <v>#VALUE!</v>
      </c>
      <c r="X1104" s="3" t="str">
        <f>INDEX(DistFuncAllocOptions,ROW(A1104)-ROW($A$92)+1,[4]Inputs!$S$11)</f>
        <v>PLNT</v>
      </c>
      <c r="Y1104" s="116" t="e">
        <f t="shared" si="637"/>
        <v>#VALUE!</v>
      </c>
      <c r="Z1104" s="116" t="e">
        <f t="shared" si="637"/>
        <v>#VALUE!</v>
      </c>
      <c r="AA1104" s="116" t="e">
        <f t="shared" si="637"/>
        <v>#VALUE!</v>
      </c>
      <c r="AB1104" s="116" t="e">
        <f t="shared" si="637"/>
        <v>#VALUE!</v>
      </c>
      <c r="AC1104" s="116" t="e">
        <f t="shared" si="637"/>
        <v>#VALUE!</v>
      </c>
      <c r="AD1104" s="117" t="e">
        <f t="shared" si="638"/>
        <v>#VALUE!</v>
      </c>
      <c r="AE1104" s="117" t="e">
        <f t="shared" si="639"/>
        <v>#VALUE!</v>
      </c>
      <c r="AF1104" s="117" t="e">
        <f t="shared" si="640"/>
        <v>#VALUE!</v>
      </c>
      <c r="AG1104" s="117" t="e">
        <f t="shared" si="641"/>
        <v>#VALUE!</v>
      </c>
      <c r="AH1104" s="116"/>
      <c r="AI1104" t="str">
        <f t="shared" si="594"/>
        <v>SCHMAT</v>
      </c>
      <c r="AJ1104" t="str">
        <f t="shared" si="577"/>
        <v>SCHMDEXP</v>
      </c>
      <c r="AK1104" t="str">
        <f>IF(ISERROR(MATCH(AI1104&amp;"."&amp;AJ1104,AK$91:AK1103,0)),AI1104&amp;"."&amp;AJ1104,AI1104&amp;"."&amp;AJ1104&amp;COUNTIFS(AI$91:AI1103,AI1104,AJ$91:AJ1103,AJ1104))</f>
        <v>SCHMAT.SCHMDEXP</v>
      </c>
    </row>
    <row r="1105" spans="1:37" ht="15" hidden="1">
      <c r="A1105" s="120">
        <f>ROW()</f>
        <v>1105</v>
      </c>
      <c r="B1105" s="120"/>
      <c r="C1105" s="172"/>
      <c r="D1105" s="150"/>
      <c r="E1105" s="121"/>
      <c r="F1105" s="138"/>
      <c r="G1105" s="117" t="e">
        <f t="shared" ref="G1105:L1105" si="642">SUM(G1091:G1104)</f>
        <v>#VALUE!</v>
      </c>
      <c r="H1105" s="116" t="e">
        <f t="shared" si="642"/>
        <v>#VALUE!</v>
      </c>
      <c r="I1105" s="116" t="e">
        <f t="shared" si="642"/>
        <v>#VALUE!</v>
      </c>
      <c r="J1105" s="116" t="e">
        <f t="shared" si="642"/>
        <v>#VALUE!</v>
      </c>
      <c r="K1105" s="116" t="e">
        <f t="shared" si="642"/>
        <v>#VALUE!</v>
      </c>
      <c r="L1105" s="116" t="e">
        <f t="shared" si="642"/>
        <v>#VALUE!</v>
      </c>
      <c r="O1105" s="116" t="e">
        <f>SUM(O1091:O1104)</f>
        <v>#VALUE!</v>
      </c>
      <c r="P1105" s="116" t="e">
        <f>SUM(P1091:P1104)</f>
        <v>#VALUE!</v>
      </c>
      <c r="Q1105" s="116" t="e">
        <f>SUM(Q1091:Q1104)</f>
        <v>#VALUE!</v>
      </c>
      <c r="R1105" s="116" t="e">
        <f>SUM(R1091:R1104)</f>
        <v>#VALUE!</v>
      </c>
      <c r="T1105" s="116" t="e">
        <f>SUM(T1091:T1104)</f>
        <v>#VALUE!</v>
      </c>
      <c r="U1105" s="116" t="e">
        <f>SUM(U1091:U1104)</f>
        <v>#VALUE!</v>
      </c>
      <c r="V1105" s="116" t="e">
        <f>SUM(V1091:V1104)</f>
        <v>#VALUE!</v>
      </c>
      <c r="W1105" s="116" t="e">
        <f>SUM(W1091:W1104)</f>
        <v>#VALUE!</v>
      </c>
      <c r="X1105" s="3"/>
      <c r="Y1105" s="116" t="e">
        <f>SUM(Y1091:Y1104)</f>
        <v>#VALUE!</v>
      </c>
      <c r="Z1105" s="116" t="e">
        <f>SUM(Z1091:Z1104)</f>
        <v>#VALUE!</v>
      </c>
      <c r="AA1105" s="116" t="e">
        <f>SUM(AA1091:AA1104)</f>
        <v>#VALUE!</v>
      </c>
      <c r="AB1105" s="116" t="e">
        <f>SUM(AB1091:AB1104)</f>
        <v>#VALUE!</v>
      </c>
      <c r="AC1105" s="116" t="e">
        <f>SUM(AC1091:AC1104)</f>
        <v>#VALUE!</v>
      </c>
      <c r="AD1105" s="117"/>
      <c r="AE1105" s="117"/>
      <c r="AF1105" s="117"/>
      <c r="AG1105" s="117"/>
      <c r="AH1105" s="116"/>
      <c r="AI1105" t="str">
        <f t="shared" si="594"/>
        <v>SCHMAT</v>
      </c>
      <c r="AJ1105" t="str">
        <f t="shared" si="577"/>
        <v>NA</v>
      </c>
      <c r="AK1105" t="str">
        <f>IF(ISERROR(MATCH(AI1105&amp;"."&amp;AJ1105,AK$91:AK1104,0)),AI1105&amp;"."&amp;AJ1105,AI1105&amp;"."&amp;AJ1105&amp;COUNTIFS(AI$91:AI1104,AI1105,AJ$91:AJ1104,AJ1105))</f>
        <v>SCHMAT.NA1</v>
      </c>
    </row>
    <row r="1106" spans="1:37" ht="15" hidden="1">
      <c r="A1106" s="120">
        <f>ROW()</f>
        <v>1106</v>
      </c>
      <c r="B1106" s="120"/>
      <c r="C1106" s="120"/>
      <c r="D1106" s="150"/>
      <c r="E1106" s="121"/>
      <c r="F1106" s="138"/>
      <c r="G1106" s="116"/>
      <c r="H1106" s="116"/>
      <c r="I1106" s="116"/>
      <c r="J1106" s="116"/>
      <c r="K1106" s="116"/>
      <c r="L1106" s="116"/>
      <c r="O1106" s="116"/>
      <c r="P1106" s="116"/>
      <c r="Q1106" s="116"/>
      <c r="R1106" s="116"/>
      <c r="T1106" s="116"/>
      <c r="U1106" s="116"/>
      <c r="V1106" s="116"/>
      <c r="W1106" s="116"/>
      <c r="X1106" s="3"/>
      <c r="Y1106" s="116"/>
      <c r="Z1106" s="116"/>
      <c r="AA1106" s="116"/>
      <c r="AB1106" s="116"/>
      <c r="AC1106" s="116"/>
      <c r="AD1106" s="117"/>
      <c r="AE1106" s="117"/>
      <c r="AF1106" s="117"/>
      <c r="AG1106" s="117"/>
      <c r="AH1106" s="116"/>
      <c r="AI1106" t="str">
        <f t="shared" si="594"/>
        <v>SCHMAT</v>
      </c>
      <c r="AJ1106" t="str">
        <f t="shared" si="577"/>
        <v>NA</v>
      </c>
      <c r="AK1106" t="str">
        <f>IF(ISERROR(MATCH(AI1106&amp;"."&amp;AJ1106,AK$91:AK1105,0)),AI1106&amp;"."&amp;AJ1106,AI1106&amp;"."&amp;AJ1106&amp;COUNTIFS(AI$91:AI1105,AI1106,AJ$91:AJ1105,AJ1106))</f>
        <v>SCHMAT.NA2</v>
      </c>
    </row>
    <row r="1107" spans="1:37" ht="15.75" hidden="1" thickBot="1">
      <c r="A1107" s="120">
        <f>ROW()</f>
        <v>1107</v>
      </c>
      <c r="B1107" s="120"/>
      <c r="C1107" s="168" t="s">
        <v>466</v>
      </c>
      <c r="D1107" s="150"/>
      <c r="E1107" s="121"/>
      <c r="F1107" s="138"/>
      <c r="G1107" s="155" t="e">
        <f t="shared" ref="G1107:L1107" si="643">G1105+G1088</f>
        <v>#VALUE!</v>
      </c>
      <c r="H1107" s="154" t="e">
        <f t="shared" si="643"/>
        <v>#VALUE!</v>
      </c>
      <c r="I1107" s="154" t="e">
        <f t="shared" si="643"/>
        <v>#VALUE!</v>
      </c>
      <c r="J1107" s="154" t="e">
        <f t="shared" si="643"/>
        <v>#VALUE!</v>
      </c>
      <c r="K1107" s="154" t="e">
        <f t="shared" si="643"/>
        <v>#VALUE!</v>
      </c>
      <c r="L1107" s="154" t="e">
        <f t="shared" si="643"/>
        <v>#VALUE!</v>
      </c>
      <c r="O1107" s="116" t="e">
        <f>O1105+O1088</f>
        <v>#VALUE!</v>
      </c>
      <c r="P1107" s="116" t="e">
        <f>P1105+P1088</f>
        <v>#VALUE!</v>
      </c>
      <c r="Q1107" s="116" t="e">
        <f>Q1105+Q1088</f>
        <v>#VALUE!</v>
      </c>
      <c r="R1107" s="116" t="e">
        <f>R1105+R1088</f>
        <v>#VALUE!</v>
      </c>
      <c r="T1107" s="116" t="e">
        <f>T1105+T1088</f>
        <v>#VALUE!</v>
      </c>
      <c r="U1107" s="116" t="e">
        <f>U1105+U1088</f>
        <v>#VALUE!</v>
      </c>
      <c r="V1107" s="116" t="e">
        <f>V1105+V1088</f>
        <v>#VALUE!</v>
      </c>
      <c r="W1107" s="116" t="e">
        <f>W1105+W1088</f>
        <v>#VALUE!</v>
      </c>
      <c r="X1107" s="3"/>
      <c r="Y1107" s="116" t="e">
        <f>Y1105+Y1088</f>
        <v>#VALUE!</v>
      </c>
      <c r="Z1107" s="116" t="e">
        <f>Z1105+Z1088</f>
        <v>#VALUE!</v>
      </c>
      <c r="AA1107" s="116" t="e">
        <f>AA1105+AA1088</f>
        <v>#VALUE!</v>
      </c>
      <c r="AB1107" s="116" t="e">
        <f>AB1105+AB1088</f>
        <v>#VALUE!</v>
      </c>
      <c r="AC1107" s="116" t="e">
        <f>AC1105+AC1088</f>
        <v>#VALUE!</v>
      </c>
      <c r="AD1107" s="117" t="e">
        <f>ROUND(SUM(-G1107,H1107:L1107),0)</f>
        <v>#VALUE!</v>
      </c>
      <c r="AE1107" s="117" t="e">
        <f>ROUND(H1107-O1107-P1107-Q1107-R1107,0)</f>
        <v>#VALUE!</v>
      </c>
      <c r="AF1107" s="117" t="e">
        <f>ROUND(I1107-T1107-U1107-V1107-W1107,0)</f>
        <v>#VALUE!</v>
      </c>
      <c r="AG1107" s="117" t="e">
        <f>ROUND(J1107-Y1107-Z1107-AA1107-AC1107-AB1107,0)</f>
        <v>#VALUE!</v>
      </c>
      <c r="AH1107" s="116"/>
      <c r="AI1107" t="str">
        <f t="shared" si="594"/>
        <v>TOTAL SCHEDULE - M ADDITIONS</v>
      </c>
      <c r="AJ1107" t="str">
        <f t="shared" si="577"/>
        <v>NA</v>
      </c>
      <c r="AK1107" t="str">
        <f>IF(ISERROR(MATCH(AI1107&amp;"."&amp;AJ1107,AK$91:AK1106,0)),AI1107&amp;"."&amp;AJ1107,AI1107&amp;"."&amp;AJ1107&amp;COUNTIFS(AI$91:AI1106,AI1107,AJ$91:AJ1106,AJ1107))</f>
        <v>TOTAL SCHEDULE - M ADDITIONS.NA</v>
      </c>
    </row>
    <row r="1108" spans="1:37" ht="15" hidden="1">
      <c r="A1108" s="120">
        <f>ROW()</f>
        <v>1108</v>
      </c>
      <c r="B1108" s="120"/>
      <c r="C1108" s="172"/>
      <c r="D1108" s="150"/>
      <c r="E1108" s="121"/>
      <c r="F1108" s="138"/>
      <c r="G1108" s="117"/>
      <c r="H1108" s="116"/>
      <c r="I1108" s="116"/>
      <c r="J1108" s="116"/>
      <c r="K1108" s="116"/>
      <c r="L1108" s="116"/>
      <c r="O1108" s="116"/>
      <c r="P1108" s="116"/>
      <c r="Q1108" s="116"/>
      <c r="R1108" s="116"/>
      <c r="T1108" s="116"/>
      <c r="U1108" s="116"/>
      <c r="V1108" s="116"/>
      <c r="W1108" s="116"/>
      <c r="X1108" s="3"/>
      <c r="Y1108" s="116"/>
      <c r="Z1108" s="116"/>
      <c r="AA1108" s="116"/>
      <c r="AB1108" s="116"/>
      <c r="AC1108" s="116"/>
      <c r="AD1108" s="117"/>
      <c r="AE1108" s="117"/>
      <c r="AF1108" s="117"/>
      <c r="AG1108" s="117"/>
      <c r="AH1108" s="116"/>
      <c r="AI1108" t="str">
        <f t="shared" si="594"/>
        <v>TOTAL SCHEDULE - M ADDITIONS</v>
      </c>
      <c r="AJ1108" t="str">
        <f t="shared" si="577"/>
        <v>NA</v>
      </c>
      <c r="AK1108" t="str">
        <f>IF(ISERROR(MATCH(AI1108&amp;"."&amp;AJ1108,AK$91:AK1107,0)),AI1108&amp;"."&amp;AJ1108,AI1108&amp;"."&amp;AJ1108&amp;COUNTIFS(AI$91:AI1107,AI1108,AJ$91:AJ1107,AJ1108))</f>
        <v>TOTAL SCHEDULE - M ADDITIONS.NA1</v>
      </c>
    </row>
    <row r="1109" spans="1:37" ht="15" hidden="1">
      <c r="A1109" s="120">
        <f>ROW()</f>
        <v>1109</v>
      </c>
      <c r="B1109" s="120"/>
      <c r="C1109" s="120" t="s">
        <v>261</v>
      </c>
      <c r="D1109" s="150" t="s">
        <v>467</v>
      </c>
      <c r="E1109" s="121"/>
      <c r="F1109" s="138"/>
      <c r="G1109" s="117"/>
      <c r="H1109" s="116"/>
      <c r="I1109" s="116"/>
      <c r="J1109" s="116"/>
      <c r="K1109" s="116"/>
      <c r="L1109" s="116"/>
      <c r="O1109" s="116"/>
      <c r="P1109" s="116"/>
      <c r="Q1109" s="116"/>
      <c r="R1109" s="116"/>
      <c r="T1109" s="116"/>
      <c r="U1109" s="116"/>
      <c r="V1109" s="116"/>
      <c r="W1109" s="116"/>
      <c r="X1109" s="3"/>
      <c r="Y1109" s="116"/>
      <c r="Z1109" s="116"/>
      <c r="AA1109" s="116"/>
      <c r="AB1109" s="116"/>
      <c r="AC1109" s="116"/>
      <c r="AD1109" s="117"/>
      <c r="AE1109" s="117"/>
      <c r="AF1109" s="117"/>
      <c r="AG1109" s="117"/>
      <c r="AH1109" s="116"/>
      <c r="AI1109" t="str">
        <f t="shared" si="594"/>
        <v>SCHMDF</v>
      </c>
      <c r="AJ1109" t="str">
        <f t="shared" si="577"/>
        <v>NA</v>
      </c>
      <c r="AK1109" t="str">
        <f>IF(ISERROR(MATCH(AI1109&amp;"."&amp;AJ1109,AK$91:AK1108,0)),AI1109&amp;"."&amp;AJ1109,AI1109&amp;"."&amp;AJ1109&amp;COUNTIFS(AI$91:AI1108,AI1109,AJ$91:AJ1108,AJ1109))</f>
        <v>SCHMDF.NA</v>
      </c>
    </row>
    <row r="1110" spans="1:37" ht="15" hidden="1">
      <c r="A1110" s="120">
        <f>ROW()</f>
        <v>1110</v>
      </c>
      <c r="B1110" s="120"/>
      <c r="C1110" s="120"/>
      <c r="D1110" s="150"/>
      <c r="E1110" s="121" t="s">
        <v>12</v>
      </c>
      <c r="F1110" s="138" t="str">
        <f>INDEX(FuncAllocOptions,ROW(A1110)-ROW($A$92)+1,[4]Inputs!$S$11)</f>
        <v>SCHMDF</v>
      </c>
      <c r="G1110" s="117" t="e">
        <f>SUMIF(FERCJAMFactor,AK1110,JAMValue)</f>
        <v>#VALUE!</v>
      </c>
      <c r="H1110" s="116" t="e">
        <f t="shared" ref="H1110:L1112" si="644">INDEX(FuncFactorTbl,MATCH($F1110,FuncFactors,0),MATCH(H$8,Functions,0))*$G1110</f>
        <v>#VALUE!</v>
      </c>
      <c r="I1110" s="116" t="e">
        <f t="shared" si="644"/>
        <v>#VALUE!</v>
      </c>
      <c r="J1110" s="116" t="e">
        <f t="shared" si="644"/>
        <v>#VALUE!</v>
      </c>
      <c r="K1110" s="116" t="e">
        <f t="shared" si="644"/>
        <v>#VALUE!</v>
      </c>
      <c r="L1110" s="116" t="e">
        <f t="shared" si="644"/>
        <v>#VALUE!</v>
      </c>
      <c r="N1110" s="108">
        <v>0.75</v>
      </c>
      <c r="O1110" s="116" t="e">
        <f>$H1110*$N1110*$M1110</f>
        <v>#VALUE!</v>
      </c>
      <c r="P1110" s="116" t="e">
        <f>$H1110*(1-$N1110)*$M1110</f>
        <v>#VALUE!</v>
      </c>
      <c r="Q1110" s="116" t="e">
        <f>$H1110*$N1110*(1-$M1110)</f>
        <v>#VALUE!</v>
      </c>
      <c r="R1110" s="116" t="e">
        <f>$H1110*(1-$N1110)*(1-$M1110)</f>
        <v>#VALUE!</v>
      </c>
      <c r="S1110" s="108">
        <v>0.75</v>
      </c>
      <c r="T1110" s="116" t="e">
        <f>$I1110*$S1110*$M1110</f>
        <v>#VALUE!</v>
      </c>
      <c r="U1110" s="116" t="e">
        <f>$I1110*(1-$S1110)*$M1110</f>
        <v>#VALUE!</v>
      </c>
      <c r="V1110" s="116" t="e">
        <f>$I1110*$S1110*(1-$M1110)</f>
        <v>#VALUE!</v>
      </c>
      <c r="W1110" s="116" t="e">
        <f>$I1110*(1-$S1110)*(1-$M1110)</f>
        <v>#VALUE!</v>
      </c>
      <c r="X1110" s="3" t="str">
        <f>INDEX(DistFuncAllocOptions,ROW(A1110)-ROW($A$92)+1,[4]Inputs!$S$11)</f>
        <v>PLNT</v>
      </c>
      <c r="Y1110" s="116" t="e">
        <f t="shared" ref="Y1110:AC1112" si="645">INDEX(DistFuncFactorTbl,MATCH($X1110,DistFuncFactors,0),MATCH(Y$91,DistFunctions,0))*$J1110</f>
        <v>#VALUE!</v>
      </c>
      <c r="Z1110" s="116" t="e">
        <f t="shared" si="645"/>
        <v>#VALUE!</v>
      </c>
      <c r="AA1110" s="116" t="e">
        <f t="shared" si="645"/>
        <v>#VALUE!</v>
      </c>
      <c r="AB1110" s="116" t="e">
        <f t="shared" si="645"/>
        <v>#VALUE!</v>
      </c>
      <c r="AC1110" s="116" t="e">
        <f t="shared" si="645"/>
        <v>#VALUE!</v>
      </c>
      <c r="AD1110" s="117" t="e">
        <f>ROUND(SUM(-G1110,H1110:L1110),0)</f>
        <v>#VALUE!</v>
      </c>
      <c r="AE1110" s="117" t="e">
        <f>ROUND(H1110-O1110-P1110-Q1110-R1110,0)</f>
        <v>#VALUE!</v>
      </c>
      <c r="AF1110" s="117" t="e">
        <f>ROUND(I1110-T1110-U1110-V1110-W1110,0)</f>
        <v>#VALUE!</v>
      </c>
      <c r="AG1110" s="117" t="e">
        <f>ROUND(J1110-Y1110-Z1110-AA1110-AC1110-AB1110,0)</f>
        <v>#VALUE!</v>
      </c>
      <c r="AH1110" s="116"/>
      <c r="AI1110" t="str">
        <f t="shared" si="594"/>
        <v>SCHMDF</v>
      </c>
      <c r="AJ1110" t="str">
        <f t="shared" si="577"/>
        <v>S</v>
      </c>
      <c r="AK1110" t="str">
        <f>IF(ISERROR(MATCH(AI1110&amp;"."&amp;AJ1110,AK$91:AK1109,0)),AI1110&amp;"."&amp;AJ1110,AI1110&amp;"."&amp;AJ1110&amp;COUNTIFS(AI$91:AI1109,AI1110,AJ$91:AJ1109,AJ1110))</f>
        <v>SCHMDF.S</v>
      </c>
    </row>
    <row r="1111" spans="1:37" ht="15" hidden="1">
      <c r="A1111" s="120">
        <f>ROW()</f>
        <v>1111</v>
      </c>
      <c r="B1111" s="120"/>
      <c r="C1111" s="120"/>
      <c r="D1111" s="150"/>
      <c r="E1111" s="121" t="s">
        <v>17</v>
      </c>
      <c r="F1111" s="138" t="str">
        <f>INDEX(FuncAllocOptions,ROW(A1111)-ROW($A$92)+1,[4]Inputs!$S$11)</f>
        <v>SCHMDF</v>
      </c>
      <c r="G1111" s="117" t="e">
        <f>SUMIF(FERCJAMFactor,AK1111,JAMValue)</f>
        <v>#VALUE!</v>
      </c>
      <c r="H1111" s="116" t="e">
        <f t="shared" si="644"/>
        <v>#VALUE!</v>
      </c>
      <c r="I1111" s="116" t="e">
        <f t="shared" si="644"/>
        <v>#VALUE!</v>
      </c>
      <c r="J1111" s="116" t="e">
        <f t="shared" si="644"/>
        <v>#VALUE!</v>
      </c>
      <c r="K1111" s="116" t="e">
        <f t="shared" si="644"/>
        <v>#VALUE!</v>
      </c>
      <c r="L1111" s="116" t="e">
        <f t="shared" si="644"/>
        <v>#VALUE!</v>
      </c>
      <c r="N1111" s="108">
        <v>0.75</v>
      </c>
      <c r="O1111" s="116" t="e">
        <f>$H1111*$N1111*$M1111</f>
        <v>#VALUE!</v>
      </c>
      <c r="P1111" s="116" t="e">
        <f>$H1111*(1-$N1111)*$M1111</f>
        <v>#VALUE!</v>
      </c>
      <c r="Q1111" s="116" t="e">
        <f>$H1111*$N1111*(1-$M1111)</f>
        <v>#VALUE!</v>
      </c>
      <c r="R1111" s="116" t="e">
        <f>$H1111*(1-$N1111)*(1-$M1111)</f>
        <v>#VALUE!</v>
      </c>
      <c r="S1111" s="108">
        <v>0.75</v>
      </c>
      <c r="T1111" s="116" t="e">
        <f>$I1111*$S1111*$M1111</f>
        <v>#VALUE!</v>
      </c>
      <c r="U1111" s="116" t="e">
        <f>$I1111*(1-$S1111)*$M1111</f>
        <v>#VALUE!</v>
      </c>
      <c r="V1111" s="116" t="e">
        <f>$I1111*$S1111*(1-$M1111)</f>
        <v>#VALUE!</v>
      </c>
      <c r="W1111" s="116" t="e">
        <f>$I1111*(1-$S1111)*(1-$M1111)</f>
        <v>#VALUE!</v>
      </c>
      <c r="X1111" s="3" t="str">
        <f>INDEX(DistFuncAllocOptions,ROW(A1111)-ROW($A$92)+1,[4]Inputs!$S$11)</f>
        <v>PLNT</v>
      </c>
      <c r="Y1111" s="116" t="e">
        <f t="shared" si="645"/>
        <v>#VALUE!</v>
      </c>
      <c r="Z1111" s="116" t="e">
        <f t="shared" si="645"/>
        <v>#VALUE!</v>
      </c>
      <c r="AA1111" s="116" t="e">
        <f t="shared" si="645"/>
        <v>#VALUE!</v>
      </c>
      <c r="AB1111" s="116" t="e">
        <f t="shared" si="645"/>
        <v>#VALUE!</v>
      </c>
      <c r="AC1111" s="116" t="e">
        <f t="shared" si="645"/>
        <v>#VALUE!</v>
      </c>
      <c r="AD1111" s="117" t="e">
        <f>ROUND(SUM(-G1111,H1111:L1111),0)</f>
        <v>#VALUE!</v>
      </c>
      <c r="AE1111" s="117" t="e">
        <f>ROUND(H1111-O1111-P1111-Q1111-R1111,0)</f>
        <v>#VALUE!</v>
      </c>
      <c r="AF1111" s="117" t="e">
        <f>ROUND(I1111-T1111-U1111-V1111-W1111,0)</f>
        <v>#VALUE!</v>
      </c>
      <c r="AG1111" s="117" t="e">
        <f>ROUND(J1111-Y1111-Z1111-AA1111-AC1111-AB1111,0)</f>
        <v>#VALUE!</v>
      </c>
      <c r="AH1111" s="116"/>
      <c r="AI1111" t="str">
        <f t="shared" si="594"/>
        <v>SCHMDF</v>
      </c>
      <c r="AJ1111" t="str">
        <f t="shared" si="577"/>
        <v>DGP</v>
      </c>
      <c r="AK1111" t="str">
        <f>IF(ISERROR(MATCH(AI1111&amp;"."&amp;AJ1111,AK$91:AK1110,0)),AI1111&amp;"."&amp;AJ1111,AI1111&amp;"."&amp;AJ1111&amp;COUNTIFS(AI$91:AI1110,AI1111,AJ$91:AJ1110,AJ1111))</f>
        <v>SCHMDF.DGP</v>
      </c>
    </row>
    <row r="1112" spans="1:37" ht="15" hidden="1">
      <c r="A1112" s="120">
        <f>ROW()</f>
        <v>1112</v>
      </c>
      <c r="B1112" s="120"/>
      <c r="C1112" s="120"/>
      <c r="D1112" s="150"/>
      <c r="E1112" s="121" t="s">
        <v>14</v>
      </c>
      <c r="F1112" s="138" t="str">
        <f>INDEX(FuncAllocOptions,ROW(A1112)-ROW($A$92)+1,[4]Inputs!$S$11)</f>
        <v>SCHMDF</v>
      </c>
      <c r="G1112" s="133" t="e">
        <f>SUMIF(FERCJAMFactor,AK1112,JAMValue)</f>
        <v>#VALUE!</v>
      </c>
      <c r="H1112" s="139" t="e">
        <f t="shared" si="644"/>
        <v>#VALUE!</v>
      </c>
      <c r="I1112" s="139" t="e">
        <f t="shared" si="644"/>
        <v>#VALUE!</v>
      </c>
      <c r="J1112" s="139" t="e">
        <f t="shared" si="644"/>
        <v>#VALUE!</v>
      </c>
      <c r="K1112" s="139" t="e">
        <f t="shared" si="644"/>
        <v>#VALUE!</v>
      </c>
      <c r="L1112" s="139" t="e">
        <f t="shared" si="644"/>
        <v>#VALUE!</v>
      </c>
      <c r="N1112" s="108">
        <v>0.75</v>
      </c>
      <c r="O1112" s="116" t="e">
        <f>$H1112*$N1112*$M1112</f>
        <v>#VALUE!</v>
      </c>
      <c r="P1112" s="116" t="e">
        <f>$H1112*(1-$N1112)*$M1112</f>
        <v>#VALUE!</v>
      </c>
      <c r="Q1112" s="116" t="e">
        <f>$H1112*$N1112*(1-$M1112)</f>
        <v>#VALUE!</v>
      </c>
      <c r="R1112" s="116" t="e">
        <f>$H1112*(1-$N1112)*(1-$M1112)</f>
        <v>#VALUE!</v>
      </c>
      <c r="S1112" s="108">
        <v>0.75</v>
      </c>
      <c r="T1112" s="116" t="e">
        <f>$I1112*$S1112*$M1112</f>
        <v>#VALUE!</v>
      </c>
      <c r="U1112" s="116" t="e">
        <f>$I1112*(1-$S1112)*$M1112</f>
        <v>#VALUE!</v>
      </c>
      <c r="V1112" s="116" t="e">
        <f>$I1112*$S1112*(1-$M1112)</f>
        <v>#VALUE!</v>
      </c>
      <c r="W1112" s="116" t="e">
        <f>$I1112*(1-$S1112)*(1-$M1112)</f>
        <v>#VALUE!</v>
      </c>
      <c r="X1112" s="3" t="str">
        <f>INDEX(DistFuncAllocOptions,ROW(A1112)-ROW($A$92)+1,[4]Inputs!$S$11)</f>
        <v>PLNT</v>
      </c>
      <c r="Y1112" s="116" t="e">
        <f t="shared" si="645"/>
        <v>#VALUE!</v>
      </c>
      <c r="Z1112" s="116" t="e">
        <f t="shared" si="645"/>
        <v>#VALUE!</v>
      </c>
      <c r="AA1112" s="116" t="e">
        <f t="shared" si="645"/>
        <v>#VALUE!</v>
      </c>
      <c r="AB1112" s="116" t="e">
        <f t="shared" si="645"/>
        <v>#VALUE!</v>
      </c>
      <c r="AC1112" s="116" t="e">
        <f t="shared" si="645"/>
        <v>#VALUE!</v>
      </c>
      <c r="AD1112" s="117" t="e">
        <f>ROUND(SUM(-G1112,H1112:L1112),0)</f>
        <v>#VALUE!</v>
      </c>
      <c r="AE1112" s="117" t="e">
        <f>ROUND(H1112-O1112-P1112-Q1112-R1112,0)</f>
        <v>#VALUE!</v>
      </c>
      <c r="AF1112" s="117" t="e">
        <f>ROUND(I1112-T1112-U1112-V1112-W1112,0)</f>
        <v>#VALUE!</v>
      </c>
      <c r="AG1112" s="117" t="e">
        <f>ROUND(J1112-Y1112-Z1112-AA1112-AC1112-AB1112,0)</f>
        <v>#VALUE!</v>
      </c>
      <c r="AH1112" s="116"/>
      <c r="AI1112" t="str">
        <f t="shared" si="594"/>
        <v>SCHMDF</v>
      </c>
      <c r="AJ1112" t="str">
        <f t="shared" si="577"/>
        <v>DGU</v>
      </c>
      <c r="AK1112" t="str">
        <f>IF(ISERROR(MATCH(AI1112&amp;"."&amp;AJ1112,AK$91:AK1111,0)),AI1112&amp;"."&amp;AJ1112,AI1112&amp;"."&amp;AJ1112&amp;COUNTIFS(AI$91:AI1111,AI1112,AJ$91:AJ1111,AJ1112))</f>
        <v>SCHMDF.DGU</v>
      </c>
    </row>
    <row r="1113" spans="1:37" ht="15" hidden="1">
      <c r="A1113" s="120">
        <f>ROW()</f>
        <v>1113</v>
      </c>
      <c r="B1113" s="120"/>
      <c r="C1113" s="120"/>
      <c r="D1113" s="150"/>
      <c r="E1113" s="121"/>
      <c r="F1113" s="138"/>
      <c r="G1113" s="117" t="e">
        <f t="shared" ref="G1113:L1113" si="646">SUM(G1110:G1112)</f>
        <v>#VALUE!</v>
      </c>
      <c r="H1113" s="116" t="e">
        <f t="shared" si="646"/>
        <v>#VALUE!</v>
      </c>
      <c r="I1113" s="116" t="e">
        <f t="shared" si="646"/>
        <v>#VALUE!</v>
      </c>
      <c r="J1113" s="116" t="e">
        <f t="shared" si="646"/>
        <v>#VALUE!</v>
      </c>
      <c r="K1113" s="116" t="e">
        <f t="shared" si="646"/>
        <v>#VALUE!</v>
      </c>
      <c r="L1113" s="116" t="e">
        <f t="shared" si="646"/>
        <v>#VALUE!</v>
      </c>
      <c r="O1113" s="116" t="e">
        <f>SUM(O1110:O1112)</f>
        <v>#VALUE!</v>
      </c>
      <c r="P1113" s="116" t="e">
        <f>SUM(P1110:P1112)</f>
        <v>#VALUE!</v>
      </c>
      <c r="Q1113" s="116" t="e">
        <f>SUM(Q1110:Q1112)</f>
        <v>#VALUE!</v>
      </c>
      <c r="R1113" s="116" t="e">
        <f>SUM(R1110:R1112)</f>
        <v>#VALUE!</v>
      </c>
      <c r="T1113" s="116" t="e">
        <f>SUM(T1110:T1112)</f>
        <v>#VALUE!</v>
      </c>
      <c r="U1113" s="116" t="e">
        <f>SUM(U1110:U1112)</f>
        <v>#VALUE!</v>
      </c>
      <c r="V1113" s="116" t="e">
        <f>SUM(V1110:V1112)</f>
        <v>#VALUE!</v>
      </c>
      <c r="W1113" s="116" t="e">
        <f>SUM(W1110:W1112)</f>
        <v>#VALUE!</v>
      </c>
      <c r="X1113" s="3"/>
      <c r="Y1113" s="116" t="e">
        <f>SUM(Y1110:Y1112)</f>
        <v>#VALUE!</v>
      </c>
      <c r="Z1113" s="116" t="e">
        <f>SUM(Z1110:Z1112)</f>
        <v>#VALUE!</v>
      </c>
      <c r="AA1113" s="116" t="e">
        <f>SUM(AA1110:AA1112)</f>
        <v>#VALUE!</v>
      </c>
      <c r="AB1113" s="116" t="e">
        <f>SUM(AB1110:AB1112)</f>
        <v>#VALUE!</v>
      </c>
      <c r="AC1113" s="116" t="e">
        <f>SUM(AC1110:AC1112)</f>
        <v>#VALUE!</v>
      </c>
      <c r="AD1113" s="117"/>
      <c r="AE1113" s="117"/>
      <c r="AF1113" s="117"/>
      <c r="AG1113" s="117"/>
      <c r="AH1113" s="116"/>
      <c r="AI1113" t="str">
        <f t="shared" si="594"/>
        <v>SCHMDF</v>
      </c>
      <c r="AJ1113" t="str">
        <f t="shared" si="577"/>
        <v>NA</v>
      </c>
      <c r="AK1113" t="str">
        <f>IF(ISERROR(MATCH(AI1113&amp;"."&amp;AJ1113,AK$91:AK1112,0)),AI1113&amp;"."&amp;AJ1113,AI1113&amp;"."&amp;AJ1113&amp;COUNTIFS(AI$91:AI1112,AI1113,AJ$91:AJ1112,AJ1113))</f>
        <v>SCHMDF.NA1</v>
      </c>
    </row>
    <row r="1114" spans="1:37" ht="15" hidden="1">
      <c r="A1114" s="120">
        <f>ROW()</f>
        <v>1114</v>
      </c>
      <c r="B1114" s="120"/>
      <c r="C1114" s="120" t="s">
        <v>262</v>
      </c>
      <c r="D1114" s="150" t="s">
        <v>468</v>
      </c>
      <c r="E1114" s="121"/>
      <c r="F1114" s="138"/>
      <c r="G1114" s="117"/>
      <c r="H1114" s="116"/>
      <c r="I1114" s="116"/>
      <c r="J1114" s="116"/>
      <c r="K1114" s="116"/>
      <c r="L1114" s="116"/>
      <c r="O1114" s="116"/>
      <c r="P1114" s="116"/>
      <c r="Q1114" s="116"/>
      <c r="R1114" s="116"/>
      <c r="T1114" s="116"/>
      <c r="U1114" s="116"/>
      <c r="V1114" s="116"/>
      <c r="W1114" s="116"/>
      <c r="X1114" s="3"/>
      <c r="Y1114" s="116"/>
      <c r="Z1114" s="116"/>
      <c r="AA1114" s="116"/>
      <c r="AB1114" s="116"/>
      <c r="AC1114" s="116"/>
      <c r="AD1114" s="117"/>
      <c r="AE1114" s="117"/>
      <c r="AF1114" s="117"/>
      <c r="AG1114" s="117"/>
      <c r="AH1114" s="116"/>
      <c r="AI1114" t="str">
        <f t="shared" si="594"/>
        <v>SCHMDP</v>
      </c>
      <c r="AJ1114" t="str">
        <f t="shared" si="577"/>
        <v>NA</v>
      </c>
      <c r="AK1114" t="str">
        <f>IF(ISERROR(MATCH(AI1114&amp;"."&amp;AJ1114,AK$91:AK1113,0)),AI1114&amp;"."&amp;AJ1114,AI1114&amp;"."&amp;AJ1114&amp;COUNTIFS(AI$91:AI1113,AI1114,AJ$91:AJ1113,AJ1114))</f>
        <v>SCHMDP.NA</v>
      </c>
    </row>
    <row r="1115" spans="1:37" ht="15" hidden="1">
      <c r="A1115" s="120">
        <f>ROW()</f>
        <v>1115</v>
      </c>
      <c r="B1115" s="120"/>
      <c r="C1115" s="120"/>
      <c r="D1115" s="150"/>
      <c r="E1115" s="121" t="s">
        <v>12</v>
      </c>
      <c r="F1115" s="138" t="str">
        <f>INDEX(FuncAllocOptions,ROW(A1115)-ROW($A$92)+1,[4]Inputs!$S$11)</f>
        <v>SCHMDP</v>
      </c>
      <c r="G1115" s="117" t="e">
        <f t="shared" ref="G1115:G1120" si="647">SUMIF(FERCJAMFactor,AK1115,JAMValue)</f>
        <v>#VALUE!</v>
      </c>
      <c r="H1115" s="116" t="e">
        <f t="shared" ref="H1115:L1120" si="648">INDEX(FuncFactorTbl,MATCH($F1115,FuncFactors,0),MATCH(H$8,Functions,0))*$G1115</f>
        <v>#VALUE!</v>
      </c>
      <c r="I1115" s="116" t="e">
        <f t="shared" si="648"/>
        <v>#VALUE!</v>
      </c>
      <c r="J1115" s="116" t="e">
        <f t="shared" si="648"/>
        <v>#VALUE!</v>
      </c>
      <c r="K1115" s="116" t="e">
        <f t="shared" si="648"/>
        <v>#VALUE!</v>
      </c>
      <c r="L1115" s="116" t="e">
        <f t="shared" si="648"/>
        <v>#VALUE!</v>
      </c>
      <c r="N1115" s="108">
        <v>0.75</v>
      </c>
      <c r="O1115" s="116" t="e">
        <f t="shared" ref="O1115:O1120" si="649">$H1115*$N1115*$M1115</f>
        <v>#VALUE!</v>
      </c>
      <c r="P1115" s="116" t="e">
        <f t="shared" ref="P1115:P1120" si="650">$H1115*(1-$N1115)*$M1115</f>
        <v>#VALUE!</v>
      </c>
      <c r="Q1115" s="116" t="e">
        <f t="shared" ref="Q1115:Q1120" si="651">$H1115*$N1115*(1-$M1115)</f>
        <v>#VALUE!</v>
      </c>
      <c r="R1115" s="116" t="e">
        <f t="shared" ref="R1115:R1120" si="652">$H1115*(1-$N1115)*(1-$M1115)</f>
        <v>#VALUE!</v>
      </c>
      <c r="S1115" s="108">
        <v>0.75</v>
      </c>
      <c r="T1115" s="116" t="e">
        <f t="shared" ref="T1115:T1120" si="653">$I1115*$S1115*$M1115</f>
        <v>#VALUE!</v>
      </c>
      <c r="U1115" s="116" t="e">
        <f t="shared" ref="U1115:U1120" si="654">$I1115*(1-$S1115)*$M1115</f>
        <v>#VALUE!</v>
      </c>
      <c r="V1115" s="116" t="e">
        <f t="shared" ref="V1115:V1120" si="655">$I1115*$S1115*(1-$M1115)</f>
        <v>#VALUE!</v>
      </c>
      <c r="W1115" s="116" t="e">
        <f t="shared" ref="W1115:W1120" si="656">$I1115*(1-$S1115)*(1-$M1115)</f>
        <v>#VALUE!</v>
      </c>
      <c r="X1115" s="3" t="str">
        <f>INDEX(DistFuncAllocOptions,ROW(A1115)-ROW($A$92)+1,[4]Inputs!$S$11)</f>
        <v>PLNT</v>
      </c>
      <c r="Y1115" s="116" t="e">
        <f t="shared" ref="Y1115:AC1120" si="657">INDEX(DistFuncFactorTbl,MATCH($X1115,DistFuncFactors,0),MATCH(Y$91,DistFunctions,0))*$J1115</f>
        <v>#VALUE!</v>
      </c>
      <c r="Z1115" s="116" t="e">
        <f t="shared" si="657"/>
        <v>#VALUE!</v>
      </c>
      <c r="AA1115" s="116" t="e">
        <f t="shared" si="657"/>
        <v>#VALUE!</v>
      </c>
      <c r="AB1115" s="116" t="e">
        <f t="shared" si="657"/>
        <v>#VALUE!</v>
      </c>
      <c r="AC1115" s="116" t="e">
        <f t="shared" si="657"/>
        <v>#VALUE!</v>
      </c>
      <c r="AD1115" s="117" t="e">
        <f t="shared" ref="AD1115:AD1120" si="658">ROUND(SUM(-G1115,H1115:L1115),0)</f>
        <v>#VALUE!</v>
      </c>
      <c r="AE1115" s="117" t="e">
        <f t="shared" ref="AE1115:AE1120" si="659">ROUND(H1115-O1115-P1115-Q1115-R1115,0)</f>
        <v>#VALUE!</v>
      </c>
      <c r="AF1115" s="117" t="e">
        <f t="shared" ref="AF1115:AF1120" si="660">ROUND(I1115-T1115-U1115-V1115-W1115,0)</f>
        <v>#VALUE!</v>
      </c>
      <c r="AG1115" s="117" t="e">
        <f t="shared" ref="AG1115:AG1120" si="661">ROUND(J1115-Y1115-Z1115-AA1115-AC1115-AB1115,0)</f>
        <v>#VALUE!</v>
      </c>
      <c r="AH1115" s="116"/>
      <c r="AI1115" t="str">
        <f t="shared" si="594"/>
        <v>SCHMDP</v>
      </c>
      <c r="AJ1115" t="str">
        <f t="shared" si="577"/>
        <v>S</v>
      </c>
      <c r="AK1115" t="str">
        <f>IF(ISERROR(MATCH(AI1115&amp;"."&amp;AJ1115,AK$91:AK1114,0)),AI1115&amp;"."&amp;AJ1115,AI1115&amp;"."&amp;AJ1115&amp;COUNTIFS(AI$91:AI1114,AI1115,AJ$91:AJ1114,AJ1115))</f>
        <v>SCHMDP.S</v>
      </c>
    </row>
    <row r="1116" spans="1:37" ht="15" hidden="1">
      <c r="A1116" s="120">
        <f>ROW()</f>
        <v>1116</v>
      </c>
      <c r="B1116" s="120"/>
      <c r="C1116" s="120"/>
      <c r="D1116" s="150"/>
      <c r="E1116" s="121" t="s">
        <v>16</v>
      </c>
      <c r="F1116" s="138" t="str">
        <f>INDEX(FuncAllocOptions,ROW(A1116)-ROW($A$92)+1,[4]Inputs!$S$11)</f>
        <v>P</v>
      </c>
      <c r="G1116" s="117" t="e">
        <f t="shared" si="647"/>
        <v>#VALUE!</v>
      </c>
      <c r="H1116" s="116" t="e">
        <f t="shared" si="648"/>
        <v>#VALUE!</v>
      </c>
      <c r="I1116" s="116" t="e">
        <f t="shared" si="648"/>
        <v>#VALUE!</v>
      </c>
      <c r="J1116" s="116" t="e">
        <f t="shared" si="648"/>
        <v>#VALUE!</v>
      </c>
      <c r="K1116" s="116" t="e">
        <f t="shared" si="648"/>
        <v>#VALUE!</v>
      </c>
      <c r="L1116" s="116" t="e">
        <f t="shared" si="648"/>
        <v>#VALUE!</v>
      </c>
      <c r="N1116" s="108">
        <v>0</v>
      </c>
      <c r="O1116" s="116" t="e">
        <f t="shared" si="649"/>
        <v>#VALUE!</v>
      </c>
      <c r="P1116" s="116" t="e">
        <f t="shared" si="650"/>
        <v>#VALUE!</v>
      </c>
      <c r="Q1116" s="116" t="e">
        <f t="shared" si="651"/>
        <v>#VALUE!</v>
      </c>
      <c r="R1116" s="116" t="e">
        <f t="shared" si="652"/>
        <v>#VALUE!</v>
      </c>
      <c r="S1116" s="108">
        <v>0</v>
      </c>
      <c r="T1116" s="116" t="e">
        <f t="shared" si="653"/>
        <v>#VALUE!</v>
      </c>
      <c r="U1116" s="116" t="e">
        <f t="shared" si="654"/>
        <v>#VALUE!</v>
      </c>
      <c r="V1116" s="116" t="e">
        <f t="shared" si="655"/>
        <v>#VALUE!</v>
      </c>
      <c r="W1116" s="116" t="e">
        <f t="shared" si="656"/>
        <v>#VALUE!</v>
      </c>
      <c r="X1116" s="3" t="str">
        <f>INDEX(DistFuncAllocOptions,ROW(A1116)-ROW($A$92)+1,[4]Inputs!$S$11)</f>
        <v>DRB</v>
      </c>
      <c r="Y1116" s="116" t="e">
        <f t="shared" si="657"/>
        <v>#VALUE!</v>
      </c>
      <c r="Z1116" s="116" t="e">
        <f t="shared" si="657"/>
        <v>#VALUE!</v>
      </c>
      <c r="AA1116" s="116" t="e">
        <f t="shared" si="657"/>
        <v>#VALUE!</v>
      </c>
      <c r="AB1116" s="116" t="e">
        <f t="shared" si="657"/>
        <v>#VALUE!</v>
      </c>
      <c r="AC1116" s="116" t="e">
        <f t="shared" si="657"/>
        <v>#VALUE!</v>
      </c>
      <c r="AD1116" s="117" t="e">
        <f t="shared" si="658"/>
        <v>#VALUE!</v>
      </c>
      <c r="AE1116" s="117" t="e">
        <f t="shared" si="659"/>
        <v>#VALUE!</v>
      </c>
      <c r="AF1116" s="117" t="e">
        <f t="shared" si="660"/>
        <v>#VALUE!</v>
      </c>
      <c r="AG1116" s="117" t="e">
        <f t="shared" si="661"/>
        <v>#VALUE!</v>
      </c>
      <c r="AH1116" s="116"/>
      <c r="AI1116" t="str">
        <f t="shared" si="594"/>
        <v>SCHMDP</v>
      </c>
      <c r="AJ1116" t="str">
        <f t="shared" si="577"/>
        <v>SE</v>
      </c>
      <c r="AK1116" t="str">
        <f>IF(ISERROR(MATCH(AI1116&amp;"."&amp;AJ1116,AK$91:AK1115,0)),AI1116&amp;"."&amp;AJ1116,AI1116&amp;"."&amp;AJ1116&amp;COUNTIFS(AI$91:AI1115,AI1116,AJ$91:AJ1115,AJ1116))</f>
        <v>SCHMDP.SE</v>
      </c>
    </row>
    <row r="1117" spans="1:37" ht="15" hidden="1">
      <c r="A1117" s="120">
        <f>ROW()</f>
        <v>1117</v>
      </c>
      <c r="B1117" s="120"/>
      <c r="C1117" s="120"/>
      <c r="D1117" s="150"/>
      <c r="E1117" s="121" t="s">
        <v>433</v>
      </c>
      <c r="F1117" s="138" t="str">
        <f>INDEX(FuncAllocOptions,ROW(A1117)-ROW($A$92)+1,[4]Inputs!$S$11)</f>
        <v>PTD</v>
      </c>
      <c r="G1117" s="117" t="e">
        <f t="shared" si="647"/>
        <v>#VALUE!</v>
      </c>
      <c r="H1117" s="116" t="e">
        <f t="shared" si="648"/>
        <v>#VALUE!</v>
      </c>
      <c r="I1117" s="116" t="e">
        <f t="shared" si="648"/>
        <v>#VALUE!</v>
      </c>
      <c r="J1117" s="116" t="e">
        <f t="shared" si="648"/>
        <v>#VALUE!</v>
      </c>
      <c r="K1117" s="116" t="e">
        <f t="shared" si="648"/>
        <v>#VALUE!</v>
      </c>
      <c r="L1117" s="116" t="e">
        <f t="shared" si="648"/>
        <v>#VALUE!</v>
      </c>
      <c r="N1117" s="108">
        <v>0.75</v>
      </c>
      <c r="O1117" s="116" t="e">
        <f t="shared" si="649"/>
        <v>#VALUE!</v>
      </c>
      <c r="P1117" s="116" t="e">
        <f t="shared" si="650"/>
        <v>#VALUE!</v>
      </c>
      <c r="Q1117" s="116" t="e">
        <f t="shared" si="651"/>
        <v>#VALUE!</v>
      </c>
      <c r="R1117" s="116" t="e">
        <f t="shared" si="652"/>
        <v>#VALUE!</v>
      </c>
      <c r="S1117" s="108">
        <v>0.75</v>
      </c>
      <c r="T1117" s="116" t="e">
        <f t="shared" si="653"/>
        <v>#VALUE!</v>
      </c>
      <c r="U1117" s="116" t="e">
        <f t="shared" si="654"/>
        <v>#VALUE!</v>
      </c>
      <c r="V1117" s="116" t="e">
        <f t="shared" si="655"/>
        <v>#VALUE!</v>
      </c>
      <c r="W1117" s="116" t="e">
        <f t="shared" si="656"/>
        <v>#VALUE!</v>
      </c>
      <c r="X1117" s="3" t="str">
        <f>INDEX(DistFuncAllocOptions,ROW(A1117)-ROW($A$92)+1,[4]Inputs!$S$11)</f>
        <v>DISom</v>
      </c>
      <c r="Y1117" s="116" t="e">
        <f t="shared" si="657"/>
        <v>#VALUE!</v>
      </c>
      <c r="Z1117" s="116" t="e">
        <f t="shared" si="657"/>
        <v>#VALUE!</v>
      </c>
      <c r="AA1117" s="116" t="e">
        <f t="shared" si="657"/>
        <v>#VALUE!</v>
      </c>
      <c r="AB1117" s="116" t="e">
        <f t="shared" si="657"/>
        <v>#VALUE!</v>
      </c>
      <c r="AC1117" s="116" t="e">
        <f t="shared" si="657"/>
        <v>#VALUE!</v>
      </c>
      <c r="AD1117" s="117" t="e">
        <f t="shared" si="658"/>
        <v>#VALUE!</v>
      </c>
      <c r="AE1117" s="117" t="e">
        <f t="shared" si="659"/>
        <v>#VALUE!</v>
      </c>
      <c r="AF1117" s="117" t="e">
        <f t="shared" si="660"/>
        <v>#VALUE!</v>
      </c>
      <c r="AG1117" s="117" t="e">
        <f t="shared" si="661"/>
        <v>#VALUE!</v>
      </c>
      <c r="AH1117" s="116"/>
      <c r="AI1117" t="str">
        <f t="shared" si="594"/>
        <v>SCHMDP</v>
      </c>
      <c r="AJ1117" t="str">
        <f t="shared" ref="AJ1117:AJ1180" si="662">IF(E1117="","NA",E1117)</f>
        <v>SNP</v>
      </c>
      <c r="AK1117" t="str">
        <f>IF(ISERROR(MATCH(AI1117&amp;"."&amp;AJ1117,AK$91:AK1116,0)),AI1117&amp;"."&amp;AJ1117,AI1117&amp;"."&amp;AJ1117&amp;COUNTIFS(AI$91:AI1116,AI1117,AJ$91:AJ1116,AJ1117))</f>
        <v>SCHMDP.SNP</v>
      </c>
    </row>
    <row r="1118" spans="1:37" ht="15" hidden="1">
      <c r="A1118" s="120">
        <f>ROW()</f>
        <v>1118</v>
      </c>
      <c r="B1118" s="120"/>
      <c r="C1118" s="120"/>
      <c r="D1118" s="150"/>
      <c r="E1118" s="121" t="s">
        <v>452</v>
      </c>
      <c r="F1118" s="138" t="str">
        <f>INDEX(FuncAllocOptions,ROW(A1118)-ROW($A$92)+1,[4]Inputs!$S$11)</f>
        <v>IBT</v>
      </c>
      <c r="G1118" s="117" t="e">
        <f t="shared" si="647"/>
        <v>#VALUE!</v>
      </c>
      <c r="H1118" s="116" t="e">
        <f t="shared" si="648"/>
        <v>#VALUE!</v>
      </c>
      <c r="I1118" s="116" t="e">
        <f t="shared" si="648"/>
        <v>#VALUE!</v>
      </c>
      <c r="J1118" s="116" t="e">
        <f t="shared" si="648"/>
        <v>#VALUE!</v>
      </c>
      <c r="K1118" s="116" t="e">
        <f t="shared" si="648"/>
        <v>#VALUE!</v>
      </c>
      <c r="L1118" s="116" t="e">
        <f t="shared" si="648"/>
        <v>#VALUE!</v>
      </c>
      <c r="N1118" s="108">
        <v>0.75</v>
      </c>
      <c r="O1118" s="116" t="e">
        <f t="shared" si="649"/>
        <v>#VALUE!</v>
      </c>
      <c r="P1118" s="116" t="e">
        <f t="shared" si="650"/>
        <v>#VALUE!</v>
      </c>
      <c r="Q1118" s="116" t="e">
        <f t="shared" si="651"/>
        <v>#VALUE!</v>
      </c>
      <c r="R1118" s="116" t="e">
        <f t="shared" si="652"/>
        <v>#VALUE!</v>
      </c>
      <c r="S1118" s="108">
        <v>0.75</v>
      </c>
      <c r="T1118" s="116" t="e">
        <f t="shared" si="653"/>
        <v>#VALUE!</v>
      </c>
      <c r="U1118" s="116" t="e">
        <f t="shared" si="654"/>
        <v>#VALUE!</v>
      </c>
      <c r="V1118" s="116" t="e">
        <f t="shared" si="655"/>
        <v>#VALUE!</v>
      </c>
      <c r="W1118" s="116" t="e">
        <f t="shared" si="656"/>
        <v>#VALUE!</v>
      </c>
      <c r="X1118" s="3" t="str">
        <f>INDEX(DistFuncAllocOptions,ROW(A1118)-ROW($A$92)+1,[4]Inputs!$S$11)</f>
        <v>DISom</v>
      </c>
      <c r="Y1118" s="116" t="e">
        <f t="shared" si="657"/>
        <v>#VALUE!</v>
      </c>
      <c r="Z1118" s="116" t="e">
        <f t="shared" si="657"/>
        <v>#VALUE!</v>
      </c>
      <c r="AA1118" s="116" t="e">
        <f t="shared" si="657"/>
        <v>#VALUE!</v>
      </c>
      <c r="AB1118" s="116" t="e">
        <f t="shared" si="657"/>
        <v>#VALUE!</v>
      </c>
      <c r="AC1118" s="116" t="e">
        <f t="shared" si="657"/>
        <v>#VALUE!</v>
      </c>
      <c r="AD1118" s="117" t="e">
        <f t="shared" si="658"/>
        <v>#VALUE!</v>
      </c>
      <c r="AE1118" s="117" t="e">
        <f t="shared" si="659"/>
        <v>#VALUE!</v>
      </c>
      <c r="AF1118" s="117" t="e">
        <f t="shared" si="660"/>
        <v>#VALUE!</v>
      </c>
      <c r="AG1118" s="117" t="e">
        <f t="shared" si="661"/>
        <v>#VALUE!</v>
      </c>
      <c r="AH1118" s="116"/>
      <c r="AI1118" t="str">
        <f t="shared" si="594"/>
        <v>SCHMDP</v>
      </c>
      <c r="AJ1118" t="str">
        <f t="shared" si="662"/>
        <v>SCHMDEXP</v>
      </c>
      <c r="AK1118" t="str">
        <f>IF(ISERROR(MATCH(AI1118&amp;"."&amp;AJ1118,AK$91:AK1117,0)),AI1118&amp;"."&amp;AJ1118,AI1118&amp;"."&amp;AJ1118&amp;COUNTIFS(AI$91:AI1117,AI1118,AJ$91:AJ1117,AJ1118))</f>
        <v>SCHMDP.SCHMDEXP</v>
      </c>
    </row>
    <row r="1119" spans="1:37" ht="15" hidden="1">
      <c r="A1119" s="120">
        <f>ROW()</f>
        <v>1119</v>
      </c>
      <c r="B1119" s="120"/>
      <c r="C1119" s="120"/>
      <c r="D1119" s="150"/>
      <c r="E1119" s="121" t="s">
        <v>15</v>
      </c>
      <c r="F1119" s="138" t="str">
        <f>INDEX(FuncAllocOptions,ROW(A1119)-ROW($A$92)+1,[4]Inputs!$S$11)</f>
        <v>P</v>
      </c>
      <c r="G1119" s="117" t="e">
        <f t="shared" si="647"/>
        <v>#VALUE!</v>
      </c>
      <c r="H1119" s="116" t="e">
        <f t="shared" si="648"/>
        <v>#VALUE!</v>
      </c>
      <c r="I1119" s="116" t="e">
        <f t="shared" si="648"/>
        <v>#VALUE!</v>
      </c>
      <c r="J1119" s="116" t="e">
        <f t="shared" si="648"/>
        <v>#VALUE!</v>
      </c>
      <c r="K1119" s="116" t="e">
        <f t="shared" si="648"/>
        <v>#VALUE!</v>
      </c>
      <c r="L1119" s="116" t="e">
        <f t="shared" si="648"/>
        <v>#VALUE!</v>
      </c>
      <c r="N1119" s="108">
        <v>0.75</v>
      </c>
      <c r="O1119" s="116" t="e">
        <f t="shared" si="649"/>
        <v>#VALUE!</v>
      </c>
      <c r="P1119" s="116" t="e">
        <f t="shared" si="650"/>
        <v>#VALUE!</v>
      </c>
      <c r="Q1119" s="116" t="e">
        <f t="shared" si="651"/>
        <v>#VALUE!</v>
      </c>
      <c r="R1119" s="116" t="e">
        <f t="shared" si="652"/>
        <v>#VALUE!</v>
      </c>
      <c r="S1119" s="108">
        <v>0.75</v>
      </c>
      <c r="T1119" s="116" t="e">
        <f t="shared" si="653"/>
        <v>#VALUE!</v>
      </c>
      <c r="U1119" s="116" t="e">
        <f t="shared" si="654"/>
        <v>#VALUE!</v>
      </c>
      <c r="V1119" s="116" t="e">
        <f t="shared" si="655"/>
        <v>#VALUE!</v>
      </c>
      <c r="W1119" s="116" t="e">
        <f t="shared" si="656"/>
        <v>#VALUE!</v>
      </c>
      <c r="X1119" s="3" t="str">
        <f>INDEX(DistFuncAllocOptions,ROW(A1119)-ROW($A$92)+1,[4]Inputs!$S$11)</f>
        <v>DRB</v>
      </c>
      <c r="Y1119" s="116" t="e">
        <f t="shared" si="657"/>
        <v>#VALUE!</v>
      </c>
      <c r="Z1119" s="116" t="e">
        <f t="shared" si="657"/>
        <v>#VALUE!</v>
      </c>
      <c r="AA1119" s="116" t="e">
        <f t="shared" si="657"/>
        <v>#VALUE!</v>
      </c>
      <c r="AB1119" s="116" t="e">
        <f t="shared" si="657"/>
        <v>#VALUE!</v>
      </c>
      <c r="AC1119" s="116" t="e">
        <f t="shared" si="657"/>
        <v>#VALUE!</v>
      </c>
      <c r="AD1119" s="117" t="e">
        <f t="shared" si="658"/>
        <v>#VALUE!</v>
      </c>
      <c r="AE1119" s="117" t="e">
        <f t="shared" si="659"/>
        <v>#VALUE!</v>
      </c>
      <c r="AF1119" s="117" t="e">
        <f t="shared" si="660"/>
        <v>#VALUE!</v>
      </c>
      <c r="AG1119" s="117" t="e">
        <f t="shared" si="661"/>
        <v>#VALUE!</v>
      </c>
      <c r="AH1119" s="116"/>
      <c r="AI1119" t="str">
        <f t="shared" si="594"/>
        <v>SCHMDP</v>
      </c>
      <c r="AJ1119" t="str">
        <f t="shared" si="662"/>
        <v>SG</v>
      </c>
      <c r="AK1119" t="str">
        <f>IF(ISERROR(MATCH(AI1119&amp;"."&amp;AJ1119,AK$91:AK1118,0)),AI1119&amp;"."&amp;AJ1119,AI1119&amp;"."&amp;AJ1119&amp;COUNTIFS(AI$91:AI1118,AI1119,AJ$91:AJ1118,AJ1119))</f>
        <v>SCHMDP.SG</v>
      </c>
    </row>
    <row r="1120" spans="1:37" ht="15" hidden="1">
      <c r="A1120" s="120">
        <f>ROW()</f>
        <v>1120</v>
      </c>
      <c r="B1120" s="120"/>
      <c r="C1120" s="120"/>
      <c r="D1120" s="150"/>
      <c r="E1120" s="121" t="s">
        <v>136</v>
      </c>
      <c r="F1120" s="138" t="str">
        <f>INDEX(FuncAllocOptions,ROW(A1120)-ROW($A$92)+1,[4]Inputs!$S$11)</f>
        <v>P</v>
      </c>
      <c r="G1120" s="133" t="e">
        <f t="shared" si="647"/>
        <v>#VALUE!</v>
      </c>
      <c r="H1120" s="139" t="e">
        <f t="shared" si="648"/>
        <v>#VALUE!</v>
      </c>
      <c r="I1120" s="139" t="e">
        <f t="shared" si="648"/>
        <v>#VALUE!</v>
      </c>
      <c r="J1120" s="139" t="e">
        <f t="shared" si="648"/>
        <v>#VALUE!</v>
      </c>
      <c r="K1120" s="139" t="e">
        <f t="shared" si="648"/>
        <v>#VALUE!</v>
      </c>
      <c r="L1120" s="139" t="e">
        <f t="shared" si="648"/>
        <v>#VALUE!</v>
      </c>
      <c r="N1120" s="108">
        <v>0.75</v>
      </c>
      <c r="O1120" s="116" t="e">
        <f t="shared" si="649"/>
        <v>#VALUE!</v>
      </c>
      <c r="P1120" s="116" t="e">
        <f t="shared" si="650"/>
        <v>#VALUE!</v>
      </c>
      <c r="Q1120" s="116" t="e">
        <f t="shared" si="651"/>
        <v>#VALUE!</v>
      </c>
      <c r="R1120" s="116" t="e">
        <f t="shared" si="652"/>
        <v>#VALUE!</v>
      </c>
      <c r="S1120" s="108">
        <v>0.75</v>
      </c>
      <c r="T1120" s="116" t="e">
        <f t="shared" si="653"/>
        <v>#VALUE!</v>
      </c>
      <c r="U1120" s="116" t="e">
        <f t="shared" si="654"/>
        <v>#VALUE!</v>
      </c>
      <c r="V1120" s="116" t="e">
        <f t="shared" si="655"/>
        <v>#VALUE!</v>
      </c>
      <c r="W1120" s="116" t="e">
        <f t="shared" si="656"/>
        <v>#VALUE!</v>
      </c>
      <c r="X1120" s="3" t="str">
        <f>INDEX(DistFuncAllocOptions,ROW(A1120)-ROW($A$92)+1,[4]Inputs!$S$11)</f>
        <v>DRB</v>
      </c>
      <c r="Y1120" s="116" t="e">
        <f t="shared" si="657"/>
        <v>#VALUE!</v>
      </c>
      <c r="Z1120" s="116" t="e">
        <f t="shared" si="657"/>
        <v>#VALUE!</v>
      </c>
      <c r="AA1120" s="116" t="e">
        <f t="shared" si="657"/>
        <v>#VALUE!</v>
      </c>
      <c r="AB1120" s="116" t="e">
        <f t="shared" si="657"/>
        <v>#VALUE!</v>
      </c>
      <c r="AC1120" s="116" t="e">
        <f t="shared" si="657"/>
        <v>#VALUE!</v>
      </c>
      <c r="AD1120" s="117" t="e">
        <f t="shared" si="658"/>
        <v>#VALUE!</v>
      </c>
      <c r="AE1120" s="117" t="e">
        <f t="shared" si="659"/>
        <v>#VALUE!</v>
      </c>
      <c r="AF1120" s="117" t="e">
        <f t="shared" si="660"/>
        <v>#VALUE!</v>
      </c>
      <c r="AG1120" s="117" t="e">
        <f t="shared" si="661"/>
        <v>#VALUE!</v>
      </c>
      <c r="AH1120" s="116"/>
      <c r="AI1120" t="str">
        <f t="shared" si="594"/>
        <v>SCHMDP</v>
      </c>
      <c r="AJ1120" t="str">
        <f t="shared" si="662"/>
        <v>SO</v>
      </c>
      <c r="AK1120" t="str">
        <f>IF(ISERROR(MATCH(AI1120&amp;"."&amp;AJ1120,AK$91:AK1119,0)),AI1120&amp;"."&amp;AJ1120,AI1120&amp;"."&amp;AJ1120&amp;COUNTIFS(AI$91:AI1119,AI1120,AJ$91:AJ1119,AJ1120))</f>
        <v>SCHMDP.SO</v>
      </c>
    </row>
    <row r="1121" spans="1:37" ht="15" hidden="1">
      <c r="A1121" s="120">
        <f>ROW()</f>
        <v>1121</v>
      </c>
      <c r="B1121" s="120"/>
      <c r="C1121" s="172"/>
      <c r="D1121" s="150"/>
      <c r="E1121" s="121"/>
      <c r="F1121" s="138"/>
      <c r="G1121" s="117" t="e">
        <f t="shared" ref="G1121:L1121" si="663">SUM(G1115:G1120)</f>
        <v>#VALUE!</v>
      </c>
      <c r="H1121" s="116" t="e">
        <f t="shared" si="663"/>
        <v>#VALUE!</v>
      </c>
      <c r="I1121" s="116" t="e">
        <f t="shared" si="663"/>
        <v>#VALUE!</v>
      </c>
      <c r="J1121" s="116" t="e">
        <f t="shared" si="663"/>
        <v>#VALUE!</v>
      </c>
      <c r="K1121" s="116" t="e">
        <f t="shared" si="663"/>
        <v>#VALUE!</v>
      </c>
      <c r="L1121" s="116" t="e">
        <f t="shared" si="663"/>
        <v>#VALUE!</v>
      </c>
      <c r="O1121" s="116" t="e">
        <f>SUM(O1115:O1120)</f>
        <v>#VALUE!</v>
      </c>
      <c r="P1121" s="116" t="e">
        <f>SUM(P1115:P1120)</f>
        <v>#VALUE!</v>
      </c>
      <c r="Q1121" s="116" t="e">
        <f>SUM(Q1115:Q1120)</f>
        <v>#VALUE!</v>
      </c>
      <c r="R1121" s="116" t="e">
        <f>SUM(R1115:R1120)</f>
        <v>#VALUE!</v>
      </c>
      <c r="T1121" s="116" t="e">
        <f>SUM(T1115:T1120)</f>
        <v>#VALUE!</v>
      </c>
      <c r="U1121" s="116" t="e">
        <f>SUM(U1115:U1120)</f>
        <v>#VALUE!</v>
      </c>
      <c r="V1121" s="116" t="e">
        <f>SUM(V1115:V1120)</f>
        <v>#VALUE!</v>
      </c>
      <c r="W1121" s="116" t="e">
        <f>SUM(W1115:W1120)</f>
        <v>#VALUE!</v>
      </c>
      <c r="X1121" s="3"/>
      <c r="Y1121" s="116" t="e">
        <f>SUM(Y1115:Y1120)</f>
        <v>#VALUE!</v>
      </c>
      <c r="Z1121" s="116" t="e">
        <f>SUM(Z1115:Z1120)</f>
        <v>#VALUE!</v>
      </c>
      <c r="AA1121" s="116" t="e">
        <f>SUM(AA1115:AA1120)</f>
        <v>#VALUE!</v>
      </c>
      <c r="AB1121" s="116" t="e">
        <f>SUM(AB1115:AB1120)</f>
        <v>#VALUE!</v>
      </c>
      <c r="AC1121" s="116" t="e">
        <f>SUM(AC1115:AC1120)</f>
        <v>#VALUE!</v>
      </c>
      <c r="AD1121" s="117"/>
      <c r="AE1121" s="117"/>
      <c r="AF1121" s="117"/>
      <c r="AG1121" s="117"/>
      <c r="AH1121" s="116"/>
      <c r="AI1121" t="str">
        <f t="shared" si="594"/>
        <v>SCHMDP</v>
      </c>
      <c r="AJ1121" t="str">
        <f t="shared" si="662"/>
        <v>NA</v>
      </c>
      <c r="AK1121" t="str">
        <f>IF(ISERROR(MATCH(AI1121&amp;"."&amp;AJ1121,AK$91:AK1120,0)),AI1121&amp;"."&amp;AJ1121,AI1121&amp;"."&amp;AJ1121&amp;COUNTIFS(AI$91:AI1120,AI1121,AJ$91:AJ1120,AJ1121))</f>
        <v>SCHMDP.NA1</v>
      </c>
    </row>
    <row r="1122" spans="1:37" ht="15" hidden="1">
      <c r="A1122" s="120">
        <f>ROW()</f>
        <v>1122</v>
      </c>
      <c r="B1122" s="120"/>
      <c r="C1122" s="172"/>
      <c r="D1122" s="150"/>
      <c r="E1122" s="121"/>
      <c r="F1122" s="138"/>
      <c r="G1122" s="117"/>
      <c r="H1122" s="116"/>
      <c r="I1122" s="116"/>
      <c r="J1122" s="116"/>
      <c r="K1122" s="116"/>
      <c r="L1122" s="116"/>
      <c r="O1122" s="116"/>
      <c r="P1122" s="116"/>
      <c r="Q1122" s="116"/>
      <c r="R1122" s="116"/>
      <c r="T1122" s="116"/>
      <c r="U1122" s="116"/>
      <c r="V1122" s="116"/>
      <c r="W1122" s="116"/>
      <c r="X1122" s="3"/>
      <c r="Y1122" s="116"/>
      <c r="Z1122" s="116"/>
      <c r="AA1122" s="116"/>
      <c r="AB1122" s="116"/>
      <c r="AC1122" s="116"/>
      <c r="AD1122" s="117"/>
      <c r="AE1122" s="117"/>
      <c r="AF1122" s="117"/>
      <c r="AG1122" s="117"/>
      <c r="AH1122" s="116"/>
      <c r="AI1122" t="str">
        <f t="shared" si="594"/>
        <v>SCHMDP</v>
      </c>
      <c r="AJ1122" t="str">
        <f t="shared" si="662"/>
        <v>NA</v>
      </c>
      <c r="AK1122" t="str">
        <f>IF(ISERROR(MATCH(AI1122&amp;"."&amp;AJ1122,AK$91:AK1121,0)),AI1122&amp;"."&amp;AJ1122,AI1122&amp;"."&amp;AJ1122&amp;COUNTIFS(AI$91:AI1121,AI1122,AJ$91:AJ1121,AJ1122))</f>
        <v>SCHMDP.NA2</v>
      </c>
    </row>
    <row r="1123" spans="1:37" ht="15" hidden="1">
      <c r="A1123" s="120">
        <f>ROW()</f>
        <v>1123</v>
      </c>
      <c r="B1123" s="120"/>
      <c r="C1123" s="120" t="s">
        <v>263</v>
      </c>
      <c r="D1123" s="150" t="s">
        <v>470</v>
      </c>
      <c r="E1123" s="121"/>
      <c r="F1123" s="138"/>
      <c r="G1123" s="117"/>
      <c r="H1123" s="116"/>
      <c r="I1123" s="116"/>
      <c r="J1123" s="116"/>
      <c r="K1123" s="116"/>
      <c r="L1123" s="116"/>
      <c r="O1123" s="116"/>
      <c r="P1123" s="116"/>
      <c r="Q1123" s="116"/>
      <c r="R1123" s="116"/>
      <c r="T1123" s="116"/>
      <c r="U1123" s="116"/>
      <c r="V1123" s="116"/>
      <c r="W1123" s="116"/>
      <c r="X1123" s="3"/>
      <c r="Y1123" s="116"/>
      <c r="Z1123" s="116"/>
      <c r="AA1123" s="116"/>
      <c r="AB1123" s="116"/>
      <c r="AC1123" s="116"/>
      <c r="AD1123" s="117"/>
      <c r="AE1123" s="117"/>
      <c r="AF1123" s="117"/>
      <c r="AG1123" s="117"/>
      <c r="AH1123" s="116"/>
      <c r="AI1123" t="str">
        <f t="shared" si="594"/>
        <v>SCHMDT</v>
      </c>
      <c r="AJ1123" t="str">
        <f t="shared" si="662"/>
        <v>NA</v>
      </c>
      <c r="AK1123" t="str">
        <f>IF(ISERROR(MATCH(AI1123&amp;"."&amp;AJ1123,AK$91:AK1122,0)),AI1123&amp;"."&amp;AJ1123,AI1123&amp;"."&amp;AJ1123&amp;COUNTIFS(AI$91:AI1122,AI1123,AJ$91:AJ1122,AJ1123))</f>
        <v>SCHMDT.NA</v>
      </c>
    </row>
    <row r="1124" spans="1:37" ht="15" hidden="1">
      <c r="A1124" s="120">
        <f>ROW()</f>
        <v>1124</v>
      </c>
      <c r="B1124" s="120"/>
      <c r="C1124" s="120"/>
      <c r="D1124" s="150"/>
      <c r="E1124" s="121" t="s">
        <v>12</v>
      </c>
      <c r="F1124" s="138" t="str">
        <f>INDEX(FuncAllocOptions,ROW(A1124)-ROW($A$92)+1,[4]Inputs!$S$11)</f>
        <v>GP</v>
      </c>
      <c r="G1124" s="117" t="e">
        <f t="shared" ref="G1124:G1135" si="664">SUMIF(FERCJAMFactor,AK1124,JAMValue)</f>
        <v>#VALUE!</v>
      </c>
      <c r="H1124" s="116" t="e">
        <f t="shared" ref="H1124:L1135" si="665">INDEX(FuncFactorTbl,MATCH($F1124,FuncFactors,0),MATCH(H$8,Functions,0))*$G1124</f>
        <v>#VALUE!</v>
      </c>
      <c r="I1124" s="116" t="e">
        <f t="shared" si="665"/>
        <v>#VALUE!</v>
      </c>
      <c r="J1124" s="116" t="e">
        <f t="shared" si="665"/>
        <v>#VALUE!</v>
      </c>
      <c r="K1124" s="116" t="e">
        <f t="shared" si="665"/>
        <v>#VALUE!</v>
      </c>
      <c r="L1124" s="116" t="e">
        <f t="shared" si="665"/>
        <v>#VALUE!</v>
      </c>
      <c r="N1124" s="108">
        <v>0.75</v>
      </c>
      <c r="O1124" s="116" t="e">
        <f t="shared" ref="O1124:O1135" si="666">$H1124*$N1124*$M1124</f>
        <v>#VALUE!</v>
      </c>
      <c r="P1124" s="116" t="e">
        <f t="shared" ref="P1124:P1135" si="667">$H1124*(1-$N1124)*$M1124</f>
        <v>#VALUE!</v>
      </c>
      <c r="Q1124" s="116" t="e">
        <f t="shared" ref="Q1124:Q1135" si="668">$H1124*$N1124*(1-$M1124)</f>
        <v>#VALUE!</v>
      </c>
      <c r="R1124" s="116" t="e">
        <f t="shared" ref="R1124:R1135" si="669">$H1124*(1-$N1124)*(1-$M1124)</f>
        <v>#VALUE!</v>
      </c>
      <c r="S1124" s="108">
        <v>0.75</v>
      </c>
      <c r="T1124" s="116" t="e">
        <f t="shared" ref="T1124:T1135" si="670">$I1124*$S1124*$M1124</f>
        <v>#VALUE!</v>
      </c>
      <c r="U1124" s="116" t="e">
        <f t="shared" ref="U1124:U1135" si="671">$I1124*(1-$S1124)*$M1124</f>
        <v>#VALUE!</v>
      </c>
      <c r="V1124" s="116" t="e">
        <f t="shared" ref="V1124:V1135" si="672">$I1124*$S1124*(1-$M1124)</f>
        <v>#VALUE!</v>
      </c>
      <c r="W1124" s="116" t="e">
        <f t="shared" ref="W1124:W1135" si="673">$I1124*(1-$S1124)*(1-$M1124)</f>
        <v>#VALUE!</v>
      </c>
      <c r="X1124" s="3" t="str">
        <f>INDEX(DistFuncAllocOptions,ROW(A1124)-ROW($A$92)+1,[4]Inputs!$S$11)</f>
        <v>PLNT</v>
      </c>
      <c r="Y1124" s="116" t="e">
        <f t="shared" ref="Y1124:AC1135" si="674">INDEX(DistFuncFactorTbl,MATCH($X1124,DistFuncFactors,0),MATCH(Y$91,DistFunctions,0))*$J1124</f>
        <v>#VALUE!</v>
      </c>
      <c r="Z1124" s="116" t="e">
        <f t="shared" si="674"/>
        <v>#VALUE!</v>
      </c>
      <c r="AA1124" s="116" t="e">
        <f t="shared" si="674"/>
        <v>#VALUE!</v>
      </c>
      <c r="AB1124" s="116" t="e">
        <f t="shared" si="674"/>
        <v>#VALUE!</v>
      </c>
      <c r="AC1124" s="116" t="e">
        <f t="shared" si="674"/>
        <v>#VALUE!</v>
      </c>
      <c r="AD1124" s="117" t="e">
        <f t="shared" ref="AD1124:AD1135" si="675">ROUND(SUM(-G1124,H1124:L1124),0)</f>
        <v>#VALUE!</v>
      </c>
      <c r="AE1124" s="117" t="e">
        <f t="shared" ref="AE1124:AE1135" si="676">ROUND(H1124-O1124-P1124-Q1124-R1124,0)</f>
        <v>#VALUE!</v>
      </c>
      <c r="AF1124" s="117" t="e">
        <f t="shared" ref="AF1124:AF1135" si="677">ROUND(I1124-T1124-U1124-V1124-W1124,0)</f>
        <v>#VALUE!</v>
      </c>
      <c r="AG1124" s="117" t="e">
        <f t="shared" ref="AG1124:AG1135" si="678">ROUND(J1124-Y1124-Z1124-AA1124-AC1124-AB1124,0)</f>
        <v>#VALUE!</v>
      </c>
      <c r="AH1124" s="116"/>
      <c r="AI1124" t="str">
        <f t="shared" si="594"/>
        <v>SCHMDT</v>
      </c>
      <c r="AJ1124" t="str">
        <f t="shared" si="662"/>
        <v>S</v>
      </c>
      <c r="AK1124" t="str">
        <f>IF(ISERROR(MATCH(AI1124&amp;"."&amp;AJ1124,AK$91:AK1123,0)),AI1124&amp;"."&amp;AJ1124,AI1124&amp;"."&amp;AJ1124&amp;COUNTIFS(AI$91:AI1123,AI1124,AJ$91:AJ1123,AJ1124))</f>
        <v>SCHMDT.S</v>
      </c>
    </row>
    <row r="1125" spans="1:37" ht="15" hidden="1">
      <c r="A1125" s="120">
        <f>ROW()</f>
        <v>1125</v>
      </c>
      <c r="B1125" s="120"/>
      <c r="C1125" s="120"/>
      <c r="D1125" s="150"/>
      <c r="E1125" s="121" t="s">
        <v>449</v>
      </c>
      <c r="F1125" s="138" t="str">
        <f>INDEX(FuncAllocOptions,ROW(A1125)-ROW($A$92)+1,[4]Inputs!$S$11)</f>
        <v>CUST</v>
      </c>
      <c r="G1125" s="117" t="e">
        <f t="shared" si="664"/>
        <v>#VALUE!</v>
      </c>
      <c r="H1125" s="116" t="e">
        <f t="shared" si="665"/>
        <v>#VALUE!</v>
      </c>
      <c r="I1125" s="116" t="e">
        <f t="shared" si="665"/>
        <v>#VALUE!</v>
      </c>
      <c r="J1125" s="116" t="e">
        <f t="shared" si="665"/>
        <v>#VALUE!</v>
      </c>
      <c r="K1125" s="116" t="e">
        <f t="shared" si="665"/>
        <v>#VALUE!</v>
      </c>
      <c r="L1125" s="116" t="e">
        <f t="shared" si="665"/>
        <v>#VALUE!</v>
      </c>
      <c r="N1125" s="108">
        <v>0.75</v>
      </c>
      <c r="O1125" s="116" t="e">
        <f t="shared" si="666"/>
        <v>#VALUE!</v>
      </c>
      <c r="P1125" s="116" t="e">
        <f t="shared" si="667"/>
        <v>#VALUE!</v>
      </c>
      <c r="Q1125" s="116" t="e">
        <f t="shared" si="668"/>
        <v>#VALUE!</v>
      </c>
      <c r="R1125" s="116" t="e">
        <f t="shared" si="669"/>
        <v>#VALUE!</v>
      </c>
      <c r="S1125" s="108">
        <v>0.75</v>
      </c>
      <c r="T1125" s="116" t="e">
        <f t="shared" si="670"/>
        <v>#VALUE!</v>
      </c>
      <c r="U1125" s="116" t="e">
        <f t="shared" si="671"/>
        <v>#VALUE!</v>
      </c>
      <c r="V1125" s="116" t="e">
        <f t="shared" si="672"/>
        <v>#VALUE!</v>
      </c>
      <c r="W1125" s="116" t="e">
        <f t="shared" si="673"/>
        <v>#VALUE!</v>
      </c>
      <c r="X1125" s="3" t="str">
        <f>INDEX(DistFuncAllocOptions,ROW(A1125)-ROW($A$92)+1,[4]Inputs!$S$11)</f>
        <v>CUST</v>
      </c>
      <c r="Y1125" s="116" t="e">
        <f t="shared" si="674"/>
        <v>#VALUE!</v>
      </c>
      <c r="Z1125" s="116" t="e">
        <f t="shared" si="674"/>
        <v>#VALUE!</v>
      </c>
      <c r="AA1125" s="116" t="e">
        <f t="shared" si="674"/>
        <v>#VALUE!</v>
      </c>
      <c r="AB1125" s="116" t="e">
        <f t="shared" si="674"/>
        <v>#VALUE!</v>
      </c>
      <c r="AC1125" s="116" t="e">
        <f t="shared" si="674"/>
        <v>#VALUE!</v>
      </c>
      <c r="AD1125" s="117" t="e">
        <f t="shared" si="675"/>
        <v>#VALUE!</v>
      </c>
      <c r="AE1125" s="117" t="e">
        <f t="shared" si="676"/>
        <v>#VALUE!</v>
      </c>
      <c r="AF1125" s="117" t="e">
        <f t="shared" si="677"/>
        <v>#VALUE!</v>
      </c>
      <c r="AG1125" s="117" t="e">
        <f t="shared" si="678"/>
        <v>#VALUE!</v>
      </c>
      <c r="AH1125" s="116"/>
      <c r="AI1125" t="str">
        <f t="shared" si="594"/>
        <v>SCHMDT</v>
      </c>
      <c r="AJ1125" t="str">
        <f t="shared" si="662"/>
        <v>BADDEBT</v>
      </c>
      <c r="AK1125" t="str">
        <f>IF(ISERROR(MATCH(AI1125&amp;"."&amp;AJ1125,AK$91:AK1124,0)),AI1125&amp;"."&amp;AJ1125,AI1125&amp;"."&amp;AJ1125&amp;COUNTIFS(AI$91:AI1124,AI1125,AJ$91:AJ1124,AJ1125))</f>
        <v>SCHMDT.BADDEBT</v>
      </c>
    </row>
    <row r="1126" spans="1:37" ht="15" hidden="1">
      <c r="A1126" s="120">
        <f>ROW()</f>
        <v>1126</v>
      </c>
      <c r="B1126" s="120"/>
      <c r="C1126" s="120"/>
      <c r="D1126" s="150"/>
      <c r="E1126" s="121" t="s">
        <v>433</v>
      </c>
      <c r="F1126" s="138" t="str">
        <f>INDEX(FuncAllocOptions,ROW(A1126)-ROW($A$92)+1,[4]Inputs!$S$11)</f>
        <v>SCHMDT-SNP</v>
      </c>
      <c r="G1126" s="117" t="e">
        <f t="shared" si="664"/>
        <v>#VALUE!</v>
      </c>
      <c r="H1126" s="116" t="e">
        <f t="shared" si="665"/>
        <v>#VALUE!</v>
      </c>
      <c r="I1126" s="116" t="e">
        <f t="shared" si="665"/>
        <v>#VALUE!</v>
      </c>
      <c r="J1126" s="116" t="e">
        <f t="shared" si="665"/>
        <v>#VALUE!</v>
      </c>
      <c r="K1126" s="116" t="e">
        <f t="shared" si="665"/>
        <v>#VALUE!</v>
      </c>
      <c r="L1126" s="116" t="e">
        <f t="shared" si="665"/>
        <v>#VALUE!</v>
      </c>
      <c r="N1126" s="108">
        <v>0.75</v>
      </c>
      <c r="O1126" s="116" t="e">
        <f t="shared" si="666"/>
        <v>#VALUE!</v>
      </c>
      <c r="P1126" s="116" t="e">
        <f t="shared" si="667"/>
        <v>#VALUE!</v>
      </c>
      <c r="Q1126" s="116" t="e">
        <f t="shared" si="668"/>
        <v>#VALUE!</v>
      </c>
      <c r="R1126" s="116" t="e">
        <f t="shared" si="669"/>
        <v>#VALUE!</v>
      </c>
      <c r="S1126" s="108">
        <v>0.75</v>
      </c>
      <c r="T1126" s="116" t="e">
        <f t="shared" si="670"/>
        <v>#VALUE!</v>
      </c>
      <c r="U1126" s="116" t="e">
        <f t="shared" si="671"/>
        <v>#VALUE!</v>
      </c>
      <c r="V1126" s="116" t="e">
        <f t="shared" si="672"/>
        <v>#VALUE!</v>
      </c>
      <c r="W1126" s="116" t="e">
        <f t="shared" si="673"/>
        <v>#VALUE!</v>
      </c>
      <c r="X1126" s="3" t="str">
        <f>INDEX(DistFuncAllocOptions,ROW(A1126)-ROW($A$92)+1,[4]Inputs!$S$11)</f>
        <v>DISom</v>
      </c>
      <c r="Y1126" s="116" t="e">
        <f t="shared" si="674"/>
        <v>#VALUE!</v>
      </c>
      <c r="Z1126" s="116" t="e">
        <f t="shared" si="674"/>
        <v>#VALUE!</v>
      </c>
      <c r="AA1126" s="116" t="e">
        <f t="shared" si="674"/>
        <v>#VALUE!</v>
      </c>
      <c r="AB1126" s="116" t="e">
        <f t="shared" si="674"/>
        <v>#VALUE!</v>
      </c>
      <c r="AC1126" s="116" t="e">
        <f t="shared" si="674"/>
        <v>#VALUE!</v>
      </c>
      <c r="AD1126" s="117" t="e">
        <f t="shared" si="675"/>
        <v>#VALUE!</v>
      </c>
      <c r="AE1126" s="117" t="e">
        <f t="shared" si="676"/>
        <v>#VALUE!</v>
      </c>
      <c r="AF1126" s="117" t="e">
        <f t="shared" si="677"/>
        <v>#VALUE!</v>
      </c>
      <c r="AG1126" s="117" t="e">
        <f t="shared" si="678"/>
        <v>#VALUE!</v>
      </c>
      <c r="AH1126" s="116"/>
      <c r="AI1126" t="str">
        <f t="shared" si="594"/>
        <v>SCHMDT</v>
      </c>
      <c r="AJ1126" t="str">
        <f t="shared" si="662"/>
        <v>SNP</v>
      </c>
      <c r="AK1126" t="str">
        <f>IF(ISERROR(MATCH(AI1126&amp;"."&amp;AJ1126,AK$91:AK1125,0)),AI1126&amp;"."&amp;AJ1126,AI1126&amp;"."&amp;AJ1126&amp;COUNTIFS(AI$91:AI1125,AI1126,AJ$91:AJ1125,AJ1126))</f>
        <v>SCHMDT.SNP</v>
      </c>
    </row>
    <row r="1127" spans="1:37" ht="15" hidden="1">
      <c r="A1127" s="120">
        <f>ROW()</f>
        <v>1127</v>
      </c>
      <c r="B1127" s="120"/>
      <c r="C1127" s="120"/>
      <c r="D1127" s="150"/>
      <c r="E1127" s="121" t="s">
        <v>155</v>
      </c>
      <c r="F1127" s="138" t="str">
        <f>INDEX(FuncAllocOptions,ROW(A1127)-ROW($A$92)+1,[4]Inputs!$S$11)</f>
        <v>CUST</v>
      </c>
      <c r="G1127" s="117" t="e">
        <f t="shared" si="664"/>
        <v>#VALUE!</v>
      </c>
      <c r="H1127" s="116" t="e">
        <f t="shared" si="665"/>
        <v>#VALUE!</v>
      </c>
      <c r="I1127" s="116" t="e">
        <f t="shared" si="665"/>
        <v>#VALUE!</v>
      </c>
      <c r="J1127" s="116" t="e">
        <f t="shared" si="665"/>
        <v>#VALUE!</v>
      </c>
      <c r="K1127" s="116" t="e">
        <f t="shared" si="665"/>
        <v>#VALUE!</v>
      </c>
      <c r="L1127" s="116" t="e">
        <f t="shared" si="665"/>
        <v>#VALUE!</v>
      </c>
      <c r="N1127" s="108">
        <v>0.75</v>
      </c>
      <c r="O1127" s="116" t="e">
        <f t="shared" si="666"/>
        <v>#VALUE!</v>
      </c>
      <c r="P1127" s="116" t="e">
        <f t="shared" si="667"/>
        <v>#VALUE!</v>
      </c>
      <c r="Q1127" s="116" t="e">
        <f t="shared" si="668"/>
        <v>#VALUE!</v>
      </c>
      <c r="R1127" s="116" t="e">
        <f t="shared" si="669"/>
        <v>#VALUE!</v>
      </c>
      <c r="S1127" s="108">
        <v>0.75</v>
      </c>
      <c r="T1127" s="116" t="e">
        <f t="shared" si="670"/>
        <v>#VALUE!</v>
      </c>
      <c r="U1127" s="116" t="e">
        <f t="shared" si="671"/>
        <v>#VALUE!</v>
      </c>
      <c r="V1127" s="116" t="e">
        <f t="shared" si="672"/>
        <v>#VALUE!</v>
      </c>
      <c r="W1127" s="116" t="e">
        <f t="shared" si="673"/>
        <v>#VALUE!</v>
      </c>
      <c r="X1127" s="3" t="str">
        <f>INDEX(DistFuncAllocOptions,ROW(A1127)-ROW($A$92)+1,[4]Inputs!$S$11)</f>
        <v>CUST</v>
      </c>
      <c r="Y1127" s="116" t="e">
        <f t="shared" si="674"/>
        <v>#VALUE!</v>
      </c>
      <c r="Z1127" s="116" t="e">
        <f t="shared" si="674"/>
        <v>#VALUE!</v>
      </c>
      <c r="AA1127" s="116" t="e">
        <f t="shared" si="674"/>
        <v>#VALUE!</v>
      </c>
      <c r="AB1127" s="116" t="e">
        <f t="shared" si="674"/>
        <v>#VALUE!</v>
      </c>
      <c r="AC1127" s="116" t="e">
        <f t="shared" si="674"/>
        <v>#VALUE!</v>
      </c>
      <c r="AD1127" s="117" t="e">
        <f t="shared" si="675"/>
        <v>#VALUE!</v>
      </c>
      <c r="AE1127" s="117" t="e">
        <f t="shared" si="676"/>
        <v>#VALUE!</v>
      </c>
      <c r="AF1127" s="117" t="e">
        <f t="shared" si="677"/>
        <v>#VALUE!</v>
      </c>
      <c r="AG1127" s="117" t="e">
        <f t="shared" si="678"/>
        <v>#VALUE!</v>
      </c>
      <c r="AH1127" s="116"/>
      <c r="AI1127" t="str">
        <f t="shared" si="594"/>
        <v>SCHMDT</v>
      </c>
      <c r="AJ1127" t="str">
        <f t="shared" si="662"/>
        <v>CN</v>
      </c>
      <c r="AK1127" t="str">
        <f>IF(ISERROR(MATCH(AI1127&amp;"."&amp;AJ1127,AK$91:AK1126,0)),AI1127&amp;"."&amp;AJ1127,AI1127&amp;"."&amp;AJ1127&amp;COUNTIFS(AI$91:AI1126,AI1127,AJ$91:AJ1126,AJ1127))</f>
        <v>SCHMDT.CN</v>
      </c>
    </row>
    <row r="1128" spans="1:37" ht="15" hidden="1">
      <c r="A1128" s="120">
        <f>ROW()</f>
        <v>1128</v>
      </c>
      <c r="B1128" s="120"/>
      <c r="C1128" s="120"/>
      <c r="D1128" s="150"/>
      <c r="E1128" s="121" t="s">
        <v>15</v>
      </c>
      <c r="F1128" s="138" t="str">
        <f>INDEX(FuncAllocOptions,ROW(A1128)-ROW($A$92)+1,[4]Inputs!$S$11)</f>
        <v>SCHMDT</v>
      </c>
      <c r="G1128" s="117" t="e">
        <f t="shared" si="664"/>
        <v>#VALUE!</v>
      </c>
      <c r="H1128" s="116" t="e">
        <f t="shared" si="665"/>
        <v>#VALUE!</v>
      </c>
      <c r="I1128" s="116" t="e">
        <f t="shared" si="665"/>
        <v>#VALUE!</v>
      </c>
      <c r="J1128" s="116" t="e">
        <f t="shared" si="665"/>
        <v>#VALUE!</v>
      </c>
      <c r="K1128" s="116" t="e">
        <f t="shared" si="665"/>
        <v>#VALUE!</v>
      </c>
      <c r="L1128" s="116" t="e">
        <f t="shared" si="665"/>
        <v>#VALUE!</v>
      </c>
      <c r="N1128" s="108">
        <v>0.75</v>
      </c>
      <c r="O1128" s="116" t="e">
        <f t="shared" si="666"/>
        <v>#VALUE!</v>
      </c>
      <c r="P1128" s="116" t="e">
        <f t="shared" si="667"/>
        <v>#VALUE!</v>
      </c>
      <c r="Q1128" s="116" t="e">
        <f t="shared" si="668"/>
        <v>#VALUE!</v>
      </c>
      <c r="R1128" s="116" t="e">
        <f t="shared" si="669"/>
        <v>#VALUE!</v>
      </c>
      <c r="S1128" s="108">
        <v>0.75</v>
      </c>
      <c r="T1128" s="116" t="e">
        <f t="shared" si="670"/>
        <v>#VALUE!</v>
      </c>
      <c r="U1128" s="116" t="e">
        <f t="shared" si="671"/>
        <v>#VALUE!</v>
      </c>
      <c r="V1128" s="116" t="e">
        <f t="shared" si="672"/>
        <v>#VALUE!</v>
      </c>
      <c r="W1128" s="116" t="e">
        <f t="shared" si="673"/>
        <v>#VALUE!</v>
      </c>
      <c r="X1128" s="3" t="str">
        <f>INDEX(DistFuncAllocOptions,ROW(A1128)-ROW($A$92)+1,[4]Inputs!$S$11)</f>
        <v>PLNT</v>
      </c>
      <c r="Y1128" s="116" t="e">
        <f t="shared" si="674"/>
        <v>#VALUE!</v>
      </c>
      <c r="Z1128" s="116" t="e">
        <f t="shared" si="674"/>
        <v>#VALUE!</v>
      </c>
      <c r="AA1128" s="116" t="e">
        <f t="shared" si="674"/>
        <v>#VALUE!</v>
      </c>
      <c r="AB1128" s="116" t="e">
        <f t="shared" si="674"/>
        <v>#VALUE!</v>
      </c>
      <c r="AC1128" s="116" t="e">
        <f t="shared" si="674"/>
        <v>#VALUE!</v>
      </c>
      <c r="AD1128" s="117" t="e">
        <f t="shared" si="675"/>
        <v>#VALUE!</v>
      </c>
      <c r="AE1128" s="117" t="e">
        <f t="shared" si="676"/>
        <v>#VALUE!</v>
      </c>
      <c r="AF1128" s="117" t="e">
        <f t="shared" si="677"/>
        <v>#VALUE!</v>
      </c>
      <c r="AG1128" s="117" t="e">
        <f t="shared" si="678"/>
        <v>#VALUE!</v>
      </c>
      <c r="AH1128" s="116"/>
      <c r="AI1128" t="str">
        <f t="shared" si="594"/>
        <v>SCHMDT</v>
      </c>
      <c r="AJ1128" t="str">
        <f t="shared" si="662"/>
        <v>SG</v>
      </c>
      <c r="AK1128" t="str">
        <f>IF(ISERROR(MATCH(AI1128&amp;"."&amp;AJ1128,AK$91:AK1127,0)),AI1128&amp;"."&amp;AJ1128,AI1128&amp;"."&amp;AJ1128&amp;COUNTIFS(AI$91:AI1127,AI1128,AJ$91:AJ1127,AJ1128))</f>
        <v>SCHMDT.SG</v>
      </c>
    </row>
    <row r="1129" spans="1:37" ht="15" hidden="1">
      <c r="A1129" s="120">
        <f>ROW()</f>
        <v>1129</v>
      </c>
      <c r="B1129" s="120"/>
      <c r="C1129" s="120"/>
      <c r="D1129" s="150"/>
      <c r="E1129" s="121" t="s">
        <v>17</v>
      </c>
      <c r="F1129" s="138" t="str">
        <f>INDEX(FuncAllocOptions,ROW(A1129)-ROW($A$92)+1,[4]Inputs!$S$11)</f>
        <v>CUST</v>
      </c>
      <c r="G1129" s="117" t="e">
        <f t="shared" si="664"/>
        <v>#VALUE!</v>
      </c>
      <c r="H1129" s="116" t="e">
        <f t="shared" si="665"/>
        <v>#VALUE!</v>
      </c>
      <c r="I1129" s="116" t="e">
        <f t="shared" si="665"/>
        <v>#VALUE!</v>
      </c>
      <c r="J1129" s="116" t="e">
        <f t="shared" si="665"/>
        <v>#VALUE!</v>
      </c>
      <c r="K1129" s="116" t="e">
        <f t="shared" si="665"/>
        <v>#VALUE!</v>
      </c>
      <c r="L1129" s="116" t="e">
        <f t="shared" si="665"/>
        <v>#VALUE!</v>
      </c>
      <c r="N1129" s="108">
        <v>0.75</v>
      </c>
      <c r="O1129" s="116" t="e">
        <f t="shared" si="666"/>
        <v>#VALUE!</v>
      </c>
      <c r="P1129" s="116" t="e">
        <f t="shared" si="667"/>
        <v>#VALUE!</v>
      </c>
      <c r="Q1129" s="116" t="e">
        <f t="shared" si="668"/>
        <v>#VALUE!</v>
      </c>
      <c r="R1129" s="116" t="e">
        <f t="shared" si="669"/>
        <v>#VALUE!</v>
      </c>
      <c r="S1129" s="108">
        <v>0.75</v>
      </c>
      <c r="T1129" s="116" t="e">
        <f t="shared" si="670"/>
        <v>#VALUE!</v>
      </c>
      <c r="U1129" s="116" t="e">
        <f t="shared" si="671"/>
        <v>#VALUE!</v>
      </c>
      <c r="V1129" s="116" t="e">
        <f t="shared" si="672"/>
        <v>#VALUE!</v>
      </c>
      <c r="W1129" s="116" t="e">
        <f t="shared" si="673"/>
        <v>#VALUE!</v>
      </c>
      <c r="X1129" s="3" t="str">
        <f>INDEX(DistFuncAllocOptions,ROW(A1129)-ROW($A$92)+1,[4]Inputs!$S$11)</f>
        <v>CUST</v>
      </c>
      <c r="Y1129" s="116" t="e">
        <f t="shared" si="674"/>
        <v>#VALUE!</v>
      </c>
      <c r="Z1129" s="116" t="e">
        <f t="shared" si="674"/>
        <v>#VALUE!</v>
      </c>
      <c r="AA1129" s="116" t="e">
        <f t="shared" si="674"/>
        <v>#VALUE!</v>
      </c>
      <c r="AB1129" s="116" t="e">
        <f t="shared" si="674"/>
        <v>#VALUE!</v>
      </c>
      <c r="AC1129" s="116" t="e">
        <f t="shared" si="674"/>
        <v>#VALUE!</v>
      </c>
      <c r="AD1129" s="117" t="e">
        <f t="shared" si="675"/>
        <v>#VALUE!</v>
      </c>
      <c r="AE1129" s="117" t="e">
        <f t="shared" si="676"/>
        <v>#VALUE!</v>
      </c>
      <c r="AF1129" s="117" t="e">
        <f t="shared" si="677"/>
        <v>#VALUE!</v>
      </c>
      <c r="AG1129" s="117" t="e">
        <f t="shared" si="678"/>
        <v>#VALUE!</v>
      </c>
      <c r="AH1129" s="116"/>
      <c r="AI1129" t="str">
        <f t="shared" si="594"/>
        <v>SCHMDT</v>
      </c>
      <c r="AJ1129" t="str">
        <f t="shared" si="662"/>
        <v>DGP</v>
      </c>
      <c r="AK1129" t="str">
        <f>IF(ISERROR(MATCH(AI1129&amp;"."&amp;AJ1129,AK$91:AK1128,0)),AI1129&amp;"."&amp;AJ1129,AI1129&amp;"."&amp;AJ1129&amp;COUNTIFS(AI$91:AI1128,AI1129,AJ$91:AJ1128,AJ1129))</f>
        <v>SCHMDT.DGP</v>
      </c>
    </row>
    <row r="1130" spans="1:37" ht="15" hidden="1">
      <c r="A1130" s="120">
        <f>ROW()</f>
        <v>1130</v>
      </c>
      <c r="B1130" s="120"/>
      <c r="C1130" s="120"/>
      <c r="D1130" s="150"/>
      <c r="E1130" s="121" t="s">
        <v>16</v>
      </c>
      <c r="F1130" s="138" t="str">
        <f>INDEX(FuncAllocOptions,ROW(A1130)-ROW($A$92)+1,[4]Inputs!$S$11)</f>
        <v>P</v>
      </c>
      <c r="G1130" s="117" t="e">
        <f t="shared" si="664"/>
        <v>#VALUE!</v>
      </c>
      <c r="H1130" s="116" t="e">
        <f t="shared" si="665"/>
        <v>#VALUE!</v>
      </c>
      <c r="I1130" s="116" t="e">
        <f t="shared" si="665"/>
        <v>#VALUE!</v>
      </c>
      <c r="J1130" s="116" t="e">
        <f t="shared" si="665"/>
        <v>#VALUE!</v>
      </c>
      <c r="K1130" s="116" t="e">
        <f t="shared" si="665"/>
        <v>#VALUE!</v>
      </c>
      <c r="L1130" s="116" t="e">
        <f t="shared" si="665"/>
        <v>#VALUE!</v>
      </c>
      <c r="N1130" s="108">
        <v>0</v>
      </c>
      <c r="O1130" s="116" t="e">
        <f t="shared" si="666"/>
        <v>#VALUE!</v>
      </c>
      <c r="P1130" s="116" t="e">
        <f t="shared" si="667"/>
        <v>#VALUE!</v>
      </c>
      <c r="Q1130" s="116" t="e">
        <f t="shared" si="668"/>
        <v>#VALUE!</v>
      </c>
      <c r="R1130" s="116" t="e">
        <f t="shared" si="669"/>
        <v>#VALUE!</v>
      </c>
      <c r="S1130" s="108">
        <v>0</v>
      </c>
      <c r="T1130" s="116" t="e">
        <f t="shared" si="670"/>
        <v>#VALUE!</v>
      </c>
      <c r="U1130" s="116" t="e">
        <f t="shared" si="671"/>
        <v>#VALUE!</v>
      </c>
      <c r="V1130" s="116" t="e">
        <f t="shared" si="672"/>
        <v>#VALUE!</v>
      </c>
      <c r="W1130" s="116" t="e">
        <f t="shared" si="673"/>
        <v>#VALUE!</v>
      </c>
      <c r="X1130" s="3" t="str">
        <f>INDEX(DistFuncAllocOptions,ROW(A1130)-ROW($A$92)+1,[4]Inputs!$S$11)</f>
        <v>DRB</v>
      </c>
      <c r="Y1130" s="116" t="e">
        <f t="shared" si="674"/>
        <v>#VALUE!</v>
      </c>
      <c r="Z1130" s="116" t="e">
        <f t="shared" si="674"/>
        <v>#VALUE!</v>
      </c>
      <c r="AA1130" s="116" t="e">
        <f t="shared" si="674"/>
        <v>#VALUE!</v>
      </c>
      <c r="AB1130" s="116" t="e">
        <f t="shared" si="674"/>
        <v>#VALUE!</v>
      </c>
      <c r="AC1130" s="116" t="e">
        <f t="shared" si="674"/>
        <v>#VALUE!</v>
      </c>
      <c r="AD1130" s="117" t="e">
        <f t="shared" si="675"/>
        <v>#VALUE!</v>
      </c>
      <c r="AE1130" s="117" t="e">
        <f t="shared" si="676"/>
        <v>#VALUE!</v>
      </c>
      <c r="AF1130" s="117" t="e">
        <f t="shared" si="677"/>
        <v>#VALUE!</v>
      </c>
      <c r="AG1130" s="117" t="e">
        <f t="shared" si="678"/>
        <v>#VALUE!</v>
      </c>
      <c r="AH1130" s="116"/>
      <c r="AI1130" t="str">
        <f t="shared" si="594"/>
        <v>SCHMDT</v>
      </c>
      <c r="AJ1130" t="str">
        <f t="shared" si="662"/>
        <v>SE</v>
      </c>
      <c r="AK1130" t="str">
        <f>IF(ISERROR(MATCH(AI1130&amp;"."&amp;AJ1130,AK$91:AK1129,0)),AI1130&amp;"."&amp;AJ1130,AI1130&amp;"."&amp;AJ1130&amp;COUNTIFS(AI$91:AI1129,AI1130,AJ$91:AJ1129,AJ1130))</f>
        <v>SCHMDT.SE</v>
      </c>
    </row>
    <row r="1131" spans="1:37" ht="15" hidden="1">
      <c r="A1131" s="120">
        <f>ROW()</f>
        <v>1131</v>
      </c>
      <c r="B1131" s="120"/>
      <c r="C1131" s="120"/>
      <c r="D1131" s="150"/>
      <c r="E1131" s="121" t="s">
        <v>15</v>
      </c>
      <c r="F1131" s="138" t="str">
        <f>INDEX(FuncAllocOptions,ROW(A1131)-ROW($A$92)+1,[4]Inputs!$S$11)</f>
        <v>SCHMDT-SG</v>
      </c>
      <c r="G1131" s="117" t="e">
        <f t="shared" si="664"/>
        <v>#VALUE!</v>
      </c>
      <c r="H1131" s="116" t="e">
        <f t="shared" si="665"/>
        <v>#VALUE!</v>
      </c>
      <c r="I1131" s="116" t="e">
        <f t="shared" si="665"/>
        <v>#VALUE!</v>
      </c>
      <c r="J1131" s="116" t="e">
        <f t="shared" si="665"/>
        <v>#VALUE!</v>
      </c>
      <c r="K1131" s="116" t="e">
        <f t="shared" si="665"/>
        <v>#VALUE!</v>
      </c>
      <c r="L1131" s="116" t="e">
        <f t="shared" si="665"/>
        <v>#VALUE!</v>
      </c>
      <c r="N1131" s="108">
        <v>0.75</v>
      </c>
      <c r="O1131" s="116" t="e">
        <f t="shared" si="666"/>
        <v>#VALUE!</v>
      </c>
      <c r="P1131" s="116" t="e">
        <f t="shared" si="667"/>
        <v>#VALUE!</v>
      </c>
      <c r="Q1131" s="116" t="e">
        <f t="shared" si="668"/>
        <v>#VALUE!</v>
      </c>
      <c r="R1131" s="116" t="e">
        <f t="shared" si="669"/>
        <v>#VALUE!</v>
      </c>
      <c r="S1131" s="108">
        <v>0.75</v>
      </c>
      <c r="T1131" s="116" t="e">
        <f t="shared" si="670"/>
        <v>#VALUE!</v>
      </c>
      <c r="U1131" s="116" t="e">
        <f t="shared" si="671"/>
        <v>#VALUE!</v>
      </c>
      <c r="V1131" s="116" t="e">
        <f t="shared" si="672"/>
        <v>#VALUE!</v>
      </c>
      <c r="W1131" s="116" t="e">
        <f t="shared" si="673"/>
        <v>#VALUE!</v>
      </c>
      <c r="X1131" s="3" t="str">
        <f>INDEX(DistFuncAllocOptions,ROW(A1131)-ROW($A$92)+1,[4]Inputs!$S$11)</f>
        <v>DRB</v>
      </c>
      <c r="Y1131" s="116" t="e">
        <f t="shared" si="674"/>
        <v>#VALUE!</v>
      </c>
      <c r="Z1131" s="116" t="e">
        <f t="shared" si="674"/>
        <v>#VALUE!</v>
      </c>
      <c r="AA1131" s="116" t="e">
        <f t="shared" si="674"/>
        <v>#VALUE!</v>
      </c>
      <c r="AB1131" s="116" t="e">
        <f t="shared" si="674"/>
        <v>#VALUE!</v>
      </c>
      <c r="AC1131" s="116" t="e">
        <f t="shared" si="674"/>
        <v>#VALUE!</v>
      </c>
      <c r="AD1131" s="117" t="e">
        <f t="shared" si="675"/>
        <v>#VALUE!</v>
      </c>
      <c r="AE1131" s="117" t="e">
        <f t="shared" si="676"/>
        <v>#VALUE!</v>
      </c>
      <c r="AF1131" s="117" t="e">
        <f t="shared" si="677"/>
        <v>#VALUE!</v>
      </c>
      <c r="AG1131" s="117" t="e">
        <f t="shared" si="678"/>
        <v>#VALUE!</v>
      </c>
      <c r="AH1131" s="116"/>
      <c r="AI1131" t="str">
        <f t="shared" si="594"/>
        <v>SCHMDT</v>
      </c>
      <c r="AJ1131" t="str">
        <f t="shared" si="662"/>
        <v>SG</v>
      </c>
      <c r="AK1131" t="str">
        <f>IF(ISERROR(MATCH(AI1131&amp;"."&amp;AJ1131,AK$91:AK1130,0)),AI1131&amp;"."&amp;AJ1131,AI1131&amp;"."&amp;AJ1131&amp;COUNTIFS(AI$91:AI1130,AI1131,AJ$91:AJ1130,AJ1131))</f>
        <v>SCHMDT.SG1</v>
      </c>
    </row>
    <row r="1132" spans="1:37" ht="15" hidden="1">
      <c r="A1132" s="120">
        <f>ROW()</f>
        <v>1132</v>
      </c>
      <c r="B1132" s="120"/>
      <c r="C1132" s="120"/>
      <c r="D1132" s="150"/>
      <c r="E1132" s="121" t="s">
        <v>423</v>
      </c>
      <c r="F1132" s="138" t="str">
        <f>INDEX(FuncAllocOptions,ROW(A1132)-ROW($A$92)+1,[4]Inputs!$S$11)</f>
        <v>SCHMDT-GPS</v>
      </c>
      <c r="G1132" s="117" t="e">
        <f t="shared" si="664"/>
        <v>#VALUE!</v>
      </c>
      <c r="H1132" s="116" t="e">
        <f t="shared" si="665"/>
        <v>#VALUE!</v>
      </c>
      <c r="I1132" s="116" t="e">
        <f t="shared" si="665"/>
        <v>#VALUE!</v>
      </c>
      <c r="J1132" s="116" t="e">
        <f t="shared" si="665"/>
        <v>#VALUE!</v>
      </c>
      <c r="K1132" s="116" t="e">
        <f t="shared" si="665"/>
        <v>#VALUE!</v>
      </c>
      <c r="L1132" s="116" t="e">
        <f t="shared" si="665"/>
        <v>#VALUE!</v>
      </c>
      <c r="N1132" s="108">
        <v>0.75</v>
      </c>
      <c r="O1132" s="116" t="e">
        <f t="shared" si="666"/>
        <v>#VALUE!</v>
      </c>
      <c r="P1132" s="116" t="e">
        <f t="shared" si="667"/>
        <v>#VALUE!</v>
      </c>
      <c r="Q1132" s="116" t="e">
        <f t="shared" si="668"/>
        <v>#VALUE!</v>
      </c>
      <c r="R1132" s="116" t="e">
        <f t="shared" si="669"/>
        <v>#VALUE!</v>
      </c>
      <c r="S1132" s="108">
        <v>0.75</v>
      </c>
      <c r="T1132" s="116" t="e">
        <f t="shared" si="670"/>
        <v>#VALUE!</v>
      </c>
      <c r="U1132" s="116" t="e">
        <f t="shared" si="671"/>
        <v>#VALUE!</v>
      </c>
      <c r="V1132" s="116" t="e">
        <f t="shared" si="672"/>
        <v>#VALUE!</v>
      </c>
      <c r="W1132" s="116" t="e">
        <f t="shared" si="673"/>
        <v>#VALUE!</v>
      </c>
      <c r="X1132" s="3" t="str">
        <f>INDEX(DistFuncAllocOptions,ROW(A1132)-ROW($A$92)+1,[4]Inputs!$S$11)</f>
        <v>PLNT</v>
      </c>
      <c r="Y1132" s="116" t="e">
        <f t="shared" si="674"/>
        <v>#VALUE!</v>
      </c>
      <c r="Z1132" s="116" t="e">
        <f t="shared" si="674"/>
        <v>#VALUE!</v>
      </c>
      <c r="AA1132" s="116" t="e">
        <f t="shared" si="674"/>
        <v>#VALUE!</v>
      </c>
      <c r="AB1132" s="116" t="e">
        <f t="shared" si="674"/>
        <v>#VALUE!</v>
      </c>
      <c r="AC1132" s="116" t="e">
        <f t="shared" si="674"/>
        <v>#VALUE!</v>
      </c>
      <c r="AD1132" s="117" t="e">
        <f t="shared" si="675"/>
        <v>#VALUE!</v>
      </c>
      <c r="AE1132" s="117" t="e">
        <f t="shared" si="676"/>
        <v>#VALUE!</v>
      </c>
      <c r="AF1132" s="117" t="e">
        <f t="shared" si="677"/>
        <v>#VALUE!</v>
      </c>
      <c r="AG1132" s="117" t="e">
        <f t="shared" si="678"/>
        <v>#VALUE!</v>
      </c>
      <c r="AH1132" s="116"/>
      <c r="AI1132" t="str">
        <f t="shared" ref="AI1132:AI1195" si="679">IF(OR(C1132="",C1132=" ",C1132="  ",C1132="   "),AI1131,C1132)</f>
        <v>SCHMDT</v>
      </c>
      <c r="AJ1132" t="str">
        <f t="shared" si="662"/>
        <v>GPS</v>
      </c>
      <c r="AK1132" t="str">
        <f>IF(ISERROR(MATCH(AI1132&amp;"."&amp;AJ1132,AK$91:AK1131,0)),AI1132&amp;"."&amp;AJ1132,AI1132&amp;"."&amp;AJ1132&amp;COUNTIFS(AI$91:AI1131,AI1132,AJ$91:AJ1131,AJ1132))</f>
        <v>SCHMDT.GPS</v>
      </c>
    </row>
    <row r="1133" spans="1:37" ht="15" hidden="1">
      <c r="A1133" s="120">
        <f>ROW()</f>
        <v>1133</v>
      </c>
      <c r="B1133" s="120"/>
      <c r="C1133" s="120"/>
      <c r="D1133" s="150"/>
      <c r="E1133" s="121" t="s">
        <v>136</v>
      </c>
      <c r="F1133" s="138" t="str">
        <f>INDEX(FuncAllocOptions,ROW(A1133)-ROW($A$92)+1,[4]Inputs!$S$11)</f>
        <v>SCHMDT-SO</v>
      </c>
      <c r="G1133" s="117" t="e">
        <f t="shared" si="664"/>
        <v>#VALUE!</v>
      </c>
      <c r="H1133" s="116" t="e">
        <f t="shared" si="665"/>
        <v>#VALUE!</v>
      </c>
      <c r="I1133" s="116" t="e">
        <f t="shared" si="665"/>
        <v>#VALUE!</v>
      </c>
      <c r="J1133" s="116" t="e">
        <f t="shared" si="665"/>
        <v>#VALUE!</v>
      </c>
      <c r="K1133" s="116" t="e">
        <f t="shared" si="665"/>
        <v>#VALUE!</v>
      </c>
      <c r="L1133" s="116" t="e">
        <f t="shared" si="665"/>
        <v>#VALUE!</v>
      </c>
      <c r="N1133" s="108">
        <v>0.75</v>
      </c>
      <c r="O1133" s="116" t="e">
        <f t="shared" si="666"/>
        <v>#VALUE!</v>
      </c>
      <c r="P1133" s="116" t="e">
        <f t="shared" si="667"/>
        <v>#VALUE!</v>
      </c>
      <c r="Q1133" s="116" t="e">
        <f t="shared" si="668"/>
        <v>#VALUE!</v>
      </c>
      <c r="R1133" s="116" t="e">
        <f t="shared" si="669"/>
        <v>#VALUE!</v>
      </c>
      <c r="S1133" s="108">
        <v>0.75</v>
      </c>
      <c r="T1133" s="116" t="e">
        <f t="shared" si="670"/>
        <v>#VALUE!</v>
      </c>
      <c r="U1133" s="116" t="e">
        <f t="shared" si="671"/>
        <v>#VALUE!</v>
      </c>
      <c r="V1133" s="116" t="e">
        <f t="shared" si="672"/>
        <v>#VALUE!</v>
      </c>
      <c r="W1133" s="116" t="e">
        <f t="shared" si="673"/>
        <v>#VALUE!</v>
      </c>
      <c r="X1133" s="3" t="str">
        <f>INDEX(DistFuncAllocOptions,ROW(A1133)-ROW($A$92)+1,[4]Inputs!$S$11)</f>
        <v>DISom</v>
      </c>
      <c r="Y1133" s="116" t="e">
        <f t="shared" si="674"/>
        <v>#VALUE!</v>
      </c>
      <c r="Z1133" s="116" t="e">
        <f t="shared" si="674"/>
        <v>#VALUE!</v>
      </c>
      <c r="AA1133" s="116" t="e">
        <f t="shared" si="674"/>
        <v>#VALUE!</v>
      </c>
      <c r="AB1133" s="116" t="e">
        <f t="shared" si="674"/>
        <v>#VALUE!</v>
      </c>
      <c r="AC1133" s="116" t="e">
        <f t="shared" si="674"/>
        <v>#VALUE!</v>
      </c>
      <c r="AD1133" s="117" t="e">
        <f t="shared" si="675"/>
        <v>#VALUE!</v>
      </c>
      <c r="AE1133" s="117" t="e">
        <f t="shared" si="676"/>
        <v>#VALUE!</v>
      </c>
      <c r="AF1133" s="117" t="e">
        <f t="shared" si="677"/>
        <v>#VALUE!</v>
      </c>
      <c r="AG1133" s="117" t="e">
        <f t="shared" si="678"/>
        <v>#VALUE!</v>
      </c>
      <c r="AH1133" s="116"/>
      <c r="AI1133" t="str">
        <f t="shared" si="679"/>
        <v>SCHMDT</v>
      </c>
      <c r="AJ1133" t="str">
        <f t="shared" si="662"/>
        <v>SO</v>
      </c>
      <c r="AK1133" t="str">
        <f>IF(ISERROR(MATCH(AI1133&amp;"."&amp;AJ1133,AK$91:AK1132,0)),AI1133&amp;"."&amp;AJ1133,AI1133&amp;"."&amp;AJ1133&amp;COUNTIFS(AI$91:AI1132,AI1133,AJ$91:AJ1132,AJ1133))</f>
        <v>SCHMDT.SO</v>
      </c>
    </row>
    <row r="1134" spans="1:37" ht="15" hidden="1">
      <c r="A1134" s="120">
        <f>ROW()</f>
        <v>1134</v>
      </c>
      <c r="B1134" s="120"/>
      <c r="C1134" s="120"/>
      <c r="D1134" s="150"/>
      <c r="E1134" s="121" t="s">
        <v>453</v>
      </c>
      <c r="F1134" s="138" t="str">
        <f>INDEX(FuncAllocOptions,ROW(A1134)-ROW($A$92)+1,[4]Inputs!$S$11)</f>
        <v>TAXDEPR</v>
      </c>
      <c r="G1134" s="117" t="e">
        <f t="shared" si="664"/>
        <v>#VALUE!</v>
      </c>
      <c r="H1134" s="116" t="e">
        <f t="shared" si="665"/>
        <v>#VALUE!</v>
      </c>
      <c r="I1134" s="116" t="e">
        <f t="shared" si="665"/>
        <v>#VALUE!</v>
      </c>
      <c r="J1134" s="116" t="e">
        <f t="shared" si="665"/>
        <v>#VALUE!</v>
      </c>
      <c r="K1134" s="116" t="e">
        <f t="shared" si="665"/>
        <v>#VALUE!</v>
      </c>
      <c r="L1134" s="116" t="e">
        <f t="shared" si="665"/>
        <v>#VALUE!</v>
      </c>
      <c r="N1134" s="108">
        <v>0.75</v>
      </c>
      <c r="O1134" s="116" t="e">
        <f t="shared" si="666"/>
        <v>#VALUE!</v>
      </c>
      <c r="P1134" s="116" t="e">
        <f t="shared" si="667"/>
        <v>#VALUE!</v>
      </c>
      <c r="Q1134" s="116" t="e">
        <f t="shared" si="668"/>
        <v>#VALUE!</v>
      </c>
      <c r="R1134" s="116" t="e">
        <f t="shared" si="669"/>
        <v>#VALUE!</v>
      </c>
      <c r="S1134" s="108">
        <v>0.75</v>
      </c>
      <c r="T1134" s="116" t="e">
        <f t="shared" si="670"/>
        <v>#VALUE!</v>
      </c>
      <c r="U1134" s="116" t="e">
        <f t="shared" si="671"/>
        <v>#VALUE!</v>
      </c>
      <c r="V1134" s="116" t="e">
        <f t="shared" si="672"/>
        <v>#VALUE!</v>
      </c>
      <c r="W1134" s="116" t="e">
        <f t="shared" si="673"/>
        <v>#VALUE!</v>
      </c>
      <c r="X1134" s="3" t="str">
        <f>INDEX(DistFuncAllocOptions,ROW(A1134)-ROW($A$92)+1,[4]Inputs!$S$11)</f>
        <v>DISom</v>
      </c>
      <c r="Y1134" s="116" t="e">
        <f t="shared" si="674"/>
        <v>#VALUE!</v>
      </c>
      <c r="Z1134" s="116" t="e">
        <f t="shared" si="674"/>
        <v>#VALUE!</v>
      </c>
      <c r="AA1134" s="116" t="e">
        <f t="shared" si="674"/>
        <v>#VALUE!</v>
      </c>
      <c r="AB1134" s="116" t="e">
        <f t="shared" si="674"/>
        <v>#VALUE!</v>
      </c>
      <c r="AC1134" s="116" t="e">
        <f t="shared" si="674"/>
        <v>#VALUE!</v>
      </c>
      <c r="AD1134" s="117" t="e">
        <f t="shared" si="675"/>
        <v>#VALUE!</v>
      </c>
      <c r="AE1134" s="117" t="e">
        <f t="shared" si="676"/>
        <v>#VALUE!</v>
      </c>
      <c r="AF1134" s="117" t="e">
        <f t="shared" si="677"/>
        <v>#VALUE!</v>
      </c>
      <c r="AG1134" s="117" t="e">
        <f t="shared" si="678"/>
        <v>#VALUE!</v>
      </c>
      <c r="AH1134" s="116"/>
      <c r="AI1134" t="str">
        <f t="shared" si="679"/>
        <v>SCHMDT</v>
      </c>
      <c r="AJ1134" t="str">
        <f t="shared" si="662"/>
        <v>TAXDEPR</v>
      </c>
      <c r="AK1134" t="str">
        <f>IF(ISERROR(MATCH(AI1134&amp;"."&amp;AJ1134,AK$91:AK1133,0)),AI1134&amp;"."&amp;AJ1134,AI1134&amp;"."&amp;AJ1134&amp;COUNTIFS(AI$91:AI1133,AI1134,AJ$91:AJ1133,AJ1134))</f>
        <v>SCHMDT.TAXDEPR</v>
      </c>
    </row>
    <row r="1135" spans="1:37" ht="15" hidden="1">
      <c r="A1135" s="120">
        <f>ROW()</f>
        <v>1135</v>
      </c>
      <c r="B1135" s="120"/>
      <c r="C1135" s="120"/>
      <c r="D1135" s="150"/>
      <c r="E1135" s="121" t="s">
        <v>321</v>
      </c>
      <c r="F1135" s="138" t="str">
        <f>INDEX(FuncAllocOptions,ROW(A1135)-ROW($A$92)+1,[4]Inputs!$S$11)</f>
        <v>DPW</v>
      </c>
      <c r="G1135" s="133" t="e">
        <f t="shared" si="664"/>
        <v>#VALUE!</v>
      </c>
      <c r="H1135" s="139" t="e">
        <f t="shared" si="665"/>
        <v>#VALUE!</v>
      </c>
      <c r="I1135" s="139" t="e">
        <f t="shared" si="665"/>
        <v>#VALUE!</v>
      </c>
      <c r="J1135" s="139" t="e">
        <f t="shared" si="665"/>
        <v>#VALUE!</v>
      </c>
      <c r="K1135" s="139" t="e">
        <f t="shared" si="665"/>
        <v>#VALUE!</v>
      </c>
      <c r="L1135" s="139" t="e">
        <f t="shared" si="665"/>
        <v>#VALUE!</v>
      </c>
      <c r="N1135" s="108">
        <v>0.75</v>
      </c>
      <c r="O1135" s="116" t="e">
        <f t="shared" si="666"/>
        <v>#VALUE!</v>
      </c>
      <c r="P1135" s="116" t="e">
        <f t="shared" si="667"/>
        <v>#VALUE!</v>
      </c>
      <c r="Q1135" s="116" t="e">
        <f t="shared" si="668"/>
        <v>#VALUE!</v>
      </c>
      <c r="R1135" s="116" t="e">
        <f t="shared" si="669"/>
        <v>#VALUE!</v>
      </c>
      <c r="S1135" s="108">
        <v>0.75</v>
      </c>
      <c r="T1135" s="116" t="e">
        <f t="shared" si="670"/>
        <v>#VALUE!</v>
      </c>
      <c r="U1135" s="116" t="e">
        <f t="shared" si="671"/>
        <v>#VALUE!</v>
      </c>
      <c r="V1135" s="116" t="e">
        <f t="shared" si="672"/>
        <v>#VALUE!</v>
      </c>
      <c r="W1135" s="116" t="e">
        <f t="shared" si="673"/>
        <v>#VALUE!</v>
      </c>
      <c r="X1135" s="3" t="str">
        <f>INDEX(DistFuncAllocOptions,ROW(A1135)-ROW($A$92)+1,[4]Inputs!$S$11)</f>
        <v>PLNT</v>
      </c>
      <c r="Y1135" s="116" t="e">
        <f t="shared" si="674"/>
        <v>#VALUE!</v>
      </c>
      <c r="Z1135" s="116" t="e">
        <f t="shared" si="674"/>
        <v>#VALUE!</v>
      </c>
      <c r="AA1135" s="116" t="e">
        <f t="shared" si="674"/>
        <v>#VALUE!</v>
      </c>
      <c r="AB1135" s="116" t="e">
        <f t="shared" si="674"/>
        <v>#VALUE!</v>
      </c>
      <c r="AC1135" s="116" t="e">
        <f t="shared" si="674"/>
        <v>#VALUE!</v>
      </c>
      <c r="AD1135" s="117" t="e">
        <f t="shared" si="675"/>
        <v>#VALUE!</v>
      </c>
      <c r="AE1135" s="117" t="e">
        <f t="shared" si="676"/>
        <v>#VALUE!</v>
      </c>
      <c r="AF1135" s="117" t="e">
        <f t="shared" si="677"/>
        <v>#VALUE!</v>
      </c>
      <c r="AG1135" s="117" t="e">
        <f t="shared" si="678"/>
        <v>#VALUE!</v>
      </c>
      <c r="AH1135" s="116"/>
      <c r="AI1135" t="str">
        <f t="shared" si="679"/>
        <v>SCHMDT</v>
      </c>
      <c r="AJ1135" t="str">
        <f t="shared" si="662"/>
        <v>SNPD</v>
      </c>
      <c r="AK1135" t="str">
        <f>IF(ISERROR(MATCH(AI1135&amp;"."&amp;AJ1135,AK$91:AK1134,0)),AI1135&amp;"."&amp;AJ1135,AI1135&amp;"."&amp;AJ1135&amp;COUNTIFS(AI$91:AI1134,AI1135,AJ$91:AJ1134,AJ1135))</f>
        <v>SCHMDT.SNPD</v>
      </c>
    </row>
    <row r="1136" spans="1:37" ht="15" hidden="1">
      <c r="A1136" s="120">
        <f>ROW()</f>
        <v>1136</v>
      </c>
      <c r="B1136" s="120"/>
      <c r="C1136" s="120"/>
      <c r="D1136" s="150"/>
      <c r="E1136" s="121"/>
      <c r="F1136" s="138"/>
      <c r="G1136" s="117" t="e">
        <f t="shared" ref="G1136:L1136" si="680">SUM(G1124:G1135)</f>
        <v>#VALUE!</v>
      </c>
      <c r="H1136" s="116" t="e">
        <f t="shared" si="680"/>
        <v>#VALUE!</v>
      </c>
      <c r="I1136" s="116" t="e">
        <f t="shared" si="680"/>
        <v>#VALUE!</v>
      </c>
      <c r="J1136" s="116" t="e">
        <f t="shared" si="680"/>
        <v>#VALUE!</v>
      </c>
      <c r="K1136" s="116" t="e">
        <f t="shared" si="680"/>
        <v>#VALUE!</v>
      </c>
      <c r="L1136" s="116" t="e">
        <f t="shared" si="680"/>
        <v>#VALUE!</v>
      </c>
      <c r="O1136" s="116" t="e">
        <f>SUM(O1124:O1135)</f>
        <v>#VALUE!</v>
      </c>
      <c r="P1136" s="116" t="e">
        <f>SUM(P1124:P1135)</f>
        <v>#VALUE!</v>
      </c>
      <c r="Q1136" s="116" t="e">
        <f>SUM(Q1124:Q1135)</f>
        <v>#VALUE!</v>
      </c>
      <c r="R1136" s="116" t="e">
        <f>SUM(R1124:R1135)</f>
        <v>#VALUE!</v>
      </c>
      <c r="S1136" s="116"/>
      <c r="T1136" s="116" t="e">
        <f>SUM(T1124:T1135)</f>
        <v>#VALUE!</v>
      </c>
      <c r="U1136" s="116" t="e">
        <f>SUM(U1124:U1135)</f>
        <v>#VALUE!</v>
      </c>
      <c r="V1136" s="116" t="e">
        <f>SUM(V1124:V1135)</f>
        <v>#VALUE!</v>
      </c>
      <c r="W1136" s="116" t="e">
        <f>SUM(W1124:W1135)</f>
        <v>#VALUE!</v>
      </c>
      <c r="X1136" s="3"/>
      <c r="Y1136" s="116" t="e">
        <f>SUM(Y1124:Y1135)</f>
        <v>#VALUE!</v>
      </c>
      <c r="Z1136" s="116" t="e">
        <f>SUM(Z1124:Z1135)</f>
        <v>#VALUE!</v>
      </c>
      <c r="AA1136" s="116" t="e">
        <f>SUM(AA1124:AA1135)</f>
        <v>#VALUE!</v>
      </c>
      <c r="AB1136" s="116" t="e">
        <f>SUM(AB1124:AB1135)</f>
        <v>#VALUE!</v>
      </c>
      <c r="AC1136" s="116" t="e">
        <f>SUM(AC1124:AC1135)</f>
        <v>#VALUE!</v>
      </c>
      <c r="AD1136" s="117"/>
      <c r="AE1136" s="117"/>
      <c r="AF1136" s="117"/>
      <c r="AG1136" s="117"/>
      <c r="AH1136" s="116"/>
      <c r="AI1136" t="str">
        <f t="shared" si="679"/>
        <v>SCHMDT</v>
      </c>
      <c r="AJ1136" t="str">
        <f t="shared" si="662"/>
        <v>NA</v>
      </c>
      <c r="AK1136" t="str">
        <f>IF(ISERROR(MATCH(AI1136&amp;"."&amp;AJ1136,AK$91:AK1135,0)),AI1136&amp;"."&amp;AJ1136,AI1136&amp;"."&amp;AJ1136&amp;COUNTIFS(AI$91:AI1135,AI1136,AJ$91:AJ1135,AJ1136))</f>
        <v>SCHMDT.NA1</v>
      </c>
    </row>
    <row r="1137" spans="1:37" ht="15" hidden="1">
      <c r="A1137" s="120">
        <f>ROW()</f>
        <v>1137</v>
      </c>
      <c r="B1137" s="120"/>
      <c r="C1137" s="172"/>
      <c r="D1137" s="150"/>
      <c r="E1137" s="121"/>
      <c r="F1137" s="138"/>
      <c r="G1137" s="117"/>
      <c r="H1137" s="116"/>
      <c r="I1137" s="116"/>
      <c r="J1137" s="116"/>
      <c r="K1137" s="116"/>
      <c r="L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X1137" s="3"/>
      <c r="Y1137" s="116"/>
      <c r="Z1137" s="116"/>
      <c r="AA1137" s="116"/>
      <c r="AB1137" s="116"/>
      <c r="AC1137" s="116"/>
      <c r="AD1137" s="117"/>
      <c r="AE1137" s="117"/>
      <c r="AF1137" s="117"/>
      <c r="AG1137" s="117"/>
      <c r="AH1137" s="116"/>
      <c r="AI1137" t="str">
        <f t="shared" si="679"/>
        <v>SCHMDT</v>
      </c>
      <c r="AJ1137" t="str">
        <f t="shared" si="662"/>
        <v>NA</v>
      </c>
      <c r="AK1137" t="str">
        <f>IF(ISERROR(MATCH(AI1137&amp;"."&amp;AJ1137,AK$91:AK1136,0)),AI1137&amp;"."&amp;AJ1137,AI1137&amp;"."&amp;AJ1137&amp;COUNTIFS(AI$91:AI1136,AI1137,AJ$91:AJ1136,AJ1137))</f>
        <v>SCHMDT.NA2</v>
      </c>
    </row>
    <row r="1138" spans="1:37" ht="15.75" hidden="1" thickBot="1">
      <c r="A1138" s="120">
        <f>ROW()</f>
        <v>1138</v>
      </c>
      <c r="B1138" s="120"/>
      <c r="C1138" s="168" t="s">
        <v>475</v>
      </c>
      <c r="D1138" s="150"/>
      <c r="E1138" s="121"/>
      <c r="F1138" s="138"/>
      <c r="G1138" s="155" t="e">
        <f t="shared" ref="G1138:L1138" si="681">G1136+G1121</f>
        <v>#VALUE!</v>
      </c>
      <c r="H1138" s="154" t="e">
        <f t="shared" si="681"/>
        <v>#VALUE!</v>
      </c>
      <c r="I1138" s="154" t="e">
        <f t="shared" si="681"/>
        <v>#VALUE!</v>
      </c>
      <c r="J1138" s="154" t="e">
        <f t="shared" si="681"/>
        <v>#VALUE!</v>
      </c>
      <c r="K1138" s="154" t="e">
        <f t="shared" si="681"/>
        <v>#VALUE!</v>
      </c>
      <c r="L1138" s="154" t="e">
        <f t="shared" si="681"/>
        <v>#VALUE!</v>
      </c>
      <c r="O1138" s="116" t="e">
        <f>O1136+O1121</f>
        <v>#VALUE!</v>
      </c>
      <c r="P1138" s="116" t="e">
        <f>P1136+P1121</f>
        <v>#VALUE!</v>
      </c>
      <c r="Q1138" s="116" t="e">
        <f>Q1136+Q1121</f>
        <v>#VALUE!</v>
      </c>
      <c r="R1138" s="116" t="e">
        <f>R1136+R1121</f>
        <v>#VALUE!</v>
      </c>
      <c r="S1138" s="116"/>
      <c r="T1138" s="116" t="e">
        <f>T1136+T1121</f>
        <v>#VALUE!</v>
      </c>
      <c r="U1138" s="116" t="e">
        <f>U1136+U1121</f>
        <v>#VALUE!</v>
      </c>
      <c r="V1138" s="116" t="e">
        <f>V1136+V1121</f>
        <v>#VALUE!</v>
      </c>
      <c r="W1138" s="116" t="e">
        <f>W1136+W1121</f>
        <v>#VALUE!</v>
      </c>
      <c r="X1138" s="3"/>
      <c r="Y1138" s="116" t="e">
        <f>Y1136+Y1121</f>
        <v>#VALUE!</v>
      </c>
      <c r="Z1138" s="116" t="e">
        <f>Z1136+Z1121</f>
        <v>#VALUE!</v>
      </c>
      <c r="AA1138" s="116" t="e">
        <f>AA1136+AA1121</f>
        <v>#VALUE!</v>
      </c>
      <c r="AB1138" s="116" t="e">
        <f>AB1136+AB1121</f>
        <v>#VALUE!</v>
      </c>
      <c r="AC1138" s="116" t="e">
        <f>AC1136+AC1121</f>
        <v>#VALUE!</v>
      </c>
      <c r="AD1138" s="117" t="e">
        <f>ROUND(SUM(-G1138,H1138:L1138),0)</f>
        <v>#VALUE!</v>
      </c>
      <c r="AE1138" s="117" t="e">
        <f>ROUND(H1138-O1138-P1138-Q1138-R1138,0)</f>
        <v>#VALUE!</v>
      </c>
      <c r="AF1138" s="117" t="e">
        <f>ROUND(I1138-T1138-U1138-V1138-W1138,0)</f>
        <v>#VALUE!</v>
      </c>
      <c r="AG1138" s="117" t="e">
        <f>ROUND(J1138-Y1138-Z1138-AA1138-AC1138-AB1138,0)</f>
        <v>#VALUE!</v>
      </c>
      <c r="AH1138" s="116"/>
      <c r="AI1138" t="str">
        <f t="shared" si="679"/>
        <v>TOTAL SCHEDULE - M DEDUCTIONS</v>
      </c>
      <c r="AJ1138" t="str">
        <f t="shared" si="662"/>
        <v>NA</v>
      </c>
      <c r="AK1138" t="str">
        <f>IF(ISERROR(MATCH(AI1138&amp;"."&amp;AJ1138,AK$91:AK1137,0)),AI1138&amp;"."&amp;AJ1138,AI1138&amp;"."&amp;AJ1138&amp;COUNTIFS(AI$91:AI1137,AI1138,AJ$91:AJ1137,AJ1138))</f>
        <v>TOTAL SCHEDULE - M DEDUCTIONS.NA</v>
      </c>
    </row>
    <row r="1139" spans="1:37" ht="15" hidden="1">
      <c r="A1139" s="120">
        <f>ROW()</f>
        <v>1139</v>
      </c>
      <c r="B1139" s="120"/>
      <c r="C1139" s="120"/>
      <c r="D1139" s="150"/>
      <c r="E1139" s="121"/>
      <c r="F1139" s="138"/>
      <c r="G1139" s="117"/>
      <c r="H1139" s="116"/>
      <c r="I1139" s="116"/>
      <c r="J1139" s="116"/>
      <c r="K1139" s="116"/>
      <c r="L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X1139" s="3"/>
      <c r="Y1139" s="116"/>
      <c r="Z1139" s="116"/>
      <c r="AA1139" s="116"/>
      <c r="AB1139" s="116"/>
      <c r="AC1139" s="116"/>
      <c r="AD1139" s="117"/>
      <c r="AE1139" s="117"/>
      <c r="AF1139" s="117"/>
      <c r="AG1139" s="117"/>
      <c r="AH1139" s="116"/>
      <c r="AI1139" t="str">
        <f t="shared" si="679"/>
        <v>TOTAL SCHEDULE - M DEDUCTIONS</v>
      </c>
      <c r="AJ1139" t="str">
        <f t="shared" si="662"/>
        <v>NA</v>
      </c>
      <c r="AK1139" t="str">
        <f>IF(ISERROR(MATCH(AI1139&amp;"."&amp;AJ1139,AK$91:AK1138,0)),AI1139&amp;"."&amp;AJ1139,AI1139&amp;"."&amp;AJ1139&amp;COUNTIFS(AI$91:AI1138,AI1139,AJ$91:AJ1138,AJ1139))</f>
        <v>TOTAL SCHEDULE - M DEDUCTIONS.NA1</v>
      </c>
    </row>
    <row r="1140" spans="1:37" ht="15.75" hidden="1" thickBot="1">
      <c r="A1140" s="120">
        <f>ROW()</f>
        <v>1140</v>
      </c>
      <c r="B1140" s="120"/>
      <c r="C1140" s="168" t="s">
        <v>476</v>
      </c>
      <c r="D1140" s="150"/>
      <c r="E1140" s="121"/>
      <c r="F1140" s="138"/>
      <c r="G1140" s="153" t="e">
        <f t="shared" ref="G1140:L1140" si="682">G1107-G1138</f>
        <v>#VALUE!</v>
      </c>
      <c r="H1140" s="152" t="e">
        <f t="shared" si="682"/>
        <v>#VALUE!</v>
      </c>
      <c r="I1140" s="152" t="e">
        <f t="shared" si="682"/>
        <v>#VALUE!</v>
      </c>
      <c r="J1140" s="152" t="e">
        <f t="shared" si="682"/>
        <v>#VALUE!</v>
      </c>
      <c r="K1140" s="152" t="e">
        <f t="shared" si="682"/>
        <v>#VALUE!</v>
      </c>
      <c r="L1140" s="152" t="e">
        <f t="shared" si="682"/>
        <v>#VALUE!</v>
      </c>
      <c r="O1140" s="116" t="e">
        <f>O1107-O1138</f>
        <v>#VALUE!</v>
      </c>
      <c r="P1140" s="116" t="e">
        <f>P1107-P1138</f>
        <v>#VALUE!</v>
      </c>
      <c r="Q1140" s="116" t="e">
        <f>Q1107-Q1138</f>
        <v>#VALUE!</v>
      </c>
      <c r="R1140" s="116" t="e">
        <f>R1107-R1138</f>
        <v>#VALUE!</v>
      </c>
      <c r="S1140" s="116"/>
      <c r="T1140" s="116" t="e">
        <f>T1107-T1138</f>
        <v>#VALUE!</v>
      </c>
      <c r="U1140" s="116" t="e">
        <f>U1107-U1138</f>
        <v>#VALUE!</v>
      </c>
      <c r="V1140" s="116" t="e">
        <f>V1107-V1138</f>
        <v>#VALUE!</v>
      </c>
      <c r="W1140" s="116" t="e">
        <f>W1107-W1138</f>
        <v>#VALUE!</v>
      </c>
      <c r="X1140" s="3"/>
      <c r="Y1140" s="116" t="e">
        <f>Y1107-Y1138</f>
        <v>#VALUE!</v>
      </c>
      <c r="Z1140" s="116" t="e">
        <f>Z1107-Z1138</f>
        <v>#VALUE!</v>
      </c>
      <c r="AA1140" s="116" t="e">
        <f>AA1107-AA1138</f>
        <v>#VALUE!</v>
      </c>
      <c r="AB1140" s="116" t="e">
        <f>AB1107-AB1138</f>
        <v>#VALUE!</v>
      </c>
      <c r="AC1140" s="116" t="e">
        <f>AC1107-AC1138</f>
        <v>#VALUE!</v>
      </c>
      <c r="AD1140" s="117" t="e">
        <f>ROUND(SUM(-G1140,H1140:L1140),0)</f>
        <v>#VALUE!</v>
      </c>
      <c r="AE1140" s="117" t="e">
        <f>ROUND(H1140-O1140-P1140-Q1140-R1140,0)</f>
        <v>#VALUE!</v>
      </c>
      <c r="AF1140" s="117" t="e">
        <f>ROUND(I1140-T1140-U1140-V1140-W1140,0)</f>
        <v>#VALUE!</v>
      </c>
      <c r="AG1140" s="117" t="e">
        <f>ROUND(J1140-Y1140-Z1140-AA1140-AC1140-AB1140,0)</f>
        <v>#VALUE!</v>
      </c>
      <c r="AH1140" s="116"/>
      <c r="AI1140" t="str">
        <f t="shared" si="679"/>
        <v>TOTAL SCHEDULE - M ADJUSTMENTS</v>
      </c>
      <c r="AJ1140" t="str">
        <f t="shared" si="662"/>
        <v>NA</v>
      </c>
      <c r="AK1140" t="str">
        <f>IF(ISERROR(MATCH(AI1140&amp;"."&amp;AJ1140,AK$91:AK1139,0)),AI1140&amp;"."&amp;AJ1140,AI1140&amp;"."&amp;AJ1140&amp;COUNTIFS(AI$91:AI1139,AI1140,AJ$91:AJ1139,AJ1140))</f>
        <v>TOTAL SCHEDULE - M ADJUSTMENTS.NA</v>
      </c>
    </row>
    <row r="1141" spans="1:37" ht="15" hidden="1">
      <c r="A1141" s="120">
        <f>ROW()</f>
        <v>1141</v>
      </c>
      <c r="B1141" s="120"/>
      <c r="E1141" s="121"/>
      <c r="F1141" s="138"/>
      <c r="G1141" s="117"/>
      <c r="H1141" s="147"/>
      <c r="I1141" s="116"/>
      <c r="J1141" s="116"/>
      <c r="K1141" s="116"/>
      <c r="L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X1141" s="3"/>
      <c r="Y1141" s="116"/>
      <c r="Z1141" s="116"/>
      <c r="AA1141" s="116"/>
      <c r="AB1141" s="116"/>
      <c r="AC1141" s="116"/>
      <c r="AD1141" s="117"/>
      <c r="AE1141" s="117"/>
      <c r="AF1141" s="117"/>
      <c r="AG1141" s="117"/>
      <c r="AH1141" s="116"/>
      <c r="AI1141" t="str">
        <f t="shared" si="679"/>
        <v>TOTAL SCHEDULE - M ADJUSTMENTS</v>
      </c>
      <c r="AJ1141" t="str">
        <f t="shared" si="662"/>
        <v>NA</v>
      </c>
      <c r="AK1141" t="str">
        <f>IF(ISERROR(MATCH(AI1141&amp;"."&amp;AJ1141,AK$91:AK1140,0)),AI1141&amp;"."&amp;AJ1141,AI1141&amp;"."&amp;AJ1141&amp;COUNTIFS(AI$91:AI1140,AI1141,AJ$91:AJ1140,AJ1141))</f>
        <v>TOTAL SCHEDULE - M ADJUSTMENTS.NA1</v>
      </c>
    </row>
    <row r="1142" spans="1:37" ht="15" hidden="1">
      <c r="A1142" s="120">
        <f>ROW()</f>
        <v>1142</v>
      </c>
      <c r="B1142" s="120"/>
      <c r="C1142" s="1">
        <v>40911</v>
      </c>
      <c r="D1142" s="2" t="s">
        <v>477</v>
      </c>
      <c r="E1142" s="121"/>
      <c r="F1142" s="138"/>
      <c r="G1142" s="119"/>
      <c r="X1142" s="3"/>
      <c r="AD1142" s="119"/>
      <c r="AE1142" s="119"/>
      <c r="AF1142" s="119"/>
      <c r="AG1142" s="119"/>
      <c r="AI1142">
        <f t="shared" si="679"/>
        <v>40911</v>
      </c>
      <c r="AJ1142" t="str">
        <f t="shared" si="662"/>
        <v>NA</v>
      </c>
      <c r="AK1142" t="str">
        <f>IF(ISERROR(MATCH(AI1142&amp;"."&amp;AJ1142,AK$91:AK1141,0)),AI1142&amp;"."&amp;AJ1142,AI1142&amp;"."&amp;AJ1142&amp;COUNTIFS(AI$91:AI1141,AI1142,AJ$91:AJ1141,AJ1142))</f>
        <v>40911.NA</v>
      </c>
    </row>
    <row r="1143" spans="1:37" ht="15" hidden="1">
      <c r="A1143" s="120">
        <f>ROW()</f>
        <v>1143</v>
      </c>
      <c r="B1143" s="120"/>
      <c r="E1143" s="121" t="s">
        <v>450</v>
      </c>
      <c r="F1143" s="138" t="str">
        <f>INDEX(FuncAllocOptions,ROW(A1143)-ROW($A$92)+1,[4]Inputs!$S$11)</f>
        <v>IBT</v>
      </c>
      <c r="G1143" s="117" t="e">
        <f>SUM(H1143:L1143)</f>
        <v>#VALUE!</v>
      </c>
      <c r="H1143" s="116" t="e">
        <f>H1164*[4]Inputs!$H$19</f>
        <v>#VALUE!</v>
      </c>
      <c r="I1143" s="116" t="e">
        <f>I1164*[4]Inputs!$H$19</f>
        <v>#VALUE!</v>
      </c>
      <c r="J1143" s="116" t="e">
        <f>J1164*[4]Inputs!$H$19</f>
        <v>#VALUE!</v>
      </c>
      <c r="K1143" s="116" t="e">
        <f>K1164*[4]Inputs!$H$19</f>
        <v>#VALUE!</v>
      </c>
      <c r="L1143" s="116" t="e">
        <f>L1164*[4]Inputs!$H$19</f>
        <v>#VALUE!</v>
      </c>
      <c r="N1143" s="108">
        <v>0.75</v>
      </c>
      <c r="O1143" s="116" t="e">
        <f>$H1143*$N1143*$M1143</f>
        <v>#VALUE!</v>
      </c>
      <c r="P1143" s="116" t="e">
        <f>$H1143*(1-$N1143)*$M1143</f>
        <v>#VALUE!</v>
      </c>
      <c r="Q1143" s="116" t="e">
        <f>$H1143*$N1143*(1-$M1143)</f>
        <v>#VALUE!</v>
      </c>
      <c r="R1143" s="116" t="e">
        <f>$H1143*(1-$N1143)*(1-$M1143)</f>
        <v>#VALUE!</v>
      </c>
      <c r="S1143" s="108">
        <v>0.75</v>
      </c>
      <c r="T1143" s="116" t="e">
        <f>$I1143*$S1143*$M1143</f>
        <v>#VALUE!</v>
      </c>
      <c r="U1143" s="116" t="e">
        <f>$I1143*(1-$S1143)*$M1143</f>
        <v>#VALUE!</v>
      </c>
      <c r="V1143" s="116" t="e">
        <f>$I1143*$S1143*(1-$M1143)</f>
        <v>#VALUE!</v>
      </c>
      <c r="W1143" s="116" t="e">
        <f>$I1143*(1-$S1143)*(1-$M1143)</f>
        <v>#VALUE!</v>
      </c>
      <c r="X1143" s="163" t="str">
        <f>INDEX(DistFuncAllocOptions,ROW(A1143)-ROW($A$92)+1,[4]Inputs!$S$11)</f>
        <v>DRB</v>
      </c>
      <c r="Y1143" s="116" t="e">
        <f>Y1164*[4]Inputs!$H$19</f>
        <v>#VALUE!</v>
      </c>
      <c r="Z1143" s="116" t="e">
        <f>Z1164*[4]Inputs!$H$19</f>
        <v>#VALUE!</v>
      </c>
      <c r="AA1143" s="116" t="e">
        <f>AA1164*[4]Inputs!$H$19</f>
        <v>#VALUE!</v>
      </c>
      <c r="AB1143" s="116" t="e">
        <f>AB1164*[4]Inputs!$H$19</f>
        <v>#VALUE!</v>
      </c>
      <c r="AC1143" s="116" t="e">
        <f>AC1164*[4]Inputs!$H$19</f>
        <v>#VALUE!</v>
      </c>
      <c r="AD1143" s="117" t="e">
        <f>ROUND(SUM(-G1143,H1143:L1143),0)</f>
        <v>#VALUE!</v>
      </c>
      <c r="AE1143" s="117" t="e">
        <f>ROUND(H1143-O1143-P1143-Q1143-R1143,0)</f>
        <v>#VALUE!</v>
      </c>
      <c r="AF1143" s="117" t="e">
        <f>ROUND(I1143-T1143-U1143-V1143-W1143,0)</f>
        <v>#VALUE!</v>
      </c>
      <c r="AG1143" s="117" t="e">
        <f>ROUND(J1143-Y1143-Z1143-AA1143-AC1143-AB1143,0)</f>
        <v>#VALUE!</v>
      </c>
      <c r="AH1143" s="116"/>
      <c r="AI1143">
        <f t="shared" si="679"/>
        <v>40911</v>
      </c>
      <c r="AJ1143" t="str">
        <f t="shared" si="662"/>
        <v>IBT</v>
      </c>
      <c r="AK1143" t="str">
        <f>IF(ISERROR(MATCH(AI1143&amp;"."&amp;AJ1143,AK$91:AK1142,0)),AI1143&amp;"."&amp;AJ1143,AI1143&amp;"."&amp;AJ1143&amp;COUNTIFS(AI$91:AI1142,AI1143,AJ$91:AJ1142,AJ1143))</f>
        <v>40911.IBT</v>
      </c>
    </row>
    <row r="1144" spans="1:37" ht="15" hidden="1">
      <c r="A1144" s="120">
        <f>ROW()</f>
        <v>1144</v>
      </c>
      <c r="B1144" s="120"/>
      <c r="E1144" s="121" t="s">
        <v>450</v>
      </c>
      <c r="F1144" s="138" t="str">
        <f>INDEX(FuncAllocOptions,ROW(A1144)-ROW($A$92)+1,[4]Inputs!$S$11)</f>
        <v>IBT</v>
      </c>
      <c r="G1144" s="117" t="e">
        <f>SUMIF(FERCJAMFactor,AK1144,JAMValue)</f>
        <v>#VALUE!</v>
      </c>
      <c r="H1144" s="116" t="e">
        <f t="shared" ref="H1144:L1146" si="683">INDEX(FuncFactorTbl,MATCH($F1144,FuncFactors,0),MATCH(H$8,Functions,0))*$G1144</f>
        <v>#VALUE!</v>
      </c>
      <c r="I1144" s="116" t="e">
        <f t="shared" si="683"/>
        <v>#VALUE!</v>
      </c>
      <c r="J1144" s="116" t="e">
        <f t="shared" si="683"/>
        <v>#VALUE!</v>
      </c>
      <c r="K1144" s="116" t="e">
        <f t="shared" si="683"/>
        <v>#VALUE!</v>
      </c>
      <c r="L1144" s="116" t="e">
        <f t="shared" si="683"/>
        <v>#VALUE!</v>
      </c>
      <c r="N1144" s="108">
        <v>0.75</v>
      </c>
      <c r="O1144" s="116" t="e">
        <f>$H1144*$N1144*$M1144</f>
        <v>#VALUE!</v>
      </c>
      <c r="P1144" s="116" t="e">
        <f>$H1144*(1-$N1144)*$M1144</f>
        <v>#VALUE!</v>
      </c>
      <c r="Q1144" s="116" t="e">
        <f>$H1144*$N1144*(1-$M1144)</f>
        <v>#VALUE!</v>
      </c>
      <c r="R1144" s="116" t="e">
        <f>$H1144*(1-$N1144)*(1-$M1144)</f>
        <v>#VALUE!</v>
      </c>
      <c r="S1144" s="108">
        <v>0.75</v>
      </c>
      <c r="T1144" s="116" t="e">
        <f>$I1144*$S1144*$M1144</f>
        <v>#VALUE!</v>
      </c>
      <c r="U1144" s="116" t="e">
        <f>$I1144*(1-$S1144)*$M1144</f>
        <v>#VALUE!</v>
      </c>
      <c r="V1144" s="116" t="e">
        <f>$I1144*$S1144*(1-$M1144)</f>
        <v>#VALUE!</v>
      </c>
      <c r="W1144" s="116" t="e">
        <f>$I1144*(1-$S1144)*(1-$M1144)</f>
        <v>#VALUE!</v>
      </c>
      <c r="X1144" s="163" t="str">
        <f>INDEX(DistFuncAllocOptions,ROW(A1144)-ROW($A$92)+1,[4]Inputs!$S$11)</f>
        <v>DRB</v>
      </c>
      <c r="Y1144" s="116" t="e">
        <f t="shared" ref="Y1144:AC1146" si="684">INDEX(DistFuncFactorTbl,MATCH($X1144,DistFuncFactors,0),MATCH(Y$91,DistFunctions,0))*$J1144</f>
        <v>#VALUE!</v>
      </c>
      <c r="Z1144" s="116" t="e">
        <f t="shared" si="684"/>
        <v>#VALUE!</v>
      </c>
      <c r="AA1144" s="116" t="e">
        <f t="shared" si="684"/>
        <v>#VALUE!</v>
      </c>
      <c r="AB1144" s="116" t="e">
        <f t="shared" si="684"/>
        <v>#VALUE!</v>
      </c>
      <c r="AC1144" s="116" t="e">
        <f t="shared" si="684"/>
        <v>#VALUE!</v>
      </c>
      <c r="AD1144" s="117" t="e">
        <f>ROUND(SUM(-G1144,H1144:L1144),0)</f>
        <v>#VALUE!</v>
      </c>
      <c r="AE1144" s="117" t="e">
        <f>ROUND(H1144-O1144-P1144-Q1144-R1144,0)</f>
        <v>#VALUE!</v>
      </c>
      <c r="AF1144" s="117" t="e">
        <f>ROUND(I1144-T1144-U1144-V1144-W1144,0)</f>
        <v>#VALUE!</v>
      </c>
      <c r="AG1144" s="117" t="e">
        <f>ROUND(J1144-Y1144-Z1144-AA1144-AC1144-AB1144,0)</f>
        <v>#VALUE!</v>
      </c>
      <c r="AH1144" s="116"/>
      <c r="AI1144">
        <f t="shared" si="679"/>
        <v>40911</v>
      </c>
      <c r="AJ1144" t="str">
        <f t="shared" si="662"/>
        <v>IBT</v>
      </c>
      <c r="AK1144" t="str">
        <f>IF(ISERROR(MATCH(AI1144&amp;"."&amp;AJ1144,AK$91:AK1143,0)),AI1144&amp;"."&amp;AJ1144,AI1144&amp;"."&amp;AJ1144&amp;COUNTIFS(AI$91:AI1143,AI1144,AJ$91:AJ1143,AJ1144))</f>
        <v>40911.IBT1</v>
      </c>
    </row>
    <row r="1145" spans="1:37" ht="15" hidden="1">
      <c r="A1145" s="120">
        <f>ROW()</f>
        <v>1145</v>
      </c>
      <c r="B1145" s="120"/>
      <c r="E1145" s="121" t="s">
        <v>13</v>
      </c>
      <c r="F1145" s="138" t="str">
        <f>INDEX(FuncAllocOptions,ROW(A1145)-ROW($A$92)+1,[4]Inputs!$S$11)</f>
        <v>P</v>
      </c>
      <c r="G1145" s="117" t="e">
        <f>SUMIF(FERCJAMFactor,AK1145,JAMValue)</f>
        <v>#VALUE!</v>
      </c>
      <c r="H1145" s="116" t="e">
        <f t="shared" si="683"/>
        <v>#VALUE!</v>
      </c>
      <c r="I1145" s="116" t="e">
        <f t="shared" si="683"/>
        <v>#VALUE!</v>
      </c>
      <c r="J1145" s="116" t="e">
        <f t="shared" si="683"/>
        <v>#VALUE!</v>
      </c>
      <c r="K1145" s="116" t="e">
        <f t="shared" si="683"/>
        <v>#VALUE!</v>
      </c>
      <c r="L1145" s="116" t="e">
        <f t="shared" si="683"/>
        <v>#VALUE!</v>
      </c>
      <c r="N1145" s="108">
        <v>0.75</v>
      </c>
      <c r="O1145" s="116" t="e">
        <f>$H1145*$N1145*$M1145</f>
        <v>#VALUE!</v>
      </c>
      <c r="P1145" s="116" t="e">
        <f>$H1145*(1-$N1145)*$M1145</f>
        <v>#VALUE!</v>
      </c>
      <c r="Q1145" s="116" t="e">
        <f>$H1145*$N1145*(1-$M1145)</f>
        <v>#VALUE!</v>
      </c>
      <c r="R1145" s="116" t="e">
        <f>$H1145*(1-$N1145)*(1-$M1145)</f>
        <v>#VALUE!</v>
      </c>
      <c r="S1145" s="108">
        <v>0.75</v>
      </c>
      <c r="T1145" s="116" t="e">
        <f>$I1145*$S1145*$M1145</f>
        <v>#VALUE!</v>
      </c>
      <c r="U1145" s="116" t="e">
        <f>$I1145*(1-$S1145)*$M1145</f>
        <v>#VALUE!</v>
      </c>
      <c r="V1145" s="116" t="e">
        <f>$I1145*$S1145*(1-$M1145)</f>
        <v>#VALUE!</v>
      </c>
      <c r="W1145" s="116" t="e">
        <f>$I1145*(1-$S1145)*(1-$M1145)</f>
        <v>#VALUE!</v>
      </c>
      <c r="X1145" s="163" t="str">
        <f>INDEX(DistFuncAllocOptions,ROW(A1145)-ROW($A$92)+1,[4]Inputs!$S$11)</f>
        <v>DRB</v>
      </c>
      <c r="Y1145" s="116" t="e">
        <f t="shared" si="684"/>
        <v>#VALUE!</v>
      </c>
      <c r="Z1145" s="116" t="e">
        <f t="shared" si="684"/>
        <v>#VALUE!</v>
      </c>
      <c r="AA1145" s="116" t="e">
        <f t="shared" si="684"/>
        <v>#VALUE!</v>
      </c>
      <c r="AB1145" s="116" t="e">
        <f t="shared" si="684"/>
        <v>#VALUE!</v>
      </c>
      <c r="AC1145" s="116" t="e">
        <f t="shared" si="684"/>
        <v>#VALUE!</v>
      </c>
      <c r="AD1145" s="117" t="e">
        <f>ROUND(SUM(-G1145,H1145:L1145),0)</f>
        <v>#VALUE!</v>
      </c>
      <c r="AE1145" s="117" t="e">
        <f>ROUND(H1145-O1145-P1145-Q1145-R1145,0)</f>
        <v>#VALUE!</v>
      </c>
      <c r="AF1145" s="117" t="e">
        <f>ROUND(I1145-T1145-U1145-V1145-W1145,0)</f>
        <v>#VALUE!</v>
      </c>
      <c r="AG1145" s="117" t="e">
        <f>ROUND(J1145-Y1145-Z1145-AA1145-AC1145-AB1145,0)</f>
        <v>#VALUE!</v>
      </c>
      <c r="AH1145" s="116"/>
      <c r="AI1145">
        <f t="shared" si="679"/>
        <v>40911</v>
      </c>
      <c r="AJ1145" t="str">
        <f t="shared" si="662"/>
        <v>P</v>
      </c>
      <c r="AK1145" t="str">
        <f>IF(ISERROR(MATCH(AI1145&amp;"."&amp;AJ1145,AK$91:AK1144,0)),AI1145&amp;"."&amp;AJ1145,AI1145&amp;"."&amp;AJ1145&amp;COUNTIFS(AI$91:AI1144,AI1145,AJ$91:AJ1144,AJ1145))</f>
        <v>40911.P</v>
      </c>
    </row>
    <row r="1146" spans="1:37" ht="15" hidden="1">
      <c r="A1146" s="120">
        <f>ROW()</f>
        <v>1146</v>
      </c>
      <c r="B1146" s="120"/>
      <c r="E1146" s="121" t="s">
        <v>450</v>
      </c>
      <c r="F1146" s="138" t="str">
        <f>INDEX(FuncAllocOptions,ROW(A1146)-ROW($A$92)+1,[4]Inputs!$S$11)</f>
        <v>IBT</v>
      </c>
      <c r="G1146" s="133" t="e">
        <f>SUMIF(FERCJAMFactor,AK1146,JAMValue)</f>
        <v>#VALUE!</v>
      </c>
      <c r="H1146" s="139" t="e">
        <f t="shared" si="683"/>
        <v>#VALUE!</v>
      </c>
      <c r="I1146" s="139" t="e">
        <f t="shared" si="683"/>
        <v>#VALUE!</v>
      </c>
      <c r="J1146" s="139" t="e">
        <f t="shared" si="683"/>
        <v>#VALUE!</v>
      </c>
      <c r="K1146" s="139" t="e">
        <f t="shared" si="683"/>
        <v>#VALUE!</v>
      </c>
      <c r="L1146" s="139" t="e">
        <f t="shared" si="683"/>
        <v>#VALUE!</v>
      </c>
      <c r="N1146" s="108">
        <v>0.75</v>
      </c>
      <c r="O1146" s="116" t="e">
        <f>$H1146*$N1146*$M1146</f>
        <v>#VALUE!</v>
      </c>
      <c r="P1146" s="116" t="e">
        <f>$H1146*(1-$N1146)*$M1146</f>
        <v>#VALUE!</v>
      </c>
      <c r="Q1146" s="116" t="e">
        <f>$H1146*$N1146*(1-$M1146)</f>
        <v>#VALUE!</v>
      </c>
      <c r="R1146" s="116" t="e">
        <f>$H1146*(1-$N1146)*(1-$M1146)</f>
        <v>#VALUE!</v>
      </c>
      <c r="S1146" s="108">
        <v>0.75</v>
      </c>
      <c r="T1146" s="116" t="e">
        <f>$I1146*$S1146*$M1146</f>
        <v>#VALUE!</v>
      </c>
      <c r="U1146" s="116" t="e">
        <f>$I1146*(1-$S1146)*$M1146</f>
        <v>#VALUE!</v>
      </c>
      <c r="V1146" s="116" t="e">
        <f>$I1146*$S1146*(1-$M1146)</f>
        <v>#VALUE!</v>
      </c>
      <c r="W1146" s="116" t="e">
        <f>$I1146*(1-$S1146)*(1-$M1146)</f>
        <v>#VALUE!</v>
      </c>
      <c r="X1146" s="163" t="str">
        <f>INDEX(DistFuncAllocOptions,ROW(A1146)-ROW($A$92)+1,[4]Inputs!$S$11)</f>
        <v>DRB</v>
      </c>
      <c r="Y1146" s="116" t="e">
        <f t="shared" si="684"/>
        <v>#VALUE!</v>
      </c>
      <c r="Z1146" s="116" t="e">
        <f t="shared" si="684"/>
        <v>#VALUE!</v>
      </c>
      <c r="AA1146" s="116" t="e">
        <f t="shared" si="684"/>
        <v>#VALUE!</v>
      </c>
      <c r="AB1146" s="116" t="e">
        <f t="shared" si="684"/>
        <v>#VALUE!</v>
      </c>
      <c r="AC1146" s="116" t="e">
        <f t="shared" si="684"/>
        <v>#VALUE!</v>
      </c>
      <c r="AD1146" s="117" t="e">
        <f>ROUND(SUM(-G1146,H1146:L1146),0)</f>
        <v>#VALUE!</v>
      </c>
      <c r="AE1146" s="117" t="e">
        <f>ROUND(H1146-O1146-P1146-Q1146-R1146,0)</f>
        <v>#VALUE!</v>
      </c>
      <c r="AF1146" s="117" t="e">
        <f>ROUND(I1146-T1146-U1146-V1146-W1146,0)</f>
        <v>#VALUE!</v>
      </c>
      <c r="AG1146" s="117" t="e">
        <f>ROUND(J1146-Y1146-Z1146-AA1146-AC1146-AB1146,0)</f>
        <v>#VALUE!</v>
      </c>
      <c r="AH1146" s="116"/>
      <c r="AI1146">
        <f t="shared" si="679"/>
        <v>40911</v>
      </c>
      <c r="AJ1146" t="str">
        <f t="shared" si="662"/>
        <v>IBT</v>
      </c>
      <c r="AK1146" t="str">
        <f>IF(ISERROR(MATCH(AI1146&amp;"."&amp;AJ1146,AK$91:AK1145,0)),AI1146&amp;"."&amp;AJ1146,AI1146&amp;"."&amp;AJ1146&amp;COUNTIFS(AI$91:AI1145,AI1146,AJ$91:AJ1145,AJ1146))</f>
        <v>40911.IBT2</v>
      </c>
    </row>
    <row r="1147" spans="1:37" ht="15" hidden="1">
      <c r="A1147" s="120">
        <f>ROW()</f>
        <v>1147</v>
      </c>
      <c r="B1147" s="120"/>
      <c r="C1147" s="110" t="s">
        <v>748</v>
      </c>
      <c r="E1147" s="121"/>
      <c r="F1147" s="138"/>
      <c r="G1147" s="117" t="e">
        <f t="shared" ref="G1147:L1147" si="685">SUM(G1143:G1146)</f>
        <v>#VALUE!</v>
      </c>
      <c r="H1147" s="116" t="e">
        <f t="shared" si="685"/>
        <v>#VALUE!</v>
      </c>
      <c r="I1147" s="116" t="e">
        <f t="shared" si="685"/>
        <v>#VALUE!</v>
      </c>
      <c r="J1147" s="116" t="e">
        <f t="shared" si="685"/>
        <v>#VALUE!</v>
      </c>
      <c r="K1147" s="116" t="e">
        <f t="shared" si="685"/>
        <v>#VALUE!</v>
      </c>
      <c r="L1147" s="116" t="e">
        <f t="shared" si="685"/>
        <v>#VALUE!</v>
      </c>
      <c r="O1147" s="116" t="e">
        <f>SUM(O1143:O1146)</f>
        <v>#VALUE!</v>
      </c>
      <c r="P1147" s="116" t="e">
        <f>SUM(P1143:P1146)</f>
        <v>#VALUE!</v>
      </c>
      <c r="Q1147" s="116" t="e">
        <f>SUM(Q1143:Q1146)</f>
        <v>#VALUE!</v>
      </c>
      <c r="R1147" s="116" t="e">
        <f>SUM(R1143:R1146)</f>
        <v>#VALUE!</v>
      </c>
      <c r="T1147" s="116" t="e">
        <f>SUM(T1143:T1146)</f>
        <v>#VALUE!</v>
      </c>
      <c r="U1147" s="116" t="e">
        <f>SUM(U1143:U1146)</f>
        <v>#VALUE!</v>
      </c>
      <c r="V1147" s="116" t="e">
        <f>SUM(V1143:V1146)</f>
        <v>#VALUE!</v>
      </c>
      <c r="W1147" s="116" t="e">
        <f>SUM(W1143:W1146)</f>
        <v>#VALUE!</v>
      </c>
      <c r="X1147" s="3"/>
      <c r="Y1147" s="116" t="e">
        <f>SUM(Y1143:Y1146)</f>
        <v>#VALUE!</v>
      </c>
      <c r="Z1147" s="116" t="e">
        <f>SUM(Z1143:Z1146)</f>
        <v>#VALUE!</v>
      </c>
      <c r="AA1147" s="116" t="e">
        <f>SUM(AA1143:AA1146)</f>
        <v>#VALUE!</v>
      </c>
      <c r="AB1147" s="116" t="e">
        <f>SUM(AB1143:AB1146)</f>
        <v>#VALUE!</v>
      </c>
      <c r="AC1147" s="116" t="e">
        <f>SUM(AC1143:AC1146)</f>
        <v>#VALUE!</v>
      </c>
      <c r="AD1147" s="117" t="e">
        <f>ROUND(SUM(-G1147,H1147:L1147),0)</f>
        <v>#VALUE!</v>
      </c>
      <c r="AE1147" s="117" t="e">
        <f>ROUND(H1147-O1147-P1147-Q1147-R1147,0)</f>
        <v>#VALUE!</v>
      </c>
      <c r="AF1147" s="117" t="e">
        <f>ROUND(I1147-T1147-U1147-V1147-W1147,0)</f>
        <v>#VALUE!</v>
      </c>
      <c r="AG1147" s="117" t="e">
        <f>ROUND(J1147-Y1147-Z1147-AA1147-AC1147-AB1147,0)</f>
        <v>#VALUE!</v>
      </c>
      <c r="AH1147" s="116"/>
      <c r="AI1147" t="str">
        <f t="shared" si="679"/>
        <v>TOTAL STATE TAXES</v>
      </c>
      <c r="AJ1147" t="str">
        <f t="shared" si="662"/>
        <v>NA</v>
      </c>
      <c r="AK1147" t="str">
        <f>IF(ISERROR(MATCH(AI1147&amp;"."&amp;AJ1147,AK$91:AK1146,0)),AI1147&amp;"."&amp;AJ1147,AI1147&amp;"."&amp;AJ1147&amp;COUNTIFS(AI$91:AI1146,AI1147,AJ$91:AJ1146,AJ1147))</f>
        <v>TOTAL STATE TAXES.NA</v>
      </c>
    </row>
    <row r="1148" spans="1:37" ht="15" hidden="1">
      <c r="A1148" s="120">
        <f>ROW()</f>
        <v>1148</v>
      </c>
      <c r="B1148" s="120"/>
      <c r="E1148" s="121"/>
      <c r="F1148" s="138"/>
      <c r="G1148" s="119"/>
      <c r="H1148" s="161"/>
      <c r="X1148" s="3"/>
      <c r="AD1148" s="119"/>
      <c r="AE1148" s="119"/>
      <c r="AF1148" s="119"/>
      <c r="AG1148" s="119"/>
      <c r="AI1148" t="str">
        <f t="shared" si="679"/>
        <v>TOTAL STATE TAXES</v>
      </c>
      <c r="AJ1148" t="str">
        <f t="shared" si="662"/>
        <v>NA</v>
      </c>
      <c r="AK1148" t="str">
        <f>IF(ISERROR(MATCH(AI1148&amp;"."&amp;AJ1148,AK$91:AK1147,0)),AI1148&amp;"."&amp;AJ1148,AI1148&amp;"."&amp;AJ1148&amp;COUNTIFS(AI$91:AI1147,AI1148,AJ$91:AJ1147,AJ1148))</f>
        <v>TOTAL STATE TAXES.NA1</v>
      </c>
    </row>
    <row r="1149" spans="1:37" ht="15" hidden="1">
      <c r="A1149" s="120">
        <f>ROW()</f>
        <v>1149</v>
      </c>
      <c r="B1149" s="120"/>
      <c r="C1149" s="110" t="s">
        <v>242</v>
      </c>
      <c r="E1149" s="121"/>
      <c r="F1149" s="138"/>
      <c r="G1149" s="119"/>
      <c r="X1149" s="3"/>
      <c r="AD1149" s="119"/>
      <c r="AE1149" s="119"/>
      <c r="AF1149" s="119"/>
      <c r="AG1149" s="119"/>
      <c r="AI1149" t="str">
        <f t="shared" si="679"/>
        <v>Calculation of Taxable Income:</v>
      </c>
      <c r="AJ1149" t="str">
        <f t="shared" si="662"/>
        <v>NA</v>
      </c>
      <c r="AK1149" t="str">
        <f>IF(ISERROR(MATCH(AI1149&amp;"."&amp;AJ1149,AK$91:AK1148,0)),AI1149&amp;"."&amp;AJ1149,AI1149&amp;"."&amp;AJ1149&amp;COUNTIFS(AI$91:AI1148,AI1149,AJ$91:AJ1148,AJ1149))</f>
        <v>Calculation of Taxable Income:.NA</v>
      </c>
    </row>
    <row r="1150" spans="1:37" ht="15" hidden="1">
      <c r="A1150" s="120">
        <f>ROW()</f>
        <v>1150</v>
      </c>
      <c r="B1150" s="120"/>
      <c r="D1150" s="2" t="s">
        <v>480</v>
      </c>
      <c r="E1150" s="121"/>
      <c r="F1150" s="138"/>
      <c r="G1150" s="117" t="e">
        <f t="shared" ref="G1150:L1150" si="686">G176</f>
        <v>#VALUE!</v>
      </c>
      <c r="H1150" s="2" t="e">
        <f t="shared" si="686"/>
        <v>#VALUE!</v>
      </c>
      <c r="I1150" s="2" t="e">
        <f t="shared" si="686"/>
        <v>#VALUE!</v>
      </c>
      <c r="J1150" s="2" t="e">
        <f t="shared" si="686"/>
        <v>#VALUE!</v>
      </c>
      <c r="K1150" s="2" t="e">
        <f t="shared" si="686"/>
        <v>#VALUE!</v>
      </c>
      <c r="L1150" s="2" t="e">
        <f t="shared" si="686"/>
        <v>#VALUE!</v>
      </c>
      <c r="Q1150" s="2" t="e">
        <f>Q176+O176</f>
        <v>#VALUE!</v>
      </c>
      <c r="R1150" s="2" t="e">
        <f>R176+P176</f>
        <v>#VALUE!</v>
      </c>
      <c r="V1150" s="2" t="e">
        <f>V176+T176</f>
        <v>#VALUE!</v>
      </c>
      <c r="W1150" s="2" t="e">
        <f>W176+U176</f>
        <v>#VALUE!</v>
      </c>
      <c r="X1150" s="3"/>
      <c r="Y1150" s="2" t="e">
        <f>Y176</f>
        <v>#VALUE!</v>
      </c>
      <c r="Z1150" s="2" t="e">
        <f>Z176</f>
        <v>#VALUE!</v>
      </c>
      <c r="AA1150" s="2" t="e">
        <f>AA176</f>
        <v>#VALUE!</v>
      </c>
      <c r="AB1150" s="2" t="e">
        <f>AB176</f>
        <v>#VALUE!</v>
      </c>
      <c r="AC1150" s="2" t="e">
        <f>AC176</f>
        <v>#VALUE!</v>
      </c>
      <c r="AD1150" s="117" t="e">
        <f>ROUND(SUM(-G1150,H1150:L1150),0)</f>
        <v>#VALUE!</v>
      </c>
      <c r="AE1150" s="117" t="e">
        <f>ROUND(H1150-O1150-P1150-Q1150-R1150,0)</f>
        <v>#VALUE!</v>
      </c>
      <c r="AF1150" s="117" t="e">
        <f>ROUND(I1150-T1150-U1150-V1150-W1150,0)</f>
        <v>#VALUE!</v>
      </c>
      <c r="AG1150" s="117" t="e">
        <f>ROUND(J1150-Y1150-Z1150-AA1150-AC1150-AB1150,0)</f>
        <v>#VALUE!</v>
      </c>
      <c r="AH1150" s="116"/>
      <c r="AI1150" t="str">
        <f t="shared" si="679"/>
        <v>Calculation of Taxable Income:</v>
      </c>
      <c r="AJ1150" t="str">
        <f t="shared" si="662"/>
        <v>NA</v>
      </c>
      <c r="AK1150" t="str">
        <f>IF(ISERROR(MATCH(AI1150&amp;"."&amp;AJ1150,AK$91:AK1149,0)),AI1150&amp;"."&amp;AJ1150,AI1150&amp;"."&amp;AJ1150&amp;COUNTIFS(AI$91:AI1149,AI1150,AJ$91:AJ1149,AJ1150))</f>
        <v>Calculation of Taxable Income:.NA1</v>
      </c>
    </row>
    <row r="1151" spans="1:37" ht="15" hidden="1">
      <c r="A1151" s="120">
        <f>ROW()</f>
        <v>1151</v>
      </c>
      <c r="B1151" s="120"/>
      <c r="D1151" s="2" t="s">
        <v>481</v>
      </c>
      <c r="E1151" s="121"/>
      <c r="F1151" s="138"/>
      <c r="G1151" s="119"/>
      <c r="X1151" s="3"/>
      <c r="AD1151" s="119"/>
      <c r="AE1151" s="119"/>
      <c r="AF1151" s="119"/>
      <c r="AG1151" s="119"/>
      <c r="AI1151" t="str">
        <f t="shared" si="679"/>
        <v>Calculation of Taxable Income:</v>
      </c>
      <c r="AJ1151" t="str">
        <f t="shared" si="662"/>
        <v>NA</v>
      </c>
      <c r="AK1151" t="str">
        <f>IF(ISERROR(MATCH(AI1151&amp;"."&amp;AJ1151,AK$91:AK1150,0)),AI1151&amp;"."&amp;AJ1151,AI1151&amp;"."&amp;AJ1151&amp;COUNTIFS(AI$91:AI1150,AI1151,AJ$91:AJ1150,AJ1151))</f>
        <v>Calculation of Taxable Income:.NA2</v>
      </c>
    </row>
    <row r="1152" spans="1:37" ht="15" hidden="1">
      <c r="A1152" s="120">
        <f>ROW()</f>
        <v>1152</v>
      </c>
      <c r="B1152" s="120"/>
      <c r="D1152" s="2" t="s">
        <v>482</v>
      </c>
      <c r="E1152" s="121"/>
      <c r="F1152" s="138"/>
      <c r="G1152" s="117" t="e">
        <f t="shared" ref="G1152:L1152" si="687">G807</f>
        <v>#VALUE!</v>
      </c>
      <c r="H1152" s="2" t="e">
        <f t="shared" si="687"/>
        <v>#VALUE!</v>
      </c>
      <c r="I1152" s="2" t="e">
        <f t="shared" si="687"/>
        <v>#VALUE!</v>
      </c>
      <c r="J1152" s="2" t="e">
        <f t="shared" si="687"/>
        <v>#VALUE!</v>
      </c>
      <c r="K1152" s="2" t="e">
        <f t="shared" si="687"/>
        <v>#VALUE!</v>
      </c>
      <c r="L1152" s="2" t="e">
        <f t="shared" si="687"/>
        <v>#VALUE!</v>
      </c>
      <c r="Q1152" s="2" t="e">
        <f>Q807+O807</f>
        <v>#VALUE!</v>
      </c>
      <c r="R1152" s="2" t="e">
        <f>R807+P807</f>
        <v>#VALUE!</v>
      </c>
      <c r="V1152" s="2" t="e">
        <f>V807+T807</f>
        <v>#VALUE!</v>
      </c>
      <c r="W1152" s="2" t="e">
        <f>W807+U807</f>
        <v>#VALUE!</v>
      </c>
      <c r="X1152" s="3"/>
      <c r="Y1152" s="2" t="e">
        <f>Y807</f>
        <v>#VALUE!</v>
      </c>
      <c r="Z1152" s="2" t="e">
        <f>Z807</f>
        <v>#VALUE!</v>
      </c>
      <c r="AA1152" s="2" t="e">
        <f>AA807</f>
        <v>#VALUE!</v>
      </c>
      <c r="AB1152" s="2" t="e">
        <f>AB807</f>
        <v>#VALUE!</v>
      </c>
      <c r="AC1152" s="2" t="e">
        <f>AC807</f>
        <v>#VALUE!</v>
      </c>
      <c r="AD1152" s="117" t="e">
        <f t="shared" ref="AD1152:AD1158" si="688">ROUND(SUM(-G1152,H1152:L1152),0)</f>
        <v>#VALUE!</v>
      </c>
      <c r="AE1152" s="117" t="e">
        <f t="shared" ref="AE1152:AE1158" si="689">ROUND(H1152-O1152-P1152-Q1152-R1152,0)</f>
        <v>#VALUE!</v>
      </c>
      <c r="AF1152" s="117" t="e">
        <f t="shared" ref="AF1152:AF1158" si="690">ROUND(I1152-T1152-U1152-V1152-W1152,0)</f>
        <v>#VALUE!</v>
      </c>
      <c r="AG1152" s="117" t="e">
        <f t="shared" ref="AG1152:AG1158" si="691">ROUND(J1152-Y1152-Z1152-AA1152-AC1152-AB1152,0)</f>
        <v>#VALUE!</v>
      </c>
      <c r="AH1152" s="116"/>
      <c r="AI1152" t="str">
        <f t="shared" si="679"/>
        <v>Calculation of Taxable Income:</v>
      </c>
      <c r="AJ1152" t="str">
        <f t="shared" si="662"/>
        <v>NA</v>
      </c>
      <c r="AK1152" t="str">
        <f>IF(ISERROR(MATCH(AI1152&amp;"."&amp;AJ1152,AK$91:AK1151,0)),AI1152&amp;"."&amp;AJ1152,AI1152&amp;"."&amp;AJ1152&amp;COUNTIFS(AI$91:AI1151,AI1152,AJ$91:AJ1151,AJ1152))</f>
        <v>Calculation of Taxable Income:.NA3</v>
      </c>
    </row>
    <row r="1153" spans="1:37" ht="15" hidden="1">
      <c r="A1153" s="120">
        <f>ROW()</f>
        <v>1153</v>
      </c>
      <c r="B1153" s="120"/>
      <c r="D1153" s="2" t="s">
        <v>483</v>
      </c>
      <c r="E1153" s="121"/>
      <c r="F1153" s="138"/>
      <c r="G1153" s="117" t="e">
        <f t="shared" ref="G1153:L1153" si="692">G882</f>
        <v>#VALUE!</v>
      </c>
      <c r="H1153" s="135" t="e">
        <f t="shared" si="692"/>
        <v>#VALUE!</v>
      </c>
      <c r="I1153" s="135" t="e">
        <f t="shared" si="692"/>
        <v>#VALUE!</v>
      </c>
      <c r="J1153" s="135" t="e">
        <f t="shared" si="692"/>
        <v>#VALUE!</v>
      </c>
      <c r="K1153" s="135" t="e">
        <f t="shared" si="692"/>
        <v>#VALUE!</v>
      </c>
      <c r="L1153" s="135" t="e">
        <f t="shared" si="692"/>
        <v>#VALUE!</v>
      </c>
      <c r="O1153" s="135"/>
      <c r="P1153" s="135"/>
      <c r="Q1153" s="135" t="e">
        <f>Q882</f>
        <v>#VALUE!</v>
      </c>
      <c r="R1153" s="135" t="e">
        <f>R882</f>
        <v>#VALUE!</v>
      </c>
      <c r="T1153" s="135"/>
      <c r="U1153" s="135"/>
      <c r="V1153" s="135" t="e">
        <f>V882</f>
        <v>#VALUE!</v>
      </c>
      <c r="W1153" s="135" t="e">
        <f>W882</f>
        <v>#VALUE!</v>
      </c>
      <c r="X1153" s="3"/>
      <c r="Y1153" s="135" t="e">
        <f>Y882</f>
        <v>#VALUE!</v>
      </c>
      <c r="Z1153" s="135" t="e">
        <f>Z882</f>
        <v>#VALUE!</v>
      </c>
      <c r="AA1153" s="135" t="e">
        <f>AA882</f>
        <v>#VALUE!</v>
      </c>
      <c r="AB1153" s="135" t="e">
        <f>AB882</f>
        <v>#VALUE!</v>
      </c>
      <c r="AC1153" s="135" t="e">
        <f>AC882</f>
        <v>#VALUE!</v>
      </c>
      <c r="AD1153" s="117" t="e">
        <f t="shared" si="688"/>
        <v>#VALUE!</v>
      </c>
      <c r="AE1153" s="117" t="e">
        <f t="shared" si="689"/>
        <v>#VALUE!</v>
      </c>
      <c r="AF1153" s="117" t="e">
        <f t="shared" si="690"/>
        <v>#VALUE!</v>
      </c>
      <c r="AG1153" s="117" t="e">
        <f t="shared" si="691"/>
        <v>#VALUE!</v>
      </c>
      <c r="AH1153" s="116"/>
      <c r="AI1153" t="str">
        <f t="shared" si="679"/>
        <v>Calculation of Taxable Income:</v>
      </c>
      <c r="AJ1153" t="str">
        <f t="shared" si="662"/>
        <v>NA</v>
      </c>
      <c r="AK1153" t="str">
        <f>IF(ISERROR(MATCH(AI1153&amp;"."&amp;AJ1153,AK$91:AK1152,0)),AI1153&amp;"."&amp;AJ1153,AI1153&amp;"."&amp;AJ1153&amp;COUNTIFS(AI$91:AI1152,AI1153,AJ$91:AJ1152,AJ1153))</f>
        <v>Calculation of Taxable Income:.NA4</v>
      </c>
    </row>
    <row r="1154" spans="1:37" ht="15" hidden="1">
      <c r="A1154" s="120">
        <f>ROW()</f>
        <v>1154</v>
      </c>
      <c r="B1154" s="120"/>
      <c r="D1154" s="2" t="s">
        <v>484</v>
      </c>
      <c r="E1154" s="121"/>
      <c r="F1154" s="138"/>
      <c r="G1154" s="117" t="e">
        <f t="shared" ref="G1154:L1154" si="693">G945</f>
        <v>#VALUE!</v>
      </c>
      <c r="H1154" s="135" t="e">
        <f t="shared" si="693"/>
        <v>#VALUE!</v>
      </c>
      <c r="I1154" s="135" t="e">
        <f t="shared" si="693"/>
        <v>#VALUE!</v>
      </c>
      <c r="J1154" s="135" t="e">
        <f t="shared" si="693"/>
        <v>#VALUE!</v>
      </c>
      <c r="K1154" s="135" t="e">
        <f t="shared" si="693"/>
        <v>#VALUE!</v>
      </c>
      <c r="L1154" s="135" t="e">
        <f t="shared" si="693"/>
        <v>#VALUE!</v>
      </c>
      <c r="O1154" s="135"/>
      <c r="P1154" s="135"/>
      <c r="Q1154" s="135" t="e">
        <f>Q945</f>
        <v>#VALUE!</v>
      </c>
      <c r="R1154" s="135" t="e">
        <f>R945</f>
        <v>#VALUE!</v>
      </c>
      <c r="T1154" s="135"/>
      <c r="U1154" s="135"/>
      <c r="V1154" s="135" t="e">
        <f>V945</f>
        <v>#VALUE!</v>
      </c>
      <c r="W1154" s="135" t="e">
        <f>W945</f>
        <v>#VALUE!</v>
      </c>
      <c r="X1154" s="3"/>
      <c r="Y1154" s="135" t="e">
        <f>Y945</f>
        <v>#VALUE!</v>
      </c>
      <c r="Z1154" s="135" t="e">
        <f>Z945</f>
        <v>#VALUE!</v>
      </c>
      <c r="AA1154" s="135" t="e">
        <f>AA945</f>
        <v>#VALUE!</v>
      </c>
      <c r="AB1154" s="135" t="e">
        <f>AB945</f>
        <v>#VALUE!</v>
      </c>
      <c r="AC1154" s="135" t="e">
        <f>AC945</f>
        <v>#VALUE!</v>
      </c>
      <c r="AD1154" s="117" t="e">
        <f t="shared" si="688"/>
        <v>#VALUE!</v>
      </c>
      <c r="AE1154" s="117" t="e">
        <f t="shared" si="689"/>
        <v>#VALUE!</v>
      </c>
      <c r="AF1154" s="117" t="e">
        <f t="shared" si="690"/>
        <v>#VALUE!</v>
      </c>
      <c r="AG1154" s="117" t="e">
        <f t="shared" si="691"/>
        <v>#VALUE!</v>
      </c>
      <c r="AH1154" s="116"/>
      <c r="AI1154" t="str">
        <f t="shared" si="679"/>
        <v>Calculation of Taxable Income:</v>
      </c>
      <c r="AJ1154" t="str">
        <f t="shared" si="662"/>
        <v>NA</v>
      </c>
      <c r="AK1154" t="str">
        <f>IF(ISERROR(MATCH(AI1154&amp;"."&amp;AJ1154,AK$91:AK1153,0)),AI1154&amp;"."&amp;AJ1154,AI1154&amp;"."&amp;AJ1154&amp;COUNTIFS(AI$91:AI1153,AI1154,AJ$91:AJ1153,AJ1154))</f>
        <v>Calculation of Taxable Income:.NA5</v>
      </c>
    </row>
    <row r="1155" spans="1:37" ht="15" hidden="1">
      <c r="A1155" s="120">
        <f>ROW()</f>
        <v>1155</v>
      </c>
      <c r="B1155" s="120"/>
      <c r="D1155" s="2" t="s">
        <v>485</v>
      </c>
      <c r="E1155" s="121"/>
      <c r="F1155" s="138"/>
      <c r="G1155" s="117" t="e">
        <f t="shared" ref="G1155:L1155" si="694">G956</f>
        <v>#VALUE!</v>
      </c>
      <c r="H1155" s="135" t="e">
        <f t="shared" si="694"/>
        <v>#VALUE!</v>
      </c>
      <c r="I1155" s="135" t="e">
        <f t="shared" si="694"/>
        <v>#VALUE!</v>
      </c>
      <c r="J1155" s="135" t="e">
        <f t="shared" si="694"/>
        <v>#VALUE!</v>
      </c>
      <c r="K1155" s="135" t="e">
        <f t="shared" si="694"/>
        <v>#VALUE!</v>
      </c>
      <c r="L1155" s="135" t="e">
        <f t="shared" si="694"/>
        <v>#VALUE!</v>
      </c>
      <c r="O1155" s="135"/>
      <c r="P1155" s="135"/>
      <c r="Q1155" s="135" t="e">
        <f>Q956</f>
        <v>#VALUE!</v>
      </c>
      <c r="R1155" s="135" t="e">
        <f>R956</f>
        <v>#VALUE!</v>
      </c>
      <c r="T1155" s="135"/>
      <c r="U1155" s="135"/>
      <c r="V1155" s="135" t="e">
        <f>V956</f>
        <v>#VALUE!</v>
      </c>
      <c r="W1155" s="135" t="e">
        <f>W956</f>
        <v>#VALUE!</v>
      </c>
      <c r="X1155" s="3"/>
      <c r="Y1155" s="135" t="e">
        <f>Y956</f>
        <v>#VALUE!</v>
      </c>
      <c r="Z1155" s="135" t="e">
        <f>Z956</f>
        <v>#VALUE!</v>
      </c>
      <c r="AA1155" s="135" t="e">
        <f>AA956</f>
        <v>#VALUE!</v>
      </c>
      <c r="AB1155" s="135" t="e">
        <f>AB956</f>
        <v>#VALUE!</v>
      </c>
      <c r="AC1155" s="135" t="e">
        <f>AC956</f>
        <v>#VALUE!</v>
      </c>
      <c r="AD1155" s="117" t="e">
        <f t="shared" si="688"/>
        <v>#VALUE!</v>
      </c>
      <c r="AE1155" s="117" t="e">
        <f t="shared" si="689"/>
        <v>#VALUE!</v>
      </c>
      <c r="AF1155" s="117" t="e">
        <f t="shared" si="690"/>
        <v>#VALUE!</v>
      </c>
      <c r="AG1155" s="117" t="e">
        <f t="shared" si="691"/>
        <v>#VALUE!</v>
      </c>
      <c r="AH1155" s="116"/>
      <c r="AI1155" t="str">
        <f t="shared" si="679"/>
        <v>Calculation of Taxable Income:</v>
      </c>
      <c r="AJ1155" t="str">
        <f t="shared" si="662"/>
        <v>NA</v>
      </c>
      <c r="AK1155" t="str">
        <f>IF(ISERROR(MATCH(AI1155&amp;"."&amp;AJ1155,AK$91:AK1154,0)),AI1155&amp;"."&amp;AJ1155,AI1155&amp;"."&amp;AJ1155&amp;COUNTIFS(AI$91:AI1154,AI1155,AJ$91:AJ1154,AJ1155))</f>
        <v>Calculation of Taxable Income:.NA6</v>
      </c>
    </row>
    <row r="1156" spans="1:37" ht="15" hidden="1">
      <c r="A1156" s="120">
        <f>ROW()</f>
        <v>1156</v>
      </c>
      <c r="B1156" s="120"/>
      <c r="D1156" s="2" t="s">
        <v>486</v>
      </c>
      <c r="E1156" s="121"/>
      <c r="F1156" s="138"/>
      <c r="G1156" s="117" t="e">
        <f t="shared" ref="G1156:L1156" si="695">G1000</f>
        <v>#VALUE!</v>
      </c>
      <c r="H1156" s="135" t="e">
        <f t="shared" si="695"/>
        <v>#VALUE!</v>
      </c>
      <c r="I1156" s="135" t="e">
        <f t="shared" si="695"/>
        <v>#VALUE!</v>
      </c>
      <c r="J1156" s="135" t="e">
        <f t="shared" si="695"/>
        <v>#VALUE!</v>
      </c>
      <c r="K1156" s="135" t="e">
        <f t="shared" si="695"/>
        <v>#VALUE!</v>
      </c>
      <c r="L1156" s="135" t="e">
        <f t="shared" si="695"/>
        <v>#VALUE!</v>
      </c>
      <c r="O1156" s="135"/>
      <c r="P1156" s="135"/>
      <c r="Q1156" s="135" t="e">
        <f>Q1000</f>
        <v>#VALUE!</v>
      </c>
      <c r="R1156" s="135" t="e">
        <f>R1000</f>
        <v>#VALUE!</v>
      </c>
      <c r="T1156" s="135"/>
      <c r="U1156" s="135"/>
      <c r="V1156" s="135" t="e">
        <f>V1000</f>
        <v>#VALUE!</v>
      </c>
      <c r="W1156" s="135" t="e">
        <f>W1000</f>
        <v>#VALUE!</v>
      </c>
      <c r="X1156" s="3"/>
      <c r="Y1156" s="135" t="e">
        <f>Y1000</f>
        <v>#VALUE!</v>
      </c>
      <c r="Z1156" s="135" t="e">
        <f>Z1000</f>
        <v>#VALUE!</v>
      </c>
      <c r="AA1156" s="135" t="e">
        <f>AA1000</f>
        <v>#VALUE!</v>
      </c>
      <c r="AB1156" s="135" t="e">
        <f>AB1000</f>
        <v>#VALUE!</v>
      </c>
      <c r="AC1156" s="135" t="e">
        <f>AC1000</f>
        <v>#VALUE!</v>
      </c>
      <c r="AD1156" s="117" t="e">
        <f t="shared" si="688"/>
        <v>#VALUE!</v>
      </c>
      <c r="AE1156" s="117" t="e">
        <f t="shared" si="689"/>
        <v>#VALUE!</v>
      </c>
      <c r="AF1156" s="117" t="e">
        <f t="shared" si="690"/>
        <v>#VALUE!</v>
      </c>
      <c r="AG1156" s="117" t="e">
        <f t="shared" si="691"/>
        <v>#VALUE!</v>
      </c>
      <c r="AH1156" s="116"/>
      <c r="AI1156" t="str">
        <f t="shared" si="679"/>
        <v>Calculation of Taxable Income:</v>
      </c>
      <c r="AJ1156" t="str">
        <f t="shared" si="662"/>
        <v>NA</v>
      </c>
      <c r="AK1156" t="str">
        <f>IF(ISERROR(MATCH(AI1156&amp;"."&amp;AJ1156,AK$91:AK1155,0)),AI1156&amp;"."&amp;AJ1156,AI1156&amp;"."&amp;AJ1156&amp;COUNTIFS(AI$91:AI1155,AI1156,AJ$91:AJ1155,AJ1156))</f>
        <v>Calculation of Taxable Income:.NA7</v>
      </c>
    </row>
    <row r="1157" spans="1:37" ht="15" hidden="1">
      <c r="A1157" s="120">
        <f>ROW()</f>
        <v>1157</v>
      </c>
      <c r="B1157" s="120"/>
      <c r="D1157" s="2" t="s">
        <v>487</v>
      </c>
      <c r="E1157" s="121"/>
      <c r="F1157" s="138"/>
      <c r="G1157" s="133" t="e">
        <f t="shared" ref="G1157:L1157" si="696">G228</f>
        <v>#VALUE!</v>
      </c>
      <c r="H1157" s="171" t="e">
        <f t="shared" si="696"/>
        <v>#VALUE!</v>
      </c>
      <c r="I1157" s="137" t="e">
        <f t="shared" si="696"/>
        <v>#VALUE!</v>
      </c>
      <c r="J1157" s="137" t="e">
        <f t="shared" si="696"/>
        <v>#VALUE!</v>
      </c>
      <c r="K1157" s="137" t="e">
        <f t="shared" si="696"/>
        <v>#VALUE!</v>
      </c>
      <c r="L1157" s="137" t="e">
        <f t="shared" si="696"/>
        <v>#VALUE!</v>
      </c>
      <c r="O1157" s="137"/>
      <c r="P1157" s="137"/>
      <c r="Q1157" s="137" t="e">
        <f>Q228</f>
        <v>#VALUE!</v>
      </c>
      <c r="R1157" s="137" t="e">
        <f>R228</f>
        <v>#VALUE!</v>
      </c>
      <c r="T1157" s="137"/>
      <c r="U1157" s="137"/>
      <c r="V1157" s="137" t="e">
        <f>V228</f>
        <v>#VALUE!</v>
      </c>
      <c r="W1157" s="137" t="e">
        <f>W228</f>
        <v>#VALUE!</v>
      </c>
      <c r="X1157" s="3"/>
      <c r="Y1157" s="137" t="e">
        <f>Y228</f>
        <v>#VALUE!</v>
      </c>
      <c r="Z1157" s="137" t="e">
        <f>Z228</f>
        <v>#VALUE!</v>
      </c>
      <c r="AA1157" s="137" t="e">
        <f>AA228</f>
        <v>#VALUE!</v>
      </c>
      <c r="AB1157" s="137" t="e">
        <f>AB228</f>
        <v>#VALUE!</v>
      </c>
      <c r="AC1157" s="137" t="e">
        <f>AC228</f>
        <v>#VALUE!</v>
      </c>
      <c r="AD1157" s="117" t="e">
        <f t="shared" si="688"/>
        <v>#VALUE!</v>
      </c>
      <c r="AE1157" s="117" t="e">
        <f t="shared" si="689"/>
        <v>#VALUE!</v>
      </c>
      <c r="AF1157" s="117" t="e">
        <f t="shared" si="690"/>
        <v>#VALUE!</v>
      </c>
      <c r="AG1157" s="117" t="e">
        <f t="shared" si="691"/>
        <v>#VALUE!</v>
      </c>
      <c r="AH1157" s="116"/>
      <c r="AI1157" t="str">
        <f t="shared" si="679"/>
        <v>Calculation of Taxable Income:</v>
      </c>
      <c r="AJ1157" t="str">
        <f t="shared" si="662"/>
        <v>NA</v>
      </c>
      <c r="AK1157" t="str">
        <f>IF(ISERROR(MATCH(AI1157&amp;"."&amp;AJ1157,AK$91:AK1156,0)),AI1157&amp;"."&amp;AJ1157,AI1157&amp;"."&amp;AJ1157&amp;COUNTIFS(AI$91:AI1156,AI1157,AJ$91:AJ1156,AJ1157))</f>
        <v>Calculation of Taxable Income:.NA8</v>
      </c>
    </row>
    <row r="1158" spans="1:37" ht="15" hidden="1">
      <c r="A1158" s="120">
        <f>ROW()</f>
        <v>1158</v>
      </c>
      <c r="B1158" s="120"/>
      <c r="D1158" s="2" t="s">
        <v>488</v>
      </c>
      <c r="E1158" s="121"/>
      <c r="F1158" s="138"/>
      <c r="G1158" s="117" t="e">
        <f t="shared" ref="G1158:L1158" si="697">SUM(G1152:G1157)</f>
        <v>#VALUE!</v>
      </c>
      <c r="H1158" s="2" t="e">
        <f t="shared" si="697"/>
        <v>#VALUE!</v>
      </c>
      <c r="I1158" s="2" t="e">
        <f t="shared" si="697"/>
        <v>#VALUE!</v>
      </c>
      <c r="J1158" s="2" t="e">
        <f t="shared" si="697"/>
        <v>#VALUE!</v>
      </c>
      <c r="K1158" s="2" t="e">
        <f t="shared" si="697"/>
        <v>#VALUE!</v>
      </c>
      <c r="L1158" s="2" t="e">
        <f t="shared" si="697"/>
        <v>#VALUE!</v>
      </c>
      <c r="Q1158" s="2" t="e">
        <f>SUM(Q1152:Q1157)</f>
        <v>#VALUE!</v>
      </c>
      <c r="R1158" s="2" t="e">
        <f>SUM(R1152:R1157)</f>
        <v>#VALUE!</v>
      </c>
      <c r="V1158" s="2" t="e">
        <f>SUM(V1152:V1157)</f>
        <v>#VALUE!</v>
      </c>
      <c r="W1158" s="2" t="e">
        <f>SUM(W1152:W1157)</f>
        <v>#VALUE!</v>
      </c>
      <c r="X1158" s="3"/>
      <c r="Y1158" s="2" t="e">
        <f>SUM(Y1152:Y1157)</f>
        <v>#VALUE!</v>
      </c>
      <c r="Z1158" s="2" t="e">
        <f>SUM(Z1152:Z1157)</f>
        <v>#VALUE!</v>
      </c>
      <c r="AA1158" s="2" t="e">
        <f>SUM(AA1152:AA1157)</f>
        <v>#VALUE!</v>
      </c>
      <c r="AB1158" s="2" t="e">
        <f>SUM(AB1152:AB1157)</f>
        <v>#VALUE!</v>
      </c>
      <c r="AC1158" s="2" t="e">
        <f>SUM(AC1152:AC1157)</f>
        <v>#VALUE!</v>
      </c>
      <c r="AD1158" s="117" t="e">
        <f t="shared" si="688"/>
        <v>#VALUE!</v>
      </c>
      <c r="AE1158" s="117" t="e">
        <f t="shared" si="689"/>
        <v>#VALUE!</v>
      </c>
      <c r="AF1158" s="117" t="e">
        <f t="shared" si="690"/>
        <v>#VALUE!</v>
      </c>
      <c r="AG1158" s="117" t="e">
        <f t="shared" si="691"/>
        <v>#VALUE!</v>
      </c>
      <c r="AH1158" s="116"/>
      <c r="AI1158" t="str">
        <f t="shared" si="679"/>
        <v>Calculation of Taxable Income:</v>
      </c>
      <c r="AJ1158" t="str">
        <f t="shared" si="662"/>
        <v>NA</v>
      </c>
      <c r="AK1158" t="str">
        <f>IF(ISERROR(MATCH(AI1158&amp;"."&amp;AJ1158,AK$91:AK1157,0)),AI1158&amp;"."&amp;AJ1158,AI1158&amp;"."&amp;AJ1158&amp;COUNTIFS(AI$91:AI1157,AI1158,AJ$91:AJ1157,AJ1158))</f>
        <v>Calculation of Taxable Income:.NA9</v>
      </c>
    </row>
    <row r="1159" spans="1:37" ht="15" hidden="1">
      <c r="A1159" s="120">
        <f>ROW()</f>
        <v>1159</v>
      </c>
      <c r="B1159" s="120"/>
      <c r="D1159" s="2" t="s">
        <v>489</v>
      </c>
      <c r="E1159" s="121"/>
      <c r="F1159" s="138"/>
      <c r="G1159" s="119"/>
      <c r="X1159" s="3"/>
      <c r="AD1159" s="119"/>
      <c r="AE1159" s="119"/>
      <c r="AF1159" s="119"/>
      <c r="AG1159" s="119"/>
      <c r="AI1159" t="str">
        <f t="shared" si="679"/>
        <v>Calculation of Taxable Income:</v>
      </c>
      <c r="AJ1159" t="str">
        <f t="shared" si="662"/>
        <v>NA</v>
      </c>
      <c r="AK1159" t="str">
        <f>IF(ISERROR(MATCH(AI1159&amp;"."&amp;AJ1159,AK$91:AK1158,0)),AI1159&amp;"."&amp;AJ1159,AI1159&amp;"."&amp;AJ1159&amp;COUNTIFS(AI$91:AI1158,AI1159,AJ$91:AJ1158,AJ1159))</f>
        <v>Calculation of Taxable Income:.NA10</v>
      </c>
    </row>
    <row r="1160" spans="1:37" ht="15" hidden="1">
      <c r="A1160" s="120">
        <f>ROW()</f>
        <v>1160</v>
      </c>
      <c r="B1160" s="120"/>
      <c r="D1160" s="2" t="s">
        <v>490</v>
      </c>
      <c r="E1160" s="121"/>
      <c r="F1160" s="138"/>
      <c r="G1160" s="117" t="e">
        <f t="shared" ref="G1160:L1160" si="698">G995</f>
        <v>#VALUE!</v>
      </c>
      <c r="H1160" s="2" t="e">
        <f t="shared" si="698"/>
        <v>#VALUE!</v>
      </c>
      <c r="I1160" s="2" t="e">
        <f t="shared" si="698"/>
        <v>#VALUE!</v>
      </c>
      <c r="J1160" s="2" t="e">
        <f t="shared" si="698"/>
        <v>#VALUE!</v>
      </c>
      <c r="K1160" s="2" t="e">
        <f t="shared" si="698"/>
        <v>#VALUE!</v>
      </c>
      <c r="L1160" s="2" t="e">
        <f t="shared" si="698"/>
        <v>#VALUE!</v>
      </c>
      <c r="Q1160" s="2" t="e">
        <f>Q995</f>
        <v>#VALUE!</v>
      </c>
      <c r="R1160" s="2" t="e">
        <f>R995</f>
        <v>#VALUE!</v>
      </c>
      <c r="V1160" s="2" t="e">
        <f>V995</f>
        <v>#VALUE!</v>
      </c>
      <c r="W1160" s="2" t="e">
        <f>W995</f>
        <v>#VALUE!</v>
      </c>
      <c r="X1160" s="3"/>
      <c r="Y1160" s="2" t="e">
        <f>Y995</f>
        <v>#VALUE!</v>
      </c>
      <c r="Z1160" s="2" t="e">
        <f>Z995</f>
        <v>#VALUE!</v>
      </c>
      <c r="AA1160" s="2" t="e">
        <f>AA995</f>
        <v>#VALUE!</v>
      </c>
      <c r="AB1160" s="2" t="e">
        <f>AB995</f>
        <v>#VALUE!</v>
      </c>
      <c r="AC1160" s="2" t="e">
        <f>AC995</f>
        <v>#VALUE!</v>
      </c>
      <c r="AD1160" s="117" t="e">
        <f>ROUND(SUM(-G1160,H1160:L1160),0)</f>
        <v>#VALUE!</v>
      </c>
      <c r="AE1160" s="117" t="e">
        <f>ROUND(H1160-O1160-P1160-Q1160-R1160,0)</f>
        <v>#VALUE!</v>
      </c>
      <c r="AF1160" s="117" t="e">
        <f>ROUND(I1160-T1160-U1160-V1160-W1160,0)</f>
        <v>#VALUE!</v>
      </c>
      <c r="AG1160" s="117" t="e">
        <f>ROUND(J1160-Y1160-Z1160-AA1160-AC1160-AB1160,0)</f>
        <v>#VALUE!</v>
      </c>
      <c r="AH1160" s="116"/>
      <c r="AI1160" t="str">
        <f t="shared" si="679"/>
        <v>Calculation of Taxable Income:</v>
      </c>
      <c r="AJ1160" t="str">
        <f t="shared" si="662"/>
        <v>NA</v>
      </c>
      <c r="AK1160" t="str">
        <f>IF(ISERROR(MATCH(AI1160&amp;"."&amp;AJ1160,AK$91:AK1159,0)),AI1160&amp;"."&amp;AJ1160,AI1160&amp;"."&amp;AJ1160&amp;COUNTIFS(AI$91:AI1159,AI1160,AJ$91:AJ1159,AJ1160))</f>
        <v>Calculation of Taxable Income:.NA11</v>
      </c>
    </row>
    <row r="1161" spans="1:37" ht="15" hidden="1">
      <c r="A1161" s="120">
        <f>ROW()</f>
        <v>1161</v>
      </c>
      <c r="B1161" s="120"/>
      <c r="D1161" s="2" t="s">
        <v>491</v>
      </c>
      <c r="E1161" s="121"/>
      <c r="F1161" s="138"/>
      <c r="G1161" s="117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O1161" s="135"/>
      <c r="P1161" s="135"/>
      <c r="Q1161" s="135">
        <v>0</v>
      </c>
      <c r="R1161" s="135">
        <v>0</v>
      </c>
      <c r="T1161" s="135"/>
      <c r="U1161" s="135"/>
      <c r="V1161" s="135">
        <v>0</v>
      </c>
      <c r="W1161" s="135">
        <v>0</v>
      </c>
      <c r="X1161" s="3"/>
      <c r="Y1161" s="135">
        <v>0</v>
      </c>
      <c r="Z1161" s="135">
        <v>0</v>
      </c>
      <c r="AA1161" s="135">
        <v>0</v>
      </c>
      <c r="AB1161" s="135">
        <v>0</v>
      </c>
      <c r="AC1161" s="135">
        <v>0</v>
      </c>
      <c r="AD1161" s="117">
        <f>ROUND(SUM(-G1161,H1161:L1161),0)</f>
        <v>0</v>
      </c>
      <c r="AE1161" s="117">
        <f>ROUND(H1161-O1161-P1161-Q1161-R1161,0)</f>
        <v>0</v>
      </c>
      <c r="AF1161" s="117">
        <f>ROUND(I1161-T1161-U1161-V1161-W1161,0)</f>
        <v>0</v>
      </c>
      <c r="AG1161" s="117">
        <f>ROUND(J1161-Y1161-Z1161-AA1161-AC1161-AB1161,0)</f>
        <v>0</v>
      </c>
      <c r="AH1161" s="116"/>
      <c r="AI1161" t="str">
        <f t="shared" si="679"/>
        <v>Calculation of Taxable Income:</v>
      </c>
      <c r="AJ1161" t="str">
        <f t="shared" si="662"/>
        <v>NA</v>
      </c>
      <c r="AK1161" t="str">
        <f>IF(ISERROR(MATCH(AI1161&amp;"."&amp;AJ1161,AK$91:AK1160,0)),AI1161&amp;"."&amp;AJ1161,AI1161&amp;"."&amp;AJ1161&amp;COUNTIFS(AI$91:AI1160,AI1161,AJ$91:AJ1160,AJ1161))</f>
        <v>Calculation of Taxable Income:.NA12</v>
      </c>
    </row>
    <row r="1162" spans="1:37" ht="15" hidden="1">
      <c r="A1162" s="120">
        <f>ROW()</f>
        <v>1162</v>
      </c>
      <c r="B1162" s="120"/>
      <c r="D1162" s="2" t="s">
        <v>492</v>
      </c>
      <c r="E1162" s="121"/>
      <c r="F1162" s="138"/>
      <c r="G1162" s="133" t="e">
        <f t="shared" ref="G1162:L1162" si="699">G1140</f>
        <v>#VALUE!</v>
      </c>
      <c r="H1162" s="139" t="e">
        <f t="shared" si="699"/>
        <v>#VALUE!</v>
      </c>
      <c r="I1162" s="139" t="e">
        <f t="shared" si="699"/>
        <v>#VALUE!</v>
      </c>
      <c r="J1162" s="139" t="e">
        <f t="shared" si="699"/>
        <v>#VALUE!</v>
      </c>
      <c r="K1162" s="139" t="e">
        <f t="shared" si="699"/>
        <v>#VALUE!</v>
      </c>
      <c r="L1162" s="139" t="e">
        <f t="shared" si="699"/>
        <v>#VALUE!</v>
      </c>
      <c r="O1162" s="139"/>
      <c r="P1162" s="139"/>
      <c r="Q1162" s="139" t="e">
        <f>Q1140</f>
        <v>#VALUE!</v>
      </c>
      <c r="R1162" s="139" t="e">
        <f>R1140</f>
        <v>#VALUE!</v>
      </c>
      <c r="T1162" s="139"/>
      <c r="U1162" s="139"/>
      <c r="V1162" s="139" t="e">
        <f>V1140</f>
        <v>#VALUE!</v>
      </c>
      <c r="W1162" s="139" t="e">
        <f>W1140</f>
        <v>#VALUE!</v>
      </c>
      <c r="X1162" s="163"/>
      <c r="Y1162" s="139" t="e">
        <f>Y1140</f>
        <v>#VALUE!</v>
      </c>
      <c r="Z1162" s="139" t="e">
        <f>Z1140</f>
        <v>#VALUE!</v>
      </c>
      <c r="AA1162" s="139" t="e">
        <f>AA1140</f>
        <v>#VALUE!</v>
      </c>
      <c r="AB1162" s="139" t="e">
        <f>AB1140</f>
        <v>#VALUE!</v>
      </c>
      <c r="AC1162" s="139" t="e">
        <f>AC1140</f>
        <v>#VALUE!</v>
      </c>
      <c r="AD1162" s="117" t="e">
        <f>ROUND(SUM(-G1162,H1162:L1162),0)</f>
        <v>#VALUE!</v>
      </c>
      <c r="AE1162" s="117" t="e">
        <f>ROUND(H1162-O1162-P1162-Q1162-R1162,0)</f>
        <v>#VALUE!</v>
      </c>
      <c r="AF1162" s="117" t="e">
        <f>ROUND(I1162-T1162-U1162-V1162-W1162,0)</f>
        <v>#VALUE!</v>
      </c>
      <c r="AG1162" s="117" t="e">
        <f>ROUND(J1162-Y1162-Z1162-AA1162-AC1162-AB1162,0)</f>
        <v>#VALUE!</v>
      </c>
      <c r="AH1162" s="116"/>
      <c r="AI1162" t="str">
        <f t="shared" si="679"/>
        <v>Calculation of Taxable Income:</v>
      </c>
      <c r="AJ1162" t="str">
        <f t="shared" si="662"/>
        <v>NA</v>
      </c>
      <c r="AK1162" t="str">
        <f>IF(ISERROR(MATCH(AI1162&amp;"."&amp;AJ1162,AK$91:AK1161,0)),AI1162&amp;"."&amp;AJ1162,AI1162&amp;"."&amp;AJ1162&amp;COUNTIFS(AI$91:AI1161,AI1162,AJ$91:AJ1161,AJ1162))</f>
        <v>Calculation of Taxable Income:.NA13</v>
      </c>
    </row>
    <row r="1163" spans="1:37" ht="15" hidden="1">
      <c r="A1163" s="120">
        <f>ROW()</f>
        <v>1163</v>
      </c>
      <c r="B1163" s="120"/>
      <c r="E1163" s="121"/>
      <c r="F1163" s="138"/>
      <c r="G1163" s="119"/>
      <c r="X1163" s="3"/>
      <c r="AD1163" s="119"/>
      <c r="AE1163" s="119"/>
      <c r="AF1163" s="119"/>
      <c r="AG1163" s="119"/>
      <c r="AI1163" t="str">
        <f t="shared" si="679"/>
        <v>Calculation of Taxable Income:</v>
      </c>
      <c r="AJ1163" t="str">
        <f t="shared" si="662"/>
        <v>NA</v>
      </c>
      <c r="AK1163" t="str">
        <f>IF(ISERROR(MATCH(AI1163&amp;"."&amp;AJ1163,AK$91:AK1162,0)),AI1163&amp;"."&amp;AJ1163,AI1163&amp;"."&amp;AJ1163&amp;COUNTIFS(AI$91:AI1162,AI1163,AJ$91:AJ1162,AJ1163))</f>
        <v>Calculation of Taxable Income:.NA14</v>
      </c>
    </row>
    <row r="1164" spans="1:37" ht="15" hidden="1">
      <c r="A1164" s="120">
        <f>ROW()</f>
        <v>1164</v>
      </c>
      <c r="B1164" s="120"/>
      <c r="D1164" s="2" t="s">
        <v>493</v>
      </c>
      <c r="E1164" s="121"/>
      <c r="F1164" s="138"/>
      <c r="G1164" s="117" t="e">
        <f t="shared" ref="G1164:L1164" si="700">G1150-G1158-G1160+G1161+G1162</f>
        <v>#VALUE!</v>
      </c>
      <c r="H1164" s="135" t="e">
        <f t="shared" si="700"/>
        <v>#VALUE!</v>
      </c>
      <c r="I1164" s="135" t="e">
        <f t="shared" si="700"/>
        <v>#VALUE!</v>
      </c>
      <c r="J1164" s="135" t="e">
        <f t="shared" si="700"/>
        <v>#VALUE!</v>
      </c>
      <c r="K1164" s="135" t="e">
        <f t="shared" si="700"/>
        <v>#VALUE!</v>
      </c>
      <c r="L1164" s="135" t="e">
        <f t="shared" si="700"/>
        <v>#VALUE!</v>
      </c>
      <c r="O1164" s="135"/>
      <c r="P1164" s="135"/>
      <c r="Q1164" s="135" t="e">
        <f>Q1150-Q1158-Q1160+Q1161+Q1162</f>
        <v>#VALUE!</v>
      </c>
      <c r="R1164" s="135" t="e">
        <f>R1150-R1158-R1160+R1161+R1162</f>
        <v>#VALUE!</v>
      </c>
      <c r="T1164" s="135"/>
      <c r="U1164" s="135"/>
      <c r="V1164" s="135" t="e">
        <f>V1150-V1158-V1160+V1161+V1162</f>
        <v>#VALUE!</v>
      </c>
      <c r="W1164" s="135" t="e">
        <f>W1150-W1158-W1160+W1161+W1162</f>
        <v>#VALUE!</v>
      </c>
      <c r="X1164" s="3"/>
      <c r="Y1164" s="135" t="e">
        <f>Y1150-Y1158-Y1160+Y1161+Y1162</f>
        <v>#VALUE!</v>
      </c>
      <c r="Z1164" s="135" t="e">
        <f>Z1150-Z1158-Z1160+Z1161+Z1162</f>
        <v>#VALUE!</v>
      </c>
      <c r="AA1164" s="135" t="e">
        <f>AA1150-AA1158-AA1160+AA1161+AA1162</f>
        <v>#VALUE!</v>
      </c>
      <c r="AB1164" s="135" t="e">
        <f>AB1150-AB1158-AB1160+AB1161+AB1162</f>
        <v>#VALUE!</v>
      </c>
      <c r="AC1164" s="135" t="e">
        <f>AC1150-AC1158-AC1160+AC1161+AC1162</f>
        <v>#VALUE!</v>
      </c>
      <c r="AD1164" s="117" t="e">
        <f>ROUND(SUM(-G1164,H1164:L1164),0)</f>
        <v>#VALUE!</v>
      </c>
      <c r="AE1164" s="117" t="e">
        <f>ROUND(H1164-O1164-P1164-Q1164-R1164,0)</f>
        <v>#VALUE!</v>
      </c>
      <c r="AF1164" s="117" t="e">
        <f>ROUND(I1164-T1164-U1164-V1164-W1164,0)</f>
        <v>#VALUE!</v>
      </c>
      <c r="AG1164" s="117" t="e">
        <f>ROUND(J1164-Y1164-Z1164-AA1164-AC1164-AB1164,0)</f>
        <v>#VALUE!</v>
      </c>
      <c r="AH1164" s="116"/>
      <c r="AI1164" t="str">
        <f t="shared" si="679"/>
        <v>Calculation of Taxable Income:</v>
      </c>
      <c r="AJ1164" t="str">
        <f t="shared" si="662"/>
        <v>NA</v>
      </c>
      <c r="AK1164" t="str">
        <f>IF(ISERROR(MATCH(AI1164&amp;"."&amp;AJ1164,AK$91:AK1163,0)),AI1164&amp;"."&amp;AJ1164,AI1164&amp;"."&amp;AJ1164&amp;COUNTIFS(AI$91:AI1163,AI1164,AJ$91:AJ1163,AJ1164))</f>
        <v>Calculation of Taxable Income:.NA15</v>
      </c>
    </row>
    <row r="1165" spans="1:37" ht="15" hidden="1">
      <c r="A1165" s="120">
        <f>ROW()</f>
        <v>1165</v>
      </c>
      <c r="B1165" s="120"/>
      <c r="E1165" s="121"/>
      <c r="F1165" s="138"/>
      <c r="G1165" s="119"/>
      <c r="X1165" s="3"/>
      <c r="AD1165" s="119"/>
      <c r="AE1165" s="119"/>
      <c r="AF1165" s="119"/>
      <c r="AG1165" s="119"/>
      <c r="AI1165" t="str">
        <f t="shared" si="679"/>
        <v>Calculation of Taxable Income:</v>
      </c>
      <c r="AJ1165" t="str">
        <f t="shared" si="662"/>
        <v>NA</v>
      </c>
      <c r="AK1165" t="str">
        <f>IF(ISERROR(MATCH(AI1165&amp;"."&amp;AJ1165,AK$91:AK1164,0)),AI1165&amp;"."&amp;AJ1165,AI1165&amp;"."&amp;AJ1165&amp;COUNTIFS(AI$91:AI1164,AI1165,AJ$91:AJ1164,AJ1165))</f>
        <v>Calculation of Taxable Income:.NA16</v>
      </c>
    </row>
    <row r="1166" spans="1:37" ht="15" hidden="1">
      <c r="A1166" s="120">
        <f>ROW()</f>
        <v>1166</v>
      </c>
      <c r="B1166" s="120"/>
      <c r="D1166" s="2" t="s">
        <v>477</v>
      </c>
      <c r="E1166" s="121"/>
      <c r="F1166" s="138" t="str">
        <f>INDEX(FuncAllocOptions,ROW(A1166)-ROW($A$92)+1,[4]Inputs!$S$11)</f>
        <v>SIT</v>
      </c>
      <c r="G1166" s="133" t="e">
        <f>G1147</f>
        <v>#VALUE!</v>
      </c>
      <c r="H1166" s="139" t="e">
        <f>INDEX(FuncFactorTbl,MATCH($F1166,FuncFactors,0),MATCH(H$8,Functions,0))*$G1166</f>
        <v>#VALUE!</v>
      </c>
      <c r="I1166" s="139" t="e">
        <f>INDEX(FuncFactorTbl,MATCH($F1166,FuncFactors,0),MATCH(I$8,Functions,0))*$G1166</f>
        <v>#VALUE!</v>
      </c>
      <c r="J1166" s="139" t="e">
        <f>INDEX(FuncFactorTbl,MATCH($F1166,FuncFactors,0),MATCH(J$8,Functions,0))*$G1166</f>
        <v>#VALUE!</v>
      </c>
      <c r="K1166" s="139" t="e">
        <f>INDEX(FuncFactorTbl,MATCH($F1166,FuncFactors,0),MATCH(K$8,Functions,0))*$G1166</f>
        <v>#VALUE!</v>
      </c>
      <c r="L1166" s="139" t="e">
        <f>INDEX(FuncFactorTbl,MATCH($F1166,FuncFactors,0),MATCH(L$8,Functions,0))*$G1166</f>
        <v>#VALUE!</v>
      </c>
      <c r="N1166" s="108">
        <v>0.75</v>
      </c>
      <c r="O1166" s="116"/>
      <c r="P1166" s="116"/>
      <c r="Q1166" s="116" t="e">
        <f>$H1166*$N1166*(1-$M1166)</f>
        <v>#VALUE!</v>
      </c>
      <c r="R1166" s="116" t="e">
        <f>$H1166*(1-$N1166)*(1-$M1166)</f>
        <v>#VALUE!</v>
      </c>
      <c r="S1166" s="108">
        <v>0.75</v>
      </c>
      <c r="T1166" s="116"/>
      <c r="U1166" s="116"/>
      <c r="V1166" s="116" t="e">
        <f>$I1166*$S1166*(1-$M1166)</f>
        <v>#VALUE!</v>
      </c>
      <c r="W1166" s="116" t="e">
        <f>$I1166*(1-$S1166)*(1-$M1166)</f>
        <v>#VALUE!</v>
      </c>
      <c r="X1166" s="163" t="str">
        <f>INDEX(DistFuncAllocOptions,ROW(A1166)-ROW($A$92)+1,[4]Inputs!$S$11)</f>
        <v>DRB</v>
      </c>
      <c r="Y1166" s="116" t="e">
        <f>INDEX(DistFuncFactorTbl,MATCH($X1166,DistFuncFactors,0),MATCH(Y$91,DistFunctions,0))*$J1166</f>
        <v>#VALUE!</v>
      </c>
      <c r="Z1166" s="116" t="e">
        <f>INDEX(DistFuncFactorTbl,MATCH($X1166,DistFuncFactors,0),MATCH(Z$91,DistFunctions,0))*$J1166</f>
        <v>#VALUE!</v>
      </c>
      <c r="AA1166" s="116" t="e">
        <f>INDEX(DistFuncFactorTbl,MATCH($X1166,DistFuncFactors,0),MATCH(AA$91,DistFunctions,0))*$J1166</f>
        <v>#VALUE!</v>
      </c>
      <c r="AB1166" s="116" t="e">
        <f>INDEX(DistFuncFactorTbl,MATCH($X1166,DistFuncFactors,0),MATCH(AB$91,DistFunctions,0))*$J1166</f>
        <v>#VALUE!</v>
      </c>
      <c r="AC1166" s="116" t="e">
        <f>INDEX(DistFuncFactorTbl,MATCH($X1166,DistFuncFactors,0),MATCH(AC$91,DistFunctions,0))*$J1166</f>
        <v>#VALUE!</v>
      </c>
      <c r="AD1166" s="117" t="e">
        <f>ROUND(SUM(-G1166,H1166:L1166),0)</f>
        <v>#VALUE!</v>
      </c>
      <c r="AE1166" s="117" t="e">
        <f>ROUND(H1166-O1166-P1166-Q1166-R1166,0)</f>
        <v>#VALUE!</v>
      </c>
      <c r="AF1166" s="117" t="e">
        <f>ROUND(I1166-T1166-U1166-V1166-W1166,0)</f>
        <v>#VALUE!</v>
      </c>
      <c r="AG1166" s="117" t="e">
        <f>ROUND(J1166-Y1166-Z1166-AA1166-AC1166-AB1166,0)</f>
        <v>#VALUE!</v>
      </c>
      <c r="AH1166" s="116"/>
      <c r="AI1166" t="str">
        <f t="shared" si="679"/>
        <v>Calculation of Taxable Income:</v>
      </c>
      <c r="AJ1166" t="str">
        <f t="shared" si="662"/>
        <v>NA</v>
      </c>
      <c r="AK1166" t="str">
        <f>IF(ISERROR(MATCH(AI1166&amp;"."&amp;AJ1166,AK$91:AK1165,0)),AI1166&amp;"."&amp;AJ1166,AI1166&amp;"."&amp;AJ1166&amp;COUNTIFS(AI$91:AI1165,AI1166,AJ$91:AJ1165,AJ1166))</f>
        <v>Calculation of Taxable Income:.NA17</v>
      </c>
    </row>
    <row r="1167" spans="1:37" ht="15" hidden="1">
      <c r="A1167" s="120">
        <f>ROW()</f>
        <v>1167</v>
      </c>
      <c r="B1167" s="120"/>
      <c r="E1167" s="121"/>
      <c r="F1167" s="138"/>
      <c r="G1167" s="119"/>
      <c r="X1167" s="3"/>
      <c r="AD1167" s="119"/>
      <c r="AE1167" s="119"/>
      <c r="AF1167" s="119"/>
      <c r="AG1167" s="119"/>
      <c r="AI1167" t="str">
        <f t="shared" si="679"/>
        <v>Calculation of Taxable Income:</v>
      </c>
      <c r="AJ1167" t="str">
        <f t="shared" si="662"/>
        <v>NA</v>
      </c>
      <c r="AK1167" t="str">
        <f>IF(ISERROR(MATCH(AI1167&amp;"."&amp;AJ1167,AK$91:AK1166,0)),AI1167&amp;"."&amp;AJ1167,AI1167&amp;"."&amp;AJ1167&amp;COUNTIFS(AI$91:AI1166,AI1167,AJ$91:AJ1166,AJ1167))</f>
        <v>Calculation of Taxable Income:.NA18</v>
      </c>
    </row>
    <row r="1168" spans="1:37" ht="15.75" hidden="1" thickBot="1">
      <c r="A1168" s="120">
        <f>ROW()</f>
        <v>1168</v>
      </c>
      <c r="B1168" s="120"/>
      <c r="C1168" s="110" t="s">
        <v>494</v>
      </c>
      <c r="E1168" s="121"/>
      <c r="F1168" s="138"/>
      <c r="G1168" s="155" t="e">
        <f t="shared" ref="G1168:L1168" si="701">G1164-G1166</f>
        <v>#VALUE!</v>
      </c>
      <c r="H1168" s="170" t="e">
        <f t="shared" si="701"/>
        <v>#VALUE!</v>
      </c>
      <c r="I1168" s="170" t="e">
        <f t="shared" si="701"/>
        <v>#VALUE!</v>
      </c>
      <c r="J1168" s="170" t="e">
        <f t="shared" si="701"/>
        <v>#VALUE!</v>
      </c>
      <c r="K1168" s="170" t="e">
        <f t="shared" si="701"/>
        <v>#VALUE!</v>
      </c>
      <c r="L1168" s="170" t="e">
        <f t="shared" si="701"/>
        <v>#VALUE!</v>
      </c>
      <c r="O1168" s="170"/>
      <c r="P1168" s="170"/>
      <c r="Q1168" s="170" t="e">
        <f>Q1164-Q1166</f>
        <v>#VALUE!</v>
      </c>
      <c r="R1168" s="170" t="e">
        <f>R1164-R1166</f>
        <v>#VALUE!</v>
      </c>
      <c r="T1168" s="170"/>
      <c r="U1168" s="170"/>
      <c r="V1168" s="170" t="e">
        <f>V1164-V1166</f>
        <v>#VALUE!</v>
      </c>
      <c r="W1168" s="170" t="e">
        <f>W1164-W1166</f>
        <v>#VALUE!</v>
      </c>
      <c r="X1168" s="3"/>
      <c r="Y1168" s="170" t="e">
        <f>Y1164-Y1166</f>
        <v>#VALUE!</v>
      </c>
      <c r="Z1168" s="170" t="e">
        <f>Z1164-Z1166</f>
        <v>#VALUE!</v>
      </c>
      <c r="AA1168" s="170" t="e">
        <f>AA1164-AA1166</f>
        <v>#VALUE!</v>
      </c>
      <c r="AB1168" s="170" t="e">
        <f>AB1164-AB1166</f>
        <v>#VALUE!</v>
      </c>
      <c r="AC1168" s="170" t="e">
        <f>AC1164-AC1166</f>
        <v>#VALUE!</v>
      </c>
      <c r="AD1168" s="117" t="e">
        <f>ROUND(SUM(-G1168,H1168:L1168),0)</f>
        <v>#VALUE!</v>
      </c>
      <c r="AE1168" s="117" t="e">
        <f>ROUND(H1168-O1168-P1168-Q1168-R1168,0)</f>
        <v>#VALUE!</v>
      </c>
      <c r="AF1168" s="117" t="e">
        <f>ROUND(I1168-T1168-U1168-V1168-W1168,0)</f>
        <v>#VALUE!</v>
      </c>
      <c r="AG1168" s="117" t="e">
        <f>ROUND(J1168-Y1168-Z1168-AA1168-AC1168-AB1168,0)</f>
        <v>#VALUE!</v>
      </c>
      <c r="AH1168" s="116"/>
      <c r="AI1168" t="str">
        <f t="shared" si="679"/>
        <v>Total Taxable Income</v>
      </c>
      <c r="AJ1168" t="str">
        <f t="shared" si="662"/>
        <v>NA</v>
      </c>
      <c r="AK1168" t="str">
        <f>IF(ISERROR(MATCH(AI1168&amp;"."&amp;AJ1168,AK$91:AK1167,0)),AI1168&amp;"."&amp;AJ1168,AI1168&amp;"."&amp;AJ1168&amp;COUNTIFS(AI$91:AI1167,AI1168,AJ$91:AJ1167,AJ1168))</f>
        <v>Total Taxable Income.NA</v>
      </c>
    </row>
    <row r="1169" spans="1:37" ht="15" hidden="1">
      <c r="A1169" s="120">
        <f>ROW()</f>
        <v>1169</v>
      </c>
      <c r="B1169" s="120"/>
      <c r="E1169" s="121"/>
      <c r="F1169" s="138"/>
      <c r="G1169" s="119"/>
      <c r="X1169" s="3"/>
      <c r="AD1169" s="119"/>
      <c r="AE1169" s="119"/>
      <c r="AF1169" s="119"/>
      <c r="AG1169" s="119"/>
      <c r="AI1169" t="str">
        <f t="shared" si="679"/>
        <v>Total Taxable Income</v>
      </c>
      <c r="AJ1169" t="str">
        <f t="shared" si="662"/>
        <v>NA</v>
      </c>
      <c r="AK1169" t="str">
        <f>IF(ISERROR(MATCH(AI1169&amp;"."&amp;AJ1169,AK$91:AK1168,0)),AI1169&amp;"."&amp;AJ1169,AI1169&amp;"."&amp;AJ1169&amp;COUNTIFS(AI$91:AI1168,AI1169,AJ$91:AJ1168,AJ1169))</f>
        <v>Total Taxable Income.NA1</v>
      </c>
    </row>
    <row r="1170" spans="1:37" ht="15" hidden="1">
      <c r="A1170" s="120">
        <f>ROW()</f>
        <v>1170</v>
      </c>
      <c r="B1170" s="120"/>
      <c r="C1170" s="110" t="s">
        <v>495</v>
      </c>
      <c r="E1170" s="121"/>
      <c r="F1170" s="138"/>
      <c r="G1170" s="169">
        <f>[4]Inputs!H18</f>
        <v>0.21</v>
      </c>
      <c r="X1170" s="3"/>
      <c r="AD1170" s="119"/>
      <c r="AE1170" s="119"/>
      <c r="AF1170" s="119"/>
      <c r="AG1170" s="119"/>
      <c r="AI1170" t="str">
        <f t="shared" si="679"/>
        <v>Tax Rate</v>
      </c>
      <c r="AJ1170" t="str">
        <f t="shared" si="662"/>
        <v>NA</v>
      </c>
      <c r="AK1170" t="str">
        <f>IF(ISERROR(MATCH(AI1170&amp;"."&amp;AJ1170,AK$91:AK1169,0)),AI1170&amp;"."&amp;AJ1170,AI1170&amp;"."&amp;AJ1170&amp;COUNTIFS(AI$91:AI1169,AI1170,AJ$91:AJ1169,AJ1170))</f>
        <v>Tax Rate.NA</v>
      </c>
    </row>
    <row r="1171" spans="1:37" ht="15" hidden="1">
      <c r="A1171" s="120">
        <f>ROW()</f>
        <v>1171</v>
      </c>
      <c r="B1171" s="120"/>
      <c r="E1171" s="121"/>
      <c r="F1171" s="138"/>
      <c r="G1171" s="119"/>
      <c r="X1171" s="3"/>
      <c r="AD1171" s="119"/>
      <c r="AE1171" s="119"/>
      <c r="AF1171" s="119"/>
      <c r="AG1171" s="119"/>
      <c r="AI1171" t="str">
        <f t="shared" si="679"/>
        <v>Tax Rate</v>
      </c>
      <c r="AJ1171" t="str">
        <f t="shared" si="662"/>
        <v>NA</v>
      </c>
      <c r="AK1171" t="str">
        <f>IF(ISERROR(MATCH(AI1171&amp;"."&amp;AJ1171,AK$91:AK1170,0)),AI1171&amp;"."&amp;AJ1171,AI1171&amp;"."&amp;AJ1171&amp;COUNTIFS(AI$91:AI1170,AI1171,AJ$91:AJ1170,AJ1171))</f>
        <v>Tax Rate.NA1</v>
      </c>
    </row>
    <row r="1172" spans="1:37" ht="15" hidden="1">
      <c r="A1172" s="120">
        <f>ROW()</f>
        <v>1172</v>
      </c>
      <c r="B1172" s="120"/>
      <c r="C1172" s="110" t="s">
        <v>496</v>
      </c>
      <c r="E1172" s="121"/>
      <c r="F1172" s="138"/>
      <c r="G1172" s="117" t="e">
        <f t="shared" ref="G1172:L1172" si="702">$G$1170*G1168</f>
        <v>#VALUE!</v>
      </c>
      <c r="H1172" s="135" t="e">
        <f t="shared" si="702"/>
        <v>#VALUE!</v>
      </c>
      <c r="I1172" s="135" t="e">
        <f t="shared" si="702"/>
        <v>#VALUE!</v>
      </c>
      <c r="J1172" s="135" t="e">
        <f t="shared" si="702"/>
        <v>#VALUE!</v>
      </c>
      <c r="K1172" s="135" t="e">
        <f t="shared" si="702"/>
        <v>#VALUE!</v>
      </c>
      <c r="L1172" s="135" t="e">
        <f t="shared" si="702"/>
        <v>#VALUE!</v>
      </c>
      <c r="O1172" s="116"/>
      <c r="P1172" s="116"/>
      <c r="Q1172" s="116" t="e">
        <f>$G$1170*Q1168</f>
        <v>#VALUE!</v>
      </c>
      <c r="R1172" s="116" t="e">
        <f>$G$1170*R1168</f>
        <v>#VALUE!</v>
      </c>
      <c r="T1172" s="116"/>
      <c r="U1172" s="116"/>
      <c r="V1172" s="116" t="e">
        <f>$G$1170*V1168</f>
        <v>#VALUE!</v>
      </c>
      <c r="W1172" s="116" t="e">
        <f>$G$1170*W1168</f>
        <v>#VALUE!</v>
      </c>
      <c r="X1172" s="163"/>
      <c r="Y1172" s="116" t="e">
        <f>$G$1170*Y1168</f>
        <v>#VALUE!</v>
      </c>
      <c r="Z1172" s="116" t="e">
        <f>$G$1170*Z1168</f>
        <v>#VALUE!</v>
      </c>
      <c r="AA1172" s="116" t="e">
        <f>$G$1170*AA1168</f>
        <v>#VALUE!</v>
      </c>
      <c r="AB1172" s="116" t="e">
        <f>$G$1170*AB1168</f>
        <v>#VALUE!</v>
      </c>
      <c r="AC1172" s="116" t="e">
        <f>$G$1170*AC1168</f>
        <v>#VALUE!</v>
      </c>
      <c r="AD1172" s="117"/>
      <c r="AE1172" s="117"/>
      <c r="AF1172" s="117"/>
      <c r="AG1172" s="117"/>
      <c r="AH1172" s="116"/>
      <c r="AI1172" t="str">
        <f t="shared" si="679"/>
        <v>Federal Income Tax - Calculated</v>
      </c>
      <c r="AJ1172" t="str">
        <f t="shared" si="662"/>
        <v>NA</v>
      </c>
      <c r="AK1172" t="str">
        <f>IF(ISERROR(MATCH(AI1172&amp;"."&amp;AJ1172,AK$91:AK1171,0)),AI1172&amp;"."&amp;AJ1172,AI1172&amp;"."&amp;AJ1172&amp;COUNTIFS(AI$91:AI1171,AI1172,AJ$91:AJ1171,AJ1172))</f>
        <v>Federal Income Tax - Calculated.NA</v>
      </c>
    </row>
    <row r="1173" spans="1:37" ht="15" hidden="1">
      <c r="A1173" s="120">
        <f>ROW()</f>
        <v>1173</v>
      </c>
      <c r="B1173" s="120"/>
      <c r="E1173" s="121"/>
      <c r="F1173" s="138"/>
      <c r="G1173" s="119"/>
      <c r="X1173" s="3"/>
      <c r="AD1173" s="119"/>
      <c r="AE1173" s="119"/>
      <c r="AF1173" s="119"/>
      <c r="AG1173" s="119"/>
      <c r="AI1173" t="str">
        <f t="shared" si="679"/>
        <v>Federal Income Tax - Calculated</v>
      </c>
      <c r="AJ1173" t="str">
        <f t="shared" si="662"/>
        <v>NA</v>
      </c>
      <c r="AK1173" t="str">
        <f>IF(ISERROR(MATCH(AI1173&amp;"."&amp;AJ1173,AK$91:AK1172,0)),AI1173&amp;"."&amp;AJ1173,AI1173&amp;"."&amp;AJ1173&amp;COUNTIFS(AI$91:AI1172,AI1173,AJ$91:AJ1172,AJ1173))</f>
        <v>Federal Income Tax - Calculated.NA1</v>
      </c>
    </row>
    <row r="1174" spans="1:37" ht="15" hidden="1">
      <c r="A1174" s="120">
        <f>ROW()</f>
        <v>1174</v>
      </c>
      <c r="B1174" s="120"/>
      <c r="C1174" s="168" t="s">
        <v>241</v>
      </c>
      <c r="E1174" s="121"/>
      <c r="F1174" s="138"/>
      <c r="G1174" s="119"/>
      <c r="X1174" s="3"/>
      <c r="AD1174" s="119"/>
      <c r="AE1174" s="119"/>
      <c r="AF1174" s="119"/>
      <c r="AG1174" s="119"/>
      <c r="AI1174" t="str">
        <f t="shared" si="679"/>
        <v>Adjustments to Calculated Tax:</v>
      </c>
      <c r="AJ1174" t="str">
        <f t="shared" si="662"/>
        <v>NA</v>
      </c>
      <c r="AK1174" t="str">
        <f>IF(ISERROR(MATCH(AI1174&amp;"."&amp;AJ1174,AK$91:AK1173,0)),AI1174&amp;"."&amp;AJ1174,AI1174&amp;"."&amp;AJ1174&amp;COUNTIFS(AI$91:AI1173,AI1174,AJ$91:AJ1173,AJ1174))</f>
        <v>Adjustments to Calculated Tax:.NA</v>
      </c>
    </row>
    <row r="1175" spans="1:37" ht="15" hidden="1">
      <c r="A1175" s="120">
        <f>ROW()</f>
        <v>1175</v>
      </c>
      <c r="B1175" s="120"/>
      <c r="C1175" s="1">
        <v>40910</v>
      </c>
      <c r="D1175" s="2" t="s">
        <v>747</v>
      </c>
      <c r="E1175" s="121" t="s">
        <v>16</v>
      </c>
      <c r="F1175" s="138" t="str">
        <f>INDEX(FuncAllocOptions,ROW(A1175)-ROW($A$92)+1,[4]Inputs!$S$11)</f>
        <v>P</v>
      </c>
      <c r="G1175" s="117" t="e">
        <f>SUMIF(FERCJAMFactor,AK1175,JAMValue)</f>
        <v>#VALUE!</v>
      </c>
      <c r="H1175" s="116" t="e">
        <f t="shared" ref="H1175:L1178" si="703">INDEX(FuncFactorTbl,MATCH($F1175,FuncFactors,0),MATCH(H$8,Functions,0))*$G1175</f>
        <v>#VALUE!</v>
      </c>
      <c r="I1175" s="116" t="e">
        <f t="shared" si="703"/>
        <v>#VALUE!</v>
      </c>
      <c r="J1175" s="116" t="e">
        <f t="shared" si="703"/>
        <v>#VALUE!</v>
      </c>
      <c r="K1175" s="116" t="e">
        <f t="shared" si="703"/>
        <v>#VALUE!</v>
      </c>
      <c r="L1175" s="116" t="e">
        <f t="shared" si="703"/>
        <v>#VALUE!</v>
      </c>
      <c r="N1175" s="108">
        <v>0.75</v>
      </c>
      <c r="O1175" s="116" t="e">
        <f>$H1175*$N1175*$M1175</f>
        <v>#VALUE!</v>
      </c>
      <c r="P1175" s="116" t="e">
        <f>$H1175*(1-$N1175)*$M1175</f>
        <v>#VALUE!</v>
      </c>
      <c r="Q1175" s="116" t="e">
        <f>$H1175*$N1175*(1-$M1175)</f>
        <v>#VALUE!</v>
      </c>
      <c r="R1175" s="116" t="e">
        <f>$H1175*(1-$N1175)*(1-$M1175)</f>
        <v>#VALUE!</v>
      </c>
      <c r="S1175" s="108">
        <v>0.75</v>
      </c>
      <c r="T1175" s="116" t="e">
        <f>$I1175*$S1175*$M1175</f>
        <v>#VALUE!</v>
      </c>
      <c r="U1175" s="116" t="e">
        <f>$I1175*(1-$S1175)*$M1175</f>
        <v>#VALUE!</v>
      </c>
      <c r="V1175" s="116" t="e">
        <f>$I1175*$S1175*(1-$M1175)</f>
        <v>#VALUE!</v>
      </c>
      <c r="W1175" s="116" t="e">
        <f>$I1175*(1-$S1175)*(1-$M1175)</f>
        <v>#VALUE!</v>
      </c>
      <c r="X1175" s="163"/>
      <c r="Y1175" s="116">
        <v>0</v>
      </c>
      <c r="Z1175" s="116">
        <v>0</v>
      </c>
      <c r="AA1175" s="116">
        <v>0</v>
      </c>
      <c r="AB1175" s="116">
        <v>0</v>
      </c>
      <c r="AC1175" s="116">
        <v>0</v>
      </c>
      <c r="AD1175" s="117" t="e">
        <f>ROUND(SUM(-G1175,H1175:L1175),0)</f>
        <v>#VALUE!</v>
      </c>
      <c r="AE1175" s="117" t="e">
        <f>ROUND(H1175-O1175-P1175-Q1175-R1175,0)</f>
        <v>#VALUE!</v>
      </c>
      <c r="AF1175" s="117" t="e">
        <f>ROUND(I1175-T1175-U1175-V1175-W1175,0)</f>
        <v>#VALUE!</v>
      </c>
      <c r="AG1175" s="117" t="e">
        <f>ROUND(J1175-Y1175-Z1175-AA1175-AC1175-AB1175,0)</f>
        <v>#VALUE!</v>
      </c>
      <c r="AH1175" s="116"/>
      <c r="AI1175">
        <f t="shared" si="679"/>
        <v>40910</v>
      </c>
      <c r="AJ1175" t="str">
        <f t="shared" si="662"/>
        <v>SE</v>
      </c>
      <c r="AK1175" t="str">
        <f>IF(ISERROR(MATCH(AI1175&amp;"."&amp;AJ1175,AK$91:AK1174,0)),AI1175&amp;"."&amp;AJ1175,AI1175&amp;"."&amp;AJ1175&amp;COUNTIFS(AI$91:AI1174,AI1175,AJ$91:AJ1174,AJ1175))</f>
        <v>40910.SE</v>
      </c>
    </row>
    <row r="1176" spans="1:37" ht="15" hidden="1">
      <c r="A1176" s="120">
        <f>ROW()</f>
        <v>1176</v>
      </c>
      <c r="B1176" s="120"/>
      <c r="C1176" s="1">
        <v>40910</v>
      </c>
      <c r="D1176" s="2" t="s">
        <v>478</v>
      </c>
      <c r="E1176" s="121" t="s">
        <v>15</v>
      </c>
      <c r="F1176" s="138" t="str">
        <f>INDEX(FuncAllocOptions,ROW(A1176)-ROW($A$92)+1,[4]Inputs!$S$11)</f>
        <v>P</v>
      </c>
      <c r="G1176" s="117" t="e">
        <f>SUMIF(FERCJAMFactor,AK1176,JAMValue)</f>
        <v>#VALUE!</v>
      </c>
      <c r="H1176" s="116" t="e">
        <f t="shared" si="703"/>
        <v>#VALUE!</v>
      </c>
      <c r="I1176" s="116" t="e">
        <f t="shared" si="703"/>
        <v>#VALUE!</v>
      </c>
      <c r="J1176" s="116" t="e">
        <f t="shared" si="703"/>
        <v>#VALUE!</v>
      </c>
      <c r="K1176" s="116" t="e">
        <f t="shared" si="703"/>
        <v>#VALUE!</v>
      </c>
      <c r="L1176" s="116" t="e">
        <f t="shared" si="703"/>
        <v>#VALUE!</v>
      </c>
      <c r="M1176" s="164">
        <v>1</v>
      </c>
      <c r="N1176" s="108">
        <v>0.75</v>
      </c>
      <c r="O1176" s="116" t="e">
        <f>$H1176*$N1176*$M1176</f>
        <v>#VALUE!</v>
      </c>
      <c r="P1176" s="116" t="e">
        <f>$H1176*(1-$N1176)*$M1176</f>
        <v>#VALUE!</v>
      </c>
      <c r="Q1176" s="116" t="e">
        <f>$H1176*$N1176*(1-$M1176)</f>
        <v>#VALUE!</v>
      </c>
      <c r="R1176" s="116" t="e">
        <f>$H1176*(1-$N1176)*(1-$M1176)</f>
        <v>#VALUE!</v>
      </c>
      <c r="S1176" s="108">
        <v>0.75</v>
      </c>
      <c r="T1176" s="116" t="e">
        <f>$I1176*$S1176*$M1176</f>
        <v>#VALUE!</v>
      </c>
      <c r="U1176" s="116" t="e">
        <f>$I1176*(1-$S1176)*$M1176</f>
        <v>#VALUE!</v>
      </c>
      <c r="V1176" s="116" t="e">
        <f>$I1176*$S1176*(1-$M1176)</f>
        <v>#VALUE!</v>
      </c>
      <c r="W1176" s="116" t="e">
        <f>$I1176*(1-$S1176)*(1-$M1176)</f>
        <v>#VALUE!</v>
      </c>
      <c r="X1176" s="163"/>
      <c r="Y1176" s="116">
        <v>0</v>
      </c>
      <c r="Z1176" s="116">
        <v>0</v>
      </c>
      <c r="AA1176" s="116">
        <v>0</v>
      </c>
      <c r="AB1176" s="116">
        <v>0</v>
      </c>
      <c r="AC1176" s="116">
        <v>0</v>
      </c>
      <c r="AD1176" s="117" t="e">
        <f>ROUND(SUM(-G1176,H1176:L1176),0)</f>
        <v>#VALUE!</v>
      </c>
      <c r="AE1176" s="117" t="e">
        <f>ROUND(H1176-O1176-P1176-Q1176-R1176,0)</f>
        <v>#VALUE!</v>
      </c>
      <c r="AF1176" s="117" t="e">
        <f>ROUND(I1176-T1176-U1176-V1176-W1176,0)</f>
        <v>#VALUE!</v>
      </c>
      <c r="AG1176" s="117" t="e">
        <f>ROUND(J1176-Y1176-Z1176-AA1176-AC1176-AB1176,0)</f>
        <v>#VALUE!</v>
      </c>
      <c r="AH1176" s="116"/>
      <c r="AI1176">
        <f t="shared" si="679"/>
        <v>40910</v>
      </c>
      <c r="AJ1176" t="str">
        <f t="shared" si="662"/>
        <v>SG</v>
      </c>
      <c r="AK1176" t="str">
        <f>IF(ISERROR(MATCH(AI1176&amp;"."&amp;AJ1176,AK$91:AK1175,0)),AI1176&amp;"."&amp;AJ1176,AI1176&amp;"."&amp;AJ1176&amp;COUNTIFS(AI$91:AI1175,AI1176,AJ$91:AJ1175,AJ1176))</f>
        <v>40910.SG</v>
      </c>
    </row>
    <row r="1177" spans="1:37" ht="15" hidden="1">
      <c r="A1177" s="120">
        <f>ROW()</f>
        <v>1177</v>
      </c>
      <c r="B1177" s="120"/>
      <c r="C1177" s="1">
        <v>40910</v>
      </c>
      <c r="D1177" s="2" t="s">
        <v>126</v>
      </c>
      <c r="E1177" s="121" t="s">
        <v>136</v>
      </c>
      <c r="F1177" s="138" t="str">
        <f>INDEX(FuncAllocOptions,ROW(A1177)-ROW($A$92)+1,[4]Inputs!$S$11)</f>
        <v>P</v>
      </c>
      <c r="G1177" s="117" t="e">
        <f>SUMIF(FERCJAMFactor,AK1177,JAMValue)</f>
        <v>#VALUE!</v>
      </c>
      <c r="H1177" s="116" t="e">
        <f t="shared" si="703"/>
        <v>#VALUE!</v>
      </c>
      <c r="I1177" s="116" t="e">
        <f t="shared" si="703"/>
        <v>#VALUE!</v>
      </c>
      <c r="J1177" s="116" t="e">
        <f t="shared" si="703"/>
        <v>#VALUE!</v>
      </c>
      <c r="K1177" s="116" t="e">
        <f t="shared" si="703"/>
        <v>#VALUE!</v>
      </c>
      <c r="L1177" s="116" t="e">
        <f t="shared" si="703"/>
        <v>#VALUE!</v>
      </c>
      <c r="M1177" s="164" t="e">
        <f>[4]Inputs!$H$23/H1177</f>
        <v>#VALUE!</v>
      </c>
      <c r="N1177" s="108">
        <v>0.75</v>
      </c>
      <c r="O1177" s="116" t="e">
        <f>$H1177*$N1177*$M1177</f>
        <v>#VALUE!</v>
      </c>
      <c r="P1177" s="116" t="e">
        <f>$H1177*(1-$N1177)*$M1177</f>
        <v>#VALUE!</v>
      </c>
      <c r="Q1177" s="116" t="e">
        <f>$H1177*$N1177*(1-$M1177)</f>
        <v>#VALUE!</v>
      </c>
      <c r="R1177" s="116" t="e">
        <f>$H1177*(1-$N1177)*(1-$M1177)</f>
        <v>#VALUE!</v>
      </c>
      <c r="S1177" s="108">
        <v>0.75</v>
      </c>
      <c r="T1177" s="116" t="e">
        <f>$I1177*$S1177*$M1177</f>
        <v>#VALUE!</v>
      </c>
      <c r="U1177" s="116" t="e">
        <f>$I1177*(1-$S1177)*$M1177</f>
        <v>#VALUE!</v>
      </c>
      <c r="V1177" s="116" t="e">
        <f>$I1177*$S1177*(1-$M1177)</f>
        <v>#VALUE!</v>
      </c>
      <c r="W1177" s="116" t="e">
        <f>$I1177*(1-$S1177)*(1-$M1177)</f>
        <v>#VALUE!</v>
      </c>
      <c r="X1177" s="163"/>
      <c r="Y1177" s="116">
        <v>0</v>
      </c>
      <c r="Z1177" s="116">
        <v>0</v>
      </c>
      <c r="AA1177" s="116">
        <v>0</v>
      </c>
      <c r="AB1177" s="116">
        <v>0</v>
      </c>
      <c r="AC1177" s="116">
        <v>0</v>
      </c>
      <c r="AD1177" s="117" t="e">
        <f>ROUND(SUM(-G1177,H1177:L1177),0)</f>
        <v>#VALUE!</v>
      </c>
      <c r="AE1177" s="117" t="e">
        <f>ROUND(H1177-O1177-P1177-Q1177-R1177,0)</f>
        <v>#VALUE!</v>
      </c>
      <c r="AF1177" s="117" t="e">
        <f>ROUND(I1177-T1177-U1177-V1177-W1177,0)</f>
        <v>#VALUE!</v>
      </c>
      <c r="AG1177" s="117" t="e">
        <f>ROUND(J1177-Y1177-Z1177-AA1177-AC1177-AB1177,0)</f>
        <v>#VALUE!</v>
      </c>
      <c r="AH1177" s="116"/>
      <c r="AI1177">
        <f t="shared" si="679"/>
        <v>40910</v>
      </c>
      <c r="AJ1177" t="str">
        <f t="shared" si="662"/>
        <v>SO</v>
      </c>
      <c r="AK1177" t="str">
        <f>IF(ISERROR(MATCH(AI1177&amp;"."&amp;AJ1177,AK$91:AK1176,0)),AI1177&amp;"."&amp;AJ1177,AI1177&amp;"."&amp;AJ1177&amp;COUNTIFS(AI$91:AI1176,AI1177,AJ$91:AJ1176,AJ1177))</f>
        <v>40910.SO</v>
      </c>
    </row>
    <row r="1178" spans="1:37" ht="15" hidden="1">
      <c r="A1178" s="120">
        <f>ROW()</f>
        <v>1178</v>
      </c>
      <c r="B1178" s="120"/>
      <c r="C1178" s="1">
        <v>40910</v>
      </c>
      <c r="D1178" s="2" t="s">
        <v>746</v>
      </c>
      <c r="E1178" s="121" t="s">
        <v>12</v>
      </c>
      <c r="F1178" s="138" t="str">
        <f>INDEX(FuncAllocOptions,ROW(A1178)-ROW($A$92)+1,[4]Inputs!$S$11)</f>
        <v>LABOR</v>
      </c>
      <c r="G1178" s="133" t="e">
        <f>SUMIF(FERCJAMFactor,AK1178,JAMValue)</f>
        <v>#VALUE!</v>
      </c>
      <c r="H1178" s="139" t="e">
        <f t="shared" si="703"/>
        <v>#VALUE!</v>
      </c>
      <c r="I1178" s="139" t="e">
        <f t="shared" si="703"/>
        <v>#VALUE!</v>
      </c>
      <c r="J1178" s="139" t="e">
        <f t="shared" si="703"/>
        <v>#VALUE!</v>
      </c>
      <c r="K1178" s="139" t="e">
        <f t="shared" si="703"/>
        <v>#VALUE!</v>
      </c>
      <c r="L1178" s="139" t="e">
        <f t="shared" si="703"/>
        <v>#VALUE!</v>
      </c>
      <c r="N1178" s="108">
        <v>0.75</v>
      </c>
      <c r="O1178" s="116" t="e">
        <f>$H1178*$N1178*$M1178</f>
        <v>#VALUE!</v>
      </c>
      <c r="P1178" s="116" t="e">
        <f>$H1178*(1-$N1178)*$M1178</f>
        <v>#VALUE!</v>
      </c>
      <c r="Q1178" s="116" t="e">
        <f>$H1178*$N1178*(1-$M1178)</f>
        <v>#VALUE!</v>
      </c>
      <c r="R1178" s="116" t="e">
        <f>$H1178*(1-$N1178)*(1-$M1178)</f>
        <v>#VALUE!</v>
      </c>
      <c r="S1178" s="108">
        <v>0.75</v>
      </c>
      <c r="T1178" s="116" t="e">
        <f>$I1178*$S1178*$M1178</f>
        <v>#VALUE!</v>
      </c>
      <c r="U1178" s="116" t="e">
        <f>$I1178*(1-$S1178)*$M1178</f>
        <v>#VALUE!</v>
      </c>
      <c r="V1178" s="116" t="e">
        <f>$I1178*$S1178*(1-$M1178)</f>
        <v>#VALUE!</v>
      </c>
      <c r="W1178" s="116" t="e">
        <f>$I1178*(1-$S1178)*(1-$M1178)</f>
        <v>#VALUE!</v>
      </c>
      <c r="X1178" s="163"/>
      <c r="Y1178" s="116">
        <v>0</v>
      </c>
      <c r="Z1178" s="116">
        <v>0</v>
      </c>
      <c r="AA1178" s="116">
        <v>0</v>
      </c>
      <c r="AB1178" s="116">
        <v>0</v>
      </c>
      <c r="AC1178" s="116">
        <v>0</v>
      </c>
      <c r="AD1178" s="117" t="e">
        <f>ROUND(SUM(-G1178,H1178:L1178),0)</f>
        <v>#VALUE!</v>
      </c>
      <c r="AE1178" s="117" t="e">
        <f>ROUND(H1178-O1178-P1178-Q1178-R1178,0)</f>
        <v>#VALUE!</v>
      </c>
      <c r="AF1178" s="117" t="e">
        <f>ROUND(I1178-T1178-U1178-V1178-W1178,0)</f>
        <v>#VALUE!</v>
      </c>
      <c r="AG1178" s="117" t="e">
        <f>ROUND(J1178-Y1178-Z1178-AA1178-AC1178-AB1178,0)</f>
        <v>#VALUE!</v>
      </c>
      <c r="AH1178" s="116"/>
      <c r="AI1178">
        <f t="shared" si="679"/>
        <v>40910</v>
      </c>
      <c r="AJ1178" t="str">
        <f t="shared" si="662"/>
        <v>S</v>
      </c>
      <c r="AK1178" t="str">
        <f>IF(ISERROR(MATCH(AI1178&amp;"."&amp;AJ1178,AK$91:AK1177,0)),AI1178&amp;"."&amp;AJ1178,AI1178&amp;"."&amp;AJ1178&amp;COUNTIFS(AI$91:AI1177,AI1178,AJ$91:AJ1177,AJ1178))</f>
        <v>40910.S</v>
      </c>
    </row>
    <row r="1179" spans="1:37" ht="15" hidden="1">
      <c r="A1179" s="120">
        <f>ROW()</f>
        <v>1179</v>
      </c>
      <c r="B1179" s="120"/>
      <c r="E1179" s="121"/>
      <c r="F1179" s="138"/>
      <c r="G1179" s="117" t="e">
        <f t="shared" ref="G1179:L1179" si="704">SUM(G1175:G1178)</f>
        <v>#VALUE!</v>
      </c>
      <c r="H1179" s="135" t="e">
        <f t="shared" si="704"/>
        <v>#VALUE!</v>
      </c>
      <c r="I1179" s="135" t="e">
        <f t="shared" si="704"/>
        <v>#VALUE!</v>
      </c>
      <c r="J1179" s="135" t="e">
        <f t="shared" si="704"/>
        <v>#VALUE!</v>
      </c>
      <c r="K1179" s="135" t="e">
        <f t="shared" si="704"/>
        <v>#VALUE!</v>
      </c>
      <c r="L1179" s="135" t="e">
        <f t="shared" si="704"/>
        <v>#VALUE!</v>
      </c>
      <c r="O1179" s="135" t="e">
        <f>SUM(O1175:O1178)</f>
        <v>#VALUE!</v>
      </c>
      <c r="P1179" s="135" t="e">
        <f>SUM(P1175:P1178)</f>
        <v>#VALUE!</v>
      </c>
      <c r="Q1179" s="135" t="e">
        <f>SUM(Q1175:Q1178)</f>
        <v>#VALUE!</v>
      </c>
      <c r="R1179" s="135" t="e">
        <f>SUM(R1175:R1178)</f>
        <v>#VALUE!</v>
      </c>
      <c r="T1179" s="135" t="e">
        <f>SUM(T1175:T1178)</f>
        <v>#VALUE!</v>
      </c>
      <c r="U1179" s="135" t="e">
        <f>SUM(U1175:U1178)</f>
        <v>#VALUE!</v>
      </c>
      <c r="V1179" s="135" t="e">
        <f>SUM(V1175:V1178)</f>
        <v>#VALUE!</v>
      </c>
      <c r="W1179" s="135" t="e">
        <f>SUM(W1175:W1178)</f>
        <v>#VALUE!</v>
      </c>
      <c r="X1179" s="3"/>
      <c r="Y1179" s="135">
        <f>SUM(Y1175:Y1178)</f>
        <v>0</v>
      </c>
      <c r="Z1179" s="135">
        <f>SUM(Z1175:Z1178)</f>
        <v>0</v>
      </c>
      <c r="AA1179" s="135">
        <f>SUM(AA1175:AA1178)</f>
        <v>0</v>
      </c>
      <c r="AB1179" s="135">
        <f>SUM(AB1175:AB1178)</f>
        <v>0</v>
      </c>
      <c r="AC1179" s="135">
        <f>SUM(AC1175:AC1178)</f>
        <v>0</v>
      </c>
      <c r="AD1179" s="117" t="e">
        <f>ROUND(SUM(-G1179,H1179:L1179),0)</f>
        <v>#VALUE!</v>
      </c>
      <c r="AE1179" s="117" t="e">
        <f>ROUND(H1179-O1179-P1179-Q1179-R1179,0)</f>
        <v>#VALUE!</v>
      </c>
      <c r="AF1179" s="117" t="e">
        <f>ROUND(I1179-T1179-U1179-V1179-W1179,0)</f>
        <v>#VALUE!</v>
      </c>
      <c r="AG1179" s="117" t="e">
        <f>ROUND(J1179-Y1179-Z1179-AA1179-AC1179-AB1179,0)</f>
        <v>#VALUE!</v>
      </c>
      <c r="AH1179" s="116"/>
      <c r="AI1179">
        <f t="shared" si="679"/>
        <v>40910</v>
      </c>
      <c r="AJ1179" t="str">
        <f t="shared" si="662"/>
        <v>NA</v>
      </c>
      <c r="AK1179" t="str">
        <f>IF(ISERROR(MATCH(AI1179&amp;"."&amp;AJ1179,AK$91:AK1178,0)),AI1179&amp;"."&amp;AJ1179,AI1179&amp;"."&amp;AJ1179&amp;COUNTIFS(AI$91:AI1178,AI1179,AJ$91:AJ1178,AJ1179))</f>
        <v>40910.NA</v>
      </c>
    </row>
    <row r="1180" spans="1:37" ht="15" hidden="1">
      <c r="A1180" s="120">
        <f>ROW()</f>
        <v>1180</v>
      </c>
      <c r="B1180" s="120"/>
      <c r="C1180" s="110" t="s">
        <v>745</v>
      </c>
      <c r="E1180" s="121"/>
      <c r="F1180" s="167"/>
      <c r="G1180" s="117"/>
      <c r="H1180" s="165"/>
      <c r="I1180" s="165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6"/>
      <c r="Y1180" s="165"/>
      <c r="Z1180" s="165"/>
      <c r="AA1180" s="165"/>
      <c r="AB1180" s="165"/>
      <c r="AC1180" s="165"/>
      <c r="AD1180" s="119"/>
      <c r="AE1180" s="119"/>
      <c r="AF1180" s="119"/>
      <c r="AG1180" s="119"/>
      <c r="AI1180" t="str">
        <f t="shared" si="679"/>
        <v>Federal Income Tax Per Calculation</v>
      </c>
      <c r="AJ1180" t="str">
        <f t="shared" si="662"/>
        <v>NA</v>
      </c>
      <c r="AK1180" t="str">
        <f>IF(ISERROR(MATCH(AI1180&amp;"."&amp;AJ1180,AK$91:AK1179,0)),AI1180&amp;"."&amp;AJ1180,AI1180&amp;"."&amp;AJ1180&amp;COUNTIFS(AI$91:AI1179,AI1180,AJ$91:AJ1179,AJ1180))</f>
        <v>Federal Income Tax Per Calculation.NA</v>
      </c>
    </row>
    <row r="1181" spans="1:37" ht="15" hidden="1">
      <c r="A1181" s="120">
        <f>ROW()</f>
        <v>1181</v>
      </c>
      <c r="B1181" s="120"/>
      <c r="E1181" s="121"/>
      <c r="F1181" s="138"/>
      <c r="G1181" s="119"/>
      <c r="X1181" s="3"/>
      <c r="AD1181" s="119"/>
      <c r="AE1181" s="119"/>
      <c r="AF1181" s="119"/>
      <c r="AG1181" s="119"/>
      <c r="AI1181" t="str">
        <f t="shared" si="679"/>
        <v>Federal Income Tax Per Calculation</v>
      </c>
      <c r="AJ1181" t="str">
        <f t="shared" ref="AJ1181:AJ1244" si="705">IF(E1181="","NA",E1181)</f>
        <v>NA</v>
      </c>
      <c r="AK1181" t="str">
        <f>IF(ISERROR(MATCH(AI1181&amp;"."&amp;AJ1181,AK$91:AK1180,0)),AI1181&amp;"."&amp;AJ1181,AI1181&amp;"."&amp;AJ1181&amp;COUNTIFS(AI$91:AI1180,AI1181,AJ$91:AJ1180,AJ1181))</f>
        <v>Federal Income Tax Per Calculation.NA1</v>
      </c>
    </row>
    <row r="1182" spans="1:37" ht="15" hidden="1">
      <c r="A1182" s="120">
        <f>ROW()</f>
        <v>1182</v>
      </c>
      <c r="B1182" s="120"/>
      <c r="C1182" s="110" t="s">
        <v>744</v>
      </c>
      <c r="E1182" s="121"/>
      <c r="F1182" s="138"/>
      <c r="G1182" s="119"/>
      <c r="X1182" s="3"/>
      <c r="AD1182" s="119"/>
      <c r="AE1182" s="119"/>
      <c r="AF1182" s="119"/>
      <c r="AG1182" s="119"/>
      <c r="AI1182" t="str">
        <f t="shared" si="679"/>
        <v xml:space="preserve">Adjustment to Book Tax </v>
      </c>
      <c r="AJ1182" t="str">
        <f t="shared" si="705"/>
        <v>NA</v>
      </c>
      <c r="AK1182" t="str">
        <f>IF(ISERROR(MATCH(AI1182&amp;"."&amp;AJ1182,AK$91:AK1181,0)),AI1182&amp;"."&amp;AJ1182,AI1182&amp;"."&amp;AJ1182&amp;COUNTIFS(AI$91:AI1181,AI1182,AJ$91:AJ1181,AJ1182))</f>
        <v>Adjustment to Book Tax .NA</v>
      </c>
    </row>
    <row r="1183" spans="1:37" ht="15" hidden="1">
      <c r="A1183" s="120">
        <f>ROW()</f>
        <v>1183</v>
      </c>
      <c r="B1183" s="120"/>
      <c r="E1183" s="121"/>
      <c r="F1183" s="138"/>
      <c r="G1183" s="119"/>
      <c r="X1183" s="3"/>
      <c r="AD1183" s="119"/>
      <c r="AE1183" s="119"/>
      <c r="AF1183" s="119"/>
      <c r="AG1183" s="119"/>
      <c r="AI1183" t="str">
        <f t="shared" si="679"/>
        <v xml:space="preserve">Adjustment to Book Tax </v>
      </c>
      <c r="AJ1183" t="str">
        <f t="shared" si="705"/>
        <v>NA</v>
      </c>
      <c r="AK1183" t="str">
        <f>IF(ISERROR(MATCH(AI1183&amp;"."&amp;AJ1183,AK$91:AK1182,0)),AI1183&amp;"."&amp;AJ1183,AI1183&amp;"."&amp;AJ1183&amp;COUNTIFS(AI$91:AI1182,AI1183,AJ$91:AJ1182,AJ1183))</f>
        <v>Adjustment to Book Tax .NA1</v>
      </c>
    </row>
    <row r="1184" spans="1:37" ht="15.75" hidden="1" thickBot="1">
      <c r="A1184" s="120">
        <f>ROW()</f>
        <v>1184</v>
      </c>
      <c r="B1184" s="120"/>
      <c r="C1184" s="110" t="s">
        <v>498</v>
      </c>
      <c r="E1184" s="121"/>
      <c r="F1184" s="138" t="str">
        <f>INDEX(FuncAllocOptions,ROW(A1184)-ROW($A$92)+1,[4]Inputs!$S$11)</f>
        <v>FIT</v>
      </c>
      <c r="G1184" s="133" t="e">
        <f t="shared" ref="G1184:L1184" si="706">G1179+G1172</f>
        <v>#VALUE!</v>
      </c>
      <c r="H1184" s="154" t="e">
        <f t="shared" si="706"/>
        <v>#VALUE!</v>
      </c>
      <c r="I1184" s="154" t="e">
        <f t="shared" si="706"/>
        <v>#VALUE!</v>
      </c>
      <c r="J1184" s="154" t="e">
        <f t="shared" si="706"/>
        <v>#VALUE!</v>
      </c>
      <c r="K1184" s="154" t="e">
        <f t="shared" si="706"/>
        <v>#VALUE!</v>
      </c>
      <c r="L1184" s="154" t="e">
        <f t="shared" si="706"/>
        <v>#VALUE!</v>
      </c>
      <c r="M1184" s="164"/>
      <c r="N1184" s="108">
        <v>0.75</v>
      </c>
      <c r="O1184" s="116" t="e">
        <f>O1179+O1172</f>
        <v>#VALUE!</v>
      </c>
      <c r="P1184" s="116" t="e">
        <f>P1179+P1172</f>
        <v>#VALUE!</v>
      </c>
      <c r="Q1184" s="116" t="e">
        <f>Q1179+Q1172</f>
        <v>#VALUE!</v>
      </c>
      <c r="R1184" s="116" t="e">
        <f>R1179+R1172</f>
        <v>#VALUE!</v>
      </c>
      <c r="S1184" s="108">
        <v>0.75</v>
      </c>
      <c r="T1184" s="116" t="e">
        <f>T1179+T1172</f>
        <v>#VALUE!</v>
      </c>
      <c r="U1184" s="116" t="e">
        <f>U1179+U1172</f>
        <v>#VALUE!</v>
      </c>
      <c r="V1184" s="116" t="e">
        <f>V1179+V1172</f>
        <v>#VALUE!</v>
      </c>
      <c r="W1184" s="116" t="e">
        <f>W1179+W1172</f>
        <v>#VALUE!</v>
      </c>
      <c r="X1184" s="163" t="str">
        <f>INDEX(DistFuncAllocOptions,ROW(A1184)-ROW($A$92)+1,[4]Inputs!$S$11)</f>
        <v>DRB</v>
      </c>
      <c r="Y1184" s="116" t="e">
        <f>Y1179+Y1172</f>
        <v>#VALUE!</v>
      </c>
      <c r="Z1184" s="116" t="e">
        <f>Z1179+Z1172</f>
        <v>#VALUE!</v>
      </c>
      <c r="AA1184" s="116" t="e">
        <f>AA1179+AA1172</f>
        <v>#VALUE!</v>
      </c>
      <c r="AB1184" s="116" t="e">
        <f>AB1179+AB1172</f>
        <v>#VALUE!</v>
      </c>
      <c r="AC1184" s="116" t="e">
        <f>AC1179+AC1172</f>
        <v>#VALUE!</v>
      </c>
      <c r="AD1184" s="117" t="e">
        <f>ROUND(SUM(-G1184,H1184:L1184),0)</f>
        <v>#VALUE!</v>
      </c>
      <c r="AE1184" s="117" t="e">
        <f>ROUND(H1184-O1184-P1184-Q1184-R1184,0)</f>
        <v>#VALUE!</v>
      </c>
      <c r="AF1184" s="117" t="e">
        <f>ROUND(I1184-T1184-U1184-V1184-W1184,0)</f>
        <v>#VALUE!</v>
      </c>
      <c r="AG1184" s="117" t="e">
        <f>ROUND(J1184-Y1184-Z1184-AA1184-AC1184-AB1184,0)</f>
        <v>#VALUE!</v>
      </c>
      <c r="AH1184" s="116"/>
      <c r="AI1184" t="str">
        <f t="shared" si="679"/>
        <v>Federal Income Tax Expense</v>
      </c>
      <c r="AJ1184" t="str">
        <f t="shared" si="705"/>
        <v>NA</v>
      </c>
      <c r="AK1184" t="str">
        <f>IF(ISERROR(MATCH(AI1184&amp;"."&amp;AJ1184,AK$91:AK1183,0)),AI1184&amp;"."&amp;AJ1184,AI1184&amp;"."&amp;AJ1184&amp;COUNTIFS(AI$91:AI1183,AI1184,AJ$91:AJ1183,AJ1184))</f>
        <v>Federal Income Tax Expense.NA</v>
      </c>
    </row>
    <row r="1185" spans="1:37" ht="15" hidden="1">
      <c r="A1185" s="120">
        <f>ROW()</f>
        <v>1185</v>
      </c>
      <c r="B1185" s="120"/>
      <c r="E1185" s="121"/>
      <c r="F1185" s="138"/>
      <c r="G1185" s="117">
        <v>0</v>
      </c>
      <c r="H1185" s="156"/>
      <c r="I1185" s="156"/>
      <c r="J1185" s="156"/>
      <c r="K1185" s="156"/>
      <c r="L1185" s="156"/>
      <c r="X1185" s="3"/>
      <c r="AD1185" s="119"/>
      <c r="AE1185" s="119"/>
      <c r="AF1185" s="119"/>
      <c r="AG1185" s="119"/>
      <c r="AI1185" t="str">
        <f t="shared" si="679"/>
        <v>Federal Income Tax Expense</v>
      </c>
      <c r="AJ1185" t="str">
        <f t="shared" si="705"/>
        <v>NA</v>
      </c>
      <c r="AK1185" t="str">
        <f>IF(ISERROR(MATCH(AI1185&amp;"."&amp;AJ1185,AK$91:AK1184,0)),AI1185&amp;"."&amp;AJ1185,AI1185&amp;"."&amp;AJ1185&amp;COUNTIFS(AI$91:AI1184,AI1185,AJ$91:AJ1184,AJ1185))</f>
        <v>Federal Income Tax Expense.NA1</v>
      </c>
    </row>
    <row r="1186" spans="1:37" ht="15.75" hidden="1" thickBot="1">
      <c r="A1186" s="120">
        <f>ROW()</f>
        <v>1186</v>
      </c>
      <c r="B1186" s="120"/>
      <c r="C1186" s="110" t="s">
        <v>743</v>
      </c>
      <c r="E1186" s="121"/>
      <c r="F1186" s="138"/>
      <c r="G1186" s="153" t="e">
        <f>F27</f>
        <v>#VALUE!</v>
      </c>
      <c r="H1186" s="162" t="e">
        <f>H27</f>
        <v>#VALUE!</v>
      </c>
      <c r="I1186" s="162" t="e">
        <f>I27</f>
        <v>#VALUE!</v>
      </c>
      <c r="J1186" s="162" t="e">
        <f>J27</f>
        <v>#VALUE!</v>
      </c>
      <c r="K1186" s="162" t="e">
        <f>K27</f>
        <v>#VALUE!</v>
      </c>
      <c r="L1186" s="162" t="e">
        <f>L27</f>
        <v>#VALUE!</v>
      </c>
      <c r="O1186" s="2" t="e">
        <f>O27</f>
        <v>#VALUE!</v>
      </c>
      <c r="P1186" s="2" t="e">
        <f>P27</f>
        <v>#VALUE!</v>
      </c>
      <c r="Q1186" s="2" t="e">
        <f>Q27</f>
        <v>#VALUE!</v>
      </c>
      <c r="R1186" s="2" t="e">
        <f>R27</f>
        <v>#VALUE!</v>
      </c>
      <c r="T1186" s="2" t="e">
        <f>T27</f>
        <v>#VALUE!</v>
      </c>
      <c r="U1186" s="2" t="e">
        <f>U27</f>
        <v>#VALUE!</v>
      </c>
      <c r="V1186" s="2" t="e">
        <f>V27</f>
        <v>#VALUE!</v>
      </c>
      <c r="W1186" s="2" t="e">
        <f>W27</f>
        <v>#VALUE!</v>
      </c>
      <c r="X1186" s="3"/>
      <c r="Y1186" s="2" t="e">
        <f>Y27</f>
        <v>#VALUE!</v>
      </c>
      <c r="Z1186" s="2" t="e">
        <f>Z27</f>
        <v>#VALUE!</v>
      </c>
      <c r="AA1186" s="2" t="e">
        <f>AA27</f>
        <v>#VALUE!</v>
      </c>
      <c r="AB1186" s="2" t="e">
        <f>AB27</f>
        <v>#VALUE!</v>
      </c>
      <c r="AC1186" s="2" t="e">
        <f>AC27</f>
        <v>#VALUE!</v>
      </c>
      <c r="AD1186" s="119"/>
      <c r="AE1186" s="119"/>
      <c r="AF1186" s="119"/>
      <c r="AG1186" s="119"/>
      <c r="AI1186" t="str">
        <f t="shared" si="679"/>
        <v>TOTAL OPERATING EXPENSES</v>
      </c>
      <c r="AJ1186" t="str">
        <f t="shared" si="705"/>
        <v>NA</v>
      </c>
      <c r="AK1186" t="str">
        <f>IF(ISERROR(MATCH(AI1186&amp;"."&amp;AJ1186,AK$91:AK1185,0)),AI1186&amp;"."&amp;AJ1186,AI1186&amp;"."&amp;AJ1186&amp;COUNTIFS(AI$91:AI1185,AI1186,AJ$91:AJ1185,AJ1186))</f>
        <v>TOTAL OPERATING EXPENSES.NA</v>
      </c>
    </row>
    <row r="1187" spans="1:37" ht="15" hidden="1">
      <c r="A1187" s="120">
        <f>ROW()</f>
        <v>1187</v>
      </c>
      <c r="B1187" s="120"/>
      <c r="E1187" s="121"/>
      <c r="F1187" s="138"/>
      <c r="G1187" s="117"/>
      <c r="X1187" s="3"/>
      <c r="AD1187" s="119"/>
      <c r="AE1187" s="119"/>
      <c r="AF1187" s="119"/>
      <c r="AG1187" s="119"/>
      <c r="AI1187" t="str">
        <f t="shared" si="679"/>
        <v>TOTAL OPERATING EXPENSES</v>
      </c>
      <c r="AJ1187" t="str">
        <f t="shared" si="705"/>
        <v>NA</v>
      </c>
      <c r="AK1187" t="str">
        <f>IF(ISERROR(MATCH(AI1187&amp;"."&amp;AJ1187,AK$91:AK1186,0)),AI1187&amp;"."&amp;AJ1187,AI1187&amp;"."&amp;AJ1187&amp;COUNTIFS(AI$91:AI1186,AI1187,AJ$91:AJ1186,AJ1187))</f>
        <v>TOTAL OPERATING EXPENSES.NA1</v>
      </c>
    </row>
    <row r="1188" spans="1:37" ht="15" hidden="1">
      <c r="A1188" s="120">
        <f>ROW()</f>
        <v>1188</v>
      </c>
      <c r="B1188" s="120"/>
      <c r="C1188" s="1"/>
      <c r="E1188" s="121"/>
      <c r="F1188" s="138"/>
      <c r="G1188" s="119"/>
      <c r="H1188" s="161"/>
      <c r="X1188" s="3"/>
      <c r="AD1188" s="119"/>
      <c r="AE1188" s="119"/>
      <c r="AF1188" s="119"/>
      <c r="AG1188" s="119"/>
      <c r="AI1188" t="str">
        <f t="shared" si="679"/>
        <v>TOTAL OPERATING EXPENSES</v>
      </c>
      <c r="AJ1188" t="str">
        <f t="shared" si="705"/>
        <v>NA</v>
      </c>
      <c r="AK1188" t="str">
        <f>IF(ISERROR(MATCH(AI1188&amp;"."&amp;AJ1188,AK$91:AK1187,0)),AI1188&amp;"."&amp;AJ1188,AI1188&amp;"."&amp;AJ1188&amp;COUNTIFS(AI$91:AI1187,AI1188,AJ$91:AJ1187,AJ1188))</f>
        <v>TOTAL OPERATING EXPENSES.NA2</v>
      </c>
    </row>
    <row r="1189" spans="1:37" ht="15" hidden="1">
      <c r="A1189" s="120">
        <f>ROW()</f>
        <v>1189</v>
      </c>
      <c r="B1189" s="120"/>
      <c r="C1189" s="1">
        <v>310</v>
      </c>
      <c r="D1189" s="2" t="s">
        <v>500</v>
      </c>
      <c r="E1189" s="121"/>
      <c r="F1189" s="138"/>
      <c r="G1189" s="119"/>
      <c r="X1189" s="3"/>
      <c r="AD1189" s="119"/>
      <c r="AE1189" s="119"/>
      <c r="AF1189" s="119"/>
      <c r="AG1189" s="119"/>
      <c r="AI1189">
        <f t="shared" si="679"/>
        <v>310</v>
      </c>
      <c r="AJ1189" t="str">
        <f t="shared" si="705"/>
        <v>NA</v>
      </c>
      <c r="AK1189" t="str">
        <f>IF(ISERROR(MATCH(AI1189&amp;"."&amp;AJ1189,AK$91:AK1188,0)),AI1189&amp;"."&amp;AJ1189,AI1189&amp;"."&amp;AJ1189&amp;COUNTIFS(AI$91:AI1188,AI1189,AJ$91:AJ1188,AJ1189))</f>
        <v>310.NA</v>
      </c>
    </row>
    <row r="1190" spans="1:37" ht="15" hidden="1">
      <c r="A1190" s="120">
        <f>ROW()</f>
        <v>1190</v>
      </c>
      <c r="B1190" s="120"/>
      <c r="C1190" s="1"/>
      <c r="E1190" s="121" t="s">
        <v>15</v>
      </c>
      <c r="F1190" s="138" t="str">
        <f>INDEX(FuncAllocOptions,ROW(A1190)-ROW($A$92)+1,[4]Inputs!$S$11)</f>
        <v>P</v>
      </c>
      <c r="G1190" s="117" t="e">
        <f>SUMIF(FERCJAMFactor,AK1190,JAMValue)</f>
        <v>#VALUE!</v>
      </c>
      <c r="H1190" s="116" t="e">
        <f t="shared" ref="H1190:L1194" si="707">INDEX(FuncFactorTbl,MATCH($F1190,FuncFactors,0),MATCH(H$8,Functions,0))*$G1190</f>
        <v>#VALUE!</v>
      </c>
      <c r="I1190" s="116" t="e">
        <f t="shared" si="707"/>
        <v>#VALUE!</v>
      </c>
      <c r="J1190" s="116" t="e">
        <f t="shared" si="707"/>
        <v>#VALUE!</v>
      </c>
      <c r="K1190" s="116" t="e">
        <f t="shared" si="707"/>
        <v>#VALUE!</v>
      </c>
      <c r="L1190" s="116" t="e">
        <f t="shared" si="707"/>
        <v>#VALUE!</v>
      </c>
      <c r="N1190" s="108">
        <v>0.75</v>
      </c>
      <c r="O1190" s="116" t="e">
        <f>$H1190*$N1190*$M1190</f>
        <v>#VALUE!</v>
      </c>
      <c r="P1190" s="116" t="e">
        <f>$H1190*(1-$N1190)*$M1190</f>
        <v>#VALUE!</v>
      </c>
      <c r="Q1190" s="116" t="e">
        <f>$H1190*$N1190*(1-$M1190)</f>
        <v>#VALUE!</v>
      </c>
      <c r="R1190" s="116" t="e">
        <f>$H1190*(1-$N1190)*(1-$M1190)</f>
        <v>#VALUE!</v>
      </c>
      <c r="T1190" s="116">
        <v>0</v>
      </c>
      <c r="U1190" s="116">
        <v>0</v>
      </c>
      <c r="V1190" s="116">
        <v>0</v>
      </c>
      <c r="W1190" s="116">
        <v>0</v>
      </c>
      <c r="X1190" s="3"/>
      <c r="AD1190" s="117" t="e">
        <f t="shared" ref="AD1190:AD1195" si="708">ROUND(SUM(-G1190,H1190:L1190),0)</f>
        <v>#VALUE!</v>
      </c>
      <c r="AE1190" s="117" t="e">
        <f t="shared" ref="AE1190:AE1195" si="709">ROUND(H1190-O1190-P1190-Q1190-R1190,0)</f>
        <v>#VALUE!</v>
      </c>
      <c r="AF1190" s="117" t="e">
        <f t="shared" ref="AF1190:AF1195" si="710">ROUND(I1190-T1190-U1190-V1190-W1190,0)</f>
        <v>#VALUE!</v>
      </c>
      <c r="AG1190" s="117" t="e">
        <f t="shared" ref="AG1190:AG1195" si="711">ROUND(J1190-Y1190-Z1190-AA1190-AC1190-AB1190,0)</f>
        <v>#VALUE!</v>
      </c>
      <c r="AH1190" s="116"/>
      <c r="AI1190">
        <f t="shared" si="679"/>
        <v>310</v>
      </c>
      <c r="AJ1190" t="str">
        <f t="shared" si="705"/>
        <v>SG</v>
      </c>
      <c r="AK1190" t="str">
        <f>IF(ISERROR(MATCH(AI1190&amp;"."&amp;AJ1190,AK$91:AK1189,0)),AI1190&amp;"."&amp;AJ1190,AI1190&amp;"."&amp;AJ1190&amp;COUNTIFS(AI$91:AI1189,AI1190,AJ$91:AJ1189,AJ1190))</f>
        <v>310.SG</v>
      </c>
    </row>
    <row r="1191" spans="1:37" ht="15" hidden="1">
      <c r="A1191" s="120">
        <f>ROW()</f>
        <v>1191</v>
      </c>
      <c r="B1191" s="120"/>
      <c r="C1191" s="1"/>
      <c r="E1191" s="121" t="s">
        <v>15</v>
      </c>
      <c r="F1191" s="138" t="str">
        <f>INDEX(FuncAllocOptions,ROW(A1191)-ROW($A$92)+1,[4]Inputs!$S$11)</f>
        <v>P</v>
      </c>
      <c r="G1191" s="117" t="e">
        <f>SUMIF(FERCJAMFactor,AK1191,JAMValue)</f>
        <v>#VALUE!</v>
      </c>
      <c r="H1191" s="116" t="e">
        <f t="shared" si="707"/>
        <v>#VALUE!</v>
      </c>
      <c r="I1191" s="116" t="e">
        <f t="shared" si="707"/>
        <v>#VALUE!</v>
      </c>
      <c r="J1191" s="116" t="e">
        <f t="shared" si="707"/>
        <v>#VALUE!</v>
      </c>
      <c r="K1191" s="116" t="e">
        <f t="shared" si="707"/>
        <v>#VALUE!</v>
      </c>
      <c r="L1191" s="116" t="e">
        <f t="shared" si="707"/>
        <v>#VALUE!</v>
      </c>
      <c r="N1191" s="108">
        <v>0.75</v>
      </c>
      <c r="O1191" s="116" t="e">
        <f>$H1191*$N1191*$M1191</f>
        <v>#VALUE!</v>
      </c>
      <c r="P1191" s="116" t="e">
        <f>$H1191*(1-$N1191)*$M1191</f>
        <v>#VALUE!</v>
      </c>
      <c r="Q1191" s="116" t="e">
        <f>$H1191*$N1191*(1-$M1191)</f>
        <v>#VALUE!</v>
      </c>
      <c r="R1191" s="116" t="e">
        <f>$H1191*(1-$N1191)*(1-$M1191)</f>
        <v>#VALUE!</v>
      </c>
      <c r="T1191" s="116">
        <v>0</v>
      </c>
      <c r="U1191" s="116">
        <v>0</v>
      </c>
      <c r="V1191" s="116">
        <v>0</v>
      </c>
      <c r="W1191" s="116">
        <v>0</v>
      </c>
      <c r="X1191" s="3"/>
      <c r="AD1191" s="117" t="e">
        <f t="shared" si="708"/>
        <v>#VALUE!</v>
      </c>
      <c r="AE1191" s="117" t="e">
        <f t="shared" si="709"/>
        <v>#VALUE!</v>
      </c>
      <c r="AF1191" s="117" t="e">
        <f t="shared" si="710"/>
        <v>#VALUE!</v>
      </c>
      <c r="AG1191" s="117" t="e">
        <f t="shared" si="711"/>
        <v>#VALUE!</v>
      </c>
      <c r="AH1191" s="116"/>
      <c r="AI1191">
        <f t="shared" si="679"/>
        <v>310</v>
      </c>
      <c r="AJ1191" t="str">
        <f t="shared" si="705"/>
        <v>SG</v>
      </c>
      <c r="AK1191" t="str">
        <f>IF(ISERROR(MATCH(AI1191&amp;"."&amp;AJ1191,AK$91:AK1190,0)),AI1191&amp;"."&amp;AJ1191,AI1191&amp;"."&amp;AJ1191&amp;COUNTIFS(AI$91:AI1190,AI1191,AJ$91:AJ1190,AJ1191))</f>
        <v>310.SG1</v>
      </c>
    </row>
    <row r="1192" spans="1:37" ht="15" hidden="1">
      <c r="A1192" s="120">
        <f>ROW()</f>
        <v>1192</v>
      </c>
      <c r="B1192" s="120"/>
      <c r="C1192" s="1"/>
      <c r="E1192" s="121" t="s">
        <v>15</v>
      </c>
      <c r="F1192" s="138" t="str">
        <f>INDEX(FuncAllocOptions,ROW(A1192)-ROW($A$92)+1,[4]Inputs!$S$11)</f>
        <v>P</v>
      </c>
      <c r="G1192" s="117" t="e">
        <f>SUMIF(FERCJAMFactor,AK1192,JAMValue)</f>
        <v>#VALUE!</v>
      </c>
      <c r="H1192" s="116" t="e">
        <f t="shared" si="707"/>
        <v>#VALUE!</v>
      </c>
      <c r="I1192" s="116" t="e">
        <f t="shared" si="707"/>
        <v>#VALUE!</v>
      </c>
      <c r="J1192" s="116" t="e">
        <f t="shared" si="707"/>
        <v>#VALUE!</v>
      </c>
      <c r="K1192" s="116" t="e">
        <f t="shared" si="707"/>
        <v>#VALUE!</v>
      </c>
      <c r="L1192" s="116" t="e">
        <f t="shared" si="707"/>
        <v>#VALUE!</v>
      </c>
      <c r="N1192" s="108">
        <v>0.75</v>
      </c>
      <c r="O1192" s="116" t="e">
        <f>$H1192*$N1192*$M1192</f>
        <v>#VALUE!</v>
      </c>
      <c r="P1192" s="116" t="e">
        <f>$H1192*(1-$N1192)*$M1192</f>
        <v>#VALUE!</v>
      </c>
      <c r="Q1192" s="116" t="e">
        <f>$H1192*$N1192*(1-$M1192)</f>
        <v>#VALUE!</v>
      </c>
      <c r="R1192" s="116" t="e">
        <f>$H1192*(1-$N1192)*(1-$M1192)</f>
        <v>#VALUE!</v>
      </c>
      <c r="T1192" s="116">
        <v>0</v>
      </c>
      <c r="U1192" s="116">
        <v>0</v>
      </c>
      <c r="V1192" s="116">
        <v>0</v>
      </c>
      <c r="W1192" s="116">
        <v>0</v>
      </c>
      <c r="X1192" s="3"/>
      <c r="AD1192" s="117" t="e">
        <f t="shared" si="708"/>
        <v>#VALUE!</v>
      </c>
      <c r="AE1192" s="117" t="e">
        <f t="shared" si="709"/>
        <v>#VALUE!</v>
      </c>
      <c r="AF1192" s="117" t="e">
        <f t="shared" si="710"/>
        <v>#VALUE!</v>
      </c>
      <c r="AG1192" s="117" t="e">
        <f t="shared" si="711"/>
        <v>#VALUE!</v>
      </c>
      <c r="AH1192" s="116"/>
      <c r="AI1192">
        <f t="shared" si="679"/>
        <v>310</v>
      </c>
      <c r="AJ1192" t="str">
        <f t="shared" si="705"/>
        <v>SG</v>
      </c>
      <c r="AK1192" t="str">
        <f>IF(ISERROR(MATCH(AI1192&amp;"."&amp;AJ1192,AK$91:AK1191,0)),AI1192&amp;"."&amp;AJ1192,AI1192&amp;"."&amp;AJ1192&amp;COUNTIFS(AI$91:AI1191,AI1192,AJ$91:AJ1191,AJ1192))</f>
        <v>310.SG2</v>
      </c>
    </row>
    <row r="1193" spans="1:37" ht="15" hidden="1">
      <c r="A1193" s="120">
        <f>ROW()</f>
        <v>1193</v>
      </c>
      <c r="B1193" s="120"/>
      <c r="C1193" s="1"/>
      <c r="E1193" s="121" t="s">
        <v>12</v>
      </c>
      <c r="F1193" s="138" t="str">
        <f>INDEX(FuncAllocOptions,ROW(A1193)-ROW($A$92)+1,[4]Inputs!$S$11)</f>
        <v>P</v>
      </c>
      <c r="G1193" s="117" t="e">
        <f>SUMIF(FERCJAMFactor,AK1193,JAMValue)</f>
        <v>#VALUE!</v>
      </c>
      <c r="H1193" s="116" t="e">
        <f t="shared" si="707"/>
        <v>#VALUE!</v>
      </c>
      <c r="I1193" s="116" t="e">
        <f t="shared" si="707"/>
        <v>#VALUE!</v>
      </c>
      <c r="J1193" s="116" t="e">
        <f t="shared" si="707"/>
        <v>#VALUE!</v>
      </c>
      <c r="K1193" s="116" t="e">
        <f t="shared" si="707"/>
        <v>#VALUE!</v>
      </c>
      <c r="L1193" s="116" t="e">
        <f t="shared" si="707"/>
        <v>#VALUE!</v>
      </c>
      <c r="N1193" s="108">
        <v>0.75</v>
      </c>
      <c r="O1193" s="116" t="e">
        <f>$H1193*$N1193*$M1193</f>
        <v>#VALUE!</v>
      </c>
      <c r="P1193" s="116" t="e">
        <f>$H1193*(1-$N1193)*$M1193</f>
        <v>#VALUE!</v>
      </c>
      <c r="Q1193" s="116" t="e">
        <f>$H1193*$N1193*(1-$M1193)</f>
        <v>#VALUE!</v>
      </c>
      <c r="R1193" s="116" t="e">
        <f>$H1193*(1-$N1193)*(1-$M1193)</f>
        <v>#VALUE!</v>
      </c>
      <c r="T1193" s="116">
        <v>0</v>
      </c>
      <c r="U1193" s="116">
        <v>0</v>
      </c>
      <c r="V1193" s="116">
        <v>0</v>
      </c>
      <c r="W1193" s="116">
        <v>0</v>
      </c>
      <c r="X1193" s="3"/>
      <c r="AD1193" s="117" t="e">
        <f t="shared" si="708"/>
        <v>#VALUE!</v>
      </c>
      <c r="AE1193" s="117" t="e">
        <f t="shared" si="709"/>
        <v>#VALUE!</v>
      </c>
      <c r="AF1193" s="117" t="e">
        <f t="shared" si="710"/>
        <v>#VALUE!</v>
      </c>
      <c r="AG1193" s="117" t="e">
        <f t="shared" si="711"/>
        <v>#VALUE!</v>
      </c>
      <c r="AH1193" s="116"/>
      <c r="AI1193">
        <f t="shared" si="679"/>
        <v>310</v>
      </c>
      <c r="AJ1193" t="str">
        <f t="shared" si="705"/>
        <v>S</v>
      </c>
      <c r="AK1193" t="str">
        <f>IF(ISERROR(MATCH(AI1193&amp;"."&amp;AJ1193,AK$91:AK1192,0)),AI1193&amp;"."&amp;AJ1193,AI1193&amp;"."&amp;AJ1193&amp;COUNTIFS(AI$91:AI1192,AI1193,AJ$91:AJ1192,AJ1193))</f>
        <v>310.S</v>
      </c>
    </row>
    <row r="1194" spans="1:37" ht="15" hidden="1">
      <c r="A1194" s="120">
        <f>ROW()</f>
        <v>1194</v>
      </c>
      <c r="B1194" s="120"/>
      <c r="C1194" s="1"/>
      <c r="E1194" s="121" t="s">
        <v>15</v>
      </c>
      <c r="F1194" s="138" t="str">
        <f>INDEX(FuncAllocOptions,ROW(A1194)-ROW($A$92)+1,[4]Inputs!$S$11)</f>
        <v>P</v>
      </c>
      <c r="G1194" s="133" t="e">
        <f>SUMIF(FERCJAMFactor,AK1194,JAMValue)</f>
        <v>#VALUE!</v>
      </c>
      <c r="H1194" s="139" t="e">
        <f t="shared" si="707"/>
        <v>#VALUE!</v>
      </c>
      <c r="I1194" s="139" t="e">
        <f t="shared" si="707"/>
        <v>#VALUE!</v>
      </c>
      <c r="J1194" s="139" t="e">
        <f t="shared" si="707"/>
        <v>#VALUE!</v>
      </c>
      <c r="K1194" s="139" t="e">
        <f t="shared" si="707"/>
        <v>#VALUE!</v>
      </c>
      <c r="L1194" s="139" t="e">
        <f t="shared" si="707"/>
        <v>#VALUE!</v>
      </c>
      <c r="N1194" s="108">
        <v>0.75</v>
      </c>
      <c r="O1194" s="116" t="e">
        <f>$H1194*$N1194*$M1194</f>
        <v>#VALUE!</v>
      </c>
      <c r="P1194" s="116" t="e">
        <f>$H1194*(1-$N1194)*$M1194</f>
        <v>#VALUE!</v>
      </c>
      <c r="Q1194" s="116" t="e">
        <f>$H1194*$N1194*(1-$M1194)</f>
        <v>#VALUE!</v>
      </c>
      <c r="R1194" s="116" t="e">
        <f>$H1194*(1-$N1194)*(1-$M1194)</f>
        <v>#VALUE!</v>
      </c>
      <c r="T1194" s="116"/>
      <c r="U1194" s="116"/>
      <c r="V1194" s="116"/>
      <c r="W1194" s="116"/>
      <c r="X1194" s="3"/>
      <c r="AD1194" s="117" t="e">
        <f t="shared" si="708"/>
        <v>#VALUE!</v>
      </c>
      <c r="AE1194" s="117" t="e">
        <f t="shared" si="709"/>
        <v>#VALUE!</v>
      </c>
      <c r="AF1194" s="117" t="e">
        <f t="shared" si="710"/>
        <v>#VALUE!</v>
      </c>
      <c r="AG1194" s="117" t="e">
        <f t="shared" si="711"/>
        <v>#VALUE!</v>
      </c>
      <c r="AH1194" s="116"/>
      <c r="AI1194">
        <f t="shared" si="679"/>
        <v>310</v>
      </c>
      <c r="AJ1194" t="str">
        <f t="shared" si="705"/>
        <v>SG</v>
      </c>
      <c r="AK1194" t="str">
        <f>IF(ISERROR(MATCH(AI1194&amp;"."&amp;AJ1194,AK$91:AK1193,0)),AI1194&amp;"."&amp;AJ1194,AI1194&amp;"."&amp;AJ1194&amp;COUNTIFS(AI$91:AI1193,AI1194,AJ$91:AJ1193,AJ1194))</f>
        <v>310.SG3</v>
      </c>
    </row>
    <row r="1195" spans="1:37" ht="15" hidden="1">
      <c r="A1195" s="120">
        <f>ROW()</f>
        <v>1195</v>
      </c>
      <c r="B1195" s="120"/>
      <c r="C1195" s="1"/>
      <c r="E1195" s="121"/>
      <c r="F1195" s="138"/>
      <c r="G1195" s="117" t="e">
        <f t="shared" ref="G1195:L1195" si="712">SUM(G1190:G1194)</f>
        <v>#VALUE!</v>
      </c>
      <c r="H1195" s="116" t="e">
        <f t="shared" si="712"/>
        <v>#VALUE!</v>
      </c>
      <c r="I1195" s="116" t="e">
        <f t="shared" si="712"/>
        <v>#VALUE!</v>
      </c>
      <c r="J1195" s="116" t="e">
        <f t="shared" si="712"/>
        <v>#VALUE!</v>
      </c>
      <c r="K1195" s="116" t="e">
        <f t="shared" si="712"/>
        <v>#VALUE!</v>
      </c>
      <c r="L1195" s="116" t="e">
        <f t="shared" si="712"/>
        <v>#VALUE!</v>
      </c>
      <c r="O1195" s="116" t="e">
        <f>SUM(O1190:O1194)</f>
        <v>#VALUE!</v>
      </c>
      <c r="P1195" s="116" t="e">
        <f>SUM(P1190:P1194)</f>
        <v>#VALUE!</v>
      </c>
      <c r="Q1195" s="116" t="e">
        <f>SUM(Q1190:Q1194)</f>
        <v>#VALUE!</v>
      </c>
      <c r="R1195" s="116" t="e">
        <f>SUM(R1190:R1194)</f>
        <v>#VALUE!</v>
      </c>
      <c r="T1195" s="116">
        <f>SUM(T1190:T1194)</f>
        <v>0</v>
      </c>
      <c r="U1195" s="116">
        <f>SUM(U1190:U1194)</f>
        <v>0</v>
      </c>
      <c r="V1195" s="116">
        <f>SUM(V1190:V1194)</f>
        <v>0</v>
      </c>
      <c r="W1195" s="116">
        <f>SUM(W1190:W1194)</f>
        <v>0</v>
      </c>
      <c r="X1195" s="3"/>
      <c r="Y1195" s="116">
        <f>SUM(Y1190:Y1194)</f>
        <v>0</v>
      </c>
      <c r="Z1195" s="116">
        <f>SUM(Z1190:Z1194)</f>
        <v>0</v>
      </c>
      <c r="AA1195" s="116">
        <f>SUM(AA1190:AA1194)</f>
        <v>0</v>
      </c>
      <c r="AB1195" s="116">
        <f>SUM(AB1190:AB1194)</f>
        <v>0</v>
      </c>
      <c r="AC1195" s="116">
        <f>SUM(AC1190:AC1194)</f>
        <v>0</v>
      </c>
      <c r="AD1195" s="117" t="e">
        <f t="shared" si="708"/>
        <v>#VALUE!</v>
      </c>
      <c r="AE1195" s="117" t="e">
        <f t="shared" si="709"/>
        <v>#VALUE!</v>
      </c>
      <c r="AF1195" s="117" t="e">
        <f t="shared" si="710"/>
        <v>#VALUE!</v>
      </c>
      <c r="AG1195" s="117" t="e">
        <f t="shared" si="711"/>
        <v>#VALUE!</v>
      </c>
      <c r="AH1195" s="116"/>
      <c r="AI1195">
        <f t="shared" si="679"/>
        <v>310</v>
      </c>
      <c r="AJ1195" t="str">
        <f t="shared" si="705"/>
        <v>NA</v>
      </c>
      <c r="AK1195" t="str">
        <f>IF(ISERROR(MATCH(AI1195&amp;"."&amp;AJ1195,AK$91:AK1194,0)),AI1195&amp;"."&amp;AJ1195,AI1195&amp;"."&amp;AJ1195&amp;COUNTIFS(AI$91:AI1194,AI1195,AJ$91:AJ1194,AJ1195))</f>
        <v>310.NA1</v>
      </c>
    </row>
    <row r="1196" spans="1:37" ht="15" hidden="1">
      <c r="A1196" s="120">
        <f>ROW()</f>
        <v>1196</v>
      </c>
      <c r="B1196" s="120"/>
      <c r="C1196" s="1"/>
      <c r="E1196" s="121"/>
      <c r="F1196" s="138"/>
      <c r="G1196" s="119"/>
      <c r="X1196" s="3"/>
      <c r="AD1196" s="119"/>
      <c r="AE1196" s="119"/>
      <c r="AF1196" s="119"/>
      <c r="AG1196" s="119"/>
      <c r="AI1196">
        <f t="shared" ref="AI1196:AI1259" si="713">IF(OR(C1196="",C1196=" ",C1196="  ",C1196="   "),AI1195,C1196)</f>
        <v>310</v>
      </c>
      <c r="AJ1196" t="str">
        <f t="shared" si="705"/>
        <v>NA</v>
      </c>
      <c r="AK1196" t="str">
        <f>IF(ISERROR(MATCH(AI1196&amp;"."&amp;AJ1196,AK$91:AK1195,0)),AI1196&amp;"."&amp;AJ1196,AI1196&amp;"."&amp;AJ1196&amp;COUNTIFS(AI$91:AI1195,AI1196,AJ$91:AJ1195,AJ1196))</f>
        <v>310.NA2</v>
      </c>
    </row>
    <row r="1197" spans="1:37" ht="15" hidden="1">
      <c r="A1197" s="120">
        <f>ROW()</f>
        <v>1197</v>
      </c>
      <c r="B1197" s="120"/>
      <c r="C1197" s="1">
        <v>311</v>
      </c>
      <c r="D1197" s="2" t="s">
        <v>502</v>
      </c>
      <c r="E1197" s="121"/>
      <c r="F1197" s="138"/>
      <c r="G1197" s="119"/>
      <c r="X1197" s="3"/>
      <c r="AD1197" s="119"/>
      <c r="AE1197" s="119"/>
      <c r="AF1197" s="119"/>
      <c r="AG1197" s="119"/>
      <c r="AI1197">
        <f t="shared" si="713"/>
        <v>311</v>
      </c>
      <c r="AJ1197" t="str">
        <f t="shared" si="705"/>
        <v>NA</v>
      </c>
      <c r="AK1197" t="str">
        <f>IF(ISERROR(MATCH(AI1197&amp;"."&amp;AJ1197,AK$91:AK1196,0)),AI1197&amp;"."&amp;AJ1197,AI1197&amp;"."&amp;AJ1197&amp;COUNTIFS(AI$91:AI1196,AI1197,AJ$91:AJ1196,AJ1197))</f>
        <v>311.NA</v>
      </c>
    </row>
    <row r="1198" spans="1:37" ht="15" hidden="1">
      <c r="A1198" s="120">
        <f>ROW()</f>
        <v>1198</v>
      </c>
      <c r="B1198" s="120"/>
      <c r="C1198" s="1"/>
      <c r="E1198" s="121" t="s">
        <v>15</v>
      </c>
      <c r="F1198" s="138" t="str">
        <f>INDEX(FuncAllocOptions,ROW(A1198)-ROW($A$92)+1,[4]Inputs!$S$11)</f>
        <v>P</v>
      </c>
      <c r="G1198" s="117" t="e">
        <f>SUMIF(FERCJAMFactor,AK1198,JAMValue)</f>
        <v>#VALUE!</v>
      </c>
      <c r="H1198" s="116" t="e">
        <f t="shared" ref="H1198:L1201" si="714">INDEX(FuncFactorTbl,MATCH($F1198,FuncFactors,0),MATCH(H$8,Functions,0))*$G1198</f>
        <v>#VALUE!</v>
      </c>
      <c r="I1198" s="116" t="e">
        <f t="shared" si="714"/>
        <v>#VALUE!</v>
      </c>
      <c r="J1198" s="116" t="e">
        <f t="shared" si="714"/>
        <v>#VALUE!</v>
      </c>
      <c r="K1198" s="116" t="e">
        <f t="shared" si="714"/>
        <v>#VALUE!</v>
      </c>
      <c r="L1198" s="116" t="e">
        <f t="shared" si="714"/>
        <v>#VALUE!</v>
      </c>
      <c r="N1198" s="108">
        <v>0.75</v>
      </c>
      <c r="O1198" s="116" t="e">
        <f>$H1198*$N1198*$M1198</f>
        <v>#VALUE!</v>
      </c>
      <c r="P1198" s="116" t="e">
        <f>$H1198*(1-$N1198)*$M1198</f>
        <v>#VALUE!</v>
      </c>
      <c r="Q1198" s="116" t="e">
        <f>$H1198*$N1198*(1-$M1198)</f>
        <v>#VALUE!</v>
      </c>
      <c r="R1198" s="116" t="e">
        <f>$H1198*(1-$N1198)*(1-$M1198)</f>
        <v>#VALUE!</v>
      </c>
      <c r="T1198" s="116">
        <v>0</v>
      </c>
      <c r="U1198" s="116">
        <v>0</v>
      </c>
      <c r="V1198" s="116">
        <v>0</v>
      </c>
      <c r="W1198" s="116">
        <v>0</v>
      </c>
      <c r="X1198" s="3"/>
      <c r="AD1198" s="117" t="e">
        <f>ROUND(SUM(-G1198,H1198:L1198),0)</f>
        <v>#VALUE!</v>
      </c>
      <c r="AE1198" s="117" t="e">
        <f>ROUND(H1198-O1198-P1198-Q1198-R1198,0)</f>
        <v>#VALUE!</v>
      </c>
      <c r="AF1198" s="117" t="e">
        <f>ROUND(I1198-T1198-U1198-V1198-W1198,0)</f>
        <v>#VALUE!</v>
      </c>
      <c r="AG1198" s="117" t="e">
        <f>ROUND(J1198-Y1198-Z1198-AA1198-AC1198-AB1198,0)</f>
        <v>#VALUE!</v>
      </c>
      <c r="AH1198" s="116"/>
      <c r="AI1198">
        <f t="shared" si="713"/>
        <v>311</v>
      </c>
      <c r="AJ1198" t="str">
        <f t="shared" si="705"/>
        <v>SG</v>
      </c>
      <c r="AK1198" t="str">
        <f>IF(ISERROR(MATCH(AI1198&amp;"."&amp;AJ1198,AK$91:AK1197,0)),AI1198&amp;"."&amp;AJ1198,AI1198&amp;"."&amp;AJ1198&amp;COUNTIFS(AI$91:AI1197,AI1198,AJ$91:AJ1197,AJ1198))</f>
        <v>311.SG</v>
      </c>
    </row>
    <row r="1199" spans="1:37" ht="15" hidden="1">
      <c r="A1199" s="120">
        <f>ROW()</f>
        <v>1199</v>
      </c>
      <c r="B1199" s="120"/>
      <c r="C1199" s="1"/>
      <c r="E1199" s="121" t="s">
        <v>15</v>
      </c>
      <c r="F1199" s="138" t="str">
        <f>INDEX(FuncAllocOptions,ROW(A1199)-ROW($A$92)+1,[4]Inputs!$S$11)</f>
        <v>P</v>
      </c>
      <c r="G1199" s="117" t="e">
        <f>SUMIF(FERCJAMFactor,AK1199,JAMValue)</f>
        <v>#VALUE!</v>
      </c>
      <c r="H1199" s="116" t="e">
        <f t="shared" si="714"/>
        <v>#VALUE!</v>
      </c>
      <c r="I1199" s="116" t="e">
        <f t="shared" si="714"/>
        <v>#VALUE!</v>
      </c>
      <c r="J1199" s="116" t="e">
        <f t="shared" si="714"/>
        <v>#VALUE!</v>
      </c>
      <c r="K1199" s="116" t="e">
        <f t="shared" si="714"/>
        <v>#VALUE!</v>
      </c>
      <c r="L1199" s="116" t="e">
        <f t="shared" si="714"/>
        <v>#VALUE!</v>
      </c>
      <c r="N1199" s="108">
        <v>0.75</v>
      </c>
      <c r="O1199" s="116" t="e">
        <f>$H1199*$N1199*$M1199</f>
        <v>#VALUE!</v>
      </c>
      <c r="P1199" s="116" t="e">
        <f>$H1199*(1-$N1199)*$M1199</f>
        <v>#VALUE!</v>
      </c>
      <c r="Q1199" s="116" t="e">
        <f>$H1199*$N1199*(1-$M1199)</f>
        <v>#VALUE!</v>
      </c>
      <c r="R1199" s="116" t="e">
        <f>$H1199*(1-$N1199)*(1-$M1199)</f>
        <v>#VALUE!</v>
      </c>
      <c r="T1199" s="116">
        <v>0</v>
      </c>
      <c r="U1199" s="116">
        <v>0</v>
      </c>
      <c r="V1199" s="116">
        <v>0</v>
      </c>
      <c r="W1199" s="116">
        <v>0</v>
      </c>
      <c r="X1199" s="3"/>
      <c r="AD1199" s="117" t="e">
        <f>ROUND(SUM(-G1199,H1199:L1199),0)</f>
        <v>#VALUE!</v>
      </c>
      <c r="AE1199" s="117" t="e">
        <f>ROUND(H1199-O1199-P1199-Q1199-R1199,0)</f>
        <v>#VALUE!</v>
      </c>
      <c r="AF1199" s="117" t="e">
        <f>ROUND(I1199-T1199-U1199-V1199-W1199,0)</f>
        <v>#VALUE!</v>
      </c>
      <c r="AG1199" s="117" t="e">
        <f>ROUND(J1199-Y1199-Z1199-AA1199-AC1199-AB1199,0)</f>
        <v>#VALUE!</v>
      </c>
      <c r="AH1199" s="116"/>
      <c r="AI1199">
        <f t="shared" si="713"/>
        <v>311</v>
      </c>
      <c r="AJ1199" t="str">
        <f t="shared" si="705"/>
        <v>SG</v>
      </c>
      <c r="AK1199" t="str">
        <f>IF(ISERROR(MATCH(AI1199&amp;"."&amp;AJ1199,AK$91:AK1198,0)),AI1199&amp;"."&amp;AJ1199,AI1199&amp;"."&amp;AJ1199&amp;COUNTIFS(AI$91:AI1198,AI1199,AJ$91:AJ1198,AJ1199))</f>
        <v>311.SG1</v>
      </c>
    </row>
    <row r="1200" spans="1:37" ht="15" hidden="1">
      <c r="A1200" s="120">
        <f>ROW()</f>
        <v>1200</v>
      </c>
      <c r="B1200" s="120"/>
      <c r="C1200" s="1"/>
      <c r="E1200" s="121" t="s">
        <v>15</v>
      </c>
      <c r="F1200" s="138" t="str">
        <f>INDEX(FuncAllocOptions,ROW(A1200)-ROW($A$92)+1,[4]Inputs!$S$11)</f>
        <v>P</v>
      </c>
      <c r="G1200" s="117" t="e">
        <f>SUMIF(FERCJAMFactor,AK1200,JAMValue)</f>
        <v>#VALUE!</v>
      </c>
      <c r="H1200" s="116" t="e">
        <f t="shared" si="714"/>
        <v>#VALUE!</v>
      </c>
      <c r="I1200" s="116" t="e">
        <f t="shared" si="714"/>
        <v>#VALUE!</v>
      </c>
      <c r="J1200" s="116" t="e">
        <f t="shared" si="714"/>
        <v>#VALUE!</v>
      </c>
      <c r="K1200" s="116" t="e">
        <f t="shared" si="714"/>
        <v>#VALUE!</v>
      </c>
      <c r="L1200" s="116" t="e">
        <f t="shared" si="714"/>
        <v>#VALUE!</v>
      </c>
      <c r="N1200" s="108">
        <v>0.75</v>
      </c>
      <c r="O1200" s="116" t="e">
        <f>$H1200*$N1200*$M1200</f>
        <v>#VALUE!</v>
      </c>
      <c r="P1200" s="116" t="e">
        <f>$H1200*(1-$N1200)*$M1200</f>
        <v>#VALUE!</v>
      </c>
      <c r="Q1200" s="116" t="e">
        <f>$H1200*$N1200*(1-$M1200)</f>
        <v>#VALUE!</v>
      </c>
      <c r="R1200" s="116" t="e">
        <f>$H1200*(1-$N1200)*(1-$M1200)</f>
        <v>#VALUE!</v>
      </c>
      <c r="T1200" s="116">
        <v>0</v>
      </c>
      <c r="U1200" s="116">
        <v>0</v>
      </c>
      <c r="V1200" s="116">
        <v>0</v>
      </c>
      <c r="W1200" s="116">
        <v>0</v>
      </c>
      <c r="X1200" s="3"/>
      <c r="AD1200" s="117" t="e">
        <f>ROUND(SUM(-G1200,H1200:L1200),0)</f>
        <v>#VALUE!</v>
      </c>
      <c r="AE1200" s="117" t="e">
        <f>ROUND(H1200-O1200-P1200-Q1200-R1200,0)</f>
        <v>#VALUE!</v>
      </c>
      <c r="AF1200" s="117" t="e">
        <f>ROUND(I1200-T1200-U1200-V1200-W1200,0)</f>
        <v>#VALUE!</v>
      </c>
      <c r="AG1200" s="117" t="e">
        <f>ROUND(J1200-Y1200-Z1200-AA1200-AC1200-AB1200,0)</f>
        <v>#VALUE!</v>
      </c>
      <c r="AH1200" s="116"/>
      <c r="AI1200">
        <f t="shared" si="713"/>
        <v>311</v>
      </c>
      <c r="AJ1200" t="str">
        <f t="shared" si="705"/>
        <v>SG</v>
      </c>
      <c r="AK1200" t="str">
        <f>IF(ISERROR(MATCH(AI1200&amp;"."&amp;AJ1200,AK$91:AK1199,0)),AI1200&amp;"."&amp;AJ1200,AI1200&amp;"."&amp;AJ1200&amp;COUNTIFS(AI$91:AI1199,AI1200,AJ$91:AJ1199,AJ1200))</f>
        <v>311.SG2</v>
      </c>
    </row>
    <row r="1201" spans="1:37" ht="15" hidden="1">
      <c r="A1201" s="120">
        <f>ROW()</f>
        <v>1201</v>
      </c>
      <c r="B1201" s="120"/>
      <c r="C1201" s="1"/>
      <c r="E1201" s="121" t="s">
        <v>15</v>
      </c>
      <c r="F1201" s="138" t="str">
        <f>INDEX(FuncAllocOptions,ROW(A1201)-ROW($A$92)+1,[4]Inputs!$S$11)</f>
        <v>P</v>
      </c>
      <c r="G1201" s="133" t="e">
        <f>SUMIF(FERCJAMFactor,AK1201,JAMValue)</f>
        <v>#VALUE!</v>
      </c>
      <c r="H1201" s="139" t="e">
        <f t="shared" si="714"/>
        <v>#VALUE!</v>
      </c>
      <c r="I1201" s="139" t="e">
        <f t="shared" si="714"/>
        <v>#VALUE!</v>
      </c>
      <c r="J1201" s="139" t="e">
        <f t="shared" si="714"/>
        <v>#VALUE!</v>
      </c>
      <c r="K1201" s="139" t="e">
        <f t="shared" si="714"/>
        <v>#VALUE!</v>
      </c>
      <c r="L1201" s="139" t="e">
        <f t="shared" si="714"/>
        <v>#VALUE!</v>
      </c>
      <c r="N1201" s="108">
        <v>0.75</v>
      </c>
      <c r="O1201" s="116" t="e">
        <f>$H1201*$N1201*$M1201</f>
        <v>#VALUE!</v>
      </c>
      <c r="P1201" s="116" t="e">
        <f>$H1201*(1-$N1201)*$M1201</f>
        <v>#VALUE!</v>
      </c>
      <c r="Q1201" s="116" t="e">
        <f>$H1201*$N1201*(1-$M1201)</f>
        <v>#VALUE!</v>
      </c>
      <c r="R1201" s="116" t="e">
        <f>$H1201*(1-$N1201)*(1-$M1201)</f>
        <v>#VALUE!</v>
      </c>
      <c r="T1201" s="116"/>
      <c r="U1201" s="116"/>
      <c r="V1201" s="116"/>
      <c r="W1201" s="116"/>
      <c r="X1201" s="3"/>
      <c r="AD1201" s="117" t="e">
        <f>ROUND(SUM(-G1201,H1201:L1201),0)</f>
        <v>#VALUE!</v>
      </c>
      <c r="AE1201" s="117" t="e">
        <f>ROUND(H1201-O1201-P1201-Q1201-R1201,0)</f>
        <v>#VALUE!</v>
      </c>
      <c r="AF1201" s="117" t="e">
        <f>ROUND(I1201-T1201-U1201-V1201-W1201,0)</f>
        <v>#VALUE!</v>
      </c>
      <c r="AG1201" s="117" t="e">
        <f>ROUND(J1201-Y1201-Z1201-AA1201-AC1201-AB1201,0)</f>
        <v>#VALUE!</v>
      </c>
      <c r="AH1201" s="116"/>
      <c r="AI1201">
        <f t="shared" si="713"/>
        <v>311</v>
      </c>
      <c r="AJ1201" t="str">
        <f t="shared" si="705"/>
        <v>SG</v>
      </c>
      <c r="AK1201" t="str">
        <f>IF(ISERROR(MATCH(AI1201&amp;"."&amp;AJ1201,AK$91:AK1200,0)),AI1201&amp;"."&amp;AJ1201,AI1201&amp;"."&amp;AJ1201&amp;COUNTIFS(AI$91:AI1200,AI1201,AJ$91:AJ1200,AJ1201))</f>
        <v>311.SG3</v>
      </c>
    </row>
    <row r="1202" spans="1:37" ht="15" hidden="1">
      <c r="A1202" s="120">
        <f>ROW()</f>
        <v>1202</v>
      </c>
      <c r="B1202" s="120"/>
      <c r="C1202" s="1"/>
      <c r="E1202" s="121"/>
      <c r="F1202" s="138"/>
      <c r="G1202" s="117" t="e">
        <f t="shared" ref="G1202:L1202" si="715">SUM(G1198:G1201)</f>
        <v>#VALUE!</v>
      </c>
      <c r="H1202" s="116" t="e">
        <f t="shared" si="715"/>
        <v>#VALUE!</v>
      </c>
      <c r="I1202" s="116" t="e">
        <f t="shared" si="715"/>
        <v>#VALUE!</v>
      </c>
      <c r="J1202" s="116" t="e">
        <f t="shared" si="715"/>
        <v>#VALUE!</v>
      </c>
      <c r="K1202" s="116" t="e">
        <f t="shared" si="715"/>
        <v>#VALUE!</v>
      </c>
      <c r="L1202" s="116" t="e">
        <f t="shared" si="715"/>
        <v>#VALUE!</v>
      </c>
      <c r="O1202" s="116" t="e">
        <f>SUM(O1198:O1201)</f>
        <v>#VALUE!</v>
      </c>
      <c r="P1202" s="116" t="e">
        <f>SUM(P1198:P1201)</f>
        <v>#VALUE!</v>
      </c>
      <c r="Q1202" s="116" t="e">
        <f>SUM(Q1198:Q1201)</f>
        <v>#VALUE!</v>
      </c>
      <c r="R1202" s="116" t="e">
        <f>SUM(R1198:R1201)</f>
        <v>#VALUE!</v>
      </c>
      <c r="T1202" s="116">
        <f>SUM(T1198:T1201)</f>
        <v>0</v>
      </c>
      <c r="U1202" s="116">
        <f>SUM(U1198:U1201)</f>
        <v>0</v>
      </c>
      <c r="V1202" s="116">
        <f>SUM(V1198:V1201)</f>
        <v>0</v>
      </c>
      <c r="W1202" s="116">
        <f>SUM(W1198:W1201)</f>
        <v>0</v>
      </c>
      <c r="X1202" s="3"/>
      <c r="Y1202" s="116">
        <f>SUM(Y1198:Y1201)</f>
        <v>0</v>
      </c>
      <c r="Z1202" s="116">
        <f>SUM(Z1198:Z1201)</f>
        <v>0</v>
      </c>
      <c r="AA1202" s="116">
        <f>SUM(AA1198:AA1201)</f>
        <v>0</v>
      </c>
      <c r="AB1202" s="116">
        <f>SUM(AB1198:AB1201)</f>
        <v>0</v>
      </c>
      <c r="AC1202" s="116">
        <f>SUM(AC1198:AC1201)</f>
        <v>0</v>
      </c>
      <c r="AD1202" s="117" t="e">
        <f>ROUND(SUM(-G1202,H1202:L1202),0)</f>
        <v>#VALUE!</v>
      </c>
      <c r="AE1202" s="117" t="e">
        <f>ROUND(H1202-O1202-P1202-Q1202-R1202,0)</f>
        <v>#VALUE!</v>
      </c>
      <c r="AF1202" s="117" t="e">
        <f>ROUND(I1202-T1202-U1202-V1202-W1202,0)</f>
        <v>#VALUE!</v>
      </c>
      <c r="AG1202" s="117" t="e">
        <f>ROUND(J1202-Y1202-Z1202-AA1202-AC1202-AB1202,0)</f>
        <v>#VALUE!</v>
      </c>
      <c r="AH1202" s="116"/>
      <c r="AI1202">
        <f t="shared" si="713"/>
        <v>311</v>
      </c>
      <c r="AJ1202" t="str">
        <f t="shared" si="705"/>
        <v>NA</v>
      </c>
      <c r="AK1202" t="str">
        <f>IF(ISERROR(MATCH(AI1202&amp;"."&amp;AJ1202,AK$91:AK1201,0)),AI1202&amp;"."&amp;AJ1202,AI1202&amp;"."&amp;AJ1202&amp;COUNTIFS(AI$91:AI1201,AI1202,AJ$91:AJ1201,AJ1202))</f>
        <v>311.NA1</v>
      </c>
    </row>
    <row r="1203" spans="1:37" ht="15" hidden="1">
      <c r="A1203" s="120">
        <f>ROW()</f>
        <v>1203</v>
      </c>
      <c r="B1203" s="120"/>
      <c r="C1203" s="1"/>
      <c r="E1203" s="121"/>
      <c r="F1203" s="138"/>
      <c r="G1203" s="119"/>
      <c r="X1203" s="3"/>
      <c r="AD1203" s="119"/>
      <c r="AE1203" s="119"/>
      <c r="AF1203" s="119"/>
      <c r="AG1203" s="119"/>
      <c r="AI1203">
        <f t="shared" si="713"/>
        <v>311</v>
      </c>
      <c r="AJ1203" t="str">
        <f t="shared" si="705"/>
        <v>NA</v>
      </c>
      <c r="AK1203" t="str">
        <f>IF(ISERROR(MATCH(AI1203&amp;"."&amp;AJ1203,AK$91:AK1202,0)),AI1203&amp;"."&amp;AJ1203,AI1203&amp;"."&amp;AJ1203&amp;COUNTIFS(AI$91:AI1202,AI1203,AJ$91:AJ1202,AJ1203))</f>
        <v>311.NA2</v>
      </c>
    </row>
    <row r="1204" spans="1:37" ht="15" hidden="1">
      <c r="A1204" s="120">
        <f>ROW()</f>
        <v>1204</v>
      </c>
      <c r="B1204" s="120"/>
      <c r="C1204" s="1">
        <v>312</v>
      </c>
      <c r="D1204" s="2" t="s">
        <v>503</v>
      </c>
      <c r="E1204" s="121"/>
      <c r="F1204" s="138"/>
      <c r="G1204" s="119"/>
      <c r="X1204" s="3"/>
      <c r="AD1204" s="119"/>
      <c r="AE1204" s="119"/>
      <c r="AF1204" s="119"/>
      <c r="AG1204" s="119"/>
      <c r="AI1204">
        <f t="shared" si="713"/>
        <v>312</v>
      </c>
      <c r="AJ1204" t="str">
        <f t="shared" si="705"/>
        <v>NA</v>
      </c>
      <c r="AK1204" t="str">
        <f>IF(ISERROR(MATCH(AI1204&amp;"."&amp;AJ1204,AK$91:AK1203,0)),AI1204&amp;"."&amp;AJ1204,AI1204&amp;"."&amp;AJ1204&amp;COUNTIFS(AI$91:AI1203,AI1204,AJ$91:AJ1203,AJ1204))</f>
        <v>312.NA</v>
      </c>
    </row>
    <row r="1205" spans="1:37" ht="15" hidden="1">
      <c r="A1205" s="120">
        <f>ROW()</f>
        <v>1205</v>
      </c>
      <c r="B1205" s="120"/>
      <c r="C1205" s="1"/>
      <c r="E1205" s="121" t="s">
        <v>15</v>
      </c>
      <c r="F1205" s="138" t="str">
        <f>INDEX(FuncAllocOptions,ROW(A1205)-ROW($A$92)+1,[4]Inputs!$S$11)</f>
        <v>P</v>
      </c>
      <c r="G1205" s="117" t="e">
        <f>SUMIF(FERCJAMFactor,AK1205,JAMValue)</f>
        <v>#VALUE!</v>
      </c>
      <c r="H1205" s="116" t="e">
        <f t="shared" ref="H1205:L1208" si="716">INDEX(FuncFactorTbl,MATCH($F1205,FuncFactors,0),MATCH(H$8,Functions,0))*$G1205</f>
        <v>#VALUE!</v>
      </c>
      <c r="I1205" s="116" t="e">
        <f t="shared" si="716"/>
        <v>#VALUE!</v>
      </c>
      <c r="J1205" s="116" t="e">
        <f t="shared" si="716"/>
        <v>#VALUE!</v>
      </c>
      <c r="K1205" s="116" t="e">
        <f t="shared" si="716"/>
        <v>#VALUE!</v>
      </c>
      <c r="L1205" s="116" t="e">
        <f t="shared" si="716"/>
        <v>#VALUE!</v>
      </c>
      <c r="N1205" s="108">
        <v>0.75</v>
      </c>
      <c r="O1205" s="116" t="e">
        <f>$H1205*$N1205*$M1205</f>
        <v>#VALUE!</v>
      </c>
      <c r="P1205" s="116" t="e">
        <f>$H1205*(1-$N1205)*$M1205</f>
        <v>#VALUE!</v>
      </c>
      <c r="Q1205" s="116" t="e">
        <f>$H1205*$N1205*(1-$M1205)</f>
        <v>#VALUE!</v>
      </c>
      <c r="R1205" s="116" t="e">
        <f>$H1205*(1-$N1205)*(1-$M1205)</f>
        <v>#VALUE!</v>
      </c>
      <c r="T1205" s="116">
        <v>0</v>
      </c>
      <c r="U1205" s="116">
        <v>0</v>
      </c>
      <c r="V1205" s="116">
        <v>0</v>
      </c>
      <c r="W1205" s="116">
        <v>0</v>
      </c>
      <c r="X1205" s="3"/>
      <c r="AD1205" s="117" t="e">
        <f>ROUND(SUM(-G1205,H1205:L1205),0)</f>
        <v>#VALUE!</v>
      </c>
      <c r="AE1205" s="117" t="e">
        <f>ROUND(H1205-O1205-P1205-Q1205-R1205,0)</f>
        <v>#VALUE!</v>
      </c>
      <c r="AF1205" s="117" t="e">
        <f>ROUND(I1205-T1205-U1205-V1205-W1205,0)</f>
        <v>#VALUE!</v>
      </c>
      <c r="AG1205" s="117" t="e">
        <f>ROUND(J1205-Y1205-Z1205-AA1205-AC1205-AB1205,0)</f>
        <v>#VALUE!</v>
      </c>
      <c r="AH1205" s="116"/>
      <c r="AI1205">
        <f t="shared" si="713"/>
        <v>312</v>
      </c>
      <c r="AJ1205" t="str">
        <f t="shared" si="705"/>
        <v>SG</v>
      </c>
      <c r="AK1205" t="str">
        <f>IF(ISERROR(MATCH(AI1205&amp;"."&amp;AJ1205,AK$91:AK1204,0)),AI1205&amp;"."&amp;AJ1205,AI1205&amp;"."&amp;AJ1205&amp;COUNTIFS(AI$91:AI1204,AI1205,AJ$91:AJ1204,AJ1205))</f>
        <v>312.SG</v>
      </c>
    </row>
    <row r="1206" spans="1:37" ht="15" hidden="1">
      <c r="A1206" s="120">
        <f>ROW()</f>
        <v>1206</v>
      </c>
      <c r="B1206" s="120"/>
      <c r="C1206" s="1"/>
      <c r="E1206" s="121" t="s">
        <v>15</v>
      </c>
      <c r="F1206" s="138" t="str">
        <f>INDEX(FuncAllocOptions,ROW(A1206)-ROW($A$92)+1,[4]Inputs!$S$11)</f>
        <v>P</v>
      </c>
      <c r="G1206" s="117" t="e">
        <f>SUMIF(FERCJAMFactor,AK1206,JAMValue)</f>
        <v>#VALUE!</v>
      </c>
      <c r="H1206" s="116" t="e">
        <f t="shared" si="716"/>
        <v>#VALUE!</v>
      </c>
      <c r="I1206" s="116" t="e">
        <f t="shared" si="716"/>
        <v>#VALUE!</v>
      </c>
      <c r="J1206" s="116" t="e">
        <f t="shared" si="716"/>
        <v>#VALUE!</v>
      </c>
      <c r="K1206" s="116" t="e">
        <f t="shared" si="716"/>
        <v>#VALUE!</v>
      </c>
      <c r="L1206" s="116" t="e">
        <f t="shared" si="716"/>
        <v>#VALUE!</v>
      </c>
      <c r="N1206" s="108">
        <v>0.75</v>
      </c>
      <c r="O1206" s="116" t="e">
        <f>$H1206*$N1206*$M1206</f>
        <v>#VALUE!</v>
      </c>
      <c r="P1206" s="116" t="e">
        <f>$H1206*(1-$N1206)*$M1206</f>
        <v>#VALUE!</v>
      </c>
      <c r="Q1206" s="116" t="e">
        <f>$H1206*$N1206*(1-$M1206)</f>
        <v>#VALUE!</v>
      </c>
      <c r="R1206" s="116" t="e">
        <f>$H1206*(1-$N1206)*(1-$M1206)</f>
        <v>#VALUE!</v>
      </c>
      <c r="T1206" s="116">
        <v>0</v>
      </c>
      <c r="U1206" s="116">
        <v>0</v>
      </c>
      <c r="V1206" s="116">
        <v>0</v>
      </c>
      <c r="W1206" s="116">
        <v>0</v>
      </c>
      <c r="X1206" s="3"/>
      <c r="AD1206" s="117" t="e">
        <f>ROUND(SUM(-G1206,H1206:L1206),0)</f>
        <v>#VALUE!</v>
      </c>
      <c r="AE1206" s="117" t="e">
        <f>ROUND(H1206-O1206-P1206-Q1206-R1206,0)</f>
        <v>#VALUE!</v>
      </c>
      <c r="AF1206" s="117" t="e">
        <f>ROUND(I1206-T1206-U1206-V1206-W1206,0)</f>
        <v>#VALUE!</v>
      </c>
      <c r="AG1206" s="117" t="e">
        <f>ROUND(J1206-Y1206-Z1206-AA1206-AC1206-AB1206,0)</f>
        <v>#VALUE!</v>
      </c>
      <c r="AH1206" s="116"/>
      <c r="AI1206">
        <f t="shared" si="713"/>
        <v>312</v>
      </c>
      <c r="AJ1206" t="str">
        <f t="shared" si="705"/>
        <v>SG</v>
      </c>
      <c r="AK1206" t="str">
        <f>IF(ISERROR(MATCH(AI1206&amp;"."&amp;AJ1206,AK$91:AK1205,0)),AI1206&amp;"."&amp;AJ1206,AI1206&amp;"."&amp;AJ1206&amp;COUNTIFS(AI$91:AI1205,AI1206,AJ$91:AJ1205,AJ1206))</f>
        <v>312.SG1</v>
      </c>
    </row>
    <row r="1207" spans="1:37" ht="15" hidden="1">
      <c r="A1207" s="120">
        <f>ROW()</f>
        <v>1207</v>
      </c>
      <c r="B1207" s="120"/>
      <c r="C1207" s="1"/>
      <c r="E1207" s="121" t="s">
        <v>15</v>
      </c>
      <c r="F1207" s="138" t="str">
        <f>INDEX(FuncAllocOptions,ROW(A1207)-ROW($A$92)+1,[4]Inputs!$S$11)</f>
        <v>P</v>
      </c>
      <c r="G1207" s="117" t="e">
        <f>SUMIF(FERCJAMFactor,AK1207,JAMValue)</f>
        <v>#VALUE!</v>
      </c>
      <c r="H1207" s="116" t="e">
        <f t="shared" si="716"/>
        <v>#VALUE!</v>
      </c>
      <c r="I1207" s="116" t="e">
        <f t="shared" si="716"/>
        <v>#VALUE!</v>
      </c>
      <c r="J1207" s="116" t="e">
        <f t="shared" si="716"/>
        <v>#VALUE!</v>
      </c>
      <c r="K1207" s="116" t="e">
        <f t="shared" si="716"/>
        <v>#VALUE!</v>
      </c>
      <c r="L1207" s="116" t="e">
        <f t="shared" si="716"/>
        <v>#VALUE!</v>
      </c>
      <c r="N1207" s="108">
        <v>0.75</v>
      </c>
      <c r="O1207" s="116" t="e">
        <f>$H1207*$N1207*$M1207</f>
        <v>#VALUE!</v>
      </c>
      <c r="P1207" s="116" t="e">
        <f>$H1207*(1-$N1207)*$M1207</f>
        <v>#VALUE!</v>
      </c>
      <c r="Q1207" s="116" t="e">
        <f>$H1207*$N1207*(1-$M1207)</f>
        <v>#VALUE!</v>
      </c>
      <c r="R1207" s="116" t="e">
        <f>$H1207*(1-$N1207)*(1-$M1207)</f>
        <v>#VALUE!</v>
      </c>
      <c r="T1207" s="116">
        <v>0</v>
      </c>
      <c r="U1207" s="116">
        <v>0</v>
      </c>
      <c r="V1207" s="116">
        <v>0</v>
      </c>
      <c r="W1207" s="116">
        <v>0</v>
      </c>
      <c r="X1207" s="3"/>
      <c r="AD1207" s="117" t="e">
        <f>ROUND(SUM(-G1207,H1207:L1207),0)</f>
        <v>#VALUE!</v>
      </c>
      <c r="AE1207" s="117" t="e">
        <f>ROUND(H1207-O1207-P1207-Q1207-R1207,0)</f>
        <v>#VALUE!</v>
      </c>
      <c r="AF1207" s="117" t="e">
        <f>ROUND(I1207-T1207-U1207-V1207-W1207,0)</f>
        <v>#VALUE!</v>
      </c>
      <c r="AG1207" s="117" t="e">
        <f>ROUND(J1207-Y1207-Z1207-AA1207-AC1207-AB1207,0)</f>
        <v>#VALUE!</v>
      </c>
      <c r="AH1207" s="116"/>
      <c r="AI1207">
        <f t="shared" si="713"/>
        <v>312</v>
      </c>
      <c r="AJ1207" t="str">
        <f t="shared" si="705"/>
        <v>SG</v>
      </c>
      <c r="AK1207" t="str">
        <f>IF(ISERROR(MATCH(AI1207&amp;"."&amp;AJ1207,AK$91:AK1206,0)),AI1207&amp;"."&amp;AJ1207,AI1207&amp;"."&amp;AJ1207&amp;COUNTIFS(AI$91:AI1206,AI1207,AJ$91:AJ1206,AJ1207))</f>
        <v>312.SG2</v>
      </c>
    </row>
    <row r="1208" spans="1:37" ht="15" hidden="1">
      <c r="A1208" s="120">
        <f>ROW()</f>
        <v>1208</v>
      </c>
      <c r="B1208" s="120"/>
      <c r="C1208" s="1"/>
      <c r="E1208" s="121" t="s">
        <v>15</v>
      </c>
      <c r="F1208" s="138" t="str">
        <f>INDEX(FuncAllocOptions,ROW(A1208)-ROW($A$92)+1,[4]Inputs!$S$11)</f>
        <v>P</v>
      </c>
      <c r="G1208" s="133" t="e">
        <f>SUMIF(FERCJAMFactor,AK1208,JAMValue)</f>
        <v>#VALUE!</v>
      </c>
      <c r="H1208" s="139" t="e">
        <f t="shared" si="716"/>
        <v>#VALUE!</v>
      </c>
      <c r="I1208" s="139" t="e">
        <f t="shared" si="716"/>
        <v>#VALUE!</v>
      </c>
      <c r="J1208" s="139" t="e">
        <f t="shared" si="716"/>
        <v>#VALUE!</v>
      </c>
      <c r="K1208" s="139" t="e">
        <f t="shared" si="716"/>
        <v>#VALUE!</v>
      </c>
      <c r="L1208" s="139" t="e">
        <f t="shared" si="716"/>
        <v>#VALUE!</v>
      </c>
      <c r="N1208" s="108">
        <v>0.75</v>
      </c>
      <c r="O1208" s="116" t="e">
        <f>$H1208*$N1208*$M1208</f>
        <v>#VALUE!</v>
      </c>
      <c r="P1208" s="116" t="e">
        <f>$H1208*(1-$N1208)*$M1208</f>
        <v>#VALUE!</v>
      </c>
      <c r="Q1208" s="116" t="e">
        <f>$H1208*$N1208*(1-$M1208)</f>
        <v>#VALUE!</v>
      </c>
      <c r="R1208" s="116" t="e">
        <f>$H1208*(1-$N1208)*(1-$M1208)</f>
        <v>#VALUE!</v>
      </c>
      <c r="T1208" s="116"/>
      <c r="U1208" s="116"/>
      <c r="V1208" s="116"/>
      <c r="W1208" s="116"/>
      <c r="X1208" s="3"/>
      <c r="AD1208" s="117" t="e">
        <f>ROUND(SUM(-G1208,H1208:L1208),0)</f>
        <v>#VALUE!</v>
      </c>
      <c r="AE1208" s="117" t="e">
        <f>ROUND(H1208-O1208-P1208-Q1208-R1208,0)</f>
        <v>#VALUE!</v>
      </c>
      <c r="AF1208" s="117" t="e">
        <f>ROUND(I1208-T1208-U1208-V1208-W1208,0)</f>
        <v>#VALUE!</v>
      </c>
      <c r="AG1208" s="117" t="e">
        <f>ROUND(J1208-Y1208-Z1208-AA1208-AC1208-AB1208,0)</f>
        <v>#VALUE!</v>
      </c>
      <c r="AH1208" s="116"/>
      <c r="AI1208">
        <f t="shared" si="713"/>
        <v>312</v>
      </c>
      <c r="AJ1208" t="str">
        <f t="shared" si="705"/>
        <v>SG</v>
      </c>
      <c r="AK1208" t="str">
        <f>IF(ISERROR(MATCH(AI1208&amp;"."&amp;AJ1208,AK$91:AK1207,0)),AI1208&amp;"."&amp;AJ1208,AI1208&amp;"."&amp;AJ1208&amp;COUNTIFS(AI$91:AI1207,AI1208,AJ$91:AJ1207,AJ1208))</f>
        <v>312.SG3</v>
      </c>
    </row>
    <row r="1209" spans="1:37" ht="15" hidden="1">
      <c r="A1209" s="120">
        <f>ROW()</f>
        <v>1209</v>
      </c>
      <c r="B1209" s="120"/>
      <c r="C1209" s="1"/>
      <c r="E1209" s="121"/>
      <c r="F1209" s="138"/>
      <c r="G1209" s="117" t="e">
        <f t="shared" ref="G1209:L1209" si="717">SUM(G1205:G1208)</f>
        <v>#VALUE!</v>
      </c>
      <c r="H1209" s="116" t="e">
        <f t="shared" si="717"/>
        <v>#VALUE!</v>
      </c>
      <c r="I1209" s="116" t="e">
        <f t="shared" si="717"/>
        <v>#VALUE!</v>
      </c>
      <c r="J1209" s="116" t="e">
        <f t="shared" si="717"/>
        <v>#VALUE!</v>
      </c>
      <c r="K1209" s="116" t="e">
        <f t="shared" si="717"/>
        <v>#VALUE!</v>
      </c>
      <c r="L1209" s="116" t="e">
        <f t="shared" si="717"/>
        <v>#VALUE!</v>
      </c>
      <c r="O1209" s="116" t="e">
        <f>SUM(O1205:O1208)</f>
        <v>#VALUE!</v>
      </c>
      <c r="P1209" s="116" t="e">
        <f>SUM(P1205:P1208)</f>
        <v>#VALUE!</v>
      </c>
      <c r="Q1209" s="116" t="e">
        <f>SUM(Q1205:Q1208)</f>
        <v>#VALUE!</v>
      </c>
      <c r="R1209" s="116" t="e">
        <f>SUM(R1205:R1208)</f>
        <v>#VALUE!</v>
      </c>
      <c r="T1209" s="116">
        <f>SUM(T1205:T1208)</f>
        <v>0</v>
      </c>
      <c r="U1209" s="116">
        <f>SUM(U1205:U1208)</f>
        <v>0</v>
      </c>
      <c r="V1209" s="116">
        <f>SUM(V1205:V1208)</f>
        <v>0</v>
      </c>
      <c r="W1209" s="116">
        <f>SUM(W1205:W1208)</f>
        <v>0</v>
      </c>
      <c r="X1209" s="3"/>
      <c r="Y1209" s="116">
        <f>SUM(Y1205:Y1208)</f>
        <v>0</v>
      </c>
      <c r="Z1209" s="116">
        <f>SUM(Z1205:Z1208)</f>
        <v>0</v>
      </c>
      <c r="AA1209" s="116">
        <f>SUM(AA1205:AA1208)</f>
        <v>0</v>
      </c>
      <c r="AB1209" s="116">
        <f>SUM(AB1205:AB1208)</f>
        <v>0</v>
      </c>
      <c r="AC1209" s="116">
        <f>SUM(AC1205:AC1208)</f>
        <v>0</v>
      </c>
      <c r="AD1209" s="117" t="e">
        <f>ROUND(SUM(-G1209,H1209:L1209),0)</f>
        <v>#VALUE!</v>
      </c>
      <c r="AE1209" s="117" t="e">
        <f>ROUND(H1209-O1209-P1209-Q1209-R1209,0)</f>
        <v>#VALUE!</v>
      </c>
      <c r="AF1209" s="117" t="e">
        <f>ROUND(I1209-T1209-U1209-V1209-W1209,0)</f>
        <v>#VALUE!</v>
      </c>
      <c r="AG1209" s="117" t="e">
        <f>ROUND(J1209-Y1209-Z1209-AA1209-AC1209-AB1209,0)</f>
        <v>#VALUE!</v>
      </c>
      <c r="AH1209" s="116"/>
      <c r="AI1209">
        <f t="shared" si="713"/>
        <v>312</v>
      </c>
      <c r="AJ1209" t="str">
        <f t="shared" si="705"/>
        <v>NA</v>
      </c>
      <c r="AK1209" t="str">
        <f>IF(ISERROR(MATCH(AI1209&amp;"."&amp;AJ1209,AK$91:AK1208,0)),AI1209&amp;"."&amp;AJ1209,AI1209&amp;"."&amp;AJ1209&amp;COUNTIFS(AI$91:AI1208,AI1209,AJ$91:AJ1208,AJ1209))</f>
        <v>312.NA1</v>
      </c>
    </row>
    <row r="1210" spans="1:37" ht="15" hidden="1">
      <c r="A1210" s="120">
        <f>ROW()</f>
        <v>1210</v>
      </c>
      <c r="B1210" s="120"/>
      <c r="C1210" s="1"/>
      <c r="E1210" s="121"/>
      <c r="F1210" s="138"/>
      <c r="G1210" s="119"/>
      <c r="X1210" s="3"/>
      <c r="AD1210" s="119"/>
      <c r="AE1210" s="119"/>
      <c r="AF1210" s="119"/>
      <c r="AG1210" s="119"/>
      <c r="AI1210">
        <f t="shared" si="713"/>
        <v>312</v>
      </c>
      <c r="AJ1210" t="str">
        <f t="shared" si="705"/>
        <v>NA</v>
      </c>
      <c r="AK1210" t="str">
        <f>IF(ISERROR(MATCH(AI1210&amp;"."&amp;AJ1210,AK$91:AK1209,0)),AI1210&amp;"."&amp;AJ1210,AI1210&amp;"."&amp;AJ1210&amp;COUNTIFS(AI$91:AI1209,AI1210,AJ$91:AJ1209,AJ1210))</f>
        <v>312.NA2</v>
      </c>
    </row>
    <row r="1211" spans="1:37" ht="15" hidden="1">
      <c r="A1211" s="120">
        <f>ROW()</f>
        <v>1211</v>
      </c>
      <c r="B1211" s="120"/>
      <c r="C1211" s="1">
        <v>314</v>
      </c>
      <c r="D1211" s="2" t="s">
        <v>504</v>
      </c>
      <c r="E1211" s="121"/>
      <c r="F1211" s="138"/>
      <c r="G1211" s="119"/>
      <c r="X1211" s="3"/>
      <c r="AD1211" s="119"/>
      <c r="AE1211" s="119"/>
      <c r="AF1211" s="119"/>
      <c r="AG1211" s="119"/>
      <c r="AI1211">
        <f t="shared" si="713"/>
        <v>314</v>
      </c>
      <c r="AJ1211" t="str">
        <f t="shared" si="705"/>
        <v>NA</v>
      </c>
      <c r="AK1211" t="str">
        <f>IF(ISERROR(MATCH(AI1211&amp;"."&amp;AJ1211,AK$91:AK1210,0)),AI1211&amp;"."&amp;AJ1211,AI1211&amp;"."&amp;AJ1211&amp;COUNTIFS(AI$91:AI1210,AI1211,AJ$91:AJ1210,AJ1211))</f>
        <v>314.NA</v>
      </c>
    </row>
    <row r="1212" spans="1:37" ht="15" hidden="1">
      <c r="A1212" s="120">
        <f>ROW()</f>
        <v>1212</v>
      </c>
      <c r="B1212" s="120"/>
      <c r="C1212" s="1"/>
      <c r="E1212" s="121" t="s">
        <v>15</v>
      </c>
      <c r="F1212" s="138" t="str">
        <f>INDEX(FuncAllocOptions,ROW(A1212)-ROW($A$92)+1,[4]Inputs!$S$11)</f>
        <v>P</v>
      </c>
      <c r="G1212" s="117" t="e">
        <f>SUMIF(FERCJAMFactor,AK1212,JAMValue)</f>
        <v>#VALUE!</v>
      </c>
      <c r="H1212" s="116" t="e">
        <f t="shared" ref="H1212:L1215" si="718">INDEX(FuncFactorTbl,MATCH($F1212,FuncFactors,0),MATCH(H$8,Functions,0))*$G1212</f>
        <v>#VALUE!</v>
      </c>
      <c r="I1212" s="116" t="e">
        <f t="shared" si="718"/>
        <v>#VALUE!</v>
      </c>
      <c r="J1212" s="116" t="e">
        <f t="shared" si="718"/>
        <v>#VALUE!</v>
      </c>
      <c r="K1212" s="116" t="e">
        <f t="shared" si="718"/>
        <v>#VALUE!</v>
      </c>
      <c r="L1212" s="116" t="e">
        <f t="shared" si="718"/>
        <v>#VALUE!</v>
      </c>
      <c r="N1212" s="108">
        <v>0.75</v>
      </c>
      <c r="O1212" s="116" t="e">
        <f>$H1212*$N1212*$M1212</f>
        <v>#VALUE!</v>
      </c>
      <c r="P1212" s="116" t="e">
        <f>$H1212*(1-$N1212)*$M1212</f>
        <v>#VALUE!</v>
      </c>
      <c r="Q1212" s="116" t="e">
        <f>$H1212*$N1212*(1-$M1212)</f>
        <v>#VALUE!</v>
      </c>
      <c r="R1212" s="116" t="e">
        <f>$H1212*(1-$N1212)*(1-$M1212)</f>
        <v>#VALUE!</v>
      </c>
      <c r="T1212" s="116">
        <v>0</v>
      </c>
      <c r="U1212" s="116">
        <v>0</v>
      </c>
      <c r="V1212" s="116">
        <v>0</v>
      </c>
      <c r="W1212" s="116">
        <v>0</v>
      </c>
      <c r="X1212" s="3"/>
      <c r="AD1212" s="117" t="e">
        <f>ROUND(SUM(-G1212,H1212:L1212),0)</f>
        <v>#VALUE!</v>
      </c>
      <c r="AE1212" s="117" t="e">
        <f>ROUND(H1212-O1212-P1212-Q1212-R1212,0)</f>
        <v>#VALUE!</v>
      </c>
      <c r="AF1212" s="117" t="e">
        <f>ROUND(I1212-T1212-U1212-V1212-W1212,0)</f>
        <v>#VALUE!</v>
      </c>
      <c r="AG1212" s="117" t="e">
        <f>ROUND(J1212-Y1212-Z1212-AA1212-AC1212-AB1212,0)</f>
        <v>#VALUE!</v>
      </c>
      <c r="AH1212" s="116"/>
      <c r="AI1212">
        <f t="shared" si="713"/>
        <v>314</v>
      </c>
      <c r="AJ1212" t="str">
        <f t="shared" si="705"/>
        <v>SG</v>
      </c>
      <c r="AK1212" t="str">
        <f>IF(ISERROR(MATCH(AI1212&amp;"."&amp;AJ1212,AK$91:AK1211,0)),AI1212&amp;"."&amp;AJ1212,AI1212&amp;"."&amp;AJ1212&amp;COUNTIFS(AI$91:AI1211,AI1212,AJ$91:AJ1211,AJ1212))</f>
        <v>314.SG</v>
      </c>
    </row>
    <row r="1213" spans="1:37" ht="15" hidden="1">
      <c r="A1213" s="120">
        <f>ROW()</f>
        <v>1213</v>
      </c>
      <c r="B1213" s="120"/>
      <c r="C1213" s="1"/>
      <c r="E1213" s="121" t="s">
        <v>15</v>
      </c>
      <c r="F1213" s="138" t="str">
        <f>INDEX(FuncAllocOptions,ROW(A1213)-ROW($A$92)+1,[4]Inputs!$S$11)</f>
        <v>P</v>
      </c>
      <c r="G1213" s="117" t="e">
        <f>SUMIF(FERCJAMFactor,AK1213,JAMValue)</f>
        <v>#VALUE!</v>
      </c>
      <c r="H1213" s="116" t="e">
        <f t="shared" si="718"/>
        <v>#VALUE!</v>
      </c>
      <c r="I1213" s="116" t="e">
        <f t="shared" si="718"/>
        <v>#VALUE!</v>
      </c>
      <c r="J1213" s="116" t="e">
        <f t="shared" si="718"/>
        <v>#VALUE!</v>
      </c>
      <c r="K1213" s="116" t="e">
        <f t="shared" si="718"/>
        <v>#VALUE!</v>
      </c>
      <c r="L1213" s="116" t="e">
        <f t="shared" si="718"/>
        <v>#VALUE!</v>
      </c>
      <c r="N1213" s="108">
        <v>0.75</v>
      </c>
      <c r="O1213" s="116" t="e">
        <f>$H1213*$N1213*$M1213</f>
        <v>#VALUE!</v>
      </c>
      <c r="P1213" s="116" t="e">
        <f>$H1213*(1-$N1213)*$M1213</f>
        <v>#VALUE!</v>
      </c>
      <c r="Q1213" s="116" t="e">
        <f>$H1213*$N1213*(1-$M1213)</f>
        <v>#VALUE!</v>
      </c>
      <c r="R1213" s="116" t="e">
        <f>$H1213*(1-$N1213)*(1-$M1213)</f>
        <v>#VALUE!</v>
      </c>
      <c r="T1213" s="116">
        <v>0</v>
      </c>
      <c r="U1213" s="116">
        <v>0</v>
      </c>
      <c r="V1213" s="116">
        <v>0</v>
      </c>
      <c r="W1213" s="116">
        <v>0</v>
      </c>
      <c r="X1213" s="3"/>
      <c r="AD1213" s="117" t="e">
        <f>ROUND(SUM(-G1213,H1213:L1213),0)</f>
        <v>#VALUE!</v>
      </c>
      <c r="AE1213" s="117" t="e">
        <f>ROUND(H1213-O1213-P1213-Q1213-R1213,0)</f>
        <v>#VALUE!</v>
      </c>
      <c r="AF1213" s="117" t="e">
        <f>ROUND(I1213-T1213-U1213-V1213-W1213,0)</f>
        <v>#VALUE!</v>
      </c>
      <c r="AG1213" s="117" t="e">
        <f>ROUND(J1213-Y1213-Z1213-AA1213-AC1213-AB1213,0)</f>
        <v>#VALUE!</v>
      </c>
      <c r="AH1213" s="116"/>
      <c r="AI1213">
        <f t="shared" si="713"/>
        <v>314</v>
      </c>
      <c r="AJ1213" t="str">
        <f t="shared" si="705"/>
        <v>SG</v>
      </c>
      <c r="AK1213" t="str">
        <f>IF(ISERROR(MATCH(AI1213&amp;"."&amp;AJ1213,AK$91:AK1212,0)),AI1213&amp;"."&amp;AJ1213,AI1213&amp;"."&amp;AJ1213&amp;COUNTIFS(AI$91:AI1212,AI1213,AJ$91:AJ1212,AJ1213))</f>
        <v>314.SG1</v>
      </c>
    </row>
    <row r="1214" spans="1:37" ht="15" hidden="1">
      <c r="A1214" s="120">
        <f>ROW()</f>
        <v>1214</v>
      </c>
      <c r="B1214" s="120"/>
      <c r="C1214" s="1"/>
      <c r="E1214" s="121" t="s">
        <v>15</v>
      </c>
      <c r="F1214" s="138" t="str">
        <f>INDEX(FuncAllocOptions,ROW(A1214)-ROW($A$92)+1,[4]Inputs!$S$11)</f>
        <v>P</v>
      </c>
      <c r="G1214" s="117" t="e">
        <f>SUMIF(FERCJAMFactor,AK1214,JAMValue)</f>
        <v>#VALUE!</v>
      </c>
      <c r="H1214" s="116" t="e">
        <f t="shared" si="718"/>
        <v>#VALUE!</v>
      </c>
      <c r="I1214" s="116" t="e">
        <f t="shared" si="718"/>
        <v>#VALUE!</v>
      </c>
      <c r="J1214" s="116" t="e">
        <f t="shared" si="718"/>
        <v>#VALUE!</v>
      </c>
      <c r="K1214" s="116" t="e">
        <f t="shared" si="718"/>
        <v>#VALUE!</v>
      </c>
      <c r="L1214" s="116" t="e">
        <f t="shared" si="718"/>
        <v>#VALUE!</v>
      </c>
      <c r="N1214" s="108">
        <v>0.75</v>
      </c>
      <c r="O1214" s="116" t="e">
        <f>$H1214*$N1214*$M1214</f>
        <v>#VALUE!</v>
      </c>
      <c r="P1214" s="116" t="e">
        <f>$H1214*(1-$N1214)*$M1214</f>
        <v>#VALUE!</v>
      </c>
      <c r="Q1214" s="116" t="e">
        <f>$H1214*$N1214*(1-$M1214)</f>
        <v>#VALUE!</v>
      </c>
      <c r="R1214" s="116" t="e">
        <f>$H1214*(1-$N1214)*(1-$M1214)</f>
        <v>#VALUE!</v>
      </c>
      <c r="T1214" s="116">
        <v>0</v>
      </c>
      <c r="U1214" s="116">
        <v>0</v>
      </c>
      <c r="V1214" s="116">
        <v>0</v>
      </c>
      <c r="W1214" s="116">
        <v>0</v>
      </c>
      <c r="X1214" s="3"/>
      <c r="AD1214" s="117" t="e">
        <f>ROUND(SUM(-G1214,H1214:L1214),0)</f>
        <v>#VALUE!</v>
      </c>
      <c r="AE1214" s="117" t="e">
        <f>ROUND(H1214-O1214-P1214-Q1214-R1214,0)</f>
        <v>#VALUE!</v>
      </c>
      <c r="AF1214" s="117" t="e">
        <f>ROUND(I1214-T1214-U1214-V1214-W1214,0)</f>
        <v>#VALUE!</v>
      </c>
      <c r="AG1214" s="117" t="e">
        <f>ROUND(J1214-Y1214-Z1214-AA1214-AC1214-AB1214,0)</f>
        <v>#VALUE!</v>
      </c>
      <c r="AH1214" s="116"/>
      <c r="AI1214">
        <f t="shared" si="713"/>
        <v>314</v>
      </c>
      <c r="AJ1214" t="str">
        <f t="shared" si="705"/>
        <v>SG</v>
      </c>
      <c r="AK1214" t="str">
        <f>IF(ISERROR(MATCH(AI1214&amp;"."&amp;AJ1214,AK$91:AK1213,0)),AI1214&amp;"."&amp;AJ1214,AI1214&amp;"."&amp;AJ1214&amp;COUNTIFS(AI$91:AI1213,AI1214,AJ$91:AJ1213,AJ1214))</f>
        <v>314.SG2</v>
      </c>
    </row>
    <row r="1215" spans="1:37" ht="15" hidden="1">
      <c r="A1215" s="120">
        <f>ROW()</f>
        <v>1215</v>
      </c>
      <c r="B1215" s="120"/>
      <c r="C1215" s="1"/>
      <c r="E1215" s="121" t="s">
        <v>15</v>
      </c>
      <c r="F1215" s="138" t="str">
        <f>INDEX(FuncAllocOptions,ROW(A1215)-ROW($A$92)+1,[4]Inputs!$S$11)</f>
        <v>P</v>
      </c>
      <c r="G1215" s="133" t="e">
        <f>SUMIF(FERCJAMFactor,AK1215,JAMValue)</f>
        <v>#VALUE!</v>
      </c>
      <c r="H1215" s="139" t="e">
        <f t="shared" si="718"/>
        <v>#VALUE!</v>
      </c>
      <c r="I1215" s="139" t="e">
        <f t="shared" si="718"/>
        <v>#VALUE!</v>
      </c>
      <c r="J1215" s="139" t="e">
        <f t="shared" si="718"/>
        <v>#VALUE!</v>
      </c>
      <c r="K1215" s="139" t="e">
        <f t="shared" si="718"/>
        <v>#VALUE!</v>
      </c>
      <c r="L1215" s="139" t="e">
        <f t="shared" si="718"/>
        <v>#VALUE!</v>
      </c>
      <c r="N1215" s="108">
        <v>0.75</v>
      </c>
      <c r="O1215" s="116" t="e">
        <f>$H1215*$N1215*$M1215</f>
        <v>#VALUE!</v>
      </c>
      <c r="P1215" s="116" t="e">
        <f>$H1215*(1-$N1215)*$M1215</f>
        <v>#VALUE!</v>
      </c>
      <c r="Q1215" s="116" t="e">
        <f>$H1215*$N1215*(1-$M1215)</f>
        <v>#VALUE!</v>
      </c>
      <c r="R1215" s="116" t="e">
        <f>$H1215*(1-$N1215)*(1-$M1215)</f>
        <v>#VALUE!</v>
      </c>
      <c r="T1215" s="116"/>
      <c r="U1215" s="116"/>
      <c r="V1215" s="116"/>
      <c r="W1215" s="116"/>
      <c r="X1215" s="3"/>
      <c r="AD1215" s="117" t="e">
        <f>ROUND(SUM(-G1215,H1215:L1215),0)</f>
        <v>#VALUE!</v>
      </c>
      <c r="AE1215" s="117" t="e">
        <f>ROUND(H1215-O1215-P1215-Q1215-R1215,0)</f>
        <v>#VALUE!</v>
      </c>
      <c r="AF1215" s="117" t="e">
        <f>ROUND(I1215-T1215-U1215-V1215-W1215,0)</f>
        <v>#VALUE!</v>
      </c>
      <c r="AG1215" s="117" t="e">
        <f>ROUND(J1215-Y1215-Z1215-AA1215-AC1215-AB1215,0)</f>
        <v>#VALUE!</v>
      </c>
      <c r="AH1215" s="116"/>
      <c r="AI1215">
        <f t="shared" si="713"/>
        <v>314</v>
      </c>
      <c r="AJ1215" t="str">
        <f t="shared" si="705"/>
        <v>SG</v>
      </c>
      <c r="AK1215" t="str">
        <f>IF(ISERROR(MATCH(AI1215&amp;"."&amp;AJ1215,AK$91:AK1214,0)),AI1215&amp;"."&amp;AJ1215,AI1215&amp;"."&amp;AJ1215&amp;COUNTIFS(AI$91:AI1214,AI1215,AJ$91:AJ1214,AJ1215))</f>
        <v>314.SG3</v>
      </c>
    </row>
    <row r="1216" spans="1:37" ht="15" hidden="1">
      <c r="A1216" s="120">
        <f>ROW()</f>
        <v>1216</v>
      </c>
      <c r="B1216" s="120"/>
      <c r="C1216" s="1"/>
      <c r="E1216" s="121"/>
      <c r="F1216" s="138"/>
      <c r="G1216" s="117" t="e">
        <f t="shared" ref="G1216:L1216" si="719">SUM(G1212:G1215)</f>
        <v>#VALUE!</v>
      </c>
      <c r="H1216" s="116" t="e">
        <f t="shared" si="719"/>
        <v>#VALUE!</v>
      </c>
      <c r="I1216" s="116" t="e">
        <f t="shared" si="719"/>
        <v>#VALUE!</v>
      </c>
      <c r="J1216" s="116" t="e">
        <f t="shared" si="719"/>
        <v>#VALUE!</v>
      </c>
      <c r="K1216" s="116" t="e">
        <f t="shared" si="719"/>
        <v>#VALUE!</v>
      </c>
      <c r="L1216" s="116" t="e">
        <f t="shared" si="719"/>
        <v>#VALUE!</v>
      </c>
      <c r="O1216" s="116" t="e">
        <f>SUM(O1212:O1215)</f>
        <v>#VALUE!</v>
      </c>
      <c r="P1216" s="116" t="e">
        <f>SUM(P1212:P1215)</f>
        <v>#VALUE!</v>
      </c>
      <c r="Q1216" s="116" t="e">
        <f>SUM(Q1212:Q1215)</f>
        <v>#VALUE!</v>
      </c>
      <c r="R1216" s="116" t="e">
        <f>SUM(R1212:R1215)</f>
        <v>#VALUE!</v>
      </c>
      <c r="T1216" s="116">
        <f>SUM(T1212:T1215)</f>
        <v>0</v>
      </c>
      <c r="U1216" s="116">
        <f>SUM(U1212:U1215)</f>
        <v>0</v>
      </c>
      <c r="V1216" s="116">
        <f>SUM(V1212:V1215)</f>
        <v>0</v>
      </c>
      <c r="W1216" s="116">
        <f>SUM(W1212:W1215)</f>
        <v>0</v>
      </c>
      <c r="X1216" s="3"/>
      <c r="Y1216" s="116">
        <f>SUM(Y1212:Y1215)</f>
        <v>0</v>
      </c>
      <c r="Z1216" s="116">
        <f>SUM(Z1212:Z1215)</f>
        <v>0</v>
      </c>
      <c r="AA1216" s="116">
        <f>SUM(AA1212:AA1215)</f>
        <v>0</v>
      </c>
      <c r="AB1216" s="116">
        <f>SUM(AB1212:AB1215)</f>
        <v>0</v>
      </c>
      <c r="AC1216" s="116">
        <f>SUM(AC1212:AC1215)</f>
        <v>0</v>
      </c>
      <c r="AD1216" s="117" t="e">
        <f>ROUND(SUM(-G1216,H1216:L1216),0)</f>
        <v>#VALUE!</v>
      </c>
      <c r="AE1216" s="117" t="e">
        <f>ROUND(H1216-O1216-P1216-Q1216-R1216,0)</f>
        <v>#VALUE!</v>
      </c>
      <c r="AF1216" s="117" t="e">
        <f>ROUND(I1216-T1216-U1216-V1216-W1216,0)</f>
        <v>#VALUE!</v>
      </c>
      <c r="AG1216" s="117" t="e">
        <f>ROUND(J1216-Y1216-Z1216-AA1216-AC1216-AB1216,0)</f>
        <v>#VALUE!</v>
      </c>
      <c r="AH1216" s="116"/>
      <c r="AI1216">
        <f t="shared" si="713"/>
        <v>314</v>
      </c>
      <c r="AJ1216" t="str">
        <f t="shared" si="705"/>
        <v>NA</v>
      </c>
      <c r="AK1216" t="str">
        <f>IF(ISERROR(MATCH(AI1216&amp;"."&amp;AJ1216,AK$91:AK1215,0)),AI1216&amp;"."&amp;AJ1216,AI1216&amp;"."&amp;AJ1216&amp;COUNTIFS(AI$91:AI1215,AI1216,AJ$91:AJ1215,AJ1216))</f>
        <v>314.NA1</v>
      </c>
    </row>
    <row r="1217" spans="1:37" ht="15" hidden="1">
      <c r="A1217" s="120">
        <f>ROW()</f>
        <v>1217</v>
      </c>
      <c r="B1217" s="120"/>
      <c r="C1217" s="1"/>
      <c r="E1217" s="121"/>
      <c r="F1217" s="138"/>
      <c r="G1217" s="119"/>
      <c r="X1217" s="3"/>
      <c r="AD1217" s="119"/>
      <c r="AE1217" s="119"/>
      <c r="AF1217" s="119"/>
      <c r="AG1217" s="119"/>
      <c r="AI1217">
        <f t="shared" si="713"/>
        <v>314</v>
      </c>
      <c r="AJ1217" t="str">
        <f t="shared" si="705"/>
        <v>NA</v>
      </c>
      <c r="AK1217" t="str">
        <f>IF(ISERROR(MATCH(AI1217&amp;"."&amp;AJ1217,AK$91:AK1216,0)),AI1217&amp;"."&amp;AJ1217,AI1217&amp;"."&amp;AJ1217&amp;COUNTIFS(AI$91:AI1216,AI1217,AJ$91:AJ1216,AJ1217))</f>
        <v>314.NA2</v>
      </c>
    </row>
    <row r="1218" spans="1:37" ht="15" hidden="1">
      <c r="A1218" s="120">
        <f>ROW()</f>
        <v>1218</v>
      </c>
      <c r="B1218" s="120"/>
      <c r="C1218" s="1">
        <v>315</v>
      </c>
      <c r="D1218" s="2" t="s">
        <v>505</v>
      </c>
      <c r="E1218" s="121"/>
      <c r="F1218" s="138"/>
      <c r="G1218" s="119"/>
      <c r="X1218" s="3"/>
      <c r="AD1218" s="119"/>
      <c r="AE1218" s="119"/>
      <c r="AF1218" s="119"/>
      <c r="AG1218" s="119"/>
      <c r="AI1218">
        <f t="shared" si="713"/>
        <v>315</v>
      </c>
      <c r="AJ1218" t="str">
        <f t="shared" si="705"/>
        <v>NA</v>
      </c>
      <c r="AK1218" t="str">
        <f>IF(ISERROR(MATCH(AI1218&amp;"."&amp;AJ1218,AK$91:AK1217,0)),AI1218&amp;"."&amp;AJ1218,AI1218&amp;"."&amp;AJ1218&amp;COUNTIFS(AI$91:AI1217,AI1218,AJ$91:AJ1217,AJ1218))</f>
        <v>315.NA</v>
      </c>
    </row>
    <row r="1219" spans="1:37" ht="15" hidden="1">
      <c r="A1219" s="120">
        <f>ROW()</f>
        <v>1219</v>
      </c>
      <c r="B1219" s="120"/>
      <c r="C1219" s="1"/>
      <c r="E1219" s="121" t="s">
        <v>15</v>
      </c>
      <c r="F1219" s="138" t="str">
        <f>INDEX(FuncAllocOptions,ROW(A1219)-ROW($A$92)+1,[4]Inputs!$S$11)</f>
        <v>P</v>
      </c>
      <c r="G1219" s="117" t="e">
        <f>SUMIF(FERCJAMFactor,AK1219,JAMValue)</f>
        <v>#VALUE!</v>
      </c>
      <c r="H1219" s="116" t="e">
        <f t="shared" ref="H1219:L1222" si="720">INDEX(FuncFactorTbl,MATCH($F1219,FuncFactors,0),MATCH(H$8,Functions,0))*$G1219</f>
        <v>#VALUE!</v>
      </c>
      <c r="I1219" s="116" t="e">
        <f t="shared" si="720"/>
        <v>#VALUE!</v>
      </c>
      <c r="J1219" s="116" t="e">
        <f t="shared" si="720"/>
        <v>#VALUE!</v>
      </c>
      <c r="K1219" s="116" t="e">
        <f t="shared" si="720"/>
        <v>#VALUE!</v>
      </c>
      <c r="L1219" s="116" t="e">
        <f t="shared" si="720"/>
        <v>#VALUE!</v>
      </c>
      <c r="N1219" s="108">
        <v>0.75</v>
      </c>
      <c r="O1219" s="116" t="e">
        <f>$H1219*$N1219*$M1219</f>
        <v>#VALUE!</v>
      </c>
      <c r="P1219" s="116" t="e">
        <f>$H1219*(1-$N1219)*$M1219</f>
        <v>#VALUE!</v>
      </c>
      <c r="Q1219" s="116" t="e">
        <f>$H1219*$N1219*(1-$M1219)</f>
        <v>#VALUE!</v>
      </c>
      <c r="R1219" s="116" t="e">
        <f>$H1219*(1-$N1219)*(1-$M1219)</f>
        <v>#VALUE!</v>
      </c>
      <c r="T1219" s="116">
        <v>0</v>
      </c>
      <c r="U1219" s="116">
        <v>0</v>
      </c>
      <c r="V1219" s="116">
        <v>0</v>
      </c>
      <c r="W1219" s="116">
        <v>0</v>
      </c>
      <c r="X1219" s="3"/>
      <c r="AD1219" s="117" t="e">
        <f>ROUND(SUM(-G1219,H1219:L1219),0)</f>
        <v>#VALUE!</v>
      </c>
      <c r="AE1219" s="117" t="e">
        <f>ROUND(H1219-O1219-P1219-Q1219-R1219,0)</f>
        <v>#VALUE!</v>
      </c>
      <c r="AF1219" s="117" t="e">
        <f>ROUND(I1219-T1219-U1219-V1219-W1219,0)</f>
        <v>#VALUE!</v>
      </c>
      <c r="AG1219" s="117" t="e">
        <f>ROUND(J1219-Y1219-Z1219-AA1219-AC1219-AB1219,0)</f>
        <v>#VALUE!</v>
      </c>
      <c r="AH1219" s="116"/>
      <c r="AI1219">
        <f t="shared" si="713"/>
        <v>315</v>
      </c>
      <c r="AJ1219" t="str">
        <f t="shared" si="705"/>
        <v>SG</v>
      </c>
      <c r="AK1219" t="str">
        <f>IF(ISERROR(MATCH(AI1219&amp;"."&amp;AJ1219,AK$91:AK1218,0)),AI1219&amp;"."&amp;AJ1219,AI1219&amp;"."&amp;AJ1219&amp;COUNTIFS(AI$91:AI1218,AI1219,AJ$91:AJ1218,AJ1219))</f>
        <v>315.SG</v>
      </c>
    </row>
    <row r="1220" spans="1:37" ht="15" hidden="1">
      <c r="A1220" s="120">
        <f>ROW()</f>
        <v>1220</v>
      </c>
      <c r="B1220" s="120"/>
      <c r="C1220" s="1"/>
      <c r="E1220" s="121" t="s">
        <v>15</v>
      </c>
      <c r="F1220" s="138" t="str">
        <f>INDEX(FuncAllocOptions,ROW(A1220)-ROW($A$92)+1,[4]Inputs!$S$11)</f>
        <v>P</v>
      </c>
      <c r="G1220" s="117" t="e">
        <f>SUMIF(FERCJAMFactor,AK1220,JAMValue)</f>
        <v>#VALUE!</v>
      </c>
      <c r="H1220" s="116" t="e">
        <f t="shared" si="720"/>
        <v>#VALUE!</v>
      </c>
      <c r="I1220" s="116" t="e">
        <f t="shared" si="720"/>
        <v>#VALUE!</v>
      </c>
      <c r="J1220" s="116" t="e">
        <f t="shared" si="720"/>
        <v>#VALUE!</v>
      </c>
      <c r="K1220" s="116" t="e">
        <f t="shared" si="720"/>
        <v>#VALUE!</v>
      </c>
      <c r="L1220" s="116" t="e">
        <f t="shared" si="720"/>
        <v>#VALUE!</v>
      </c>
      <c r="N1220" s="108">
        <v>0.75</v>
      </c>
      <c r="O1220" s="116" t="e">
        <f>$H1220*$N1220*$M1220</f>
        <v>#VALUE!</v>
      </c>
      <c r="P1220" s="116" t="e">
        <f>$H1220*(1-$N1220)*$M1220</f>
        <v>#VALUE!</v>
      </c>
      <c r="Q1220" s="116" t="e">
        <f>$H1220*$N1220*(1-$M1220)</f>
        <v>#VALUE!</v>
      </c>
      <c r="R1220" s="116" t="e">
        <f>$H1220*(1-$N1220)*(1-$M1220)</f>
        <v>#VALUE!</v>
      </c>
      <c r="T1220" s="116">
        <v>0</v>
      </c>
      <c r="U1220" s="116">
        <v>0</v>
      </c>
      <c r="V1220" s="116">
        <v>0</v>
      </c>
      <c r="W1220" s="116">
        <v>0</v>
      </c>
      <c r="X1220" s="3"/>
      <c r="AD1220" s="117" t="e">
        <f>ROUND(SUM(-G1220,H1220:L1220),0)</f>
        <v>#VALUE!</v>
      </c>
      <c r="AE1220" s="117" t="e">
        <f>ROUND(H1220-O1220-P1220-Q1220-R1220,0)</f>
        <v>#VALUE!</v>
      </c>
      <c r="AF1220" s="117" t="e">
        <f>ROUND(I1220-T1220-U1220-V1220-W1220,0)</f>
        <v>#VALUE!</v>
      </c>
      <c r="AG1220" s="117" t="e">
        <f>ROUND(J1220-Y1220-Z1220-AA1220-AC1220-AB1220,0)</f>
        <v>#VALUE!</v>
      </c>
      <c r="AH1220" s="116"/>
      <c r="AI1220">
        <f t="shared" si="713"/>
        <v>315</v>
      </c>
      <c r="AJ1220" t="str">
        <f t="shared" si="705"/>
        <v>SG</v>
      </c>
      <c r="AK1220" t="str">
        <f>IF(ISERROR(MATCH(AI1220&amp;"."&amp;AJ1220,AK$91:AK1219,0)),AI1220&amp;"."&amp;AJ1220,AI1220&amp;"."&amp;AJ1220&amp;COUNTIFS(AI$91:AI1219,AI1220,AJ$91:AJ1219,AJ1220))</f>
        <v>315.SG1</v>
      </c>
    </row>
    <row r="1221" spans="1:37" ht="15" hidden="1">
      <c r="A1221" s="120">
        <f>ROW()</f>
        <v>1221</v>
      </c>
      <c r="B1221" s="120"/>
      <c r="C1221" s="1"/>
      <c r="E1221" s="121" t="s">
        <v>15</v>
      </c>
      <c r="F1221" s="138" t="str">
        <f>INDEX(FuncAllocOptions,ROW(A1221)-ROW($A$92)+1,[4]Inputs!$S$11)</f>
        <v>P</v>
      </c>
      <c r="G1221" s="117" t="e">
        <f>SUMIF(FERCJAMFactor,AK1221,JAMValue)</f>
        <v>#VALUE!</v>
      </c>
      <c r="H1221" s="116" t="e">
        <f t="shared" si="720"/>
        <v>#VALUE!</v>
      </c>
      <c r="I1221" s="116" t="e">
        <f t="shared" si="720"/>
        <v>#VALUE!</v>
      </c>
      <c r="J1221" s="116" t="e">
        <f t="shared" si="720"/>
        <v>#VALUE!</v>
      </c>
      <c r="K1221" s="116" t="e">
        <f t="shared" si="720"/>
        <v>#VALUE!</v>
      </c>
      <c r="L1221" s="116" t="e">
        <f t="shared" si="720"/>
        <v>#VALUE!</v>
      </c>
      <c r="N1221" s="108">
        <v>0.75</v>
      </c>
      <c r="O1221" s="116" t="e">
        <f>$H1221*$N1221*$M1221</f>
        <v>#VALUE!</v>
      </c>
      <c r="P1221" s="116" t="e">
        <f>$H1221*(1-$N1221)*$M1221</f>
        <v>#VALUE!</v>
      </c>
      <c r="Q1221" s="116" t="e">
        <f>$H1221*$N1221*(1-$M1221)</f>
        <v>#VALUE!</v>
      </c>
      <c r="R1221" s="116" t="e">
        <f>$H1221*(1-$N1221)*(1-$M1221)</f>
        <v>#VALUE!</v>
      </c>
      <c r="T1221" s="116">
        <v>0</v>
      </c>
      <c r="U1221" s="116">
        <v>0</v>
      </c>
      <c r="V1221" s="116">
        <v>0</v>
      </c>
      <c r="W1221" s="116">
        <v>0</v>
      </c>
      <c r="X1221" s="3"/>
      <c r="AD1221" s="117" t="e">
        <f>ROUND(SUM(-G1221,H1221:L1221),0)</f>
        <v>#VALUE!</v>
      </c>
      <c r="AE1221" s="117" t="e">
        <f>ROUND(H1221-O1221-P1221-Q1221-R1221,0)</f>
        <v>#VALUE!</v>
      </c>
      <c r="AF1221" s="117" t="e">
        <f>ROUND(I1221-T1221-U1221-V1221-W1221,0)</f>
        <v>#VALUE!</v>
      </c>
      <c r="AG1221" s="117" t="e">
        <f>ROUND(J1221-Y1221-Z1221-AA1221-AC1221-AB1221,0)</f>
        <v>#VALUE!</v>
      </c>
      <c r="AH1221" s="116"/>
      <c r="AI1221">
        <f t="shared" si="713"/>
        <v>315</v>
      </c>
      <c r="AJ1221" t="str">
        <f t="shared" si="705"/>
        <v>SG</v>
      </c>
      <c r="AK1221" t="str">
        <f>IF(ISERROR(MATCH(AI1221&amp;"."&amp;AJ1221,AK$91:AK1220,0)),AI1221&amp;"."&amp;AJ1221,AI1221&amp;"."&amp;AJ1221&amp;COUNTIFS(AI$91:AI1220,AI1221,AJ$91:AJ1220,AJ1221))</f>
        <v>315.SG2</v>
      </c>
    </row>
    <row r="1222" spans="1:37" ht="15" hidden="1">
      <c r="A1222" s="120">
        <f>ROW()</f>
        <v>1222</v>
      </c>
      <c r="B1222" s="120"/>
      <c r="C1222" s="1"/>
      <c r="E1222" s="121" t="s">
        <v>15</v>
      </c>
      <c r="F1222" s="138" t="str">
        <f>INDEX(FuncAllocOptions,ROW(A1222)-ROW($A$92)+1,[4]Inputs!$S$11)</f>
        <v>P</v>
      </c>
      <c r="G1222" s="133" t="e">
        <f>SUMIF(FERCJAMFactor,AK1222,JAMValue)</f>
        <v>#VALUE!</v>
      </c>
      <c r="H1222" s="139" t="e">
        <f t="shared" si="720"/>
        <v>#VALUE!</v>
      </c>
      <c r="I1222" s="139" t="e">
        <f t="shared" si="720"/>
        <v>#VALUE!</v>
      </c>
      <c r="J1222" s="139" t="e">
        <f t="shared" si="720"/>
        <v>#VALUE!</v>
      </c>
      <c r="K1222" s="139" t="e">
        <f t="shared" si="720"/>
        <v>#VALUE!</v>
      </c>
      <c r="L1222" s="139" t="e">
        <f t="shared" si="720"/>
        <v>#VALUE!</v>
      </c>
      <c r="N1222" s="108">
        <v>0.75</v>
      </c>
      <c r="O1222" s="116" t="e">
        <f>$H1222*$N1222*$M1222</f>
        <v>#VALUE!</v>
      </c>
      <c r="P1222" s="116" t="e">
        <f>$H1222*(1-$N1222)*$M1222</f>
        <v>#VALUE!</v>
      </c>
      <c r="Q1222" s="116" t="e">
        <f>$H1222*$N1222*(1-$M1222)</f>
        <v>#VALUE!</v>
      </c>
      <c r="R1222" s="116" t="e">
        <f>$H1222*(1-$N1222)*(1-$M1222)</f>
        <v>#VALUE!</v>
      </c>
      <c r="T1222" s="116"/>
      <c r="U1222" s="116"/>
      <c r="V1222" s="116"/>
      <c r="W1222" s="116"/>
      <c r="X1222" s="3"/>
      <c r="AD1222" s="117" t="e">
        <f>ROUND(SUM(-G1222,H1222:L1222),0)</f>
        <v>#VALUE!</v>
      </c>
      <c r="AE1222" s="117" t="e">
        <f>ROUND(H1222-O1222-P1222-Q1222-R1222,0)</f>
        <v>#VALUE!</v>
      </c>
      <c r="AF1222" s="117" t="e">
        <f>ROUND(I1222-T1222-U1222-V1222-W1222,0)</f>
        <v>#VALUE!</v>
      </c>
      <c r="AG1222" s="117" t="e">
        <f>ROUND(J1222-Y1222-Z1222-AA1222-AC1222-AB1222,0)</f>
        <v>#VALUE!</v>
      </c>
      <c r="AH1222" s="116"/>
      <c r="AI1222">
        <f t="shared" si="713"/>
        <v>315</v>
      </c>
      <c r="AJ1222" t="str">
        <f t="shared" si="705"/>
        <v>SG</v>
      </c>
      <c r="AK1222" t="str">
        <f>IF(ISERROR(MATCH(AI1222&amp;"."&amp;AJ1222,AK$91:AK1221,0)),AI1222&amp;"."&amp;AJ1222,AI1222&amp;"."&amp;AJ1222&amp;COUNTIFS(AI$91:AI1221,AI1222,AJ$91:AJ1221,AJ1222))</f>
        <v>315.SG3</v>
      </c>
    </row>
    <row r="1223" spans="1:37" ht="15" hidden="1">
      <c r="A1223" s="120">
        <f>ROW()</f>
        <v>1223</v>
      </c>
      <c r="B1223" s="120"/>
      <c r="C1223" s="1"/>
      <c r="E1223" s="121"/>
      <c r="F1223" s="138"/>
      <c r="G1223" s="117" t="e">
        <f t="shared" ref="G1223:L1223" si="721">SUM(G1219:G1222)</f>
        <v>#VALUE!</v>
      </c>
      <c r="H1223" s="116" t="e">
        <f t="shared" si="721"/>
        <v>#VALUE!</v>
      </c>
      <c r="I1223" s="116" t="e">
        <f t="shared" si="721"/>
        <v>#VALUE!</v>
      </c>
      <c r="J1223" s="116" t="e">
        <f t="shared" si="721"/>
        <v>#VALUE!</v>
      </c>
      <c r="K1223" s="116" t="e">
        <f t="shared" si="721"/>
        <v>#VALUE!</v>
      </c>
      <c r="L1223" s="116" t="e">
        <f t="shared" si="721"/>
        <v>#VALUE!</v>
      </c>
      <c r="O1223" s="116" t="e">
        <f>SUM(O1219:O1222)</f>
        <v>#VALUE!</v>
      </c>
      <c r="P1223" s="116" t="e">
        <f>SUM(P1219:P1222)</f>
        <v>#VALUE!</v>
      </c>
      <c r="Q1223" s="116" t="e">
        <f>SUM(Q1219:Q1222)</f>
        <v>#VALUE!</v>
      </c>
      <c r="R1223" s="116" t="e">
        <f>SUM(R1219:R1222)</f>
        <v>#VALUE!</v>
      </c>
      <c r="T1223" s="116">
        <f>SUM(T1219:T1222)</f>
        <v>0</v>
      </c>
      <c r="U1223" s="116">
        <f>SUM(U1219:U1222)</f>
        <v>0</v>
      </c>
      <c r="V1223" s="116">
        <f>SUM(V1219:V1222)</f>
        <v>0</v>
      </c>
      <c r="W1223" s="116">
        <f>SUM(W1219:W1222)</f>
        <v>0</v>
      </c>
      <c r="X1223" s="3"/>
      <c r="Y1223" s="116">
        <f>SUM(Y1219:Y1222)</f>
        <v>0</v>
      </c>
      <c r="Z1223" s="116">
        <f>SUM(Z1219:Z1222)</f>
        <v>0</v>
      </c>
      <c r="AA1223" s="116">
        <f>SUM(AA1219:AA1222)</f>
        <v>0</v>
      </c>
      <c r="AB1223" s="116">
        <f>SUM(AB1219:AB1222)</f>
        <v>0</v>
      </c>
      <c r="AC1223" s="116">
        <f>SUM(AC1219:AC1222)</f>
        <v>0</v>
      </c>
      <c r="AD1223" s="117" t="e">
        <f>ROUND(SUM(-G1223,H1223:L1223),0)</f>
        <v>#VALUE!</v>
      </c>
      <c r="AE1223" s="117" t="e">
        <f>ROUND(H1223-O1223-P1223-Q1223-R1223,0)</f>
        <v>#VALUE!</v>
      </c>
      <c r="AF1223" s="117" t="e">
        <f>ROUND(I1223-T1223-U1223-V1223-W1223,0)</f>
        <v>#VALUE!</v>
      </c>
      <c r="AG1223" s="117" t="e">
        <f>ROUND(J1223-Y1223-Z1223-AA1223-AC1223-AB1223,0)</f>
        <v>#VALUE!</v>
      </c>
      <c r="AH1223" s="116"/>
      <c r="AI1223">
        <f t="shared" si="713"/>
        <v>315</v>
      </c>
      <c r="AJ1223" t="str">
        <f t="shared" si="705"/>
        <v>NA</v>
      </c>
      <c r="AK1223" t="str">
        <f>IF(ISERROR(MATCH(AI1223&amp;"."&amp;AJ1223,AK$91:AK1222,0)),AI1223&amp;"."&amp;AJ1223,AI1223&amp;"."&amp;AJ1223&amp;COUNTIFS(AI$91:AI1222,AI1223,AJ$91:AJ1222,AJ1223))</f>
        <v>315.NA1</v>
      </c>
    </row>
    <row r="1224" spans="1:37" ht="15" hidden="1">
      <c r="A1224" s="120">
        <f>ROW()</f>
        <v>1224</v>
      </c>
      <c r="B1224" s="120"/>
      <c r="C1224" s="1"/>
      <c r="E1224" s="121"/>
      <c r="F1224" s="138"/>
      <c r="G1224" s="119"/>
      <c r="X1224" s="3"/>
      <c r="AD1224" s="119"/>
      <c r="AE1224" s="119"/>
      <c r="AF1224" s="119"/>
      <c r="AG1224" s="119"/>
      <c r="AI1224">
        <f t="shared" si="713"/>
        <v>315</v>
      </c>
      <c r="AJ1224" t="str">
        <f t="shared" si="705"/>
        <v>NA</v>
      </c>
      <c r="AK1224" t="str">
        <f>IF(ISERROR(MATCH(AI1224&amp;"."&amp;AJ1224,AK$91:AK1223,0)),AI1224&amp;"."&amp;AJ1224,AI1224&amp;"."&amp;AJ1224&amp;COUNTIFS(AI$91:AI1223,AI1224,AJ$91:AJ1223,AJ1224))</f>
        <v>315.NA2</v>
      </c>
    </row>
    <row r="1225" spans="1:37" ht="15" hidden="1">
      <c r="A1225" s="120">
        <f>ROW()</f>
        <v>1225</v>
      </c>
      <c r="B1225" s="120"/>
      <c r="C1225" s="1">
        <v>316</v>
      </c>
      <c r="D1225" s="2" t="s">
        <v>506</v>
      </c>
      <c r="E1225" s="121"/>
      <c r="F1225" s="138"/>
      <c r="G1225" s="119"/>
      <c r="X1225" s="3"/>
      <c r="AD1225" s="119"/>
      <c r="AE1225" s="119"/>
      <c r="AF1225" s="119"/>
      <c r="AG1225" s="119"/>
      <c r="AI1225">
        <f t="shared" si="713"/>
        <v>316</v>
      </c>
      <c r="AJ1225" t="str">
        <f t="shared" si="705"/>
        <v>NA</v>
      </c>
      <c r="AK1225" t="str">
        <f>IF(ISERROR(MATCH(AI1225&amp;"."&amp;AJ1225,AK$91:AK1224,0)),AI1225&amp;"."&amp;AJ1225,AI1225&amp;"."&amp;AJ1225&amp;COUNTIFS(AI$91:AI1224,AI1225,AJ$91:AJ1224,AJ1225))</f>
        <v>316.NA</v>
      </c>
    </row>
    <row r="1226" spans="1:37" ht="15" hidden="1">
      <c r="A1226" s="120">
        <f>ROW()</f>
        <v>1226</v>
      </c>
      <c r="B1226" s="120"/>
      <c r="C1226" s="1"/>
      <c r="E1226" s="121" t="s">
        <v>15</v>
      </c>
      <c r="F1226" s="138" t="str">
        <f>INDEX(FuncAllocOptions,ROW(A1226)-ROW($A$92)+1,[4]Inputs!$S$11)</f>
        <v>P</v>
      </c>
      <c r="G1226" s="117" t="e">
        <f>SUMIF(FERCJAMFactor,AK1226,JAMValue)</f>
        <v>#VALUE!</v>
      </c>
      <c r="H1226" s="116" t="e">
        <f t="shared" ref="H1226:L1229" si="722">INDEX(FuncFactorTbl,MATCH($F1226,FuncFactors,0),MATCH(H$8,Functions,0))*$G1226</f>
        <v>#VALUE!</v>
      </c>
      <c r="I1226" s="116" t="e">
        <f t="shared" si="722"/>
        <v>#VALUE!</v>
      </c>
      <c r="J1226" s="116" t="e">
        <f t="shared" si="722"/>
        <v>#VALUE!</v>
      </c>
      <c r="K1226" s="116" t="e">
        <f t="shared" si="722"/>
        <v>#VALUE!</v>
      </c>
      <c r="L1226" s="116" t="e">
        <f t="shared" si="722"/>
        <v>#VALUE!</v>
      </c>
      <c r="N1226" s="108">
        <v>0.75</v>
      </c>
      <c r="O1226" s="116" t="e">
        <f>$H1226*$N1226*$M1226</f>
        <v>#VALUE!</v>
      </c>
      <c r="P1226" s="116" t="e">
        <f>$H1226*(1-$N1226)*$M1226</f>
        <v>#VALUE!</v>
      </c>
      <c r="Q1226" s="116" t="e">
        <f>$H1226*$N1226*(1-$M1226)</f>
        <v>#VALUE!</v>
      </c>
      <c r="R1226" s="116" t="e">
        <f>$H1226*(1-$N1226)*(1-$M1226)</f>
        <v>#VALUE!</v>
      </c>
      <c r="T1226" s="116">
        <v>0</v>
      </c>
      <c r="U1226" s="116">
        <v>0</v>
      </c>
      <c r="V1226" s="116">
        <v>0</v>
      </c>
      <c r="W1226" s="116">
        <v>0</v>
      </c>
      <c r="X1226" s="3"/>
      <c r="AD1226" s="117" t="e">
        <f>ROUND(SUM(-G1226,H1226:L1226),0)</f>
        <v>#VALUE!</v>
      </c>
      <c r="AE1226" s="117" t="e">
        <f>ROUND(H1226-O1226-P1226-Q1226-R1226,0)</f>
        <v>#VALUE!</v>
      </c>
      <c r="AF1226" s="117" t="e">
        <f>ROUND(I1226-T1226-U1226-V1226-W1226,0)</f>
        <v>#VALUE!</v>
      </c>
      <c r="AG1226" s="117" t="e">
        <f>ROUND(J1226-Y1226-Z1226-AA1226-AC1226-AB1226,0)</f>
        <v>#VALUE!</v>
      </c>
      <c r="AH1226" s="116"/>
      <c r="AI1226">
        <f t="shared" si="713"/>
        <v>316</v>
      </c>
      <c r="AJ1226" t="str">
        <f t="shared" si="705"/>
        <v>SG</v>
      </c>
      <c r="AK1226" t="str">
        <f>IF(ISERROR(MATCH(AI1226&amp;"."&amp;AJ1226,AK$91:AK1225,0)),AI1226&amp;"."&amp;AJ1226,AI1226&amp;"."&amp;AJ1226&amp;COUNTIFS(AI$91:AI1225,AI1226,AJ$91:AJ1225,AJ1226))</f>
        <v>316.SG</v>
      </c>
    </row>
    <row r="1227" spans="1:37" ht="15" hidden="1">
      <c r="A1227" s="120">
        <f>ROW()</f>
        <v>1227</v>
      </c>
      <c r="B1227" s="120"/>
      <c r="C1227" s="1"/>
      <c r="E1227" s="121" t="s">
        <v>15</v>
      </c>
      <c r="F1227" s="138" t="str">
        <f>INDEX(FuncAllocOptions,ROW(A1227)-ROW($A$92)+1,[4]Inputs!$S$11)</f>
        <v>P</v>
      </c>
      <c r="G1227" s="117" t="e">
        <f>SUMIF(FERCJAMFactor,AK1227,JAMValue)</f>
        <v>#VALUE!</v>
      </c>
      <c r="H1227" s="116" t="e">
        <f t="shared" si="722"/>
        <v>#VALUE!</v>
      </c>
      <c r="I1227" s="116" t="e">
        <f t="shared" si="722"/>
        <v>#VALUE!</v>
      </c>
      <c r="J1227" s="116" t="e">
        <f t="shared" si="722"/>
        <v>#VALUE!</v>
      </c>
      <c r="K1227" s="116" t="e">
        <f t="shared" si="722"/>
        <v>#VALUE!</v>
      </c>
      <c r="L1227" s="116" t="e">
        <f t="shared" si="722"/>
        <v>#VALUE!</v>
      </c>
      <c r="N1227" s="108">
        <v>0.75</v>
      </c>
      <c r="O1227" s="116" t="e">
        <f>$H1227*$N1227*$M1227</f>
        <v>#VALUE!</v>
      </c>
      <c r="P1227" s="116" t="e">
        <f>$H1227*(1-$N1227)*$M1227</f>
        <v>#VALUE!</v>
      </c>
      <c r="Q1227" s="116" t="e">
        <f>$H1227*$N1227*(1-$M1227)</f>
        <v>#VALUE!</v>
      </c>
      <c r="R1227" s="116" t="e">
        <f>$H1227*(1-$N1227)*(1-$M1227)</f>
        <v>#VALUE!</v>
      </c>
      <c r="T1227" s="116">
        <v>0</v>
      </c>
      <c r="U1227" s="116">
        <v>0</v>
      </c>
      <c r="V1227" s="116">
        <v>0</v>
      </c>
      <c r="W1227" s="116">
        <v>0</v>
      </c>
      <c r="X1227" s="3"/>
      <c r="AD1227" s="117" t="e">
        <f>ROUND(SUM(-G1227,H1227:L1227),0)</f>
        <v>#VALUE!</v>
      </c>
      <c r="AE1227" s="117" t="e">
        <f>ROUND(H1227-O1227-P1227-Q1227-R1227,0)</f>
        <v>#VALUE!</v>
      </c>
      <c r="AF1227" s="117" t="e">
        <f>ROUND(I1227-T1227-U1227-V1227-W1227,0)</f>
        <v>#VALUE!</v>
      </c>
      <c r="AG1227" s="117" t="e">
        <f>ROUND(J1227-Y1227-Z1227-AA1227-AC1227-AB1227,0)</f>
        <v>#VALUE!</v>
      </c>
      <c r="AH1227" s="116"/>
      <c r="AI1227">
        <f t="shared" si="713"/>
        <v>316</v>
      </c>
      <c r="AJ1227" t="str">
        <f t="shared" si="705"/>
        <v>SG</v>
      </c>
      <c r="AK1227" t="str">
        <f>IF(ISERROR(MATCH(AI1227&amp;"."&amp;AJ1227,AK$91:AK1226,0)),AI1227&amp;"."&amp;AJ1227,AI1227&amp;"."&amp;AJ1227&amp;COUNTIFS(AI$91:AI1226,AI1227,AJ$91:AJ1226,AJ1227))</f>
        <v>316.SG1</v>
      </c>
    </row>
    <row r="1228" spans="1:37" ht="15" hidden="1">
      <c r="A1228" s="120">
        <f>ROW()</f>
        <v>1228</v>
      </c>
      <c r="B1228" s="120"/>
      <c r="C1228" s="1"/>
      <c r="E1228" s="121" t="s">
        <v>15</v>
      </c>
      <c r="F1228" s="138" t="str">
        <f>INDEX(FuncAllocOptions,ROW(A1228)-ROW($A$92)+1,[4]Inputs!$S$11)</f>
        <v>P</v>
      </c>
      <c r="G1228" s="117" t="e">
        <f>SUMIF(FERCJAMFactor,AK1228,JAMValue)</f>
        <v>#VALUE!</v>
      </c>
      <c r="H1228" s="116" t="e">
        <f t="shared" si="722"/>
        <v>#VALUE!</v>
      </c>
      <c r="I1228" s="116" t="e">
        <f t="shared" si="722"/>
        <v>#VALUE!</v>
      </c>
      <c r="J1228" s="116" t="e">
        <f t="shared" si="722"/>
        <v>#VALUE!</v>
      </c>
      <c r="K1228" s="116" t="e">
        <f t="shared" si="722"/>
        <v>#VALUE!</v>
      </c>
      <c r="L1228" s="116" t="e">
        <f t="shared" si="722"/>
        <v>#VALUE!</v>
      </c>
      <c r="N1228" s="108">
        <v>0.75</v>
      </c>
      <c r="O1228" s="116" t="e">
        <f>$H1228*$N1228*$M1228</f>
        <v>#VALUE!</v>
      </c>
      <c r="P1228" s="116" t="e">
        <f>$H1228*(1-$N1228)*$M1228</f>
        <v>#VALUE!</v>
      </c>
      <c r="Q1228" s="116" t="e">
        <f>$H1228*$N1228*(1-$M1228)</f>
        <v>#VALUE!</v>
      </c>
      <c r="R1228" s="116" t="e">
        <f>$H1228*(1-$N1228)*(1-$M1228)</f>
        <v>#VALUE!</v>
      </c>
      <c r="T1228" s="116">
        <v>0</v>
      </c>
      <c r="U1228" s="116">
        <v>0</v>
      </c>
      <c r="V1228" s="116">
        <v>0</v>
      </c>
      <c r="W1228" s="116">
        <v>0</v>
      </c>
      <c r="X1228" s="3"/>
      <c r="AD1228" s="117" t="e">
        <f>ROUND(SUM(-G1228,H1228:L1228),0)</f>
        <v>#VALUE!</v>
      </c>
      <c r="AE1228" s="117" t="e">
        <f>ROUND(H1228-O1228-P1228-Q1228-R1228,0)</f>
        <v>#VALUE!</v>
      </c>
      <c r="AF1228" s="117" t="e">
        <f>ROUND(I1228-T1228-U1228-V1228-W1228,0)</f>
        <v>#VALUE!</v>
      </c>
      <c r="AG1228" s="117" t="e">
        <f>ROUND(J1228-Y1228-Z1228-AA1228-AC1228-AB1228,0)</f>
        <v>#VALUE!</v>
      </c>
      <c r="AH1228" s="116"/>
      <c r="AI1228">
        <f t="shared" si="713"/>
        <v>316</v>
      </c>
      <c r="AJ1228" t="str">
        <f t="shared" si="705"/>
        <v>SG</v>
      </c>
      <c r="AK1228" t="str">
        <f>IF(ISERROR(MATCH(AI1228&amp;"."&amp;AJ1228,AK$91:AK1227,0)),AI1228&amp;"."&amp;AJ1228,AI1228&amp;"."&amp;AJ1228&amp;COUNTIFS(AI$91:AI1227,AI1228,AJ$91:AJ1227,AJ1228))</f>
        <v>316.SG2</v>
      </c>
    </row>
    <row r="1229" spans="1:37" ht="15" hidden="1">
      <c r="A1229" s="120">
        <f>ROW()</f>
        <v>1229</v>
      </c>
      <c r="B1229" s="120"/>
      <c r="C1229" s="1"/>
      <c r="E1229" s="121" t="s">
        <v>15</v>
      </c>
      <c r="F1229" s="138" t="str">
        <f>INDEX(FuncAllocOptions,ROW(A1229)-ROW($A$92)+1,[4]Inputs!$S$11)</f>
        <v>P</v>
      </c>
      <c r="G1229" s="133" t="e">
        <f>SUMIF(FERCJAMFactor,AK1229,JAMValue)</f>
        <v>#VALUE!</v>
      </c>
      <c r="H1229" s="139" t="e">
        <f t="shared" si="722"/>
        <v>#VALUE!</v>
      </c>
      <c r="I1229" s="139" t="e">
        <f t="shared" si="722"/>
        <v>#VALUE!</v>
      </c>
      <c r="J1229" s="139" t="e">
        <f t="shared" si="722"/>
        <v>#VALUE!</v>
      </c>
      <c r="K1229" s="139" t="e">
        <f t="shared" si="722"/>
        <v>#VALUE!</v>
      </c>
      <c r="L1229" s="139" t="e">
        <f t="shared" si="722"/>
        <v>#VALUE!</v>
      </c>
      <c r="N1229" s="108">
        <v>0.75</v>
      </c>
      <c r="O1229" s="116" t="e">
        <f>$H1229*$N1229*$M1229</f>
        <v>#VALUE!</v>
      </c>
      <c r="P1229" s="116" t="e">
        <f>$H1229*(1-$N1229)*$M1229</f>
        <v>#VALUE!</v>
      </c>
      <c r="Q1229" s="116" t="e">
        <f>$H1229*$N1229*(1-$M1229)</f>
        <v>#VALUE!</v>
      </c>
      <c r="R1229" s="116" t="e">
        <f>$H1229*(1-$N1229)*(1-$M1229)</f>
        <v>#VALUE!</v>
      </c>
      <c r="T1229" s="116"/>
      <c r="U1229" s="116"/>
      <c r="V1229" s="116"/>
      <c r="W1229" s="116"/>
      <c r="X1229" s="3"/>
      <c r="AD1229" s="117" t="e">
        <f>ROUND(SUM(-G1229,H1229:L1229),0)</f>
        <v>#VALUE!</v>
      </c>
      <c r="AE1229" s="117" t="e">
        <f>ROUND(H1229-O1229-P1229-Q1229-R1229,0)</f>
        <v>#VALUE!</v>
      </c>
      <c r="AF1229" s="117" t="e">
        <f>ROUND(I1229-T1229-U1229-V1229-W1229,0)</f>
        <v>#VALUE!</v>
      </c>
      <c r="AG1229" s="117" t="e">
        <f>ROUND(J1229-Y1229-Z1229-AA1229-AC1229-AB1229,0)</f>
        <v>#VALUE!</v>
      </c>
      <c r="AH1229" s="116"/>
      <c r="AI1229">
        <f t="shared" si="713"/>
        <v>316</v>
      </c>
      <c r="AJ1229" t="str">
        <f t="shared" si="705"/>
        <v>SG</v>
      </c>
      <c r="AK1229" t="str">
        <f>IF(ISERROR(MATCH(AI1229&amp;"."&amp;AJ1229,AK$91:AK1228,0)),AI1229&amp;"."&amp;AJ1229,AI1229&amp;"."&amp;AJ1229&amp;COUNTIFS(AI$91:AI1228,AI1229,AJ$91:AJ1228,AJ1229))</f>
        <v>316.SG3</v>
      </c>
    </row>
    <row r="1230" spans="1:37" ht="15" hidden="1">
      <c r="A1230" s="120">
        <f>ROW()</f>
        <v>1230</v>
      </c>
      <c r="B1230" s="120"/>
      <c r="C1230" s="1"/>
      <c r="E1230" s="121"/>
      <c r="F1230" s="138"/>
      <c r="G1230" s="117" t="e">
        <f t="shared" ref="G1230:L1230" si="723">SUM(G1226:G1229)</f>
        <v>#VALUE!</v>
      </c>
      <c r="H1230" s="116" t="e">
        <f t="shared" si="723"/>
        <v>#VALUE!</v>
      </c>
      <c r="I1230" s="116" t="e">
        <f t="shared" si="723"/>
        <v>#VALUE!</v>
      </c>
      <c r="J1230" s="116" t="e">
        <f t="shared" si="723"/>
        <v>#VALUE!</v>
      </c>
      <c r="K1230" s="116" t="e">
        <f t="shared" si="723"/>
        <v>#VALUE!</v>
      </c>
      <c r="L1230" s="116" t="e">
        <f t="shared" si="723"/>
        <v>#VALUE!</v>
      </c>
      <c r="O1230" s="116" t="e">
        <f>SUM(O1226:O1229)</f>
        <v>#VALUE!</v>
      </c>
      <c r="P1230" s="116" t="e">
        <f>SUM(P1226:P1229)</f>
        <v>#VALUE!</v>
      </c>
      <c r="Q1230" s="116" t="e">
        <f>SUM(Q1226:Q1229)</f>
        <v>#VALUE!</v>
      </c>
      <c r="R1230" s="116" t="e">
        <f>SUM(R1226:R1229)</f>
        <v>#VALUE!</v>
      </c>
      <c r="T1230" s="116">
        <f>SUM(T1226:T1229)</f>
        <v>0</v>
      </c>
      <c r="U1230" s="116">
        <f>SUM(U1226:U1229)</f>
        <v>0</v>
      </c>
      <c r="V1230" s="116">
        <f>SUM(V1226:V1229)</f>
        <v>0</v>
      </c>
      <c r="W1230" s="116">
        <f>SUM(W1226:W1229)</f>
        <v>0</v>
      </c>
      <c r="X1230" s="3"/>
      <c r="Y1230" s="116">
        <f>SUM(Y1226:Y1229)</f>
        <v>0</v>
      </c>
      <c r="Z1230" s="116">
        <f>SUM(Z1226:Z1229)</f>
        <v>0</v>
      </c>
      <c r="AA1230" s="116">
        <f>SUM(AA1226:AA1229)</f>
        <v>0</v>
      </c>
      <c r="AB1230" s="116">
        <f>SUM(AB1226:AB1229)</f>
        <v>0</v>
      </c>
      <c r="AC1230" s="116">
        <f>SUM(AC1226:AC1229)</f>
        <v>0</v>
      </c>
      <c r="AD1230" s="117" t="e">
        <f>ROUND(SUM(-G1230,H1230:L1230),0)</f>
        <v>#VALUE!</v>
      </c>
      <c r="AE1230" s="117" t="e">
        <f>ROUND(H1230-O1230-P1230-Q1230-R1230,0)</f>
        <v>#VALUE!</v>
      </c>
      <c r="AF1230" s="117" t="e">
        <f>ROUND(I1230-T1230-U1230-V1230-W1230,0)</f>
        <v>#VALUE!</v>
      </c>
      <c r="AG1230" s="117" t="e">
        <f>ROUND(J1230-Y1230-Z1230-AA1230-AC1230-AB1230,0)</f>
        <v>#VALUE!</v>
      </c>
      <c r="AH1230" s="116"/>
      <c r="AI1230">
        <f t="shared" si="713"/>
        <v>316</v>
      </c>
      <c r="AJ1230" t="str">
        <f t="shared" si="705"/>
        <v>NA</v>
      </c>
      <c r="AK1230" t="str">
        <f>IF(ISERROR(MATCH(AI1230&amp;"."&amp;AJ1230,AK$91:AK1229,0)),AI1230&amp;"."&amp;AJ1230,AI1230&amp;"."&amp;AJ1230&amp;COUNTIFS(AI$91:AI1229,AI1230,AJ$91:AJ1229,AJ1230))</f>
        <v>316.NA1</v>
      </c>
    </row>
    <row r="1231" spans="1:37" ht="15" hidden="1">
      <c r="A1231" s="120">
        <f>ROW()</f>
        <v>1231</v>
      </c>
      <c r="B1231" s="120"/>
      <c r="C1231" s="1"/>
      <c r="E1231" s="121"/>
      <c r="F1231" s="138"/>
      <c r="G1231" s="119"/>
      <c r="X1231" s="3"/>
      <c r="AD1231" s="119"/>
      <c r="AE1231" s="119"/>
      <c r="AF1231" s="119"/>
      <c r="AG1231" s="119"/>
      <c r="AI1231">
        <f t="shared" si="713"/>
        <v>316</v>
      </c>
      <c r="AJ1231" t="str">
        <f t="shared" si="705"/>
        <v>NA</v>
      </c>
      <c r="AK1231" t="str">
        <f>IF(ISERROR(MATCH(AI1231&amp;"."&amp;AJ1231,AK$91:AK1230,0)),AI1231&amp;"."&amp;AJ1231,AI1231&amp;"."&amp;AJ1231&amp;COUNTIFS(AI$91:AI1230,AI1231,AJ$91:AJ1230,AJ1231))</f>
        <v>316.NA2</v>
      </c>
    </row>
    <row r="1232" spans="1:37" ht="15" hidden="1">
      <c r="A1232" s="120">
        <f>ROW()</f>
        <v>1232</v>
      </c>
      <c r="B1232" s="120"/>
      <c r="C1232" s="1"/>
      <c r="E1232" s="121"/>
      <c r="F1232" s="138"/>
      <c r="G1232" s="119"/>
      <c r="X1232" s="3"/>
      <c r="AD1232" s="119"/>
      <c r="AE1232" s="119"/>
      <c r="AF1232" s="119"/>
      <c r="AG1232" s="119"/>
      <c r="AI1232">
        <f t="shared" si="713"/>
        <v>316</v>
      </c>
      <c r="AJ1232" t="str">
        <f t="shared" si="705"/>
        <v>NA</v>
      </c>
      <c r="AK1232" t="str">
        <f>IF(ISERROR(MATCH(AI1232&amp;"."&amp;AJ1232,AK$91:AK1231,0)),AI1232&amp;"."&amp;AJ1232,AI1232&amp;"."&amp;AJ1232&amp;COUNTIFS(AI$91:AI1231,AI1232,AJ$91:AJ1231,AJ1232))</f>
        <v>316.NA3</v>
      </c>
    </row>
    <row r="1233" spans="1:37" ht="15" hidden="1">
      <c r="A1233" s="120">
        <f>ROW()</f>
        <v>1233</v>
      </c>
      <c r="B1233" s="120"/>
      <c r="C1233" s="1" t="s">
        <v>264</v>
      </c>
      <c r="D1233" s="2" t="s">
        <v>508</v>
      </c>
      <c r="E1233" s="121"/>
      <c r="F1233" s="138"/>
      <c r="G1233" s="119"/>
      <c r="X1233" s="3"/>
      <c r="AD1233" s="119"/>
      <c r="AE1233" s="119"/>
      <c r="AF1233" s="119"/>
      <c r="AG1233" s="119"/>
      <c r="AI1233" t="str">
        <f t="shared" si="713"/>
        <v>SP</v>
      </c>
      <c r="AJ1233" t="str">
        <f t="shared" si="705"/>
        <v>NA</v>
      </c>
      <c r="AK1233" t="str">
        <f>IF(ISERROR(MATCH(AI1233&amp;"."&amp;AJ1233,AK$91:AK1232,0)),AI1233&amp;"."&amp;AJ1233,AI1233&amp;"."&amp;AJ1233&amp;COUNTIFS(AI$91:AI1232,AI1233,AJ$91:AJ1232,AJ1233))</f>
        <v>SP.NA</v>
      </c>
    </row>
    <row r="1234" spans="1:37" ht="15" hidden="1">
      <c r="A1234" s="120">
        <f>ROW()</f>
        <v>1234</v>
      </c>
      <c r="B1234" s="120"/>
      <c r="E1234" s="121" t="s">
        <v>15</v>
      </c>
      <c r="F1234" s="138" t="str">
        <f>INDEX(FuncAllocOptions,ROW(A1234)-ROW($A$92)+1,[4]Inputs!$S$11)</f>
        <v>P</v>
      </c>
      <c r="G1234" s="133" t="e">
        <f>SUMIF(FERCJAMFactor,AK1234,JAMValue)</f>
        <v>#VALUE!</v>
      </c>
      <c r="H1234" s="139" t="e">
        <f>INDEX(FuncFactorTbl,MATCH($F1234,FuncFactors,0),MATCH(H$8,Functions,0))*$G1234</f>
        <v>#VALUE!</v>
      </c>
      <c r="I1234" s="139" t="e">
        <f>INDEX(FuncFactorTbl,MATCH($F1234,FuncFactors,0),MATCH(I$8,Functions,0))*$G1234</f>
        <v>#VALUE!</v>
      </c>
      <c r="J1234" s="139" t="e">
        <f>INDEX(FuncFactorTbl,MATCH($F1234,FuncFactors,0),MATCH(J$8,Functions,0))*$G1234</f>
        <v>#VALUE!</v>
      </c>
      <c r="K1234" s="139" t="e">
        <f>INDEX(FuncFactorTbl,MATCH($F1234,FuncFactors,0),MATCH(K$8,Functions,0))*$G1234</f>
        <v>#VALUE!</v>
      </c>
      <c r="L1234" s="139" t="e">
        <f>INDEX(FuncFactorTbl,MATCH($F1234,FuncFactors,0),MATCH(L$8,Functions,0))*$G1234</f>
        <v>#VALUE!</v>
      </c>
      <c r="N1234" s="108">
        <v>0.75</v>
      </c>
      <c r="O1234" s="116" t="e">
        <f>$H1234*$N1234*$M1234</f>
        <v>#VALUE!</v>
      </c>
      <c r="P1234" s="116" t="e">
        <f>$H1234*(1-$N1234)*$M1234</f>
        <v>#VALUE!</v>
      </c>
      <c r="Q1234" s="116" t="e">
        <f>$H1234*$N1234*(1-$M1234)</f>
        <v>#VALUE!</v>
      </c>
      <c r="R1234" s="116" t="e">
        <f>$H1234*(1-$N1234)*(1-$M1234)</f>
        <v>#VALUE!</v>
      </c>
      <c r="T1234" s="116">
        <v>0</v>
      </c>
      <c r="U1234" s="116">
        <v>0</v>
      </c>
      <c r="V1234" s="116">
        <v>0</v>
      </c>
      <c r="W1234" s="116">
        <v>0</v>
      </c>
      <c r="X1234" s="3"/>
      <c r="AD1234" s="117" t="e">
        <f>ROUND(SUM(-G1234,H1234:L1234),0)</f>
        <v>#VALUE!</v>
      </c>
      <c r="AE1234" s="117" t="e">
        <f>ROUND(H1234-O1234-P1234-Q1234-R1234,0)</f>
        <v>#VALUE!</v>
      </c>
      <c r="AF1234" s="117" t="e">
        <f>ROUND(I1234-T1234-U1234-V1234-W1234,0)</f>
        <v>#VALUE!</v>
      </c>
      <c r="AG1234" s="117" t="e">
        <f>ROUND(J1234-Y1234-Z1234-AA1234-AC1234-AB1234,0)</f>
        <v>#VALUE!</v>
      </c>
      <c r="AH1234" s="116"/>
      <c r="AI1234" t="str">
        <f t="shared" si="713"/>
        <v>SP</v>
      </c>
      <c r="AJ1234" t="str">
        <f t="shared" si="705"/>
        <v>SG</v>
      </c>
      <c r="AK1234" t="str">
        <f>IF(ISERROR(MATCH(AI1234&amp;"."&amp;AJ1234,AK$91:AK1233,0)),AI1234&amp;"."&amp;AJ1234,AI1234&amp;"."&amp;AJ1234&amp;COUNTIFS(AI$91:AI1233,AI1234,AJ$91:AJ1233,AJ1234))</f>
        <v>SP.SG</v>
      </c>
    </row>
    <row r="1235" spans="1:37" ht="15" hidden="1">
      <c r="A1235" s="120">
        <f>ROW()</f>
        <v>1235</v>
      </c>
      <c r="B1235" s="120"/>
      <c r="E1235" s="121"/>
      <c r="F1235" s="138"/>
      <c r="G1235" s="117" t="e">
        <f t="shared" ref="G1235:L1235" si="724">SUM(G1234)</f>
        <v>#VALUE!</v>
      </c>
      <c r="H1235" s="116" t="e">
        <f t="shared" si="724"/>
        <v>#VALUE!</v>
      </c>
      <c r="I1235" s="116" t="e">
        <f t="shared" si="724"/>
        <v>#VALUE!</v>
      </c>
      <c r="J1235" s="116" t="e">
        <f t="shared" si="724"/>
        <v>#VALUE!</v>
      </c>
      <c r="K1235" s="116" t="e">
        <f t="shared" si="724"/>
        <v>#VALUE!</v>
      </c>
      <c r="L1235" s="116" t="e">
        <f t="shared" si="724"/>
        <v>#VALUE!</v>
      </c>
      <c r="O1235" s="116" t="e">
        <f>SUM(O1234)</f>
        <v>#VALUE!</v>
      </c>
      <c r="P1235" s="116" t="e">
        <f>SUM(P1234)</f>
        <v>#VALUE!</v>
      </c>
      <c r="Q1235" s="116" t="e">
        <f>SUM(Q1234)</f>
        <v>#VALUE!</v>
      </c>
      <c r="R1235" s="116" t="e">
        <f>SUM(R1234)</f>
        <v>#VALUE!</v>
      </c>
      <c r="T1235" s="116">
        <f>SUM(T1234)</f>
        <v>0</v>
      </c>
      <c r="U1235" s="116">
        <f>SUM(U1234)</f>
        <v>0</v>
      </c>
      <c r="V1235" s="116">
        <f>SUM(V1234)</f>
        <v>0</v>
      </c>
      <c r="W1235" s="116">
        <f>SUM(W1234)</f>
        <v>0</v>
      </c>
      <c r="X1235" s="3"/>
      <c r="Y1235" s="116">
        <f>SUM(Y1234)</f>
        <v>0</v>
      </c>
      <c r="Z1235" s="116">
        <f>SUM(Z1234)</f>
        <v>0</v>
      </c>
      <c r="AA1235" s="116">
        <f>SUM(AA1234)</f>
        <v>0</v>
      </c>
      <c r="AB1235" s="116">
        <f>SUM(AB1234)</f>
        <v>0</v>
      </c>
      <c r="AC1235" s="116">
        <f>SUM(AC1234)</f>
        <v>0</v>
      </c>
      <c r="AD1235" s="117" t="e">
        <f>ROUND(SUM(-G1235,H1235:L1235),0)</f>
        <v>#VALUE!</v>
      </c>
      <c r="AE1235" s="117" t="e">
        <f>ROUND(H1235-O1235-P1235-Q1235-R1235,0)</f>
        <v>#VALUE!</v>
      </c>
      <c r="AF1235" s="117" t="e">
        <f>ROUND(I1235-T1235-U1235-V1235-W1235,0)</f>
        <v>#VALUE!</v>
      </c>
      <c r="AG1235" s="117" t="e">
        <f>ROUND(J1235-Y1235-Z1235-AA1235-AC1235-AB1235,0)</f>
        <v>#VALUE!</v>
      </c>
      <c r="AH1235" s="116"/>
      <c r="AI1235" t="str">
        <f t="shared" si="713"/>
        <v>SP</v>
      </c>
      <c r="AJ1235" t="str">
        <f t="shared" si="705"/>
        <v>NA</v>
      </c>
      <c r="AK1235" t="str">
        <f>IF(ISERROR(MATCH(AI1235&amp;"."&amp;AJ1235,AK$91:AK1234,0)),AI1235&amp;"."&amp;AJ1235,AI1235&amp;"."&amp;AJ1235&amp;COUNTIFS(AI$91:AI1234,AI1235,AJ$91:AJ1234,AJ1235))</f>
        <v>SP.NA1</v>
      </c>
    </row>
    <row r="1236" spans="1:37" ht="15" hidden="1">
      <c r="A1236" s="120">
        <f>ROW()</f>
        <v>1236</v>
      </c>
      <c r="B1236" s="120"/>
      <c r="E1236" s="121"/>
      <c r="F1236" s="138"/>
      <c r="G1236" s="119"/>
      <c r="X1236" s="3"/>
      <c r="AD1236" s="119"/>
      <c r="AE1236" s="119"/>
      <c r="AF1236" s="119"/>
      <c r="AG1236" s="119"/>
      <c r="AI1236" t="str">
        <f t="shared" si="713"/>
        <v>SP</v>
      </c>
      <c r="AJ1236" t="str">
        <f t="shared" si="705"/>
        <v>NA</v>
      </c>
      <c r="AK1236" t="str">
        <f>IF(ISERROR(MATCH(AI1236&amp;"."&amp;AJ1236,AK$91:AK1235,0)),AI1236&amp;"."&amp;AJ1236,AI1236&amp;"."&amp;AJ1236&amp;COUNTIFS(AI$91:AI1235,AI1236,AJ$91:AJ1235,AJ1236))</f>
        <v>SP.NA2</v>
      </c>
    </row>
    <row r="1237" spans="1:37" ht="15" hidden="1">
      <c r="A1237" s="120">
        <f>ROW()</f>
        <v>1237</v>
      </c>
      <c r="B1237" s="120"/>
      <c r="E1237" s="121"/>
      <c r="F1237" s="138"/>
      <c r="G1237" s="119"/>
      <c r="X1237" s="3"/>
      <c r="AD1237" s="119"/>
      <c r="AE1237" s="119"/>
      <c r="AF1237" s="119"/>
      <c r="AG1237" s="119"/>
      <c r="AI1237" t="str">
        <f t="shared" si="713"/>
        <v>SP</v>
      </c>
      <c r="AJ1237" t="str">
        <f t="shared" si="705"/>
        <v>NA</v>
      </c>
      <c r="AK1237" t="str">
        <f>IF(ISERROR(MATCH(AI1237&amp;"."&amp;AJ1237,AK$91:AK1236,0)),AI1237&amp;"."&amp;AJ1237,AI1237&amp;"."&amp;AJ1237&amp;COUNTIFS(AI$91:AI1236,AI1237,AJ$91:AJ1236,AJ1237))</f>
        <v>SP.NA3</v>
      </c>
    </row>
    <row r="1238" spans="1:37" ht="15.75" hidden="1" thickBot="1">
      <c r="A1238" s="120">
        <f>ROW()</f>
        <v>1238</v>
      </c>
      <c r="B1238" s="120"/>
      <c r="C1238" s="110" t="s">
        <v>509</v>
      </c>
      <c r="E1238" s="121"/>
      <c r="F1238" s="138"/>
      <c r="G1238" s="153" t="e">
        <f t="shared" ref="G1238:L1238" si="725">G1195+G1202+G1209+G1216+G1223+G1230+G1235</f>
        <v>#VALUE!</v>
      </c>
      <c r="H1238" s="152" t="e">
        <f t="shared" si="725"/>
        <v>#VALUE!</v>
      </c>
      <c r="I1238" s="152" t="e">
        <f t="shared" si="725"/>
        <v>#VALUE!</v>
      </c>
      <c r="J1238" s="152" t="e">
        <f t="shared" si="725"/>
        <v>#VALUE!</v>
      </c>
      <c r="K1238" s="152" t="e">
        <f t="shared" si="725"/>
        <v>#VALUE!</v>
      </c>
      <c r="L1238" s="152" t="e">
        <f t="shared" si="725"/>
        <v>#VALUE!</v>
      </c>
      <c r="O1238" s="116" t="e">
        <f>O1195+O1202+O1209+O1216+O1223+O1230+O1235</f>
        <v>#VALUE!</v>
      </c>
      <c r="P1238" s="116" t="e">
        <f>P1195+P1202+P1209+P1216+P1223+P1230+P1235</f>
        <v>#VALUE!</v>
      </c>
      <c r="Q1238" s="116" t="e">
        <f>Q1195+Q1202+Q1209+Q1216+Q1223+Q1230+Q1235</f>
        <v>#VALUE!</v>
      </c>
      <c r="R1238" s="116" t="e">
        <f>R1195+R1202+R1209+R1216+R1223+R1230+R1235</f>
        <v>#VALUE!</v>
      </c>
      <c r="S1238" s="116"/>
      <c r="T1238" s="116">
        <f>T1195+T1202+T1209+T1216+T1223+T1230+T1235</f>
        <v>0</v>
      </c>
      <c r="U1238" s="116">
        <f>U1195+U1202+U1209+U1216+U1223+U1230+U1235</f>
        <v>0</v>
      </c>
      <c r="V1238" s="116">
        <f>V1195+V1202+V1209+V1216+V1223+V1230+V1235</f>
        <v>0</v>
      </c>
      <c r="W1238" s="116">
        <f>W1195+W1202+W1209+W1216+W1223+W1230+W1235</f>
        <v>0</v>
      </c>
      <c r="X1238" s="3"/>
      <c r="Y1238" s="116">
        <f>Y1195+Y1202+Y1209+Y1216+Y1223+Y1230+Y1235</f>
        <v>0</v>
      </c>
      <c r="Z1238" s="116">
        <f>Z1195+Z1202+Z1209+Z1216+Z1223+Z1230+Z1235</f>
        <v>0</v>
      </c>
      <c r="AA1238" s="116">
        <f>AA1195+AA1202+AA1209+AA1216+AA1223+AA1230+AA1235</f>
        <v>0</v>
      </c>
      <c r="AB1238" s="116">
        <f>AB1195+AB1202+AB1209+AB1216+AB1223+AB1230+AB1235</f>
        <v>0</v>
      </c>
      <c r="AC1238" s="116">
        <f>AC1195+AC1202+AC1209+AC1216+AC1223+AC1230+AC1235</f>
        <v>0</v>
      </c>
      <c r="AD1238" s="117" t="e">
        <f>ROUND(SUM(-G1238,H1238:L1238),0)</f>
        <v>#VALUE!</v>
      </c>
      <c r="AE1238" s="117" t="e">
        <f>ROUND(H1238-O1238-P1238-Q1238-R1238,0)</f>
        <v>#VALUE!</v>
      </c>
      <c r="AF1238" s="117" t="e">
        <f>ROUND(I1238-T1238-U1238-V1238-W1238,0)</f>
        <v>#VALUE!</v>
      </c>
      <c r="AG1238" s="117" t="e">
        <f>ROUND(J1238-Y1238-Z1238-AA1238-AC1238-AB1238,0)</f>
        <v>#VALUE!</v>
      </c>
      <c r="AH1238" s="116"/>
      <c r="AI1238" t="str">
        <f t="shared" si="713"/>
        <v>Total Steam Production Plant</v>
      </c>
      <c r="AJ1238" t="str">
        <f t="shared" si="705"/>
        <v>NA</v>
      </c>
      <c r="AK1238" t="str">
        <f>IF(ISERROR(MATCH(AI1238&amp;"."&amp;AJ1238,AK$91:AK1237,0)),AI1238&amp;"."&amp;AJ1238,AI1238&amp;"."&amp;AJ1238&amp;COUNTIFS(AI$91:AI1237,AI1238,AJ$91:AJ1237,AJ1238))</f>
        <v>Total Steam Production Plant.NA</v>
      </c>
    </row>
    <row r="1239" spans="1:37" ht="15" hidden="1">
      <c r="A1239" s="120">
        <f>ROW()</f>
        <v>1239</v>
      </c>
      <c r="B1239" s="120"/>
      <c r="E1239" s="121"/>
      <c r="F1239" s="138"/>
      <c r="G1239" s="119"/>
      <c r="X1239" s="3"/>
      <c r="AD1239" s="119"/>
      <c r="AE1239" s="119"/>
      <c r="AF1239" s="119"/>
      <c r="AG1239" s="119"/>
      <c r="AI1239" t="str">
        <f t="shared" si="713"/>
        <v>Total Steam Production Plant</v>
      </c>
      <c r="AJ1239" t="str">
        <f t="shared" si="705"/>
        <v>NA</v>
      </c>
      <c r="AK1239" t="str">
        <f>IF(ISERROR(MATCH(AI1239&amp;"."&amp;AJ1239,AK$91:AK1238,0)),AI1239&amp;"."&amp;AJ1239,AI1239&amp;"."&amp;AJ1239&amp;COUNTIFS(AI$91:AI1238,AI1239,AJ$91:AJ1238,AJ1239))</f>
        <v>Total Steam Production Plant.NA1</v>
      </c>
    </row>
    <row r="1240" spans="1:37" ht="15" hidden="1">
      <c r="A1240" s="120">
        <f>ROW()</f>
        <v>1240</v>
      </c>
      <c r="B1240" s="120"/>
      <c r="C1240" s="1">
        <v>320</v>
      </c>
      <c r="D1240" s="2" t="s">
        <v>500</v>
      </c>
      <c r="E1240" s="121"/>
      <c r="F1240" s="138"/>
      <c r="G1240" s="119"/>
      <c r="X1240" s="3"/>
      <c r="AD1240" s="119"/>
      <c r="AE1240" s="119"/>
      <c r="AF1240" s="119"/>
      <c r="AG1240" s="119"/>
      <c r="AI1240">
        <f t="shared" si="713"/>
        <v>320</v>
      </c>
      <c r="AJ1240" t="str">
        <f t="shared" si="705"/>
        <v>NA</v>
      </c>
      <c r="AK1240" t="str">
        <f>IF(ISERROR(MATCH(AI1240&amp;"."&amp;AJ1240,AK$91:AK1239,0)),AI1240&amp;"."&amp;AJ1240,AI1240&amp;"."&amp;AJ1240&amp;COUNTIFS(AI$91:AI1239,AI1240,AJ$91:AJ1239,AJ1240))</f>
        <v>320.NA</v>
      </c>
    </row>
    <row r="1241" spans="1:37" ht="15" hidden="1">
      <c r="A1241" s="120">
        <f>ROW()</f>
        <v>1241</v>
      </c>
      <c r="B1241" s="120"/>
      <c r="C1241" s="1"/>
      <c r="E1241" s="121" t="s">
        <v>15</v>
      </c>
      <c r="F1241" s="138" t="str">
        <f>INDEX(FuncAllocOptions,ROW(A1241)-ROW($A$92)+1,[4]Inputs!$S$11)</f>
        <v>P</v>
      </c>
      <c r="G1241" s="133" t="e">
        <f>SUMIF(FERCJAMFactor,AK1241,JAMValue)</f>
        <v>#VALUE!</v>
      </c>
      <c r="H1241" s="139" t="e">
        <f>INDEX(FuncFactorTbl,MATCH($F1241,FuncFactors,0),MATCH(H$8,Functions,0))*$G1241</f>
        <v>#VALUE!</v>
      </c>
      <c r="I1241" s="139" t="e">
        <f>INDEX(FuncFactorTbl,MATCH($F1241,FuncFactors,0),MATCH(I$8,Functions,0))*$G1241</f>
        <v>#VALUE!</v>
      </c>
      <c r="J1241" s="139" t="e">
        <f>INDEX(FuncFactorTbl,MATCH($F1241,FuncFactors,0),MATCH(J$8,Functions,0))*$G1241</f>
        <v>#VALUE!</v>
      </c>
      <c r="K1241" s="139" t="e">
        <f>INDEX(FuncFactorTbl,MATCH($F1241,FuncFactors,0),MATCH(K$8,Functions,0))*$G1241</f>
        <v>#VALUE!</v>
      </c>
      <c r="L1241" s="139" t="e">
        <f>INDEX(FuncFactorTbl,MATCH($F1241,FuncFactors,0),MATCH(L$8,Functions,0))*$G1241</f>
        <v>#VALUE!</v>
      </c>
      <c r="N1241" s="108">
        <v>0.75</v>
      </c>
      <c r="O1241" s="116" t="e">
        <f>$H1241*$N1241*$M1241</f>
        <v>#VALUE!</v>
      </c>
      <c r="P1241" s="116" t="e">
        <f>$H1241*(1-$N1241)*$M1241</f>
        <v>#VALUE!</v>
      </c>
      <c r="Q1241" s="116" t="e">
        <f>$H1241*$N1241*(1-$M1241)</f>
        <v>#VALUE!</v>
      </c>
      <c r="R1241" s="116" t="e">
        <f>$H1241*(1-$N1241)*(1-$M1241)</f>
        <v>#VALUE!</v>
      </c>
      <c r="T1241" s="116">
        <v>0</v>
      </c>
      <c r="U1241" s="116">
        <v>0</v>
      </c>
      <c r="V1241" s="116">
        <v>0</v>
      </c>
      <c r="W1241" s="116">
        <v>0</v>
      </c>
      <c r="X1241" s="3"/>
      <c r="AD1241" s="117" t="e">
        <f>ROUND(SUM(-G1241,H1241:L1241),0)</f>
        <v>#VALUE!</v>
      </c>
      <c r="AE1241" s="117" t="e">
        <f>ROUND(H1241-O1241-P1241-Q1241-R1241,0)</f>
        <v>#VALUE!</v>
      </c>
      <c r="AF1241" s="117" t="e">
        <f>ROUND(I1241-T1241-U1241-V1241-W1241,0)</f>
        <v>#VALUE!</v>
      </c>
      <c r="AG1241" s="117" t="e">
        <f>ROUND(J1241-Y1241-Z1241-AA1241-AC1241-AB1241,0)</f>
        <v>#VALUE!</v>
      </c>
      <c r="AH1241" s="116"/>
      <c r="AI1241">
        <f t="shared" si="713"/>
        <v>320</v>
      </c>
      <c r="AJ1241" t="str">
        <f t="shared" si="705"/>
        <v>SG</v>
      </c>
      <c r="AK1241" t="str">
        <f>IF(ISERROR(MATCH(AI1241&amp;"."&amp;AJ1241,AK$91:AK1240,0)),AI1241&amp;"."&amp;AJ1241,AI1241&amp;"."&amp;AJ1241&amp;COUNTIFS(AI$91:AI1240,AI1241,AJ$91:AJ1240,AJ1241))</f>
        <v>320.SG</v>
      </c>
    </row>
    <row r="1242" spans="1:37" ht="15" hidden="1">
      <c r="A1242" s="120">
        <f>ROW()</f>
        <v>1242</v>
      </c>
      <c r="B1242" s="120"/>
      <c r="C1242" s="1"/>
      <c r="E1242" s="121"/>
      <c r="F1242" s="138"/>
      <c r="G1242" s="117" t="e">
        <f t="shared" ref="G1242:L1242" si="726">SUM(G1241)</f>
        <v>#VALUE!</v>
      </c>
      <c r="H1242" s="116" t="e">
        <f t="shared" si="726"/>
        <v>#VALUE!</v>
      </c>
      <c r="I1242" s="116" t="e">
        <f t="shared" si="726"/>
        <v>#VALUE!</v>
      </c>
      <c r="J1242" s="116" t="e">
        <f t="shared" si="726"/>
        <v>#VALUE!</v>
      </c>
      <c r="K1242" s="116" t="e">
        <f t="shared" si="726"/>
        <v>#VALUE!</v>
      </c>
      <c r="L1242" s="116" t="e">
        <f t="shared" si="726"/>
        <v>#VALUE!</v>
      </c>
      <c r="O1242" s="116" t="e">
        <f>SUM(O1241)</f>
        <v>#VALUE!</v>
      </c>
      <c r="P1242" s="116" t="e">
        <f>SUM(P1241)</f>
        <v>#VALUE!</v>
      </c>
      <c r="Q1242" s="116" t="e">
        <f>SUM(Q1241)</f>
        <v>#VALUE!</v>
      </c>
      <c r="R1242" s="116" t="e">
        <f>SUM(R1241)</f>
        <v>#VALUE!</v>
      </c>
      <c r="T1242" s="116">
        <f>SUM(T1241)</f>
        <v>0</v>
      </c>
      <c r="U1242" s="116">
        <f>SUM(U1241)</f>
        <v>0</v>
      </c>
      <c r="V1242" s="116">
        <f>SUM(V1241)</f>
        <v>0</v>
      </c>
      <c r="W1242" s="116">
        <f>SUM(W1241)</f>
        <v>0</v>
      </c>
      <c r="X1242" s="3"/>
      <c r="Y1242" s="116">
        <f>SUM(Y1241)</f>
        <v>0</v>
      </c>
      <c r="Z1242" s="116">
        <f>SUM(Z1241)</f>
        <v>0</v>
      </c>
      <c r="AA1242" s="116">
        <f>SUM(AA1241)</f>
        <v>0</v>
      </c>
      <c r="AB1242" s="116">
        <f>SUM(AB1241)</f>
        <v>0</v>
      </c>
      <c r="AC1242" s="116">
        <f>SUM(AC1241)</f>
        <v>0</v>
      </c>
      <c r="AD1242" s="117" t="e">
        <f>ROUND(SUM(-G1242,H1242:L1242),0)</f>
        <v>#VALUE!</v>
      </c>
      <c r="AE1242" s="117" t="e">
        <f>ROUND(H1242-O1242-P1242-Q1242-R1242,0)</f>
        <v>#VALUE!</v>
      </c>
      <c r="AF1242" s="117" t="e">
        <f>ROUND(I1242-T1242-U1242-V1242-W1242,0)</f>
        <v>#VALUE!</v>
      </c>
      <c r="AG1242" s="117" t="e">
        <f>ROUND(J1242-Y1242-Z1242-AA1242-AC1242-AB1242,0)</f>
        <v>#VALUE!</v>
      </c>
      <c r="AH1242" s="116"/>
      <c r="AI1242">
        <f t="shared" si="713"/>
        <v>320</v>
      </c>
      <c r="AJ1242" t="str">
        <f t="shared" si="705"/>
        <v>NA</v>
      </c>
      <c r="AK1242" t="str">
        <f>IF(ISERROR(MATCH(AI1242&amp;"."&amp;AJ1242,AK$91:AK1241,0)),AI1242&amp;"."&amp;AJ1242,AI1242&amp;"."&amp;AJ1242&amp;COUNTIFS(AI$91:AI1241,AI1242,AJ$91:AJ1241,AJ1242))</f>
        <v>320.NA1</v>
      </c>
    </row>
    <row r="1243" spans="1:37" ht="15" hidden="1">
      <c r="A1243" s="120">
        <f>ROW()</f>
        <v>1243</v>
      </c>
      <c r="B1243" s="120"/>
      <c r="C1243" s="1"/>
      <c r="E1243" s="121"/>
      <c r="F1243" s="138"/>
      <c r="G1243" s="119"/>
      <c r="X1243" s="3"/>
      <c r="AD1243" s="119"/>
      <c r="AE1243" s="119"/>
      <c r="AF1243" s="119"/>
      <c r="AG1243" s="119"/>
      <c r="AI1243">
        <f t="shared" si="713"/>
        <v>320</v>
      </c>
      <c r="AJ1243" t="str">
        <f t="shared" si="705"/>
        <v>NA</v>
      </c>
      <c r="AK1243" t="str">
        <f>IF(ISERROR(MATCH(AI1243&amp;"."&amp;AJ1243,AK$91:AK1242,0)),AI1243&amp;"."&amp;AJ1243,AI1243&amp;"."&amp;AJ1243&amp;COUNTIFS(AI$91:AI1242,AI1243,AJ$91:AJ1242,AJ1243))</f>
        <v>320.NA2</v>
      </c>
    </row>
    <row r="1244" spans="1:37" ht="15" hidden="1">
      <c r="A1244" s="120">
        <f>ROW()</f>
        <v>1244</v>
      </c>
      <c r="B1244" s="120"/>
      <c r="C1244" s="1">
        <v>321</v>
      </c>
      <c r="D1244" s="2" t="s">
        <v>502</v>
      </c>
      <c r="E1244" s="121"/>
      <c r="F1244" s="138"/>
      <c r="G1244" s="119"/>
      <c r="X1244" s="3"/>
      <c r="AD1244" s="119"/>
      <c r="AE1244" s="119"/>
      <c r="AF1244" s="119"/>
      <c r="AG1244" s="119"/>
      <c r="AI1244">
        <f t="shared" si="713"/>
        <v>321</v>
      </c>
      <c r="AJ1244" t="str">
        <f t="shared" si="705"/>
        <v>NA</v>
      </c>
      <c r="AK1244" t="str">
        <f>IF(ISERROR(MATCH(AI1244&amp;"."&amp;AJ1244,AK$91:AK1243,0)),AI1244&amp;"."&amp;AJ1244,AI1244&amp;"."&amp;AJ1244&amp;COUNTIFS(AI$91:AI1243,AI1244,AJ$91:AJ1243,AJ1244))</f>
        <v>321.NA</v>
      </c>
    </row>
    <row r="1245" spans="1:37" ht="15" hidden="1">
      <c r="A1245" s="120">
        <f>ROW()</f>
        <v>1245</v>
      </c>
      <c r="B1245" s="120"/>
      <c r="C1245" s="1"/>
      <c r="E1245" s="121" t="s">
        <v>15</v>
      </c>
      <c r="F1245" s="138" t="str">
        <f>INDEX(FuncAllocOptions,ROW(A1245)-ROW($A$92)+1,[4]Inputs!$S$11)</f>
        <v>P</v>
      </c>
      <c r="G1245" s="133" t="e">
        <f>SUMIF(FERCJAMFactor,AK1245,JAMValue)</f>
        <v>#VALUE!</v>
      </c>
      <c r="H1245" s="139" t="e">
        <f>INDEX(FuncFactorTbl,MATCH($F1245,FuncFactors,0),MATCH(H$8,Functions,0))*$G1245</f>
        <v>#VALUE!</v>
      </c>
      <c r="I1245" s="139" t="e">
        <f>INDEX(FuncFactorTbl,MATCH($F1245,FuncFactors,0),MATCH(I$8,Functions,0))*$G1245</f>
        <v>#VALUE!</v>
      </c>
      <c r="J1245" s="139" t="e">
        <f>INDEX(FuncFactorTbl,MATCH($F1245,FuncFactors,0),MATCH(J$8,Functions,0))*$G1245</f>
        <v>#VALUE!</v>
      </c>
      <c r="K1245" s="139" t="e">
        <f>INDEX(FuncFactorTbl,MATCH($F1245,FuncFactors,0),MATCH(K$8,Functions,0))*$G1245</f>
        <v>#VALUE!</v>
      </c>
      <c r="L1245" s="139" t="e">
        <f>INDEX(FuncFactorTbl,MATCH($F1245,FuncFactors,0),MATCH(L$8,Functions,0))*$G1245</f>
        <v>#VALUE!</v>
      </c>
      <c r="N1245" s="108">
        <v>0.75</v>
      </c>
      <c r="O1245" s="116" t="e">
        <f>$H1245*$N1245*$M1245</f>
        <v>#VALUE!</v>
      </c>
      <c r="P1245" s="116" t="e">
        <f>$H1245*(1-$N1245)*$M1245</f>
        <v>#VALUE!</v>
      </c>
      <c r="Q1245" s="116" t="e">
        <f>$H1245*$N1245*(1-$M1245)</f>
        <v>#VALUE!</v>
      </c>
      <c r="R1245" s="116" t="e">
        <f>$H1245*(1-$N1245)*(1-$M1245)</f>
        <v>#VALUE!</v>
      </c>
      <c r="T1245" s="116">
        <v>0</v>
      </c>
      <c r="U1245" s="116">
        <v>0</v>
      </c>
      <c r="V1245" s="116">
        <v>0</v>
      </c>
      <c r="W1245" s="116">
        <v>0</v>
      </c>
      <c r="X1245" s="3"/>
      <c r="AD1245" s="117" t="e">
        <f>ROUND(SUM(-G1245,H1245:L1245),0)</f>
        <v>#VALUE!</v>
      </c>
      <c r="AE1245" s="117" t="e">
        <f>ROUND(H1245-O1245-P1245-Q1245-R1245,0)</f>
        <v>#VALUE!</v>
      </c>
      <c r="AF1245" s="117" t="e">
        <f>ROUND(I1245-T1245-U1245-V1245-W1245,0)</f>
        <v>#VALUE!</v>
      </c>
      <c r="AG1245" s="117" t="e">
        <f>ROUND(J1245-Y1245-Z1245-AA1245-AC1245-AB1245,0)</f>
        <v>#VALUE!</v>
      </c>
      <c r="AH1245" s="116"/>
      <c r="AI1245">
        <f t="shared" si="713"/>
        <v>321</v>
      </c>
      <c r="AJ1245" t="str">
        <f t="shared" ref="AJ1245:AJ1308" si="727">IF(E1245="","NA",E1245)</f>
        <v>SG</v>
      </c>
      <c r="AK1245" t="str">
        <f>IF(ISERROR(MATCH(AI1245&amp;"."&amp;AJ1245,AK$91:AK1244,0)),AI1245&amp;"."&amp;AJ1245,AI1245&amp;"."&amp;AJ1245&amp;COUNTIFS(AI$91:AI1244,AI1245,AJ$91:AJ1244,AJ1245))</f>
        <v>321.SG</v>
      </c>
    </row>
    <row r="1246" spans="1:37" ht="15" hidden="1">
      <c r="A1246" s="120">
        <f>ROW()</f>
        <v>1246</v>
      </c>
      <c r="B1246" s="120"/>
      <c r="C1246" s="1"/>
      <c r="E1246" s="121"/>
      <c r="F1246" s="138"/>
      <c r="G1246" s="117" t="e">
        <f t="shared" ref="G1246:L1246" si="728">SUM(G1245)</f>
        <v>#VALUE!</v>
      </c>
      <c r="H1246" s="116" t="e">
        <f t="shared" si="728"/>
        <v>#VALUE!</v>
      </c>
      <c r="I1246" s="116" t="e">
        <f t="shared" si="728"/>
        <v>#VALUE!</v>
      </c>
      <c r="J1246" s="116" t="e">
        <f t="shared" si="728"/>
        <v>#VALUE!</v>
      </c>
      <c r="K1246" s="116" t="e">
        <f t="shared" si="728"/>
        <v>#VALUE!</v>
      </c>
      <c r="L1246" s="116" t="e">
        <f t="shared" si="728"/>
        <v>#VALUE!</v>
      </c>
      <c r="O1246" s="116" t="e">
        <f>SUM(O1245)</f>
        <v>#VALUE!</v>
      </c>
      <c r="P1246" s="116" t="e">
        <f>SUM(P1245)</f>
        <v>#VALUE!</v>
      </c>
      <c r="Q1246" s="116" t="e">
        <f>SUM(Q1245)</f>
        <v>#VALUE!</v>
      </c>
      <c r="R1246" s="116" t="e">
        <f>SUM(R1245)</f>
        <v>#VALUE!</v>
      </c>
      <c r="T1246" s="116">
        <f>SUM(T1245)</f>
        <v>0</v>
      </c>
      <c r="U1246" s="116">
        <f>SUM(U1245)</f>
        <v>0</v>
      </c>
      <c r="V1246" s="116">
        <f>SUM(V1245)</f>
        <v>0</v>
      </c>
      <c r="W1246" s="116">
        <f>SUM(W1245)</f>
        <v>0</v>
      </c>
      <c r="X1246" s="3"/>
      <c r="Y1246" s="116">
        <f>SUM(Y1245)</f>
        <v>0</v>
      </c>
      <c r="Z1246" s="116">
        <f>SUM(Z1245)</f>
        <v>0</v>
      </c>
      <c r="AA1246" s="116">
        <f>SUM(AA1245)</f>
        <v>0</v>
      </c>
      <c r="AB1246" s="116">
        <f>SUM(AB1245)</f>
        <v>0</v>
      </c>
      <c r="AC1246" s="116">
        <f>SUM(AC1245)</f>
        <v>0</v>
      </c>
      <c r="AD1246" s="117" t="e">
        <f>ROUND(SUM(-G1246,H1246:L1246),0)</f>
        <v>#VALUE!</v>
      </c>
      <c r="AE1246" s="117" t="e">
        <f>ROUND(H1246-O1246-P1246-Q1246-R1246,0)</f>
        <v>#VALUE!</v>
      </c>
      <c r="AF1246" s="117" t="e">
        <f>ROUND(I1246-T1246-U1246-V1246-W1246,0)</f>
        <v>#VALUE!</v>
      </c>
      <c r="AG1246" s="117" t="e">
        <f>ROUND(J1246-Y1246-Z1246-AA1246-AC1246-AB1246,0)</f>
        <v>#VALUE!</v>
      </c>
      <c r="AH1246" s="116"/>
      <c r="AI1246">
        <f t="shared" si="713"/>
        <v>321</v>
      </c>
      <c r="AJ1246" t="str">
        <f t="shared" si="727"/>
        <v>NA</v>
      </c>
      <c r="AK1246" t="str">
        <f>IF(ISERROR(MATCH(AI1246&amp;"."&amp;AJ1246,AK$91:AK1245,0)),AI1246&amp;"."&amp;AJ1246,AI1246&amp;"."&amp;AJ1246&amp;COUNTIFS(AI$91:AI1245,AI1246,AJ$91:AJ1245,AJ1246))</f>
        <v>321.NA1</v>
      </c>
    </row>
    <row r="1247" spans="1:37" ht="15" hidden="1">
      <c r="A1247" s="120">
        <f>ROW()</f>
        <v>1247</v>
      </c>
      <c r="B1247" s="120"/>
      <c r="C1247" s="1"/>
      <c r="E1247" s="121"/>
      <c r="F1247" s="138"/>
      <c r="G1247" s="119"/>
      <c r="X1247" s="3"/>
      <c r="AD1247" s="119"/>
      <c r="AE1247" s="119"/>
      <c r="AF1247" s="119"/>
      <c r="AG1247" s="119"/>
      <c r="AI1247">
        <f t="shared" si="713"/>
        <v>321</v>
      </c>
      <c r="AJ1247" t="str">
        <f t="shared" si="727"/>
        <v>NA</v>
      </c>
      <c r="AK1247" t="str">
        <f>IF(ISERROR(MATCH(AI1247&amp;"."&amp;AJ1247,AK$91:AK1246,0)),AI1247&amp;"."&amp;AJ1247,AI1247&amp;"."&amp;AJ1247&amp;COUNTIFS(AI$91:AI1246,AI1247,AJ$91:AJ1246,AJ1247))</f>
        <v>321.NA2</v>
      </c>
    </row>
    <row r="1248" spans="1:37" ht="15" hidden="1">
      <c r="A1248" s="120">
        <f>ROW()</f>
        <v>1248</v>
      </c>
      <c r="B1248" s="120"/>
      <c r="C1248" s="1">
        <v>322</v>
      </c>
      <c r="D1248" s="2" t="s">
        <v>512</v>
      </c>
      <c r="E1248" s="121"/>
      <c r="F1248" s="138"/>
      <c r="G1248" s="119"/>
      <c r="X1248" s="3"/>
      <c r="AD1248" s="119"/>
      <c r="AE1248" s="119"/>
      <c r="AF1248" s="119"/>
      <c r="AG1248" s="119"/>
      <c r="AI1248">
        <f t="shared" si="713"/>
        <v>322</v>
      </c>
      <c r="AJ1248" t="str">
        <f t="shared" si="727"/>
        <v>NA</v>
      </c>
      <c r="AK1248" t="str">
        <f>IF(ISERROR(MATCH(AI1248&amp;"."&amp;AJ1248,AK$91:AK1247,0)),AI1248&amp;"."&amp;AJ1248,AI1248&amp;"."&amp;AJ1248&amp;COUNTIFS(AI$91:AI1247,AI1248,AJ$91:AJ1247,AJ1248))</f>
        <v>322.NA</v>
      </c>
    </row>
    <row r="1249" spans="1:37" ht="15" hidden="1">
      <c r="A1249" s="120">
        <f>ROW()</f>
        <v>1249</v>
      </c>
      <c r="B1249" s="120"/>
      <c r="C1249" s="1"/>
      <c r="E1249" s="121" t="s">
        <v>15</v>
      </c>
      <c r="F1249" s="138" t="str">
        <f>INDEX(FuncAllocOptions,ROW(A1249)-ROW($A$92)+1,[4]Inputs!$S$11)</f>
        <v>P</v>
      </c>
      <c r="G1249" s="133" t="e">
        <f>SUMIF(FERCJAMFactor,AK1249,JAMValue)</f>
        <v>#VALUE!</v>
      </c>
      <c r="H1249" s="139" t="e">
        <f>INDEX(FuncFactorTbl,MATCH($F1249,FuncFactors,0),MATCH(H$8,Functions,0))*$G1249</f>
        <v>#VALUE!</v>
      </c>
      <c r="I1249" s="139" t="e">
        <f>INDEX(FuncFactorTbl,MATCH($F1249,FuncFactors,0),MATCH(I$8,Functions,0))*$G1249</f>
        <v>#VALUE!</v>
      </c>
      <c r="J1249" s="139" t="e">
        <f>INDEX(FuncFactorTbl,MATCH($F1249,FuncFactors,0),MATCH(J$8,Functions,0))*$G1249</f>
        <v>#VALUE!</v>
      </c>
      <c r="K1249" s="139" t="e">
        <f>INDEX(FuncFactorTbl,MATCH($F1249,FuncFactors,0),MATCH(K$8,Functions,0))*$G1249</f>
        <v>#VALUE!</v>
      </c>
      <c r="L1249" s="139" t="e">
        <f>INDEX(FuncFactorTbl,MATCH($F1249,FuncFactors,0),MATCH(L$8,Functions,0))*$G1249</f>
        <v>#VALUE!</v>
      </c>
      <c r="N1249" s="108">
        <v>0.75</v>
      </c>
      <c r="O1249" s="116" t="e">
        <f>$H1249*$N1249*$M1249</f>
        <v>#VALUE!</v>
      </c>
      <c r="P1249" s="116" t="e">
        <f>$H1249*(1-$N1249)*$M1249</f>
        <v>#VALUE!</v>
      </c>
      <c r="Q1249" s="116" t="e">
        <f>$H1249*$N1249*(1-$M1249)</f>
        <v>#VALUE!</v>
      </c>
      <c r="R1249" s="116" t="e">
        <f>$H1249*(1-$N1249)*(1-$M1249)</f>
        <v>#VALUE!</v>
      </c>
      <c r="T1249" s="116">
        <v>0</v>
      </c>
      <c r="U1249" s="116">
        <v>0</v>
      </c>
      <c r="V1249" s="116">
        <v>0</v>
      </c>
      <c r="W1249" s="116">
        <v>0</v>
      </c>
      <c r="X1249" s="3"/>
      <c r="AD1249" s="117" t="e">
        <f>ROUND(SUM(-G1249,H1249:L1249),0)</f>
        <v>#VALUE!</v>
      </c>
      <c r="AE1249" s="117" t="e">
        <f>ROUND(H1249-O1249-P1249-Q1249-R1249,0)</f>
        <v>#VALUE!</v>
      </c>
      <c r="AF1249" s="117" t="e">
        <f>ROUND(I1249-T1249-U1249-V1249-W1249,0)</f>
        <v>#VALUE!</v>
      </c>
      <c r="AG1249" s="117" t="e">
        <f>ROUND(J1249-Y1249-Z1249-AA1249-AC1249-AB1249,0)</f>
        <v>#VALUE!</v>
      </c>
      <c r="AH1249" s="116"/>
      <c r="AI1249">
        <f t="shared" si="713"/>
        <v>322</v>
      </c>
      <c r="AJ1249" t="str">
        <f t="shared" si="727"/>
        <v>SG</v>
      </c>
      <c r="AK1249" t="str">
        <f>IF(ISERROR(MATCH(AI1249&amp;"."&amp;AJ1249,AK$91:AK1248,0)),AI1249&amp;"."&amp;AJ1249,AI1249&amp;"."&amp;AJ1249&amp;COUNTIFS(AI$91:AI1248,AI1249,AJ$91:AJ1248,AJ1249))</f>
        <v>322.SG</v>
      </c>
    </row>
    <row r="1250" spans="1:37" ht="15" hidden="1">
      <c r="A1250" s="120">
        <f>ROW()</f>
        <v>1250</v>
      </c>
      <c r="B1250" s="120"/>
      <c r="C1250" s="1"/>
      <c r="E1250" s="121"/>
      <c r="F1250" s="138"/>
      <c r="G1250" s="117" t="e">
        <f t="shared" ref="G1250:L1250" si="729">SUM(G1249)</f>
        <v>#VALUE!</v>
      </c>
      <c r="H1250" s="116" t="e">
        <f t="shared" si="729"/>
        <v>#VALUE!</v>
      </c>
      <c r="I1250" s="116" t="e">
        <f t="shared" si="729"/>
        <v>#VALUE!</v>
      </c>
      <c r="J1250" s="116" t="e">
        <f t="shared" si="729"/>
        <v>#VALUE!</v>
      </c>
      <c r="K1250" s="116" t="e">
        <f t="shared" si="729"/>
        <v>#VALUE!</v>
      </c>
      <c r="L1250" s="116" t="e">
        <f t="shared" si="729"/>
        <v>#VALUE!</v>
      </c>
      <c r="O1250" s="116" t="e">
        <f>SUM(O1249)</f>
        <v>#VALUE!</v>
      </c>
      <c r="P1250" s="116" t="e">
        <f>SUM(P1249)</f>
        <v>#VALUE!</v>
      </c>
      <c r="Q1250" s="116" t="e">
        <f>SUM(Q1249)</f>
        <v>#VALUE!</v>
      </c>
      <c r="R1250" s="116" t="e">
        <f>SUM(R1249)</f>
        <v>#VALUE!</v>
      </c>
      <c r="T1250" s="116">
        <f>SUM(T1249)</f>
        <v>0</v>
      </c>
      <c r="U1250" s="116">
        <f>SUM(U1249)</f>
        <v>0</v>
      </c>
      <c r="V1250" s="116">
        <f>SUM(V1249)</f>
        <v>0</v>
      </c>
      <c r="W1250" s="116">
        <f>SUM(W1249)</f>
        <v>0</v>
      </c>
      <c r="X1250" s="3"/>
      <c r="Y1250" s="116">
        <f>SUM(Y1249)</f>
        <v>0</v>
      </c>
      <c r="Z1250" s="116">
        <f>SUM(Z1249)</f>
        <v>0</v>
      </c>
      <c r="AA1250" s="116">
        <f>SUM(AA1249)</f>
        <v>0</v>
      </c>
      <c r="AB1250" s="116">
        <f>SUM(AB1249)</f>
        <v>0</v>
      </c>
      <c r="AC1250" s="116">
        <f>SUM(AC1249)</f>
        <v>0</v>
      </c>
      <c r="AD1250" s="117" t="e">
        <f>ROUND(SUM(-G1250,H1250:L1250),0)</f>
        <v>#VALUE!</v>
      </c>
      <c r="AE1250" s="117" t="e">
        <f>ROUND(H1250-O1250-P1250-Q1250-R1250,0)</f>
        <v>#VALUE!</v>
      </c>
      <c r="AF1250" s="117" t="e">
        <f>ROUND(I1250-T1250-U1250-V1250-W1250,0)</f>
        <v>#VALUE!</v>
      </c>
      <c r="AG1250" s="117" t="e">
        <f>ROUND(J1250-Y1250-Z1250-AA1250-AC1250-AB1250,0)</f>
        <v>#VALUE!</v>
      </c>
      <c r="AH1250" s="116"/>
      <c r="AI1250">
        <f t="shared" si="713"/>
        <v>322</v>
      </c>
      <c r="AJ1250" t="str">
        <f t="shared" si="727"/>
        <v>NA</v>
      </c>
      <c r="AK1250" t="str">
        <f>IF(ISERROR(MATCH(AI1250&amp;"."&amp;AJ1250,AK$91:AK1249,0)),AI1250&amp;"."&amp;AJ1250,AI1250&amp;"."&amp;AJ1250&amp;COUNTIFS(AI$91:AI1249,AI1250,AJ$91:AJ1249,AJ1250))</f>
        <v>322.NA1</v>
      </c>
    </row>
    <row r="1251" spans="1:37" ht="15" hidden="1">
      <c r="A1251" s="120">
        <f>ROW()</f>
        <v>1251</v>
      </c>
      <c r="B1251" s="120"/>
      <c r="C1251" s="1"/>
      <c r="E1251" s="121"/>
      <c r="F1251" s="138"/>
      <c r="G1251" s="119"/>
      <c r="X1251" s="3"/>
      <c r="AD1251" s="119"/>
      <c r="AE1251" s="119"/>
      <c r="AF1251" s="119"/>
      <c r="AG1251" s="119"/>
      <c r="AI1251">
        <f t="shared" si="713"/>
        <v>322</v>
      </c>
      <c r="AJ1251" t="str">
        <f t="shared" si="727"/>
        <v>NA</v>
      </c>
      <c r="AK1251" t="str">
        <f>IF(ISERROR(MATCH(AI1251&amp;"."&amp;AJ1251,AK$91:AK1250,0)),AI1251&amp;"."&amp;AJ1251,AI1251&amp;"."&amp;AJ1251&amp;COUNTIFS(AI$91:AI1250,AI1251,AJ$91:AJ1250,AJ1251))</f>
        <v>322.NA2</v>
      </c>
    </row>
    <row r="1252" spans="1:37" ht="15" hidden="1">
      <c r="A1252" s="120">
        <f>ROW()</f>
        <v>1252</v>
      </c>
      <c r="B1252" s="120"/>
      <c r="C1252" s="1">
        <v>323</v>
      </c>
      <c r="D1252" s="2" t="s">
        <v>504</v>
      </c>
      <c r="E1252" s="121"/>
      <c r="F1252" s="138"/>
      <c r="G1252" s="119"/>
      <c r="X1252" s="3"/>
      <c r="AD1252" s="119"/>
      <c r="AE1252" s="119"/>
      <c r="AF1252" s="119"/>
      <c r="AG1252" s="119"/>
      <c r="AI1252">
        <f t="shared" si="713"/>
        <v>323</v>
      </c>
      <c r="AJ1252" t="str">
        <f t="shared" si="727"/>
        <v>NA</v>
      </c>
      <c r="AK1252" t="str">
        <f>IF(ISERROR(MATCH(AI1252&amp;"."&amp;AJ1252,AK$91:AK1251,0)),AI1252&amp;"."&amp;AJ1252,AI1252&amp;"."&amp;AJ1252&amp;COUNTIFS(AI$91:AI1251,AI1252,AJ$91:AJ1251,AJ1252))</f>
        <v>323.NA</v>
      </c>
    </row>
    <row r="1253" spans="1:37" ht="15" hidden="1">
      <c r="A1253" s="120">
        <f>ROW()</f>
        <v>1253</v>
      </c>
      <c r="B1253" s="120"/>
      <c r="C1253" s="1"/>
      <c r="E1253" s="121" t="s">
        <v>15</v>
      </c>
      <c r="F1253" s="138" t="str">
        <f>INDEX(FuncAllocOptions,ROW(A1253)-ROW($A$92)+1,[4]Inputs!$S$11)</f>
        <v>P</v>
      </c>
      <c r="G1253" s="133" t="e">
        <f>SUMIF(FERCJAMFactor,AK1253,JAMValue)</f>
        <v>#VALUE!</v>
      </c>
      <c r="H1253" s="139" t="e">
        <f>INDEX(FuncFactorTbl,MATCH($F1253,FuncFactors,0),MATCH(H$8,Functions,0))*$G1253</f>
        <v>#VALUE!</v>
      </c>
      <c r="I1253" s="139" t="e">
        <f>INDEX(FuncFactorTbl,MATCH($F1253,FuncFactors,0),MATCH(I$8,Functions,0))*$G1253</f>
        <v>#VALUE!</v>
      </c>
      <c r="J1253" s="139" t="e">
        <f>INDEX(FuncFactorTbl,MATCH($F1253,FuncFactors,0),MATCH(J$8,Functions,0))*$G1253</f>
        <v>#VALUE!</v>
      </c>
      <c r="K1253" s="139" t="e">
        <f>INDEX(FuncFactorTbl,MATCH($F1253,FuncFactors,0),MATCH(K$8,Functions,0))*$G1253</f>
        <v>#VALUE!</v>
      </c>
      <c r="L1253" s="139" t="e">
        <f>INDEX(FuncFactorTbl,MATCH($F1253,FuncFactors,0),MATCH(L$8,Functions,0))*$G1253</f>
        <v>#VALUE!</v>
      </c>
      <c r="N1253" s="108">
        <v>0.75</v>
      </c>
      <c r="O1253" s="116" t="e">
        <f>$H1253*$N1253*$M1253</f>
        <v>#VALUE!</v>
      </c>
      <c r="P1253" s="116" t="e">
        <f>$H1253*(1-$N1253)*$M1253</f>
        <v>#VALUE!</v>
      </c>
      <c r="Q1253" s="116" t="e">
        <f>$H1253*$N1253*(1-$M1253)</f>
        <v>#VALUE!</v>
      </c>
      <c r="R1253" s="116" t="e">
        <f>$H1253*(1-$N1253)*(1-$M1253)</f>
        <v>#VALUE!</v>
      </c>
      <c r="T1253" s="116">
        <v>0</v>
      </c>
      <c r="U1253" s="116">
        <v>0</v>
      </c>
      <c r="V1253" s="116">
        <v>0</v>
      </c>
      <c r="W1253" s="116">
        <v>0</v>
      </c>
      <c r="X1253" s="3"/>
      <c r="AD1253" s="117" t="e">
        <f>ROUND(SUM(-G1253,H1253:L1253),0)</f>
        <v>#VALUE!</v>
      </c>
      <c r="AE1253" s="117" t="e">
        <f>ROUND(H1253-O1253-P1253-Q1253-R1253,0)</f>
        <v>#VALUE!</v>
      </c>
      <c r="AF1253" s="117" t="e">
        <f>ROUND(I1253-T1253-U1253-V1253-W1253,0)</f>
        <v>#VALUE!</v>
      </c>
      <c r="AG1253" s="117" t="e">
        <f>ROUND(J1253-Y1253-Z1253-AA1253-AC1253-AB1253,0)</f>
        <v>#VALUE!</v>
      </c>
      <c r="AH1253" s="116"/>
      <c r="AI1253">
        <f t="shared" si="713"/>
        <v>323</v>
      </c>
      <c r="AJ1253" t="str">
        <f t="shared" si="727"/>
        <v>SG</v>
      </c>
      <c r="AK1253" t="str">
        <f>IF(ISERROR(MATCH(AI1253&amp;"."&amp;AJ1253,AK$91:AK1252,0)),AI1253&amp;"."&amp;AJ1253,AI1253&amp;"."&amp;AJ1253&amp;COUNTIFS(AI$91:AI1252,AI1253,AJ$91:AJ1252,AJ1253))</f>
        <v>323.SG</v>
      </c>
    </row>
    <row r="1254" spans="1:37" ht="15" hidden="1">
      <c r="A1254" s="120">
        <f>ROW()</f>
        <v>1254</v>
      </c>
      <c r="B1254" s="120"/>
      <c r="C1254" s="1"/>
      <c r="E1254" s="121"/>
      <c r="F1254" s="138"/>
      <c r="G1254" s="117" t="e">
        <f t="shared" ref="G1254:L1254" si="730">SUM(G1253)</f>
        <v>#VALUE!</v>
      </c>
      <c r="H1254" s="116" t="e">
        <f t="shared" si="730"/>
        <v>#VALUE!</v>
      </c>
      <c r="I1254" s="116" t="e">
        <f t="shared" si="730"/>
        <v>#VALUE!</v>
      </c>
      <c r="J1254" s="116" t="e">
        <f t="shared" si="730"/>
        <v>#VALUE!</v>
      </c>
      <c r="K1254" s="116" t="e">
        <f t="shared" si="730"/>
        <v>#VALUE!</v>
      </c>
      <c r="L1254" s="116" t="e">
        <f t="shared" si="730"/>
        <v>#VALUE!</v>
      </c>
      <c r="O1254" s="116" t="e">
        <f>SUM(O1253)</f>
        <v>#VALUE!</v>
      </c>
      <c r="P1254" s="116" t="e">
        <f>SUM(P1253)</f>
        <v>#VALUE!</v>
      </c>
      <c r="Q1254" s="116" t="e">
        <f>SUM(Q1253)</f>
        <v>#VALUE!</v>
      </c>
      <c r="R1254" s="116" t="e">
        <f>SUM(R1253)</f>
        <v>#VALUE!</v>
      </c>
      <c r="T1254" s="116">
        <f>SUM(T1253)</f>
        <v>0</v>
      </c>
      <c r="U1254" s="116">
        <f>SUM(U1253)</f>
        <v>0</v>
      </c>
      <c r="V1254" s="116">
        <f>SUM(V1253)</f>
        <v>0</v>
      </c>
      <c r="W1254" s="116">
        <f>SUM(W1253)</f>
        <v>0</v>
      </c>
      <c r="X1254" s="3"/>
      <c r="Y1254" s="116">
        <f>SUM(Y1253)</f>
        <v>0</v>
      </c>
      <c r="Z1254" s="116">
        <f>SUM(Z1253)</f>
        <v>0</v>
      </c>
      <c r="AA1254" s="116">
        <f>SUM(AA1253)</f>
        <v>0</v>
      </c>
      <c r="AB1254" s="116">
        <f>SUM(AB1253)</f>
        <v>0</v>
      </c>
      <c r="AC1254" s="116">
        <f>SUM(AC1253)</f>
        <v>0</v>
      </c>
      <c r="AD1254" s="117" t="e">
        <f>ROUND(SUM(-G1254,H1254:L1254),0)</f>
        <v>#VALUE!</v>
      </c>
      <c r="AE1254" s="117" t="e">
        <f>ROUND(H1254-O1254-P1254-Q1254-R1254,0)</f>
        <v>#VALUE!</v>
      </c>
      <c r="AF1254" s="117" t="e">
        <f>ROUND(I1254-T1254-U1254-V1254-W1254,0)</f>
        <v>#VALUE!</v>
      </c>
      <c r="AG1254" s="117" t="e">
        <f>ROUND(J1254-Y1254-Z1254-AA1254-AC1254-AB1254,0)</f>
        <v>#VALUE!</v>
      </c>
      <c r="AH1254" s="116"/>
      <c r="AI1254">
        <f t="shared" si="713"/>
        <v>323</v>
      </c>
      <c r="AJ1254" t="str">
        <f t="shared" si="727"/>
        <v>NA</v>
      </c>
      <c r="AK1254" t="str">
        <f>IF(ISERROR(MATCH(AI1254&amp;"."&amp;AJ1254,AK$91:AK1253,0)),AI1254&amp;"."&amp;AJ1254,AI1254&amp;"."&amp;AJ1254&amp;COUNTIFS(AI$91:AI1253,AI1254,AJ$91:AJ1253,AJ1254))</f>
        <v>323.NA1</v>
      </c>
    </row>
    <row r="1255" spans="1:37" ht="15" hidden="1">
      <c r="A1255" s="120">
        <f>ROW()</f>
        <v>1255</v>
      </c>
      <c r="B1255" s="120"/>
      <c r="C1255" s="1"/>
      <c r="E1255" s="121"/>
      <c r="F1255" s="138"/>
      <c r="G1255" s="119"/>
      <c r="X1255" s="3"/>
      <c r="AD1255" s="119"/>
      <c r="AE1255" s="119"/>
      <c r="AF1255" s="119"/>
      <c r="AG1255" s="119"/>
      <c r="AI1255">
        <f t="shared" si="713"/>
        <v>323</v>
      </c>
      <c r="AJ1255" t="str">
        <f t="shared" si="727"/>
        <v>NA</v>
      </c>
      <c r="AK1255" t="str">
        <f>IF(ISERROR(MATCH(AI1255&amp;"."&amp;AJ1255,AK$91:AK1254,0)),AI1255&amp;"."&amp;AJ1255,AI1255&amp;"."&amp;AJ1255&amp;COUNTIFS(AI$91:AI1254,AI1255,AJ$91:AJ1254,AJ1255))</f>
        <v>323.NA2</v>
      </c>
    </row>
    <row r="1256" spans="1:37" ht="15" hidden="1">
      <c r="A1256" s="120">
        <f>ROW()</f>
        <v>1256</v>
      </c>
      <c r="B1256" s="120"/>
      <c r="C1256" s="1">
        <v>324</v>
      </c>
      <c r="D1256" s="2" t="s">
        <v>500</v>
      </c>
      <c r="E1256" s="121"/>
      <c r="F1256" s="138"/>
      <c r="G1256" s="119"/>
      <c r="X1256" s="3"/>
      <c r="AD1256" s="119"/>
      <c r="AE1256" s="119"/>
      <c r="AF1256" s="119"/>
      <c r="AG1256" s="119"/>
      <c r="AI1256">
        <f t="shared" si="713"/>
        <v>324</v>
      </c>
      <c r="AJ1256" t="str">
        <f t="shared" si="727"/>
        <v>NA</v>
      </c>
      <c r="AK1256" t="str">
        <f>IF(ISERROR(MATCH(AI1256&amp;"."&amp;AJ1256,AK$91:AK1255,0)),AI1256&amp;"."&amp;AJ1256,AI1256&amp;"."&amp;AJ1256&amp;COUNTIFS(AI$91:AI1255,AI1256,AJ$91:AJ1255,AJ1256))</f>
        <v>324.NA</v>
      </c>
    </row>
    <row r="1257" spans="1:37" ht="15" hidden="1">
      <c r="A1257" s="120">
        <f>ROW()</f>
        <v>1257</v>
      </c>
      <c r="B1257" s="120"/>
      <c r="C1257" s="1"/>
      <c r="E1257" s="121" t="s">
        <v>15</v>
      </c>
      <c r="F1257" s="138" t="str">
        <f>INDEX(FuncAllocOptions,ROW(A1257)-ROW($A$92)+1,[4]Inputs!$S$11)</f>
        <v>P</v>
      </c>
      <c r="G1257" s="133" t="e">
        <f>SUMIF(FERCJAMFactor,AK1257,JAMValue)</f>
        <v>#VALUE!</v>
      </c>
      <c r="H1257" s="139" t="e">
        <f>INDEX(FuncFactorTbl,MATCH($F1257,FuncFactors,0),MATCH(H$8,Functions,0))*$G1257</f>
        <v>#VALUE!</v>
      </c>
      <c r="I1257" s="139" t="e">
        <f>INDEX(FuncFactorTbl,MATCH($F1257,FuncFactors,0),MATCH(I$8,Functions,0))*$G1257</f>
        <v>#VALUE!</v>
      </c>
      <c r="J1257" s="139" t="e">
        <f>INDEX(FuncFactorTbl,MATCH($F1257,FuncFactors,0),MATCH(J$8,Functions,0))*$G1257</f>
        <v>#VALUE!</v>
      </c>
      <c r="K1257" s="139" t="e">
        <f>INDEX(FuncFactorTbl,MATCH($F1257,FuncFactors,0),MATCH(K$8,Functions,0))*$G1257</f>
        <v>#VALUE!</v>
      </c>
      <c r="L1257" s="139" t="e">
        <f>INDEX(FuncFactorTbl,MATCH($F1257,FuncFactors,0),MATCH(L$8,Functions,0))*$G1257</f>
        <v>#VALUE!</v>
      </c>
      <c r="N1257" s="108">
        <v>0.75</v>
      </c>
      <c r="O1257" s="116" t="e">
        <f>$H1257*$N1257*$M1257</f>
        <v>#VALUE!</v>
      </c>
      <c r="P1257" s="116" t="e">
        <f>$H1257*(1-$N1257)*$M1257</f>
        <v>#VALUE!</v>
      </c>
      <c r="Q1257" s="116" t="e">
        <f>$H1257*$N1257*(1-$M1257)</f>
        <v>#VALUE!</v>
      </c>
      <c r="R1257" s="116" t="e">
        <f>$H1257*(1-$N1257)*(1-$M1257)</f>
        <v>#VALUE!</v>
      </c>
      <c r="T1257" s="116">
        <v>0</v>
      </c>
      <c r="U1257" s="116">
        <v>0</v>
      </c>
      <c r="V1257" s="116">
        <v>0</v>
      </c>
      <c r="W1257" s="116">
        <v>0</v>
      </c>
      <c r="X1257" s="3"/>
      <c r="AD1257" s="117" t="e">
        <f>ROUND(SUM(-G1257,H1257:L1257),0)</f>
        <v>#VALUE!</v>
      </c>
      <c r="AE1257" s="117" t="e">
        <f>ROUND(H1257-O1257-P1257-Q1257-R1257,0)</f>
        <v>#VALUE!</v>
      </c>
      <c r="AF1257" s="117" t="e">
        <f>ROUND(I1257-T1257-U1257-V1257-W1257,0)</f>
        <v>#VALUE!</v>
      </c>
      <c r="AG1257" s="117" t="e">
        <f>ROUND(J1257-Y1257-Z1257-AA1257-AC1257-AB1257,0)</f>
        <v>#VALUE!</v>
      </c>
      <c r="AH1257" s="116"/>
      <c r="AI1257">
        <f t="shared" si="713"/>
        <v>324</v>
      </c>
      <c r="AJ1257" t="str">
        <f t="shared" si="727"/>
        <v>SG</v>
      </c>
      <c r="AK1257" t="str">
        <f>IF(ISERROR(MATCH(AI1257&amp;"."&amp;AJ1257,AK$91:AK1256,0)),AI1257&amp;"."&amp;AJ1257,AI1257&amp;"."&amp;AJ1257&amp;COUNTIFS(AI$91:AI1256,AI1257,AJ$91:AJ1256,AJ1257))</f>
        <v>324.SG</v>
      </c>
    </row>
    <row r="1258" spans="1:37" ht="15" hidden="1">
      <c r="A1258" s="120">
        <f>ROW()</f>
        <v>1258</v>
      </c>
      <c r="B1258" s="120"/>
      <c r="C1258" s="1"/>
      <c r="E1258" s="121"/>
      <c r="F1258" s="138"/>
      <c r="G1258" s="117" t="e">
        <f t="shared" ref="G1258:L1258" si="731">SUM(G1257)</f>
        <v>#VALUE!</v>
      </c>
      <c r="H1258" s="116" t="e">
        <f t="shared" si="731"/>
        <v>#VALUE!</v>
      </c>
      <c r="I1258" s="116" t="e">
        <f t="shared" si="731"/>
        <v>#VALUE!</v>
      </c>
      <c r="J1258" s="116" t="e">
        <f t="shared" si="731"/>
        <v>#VALUE!</v>
      </c>
      <c r="K1258" s="116" t="e">
        <f t="shared" si="731"/>
        <v>#VALUE!</v>
      </c>
      <c r="L1258" s="116" t="e">
        <f t="shared" si="731"/>
        <v>#VALUE!</v>
      </c>
      <c r="O1258" s="116" t="e">
        <f>SUM(O1257)</f>
        <v>#VALUE!</v>
      </c>
      <c r="P1258" s="116" t="e">
        <f>SUM(P1257)</f>
        <v>#VALUE!</v>
      </c>
      <c r="Q1258" s="116" t="e">
        <f>SUM(Q1257)</f>
        <v>#VALUE!</v>
      </c>
      <c r="R1258" s="116" t="e">
        <f>SUM(R1257)</f>
        <v>#VALUE!</v>
      </c>
      <c r="T1258" s="116">
        <f>SUM(T1257)</f>
        <v>0</v>
      </c>
      <c r="U1258" s="116">
        <f>SUM(U1257)</f>
        <v>0</v>
      </c>
      <c r="V1258" s="116">
        <f>SUM(V1257)</f>
        <v>0</v>
      </c>
      <c r="W1258" s="116">
        <f>SUM(W1257)</f>
        <v>0</v>
      </c>
      <c r="X1258" s="3"/>
      <c r="Y1258" s="116">
        <f>SUM(Y1257)</f>
        <v>0</v>
      </c>
      <c r="Z1258" s="116">
        <f>SUM(Z1257)</f>
        <v>0</v>
      </c>
      <c r="AA1258" s="116">
        <f>SUM(AA1257)</f>
        <v>0</v>
      </c>
      <c r="AB1258" s="116">
        <f>SUM(AB1257)</f>
        <v>0</v>
      </c>
      <c r="AC1258" s="116">
        <f>SUM(AC1257)</f>
        <v>0</v>
      </c>
      <c r="AD1258" s="117" t="e">
        <f>ROUND(SUM(-G1258,H1258:L1258),0)</f>
        <v>#VALUE!</v>
      </c>
      <c r="AE1258" s="117" t="e">
        <f>ROUND(H1258-O1258-P1258-Q1258-R1258,0)</f>
        <v>#VALUE!</v>
      </c>
      <c r="AF1258" s="117" t="e">
        <f>ROUND(I1258-T1258-U1258-V1258-W1258,0)</f>
        <v>#VALUE!</v>
      </c>
      <c r="AG1258" s="117" t="e">
        <f>ROUND(J1258-Y1258-Z1258-AA1258-AC1258-AB1258,0)</f>
        <v>#VALUE!</v>
      </c>
      <c r="AH1258" s="116"/>
      <c r="AI1258">
        <f t="shared" si="713"/>
        <v>324</v>
      </c>
      <c r="AJ1258" t="str">
        <f t="shared" si="727"/>
        <v>NA</v>
      </c>
      <c r="AK1258" t="str">
        <f>IF(ISERROR(MATCH(AI1258&amp;"."&amp;AJ1258,AK$91:AK1257,0)),AI1258&amp;"."&amp;AJ1258,AI1258&amp;"."&amp;AJ1258&amp;COUNTIFS(AI$91:AI1257,AI1258,AJ$91:AJ1257,AJ1258))</f>
        <v>324.NA1</v>
      </c>
    </row>
    <row r="1259" spans="1:37" ht="15" hidden="1">
      <c r="A1259" s="120">
        <f>ROW()</f>
        <v>1259</v>
      </c>
      <c r="B1259" s="120"/>
      <c r="C1259" s="1"/>
      <c r="E1259" s="121"/>
      <c r="F1259" s="138"/>
      <c r="G1259" s="119"/>
      <c r="X1259" s="3"/>
      <c r="AD1259" s="119"/>
      <c r="AE1259" s="119"/>
      <c r="AF1259" s="119"/>
      <c r="AG1259" s="119"/>
      <c r="AI1259">
        <f t="shared" si="713"/>
        <v>324</v>
      </c>
      <c r="AJ1259" t="str">
        <f t="shared" si="727"/>
        <v>NA</v>
      </c>
      <c r="AK1259" t="str">
        <f>IF(ISERROR(MATCH(AI1259&amp;"."&amp;AJ1259,AK$91:AK1258,0)),AI1259&amp;"."&amp;AJ1259,AI1259&amp;"."&amp;AJ1259&amp;COUNTIFS(AI$91:AI1258,AI1259,AJ$91:AJ1258,AJ1259))</f>
        <v>324.NA2</v>
      </c>
    </row>
    <row r="1260" spans="1:37" ht="15" hidden="1">
      <c r="A1260" s="120">
        <f>ROW()</f>
        <v>1260</v>
      </c>
      <c r="B1260" s="120"/>
      <c r="C1260" s="1">
        <v>325</v>
      </c>
      <c r="D1260" s="2" t="s">
        <v>513</v>
      </c>
      <c r="E1260" s="121"/>
      <c r="F1260" s="138"/>
      <c r="G1260" s="119"/>
      <c r="X1260" s="3"/>
      <c r="AD1260" s="119"/>
      <c r="AE1260" s="119"/>
      <c r="AF1260" s="119"/>
      <c r="AG1260" s="119"/>
      <c r="AI1260">
        <f t="shared" ref="AI1260:AI1323" si="732">IF(OR(C1260="",C1260=" ",C1260="  ",C1260="   "),AI1259,C1260)</f>
        <v>325</v>
      </c>
      <c r="AJ1260" t="str">
        <f t="shared" si="727"/>
        <v>NA</v>
      </c>
      <c r="AK1260" t="str">
        <f>IF(ISERROR(MATCH(AI1260&amp;"."&amp;AJ1260,AK$91:AK1259,0)),AI1260&amp;"."&amp;AJ1260,AI1260&amp;"."&amp;AJ1260&amp;COUNTIFS(AI$91:AI1259,AI1260,AJ$91:AJ1259,AJ1260))</f>
        <v>325.NA</v>
      </c>
    </row>
    <row r="1261" spans="1:37" ht="15" hidden="1">
      <c r="A1261" s="120">
        <f>ROW()</f>
        <v>1261</v>
      </c>
      <c r="B1261" s="120"/>
      <c r="C1261" s="1"/>
      <c r="E1261" s="121" t="s">
        <v>15</v>
      </c>
      <c r="F1261" s="138" t="str">
        <f>INDEX(FuncAllocOptions,ROW(A1261)-ROW($A$92)+1,[4]Inputs!$S$11)</f>
        <v>P</v>
      </c>
      <c r="G1261" s="133" t="e">
        <f>SUMIF(FERCJAMFactor,AK1261,JAMValue)</f>
        <v>#VALUE!</v>
      </c>
      <c r="H1261" s="139" t="e">
        <f>INDEX(FuncFactorTbl,MATCH($F1261,FuncFactors,0),MATCH(H$8,Functions,0))*$G1261</f>
        <v>#VALUE!</v>
      </c>
      <c r="I1261" s="139" t="e">
        <f>INDEX(FuncFactorTbl,MATCH($F1261,FuncFactors,0),MATCH(I$8,Functions,0))*$G1261</f>
        <v>#VALUE!</v>
      </c>
      <c r="J1261" s="139" t="e">
        <f>INDEX(FuncFactorTbl,MATCH($F1261,FuncFactors,0),MATCH(J$8,Functions,0))*$G1261</f>
        <v>#VALUE!</v>
      </c>
      <c r="K1261" s="139" t="e">
        <f>INDEX(FuncFactorTbl,MATCH($F1261,FuncFactors,0),MATCH(K$8,Functions,0))*$G1261</f>
        <v>#VALUE!</v>
      </c>
      <c r="L1261" s="139" t="e">
        <f>INDEX(FuncFactorTbl,MATCH($F1261,FuncFactors,0),MATCH(L$8,Functions,0))*$G1261</f>
        <v>#VALUE!</v>
      </c>
      <c r="N1261" s="108">
        <v>0.75</v>
      </c>
      <c r="O1261" s="116" t="e">
        <f>$H1261*$N1261*$M1261</f>
        <v>#VALUE!</v>
      </c>
      <c r="P1261" s="116" t="e">
        <f>$H1261*(1-$N1261)*$M1261</f>
        <v>#VALUE!</v>
      </c>
      <c r="Q1261" s="116" t="e">
        <f>$H1261*$N1261*(1-$M1261)</f>
        <v>#VALUE!</v>
      </c>
      <c r="R1261" s="116" t="e">
        <f>$H1261*(1-$N1261)*(1-$M1261)</f>
        <v>#VALUE!</v>
      </c>
      <c r="T1261" s="116">
        <v>0</v>
      </c>
      <c r="U1261" s="116">
        <v>0</v>
      </c>
      <c r="V1261" s="116">
        <v>0</v>
      </c>
      <c r="W1261" s="116">
        <v>0</v>
      </c>
      <c r="X1261" s="3"/>
      <c r="AD1261" s="117" t="e">
        <f>ROUND(SUM(-G1261,H1261:L1261),0)</f>
        <v>#VALUE!</v>
      </c>
      <c r="AE1261" s="117" t="e">
        <f>ROUND(H1261-O1261-P1261-Q1261-R1261,0)</f>
        <v>#VALUE!</v>
      </c>
      <c r="AF1261" s="117" t="e">
        <f>ROUND(I1261-T1261-U1261-V1261-W1261,0)</f>
        <v>#VALUE!</v>
      </c>
      <c r="AG1261" s="117" t="e">
        <f>ROUND(J1261-Y1261-Z1261-AA1261-AC1261-AB1261,0)</f>
        <v>#VALUE!</v>
      </c>
      <c r="AH1261" s="116"/>
      <c r="AI1261">
        <f t="shared" si="732"/>
        <v>325</v>
      </c>
      <c r="AJ1261" t="str">
        <f t="shared" si="727"/>
        <v>SG</v>
      </c>
      <c r="AK1261" t="str">
        <f>IF(ISERROR(MATCH(AI1261&amp;"."&amp;AJ1261,AK$91:AK1260,0)),AI1261&amp;"."&amp;AJ1261,AI1261&amp;"."&amp;AJ1261&amp;COUNTIFS(AI$91:AI1260,AI1261,AJ$91:AJ1260,AJ1261))</f>
        <v>325.SG</v>
      </c>
    </row>
    <row r="1262" spans="1:37" ht="15" hidden="1">
      <c r="A1262" s="120">
        <f>ROW()</f>
        <v>1262</v>
      </c>
      <c r="B1262" s="120"/>
      <c r="C1262" s="1"/>
      <c r="E1262" s="121"/>
      <c r="F1262" s="138"/>
      <c r="G1262" s="117" t="e">
        <f t="shared" ref="G1262:L1262" si="733">SUM(G1261)</f>
        <v>#VALUE!</v>
      </c>
      <c r="H1262" s="116" t="e">
        <f t="shared" si="733"/>
        <v>#VALUE!</v>
      </c>
      <c r="I1262" s="116" t="e">
        <f t="shared" si="733"/>
        <v>#VALUE!</v>
      </c>
      <c r="J1262" s="116" t="e">
        <f t="shared" si="733"/>
        <v>#VALUE!</v>
      </c>
      <c r="K1262" s="116" t="e">
        <f t="shared" si="733"/>
        <v>#VALUE!</v>
      </c>
      <c r="L1262" s="116" t="e">
        <f t="shared" si="733"/>
        <v>#VALUE!</v>
      </c>
      <c r="O1262" s="116" t="e">
        <f>SUM(O1261)</f>
        <v>#VALUE!</v>
      </c>
      <c r="P1262" s="116" t="e">
        <f>SUM(P1261)</f>
        <v>#VALUE!</v>
      </c>
      <c r="Q1262" s="116" t="e">
        <f>SUM(Q1261)</f>
        <v>#VALUE!</v>
      </c>
      <c r="R1262" s="116" t="e">
        <f>SUM(R1261)</f>
        <v>#VALUE!</v>
      </c>
      <c r="T1262" s="116">
        <f>SUM(T1261)</f>
        <v>0</v>
      </c>
      <c r="U1262" s="116">
        <f>SUM(U1261)</f>
        <v>0</v>
      </c>
      <c r="V1262" s="116">
        <f>SUM(V1261)</f>
        <v>0</v>
      </c>
      <c r="W1262" s="116">
        <f>SUM(W1261)</f>
        <v>0</v>
      </c>
      <c r="X1262" s="3"/>
      <c r="Y1262" s="116">
        <f>SUM(Y1261)</f>
        <v>0</v>
      </c>
      <c r="Z1262" s="116">
        <f>SUM(Z1261)</f>
        <v>0</v>
      </c>
      <c r="AA1262" s="116">
        <f>SUM(AA1261)</f>
        <v>0</v>
      </c>
      <c r="AB1262" s="116">
        <f>SUM(AB1261)</f>
        <v>0</v>
      </c>
      <c r="AC1262" s="116">
        <f>SUM(AC1261)</f>
        <v>0</v>
      </c>
      <c r="AD1262" s="117" t="e">
        <f>ROUND(SUM(-G1262,H1262:L1262),0)</f>
        <v>#VALUE!</v>
      </c>
      <c r="AE1262" s="117" t="e">
        <f>ROUND(H1262-O1262-P1262-Q1262-R1262,0)</f>
        <v>#VALUE!</v>
      </c>
      <c r="AF1262" s="117" t="e">
        <f>ROUND(I1262-T1262-U1262-V1262-W1262,0)</f>
        <v>#VALUE!</v>
      </c>
      <c r="AG1262" s="117" t="e">
        <f>ROUND(J1262-Y1262-Z1262-AA1262-AC1262-AB1262,0)</f>
        <v>#VALUE!</v>
      </c>
      <c r="AH1262" s="116"/>
      <c r="AI1262">
        <f t="shared" si="732"/>
        <v>325</v>
      </c>
      <c r="AJ1262" t="str">
        <f t="shared" si="727"/>
        <v>NA</v>
      </c>
      <c r="AK1262" t="str">
        <f>IF(ISERROR(MATCH(AI1262&amp;"."&amp;AJ1262,AK$91:AK1261,0)),AI1262&amp;"."&amp;AJ1262,AI1262&amp;"."&amp;AJ1262&amp;COUNTIFS(AI$91:AI1261,AI1262,AJ$91:AJ1261,AJ1262))</f>
        <v>325.NA1</v>
      </c>
    </row>
    <row r="1263" spans="1:37" ht="15" hidden="1">
      <c r="A1263" s="120">
        <f>ROW()</f>
        <v>1263</v>
      </c>
      <c r="B1263" s="120"/>
      <c r="C1263" s="1"/>
      <c r="E1263" s="121"/>
      <c r="F1263" s="138"/>
      <c r="G1263" s="119"/>
      <c r="X1263" s="3"/>
      <c r="AD1263" s="119"/>
      <c r="AE1263" s="119"/>
      <c r="AF1263" s="119"/>
      <c r="AG1263" s="119"/>
      <c r="AI1263">
        <f t="shared" si="732"/>
        <v>325</v>
      </c>
      <c r="AJ1263" t="str">
        <f t="shared" si="727"/>
        <v>NA</v>
      </c>
      <c r="AK1263" t="str">
        <f>IF(ISERROR(MATCH(AI1263&amp;"."&amp;AJ1263,AK$91:AK1262,0)),AI1263&amp;"."&amp;AJ1263,AI1263&amp;"."&amp;AJ1263&amp;COUNTIFS(AI$91:AI1262,AI1263,AJ$91:AJ1262,AJ1263))</f>
        <v>325.NA2</v>
      </c>
    </row>
    <row r="1264" spans="1:37" ht="15" hidden="1">
      <c r="A1264" s="120">
        <f>ROW()</f>
        <v>1264</v>
      </c>
      <c r="B1264" s="120"/>
      <c r="C1264" s="1"/>
      <c r="E1264" s="121"/>
      <c r="F1264" s="138"/>
      <c r="G1264" s="119"/>
      <c r="X1264" s="3"/>
      <c r="AD1264" s="119"/>
      <c r="AE1264" s="119"/>
      <c r="AF1264" s="119"/>
      <c r="AG1264" s="119"/>
      <c r="AI1264">
        <f t="shared" si="732"/>
        <v>325</v>
      </c>
      <c r="AJ1264" t="str">
        <f t="shared" si="727"/>
        <v>NA</v>
      </c>
      <c r="AK1264" t="str">
        <f>IF(ISERROR(MATCH(AI1264&amp;"."&amp;AJ1264,AK$91:AK1263,0)),AI1264&amp;"."&amp;AJ1264,AI1264&amp;"."&amp;AJ1264&amp;COUNTIFS(AI$91:AI1263,AI1264,AJ$91:AJ1263,AJ1264))</f>
        <v>325.NA3</v>
      </c>
    </row>
    <row r="1265" spans="1:37" ht="15" hidden="1">
      <c r="A1265" s="120">
        <f>ROW()</f>
        <v>1265</v>
      </c>
      <c r="B1265" s="120"/>
      <c r="C1265" s="1" t="s">
        <v>742</v>
      </c>
      <c r="D1265" s="2" t="s">
        <v>514</v>
      </c>
      <c r="E1265" s="121"/>
      <c r="F1265" s="138"/>
      <c r="G1265" s="119"/>
      <c r="X1265" s="3"/>
      <c r="AD1265" s="119"/>
      <c r="AE1265" s="119"/>
      <c r="AF1265" s="119"/>
      <c r="AG1265" s="119"/>
      <c r="AI1265" t="str">
        <f t="shared" si="732"/>
        <v>N00</v>
      </c>
      <c r="AJ1265" t="str">
        <f t="shared" si="727"/>
        <v>NA</v>
      </c>
      <c r="AK1265" t="str">
        <f>IF(ISERROR(MATCH(AI1265&amp;"."&amp;AJ1265,AK$91:AK1264,0)),AI1265&amp;"."&amp;AJ1265,AI1265&amp;"."&amp;AJ1265&amp;COUNTIFS(AI$91:AI1264,AI1265,AJ$91:AJ1264,AJ1265))</f>
        <v>N00.NA</v>
      </c>
    </row>
    <row r="1266" spans="1:37" ht="15" hidden="1">
      <c r="A1266" s="120">
        <f>ROW()</f>
        <v>1266</v>
      </c>
      <c r="B1266" s="120"/>
      <c r="E1266" s="121" t="s">
        <v>15</v>
      </c>
      <c r="F1266" s="138" t="str">
        <f>INDEX(FuncAllocOptions,ROW(A1266)-ROW($A$92)+1,[4]Inputs!$S$11)</f>
        <v>P</v>
      </c>
      <c r="G1266" s="133" t="e">
        <f>SUMIF(FERCJAMFactor,AK1266,JAMValue)</f>
        <v>#VALUE!</v>
      </c>
      <c r="H1266" s="139" t="e">
        <f>INDEX(FuncFactorTbl,MATCH($F1266,FuncFactors,0),MATCH(H$8,Functions,0))*$G1266</f>
        <v>#VALUE!</v>
      </c>
      <c r="I1266" s="139" t="e">
        <f>INDEX(FuncFactorTbl,MATCH($F1266,FuncFactors,0),MATCH(I$8,Functions,0))*$G1266</f>
        <v>#VALUE!</v>
      </c>
      <c r="J1266" s="139" t="e">
        <f>INDEX(FuncFactorTbl,MATCH($F1266,FuncFactors,0),MATCH(J$8,Functions,0))*$G1266</f>
        <v>#VALUE!</v>
      </c>
      <c r="K1266" s="139" t="e">
        <f>INDEX(FuncFactorTbl,MATCH($F1266,FuncFactors,0),MATCH(K$8,Functions,0))*$G1266</f>
        <v>#VALUE!</v>
      </c>
      <c r="L1266" s="139" t="e">
        <f>INDEX(FuncFactorTbl,MATCH($F1266,FuncFactors,0),MATCH(L$8,Functions,0))*$G1266</f>
        <v>#VALUE!</v>
      </c>
      <c r="N1266" s="108">
        <v>0.75</v>
      </c>
      <c r="O1266" s="116" t="e">
        <f>$H1266*$N1266*$M1266</f>
        <v>#VALUE!</v>
      </c>
      <c r="P1266" s="116" t="e">
        <f>$H1266*(1-$N1266)*$M1266</f>
        <v>#VALUE!</v>
      </c>
      <c r="Q1266" s="116" t="e">
        <f>$H1266*$N1266*(1-$M1266)</f>
        <v>#VALUE!</v>
      </c>
      <c r="R1266" s="116" t="e">
        <f>$H1266*(1-$N1266)*(1-$M1266)</f>
        <v>#VALUE!</v>
      </c>
      <c r="T1266" s="116">
        <v>0</v>
      </c>
      <c r="U1266" s="116">
        <v>0</v>
      </c>
      <c r="V1266" s="116">
        <v>0</v>
      </c>
      <c r="W1266" s="116">
        <v>0</v>
      </c>
      <c r="X1266" s="3"/>
      <c r="AD1266" s="117" t="e">
        <f>ROUND(SUM(-G1266,H1266:L1266),0)</f>
        <v>#VALUE!</v>
      </c>
      <c r="AE1266" s="117" t="e">
        <f>ROUND(H1266-O1266-P1266-Q1266-R1266,0)</f>
        <v>#VALUE!</v>
      </c>
      <c r="AF1266" s="117" t="e">
        <f>ROUND(I1266-T1266-U1266-V1266-W1266,0)</f>
        <v>#VALUE!</v>
      </c>
      <c r="AG1266" s="117" t="e">
        <f>ROUND(J1266-Y1266-Z1266-AA1266-AC1266-AB1266,0)</f>
        <v>#VALUE!</v>
      </c>
      <c r="AH1266" s="116"/>
      <c r="AI1266" t="str">
        <f t="shared" si="732"/>
        <v>N00</v>
      </c>
      <c r="AJ1266" t="str">
        <f t="shared" si="727"/>
        <v>SG</v>
      </c>
      <c r="AK1266" t="str">
        <f>IF(ISERROR(MATCH(AI1266&amp;"."&amp;AJ1266,AK$91:AK1265,0)),AI1266&amp;"."&amp;AJ1266,AI1266&amp;"."&amp;AJ1266&amp;COUNTIFS(AI$91:AI1265,AI1266,AJ$91:AJ1265,AJ1266))</f>
        <v>N00.SG</v>
      </c>
    </row>
    <row r="1267" spans="1:37" ht="15" hidden="1">
      <c r="A1267" s="120">
        <f>ROW()</f>
        <v>1267</v>
      </c>
      <c r="B1267" s="120"/>
      <c r="E1267" s="121"/>
      <c r="F1267" s="138"/>
      <c r="G1267" s="117" t="e">
        <f t="shared" ref="G1267:L1267" si="734">SUM(G1266)</f>
        <v>#VALUE!</v>
      </c>
      <c r="H1267" s="116" t="e">
        <f t="shared" si="734"/>
        <v>#VALUE!</v>
      </c>
      <c r="I1267" s="116" t="e">
        <f t="shared" si="734"/>
        <v>#VALUE!</v>
      </c>
      <c r="J1267" s="116" t="e">
        <f t="shared" si="734"/>
        <v>#VALUE!</v>
      </c>
      <c r="K1267" s="116" t="e">
        <f t="shared" si="734"/>
        <v>#VALUE!</v>
      </c>
      <c r="L1267" s="116" t="e">
        <f t="shared" si="734"/>
        <v>#VALUE!</v>
      </c>
      <c r="O1267" s="116" t="e">
        <f>SUM(O1266)</f>
        <v>#VALUE!</v>
      </c>
      <c r="P1267" s="116" t="e">
        <f>SUM(P1266)</f>
        <v>#VALUE!</v>
      </c>
      <c r="Q1267" s="116" t="e">
        <f>SUM(Q1266)</f>
        <v>#VALUE!</v>
      </c>
      <c r="R1267" s="116" t="e">
        <f>SUM(R1266)</f>
        <v>#VALUE!</v>
      </c>
      <c r="T1267" s="116">
        <f>SUM(T1266)</f>
        <v>0</v>
      </c>
      <c r="U1267" s="116">
        <f>SUM(U1266)</f>
        <v>0</v>
      </c>
      <c r="V1267" s="116">
        <f>SUM(V1266)</f>
        <v>0</v>
      </c>
      <c r="W1267" s="116">
        <f>SUM(W1266)</f>
        <v>0</v>
      </c>
      <c r="X1267" s="3"/>
      <c r="Y1267" s="116">
        <f>SUM(Y1266)</f>
        <v>0</v>
      </c>
      <c r="Z1267" s="116">
        <f>SUM(Z1266)</f>
        <v>0</v>
      </c>
      <c r="AA1267" s="116">
        <f>SUM(AA1266)</f>
        <v>0</v>
      </c>
      <c r="AB1267" s="116">
        <f>SUM(AB1266)</f>
        <v>0</v>
      </c>
      <c r="AC1267" s="116">
        <f>SUM(AC1266)</f>
        <v>0</v>
      </c>
      <c r="AD1267" s="117" t="e">
        <f>ROUND(SUM(-G1267,H1267:L1267),0)</f>
        <v>#VALUE!</v>
      </c>
      <c r="AE1267" s="117" t="e">
        <f>ROUND(H1267-O1267-P1267-Q1267-R1267,0)</f>
        <v>#VALUE!</v>
      </c>
      <c r="AF1267" s="117" t="e">
        <f>ROUND(I1267-T1267-U1267-V1267-W1267,0)</f>
        <v>#VALUE!</v>
      </c>
      <c r="AG1267" s="117" t="e">
        <f>ROUND(J1267-Y1267-Z1267-AA1267-AC1267-AB1267,0)</f>
        <v>#VALUE!</v>
      </c>
      <c r="AH1267" s="116"/>
      <c r="AI1267" t="str">
        <f t="shared" si="732"/>
        <v>N00</v>
      </c>
      <c r="AJ1267" t="str">
        <f t="shared" si="727"/>
        <v>NA</v>
      </c>
      <c r="AK1267" t="str">
        <f>IF(ISERROR(MATCH(AI1267&amp;"."&amp;AJ1267,AK$91:AK1266,0)),AI1267&amp;"."&amp;AJ1267,AI1267&amp;"."&amp;AJ1267&amp;COUNTIFS(AI$91:AI1266,AI1267,AJ$91:AJ1266,AJ1267))</f>
        <v>N00.NA1</v>
      </c>
    </row>
    <row r="1268" spans="1:37" ht="15" hidden="1">
      <c r="A1268" s="120">
        <f>ROW()</f>
        <v>1268</v>
      </c>
      <c r="B1268" s="120"/>
      <c r="E1268" s="121"/>
      <c r="F1268" s="138"/>
      <c r="G1268" s="119"/>
      <c r="X1268" s="3"/>
      <c r="AD1268" s="119"/>
      <c r="AE1268" s="119"/>
      <c r="AF1268" s="119"/>
      <c r="AG1268" s="119"/>
      <c r="AI1268" t="str">
        <f t="shared" si="732"/>
        <v>N00</v>
      </c>
      <c r="AJ1268" t="str">
        <f t="shared" si="727"/>
        <v>NA</v>
      </c>
      <c r="AK1268" t="str">
        <f>IF(ISERROR(MATCH(AI1268&amp;"."&amp;AJ1268,AK$91:AK1267,0)),AI1268&amp;"."&amp;AJ1268,AI1268&amp;"."&amp;AJ1268&amp;COUNTIFS(AI$91:AI1267,AI1268,AJ$91:AJ1267,AJ1268))</f>
        <v>N00.NA2</v>
      </c>
    </row>
    <row r="1269" spans="1:37" ht="15" hidden="1">
      <c r="A1269" s="120">
        <f>ROW()</f>
        <v>1269</v>
      </c>
      <c r="B1269" s="120"/>
      <c r="E1269" s="121"/>
      <c r="F1269" s="138"/>
      <c r="G1269" s="119"/>
      <c r="X1269" s="3"/>
      <c r="AD1269" s="119"/>
      <c r="AE1269" s="119"/>
      <c r="AF1269" s="119"/>
      <c r="AG1269" s="119"/>
      <c r="AI1269" t="str">
        <f t="shared" si="732"/>
        <v>N00</v>
      </c>
      <c r="AJ1269" t="str">
        <f t="shared" si="727"/>
        <v>NA</v>
      </c>
      <c r="AK1269" t="str">
        <f>IF(ISERROR(MATCH(AI1269&amp;"."&amp;AJ1269,AK$91:AK1268,0)),AI1269&amp;"."&amp;AJ1269,AI1269&amp;"."&amp;AJ1269&amp;COUNTIFS(AI$91:AI1268,AI1269,AJ$91:AJ1268,AJ1269))</f>
        <v>N00.NA3</v>
      </c>
    </row>
    <row r="1270" spans="1:37" ht="15.75" hidden="1" thickBot="1">
      <c r="A1270" s="120">
        <f>ROW()</f>
        <v>1270</v>
      </c>
      <c r="B1270" s="120"/>
      <c r="C1270" s="110" t="s">
        <v>515</v>
      </c>
      <c r="E1270" s="121"/>
      <c r="F1270" s="138"/>
      <c r="G1270" s="153" t="e">
        <f t="shared" ref="G1270:L1270" si="735">G1242+G1246+G1250+G1254+G1258+G1262+G1267</f>
        <v>#VALUE!</v>
      </c>
      <c r="H1270" s="152" t="e">
        <f t="shared" si="735"/>
        <v>#VALUE!</v>
      </c>
      <c r="I1270" s="152" t="e">
        <f t="shared" si="735"/>
        <v>#VALUE!</v>
      </c>
      <c r="J1270" s="152" t="e">
        <f t="shared" si="735"/>
        <v>#VALUE!</v>
      </c>
      <c r="K1270" s="152" t="e">
        <f t="shared" si="735"/>
        <v>#VALUE!</v>
      </c>
      <c r="L1270" s="152" t="e">
        <f t="shared" si="735"/>
        <v>#VALUE!</v>
      </c>
      <c r="O1270" s="116" t="e">
        <f>O1242+O1246+O1250+O1254+O1258+O1262+O1267</f>
        <v>#VALUE!</v>
      </c>
      <c r="P1270" s="116" t="e">
        <f>P1242+P1246+P1250+P1254+P1258+P1262+P1267</f>
        <v>#VALUE!</v>
      </c>
      <c r="Q1270" s="116" t="e">
        <f>Q1242+Q1246+Q1250+Q1254+Q1258+Q1262+Q1267</f>
        <v>#VALUE!</v>
      </c>
      <c r="R1270" s="116" t="e">
        <f>R1242+R1246+R1250+R1254+R1258+R1262+R1267</f>
        <v>#VALUE!</v>
      </c>
      <c r="S1270" s="116"/>
      <c r="T1270" s="116">
        <f>T1242+T1246+T1250+T1254+T1258+T1262+T1267</f>
        <v>0</v>
      </c>
      <c r="U1270" s="116">
        <f>U1242+U1246+U1250+U1254+U1258+U1262+U1267</f>
        <v>0</v>
      </c>
      <c r="V1270" s="116">
        <f>V1242+V1246+V1250+V1254+V1258+V1262+V1267</f>
        <v>0</v>
      </c>
      <c r="W1270" s="116">
        <f>W1242+W1246+W1250+W1254+W1258+W1262+W1267</f>
        <v>0</v>
      </c>
      <c r="X1270" s="3"/>
      <c r="Y1270" s="116">
        <f>Y1242+Y1246+Y1250+Y1254+Y1258+Y1262+Y1267</f>
        <v>0</v>
      </c>
      <c r="Z1270" s="116">
        <f>Z1242+Z1246+Z1250+Z1254+Z1258+Z1262+Z1267</f>
        <v>0</v>
      </c>
      <c r="AA1270" s="116">
        <f>AA1242+AA1246+AA1250+AA1254+AA1258+AA1262+AA1267</f>
        <v>0</v>
      </c>
      <c r="AB1270" s="116">
        <f>AB1242+AB1246+AB1250+AB1254+AB1258+AB1262+AB1267</f>
        <v>0</v>
      </c>
      <c r="AC1270" s="116">
        <f>AC1242+AC1246+AC1250+AC1254+AC1258+AC1262+AC1267</f>
        <v>0</v>
      </c>
      <c r="AD1270" s="117" t="e">
        <f>ROUND(SUM(-G1270,H1270:L1270),0)</f>
        <v>#VALUE!</v>
      </c>
      <c r="AE1270" s="117" t="e">
        <f>ROUND(H1270-O1270-P1270-Q1270-R1270,0)</f>
        <v>#VALUE!</v>
      </c>
      <c r="AF1270" s="117" t="e">
        <f>ROUND(I1270-T1270-U1270-V1270-W1270,0)</f>
        <v>#VALUE!</v>
      </c>
      <c r="AG1270" s="117" t="e">
        <f>ROUND(J1270-Y1270-Z1270-AA1270-AC1270-AB1270,0)</f>
        <v>#VALUE!</v>
      </c>
      <c r="AH1270" s="116"/>
      <c r="AI1270" t="str">
        <f t="shared" si="732"/>
        <v>Total Nuclear Production Plant</v>
      </c>
      <c r="AJ1270" t="str">
        <f t="shared" si="727"/>
        <v>NA</v>
      </c>
      <c r="AK1270" t="str">
        <f>IF(ISERROR(MATCH(AI1270&amp;"."&amp;AJ1270,AK$91:AK1269,0)),AI1270&amp;"."&amp;AJ1270,AI1270&amp;"."&amp;AJ1270&amp;COUNTIFS(AI$91:AI1269,AI1270,AJ$91:AJ1269,AJ1270))</f>
        <v>Total Nuclear Production Plant.NA</v>
      </c>
    </row>
    <row r="1271" spans="1:37" ht="15" hidden="1">
      <c r="A1271" s="120">
        <f>ROW()</f>
        <v>1271</v>
      </c>
      <c r="B1271" s="120"/>
      <c r="E1271" s="121"/>
      <c r="F1271" s="138"/>
      <c r="G1271" s="119"/>
      <c r="X1271" s="3"/>
      <c r="AD1271" s="119"/>
      <c r="AE1271" s="119"/>
      <c r="AF1271" s="119"/>
      <c r="AG1271" s="119"/>
      <c r="AI1271" t="str">
        <f t="shared" si="732"/>
        <v>Total Nuclear Production Plant</v>
      </c>
      <c r="AJ1271" t="str">
        <f t="shared" si="727"/>
        <v>NA</v>
      </c>
      <c r="AK1271" t="str">
        <f>IF(ISERROR(MATCH(AI1271&amp;"."&amp;AJ1271,AK$91:AK1270,0)),AI1271&amp;"."&amp;AJ1271,AI1271&amp;"."&amp;AJ1271&amp;COUNTIFS(AI$91:AI1270,AI1271,AJ$91:AJ1270,AJ1271))</f>
        <v>Total Nuclear Production Plant.NA1</v>
      </c>
    </row>
    <row r="1272" spans="1:37" ht="15" hidden="1">
      <c r="A1272" s="120">
        <f>ROW()</f>
        <v>1272</v>
      </c>
      <c r="B1272" s="120"/>
      <c r="C1272" s="1">
        <v>330</v>
      </c>
      <c r="D1272" s="2" t="s">
        <v>500</v>
      </c>
      <c r="E1272" s="121"/>
      <c r="F1272" s="138"/>
      <c r="G1272" s="119"/>
      <c r="X1272" s="3"/>
      <c r="AD1272" s="119"/>
      <c r="AE1272" s="119"/>
      <c r="AF1272" s="119"/>
      <c r="AG1272" s="119"/>
      <c r="AI1272">
        <f t="shared" si="732"/>
        <v>330</v>
      </c>
      <c r="AJ1272" t="str">
        <f t="shared" si="727"/>
        <v>NA</v>
      </c>
      <c r="AK1272" t="str">
        <f>IF(ISERROR(MATCH(AI1272&amp;"."&amp;AJ1272,AK$91:AK1271,0)),AI1272&amp;"."&amp;AJ1272,AI1272&amp;"."&amp;AJ1272&amp;COUNTIFS(AI$91:AI1271,AI1272,AJ$91:AJ1271,AJ1272))</f>
        <v>330.NA</v>
      </c>
    </row>
    <row r="1273" spans="1:37" ht="15" hidden="1">
      <c r="A1273" s="120">
        <f>ROW()</f>
        <v>1273</v>
      </c>
      <c r="B1273" s="120"/>
      <c r="C1273" s="1"/>
      <c r="E1273" s="121" t="s">
        <v>15</v>
      </c>
      <c r="F1273" s="138" t="str">
        <f>INDEX(FuncAllocOptions,ROW(A1273)-ROW($A$92)+1,[4]Inputs!$S$11)</f>
        <v>P</v>
      </c>
      <c r="G1273" s="117" t="e">
        <f>SUMIF(FERCJAMFactor,AK1273,JAMValue)</f>
        <v>#VALUE!</v>
      </c>
      <c r="H1273" s="116" t="e">
        <f t="shared" ref="H1273:L1276" si="736">INDEX(FuncFactorTbl,MATCH($F1273,FuncFactors,0),MATCH(H$8,Functions,0))*$G1273</f>
        <v>#VALUE!</v>
      </c>
      <c r="I1273" s="116" t="e">
        <f t="shared" si="736"/>
        <v>#VALUE!</v>
      </c>
      <c r="J1273" s="116" t="e">
        <f t="shared" si="736"/>
        <v>#VALUE!</v>
      </c>
      <c r="K1273" s="116" t="e">
        <f t="shared" si="736"/>
        <v>#VALUE!</v>
      </c>
      <c r="L1273" s="116" t="e">
        <f t="shared" si="736"/>
        <v>#VALUE!</v>
      </c>
      <c r="N1273" s="108">
        <v>0.75</v>
      </c>
      <c r="O1273" s="116" t="e">
        <f>$H1273*$N1273*$M1273</f>
        <v>#VALUE!</v>
      </c>
      <c r="P1273" s="116" t="e">
        <f>$H1273*(1-$N1273)*$M1273</f>
        <v>#VALUE!</v>
      </c>
      <c r="Q1273" s="116" t="e">
        <f>$H1273*$N1273*(1-$M1273)</f>
        <v>#VALUE!</v>
      </c>
      <c r="R1273" s="116" t="e">
        <f>$H1273*(1-$N1273)*(1-$M1273)</f>
        <v>#VALUE!</v>
      </c>
      <c r="T1273" s="116">
        <v>0</v>
      </c>
      <c r="U1273" s="116">
        <v>0</v>
      </c>
      <c r="V1273" s="116">
        <v>0</v>
      </c>
      <c r="W1273" s="116">
        <v>0</v>
      </c>
      <c r="X1273" s="3"/>
      <c r="AD1273" s="117" t="e">
        <f>ROUND(SUM(-G1273,H1273:L1273),0)</f>
        <v>#VALUE!</v>
      </c>
      <c r="AE1273" s="117" t="e">
        <f>ROUND(H1273-O1273-P1273-Q1273-R1273,0)</f>
        <v>#VALUE!</v>
      </c>
      <c r="AF1273" s="117" t="e">
        <f>ROUND(I1273-T1273-U1273-V1273-W1273,0)</f>
        <v>#VALUE!</v>
      </c>
      <c r="AG1273" s="117" t="e">
        <f>ROUND(J1273-Y1273-Z1273-AA1273-AC1273-AB1273,0)</f>
        <v>#VALUE!</v>
      </c>
      <c r="AH1273" s="116"/>
      <c r="AI1273">
        <f t="shared" si="732"/>
        <v>330</v>
      </c>
      <c r="AJ1273" t="str">
        <f t="shared" si="727"/>
        <v>SG</v>
      </c>
      <c r="AK1273" t="str">
        <f>IF(ISERROR(MATCH(AI1273&amp;"."&amp;AJ1273,AK$91:AK1272,0)),AI1273&amp;"."&amp;AJ1273,AI1273&amp;"."&amp;AJ1273&amp;COUNTIFS(AI$91:AI1272,AI1273,AJ$91:AJ1272,AJ1273))</f>
        <v>330.SG</v>
      </c>
    </row>
    <row r="1274" spans="1:37" ht="15" hidden="1">
      <c r="A1274" s="120">
        <f>ROW()</f>
        <v>1274</v>
      </c>
      <c r="B1274" s="120"/>
      <c r="C1274" s="1"/>
      <c r="E1274" s="121" t="s">
        <v>15</v>
      </c>
      <c r="F1274" s="138" t="str">
        <f>INDEX(FuncAllocOptions,ROW(A1274)-ROW($A$92)+1,[4]Inputs!$S$11)</f>
        <v>P</v>
      </c>
      <c r="G1274" s="117" t="e">
        <f>SUMIF(FERCJAMFactor,AK1274,JAMValue)</f>
        <v>#VALUE!</v>
      </c>
      <c r="H1274" s="116" t="e">
        <f t="shared" si="736"/>
        <v>#VALUE!</v>
      </c>
      <c r="I1274" s="116" t="e">
        <f t="shared" si="736"/>
        <v>#VALUE!</v>
      </c>
      <c r="J1274" s="116" t="e">
        <f t="shared" si="736"/>
        <v>#VALUE!</v>
      </c>
      <c r="K1274" s="116" t="e">
        <f t="shared" si="736"/>
        <v>#VALUE!</v>
      </c>
      <c r="L1274" s="116" t="e">
        <f t="shared" si="736"/>
        <v>#VALUE!</v>
      </c>
      <c r="N1274" s="108">
        <v>0.75</v>
      </c>
      <c r="O1274" s="116" t="e">
        <f>$H1274*$N1274*$M1274</f>
        <v>#VALUE!</v>
      </c>
      <c r="P1274" s="116" t="e">
        <f>$H1274*(1-$N1274)*$M1274</f>
        <v>#VALUE!</v>
      </c>
      <c r="Q1274" s="116" t="e">
        <f>$H1274*$N1274*(1-$M1274)</f>
        <v>#VALUE!</v>
      </c>
      <c r="R1274" s="116" t="e">
        <f>$H1274*(1-$N1274)*(1-$M1274)</f>
        <v>#VALUE!</v>
      </c>
      <c r="T1274" s="116">
        <v>0</v>
      </c>
      <c r="U1274" s="116">
        <v>0</v>
      </c>
      <c r="V1274" s="116">
        <v>0</v>
      </c>
      <c r="W1274" s="116">
        <v>0</v>
      </c>
      <c r="X1274" s="3"/>
      <c r="AD1274" s="117" t="e">
        <f>ROUND(SUM(-G1274,H1274:L1274),0)</f>
        <v>#VALUE!</v>
      </c>
      <c r="AE1274" s="117" t="e">
        <f>ROUND(H1274-O1274-P1274-Q1274-R1274,0)</f>
        <v>#VALUE!</v>
      </c>
      <c r="AF1274" s="117" t="e">
        <f>ROUND(I1274-T1274-U1274-V1274-W1274,0)</f>
        <v>#VALUE!</v>
      </c>
      <c r="AG1274" s="117" t="e">
        <f>ROUND(J1274-Y1274-Z1274-AA1274-AC1274-AB1274,0)</f>
        <v>#VALUE!</v>
      </c>
      <c r="AH1274" s="116"/>
      <c r="AI1274">
        <f t="shared" si="732"/>
        <v>330</v>
      </c>
      <c r="AJ1274" t="str">
        <f t="shared" si="727"/>
        <v>SG</v>
      </c>
      <c r="AK1274" t="str">
        <f>IF(ISERROR(MATCH(AI1274&amp;"."&amp;AJ1274,AK$91:AK1273,0)),AI1274&amp;"."&amp;AJ1274,AI1274&amp;"."&amp;AJ1274&amp;COUNTIFS(AI$91:AI1273,AI1274,AJ$91:AJ1273,AJ1274))</f>
        <v>330.SG1</v>
      </c>
    </row>
    <row r="1275" spans="1:37" ht="15" hidden="1">
      <c r="A1275" s="120">
        <f>ROW()</f>
        <v>1275</v>
      </c>
      <c r="B1275" s="120"/>
      <c r="C1275" s="1"/>
      <c r="E1275" s="121" t="s">
        <v>15</v>
      </c>
      <c r="F1275" s="138" t="str">
        <f>INDEX(FuncAllocOptions,ROW(A1275)-ROW($A$92)+1,[4]Inputs!$S$11)</f>
        <v>P</v>
      </c>
      <c r="G1275" s="117" t="e">
        <f>SUMIF(FERCJAMFactor,AK1275,JAMValue)</f>
        <v>#VALUE!</v>
      </c>
      <c r="H1275" s="116" t="e">
        <f t="shared" si="736"/>
        <v>#VALUE!</v>
      </c>
      <c r="I1275" s="116" t="e">
        <f t="shared" si="736"/>
        <v>#VALUE!</v>
      </c>
      <c r="J1275" s="116" t="e">
        <f t="shared" si="736"/>
        <v>#VALUE!</v>
      </c>
      <c r="K1275" s="116" t="e">
        <f t="shared" si="736"/>
        <v>#VALUE!</v>
      </c>
      <c r="L1275" s="116" t="e">
        <f t="shared" si="736"/>
        <v>#VALUE!</v>
      </c>
      <c r="N1275" s="108">
        <v>0.75</v>
      </c>
      <c r="O1275" s="116" t="e">
        <f>$H1275*$N1275*$M1275</f>
        <v>#VALUE!</v>
      </c>
      <c r="P1275" s="116" t="e">
        <f>$H1275*(1-$N1275)*$M1275</f>
        <v>#VALUE!</v>
      </c>
      <c r="Q1275" s="116" t="e">
        <f>$H1275*$N1275*(1-$M1275)</f>
        <v>#VALUE!</v>
      </c>
      <c r="R1275" s="116" t="e">
        <f>$H1275*(1-$N1275)*(1-$M1275)</f>
        <v>#VALUE!</v>
      </c>
      <c r="T1275" s="116">
        <v>0</v>
      </c>
      <c r="U1275" s="116">
        <v>0</v>
      </c>
      <c r="V1275" s="116">
        <v>0</v>
      </c>
      <c r="W1275" s="116">
        <v>0</v>
      </c>
      <c r="X1275" s="3"/>
      <c r="AD1275" s="117" t="e">
        <f>ROUND(SUM(-G1275,H1275:L1275),0)</f>
        <v>#VALUE!</v>
      </c>
      <c r="AE1275" s="117" t="e">
        <f>ROUND(H1275-O1275-P1275-Q1275-R1275,0)</f>
        <v>#VALUE!</v>
      </c>
      <c r="AF1275" s="117" t="e">
        <f>ROUND(I1275-T1275-U1275-V1275-W1275,0)</f>
        <v>#VALUE!</v>
      </c>
      <c r="AG1275" s="117" t="e">
        <f>ROUND(J1275-Y1275-Z1275-AA1275-AC1275-AB1275,0)</f>
        <v>#VALUE!</v>
      </c>
      <c r="AH1275" s="116"/>
      <c r="AI1275">
        <f t="shared" si="732"/>
        <v>330</v>
      </c>
      <c r="AJ1275" t="str">
        <f t="shared" si="727"/>
        <v>SG</v>
      </c>
      <c r="AK1275" t="str">
        <f>IF(ISERROR(MATCH(AI1275&amp;"."&amp;AJ1275,AK$91:AK1274,0)),AI1275&amp;"."&amp;AJ1275,AI1275&amp;"."&amp;AJ1275&amp;COUNTIFS(AI$91:AI1274,AI1275,AJ$91:AJ1274,AJ1275))</f>
        <v>330.SG2</v>
      </c>
    </row>
    <row r="1276" spans="1:37" ht="15" hidden="1">
      <c r="A1276" s="120">
        <f>ROW()</f>
        <v>1276</v>
      </c>
      <c r="B1276" s="120"/>
      <c r="C1276" s="1"/>
      <c r="E1276" s="121" t="s">
        <v>15</v>
      </c>
      <c r="F1276" s="138" t="str">
        <f>INDEX(FuncAllocOptions,ROW(A1276)-ROW($A$92)+1,[4]Inputs!$S$11)</f>
        <v>P</v>
      </c>
      <c r="G1276" s="133" t="e">
        <f>SUMIF(FERCJAMFactor,AK1276,JAMValue)</f>
        <v>#VALUE!</v>
      </c>
      <c r="H1276" s="139" t="e">
        <f t="shared" si="736"/>
        <v>#VALUE!</v>
      </c>
      <c r="I1276" s="139" t="e">
        <f t="shared" si="736"/>
        <v>#VALUE!</v>
      </c>
      <c r="J1276" s="139" t="e">
        <f t="shared" si="736"/>
        <v>#VALUE!</v>
      </c>
      <c r="K1276" s="139" t="e">
        <f t="shared" si="736"/>
        <v>#VALUE!</v>
      </c>
      <c r="L1276" s="139" t="e">
        <f t="shared" si="736"/>
        <v>#VALUE!</v>
      </c>
      <c r="N1276" s="108">
        <v>0.75</v>
      </c>
      <c r="O1276" s="116" t="e">
        <f>$H1276*$N1276*$M1276</f>
        <v>#VALUE!</v>
      </c>
      <c r="P1276" s="116" t="e">
        <f>$H1276*(1-$N1276)*$M1276</f>
        <v>#VALUE!</v>
      </c>
      <c r="Q1276" s="116" t="e">
        <f>$H1276*$N1276*(1-$M1276)</f>
        <v>#VALUE!</v>
      </c>
      <c r="R1276" s="116" t="e">
        <f>$H1276*(1-$N1276)*(1-$M1276)</f>
        <v>#VALUE!</v>
      </c>
      <c r="T1276" s="116"/>
      <c r="U1276" s="116"/>
      <c r="V1276" s="116"/>
      <c r="W1276" s="116"/>
      <c r="X1276" s="3"/>
      <c r="AD1276" s="117" t="e">
        <f>ROUND(SUM(-G1276,H1276:L1276),0)</f>
        <v>#VALUE!</v>
      </c>
      <c r="AE1276" s="117" t="e">
        <f>ROUND(H1276-O1276-P1276-Q1276-R1276,0)</f>
        <v>#VALUE!</v>
      </c>
      <c r="AF1276" s="117" t="e">
        <f>ROUND(I1276-T1276-U1276-V1276-W1276,0)</f>
        <v>#VALUE!</v>
      </c>
      <c r="AG1276" s="117" t="e">
        <f>ROUND(J1276-Y1276-Z1276-AA1276-AC1276-AB1276,0)</f>
        <v>#VALUE!</v>
      </c>
      <c r="AH1276" s="116"/>
      <c r="AI1276">
        <f t="shared" si="732"/>
        <v>330</v>
      </c>
      <c r="AJ1276" t="str">
        <f t="shared" si="727"/>
        <v>SG</v>
      </c>
      <c r="AK1276" t="str">
        <f>IF(ISERROR(MATCH(AI1276&amp;"."&amp;AJ1276,AK$91:AK1275,0)),AI1276&amp;"."&amp;AJ1276,AI1276&amp;"."&amp;AJ1276&amp;COUNTIFS(AI$91:AI1275,AI1276,AJ$91:AJ1275,AJ1276))</f>
        <v>330.SG3</v>
      </c>
    </row>
    <row r="1277" spans="1:37" ht="15" hidden="1">
      <c r="A1277" s="120">
        <f>ROW()</f>
        <v>1277</v>
      </c>
      <c r="B1277" s="120"/>
      <c r="C1277" s="1"/>
      <c r="E1277" s="121"/>
      <c r="F1277" s="138"/>
      <c r="G1277" s="117" t="e">
        <f t="shared" ref="G1277:L1277" si="737">SUM(G1273:G1276)</f>
        <v>#VALUE!</v>
      </c>
      <c r="H1277" s="116" t="e">
        <f t="shared" si="737"/>
        <v>#VALUE!</v>
      </c>
      <c r="I1277" s="116" t="e">
        <f t="shared" si="737"/>
        <v>#VALUE!</v>
      </c>
      <c r="J1277" s="116" t="e">
        <f t="shared" si="737"/>
        <v>#VALUE!</v>
      </c>
      <c r="K1277" s="116" t="e">
        <f t="shared" si="737"/>
        <v>#VALUE!</v>
      </c>
      <c r="L1277" s="116" t="e">
        <f t="shared" si="737"/>
        <v>#VALUE!</v>
      </c>
      <c r="O1277" s="116" t="e">
        <f>SUM(O1273:O1276)</f>
        <v>#VALUE!</v>
      </c>
      <c r="P1277" s="116" t="e">
        <f>SUM(P1273:P1276)</f>
        <v>#VALUE!</v>
      </c>
      <c r="Q1277" s="116" t="e">
        <f>SUM(Q1273:Q1276)</f>
        <v>#VALUE!</v>
      </c>
      <c r="R1277" s="116" t="e">
        <f>SUM(R1273:R1276)</f>
        <v>#VALUE!</v>
      </c>
      <c r="T1277" s="116">
        <f>SUM(T1273:T1276)</f>
        <v>0</v>
      </c>
      <c r="U1277" s="116">
        <f>SUM(U1273:U1276)</f>
        <v>0</v>
      </c>
      <c r="V1277" s="116">
        <f>SUM(V1273:V1276)</f>
        <v>0</v>
      </c>
      <c r="W1277" s="116">
        <f>SUM(W1273:W1276)</f>
        <v>0</v>
      </c>
      <c r="X1277" s="3"/>
      <c r="Y1277" s="116">
        <f>SUM(Y1273:Y1276)</f>
        <v>0</v>
      </c>
      <c r="Z1277" s="116">
        <f>SUM(Z1273:Z1276)</f>
        <v>0</v>
      </c>
      <c r="AA1277" s="116">
        <f>SUM(AA1273:AA1276)</f>
        <v>0</v>
      </c>
      <c r="AB1277" s="116">
        <f>SUM(AB1273:AB1276)</f>
        <v>0</v>
      </c>
      <c r="AC1277" s="116">
        <f>SUM(AC1273:AC1276)</f>
        <v>0</v>
      </c>
      <c r="AD1277" s="117" t="e">
        <f>ROUND(SUM(-G1277,H1277:L1277),0)</f>
        <v>#VALUE!</v>
      </c>
      <c r="AE1277" s="117" t="e">
        <f>ROUND(H1277-O1277-P1277-Q1277-R1277,0)</f>
        <v>#VALUE!</v>
      </c>
      <c r="AF1277" s="117" t="e">
        <f>ROUND(I1277-T1277-U1277-V1277-W1277,0)</f>
        <v>#VALUE!</v>
      </c>
      <c r="AG1277" s="117" t="e">
        <f>ROUND(J1277-Y1277-Z1277-AA1277-AC1277-AB1277,0)</f>
        <v>#VALUE!</v>
      </c>
      <c r="AH1277" s="116"/>
      <c r="AI1277">
        <f t="shared" si="732"/>
        <v>330</v>
      </c>
      <c r="AJ1277" t="str">
        <f t="shared" si="727"/>
        <v>NA</v>
      </c>
      <c r="AK1277" t="str">
        <f>IF(ISERROR(MATCH(AI1277&amp;"."&amp;AJ1277,AK$91:AK1276,0)),AI1277&amp;"."&amp;AJ1277,AI1277&amp;"."&amp;AJ1277&amp;COUNTIFS(AI$91:AI1276,AI1277,AJ$91:AJ1276,AJ1277))</f>
        <v>330.NA1</v>
      </c>
    </row>
    <row r="1278" spans="1:37" ht="15" hidden="1">
      <c r="A1278" s="120">
        <f>ROW()</f>
        <v>1278</v>
      </c>
      <c r="B1278" s="120"/>
      <c r="C1278" s="1"/>
      <c r="E1278" s="121"/>
      <c r="F1278" s="138"/>
      <c r="G1278" s="119"/>
      <c r="X1278" s="3"/>
      <c r="AD1278" s="119"/>
      <c r="AE1278" s="119"/>
      <c r="AF1278" s="119"/>
      <c r="AG1278" s="119"/>
      <c r="AI1278">
        <f t="shared" si="732"/>
        <v>330</v>
      </c>
      <c r="AJ1278" t="str">
        <f t="shared" si="727"/>
        <v>NA</v>
      </c>
      <c r="AK1278" t="str">
        <f>IF(ISERROR(MATCH(AI1278&amp;"."&amp;AJ1278,AK$91:AK1277,0)),AI1278&amp;"."&amp;AJ1278,AI1278&amp;"."&amp;AJ1278&amp;COUNTIFS(AI$91:AI1277,AI1278,AJ$91:AJ1277,AJ1278))</f>
        <v>330.NA2</v>
      </c>
    </row>
    <row r="1279" spans="1:37" ht="15" hidden="1">
      <c r="A1279" s="120">
        <f>ROW()</f>
        <v>1279</v>
      </c>
      <c r="B1279" s="120"/>
      <c r="C1279" s="1">
        <v>331</v>
      </c>
      <c r="D1279" s="2" t="s">
        <v>502</v>
      </c>
      <c r="E1279" s="121"/>
      <c r="F1279" s="138"/>
      <c r="G1279" s="119"/>
      <c r="X1279" s="3"/>
      <c r="AD1279" s="119"/>
      <c r="AE1279" s="119"/>
      <c r="AF1279" s="119"/>
      <c r="AG1279" s="119"/>
      <c r="AI1279">
        <f t="shared" si="732"/>
        <v>331</v>
      </c>
      <c r="AJ1279" t="str">
        <f t="shared" si="727"/>
        <v>NA</v>
      </c>
      <c r="AK1279" t="str">
        <f>IF(ISERROR(MATCH(AI1279&amp;"."&amp;AJ1279,AK$91:AK1278,0)),AI1279&amp;"."&amp;AJ1279,AI1279&amp;"."&amp;AJ1279&amp;COUNTIFS(AI$91:AI1278,AI1279,AJ$91:AJ1278,AJ1279))</f>
        <v>331.NA</v>
      </c>
    </row>
    <row r="1280" spans="1:37" ht="15" hidden="1">
      <c r="A1280" s="120">
        <f>ROW()</f>
        <v>1280</v>
      </c>
      <c r="B1280" s="120"/>
      <c r="C1280" s="1"/>
      <c r="E1280" s="121" t="s">
        <v>15</v>
      </c>
      <c r="F1280" s="138" t="str">
        <f>INDEX(FuncAllocOptions,ROW(A1280)-ROW($A$92)+1,[4]Inputs!$S$11)</f>
        <v>P</v>
      </c>
      <c r="G1280" s="117" t="e">
        <f>SUMIF(FERCJAMFactor,AK1280,JAMValue)</f>
        <v>#VALUE!</v>
      </c>
      <c r="H1280" s="116" t="e">
        <f t="shared" ref="H1280:L1283" si="738">INDEX(FuncFactorTbl,MATCH($F1280,FuncFactors,0),MATCH(H$8,Functions,0))*$G1280</f>
        <v>#VALUE!</v>
      </c>
      <c r="I1280" s="116" t="e">
        <f t="shared" si="738"/>
        <v>#VALUE!</v>
      </c>
      <c r="J1280" s="116" t="e">
        <f t="shared" si="738"/>
        <v>#VALUE!</v>
      </c>
      <c r="K1280" s="116" t="e">
        <f t="shared" si="738"/>
        <v>#VALUE!</v>
      </c>
      <c r="L1280" s="116" t="e">
        <f t="shared" si="738"/>
        <v>#VALUE!</v>
      </c>
      <c r="N1280" s="108">
        <v>0.75</v>
      </c>
      <c r="O1280" s="116" t="e">
        <f>$H1280*$N1280*$M1280</f>
        <v>#VALUE!</v>
      </c>
      <c r="P1280" s="116" t="e">
        <f>$H1280*(1-$N1280)*$M1280</f>
        <v>#VALUE!</v>
      </c>
      <c r="Q1280" s="116" t="e">
        <f>$H1280*$N1280*(1-$M1280)</f>
        <v>#VALUE!</v>
      </c>
      <c r="R1280" s="116" t="e">
        <f>$H1280*(1-$N1280)*(1-$M1280)</f>
        <v>#VALUE!</v>
      </c>
      <c r="T1280" s="116">
        <v>0</v>
      </c>
      <c r="U1280" s="116">
        <v>0</v>
      </c>
      <c r="V1280" s="116">
        <v>0</v>
      </c>
      <c r="W1280" s="116">
        <v>0</v>
      </c>
      <c r="X1280" s="3"/>
      <c r="AD1280" s="117" t="e">
        <f>ROUND(SUM(-G1280,H1280:L1280),0)</f>
        <v>#VALUE!</v>
      </c>
      <c r="AE1280" s="117" t="e">
        <f>ROUND(H1280-O1280-P1280-Q1280-R1280,0)</f>
        <v>#VALUE!</v>
      </c>
      <c r="AF1280" s="117" t="e">
        <f>ROUND(I1280-T1280-U1280-V1280-W1280,0)</f>
        <v>#VALUE!</v>
      </c>
      <c r="AG1280" s="117" t="e">
        <f>ROUND(J1280-Y1280-Z1280-AA1280-AC1280-AB1280,0)</f>
        <v>#VALUE!</v>
      </c>
      <c r="AH1280" s="116"/>
      <c r="AI1280">
        <f t="shared" si="732"/>
        <v>331</v>
      </c>
      <c r="AJ1280" t="str">
        <f t="shared" si="727"/>
        <v>SG</v>
      </c>
      <c r="AK1280" t="str">
        <f>IF(ISERROR(MATCH(AI1280&amp;"."&amp;AJ1280,AK$91:AK1279,0)),AI1280&amp;"."&amp;AJ1280,AI1280&amp;"."&amp;AJ1280&amp;COUNTIFS(AI$91:AI1279,AI1280,AJ$91:AJ1279,AJ1280))</f>
        <v>331.SG</v>
      </c>
    </row>
    <row r="1281" spans="1:37" ht="15" hidden="1">
      <c r="A1281" s="120">
        <f>ROW()</f>
        <v>1281</v>
      </c>
      <c r="B1281" s="120"/>
      <c r="C1281" s="1"/>
      <c r="E1281" s="121" t="s">
        <v>15</v>
      </c>
      <c r="F1281" s="138" t="str">
        <f>INDEX(FuncAllocOptions,ROW(A1281)-ROW($A$92)+1,[4]Inputs!$S$11)</f>
        <v>P</v>
      </c>
      <c r="G1281" s="117" t="e">
        <f>SUMIF(FERCJAMFactor,AK1281,JAMValue)</f>
        <v>#VALUE!</v>
      </c>
      <c r="H1281" s="116" t="e">
        <f t="shared" si="738"/>
        <v>#VALUE!</v>
      </c>
      <c r="I1281" s="116" t="e">
        <f t="shared" si="738"/>
        <v>#VALUE!</v>
      </c>
      <c r="J1281" s="116" t="e">
        <f t="shared" si="738"/>
        <v>#VALUE!</v>
      </c>
      <c r="K1281" s="116" t="e">
        <f t="shared" si="738"/>
        <v>#VALUE!</v>
      </c>
      <c r="L1281" s="116" t="e">
        <f t="shared" si="738"/>
        <v>#VALUE!</v>
      </c>
      <c r="N1281" s="108">
        <v>0.75</v>
      </c>
      <c r="O1281" s="116" t="e">
        <f>$H1281*$N1281*$M1281</f>
        <v>#VALUE!</v>
      </c>
      <c r="P1281" s="116" t="e">
        <f>$H1281*(1-$N1281)*$M1281</f>
        <v>#VALUE!</v>
      </c>
      <c r="Q1281" s="116" t="e">
        <f>$H1281*$N1281*(1-$M1281)</f>
        <v>#VALUE!</v>
      </c>
      <c r="R1281" s="116" t="e">
        <f>$H1281*(1-$N1281)*(1-$M1281)</f>
        <v>#VALUE!</v>
      </c>
      <c r="T1281" s="116">
        <v>0</v>
      </c>
      <c r="U1281" s="116">
        <v>0</v>
      </c>
      <c r="V1281" s="116">
        <v>0</v>
      </c>
      <c r="W1281" s="116">
        <v>0</v>
      </c>
      <c r="X1281" s="3"/>
      <c r="AD1281" s="117" t="e">
        <f>ROUND(SUM(-G1281,H1281:L1281),0)</f>
        <v>#VALUE!</v>
      </c>
      <c r="AE1281" s="117" t="e">
        <f>ROUND(H1281-O1281-P1281-Q1281-R1281,0)</f>
        <v>#VALUE!</v>
      </c>
      <c r="AF1281" s="117" t="e">
        <f>ROUND(I1281-T1281-U1281-V1281-W1281,0)</f>
        <v>#VALUE!</v>
      </c>
      <c r="AG1281" s="117" t="e">
        <f>ROUND(J1281-Y1281-Z1281-AA1281-AC1281-AB1281,0)</f>
        <v>#VALUE!</v>
      </c>
      <c r="AH1281" s="116"/>
      <c r="AI1281">
        <f t="shared" si="732"/>
        <v>331</v>
      </c>
      <c r="AJ1281" t="str">
        <f t="shared" si="727"/>
        <v>SG</v>
      </c>
      <c r="AK1281" t="str">
        <f>IF(ISERROR(MATCH(AI1281&amp;"."&amp;AJ1281,AK$91:AK1280,0)),AI1281&amp;"."&amp;AJ1281,AI1281&amp;"."&amp;AJ1281&amp;COUNTIFS(AI$91:AI1280,AI1281,AJ$91:AJ1280,AJ1281))</f>
        <v>331.SG1</v>
      </c>
    </row>
    <row r="1282" spans="1:37" ht="15" hidden="1">
      <c r="A1282" s="120">
        <f>ROW()</f>
        <v>1282</v>
      </c>
      <c r="B1282" s="120"/>
      <c r="C1282" s="1"/>
      <c r="E1282" s="121" t="s">
        <v>15</v>
      </c>
      <c r="F1282" s="138" t="str">
        <f>INDEX(FuncAllocOptions,ROW(A1282)-ROW($A$92)+1,[4]Inputs!$S$11)</f>
        <v>P</v>
      </c>
      <c r="G1282" s="117" t="e">
        <f>SUMIF(FERCJAMFactor,AK1282,JAMValue)</f>
        <v>#VALUE!</v>
      </c>
      <c r="H1282" s="116" t="e">
        <f t="shared" si="738"/>
        <v>#VALUE!</v>
      </c>
      <c r="I1282" s="116" t="e">
        <f t="shared" si="738"/>
        <v>#VALUE!</v>
      </c>
      <c r="J1282" s="116" t="e">
        <f t="shared" si="738"/>
        <v>#VALUE!</v>
      </c>
      <c r="K1282" s="116" t="e">
        <f t="shared" si="738"/>
        <v>#VALUE!</v>
      </c>
      <c r="L1282" s="116" t="e">
        <f t="shared" si="738"/>
        <v>#VALUE!</v>
      </c>
      <c r="N1282" s="108">
        <v>0.75</v>
      </c>
      <c r="O1282" s="116" t="e">
        <f>$H1282*$N1282*$M1282</f>
        <v>#VALUE!</v>
      </c>
      <c r="P1282" s="116" t="e">
        <f>$H1282*(1-$N1282)*$M1282</f>
        <v>#VALUE!</v>
      </c>
      <c r="Q1282" s="116" t="e">
        <f>$H1282*$N1282*(1-$M1282)</f>
        <v>#VALUE!</v>
      </c>
      <c r="R1282" s="116" t="e">
        <f>$H1282*(1-$N1282)*(1-$M1282)</f>
        <v>#VALUE!</v>
      </c>
      <c r="T1282" s="116">
        <v>0</v>
      </c>
      <c r="U1282" s="116">
        <v>0</v>
      </c>
      <c r="V1282" s="116">
        <v>0</v>
      </c>
      <c r="W1282" s="116">
        <v>0</v>
      </c>
      <c r="X1282" s="3"/>
      <c r="AD1282" s="117" t="e">
        <f>ROUND(SUM(-G1282,H1282:L1282),0)</f>
        <v>#VALUE!</v>
      </c>
      <c r="AE1282" s="117" t="e">
        <f>ROUND(H1282-O1282-P1282-Q1282-R1282,0)</f>
        <v>#VALUE!</v>
      </c>
      <c r="AF1282" s="117" t="e">
        <f>ROUND(I1282-T1282-U1282-V1282-W1282,0)</f>
        <v>#VALUE!</v>
      </c>
      <c r="AG1282" s="117" t="e">
        <f>ROUND(J1282-Y1282-Z1282-AA1282-AC1282-AB1282,0)</f>
        <v>#VALUE!</v>
      </c>
      <c r="AH1282" s="116"/>
      <c r="AI1282">
        <f t="shared" si="732"/>
        <v>331</v>
      </c>
      <c r="AJ1282" t="str">
        <f t="shared" si="727"/>
        <v>SG</v>
      </c>
      <c r="AK1282" t="str">
        <f>IF(ISERROR(MATCH(AI1282&amp;"."&amp;AJ1282,AK$91:AK1281,0)),AI1282&amp;"."&amp;AJ1282,AI1282&amp;"."&amp;AJ1282&amp;COUNTIFS(AI$91:AI1281,AI1282,AJ$91:AJ1281,AJ1282))</f>
        <v>331.SG2</v>
      </c>
    </row>
    <row r="1283" spans="1:37" ht="15" hidden="1">
      <c r="A1283" s="120">
        <f>ROW()</f>
        <v>1283</v>
      </c>
      <c r="B1283" s="120"/>
      <c r="C1283" s="1"/>
      <c r="E1283" s="121" t="s">
        <v>15</v>
      </c>
      <c r="F1283" s="138" t="str">
        <f>INDEX(FuncAllocOptions,ROW(A1283)-ROW($A$92)+1,[4]Inputs!$S$11)</f>
        <v>P</v>
      </c>
      <c r="G1283" s="133" t="e">
        <f>SUMIF(FERCJAMFactor,AK1283,JAMValue)</f>
        <v>#VALUE!</v>
      </c>
      <c r="H1283" s="139" t="e">
        <f t="shared" si="738"/>
        <v>#VALUE!</v>
      </c>
      <c r="I1283" s="139" t="e">
        <f t="shared" si="738"/>
        <v>#VALUE!</v>
      </c>
      <c r="J1283" s="139" t="e">
        <f t="shared" si="738"/>
        <v>#VALUE!</v>
      </c>
      <c r="K1283" s="139" t="e">
        <f t="shared" si="738"/>
        <v>#VALUE!</v>
      </c>
      <c r="L1283" s="139" t="e">
        <f t="shared" si="738"/>
        <v>#VALUE!</v>
      </c>
      <c r="N1283" s="108">
        <v>0.75</v>
      </c>
      <c r="O1283" s="116" t="e">
        <f>$H1283*$N1283*$M1283</f>
        <v>#VALUE!</v>
      </c>
      <c r="P1283" s="116" t="e">
        <f>$H1283*(1-$N1283)*$M1283</f>
        <v>#VALUE!</v>
      </c>
      <c r="Q1283" s="116" t="e">
        <f>$H1283*$N1283*(1-$M1283)</f>
        <v>#VALUE!</v>
      </c>
      <c r="R1283" s="116" t="e">
        <f>$H1283*(1-$N1283)*(1-$M1283)</f>
        <v>#VALUE!</v>
      </c>
      <c r="T1283" s="116"/>
      <c r="U1283" s="116"/>
      <c r="V1283" s="116"/>
      <c r="W1283" s="116"/>
      <c r="X1283" s="3"/>
      <c r="AD1283" s="117" t="e">
        <f>ROUND(SUM(-G1283,H1283:L1283),0)</f>
        <v>#VALUE!</v>
      </c>
      <c r="AE1283" s="117" t="e">
        <f>ROUND(H1283-O1283-P1283-Q1283-R1283,0)</f>
        <v>#VALUE!</v>
      </c>
      <c r="AF1283" s="117" t="e">
        <f>ROUND(I1283-T1283-U1283-V1283-W1283,0)</f>
        <v>#VALUE!</v>
      </c>
      <c r="AG1283" s="117" t="e">
        <f>ROUND(J1283-Y1283-Z1283-AA1283-AC1283-AB1283,0)</f>
        <v>#VALUE!</v>
      </c>
      <c r="AH1283" s="116"/>
      <c r="AI1283">
        <f t="shared" si="732"/>
        <v>331</v>
      </c>
      <c r="AJ1283" t="str">
        <f t="shared" si="727"/>
        <v>SG</v>
      </c>
      <c r="AK1283" t="str">
        <f>IF(ISERROR(MATCH(AI1283&amp;"."&amp;AJ1283,AK$91:AK1282,0)),AI1283&amp;"."&amp;AJ1283,AI1283&amp;"."&amp;AJ1283&amp;COUNTIFS(AI$91:AI1282,AI1283,AJ$91:AJ1282,AJ1283))</f>
        <v>331.SG3</v>
      </c>
    </row>
    <row r="1284" spans="1:37" ht="15" hidden="1">
      <c r="A1284" s="120">
        <f>ROW()</f>
        <v>1284</v>
      </c>
      <c r="B1284" s="120"/>
      <c r="C1284" s="1"/>
      <c r="E1284" s="121"/>
      <c r="F1284" s="138"/>
      <c r="G1284" s="117" t="e">
        <f t="shared" ref="G1284:L1284" si="739">SUM(G1280:G1283)</f>
        <v>#VALUE!</v>
      </c>
      <c r="H1284" s="116" t="e">
        <f t="shared" si="739"/>
        <v>#VALUE!</v>
      </c>
      <c r="I1284" s="116" t="e">
        <f t="shared" si="739"/>
        <v>#VALUE!</v>
      </c>
      <c r="J1284" s="116" t="e">
        <f t="shared" si="739"/>
        <v>#VALUE!</v>
      </c>
      <c r="K1284" s="116" t="e">
        <f t="shared" si="739"/>
        <v>#VALUE!</v>
      </c>
      <c r="L1284" s="116" t="e">
        <f t="shared" si="739"/>
        <v>#VALUE!</v>
      </c>
      <c r="O1284" s="116" t="e">
        <f>SUM(O1280:O1283)</f>
        <v>#VALUE!</v>
      </c>
      <c r="P1284" s="116" t="e">
        <f>SUM(P1280:P1283)</f>
        <v>#VALUE!</v>
      </c>
      <c r="Q1284" s="116" t="e">
        <f>SUM(Q1280:Q1283)</f>
        <v>#VALUE!</v>
      </c>
      <c r="R1284" s="116" t="e">
        <f>SUM(R1280:R1283)</f>
        <v>#VALUE!</v>
      </c>
      <c r="T1284" s="116">
        <f>SUM(T1280:T1283)</f>
        <v>0</v>
      </c>
      <c r="U1284" s="116">
        <f>SUM(U1280:U1283)</f>
        <v>0</v>
      </c>
      <c r="V1284" s="116">
        <f>SUM(V1280:V1283)</f>
        <v>0</v>
      </c>
      <c r="W1284" s="116">
        <f>SUM(W1280:W1283)</f>
        <v>0</v>
      </c>
      <c r="X1284" s="3"/>
      <c r="Y1284" s="116">
        <f>SUM(Y1280:Y1283)</f>
        <v>0</v>
      </c>
      <c r="Z1284" s="116">
        <f>SUM(Z1280:Z1283)</f>
        <v>0</v>
      </c>
      <c r="AA1284" s="116">
        <f>SUM(AA1280:AA1283)</f>
        <v>0</v>
      </c>
      <c r="AB1284" s="116">
        <f>SUM(AB1280:AB1283)</f>
        <v>0</v>
      </c>
      <c r="AC1284" s="116">
        <f>SUM(AC1280:AC1283)</f>
        <v>0</v>
      </c>
      <c r="AD1284" s="117" t="e">
        <f>ROUND(SUM(-G1284,H1284:L1284),0)</f>
        <v>#VALUE!</v>
      </c>
      <c r="AE1284" s="117" t="e">
        <f>ROUND(H1284-O1284-P1284-Q1284-R1284,0)</f>
        <v>#VALUE!</v>
      </c>
      <c r="AF1284" s="117" t="e">
        <f>ROUND(I1284-T1284-U1284-V1284-W1284,0)</f>
        <v>#VALUE!</v>
      </c>
      <c r="AG1284" s="117" t="e">
        <f>ROUND(J1284-Y1284-Z1284-AA1284-AC1284-AB1284,0)</f>
        <v>#VALUE!</v>
      </c>
      <c r="AH1284" s="116"/>
      <c r="AI1284">
        <f t="shared" si="732"/>
        <v>331</v>
      </c>
      <c r="AJ1284" t="str">
        <f t="shared" si="727"/>
        <v>NA</v>
      </c>
      <c r="AK1284" t="str">
        <f>IF(ISERROR(MATCH(AI1284&amp;"."&amp;AJ1284,AK$91:AK1283,0)),AI1284&amp;"."&amp;AJ1284,AI1284&amp;"."&amp;AJ1284&amp;COUNTIFS(AI$91:AI1283,AI1284,AJ$91:AJ1283,AJ1284))</f>
        <v>331.NA1</v>
      </c>
    </row>
    <row r="1285" spans="1:37" ht="15" hidden="1">
      <c r="A1285" s="120">
        <f>ROW()</f>
        <v>1285</v>
      </c>
      <c r="B1285" s="120"/>
      <c r="C1285" s="1"/>
      <c r="E1285" s="121"/>
      <c r="F1285" s="138"/>
      <c r="G1285" s="119"/>
      <c r="X1285" s="3"/>
      <c r="AD1285" s="119"/>
      <c r="AE1285" s="119"/>
      <c r="AF1285" s="119"/>
      <c r="AG1285" s="119"/>
      <c r="AI1285">
        <f t="shared" si="732"/>
        <v>331</v>
      </c>
      <c r="AJ1285" t="str">
        <f t="shared" si="727"/>
        <v>NA</v>
      </c>
      <c r="AK1285" t="str">
        <f>IF(ISERROR(MATCH(AI1285&amp;"."&amp;AJ1285,AK$91:AK1284,0)),AI1285&amp;"."&amp;AJ1285,AI1285&amp;"."&amp;AJ1285&amp;COUNTIFS(AI$91:AI1284,AI1285,AJ$91:AJ1284,AJ1285))</f>
        <v>331.NA2</v>
      </c>
    </row>
    <row r="1286" spans="1:37" ht="15" hidden="1">
      <c r="A1286" s="120">
        <f>ROW()</f>
        <v>1286</v>
      </c>
      <c r="B1286" s="120"/>
      <c r="C1286" s="1">
        <v>332</v>
      </c>
      <c r="D1286" s="2" t="s">
        <v>518</v>
      </c>
      <c r="E1286" s="121"/>
      <c r="F1286" s="138"/>
      <c r="G1286" s="119"/>
      <c r="X1286" s="3"/>
      <c r="AD1286" s="119"/>
      <c r="AE1286" s="119"/>
      <c r="AF1286" s="119"/>
      <c r="AG1286" s="119"/>
      <c r="AI1286">
        <f t="shared" si="732"/>
        <v>332</v>
      </c>
      <c r="AJ1286" t="str">
        <f t="shared" si="727"/>
        <v>NA</v>
      </c>
      <c r="AK1286" t="str">
        <f>IF(ISERROR(MATCH(AI1286&amp;"."&amp;AJ1286,AK$91:AK1285,0)),AI1286&amp;"."&amp;AJ1286,AI1286&amp;"."&amp;AJ1286&amp;COUNTIFS(AI$91:AI1285,AI1286,AJ$91:AJ1285,AJ1286))</f>
        <v>332.NA</v>
      </c>
    </row>
    <row r="1287" spans="1:37" ht="15" hidden="1">
      <c r="A1287" s="120">
        <f>ROW()</f>
        <v>1287</v>
      </c>
      <c r="B1287" s="120"/>
      <c r="C1287" s="1"/>
      <c r="E1287" s="121" t="s">
        <v>15</v>
      </c>
      <c r="F1287" s="138" t="str">
        <f>INDEX(FuncAllocOptions,ROW(A1287)-ROW($A$92)+1,[4]Inputs!$S$11)</f>
        <v>P</v>
      </c>
      <c r="G1287" s="117" t="e">
        <f>SUMIF(FERCJAMFactor,AK1287,JAMValue)</f>
        <v>#VALUE!</v>
      </c>
      <c r="H1287" s="116" t="e">
        <f t="shared" ref="H1287:L1290" si="740">INDEX(FuncFactorTbl,MATCH($F1287,FuncFactors,0),MATCH(H$8,Functions,0))*$G1287</f>
        <v>#VALUE!</v>
      </c>
      <c r="I1287" s="116" t="e">
        <f t="shared" si="740"/>
        <v>#VALUE!</v>
      </c>
      <c r="J1287" s="116" t="e">
        <f t="shared" si="740"/>
        <v>#VALUE!</v>
      </c>
      <c r="K1287" s="116" t="e">
        <f t="shared" si="740"/>
        <v>#VALUE!</v>
      </c>
      <c r="L1287" s="116" t="e">
        <f t="shared" si="740"/>
        <v>#VALUE!</v>
      </c>
      <c r="N1287" s="108">
        <v>0.75</v>
      </c>
      <c r="O1287" s="116" t="e">
        <f>$H1287*$N1287*$M1287</f>
        <v>#VALUE!</v>
      </c>
      <c r="P1287" s="116" t="e">
        <f>$H1287*(1-$N1287)*$M1287</f>
        <v>#VALUE!</v>
      </c>
      <c r="Q1287" s="116" t="e">
        <f>$H1287*$N1287*(1-$M1287)</f>
        <v>#VALUE!</v>
      </c>
      <c r="R1287" s="116" t="e">
        <f>$H1287*(1-$N1287)*(1-$M1287)</f>
        <v>#VALUE!</v>
      </c>
      <c r="T1287" s="116">
        <v>0</v>
      </c>
      <c r="U1287" s="116">
        <v>0</v>
      </c>
      <c r="V1287" s="116">
        <v>0</v>
      </c>
      <c r="W1287" s="116">
        <v>0</v>
      </c>
      <c r="X1287" s="3"/>
      <c r="AD1287" s="117" t="e">
        <f>ROUND(SUM(-G1287,H1287:L1287),0)</f>
        <v>#VALUE!</v>
      </c>
      <c r="AE1287" s="117" t="e">
        <f>ROUND(H1287-O1287-P1287-Q1287-R1287,0)</f>
        <v>#VALUE!</v>
      </c>
      <c r="AF1287" s="117" t="e">
        <f>ROUND(I1287-T1287-U1287-V1287-W1287,0)</f>
        <v>#VALUE!</v>
      </c>
      <c r="AG1287" s="117" t="e">
        <f>ROUND(J1287-Y1287-Z1287-AA1287-AC1287-AB1287,0)</f>
        <v>#VALUE!</v>
      </c>
      <c r="AH1287" s="116"/>
      <c r="AI1287">
        <f t="shared" si="732"/>
        <v>332</v>
      </c>
      <c r="AJ1287" t="str">
        <f t="shared" si="727"/>
        <v>SG</v>
      </c>
      <c r="AK1287" t="str">
        <f>IF(ISERROR(MATCH(AI1287&amp;"."&amp;AJ1287,AK$91:AK1286,0)),AI1287&amp;"."&amp;AJ1287,AI1287&amp;"."&amp;AJ1287&amp;COUNTIFS(AI$91:AI1286,AI1287,AJ$91:AJ1286,AJ1287))</f>
        <v>332.SG</v>
      </c>
    </row>
    <row r="1288" spans="1:37" ht="15" hidden="1">
      <c r="A1288" s="120">
        <f>ROW()</f>
        <v>1288</v>
      </c>
      <c r="B1288" s="120"/>
      <c r="C1288" s="1"/>
      <c r="E1288" s="121" t="s">
        <v>15</v>
      </c>
      <c r="F1288" s="138" t="str">
        <f>INDEX(FuncAllocOptions,ROW(A1288)-ROW($A$92)+1,[4]Inputs!$S$11)</f>
        <v>P</v>
      </c>
      <c r="G1288" s="117" t="e">
        <f>SUMIF(FERCJAMFactor,AK1288,JAMValue)</f>
        <v>#VALUE!</v>
      </c>
      <c r="H1288" s="116" t="e">
        <f t="shared" si="740"/>
        <v>#VALUE!</v>
      </c>
      <c r="I1288" s="116" t="e">
        <f t="shared" si="740"/>
        <v>#VALUE!</v>
      </c>
      <c r="J1288" s="116" t="e">
        <f t="shared" si="740"/>
        <v>#VALUE!</v>
      </c>
      <c r="K1288" s="116" t="e">
        <f t="shared" si="740"/>
        <v>#VALUE!</v>
      </c>
      <c r="L1288" s="116" t="e">
        <f t="shared" si="740"/>
        <v>#VALUE!</v>
      </c>
      <c r="N1288" s="108">
        <v>0.75</v>
      </c>
      <c r="O1288" s="116" t="e">
        <f>$H1288*$N1288*$M1288</f>
        <v>#VALUE!</v>
      </c>
      <c r="P1288" s="116" t="e">
        <f>$H1288*(1-$N1288)*$M1288</f>
        <v>#VALUE!</v>
      </c>
      <c r="Q1288" s="116" t="e">
        <f>$H1288*$N1288*(1-$M1288)</f>
        <v>#VALUE!</v>
      </c>
      <c r="R1288" s="116" t="e">
        <f>$H1288*(1-$N1288)*(1-$M1288)</f>
        <v>#VALUE!</v>
      </c>
      <c r="T1288" s="116">
        <v>0</v>
      </c>
      <c r="U1288" s="116">
        <v>0</v>
      </c>
      <c r="V1288" s="116">
        <v>0</v>
      </c>
      <c r="W1288" s="116">
        <v>0</v>
      </c>
      <c r="X1288" s="3"/>
      <c r="AD1288" s="117" t="e">
        <f>ROUND(SUM(-G1288,H1288:L1288),0)</f>
        <v>#VALUE!</v>
      </c>
      <c r="AE1288" s="117" t="e">
        <f>ROUND(H1288-O1288-P1288-Q1288-R1288,0)</f>
        <v>#VALUE!</v>
      </c>
      <c r="AF1288" s="117" t="e">
        <f>ROUND(I1288-T1288-U1288-V1288-W1288,0)</f>
        <v>#VALUE!</v>
      </c>
      <c r="AG1288" s="117" t="e">
        <f>ROUND(J1288-Y1288-Z1288-AA1288-AC1288-AB1288,0)</f>
        <v>#VALUE!</v>
      </c>
      <c r="AH1288" s="116"/>
      <c r="AI1288">
        <f t="shared" si="732"/>
        <v>332</v>
      </c>
      <c r="AJ1288" t="str">
        <f t="shared" si="727"/>
        <v>SG</v>
      </c>
      <c r="AK1288" t="str">
        <f>IF(ISERROR(MATCH(AI1288&amp;"."&amp;AJ1288,AK$91:AK1287,0)),AI1288&amp;"."&amp;AJ1288,AI1288&amp;"."&amp;AJ1288&amp;COUNTIFS(AI$91:AI1287,AI1288,AJ$91:AJ1287,AJ1288))</f>
        <v>332.SG1</v>
      </c>
    </row>
    <row r="1289" spans="1:37" ht="15" hidden="1">
      <c r="A1289" s="120">
        <f>ROW()</f>
        <v>1289</v>
      </c>
      <c r="B1289" s="120"/>
      <c r="C1289" s="1"/>
      <c r="E1289" s="121" t="s">
        <v>15</v>
      </c>
      <c r="F1289" s="138" t="str">
        <f>INDEX(FuncAllocOptions,ROW(A1289)-ROW($A$92)+1,[4]Inputs!$S$11)</f>
        <v>P</v>
      </c>
      <c r="G1289" s="117" t="e">
        <f>SUMIF(FERCJAMFactor,AK1289,JAMValue)</f>
        <v>#VALUE!</v>
      </c>
      <c r="H1289" s="116" t="e">
        <f t="shared" si="740"/>
        <v>#VALUE!</v>
      </c>
      <c r="I1289" s="116" t="e">
        <f t="shared" si="740"/>
        <v>#VALUE!</v>
      </c>
      <c r="J1289" s="116" t="e">
        <f t="shared" si="740"/>
        <v>#VALUE!</v>
      </c>
      <c r="K1289" s="116" t="e">
        <f t="shared" si="740"/>
        <v>#VALUE!</v>
      </c>
      <c r="L1289" s="116" t="e">
        <f t="shared" si="740"/>
        <v>#VALUE!</v>
      </c>
      <c r="N1289" s="108">
        <v>0.75</v>
      </c>
      <c r="O1289" s="116" t="e">
        <f>$H1289*$N1289*$M1289</f>
        <v>#VALUE!</v>
      </c>
      <c r="P1289" s="116" t="e">
        <f>$H1289*(1-$N1289)*$M1289</f>
        <v>#VALUE!</v>
      </c>
      <c r="Q1289" s="116" t="e">
        <f>$H1289*$N1289*(1-$M1289)</f>
        <v>#VALUE!</v>
      </c>
      <c r="R1289" s="116" t="e">
        <f>$H1289*(1-$N1289)*(1-$M1289)</f>
        <v>#VALUE!</v>
      </c>
      <c r="T1289" s="116">
        <v>0</v>
      </c>
      <c r="U1289" s="116">
        <v>0</v>
      </c>
      <c r="V1289" s="116">
        <v>0</v>
      </c>
      <c r="W1289" s="116">
        <v>0</v>
      </c>
      <c r="X1289" s="3"/>
      <c r="AD1289" s="117" t="e">
        <f>ROUND(SUM(-G1289,H1289:L1289),0)</f>
        <v>#VALUE!</v>
      </c>
      <c r="AE1289" s="117" t="e">
        <f>ROUND(H1289-O1289-P1289-Q1289-R1289,0)</f>
        <v>#VALUE!</v>
      </c>
      <c r="AF1289" s="117" t="e">
        <f>ROUND(I1289-T1289-U1289-V1289-W1289,0)</f>
        <v>#VALUE!</v>
      </c>
      <c r="AG1289" s="117" t="e">
        <f>ROUND(J1289-Y1289-Z1289-AA1289-AC1289-AB1289,0)</f>
        <v>#VALUE!</v>
      </c>
      <c r="AH1289" s="116"/>
      <c r="AI1289">
        <f t="shared" si="732"/>
        <v>332</v>
      </c>
      <c r="AJ1289" t="str">
        <f t="shared" si="727"/>
        <v>SG</v>
      </c>
      <c r="AK1289" t="str">
        <f>IF(ISERROR(MATCH(AI1289&amp;"."&amp;AJ1289,AK$91:AK1288,0)),AI1289&amp;"."&amp;AJ1289,AI1289&amp;"."&amp;AJ1289&amp;COUNTIFS(AI$91:AI1288,AI1289,AJ$91:AJ1288,AJ1289))</f>
        <v>332.SG2</v>
      </c>
    </row>
    <row r="1290" spans="1:37" ht="15" hidden="1">
      <c r="A1290" s="120">
        <f>ROW()</f>
        <v>1290</v>
      </c>
      <c r="B1290" s="120"/>
      <c r="C1290" s="1"/>
      <c r="E1290" s="121" t="s">
        <v>15</v>
      </c>
      <c r="F1290" s="138" t="str">
        <f>INDEX(FuncAllocOptions,ROW(A1290)-ROW($A$92)+1,[4]Inputs!$S$11)</f>
        <v>P</v>
      </c>
      <c r="G1290" s="133" t="e">
        <f>SUMIF(FERCJAMFactor,AK1290,JAMValue)</f>
        <v>#VALUE!</v>
      </c>
      <c r="H1290" s="139" t="e">
        <f t="shared" si="740"/>
        <v>#VALUE!</v>
      </c>
      <c r="I1290" s="139" t="e">
        <f t="shared" si="740"/>
        <v>#VALUE!</v>
      </c>
      <c r="J1290" s="139" t="e">
        <f t="shared" si="740"/>
        <v>#VALUE!</v>
      </c>
      <c r="K1290" s="139" t="e">
        <f t="shared" si="740"/>
        <v>#VALUE!</v>
      </c>
      <c r="L1290" s="139" t="e">
        <f t="shared" si="740"/>
        <v>#VALUE!</v>
      </c>
      <c r="N1290" s="108">
        <v>0.75</v>
      </c>
      <c r="O1290" s="116" t="e">
        <f>$H1290*$N1290*$M1290</f>
        <v>#VALUE!</v>
      </c>
      <c r="P1290" s="116" t="e">
        <f>$H1290*(1-$N1290)*$M1290</f>
        <v>#VALUE!</v>
      </c>
      <c r="Q1290" s="116" t="e">
        <f>$H1290*$N1290*(1-$M1290)</f>
        <v>#VALUE!</v>
      </c>
      <c r="R1290" s="116" t="e">
        <f>$H1290*(1-$N1290)*(1-$M1290)</f>
        <v>#VALUE!</v>
      </c>
      <c r="T1290" s="116"/>
      <c r="U1290" s="116"/>
      <c r="V1290" s="116"/>
      <c r="W1290" s="116"/>
      <c r="X1290" s="3"/>
      <c r="AD1290" s="117" t="e">
        <f>ROUND(SUM(-G1290,H1290:L1290),0)</f>
        <v>#VALUE!</v>
      </c>
      <c r="AE1290" s="117" t="e">
        <f>ROUND(H1290-O1290-P1290-Q1290-R1290,0)</f>
        <v>#VALUE!</v>
      </c>
      <c r="AF1290" s="117" t="e">
        <f>ROUND(I1290-T1290-U1290-V1290-W1290,0)</f>
        <v>#VALUE!</v>
      </c>
      <c r="AG1290" s="117" t="e">
        <f>ROUND(J1290-Y1290-Z1290-AA1290-AC1290-AB1290,0)</f>
        <v>#VALUE!</v>
      </c>
      <c r="AH1290" s="116"/>
      <c r="AI1290">
        <f t="shared" si="732"/>
        <v>332</v>
      </c>
      <c r="AJ1290" t="str">
        <f t="shared" si="727"/>
        <v>SG</v>
      </c>
      <c r="AK1290" t="str">
        <f>IF(ISERROR(MATCH(AI1290&amp;"."&amp;AJ1290,AK$91:AK1289,0)),AI1290&amp;"."&amp;AJ1290,AI1290&amp;"."&amp;AJ1290&amp;COUNTIFS(AI$91:AI1289,AI1290,AJ$91:AJ1289,AJ1290))</f>
        <v>332.SG3</v>
      </c>
    </row>
    <row r="1291" spans="1:37" ht="15" hidden="1">
      <c r="A1291" s="120">
        <f>ROW()</f>
        <v>1291</v>
      </c>
      <c r="B1291" s="120"/>
      <c r="C1291" s="1"/>
      <c r="E1291" s="121"/>
      <c r="F1291" s="138"/>
      <c r="G1291" s="117" t="e">
        <f t="shared" ref="G1291:L1291" si="741">SUM(G1287:G1290)</f>
        <v>#VALUE!</v>
      </c>
      <c r="H1291" s="116" t="e">
        <f t="shared" si="741"/>
        <v>#VALUE!</v>
      </c>
      <c r="I1291" s="116" t="e">
        <f t="shared" si="741"/>
        <v>#VALUE!</v>
      </c>
      <c r="J1291" s="116" t="e">
        <f t="shared" si="741"/>
        <v>#VALUE!</v>
      </c>
      <c r="K1291" s="116" t="e">
        <f t="shared" si="741"/>
        <v>#VALUE!</v>
      </c>
      <c r="L1291" s="116" t="e">
        <f t="shared" si="741"/>
        <v>#VALUE!</v>
      </c>
      <c r="O1291" s="116" t="e">
        <f>SUM(O1287:O1290)</f>
        <v>#VALUE!</v>
      </c>
      <c r="P1291" s="116" t="e">
        <f>SUM(P1287:P1290)</f>
        <v>#VALUE!</v>
      </c>
      <c r="Q1291" s="116" t="e">
        <f>SUM(Q1287:Q1290)</f>
        <v>#VALUE!</v>
      </c>
      <c r="R1291" s="116" t="e">
        <f>SUM(R1287:R1290)</f>
        <v>#VALUE!</v>
      </c>
      <c r="T1291" s="116">
        <f>SUM(T1287:T1290)</f>
        <v>0</v>
      </c>
      <c r="U1291" s="116">
        <f>SUM(U1287:U1290)</f>
        <v>0</v>
      </c>
      <c r="V1291" s="116">
        <f>SUM(V1287:V1290)</f>
        <v>0</v>
      </c>
      <c r="W1291" s="116">
        <f>SUM(W1287:W1290)</f>
        <v>0</v>
      </c>
      <c r="X1291" s="3"/>
      <c r="Y1291" s="116">
        <f>SUM(Y1287:Y1290)</f>
        <v>0</v>
      </c>
      <c r="Z1291" s="116">
        <f>SUM(Z1287:Z1290)</f>
        <v>0</v>
      </c>
      <c r="AA1291" s="116">
        <f>SUM(AA1287:AA1290)</f>
        <v>0</v>
      </c>
      <c r="AB1291" s="116">
        <f>SUM(AB1287:AB1290)</f>
        <v>0</v>
      </c>
      <c r="AC1291" s="116">
        <f>SUM(AC1287:AC1290)</f>
        <v>0</v>
      </c>
      <c r="AD1291" s="117" t="e">
        <f>ROUND(SUM(-G1291,H1291:L1291),0)</f>
        <v>#VALUE!</v>
      </c>
      <c r="AE1291" s="117" t="e">
        <f>ROUND(H1291-O1291-P1291-Q1291-R1291,0)</f>
        <v>#VALUE!</v>
      </c>
      <c r="AF1291" s="117" t="e">
        <f>ROUND(I1291-T1291-U1291-V1291-W1291,0)</f>
        <v>#VALUE!</v>
      </c>
      <c r="AG1291" s="117" t="e">
        <f>ROUND(J1291-Y1291-Z1291-AA1291-AC1291-AB1291,0)</f>
        <v>#VALUE!</v>
      </c>
      <c r="AH1291" s="116"/>
      <c r="AI1291">
        <f t="shared" si="732"/>
        <v>332</v>
      </c>
      <c r="AJ1291" t="str">
        <f t="shared" si="727"/>
        <v>NA</v>
      </c>
      <c r="AK1291" t="str">
        <f>IF(ISERROR(MATCH(AI1291&amp;"."&amp;AJ1291,AK$91:AK1290,0)),AI1291&amp;"."&amp;AJ1291,AI1291&amp;"."&amp;AJ1291&amp;COUNTIFS(AI$91:AI1290,AI1291,AJ$91:AJ1290,AJ1291))</f>
        <v>332.NA1</v>
      </c>
    </row>
    <row r="1292" spans="1:37" ht="15" hidden="1">
      <c r="A1292" s="120">
        <f>ROW()</f>
        <v>1292</v>
      </c>
      <c r="B1292" s="120"/>
      <c r="C1292" s="1"/>
      <c r="E1292" s="121"/>
      <c r="F1292" s="138"/>
      <c r="G1292" s="119"/>
      <c r="X1292" s="3"/>
      <c r="AD1292" s="119"/>
      <c r="AE1292" s="119"/>
      <c r="AF1292" s="119"/>
      <c r="AG1292" s="119"/>
      <c r="AI1292">
        <f t="shared" si="732"/>
        <v>332</v>
      </c>
      <c r="AJ1292" t="str">
        <f t="shared" si="727"/>
        <v>NA</v>
      </c>
      <c r="AK1292" t="str">
        <f>IF(ISERROR(MATCH(AI1292&amp;"."&amp;AJ1292,AK$91:AK1291,0)),AI1292&amp;"."&amp;AJ1292,AI1292&amp;"."&amp;AJ1292&amp;COUNTIFS(AI$91:AI1291,AI1292,AJ$91:AJ1291,AJ1292))</f>
        <v>332.NA2</v>
      </c>
    </row>
    <row r="1293" spans="1:37" ht="15" hidden="1">
      <c r="A1293" s="120">
        <f>ROW()</f>
        <v>1293</v>
      </c>
      <c r="B1293" s="120"/>
      <c r="C1293" s="1">
        <v>333</v>
      </c>
      <c r="D1293" s="2" t="s">
        <v>519</v>
      </c>
      <c r="E1293" s="121"/>
      <c r="F1293" s="138"/>
      <c r="G1293" s="119"/>
      <c r="X1293" s="3"/>
      <c r="AD1293" s="119"/>
      <c r="AE1293" s="119"/>
      <c r="AF1293" s="119"/>
      <c r="AG1293" s="119"/>
      <c r="AI1293">
        <f t="shared" si="732"/>
        <v>333</v>
      </c>
      <c r="AJ1293" t="str">
        <f t="shared" si="727"/>
        <v>NA</v>
      </c>
      <c r="AK1293" t="str">
        <f>IF(ISERROR(MATCH(AI1293&amp;"."&amp;AJ1293,AK$91:AK1292,0)),AI1293&amp;"."&amp;AJ1293,AI1293&amp;"."&amp;AJ1293&amp;COUNTIFS(AI$91:AI1292,AI1293,AJ$91:AJ1292,AJ1293))</f>
        <v>333.NA</v>
      </c>
    </row>
    <row r="1294" spans="1:37" ht="15" hidden="1">
      <c r="A1294" s="120">
        <f>ROW()</f>
        <v>1294</v>
      </c>
      <c r="B1294" s="120"/>
      <c r="C1294" s="1"/>
      <c r="E1294" s="121" t="s">
        <v>15</v>
      </c>
      <c r="F1294" s="138" t="str">
        <f>INDEX(FuncAllocOptions,ROW(A1294)-ROW($A$92)+1,[4]Inputs!$S$11)</f>
        <v>P</v>
      </c>
      <c r="G1294" s="117" t="e">
        <f>SUMIF(FERCJAMFactor,AK1294,JAMValue)</f>
        <v>#VALUE!</v>
      </c>
      <c r="H1294" s="116" t="e">
        <f t="shared" ref="H1294:L1297" si="742">INDEX(FuncFactorTbl,MATCH($F1294,FuncFactors,0),MATCH(H$8,Functions,0))*$G1294</f>
        <v>#VALUE!</v>
      </c>
      <c r="I1294" s="116" t="e">
        <f t="shared" si="742"/>
        <v>#VALUE!</v>
      </c>
      <c r="J1294" s="116" t="e">
        <f t="shared" si="742"/>
        <v>#VALUE!</v>
      </c>
      <c r="K1294" s="116" t="e">
        <f t="shared" si="742"/>
        <v>#VALUE!</v>
      </c>
      <c r="L1294" s="116" t="e">
        <f t="shared" si="742"/>
        <v>#VALUE!</v>
      </c>
      <c r="N1294" s="108">
        <v>0.75</v>
      </c>
      <c r="O1294" s="116" t="e">
        <f>$H1294*$N1294*$M1294</f>
        <v>#VALUE!</v>
      </c>
      <c r="P1294" s="116" t="e">
        <f>$H1294*(1-$N1294)*$M1294</f>
        <v>#VALUE!</v>
      </c>
      <c r="Q1294" s="116" t="e">
        <f>$H1294*$N1294*(1-$M1294)</f>
        <v>#VALUE!</v>
      </c>
      <c r="R1294" s="116" t="e">
        <f>$H1294*(1-$N1294)*(1-$M1294)</f>
        <v>#VALUE!</v>
      </c>
      <c r="T1294" s="116">
        <v>0</v>
      </c>
      <c r="U1294" s="116">
        <v>0</v>
      </c>
      <c r="V1294" s="116">
        <v>0</v>
      </c>
      <c r="W1294" s="116">
        <v>0</v>
      </c>
      <c r="X1294" s="3"/>
      <c r="AD1294" s="117" t="e">
        <f>ROUND(SUM(-G1294,H1294:L1294),0)</f>
        <v>#VALUE!</v>
      </c>
      <c r="AE1294" s="117" t="e">
        <f>ROUND(H1294-O1294-P1294-Q1294-R1294,0)</f>
        <v>#VALUE!</v>
      </c>
      <c r="AF1294" s="117" t="e">
        <f>ROUND(I1294-T1294-U1294-V1294-W1294,0)</f>
        <v>#VALUE!</v>
      </c>
      <c r="AG1294" s="117" t="e">
        <f>ROUND(J1294-Y1294-Z1294-AA1294-AC1294-AB1294,0)</f>
        <v>#VALUE!</v>
      </c>
      <c r="AH1294" s="116"/>
      <c r="AI1294">
        <f t="shared" si="732"/>
        <v>333</v>
      </c>
      <c r="AJ1294" t="str">
        <f t="shared" si="727"/>
        <v>SG</v>
      </c>
      <c r="AK1294" t="str">
        <f>IF(ISERROR(MATCH(AI1294&amp;"."&amp;AJ1294,AK$91:AK1293,0)),AI1294&amp;"."&amp;AJ1294,AI1294&amp;"."&amp;AJ1294&amp;COUNTIFS(AI$91:AI1293,AI1294,AJ$91:AJ1293,AJ1294))</f>
        <v>333.SG</v>
      </c>
    </row>
    <row r="1295" spans="1:37" ht="15" hidden="1">
      <c r="A1295" s="120">
        <f>ROW()</f>
        <v>1295</v>
      </c>
      <c r="B1295" s="120"/>
      <c r="C1295" s="1"/>
      <c r="E1295" s="121" t="s">
        <v>15</v>
      </c>
      <c r="F1295" s="138" t="str">
        <f>INDEX(FuncAllocOptions,ROW(A1295)-ROW($A$92)+1,[4]Inputs!$S$11)</f>
        <v>P</v>
      </c>
      <c r="G1295" s="117" t="e">
        <f>SUMIF(FERCJAMFactor,AK1295,JAMValue)</f>
        <v>#VALUE!</v>
      </c>
      <c r="H1295" s="116" t="e">
        <f t="shared" si="742"/>
        <v>#VALUE!</v>
      </c>
      <c r="I1295" s="116" t="e">
        <f t="shared" si="742"/>
        <v>#VALUE!</v>
      </c>
      <c r="J1295" s="116" t="e">
        <f t="shared" si="742"/>
        <v>#VALUE!</v>
      </c>
      <c r="K1295" s="116" t="e">
        <f t="shared" si="742"/>
        <v>#VALUE!</v>
      </c>
      <c r="L1295" s="116" t="e">
        <f t="shared" si="742"/>
        <v>#VALUE!</v>
      </c>
      <c r="N1295" s="108">
        <v>0.75</v>
      </c>
      <c r="O1295" s="116" t="e">
        <f>$H1295*$N1295*$M1295</f>
        <v>#VALUE!</v>
      </c>
      <c r="P1295" s="116" t="e">
        <f>$H1295*(1-$N1295)*$M1295</f>
        <v>#VALUE!</v>
      </c>
      <c r="Q1295" s="116" t="e">
        <f>$H1295*$N1295*(1-$M1295)</f>
        <v>#VALUE!</v>
      </c>
      <c r="R1295" s="116" t="e">
        <f>$H1295*(1-$N1295)*(1-$M1295)</f>
        <v>#VALUE!</v>
      </c>
      <c r="T1295" s="116">
        <v>0</v>
      </c>
      <c r="U1295" s="116">
        <v>0</v>
      </c>
      <c r="V1295" s="116">
        <v>0</v>
      </c>
      <c r="W1295" s="116">
        <v>0</v>
      </c>
      <c r="X1295" s="3"/>
      <c r="AD1295" s="117" t="e">
        <f>ROUND(SUM(-G1295,H1295:L1295),0)</f>
        <v>#VALUE!</v>
      </c>
      <c r="AE1295" s="117" t="e">
        <f>ROUND(H1295-O1295-P1295-Q1295-R1295,0)</f>
        <v>#VALUE!</v>
      </c>
      <c r="AF1295" s="117" t="e">
        <f>ROUND(I1295-T1295-U1295-V1295-W1295,0)</f>
        <v>#VALUE!</v>
      </c>
      <c r="AG1295" s="117" t="e">
        <f>ROUND(J1295-Y1295-Z1295-AA1295-AC1295-AB1295,0)</f>
        <v>#VALUE!</v>
      </c>
      <c r="AH1295" s="116"/>
      <c r="AI1295">
        <f t="shared" si="732"/>
        <v>333</v>
      </c>
      <c r="AJ1295" t="str">
        <f t="shared" si="727"/>
        <v>SG</v>
      </c>
      <c r="AK1295" t="str">
        <f>IF(ISERROR(MATCH(AI1295&amp;"."&amp;AJ1295,AK$91:AK1294,0)),AI1295&amp;"."&amp;AJ1295,AI1295&amp;"."&amp;AJ1295&amp;COUNTIFS(AI$91:AI1294,AI1295,AJ$91:AJ1294,AJ1295))</f>
        <v>333.SG1</v>
      </c>
    </row>
    <row r="1296" spans="1:37" ht="15" hidden="1">
      <c r="A1296" s="120">
        <f>ROW()</f>
        <v>1296</v>
      </c>
      <c r="B1296" s="120"/>
      <c r="C1296" s="1"/>
      <c r="E1296" s="121" t="s">
        <v>15</v>
      </c>
      <c r="F1296" s="138" t="str">
        <f>INDEX(FuncAllocOptions,ROW(A1296)-ROW($A$92)+1,[4]Inputs!$S$11)</f>
        <v>P</v>
      </c>
      <c r="G1296" s="117" t="e">
        <f>SUMIF(FERCJAMFactor,AK1296,JAMValue)</f>
        <v>#VALUE!</v>
      </c>
      <c r="H1296" s="116" t="e">
        <f t="shared" si="742"/>
        <v>#VALUE!</v>
      </c>
      <c r="I1296" s="116" t="e">
        <f t="shared" si="742"/>
        <v>#VALUE!</v>
      </c>
      <c r="J1296" s="116" t="e">
        <f t="shared" si="742"/>
        <v>#VALUE!</v>
      </c>
      <c r="K1296" s="116" t="e">
        <f t="shared" si="742"/>
        <v>#VALUE!</v>
      </c>
      <c r="L1296" s="116" t="e">
        <f t="shared" si="742"/>
        <v>#VALUE!</v>
      </c>
      <c r="N1296" s="108">
        <v>0.75</v>
      </c>
      <c r="O1296" s="116" t="e">
        <f>$H1296*$N1296*$M1296</f>
        <v>#VALUE!</v>
      </c>
      <c r="P1296" s="116" t="e">
        <f>$H1296*(1-$N1296)*$M1296</f>
        <v>#VALUE!</v>
      </c>
      <c r="Q1296" s="116" t="e">
        <f>$H1296*$N1296*(1-$M1296)</f>
        <v>#VALUE!</v>
      </c>
      <c r="R1296" s="116" t="e">
        <f>$H1296*(1-$N1296)*(1-$M1296)</f>
        <v>#VALUE!</v>
      </c>
      <c r="T1296" s="116">
        <v>0</v>
      </c>
      <c r="U1296" s="116">
        <v>0</v>
      </c>
      <c r="V1296" s="116">
        <v>0</v>
      </c>
      <c r="W1296" s="116">
        <v>0</v>
      </c>
      <c r="X1296" s="3"/>
      <c r="AD1296" s="117" t="e">
        <f>ROUND(SUM(-G1296,H1296:L1296),0)</f>
        <v>#VALUE!</v>
      </c>
      <c r="AE1296" s="117" t="e">
        <f>ROUND(H1296-O1296-P1296-Q1296-R1296,0)</f>
        <v>#VALUE!</v>
      </c>
      <c r="AF1296" s="117" t="e">
        <f>ROUND(I1296-T1296-U1296-V1296-W1296,0)</f>
        <v>#VALUE!</v>
      </c>
      <c r="AG1296" s="117" t="e">
        <f>ROUND(J1296-Y1296-Z1296-AA1296-AC1296-AB1296,0)</f>
        <v>#VALUE!</v>
      </c>
      <c r="AH1296" s="116"/>
      <c r="AI1296">
        <f t="shared" si="732"/>
        <v>333</v>
      </c>
      <c r="AJ1296" t="str">
        <f t="shared" si="727"/>
        <v>SG</v>
      </c>
      <c r="AK1296" t="str">
        <f>IF(ISERROR(MATCH(AI1296&amp;"."&amp;AJ1296,AK$91:AK1295,0)),AI1296&amp;"."&amp;AJ1296,AI1296&amp;"."&amp;AJ1296&amp;COUNTIFS(AI$91:AI1295,AI1296,AJ$91:AJ1295,AJ1296))</f>
        <v>333.SG2</v>
      </c>
    </row>
    <row r="1297" spans="1:37" ht="15" hidden="1">
      <c r="A1297" s="120">
        <f>ROW()</f>
        <v>1297</v>
      </c>
      <c r="B1297" s="120"/>
      <c r="C1297" s="1"/>
      <c r="E1297" s="121" t="s">
        <v>15</v>
      </c>
      <c r="F1297" s="138" t="str">
        <f>INDEX(FuncAllocOptions,ROW(A1297)-ROW($A$92)+1,[4]Inputs!$S$11)</f>
        <v>P</v>
      </c>
      <c r="G1297" s="133" t="e">
        <f>SUMIF(FERCJAMFactor,AK1297,JAMValue)</f>
        <v>#VALUE!</v>
      </c>
      <c r="H1297" s="139" t="e">
        <f t="shared" si="742"/>
        <v>#VALUE!</v>
      </c>
      <c r="I1297" s="139" t="e">
        <f t="shared" si="742"/>
        <v>#VALUE!</v>
      </c>
      <c r="J1297" s="139" t="e">
        <f t="shared" si="742"/>
        <v>#VALUE!</v>
      </c>
      <c r="K1297" s="139" t="e">
        <f t="shared" si="742"/>
        <v>#VALUE!</v>
      </c>
      <c r="L1297" s="139" t="e">
        <f t="shared" si="742"/>
        <v>#VALUE!</v>
      </c>
      <c r="N1297" s="108">
        <v>0.75</v>
      </c>
      <c r="O1297" s="116" t="e">
        <f>$H1297*$N1297*$M1297</f>
        <v>#VALUE!</v>
      </c>
      <c r="P1297" s="116" t="e">
        <f>$H1297*(1-$N1297)*$M1297</f>
        <v>#VALUE!</v>
      </c>
      <c r="Q1297" s="116" t="e">
        <f>$H1297*$N1297*(1-$M1297)</f>
        <v>#VALUE!</v>
      </c>
      <c r="R1297" s="116" t="e">
        <f>$H1297*(1-$N1297)*(1-$M1297)</f>
        <v>#VALUE!</v>
      </c>
      <c r="T1297" s="116"/>
      <c r="U1297" s="116"/>
      <c r="V1297" s="116"/>
      <c r="W1297" s="116"/>
      <c r="X1297" s="3"/>
      <c r="AD1297" s="117" t="e">
        <f>ROUND(SUM(-G1297,H1297:L1297),0)</f>
        <v>#VALUE!</v>
      </c>
      <c r="AE1297" s="117" t="e">
        <f>ROUND(H1297-O1297-P1297-Q1297-R1297,0)</f>
        <v>#VALUE!</v>
      </c>
      <c r="AF1297" s="117" t="e">
        <f>ROUND(I1297-T1297-U1297-V1297-W1297,0)</f>
        <v>#VALUE!</v>
      </c>
      <c r="AG1297" s="117" t="e">
        <f>ROUND(J1297-Y1297-Z1297-AA1297-AC1297-AB1297,0)</f>
        <v>#VALUE!</v>
      </c>
      <c r="AH1297" s="116"/>
      <c r="AI1297">
        <f t="shared" si="732"/>
        <v>333</v>
      </c>
      <c r="AJ1297" t="str">
        <f t="shared" si="727"/>
        <v>SG</v>
      </c>
      <c r="AK1297" t="str">
        <f>IF(ISERROR(MATCH(AI1297&amp;"."&amp;AJ1297,AK$91:AK1296,0)),AI1297&amp;"."&amp;AJ1297,AI1297&amp;"."&amp;AJ1297&amp;COUNTIFS(AI$91:AI1296,AI1297,AJ$91:AJ1296,AJ1297))</f>
        <v>333.SG3</v>
      </c>
    </row>
    <row r="1298" spans="1:37" ht="15" hidden="1">
      <c r="A1298" s="120">
        <f>ROW()</f>
        <v>1298</v>
      </c>
      <c r="B1298" s="120"/>
      <c r="C1298" s="1"/>
      <c r="E1298" s="121"/>
      <c r="F1298" s="138"/>
      <c r="G1298" s="117" t="e">
        <f t="shared" ref="G1298:L1298" si="743">SUM(G1294:G1297)</f>
        <v>#VALUE!</v>
      </c>
      <c r="H1298" s="116" t="e">
        <f t="shared" si="743"/>
        <v>#VALUE!</v>
      </c>
      <c r="I1298" s="116" t="e">
        <f t="shared" si="743"/>
        <v>#VALUE!</v>
      </c>
      <c r="J1298" s="116" t="e">
        <f t="shared" si="743"/>
        <v>#VALUE!</v>
      </c>
      <c r="K1298" s="116" t="e">
        <f t="shared" si="743"/>
        <v>#VALUE!</v>
      </c>
      <c r="L1298" s="116" t="e">
        <f t="shared" si="743"/>
        <v>#VALUE!</v>
      </c>
      <c r="O1298" s="116" t="e">
        <f>SUM(O1294:O1297)</f>
        <v>#VALUE!</v>
      </c>
      <c r="P1298" s="116" t="e">
        <f>SUM(P1294:P1297)</f>
        <v>#VALUE!</v>
      </c>
      <c r="Q1298" s="116" t="e">
        <f>SUM(Q1294:Q1297)</f>
        <v>#VALUE!</v>
      </c>
      <c r="R1298" s="116" t="e">
        <f>SUM(R1294:R1297)</f>
        <v>#VALUE!</v>
      </c>
      <c r="T1298" s="116">
        <f>SUM(T1294:T1297)</f>
        <v>0</v>
      </c>
      <c r="U1298" s="116">
        <f>SUM(U1294:U1297)</f>
        <v>0</v>
      </c>
      <c r="V1298" s="116">
        <f>SUM(V1294:V1297)</f>
        <v>0</v>
      </c>
      <c r="W1298" s="116">
        <f>SUM(W1294:W1297)</f>
        <v>0</v>
      </c>
      <c r="X1298" s="3"/>
      <c r="Y1298" s="116">
        <f>SUM(Y1294:Y1297)</f>
        <v>0</v>
      </c>
      <c r="Z1298" s="116">
        <f>SUM(Z1294:Z1297)</f>
        <v>0</v>
      </c>
      <c r="AA1298" s="116">
        <f>SUM(AA1294:AA1297)</f>
        <v>0</v>
      </c>
      <c r="AB1298" s="116">
        <f>SUM(AB1294:AB1297)</f>
        <v>0</v>
      </c>
      <c r="AC1298" s="116">
        <f>SUM(AC1294:AC1297)</f>
        <v>0</v>
      </c>
      <c r="AD1298" s="117" t="e">
        <f>ROUND(SUM(-G1298,H1298:L1298),0)</f>
        <v>#VALUE!</v>
      </c>
      <c r="AE1298" s="117" t="e">
        <f>ROUND(H1298-O1298-P1298-Q1298-R1298,0)</f>
        <v>#VALUE!</v>
      </c>
      <c r="AF1298" s="117" t="e">
        <f>ROUND(I1298-T1298-U1298-V1298-W1298,0)</f>
        <v>#VALUE!</v>
      </c>
      <c r="AG1298" s="117" t="e">
        <f>ROUND(J1298-Y1298-Z1298-AA1298-AC1298-AB1298,0)</f>
        <v>#VALUE!</v>
      </c>
      <c r="AH1298" s="116"/>
      <c r="AI1298">
        <f t="shared" si="732"/>
        <v>333</v>
      </c>
      <c r="AJ1298" t="str">
        <f t="shared" si="727"/>
        <v>NA</v>
      </c>
      <c r="AK1298" t="str">
        <f>IF(ISERROR(MATCH(AI1298&amp;"."&amp;AJ1298,AK$91:AK1297,0)),AI1298&amp;"."&amp;AJ1298,AI1298&amp;"."&amp;AJ1298&amp;COUNTIFS(AI$91:AI1297,AI1298,AJ$91:AJ1297,AJ1298))</f>
        <v>333.NA1</v>
      </c>
    </row>
    <row r="1299" spans="1:37" ht="15" hidden="1">
      <c r="A1299" s="120">
        <f>ROW()</f>
        <v>1299</v>
      </c>
      <c r="B1299" s="120"/>
      <c r="C1299" s="1"/>
      <c r="E1299" s="121"/>
      <c r="F1299" s="138"/>
      <c r="G1299" s="119"/>
      <c r="X1299" s="3"/>
      <c r="AD1299" s="119"/>
      <c r="AE1299" s="119"/>
      <c r="AF1299" s="119"/>
      <c r="AG1299" s="119"/>
      <c r="AI1299">
        <f t="shared" si="732"/>
        <v>333</v>
      </c>
      <c r="AJ1299" t="str">
        <f t="shared" si="727"/>
        <v>NA</v>
      </c>
      <c r="AK1299" t="str">
        <f>IF(ISERROR(MATCH(AI1299&amp;"."&amp;AJ1299,AK$91:AK1298,0)),AI1299&amp;"."&amp;AJ1299,AI1299&amp;"."&amp;AJ1299&amp;COUNTIFS(AI$91:AI1298,AI1299,AJ$91:AJ1298,AJ1299))</f>
        <v>333.NA2</v>
      </c>
    </row>
    <row r="1300" spans="1:37" ht="15" hidden="1">
      <c r="A1300" s="120">
        <f>ROW()</f>
        <v>1300</v>
      </c>
      <c r="B1300" s="120"/>
      <c r="C1300" s="1">
        <v>334</v>
      </c>
      <c r="D1300" s="2" t="s">
        <v>505</v>
      </c>
      <c r="E1300" s="121"/>
      <c r="F1300" s="138"/>
      <c r="G1300" s="119"/>
      <c r="X1300" s="3"/>
      <c r="AD1300" s="119"/>
      <c r="AE1300" s="119"/>
      <c r="AF1300" s="119"/>
      <c r="AG1300" s="119"/>
      <c r="AI1300">
        <f t="shared" si="732"/>
        <v>334</v>
      </c>
      <c r="AJ1300" t="str">
        <f t="shared" si="727"/>
        <v>NA</v>
      </c>
      <c r="AK1300" t="str">
        <f>IF(ISERROR(MATCH(AI1300&amp;"."&amp;AJ1300,AK$91:AK1299,0)),AI1300&amp;"."&amp;AJ1300,AI1300&amp;"."&amp;AJ1300&amp;COUNTIFS(AI$91:AI1299,AI1300,AJ$91:AJ1299,AJ1300))</f>
        <v>334.NA</v>
      </c>
    </row>
    <row r="1301" spans="1:37" ht="15" hidden="1">
      <c r="A1301" s="120">
        <f>ROW()</f>
        <v>1301</v>
      </c>
      <c r="B1301" s="120"/>
      <c r="C1301" s="1"/>
      <c r="E1301" s="121" t="s">
        <v>15</v>
      </c>
      <c r="F1301" s="138" t="str">
        <f>INDEX(FuncAllocOptions,ROW(A1301)-ROW($A$92)+1,[4]Inputs!$S$11)</f>
        <v>P</v>
      </c>
      <c r="G1301" s="117" t="e">
        <f>SUMIF(FERCJAMFactor,AK1301,JAMValue)</f>
        <v>#VALUE!</v>
      </c>
      <c r="H1301" s="116" t="e">
        <f t="shared" ref="H1301:L1304" si="744">INDEX(FuncFactorTbl,MATCH($F1301,FuncFactors,0),MATCH(H$8,Functions,0))*$G1301</f>
        <v>#VALUE!</v>
      </c>
      <c r="I1301" s="116" t="e">
        <f t="shared" si="744"/>
        <v>#VALUE!</v>
      </c>
      <c r="J1301" s="116" t="e">
        <f t="shared" si="744"/>
        <v>#VALUE!</v>
      </c>
      <c r="K1301" s="116" t="e">
        <f t="shared" si="744"/>
        <v>#VALUE!</v>
      </c>
      <c r="L1301" s="116" t="e">
        <f t="shared" si="744"/>
        <v>#VALUE!</v>
      </c>
      <c r="N1301" s="108">
        <v>0.75</v>
      </c>
      <c r="O1301" s="116" t="e">
        <f>$H1301*$N1301*$M1301</f>
        <v>#VALUE!</v>
      </c>
      <c r="P1301" s="116" t="e">
        <f>$H1301*(1-$N1301)*$M1301</f>
        <v>#VALUE!</v>
      </c>
      <c r="Q1301" s="116" t="e">
        <f>$H1301*$N1301*(1-$M1301)</f>
        <v>#VALUE!</v>
      </c>
      <c r="R1301" s="116" t="e">
        <f>$H1301*(1-$N1301)*(1-$M1301)</f>
        <v>#VALUE!</v>
      </c>
      <c r="T1301" s="116">
        <v>0</v>
      </c>
      <c r="U1301" s="116">
        <v>0</v>
      </c>
      <c r="V1301" s="116">
        <v>0</v>
      </c>
      <c r="W1301" s="116">
        <v>0</v>
      </c>
      <c r="X1301" s="3"/>
      <c r="AD1301" s="117" t="e">
        <f>ROUND(SUM(-G1301,H1301:L1301),0)</f>
        <v>#VALUE!</v>
      </c>
      <c r="AE1301" s="117" t="e">
        <f>ROUND(H1301-O1301-P1301-Q1301-R1301,0)</f>
        <v>#VALUE!</v>
      </c>
      <c r="AF1301" s="117" t="e">
        <f>ROUND(I1301-T1301-U1301-V1301-W1301,0)</f>
        <v>#VALUE!</v>
      </c>
      <c r="AG1301" s="117" t="e">
        <f>ROUND(J1301-Y1301-Z1301-AA1301-AC1301-AB1301,0)</f>
        <v>#VALUE!</v>
      </c>
      <c r="AH1301" s="116"/>
      <c r="AI1301">
        <f t="shared" si="732"/>
        <v>334</v>
      </c>
      <c r="AJ1301" t="str">
        <f t="shared" si="727"/>
        <v>SG</v>
      </c>
      <c r="AK1301" t="str">
        <f>IF(ISERROR(MATCH(AI1301&amp;"."&amp;AJ1301,AK$91:AK1300,0)),AI1301&amp;"."&amp;AJ1301,AI1301&amp;"."&amp;AJ1301&amp;COUNTIFS(AI$91:AI1300,AI1301,AJ$91:AJ1300,AJ1301))</f>
        <v>334.SG</v>
      </c>
    </row>
    <row r="1302" spans="1:37" ht="15" hidden="1">
      <c r="A1302" s="120">
        <f>ROW()</f>
        <v>1302</v>
      </c>
      <c r="B1302" s="120"/>
      <c r="C1302" s="1"/>
      <c r="E1302" s="121" t="s">
        <v>15</v>
      </c>
      <c r="F1302" s="138" t="str">
        <f>INDEX(FuncAllocOptions,ROW(A1302)-ROW($A$92)+1,[4]Inputs!$S$11)</f>
        <v>P</v>
      </c>
      <c r="G1302" s="117" t="e">
        <f>SUMIF(FERCJAMFactor,AK1302,JAMValue)</f>
        <v>#VALUE!</v>
      </c>
      <c r="H1302" s="116" t="e">
        <f t="shared" si="744"/>
        <v>#VALUE!</v>
      </c>
      <c r="I1302" s="116" t="e">
        <f t="shared" si="744"/>
        <v>#VALUE!</v>
      </c>
      <c r="J1302" s="116" t="e">
        <f t="shared" si="744"/>
        <v>#VALUE!</v>
      </c>
      <c r="K1302" s="116" t="e">
        <f t="shared" si="744"/>
        <v>#VALUE!</v>
      </c>
      <c r="L1302" s="116" t="e">
        <f t="shared" si="744"/>
        <v>#VALUE!</v>
      </c>
      <c r="N1302" s="108">
        <v>0.75</v>
      </c>
      <c r="O1302" s="116" t="e">
        <f>$H1302*$N1302*$M1302</f>
        <v>#VALUE!</v>
      </c>
      <c r="P1302" s="116" t="e">
        <f>$H1302*(1-$N1302)*$M1302</f>
        <v>#VALUE!</v>
      </c>
      <c r="Q1302" s="116" t="e">
        <f>$H1302*$N1302*(1-$M1302)</f>
        <v>#VALUE!</v>
      </c>
      <c r="R1302" s="116" t="e">
        <f>$H1302*(1-$N1302)*(1-$M1302)</f>
        <v>#VALUE!</v>
      </c>
      <c r="T1302" s="116">
        <v>0</v>
      </c>
      <c r="U1302" s="116">
        <v>0</v>
      </c>
      <c r="V1302" s="116">
        <v>0</v>
      </c>
      <c r="W1302" s="116">
        <v>0</v>
      </c>
      <c r="X1302" s="3"/>
      <c r="AD1302" s="117" t="e">
        <f>ROUND(SUM(-G1302,H1302:L1302),0)</f>
        <v>#VALUE!</v>
      </c>
      <c r="AE1302" s="117" t="e">
        <f>ROUND(H1302-O1302-P1302-Q1302-R1302,0)</f>
        <v>#VALUE!</v>
      </c>
      <c r="AF1302" s="117" t="e">
        <f>ROUND(I1302-T1302-U1302-V1302-W1302,0)</f>
        <v>#VALUE!</v>
      </c>
      <c r="AG1302" s="117" t="e">
        <f>ROUND(J1302-Y1302-Z1302-AA1302-AC1302-AB1302,0)</f>
        <v>#VALUE!</v>
      </c>
      <c r="AH1302" s="116"/>
      <c r="AI1302">
        <f t="shared" si="732"/>
        <v>334</v>
      </c>
      <c r="AJ1302" t="str">
        <f t="shared" si="727"/>
        <v>SG</v>
      </c>
      <c r="AK1302" t="str">
        <f>IF(ISERROR(MATCH(AI1302&amp;"."&amp;AJ1302,AK$91:AK1301,0)),AI1302&amp;"."&amp;AJ1302,AI1302&amp;"."&amp;AJ1302&amp;COUNTIFS(AI$91:AI1301,AI1302,AJ$91:AJ1301,AJ1302))</f>
        <v>334.SG1</v>
      </c>
    </row>
    <row r="1303" spans="1:37" ht="15" hidden="1">
      <c r="A1303" s="120">
        <f>ROW()</f>
        <v>1303</v>
      </c>
      <c r="B1303" s="120"/>
      <c r="C1303" s="1"/>
      <c r="E1303" s="121" t="s">
        <v>15</v>
      </c>
      <c r="F1303" s="138" t="str">
        <f>INDEX(FuncAllocOptions,ROW(A1303)-ROW($A$92)+1,[4]Inputs!$S$11)</f>
        <v>P</v>
      </c>
      <c r="G1303" s="117" t="e">
        <f>SUMIF(FERCJAMFactor,AK1303,JAMValue)</f>
        <v>#VALUE!</v>
      </c>
      <c r="H1303" s="116" t="e">
        <f t="shared" si="744"/>
        <v>#VALUE!</v>
      </c>
      <c r="I1303" s="116" t="e">
        <f t="shared" si="744"/>
        <v>#VALUE!</v>
      </c>
      <c r="J1303" s="116" t="e">
        <f t="shared" si="744"/>
        <v>#VALUE!</v>
      </c>
      <c r="K1303" s="116" t="e">
        <f t="shared" si="744"/>
        <v>#VALUE!</v>
      </c>
      <c r="L1303" s="116" t="e">
        <f t="shared" si="744"/>
        <v>#VALUE!</v>
      </c>
      <c r="N1303" s="108">
        <v>0.75</v>
      </c>
      <c r="O1303" s="116" t="e">
        <f>$H1303*$N1303*$M1303</f>
        <v>#VALUE!</v>
      </c>
      <c r="P1303" s="116" t="e">
        <f>$H1303*(1-$N1303)*$M1303</f>
        <v>#VALUE!</v>
      </c>
      <c r="Q1303" s="116" t="e">
        <f>$H1303*$N1303*(1-$M1303)</f>
        <v>#VALUE!</v>
      </c>
      <c r="R1303" s="116" t="e">
        <f>$H1303*(1-$N1303)*(1-$M1303)</f>
        <v>#VALUE!</v>
      </c>
      <c r="T1303" s="116">
        <v>0</v>
      </c>
      <c r="U1303" s="116">
        <v>0</v>
      </c>
      <c r="V1303" s="116">
        <v>0</v>
      </c>
      <c r="W1303" s="116">
        <v>0</v>
      </c>
      <c r="X1303" s="3"/>
      <c r="AD1303" s="117" t="e">
        <f>ROUND(SUM(-G1303,H1303:L1303),0)</f>
        <v>#VALUE!</v>
      </c>
      <c r="AE1303" s="117" t="e">
        <f>ROUND(H1303-O1303-P1303-Q1303-R1303,0)</f>
        <v>#VALUE!</v>
      </c>
      <c r="AF1303" s="117" t="e">
        <f>ROUND(I1303-T1303-U1303-V1303-W1303,0)</f>
        <v>#VALUE!</v>
      </c>
      <c r="AG1303" s="117" t="e">
        <f>ROUND(J1303-Y1303-Z1303-AA1303-AC1303-AB1303,0)</f>
        <v>#VALUE!</v>
      </c>
      <c r="AH1303" s="116"/>
      <c r="AI1303">
        <f t="shared" si="732"/>
        <v>334</v>
      </c>
      <c r="AJ1303" t="str">
        <f t="shared" si="727"/>
        <v>SG</v>
      </c>
      <c r="AK1303" t="str">
        <f>IF(ISERROR(MATCH(AI1303&amp;"."&amp;AJ1303,AK$91:AK1302,0)),AI1303&amp;"."&amp;AJ1303,AI1303&amp;"."&amp;AJ1303&amp;COUNTIFS(AI$91:AI1302,AI1303,AJ$91:AJ1302,AJ1303))</f>
        <v>334.SG2</v>
      </c>
    </row>
    <row r="1304" spans="1:37" ht="15" hidden="1">
      <c r="A1304" s="120">
        <f>ROW()</f>
        <v>1304</v>
      </c>
      <c r="B1304" s="120"/>
      <c r="C1304" s="1"/>
      <c r="E1304" s="121" t="s">
        <v>15</v>
      </c>
      <c r="F1304" s="138" t="str">
        <f>INDEX(FuncAllocOptions,ROW(A1304)-ROW($A$92)+1,[4]Inputs!$S$11)</f>
        <v>P</v>
      </c>
      <c r="G1304" s="133" t="e">
        <f>SUMIF(FERCJAMFactor,AK1304,JAMValue)</f>
        <v>#VALUE!</v>
      </c>
      <c r="H1304" s="139" t="e">
        <f t="shared" si="744"/>
        <v>#VALUE!</v>
      </c>
      <c r="I1304" s="139" t="e">
        <f t="shared" si="744"/>
        <v>#VALUE!</v>
      </c>
      <c r="J1304" s="139" t="e">
        <f t="shared" si="744"/>
        <v>#VALUE!</v>
      </c>
      <c r="K1304" s="139" t="e">
        <f t="shared" si="744"/>
        <v>#VALUE!</v>
      </c>
      <c r="L1304" s="139" t="e">
        <f t="shared" si="744"/>
        <v>#VALUE!</v>
      </c>
      <c r="N1304" s="108">
        <v>0.75</v>
      </c>
      <c r="O1304" s="116" t="e">
        <f>$H1304*$N1304*$M1304</f>
        <v>#VALUE!</v>
      </c>
      <c r="P1304" s="116" t="e">
        <f>$H1304*(1-$N1304)*$M1304</f>
        <v>#VALUE!</v>
      </c>
      <c r="Q1304" s="116" t="e">
        <f>$H1304*$N1304*(1-$M1304)</f>
        <v>#VALUE!</v>
      </c>
      <c r="R1304" s="116" t="e">
        <f>$H1304*(1-$N1304)*(1-$M1304)</f>
        <v>#VALUE!</v>
      </c>
      <c r="T1304" s="116"/>
      <c r="U1304" s="116"/>
      <c r="V1304" s="116"/>
      <c r="W1304" s="116"/>
      <c r="X1304" s="3"/>
      <c r="AD1304" s="117" t="e">
        <f>ROUND(SUM(-G1304,H1304:L1304),0)</f>
        <v>#VALUE!</v>
      </c>
      <c r="AE1304" s="117" t="e">
        <f>ROUND(H1304-O1304-P1304-Q1304-R1304,0)</f>
        <v>#VALUE!</v>
      </c>
      <c r="AF1304" s="117" t="e">
        <f>ROUND(I1304-T1304-U1304-V1304-W1304,0)</f>
        <v>#VALUE!</v>
      </c>
      <c r="AG1304" s="117" t="e">
        <f>ROUND(J1304-Y1304-Z1304-AA1304-AC1304-AB1304,0)</f>
        <v>#VALUE!</v>
      </c>
      <c r="AH1304" s="116"/>
      <c r="AI1304">
        <f t="shared" si="732"/>
        <v>334</v>
      </c>
      <c r="AJ1304" t="str">
        <f t="shared" si="727"/>
        <v>SG</v>
      </c>
      <c r="AK1304" t="str">
        <f>IF(ISERROR(MATCH(AI1304&amp;"."&amp;AJ1304,AK$91:AK1303,0)),AI1304&amp;"."&amp;AJ1304,AI1304&amp;"."&amp;AJ1304&amp;COUNTIFS(AI$91:AI1303,AI1304,AJ$91:AJ1303,AJ1304))</f>
        <v>334.SG3</v>
      </c>
    </row>
    <row r="1305" spans="1:37" ht="15" hidden="1">
      <c r="A1305" s="120">
        <f>ROW()</f>
        <v>1305</v>
      </c>
      <c r="B1305" s="120"/>
      <c r="C1305" s="1"/>
      <c r="E1305" s="121"/>
      <c r="F1305" s="138"/>
      <c r="G1305" s="117" t="e">
        <f t="shared" ref="G1305:L1305" si="745">SUM(G1301:G1304)</f>
        <v>#VALUE!</v>
      </c>
      <c r="H1305" s="116" t="e">
        <f t="shared" si="745"/>
        <v>#VALUE!</v>
      </c>
      <c r="I1305" s="116" t="e">
        <f t="shared" si="745"/>
        <v>#VALUE!</v>
      </c>
      <c r="J1305" s="116" t="e">
        <f t="shared" si="745"/>
        <v>#VALUE!</v>
      </c>
      <c r="K1305" s="116" t="e">
        <f t="shared" si="745"/>
        <v>#VALUE!</v>
      </c>
      <c r="L1305" s="116" t="e">
        <f t="shared" si="745"/>
        <v>#VALUE!</v>
      </c>
      <c r="O1305" s="116" t="e">
        <f>SUM(O1301:O1304)</f>
        <v>#VALUE!</v>
      </c>
      <c r="P1305" s="116" t="e">
        <f>SUM(P1301:P1304)</f>
        <v>#VALUE!</v>
      </c>
      <c r="Q1305" s="116" t="e">
        <f>SUM(Q1301:Q1304)</f>
        <v>#VALUE!</v>
      </c>
      <c r="R1305" s="116" t="e">
        <f>SUM(R1301:R1304)</f>
        <v>#VALUE!</v>
      </c>
      <c r="T1305" s="116">
        <f>SUM(T1301:T1304)</f>
        <v>0</v>
      </c>
      <c r="U1305" s="116">
        <f>SUM(U1301:U1304)</f>
        <v>0</v>
      </c>
      <c r="V1305" s="116">
        <f>SUM(V1301:V1304)</f>
        <v>0</v>
      </c>
      <c r="W1305" s="116">
        <f>SUM(W1301:W1304)</f>
        <v>0</v>
      </c>
      <c r="X1305" s="3"/>
      <c r="Y1305" s="116">
        <f>SUM(Y1301:Y1304)</f>
        <v>0</v>
      </c>
      <c r="Z1305" s="116">
        <f>SUM(Z1301:Z1304)</f>
        <v>0</v>
      </c>
      <c r="AA1305" s="116">
        <f>SUM(AA1301:AA1304)</f>
        <v>0</v>
      </c>
      <c r="AB1305" s="116">
        <f>SUM(AB1301:AB1304)</f>
        <v>0</v>
      </c>
      <c r="AC1305" s="116">
        <f>SUM(AC1301:AC1304)</f>
        <v>0</v>
      </c>
      <c r="AD1305" s="117" t="e">
        <f>ROUND(SUM(-G1305,H1305:L1305),0)</f>
        <v>#VALUE!</v>
      </c>
      <c r="AE1305" s="117" t="e">
        <f>ROUND(H1305-O1305-P1305-Q1305-R1305,0)</f>
        <v>#VALUE!</v>
      </c>
      <c r="AF1305" s="117" t="e">
        <f>ROUND(I1305-T1305-U1305-V1305-W1305,0)</f>
        <v>#VALUE!</v>
      </c>
      <c r="AG1305" s="117" t="e">
        <f>ROUND(J1305-Y1305-Z1305-AA1305-AC1305-AB1305,0)</f>
        <v>#VALUE!</v>
      </c>
      <c r="AH1305" s="116"/>
      <c r="AI1305">
        <f t="shared" si="732"/>
        <v>334</v>
      </c>
      <c r="AJ1305" t="str">
        <f t="shared" si="727"/>
        <v>NA</v>
      </c>
      <c r="AK1305" t="str">
        <f>IF(ISERROR(MATCH(AI1305&amp;"."&amp;AJ1305,AK$91:AK1304,0)),AI1305&amp;"."&amp;AJ1305,AI1305&amp;"."&amp;AJ1305&amp;COUNTIFS(AI$91:AI1304,AI1305,AJ$91:AJ1304,AJ1305))</f>
        <v>334.NA1</v>
      </c>
    </row>
    <row r="1306" spans="1:37" ht="15" hidden="1">
      <c r="A1306" s="120">
        <f>ROW()</f>
        <v>1306</v>
      </c>
      <c r="B1306" s="120"/>
      <c r="C1306" s="1"/>
      <c r="E1306" s="121"/>
      <c r="F1306" s="138"/>
      <c r="G1306" s="119"/>
      <c r="X1306" s="3"/>
      <c r="AD1306" s="119"/>
      <c r="AE1306" s="119"/>
      <c r="AF1306" s="119"/>
      <c r="AG1306" s="119"/>
      <c r="AI1306">
        <f t="shared" si="732"/>
        <v>334</v>
      </c>
      <c r="AJ1306" t="str">
        <f t="shared" si="727"/>
        <v>NA</v>
      </c>
      <c r="AK1306" t="str">
        <f>IF(ISERROR(MATCH(AI1306&amp;"."&amp;AJ1306,AK$91:AK1305,0)),AI1306&amp;"."&amp;AJ1306,AI1306&amp;"."&amp;AJ1306&amp;COUNTIFS(AI$91:AI1305,AI1306,AJ$91:AJ1305,AJ1306))</f>
        <v>334.NA2</v>
      </c>
    </row>
    <row r="1307" spans="1:37" ht="15" hidden="1">
      <c r="A1307" s="120">
        <f>ROW()</f>
        <v>1307</v>
      </c>
      <c r="B1307" s="120"/>
      <c r="C1307" s="1">
        <v>335</v>
      </c>
      <c r="D1307" s="2" t="s">
        <v>513</v>
      </c>
      <c r="E1307" s="121"/>
      <c r="F1307" s="138"/>
      <c r="G1307" s="119"/>
      <c r="X1307" s="3"/>
      <c r="AD1307" s="119"/>
      <c r="AE1307" s="119"/>
      <c r="AF1307" s="119"/>
      <c r="AG1307" s="119"/>
      <c r="AI1307">
        <f t="shared" si="732"/>
        <v>335</v>
      </c>
      <c r="AJ1307" t="str">
        <f t="shared" si="727"/>
        <v>NA</v>
      </c>
      <c r="AK1307" t="str">
        <f>IF(ISERROR(MATCH(AI1307&amp;"."&amp;AJ1307,AK$91:AK1306,0)),AI1307&amp;"."&amp;AJ1307,AI1307&amp;"."&amp;AJ1307&amp;COUNTIFS(AI$91:AI1306,AI1307,AJ$91:AJ1306,AJ1307))</f>
        <v>335.NA</v>
      </c>
    </row>
    <row r="1308" spans="1:37" ht="15" hidden="1">
      <c r="A1308" s="120">
        <f>ROW()</f>
        <v>1308</v>
      </c>
      <c r="B1308" s="120"/>
      <c r="C1308" s="1"/>
      <c r="E1308" s="121" t="s">
        <v>15</v>
      </c>
      <c r="F1308" s="138" t="str">
        <f>INDEX(FuncAllocOptions,ROW(A1308)-ROW($A$92)+1,[4]Inputs!$S$11)</f>
        <v>P</v>
      </c>
      <c r="G1308" s="117" t="e">
        <f>SUMIF(FERCJAMFactor,AK1308,JAMValue)</f>
        <v>#VALUE!</v>
      </c>
      <c r="H1308" s="116" t="e">
        <f t="shared" ref="H1308:L1311" si="746">INDEX(FuncFactorTbl,MATCH($F1308,FuncFactors,0),MATCH(H$8,Functions,0))*$G1308</f>
        <v>#VALUE!</v>
      </c>
      <c r="I1308" s="116" t="e">
        <f t="shared" si="746"/>
        <v>#VALUE!</v>
      </c>
      <c r="J1308" s="116" t="e">
        <f t="shared" si="746"/>
        <v>#VALUE!</v>
      </c>
      <c r="K1308" s="116" t="e">
        <f t="shared" si="746"/>
        <v>#VALUE!</v>
      </c>
      <c r="L1308" s="116" t="e">
        <f t="shared" si="746"/>
        <v>#VALUE!</v>
      </c>
      <c r="N1308" s="108">
        <v>0.75</v>
      </c>
      <c r="O1308" s="116" t="e">
        <f>$H1308*$N1308*$M1308</f>
        <v>#VALUE!</v>
      </c>
      <c r="P1308" s="116" t="e">
        <f>$H1308*(1-$N1308)*$M1308</f>
        <v>#VALUE!</v>
      </c>
      <c r="Q1308" s="116" t="e">
        <f>$H1308*$N1308*(1-$M1308)</f>
        <v>#VALUE!</v>
      </c>
      <c r="R1308" s="116" t="e">
        <f>$H1308*(1-$N1308)*(1-$M1308)</f>
        <v>#VALUE!</v>
      </c>
      <c r="T1308" s="116">
        <v>0</v>
      </c>
      <c r="U1308" s="116">
        <v>0</v>
      </c>
      <c r="V1308" s="116">
        <v>0</v>
      </c>
      <c r="W1308" s="116">
        <v>0</v>
      </c>
      <c r="X1308" s="3"/>
      <c r="AD1308" s="117" t="e">
        <f>ROUND(SUM(-G1308,H1308:L1308),0)</f>
        <v>#VALUE!</v>
      </c>
      <c r="AE1308" s="117" t="e">
        <f>ROUND(H1308-O1308-P1308-Q1308-R1308,0)</f>
        <v>#VALUE!</v>
      </c>
      <c r="AF1308" s="117" t="e">
        <f>ROUND(I1308-T1308-U1308-V1308-W1308,0)</f>
        <v>#VALUE!</v>
      </c>
      <c r="AG1308" s="117" t="e">
        <f>ROUND(J1308-Y1308-Z1308-AA1308-AC1308-AB1308,0)</f>
        <v>#VALUE!</v>
      </c>
      <c r="AH1308" s="116"/>
      <c r="AI1308">
        <f t="shared" si="732"/>
        <v>335</v>
      </c>
      <c r="AJ1308" t="str">
        <f t="shared" si="727"/>
        <v>SG</v>
      </c>
      <c r="AK1308" t="str">
        <f>IF(ISERROR(MATCH(AI1308&amp;"."&amp;AJ1308,AK$91:AK1307,0)),AI1308&amp;"."&amp;AJ1308,AI1308&amp;"."&amp;AJ1308&amp;COUNTIFS(AI$91:AI1307,AI1308,AJ$91:AJ1307,AJ1308))</f>
        <v>335.SG</v>
      </c>
    </row>
    <row r="1309" spans="1:37" ht="15" hidden="1">
      <c r="A1309" s="120">
        <f>ROW()</f>
        <v>1309</v>
      </c>
      <c r="B1309" s="120"/>
      <c r="C1309" s="1"/>
      <c r="E1309" s="121" t="s">
        <v>15</v>
      </c>
      <c r="F1309" s="138" t="str">
        <f>INDEX(FuncAllocOptions,ROW(A1309)-ROW($A$92)+1,[4]Inputs!$S$11)</f>
        <v>P</v>
      </c>
      <c r="G1309" s="117" t="e">
        <f>SUMIF(FERCJAMFactor,AK1309,JAMValue)</f>
        <v>#VALUE!</v>
      </c>
      <c r="H1309" s="116" t="e">
        <f t="shared" si="746"/>
        <v>#VALUE!</v>
      </c>
      <c r="I1309" s="116" t="e">
        <f t="shared" si="746"/>
        <v>#VALUE!</v>
      </c>
      <c r="J1309" s="116" t="e">
        <f t="shared" si="746"/>
        <v>#VALUE!</v>
      </c>
      <c r="K1309" s="116" t="e">
        <f t="shared" si="746"/>
        <v>#VALUE!</v>
      </c>
      <c r="L1309" s="116" t="e">
        <f t="shared" si="746"/>
        <v>#VALUE!</v>
      </c>
      <c r="N1309" s="108">
        <v>0.75</v>
      </c>
      <c r="O1309" s="116" t="e">
        <f>$H1309*$N1309*$M1309</f>
        <v>#VALUE!</v>
      </c>
      <c r="P1309" s="116" t="e">
        <f>$H1309*(1-$N1309)*$M1309</f>
        <v>#VALUE!</v>
      </c>
      <c r="Q1309" s="116" t="e">
        <f>$H1309*$N1309*(1-$M1309)</f>
        <v>#VALUE!</v>
      </c>
      <c r="R1309" s="116" t="e">
        <f>$H1309*(1-$N1309)*(1-$M1309)</f>
        <v>#VALUE!</v>
      </c>
      <c r="T1309" s="116">
        <v>0</v>
      </c>
      <c r="U1309" s="116">
        <v>0</v>
      </c>
      <c r="V1309" s="116">
        <v>0</v>
      </c>
      <c r="W1309" s="116">
        <v>0</v>
      </c>
      <c r="X1309" s="3"/>
      <c r="AD1309" s="117" t="e">
        <f>ROUND(SUM(-G1309,H1309:L1309),0)</f>
        <v>#VALUE!</v>
      </c>
      <c r="AE1309" s="117" t="e">
        <f>ROUND(H1309-O1309-P1309-Q1309-R1309,0)</f>
        <v>#VALUE!</v>
      </c>
      <c r="AF1309" s="117" t="e">
        <f>ROUND(I1309-T1309-U1309-V1309-W1309,0)</f>
        <v>#VALUE!</v>
      </c>
      <c r="AG1309" s="117" t="e">
        <f>ROUND(J1309-Y1309-Z1309-AA1309-AC1309-AB1309,0)</f>
        <v>#VALUE!</v>
      </c>
      <c r="AH1309" s="116"/>
      <c r="AI1309">
        <f t="shared" si="732"/>
        <v>335</v>
      </c>
      <c r="AJ1309" t="str">
        <f t="shared" ref="AJ1309:AJ1372" si="747">IF(E1309="","NA",E1309)</f>
        <v>SG</v>
      </c>
      <c r="AK1309" t="str">
        <f>IF(ISERROR(MATCH(AI1309&amp;"."&amp;AJ1309,AK$91:AK1308,0)),AI1309&amp;"."&amp;AJ1309,AI1309&amp;"."&amp;AJ1309&amp;COUNTIFS(AI$91:AI1308,AI1309,AJ$91:AJ1308,AJ1309))</f>
        <v>335.SG1</v>
      </c>
    </row>
    <row r="1310" spans="1:37" ht="15" hidden="1">
      <c r="A1310" s="120">
        <f>ROW()</f>
        <v>1310</v>
      </c>
      <c r="B1310" s="120"/>
      <c r="C1310" s="1"/>
      <c r="E1310" s="121" t="s">
        <v>15</v>
      </c>
      <c r="F1310" s="138" t="str">
        <f>INDEX(FuncAllocOptions,ROW(A1310)-ROW($A$92)+1,[4]Inputs!$S$11)</f>
        <v>P</v>
      </c>
      <c r="G1310" s="117" t="e">
        <f>SUMIF(FERCJAMFactor,AK1310,JAMValue)</f>
        <v>#VALUE!</v>
      </c>
      <c r="H1310" s="116" t="e">
        <f t="shared" si="746"/>
        <v>#VALUE!</v>
      </c>
      <c r="I1310" s="116" t="e">
        <f t="shared" si="746"/>
        <v>#VALUE!</v>
      </c>
      <c r="J1310" s="116" t="e">
        <f t="shared" si="746"/>
        <v>#VALUE!</v>
      </c>
      <c r="K1310" s="116" t="e">
        <f t="shared" si="746"/>
        <v>#VALUE!</v>
      </c>
      <c r="L1310" s="116" t="e">
        <f t="shared" si="746"/>
        <v>#VALUE!</v>
      </c>
      <c r="N1310" s="108">
        <v>0.75</v>
      </c>
      <c r="O1310" s="116" t="e">
        <f>$H1310*$N1310*$M1310</f>
        <v>#VALUE!</v>
      </c>
      <c r="P1310" s="116" t="e">
        <f>$H1310*(1-$N1310)*$M1310</f>
        <v>#VALUE!</v>
      </c>
      <c r="Q1310" s="116" t="e">
        <f>$H1310*$N1310*(1-$M1310)</f>
        <v>#VALUE!</v>
      </c>
      <c r="R1310" s="116" t="e">
        <f>$H1310*(1-$N1310)*(1-$M1310)</f>
        <v>#VALUE!</v>
      </c>
      <c r="T1310" s="116">
        <v>0</v>
      </c>
      <c r="U1310" s="116">
        <v>0</v>
      </c>
      <c r="V1310" s="116">
        <v>0</v>
      </c>
      <c r="W1310" s="116">
        <v>0</v>
      </c>
      <c r="X1310" s="3"/>
      <c r="AD1310" s="117" t="e">
        <f>ROUND(SUM(-G1310,H1310:L1310),0)</f>
        <v>#VALUE!</v>
      </c>
      <c r="AE1310" s="117" t="e">
        <f>ROUND(H1310-O1310-P1310-Q1310-R1310,0)</f>
        <v>#VALUE!</v>
      </c>
      <c r="AF1310" s="117" t="e">
        <f>ROUND(I1310-T1310-U1310-V1310-W1310,0)</f>
        <v>#VALUE!</v>
      </c>
      <c r="AG1310" s="117" t="e">
        <f>ROUND(J1310-Y1310-Z1310-AA1310-AC1310-AB1310,0)</f>
        <v>#VALUE!</v>
      </c>
      <c r="AH1310" s="116"/>
      <c r="AI1310">
        <f t="shared" si="732"/>
        <v>335</v>
      </c>
      <c r="AJ1310" t="str">
        <f t="shared" si="747"/>
        <v>SG</v>
      </c>
      <c r="AK1310" t="str">
        <f>IF(ISERROR(MATCH(AI1310&amp;"."&amp;AJ1310,AK$91:AK1309,0)),AI1310&amp;"."&amp;AJ1310,AI1310&amp;"."&amp;AJ1310&amp;COUNTIFS(AI$91:AI1309,AI1310,AJ$91:AJ1309,AJ1310))</f>
        <v>335.SG2</v>
      </c>
    </row>
    <row r="1311" spans="1:37" ht="15" hidden="1">
      <c r="A1311" s="120">
        <f>ROW()</f>
        <v>1311</v>
      </c>
      <c r="B1311" s="120"/>
      <c r="C1311" s="1"/>
      <c r="E1311" s="121" t="s">
        <v>15</v>
      </c>
      <c r="F1311" s="138" t="str">
        <f>INDEX(FuncAllocOptions,ROW(A1311)-ROW($A$92)+1,[4]Inputs!$S$11)</f>
        <v>P</v>
      </c>
      <c r="G1311" s="133" t="e">
        <f>SUMIF(FERCJAMFactor,AK1311,JAMValue)</f>
        <v>#VALUE!</v>
      </c>
      <c r="H1311" s="139" t="e">
        <f t="shared" si="746"/>
        <v>#VALUE!</v>
      </c>
      <c r="I1311" s="139" t="e">
        <f t="shared" si="746"/>
        <v>#VALUE!</v>
      </c>
      <c r="J1311" s="139" t="e">
        <f t="shared" si="746"/>
        <v>#VALUE!</v>
      </c>
      <c r="K1311" s="139" t="e">
        <f t="shared" si="746"/>
        <v>#VALUE!</v>
      </c>
      <c r="L1311" s="139" t="e">
        <f t="shared" si="746"/>
        <v>#VALUE!</v>
      </c>
      <c r="N1311" s="108">
        <v>0.75</v>
      </c>
      <c r="O1311" s="116" t="e">
        <f>$H1311*$N1311*$M1311</f>
        <v>#VALUE!</v>
      </c>
      <c r="P1311" s="116" t="e">
        <f>$H1311*(1-$N1311)*$M1311</f>
        <v>#VALUE!</v>
      </c>
      <c r="Q1311" s="116" t="e">
        <f>$H1311*$N1311*(1-$M1311)</f>
        <v>#VALUE!</v>
      </c>
      <c r="R1311" s="116" t="e">
        <f>$H1311*(1-$N1311)*(1-$M1311)</f>
        <v>#VALUE!</v>
      </c>
      <c r="T1311" s="116"/>
      <c r="U1311" s="116"/>
      <c r="V1311" s="116"/>
      <c r="W1311" s="116"/>
      <c r="X1311" s="3"/>
      <c r="AD1311" s="117" t="e">
        <f>ROUND(SUM(-G1311,H1311:L1311),0)</f>
        <v>#VALUE!</v>
      </c>
      <c r="AE1311" s="117" t="e">
        <f>ROUND(H1311-O1311-P1311-Q1311-R1311,0)</f>
        <v>#VALUE!</v>
      </c>
      <c r="AF1311" s="117" t="e">
        <f>ROUND(I1311-T1311-U1311-V1311-W1311,0)</f>
        <v>#VALUE!</v>
      </c>
      <c r="AG1311" s="117" t="e">
        <f>ROUND(J1311-Y1311-Z1311-AA1311-AC1311-AB1311,0)</f>
        <v>#VALUE!</v>
      </c>
      <c r="AH1311" s="116"/>
      <c r="AI1311">
        <f t="shared" si="732"/>
        <v>335</v>
      </c>
      <c r="AJ1311" t="str">
        <f t="shared" si="747"/>
        <v>SG</v>
      </c>
      <c r="AK1311" t="str">
        <f>IF(ISERROR(MATCH(AI1311&amp;"."&amp;AJ1311,AK$91:AK1310,0)),AI1311&amp;"."&amp;AJ1311,AI1311&amp;"."&amp;AJ1311&amp;COUNTIFS(AI$91:AI1310,AI1311,AJ$91:AJ1310,AJ1311))</f>
        <v>335.SG3</v>
      </c>
    </row>
    <row r="1312" spans="1:37" ht="15" hidden="1">
      <c r="A1312" s="120">
        <f>ROW()</f>
        <v>1312</v>
      </c>
      <c r="B1312" s="120"/>
      <c r="C1312" s="1"/>
      <c r="E1312" s="121"/>
      <c r="F1312" s="138"/>
      <c r="G1312" s="117" t="e">
        <f t="shared" ref="G1312:L1312" si="748">SUM(G1308:G1311)</f>
        <v>#VALUE!</v>
      </c>
      <c r="H1312" s="116" t="e">
        <f t="shared" si="748"/>
        <v>#VALUE!</v>
      </c>
      <c r="I1312" s="116" t="e">
        <f t="shared" si="748"/>
        <v>#VALUE!</v>
      </c>
      <c r="J1312" s="116" t="e">
        <f t="shared" si="748"/>
        <v>#VALUE!</v>
      </c>
      <c r="K1312" s="116" t="e">
        <f t="shared" si="748"/>
        <v>#VALUE!</v>
      </c>
      <c r="L1312" s="116" t="e">
        <f t="shared" si="748"/>
        <v>#VALUE!</v>
      </c>
      <c r="O1312" s="116" t="e">
        <f>SUM(O1308:O1311)</f>
        <v>#VALUE!</v>
      </c>
      <c r="P1312" s="116" t="e">
        <f>SUM(P1308:P1311)</f>
        <v>#VALUE!</v>
      </c>
      <c r="Q1312" s="116" t="e">
        <f>SUM(Q1308:Q1311)</f>
        <v>#VALUE!</v>
      </c>
      <c r="R1312" s="116" t="e">
        <f>SUM(R1308:R1311)</f>
        <v>#VALUE!</v>
      </c>
      <c r="T1312" s="116">
        <f>SUM(T1308:T1311)</f>
        <v>0</v>
      </c>
      <c r="U1312" s="116">
        <f>SUM(U1308:U1311)</f>
        <v>0</v>
      </c>
      <c r="V1312" s="116">
        <f>SUM(V1308:V1311)</f>
        <v>0</v>
      </c>
      <c r="W1312" s="116">
        <f>SUM(W1308:W1311)</f>
        <v>0</v>
      </c>
      <c r="X1312" s="3"/>
      <c r="Y1312" s="116">
        <f>SUM(Y1308:Y1311)</f>
        <v>0</v>
      </c>
      <c r="Z1312" s="116">
        <f>SUM(Z1308:Z1311)</f>
        <v>0</v>
      </c>
      <c r="AA1312" s="116">
        <f>SUM(AA1308:AA1311)</f>
        <v>0</v>
      </c>
      <c r="AB1312" s="116">
        <f>SUM(AB1308:AB1311)</f>
        <v>0</v>
      </c>
      <c r="AC1312" s="116">
        <f>SUM(AC1308:AC1311)</f>
        <v>0</v>
      </c>
      <c r="AD1312" s="117" t="e">
        <f>ROUND(SUM(-G1312,H1312:L1312),0)</f>
        <v>#VALUE!</v>
      </c>
      <c r="AE1312" s="117" t="e">
        <f>ROUND(H1312-O1312-P1312-Q1312-R1312,0)</f>
        <v>#VALUE!</v>
      </c>
      <c r="AF1312" s="117" t="e">
        <f>ROUND(I1312-T1312-U1312-V1312-W1312,0)</f>
        <v>#VALUE!</v>
      </c>
      <c r="AG1312" s="117" t="e">
        <f>ROUND(J1312-Y1312-Z1312-AA1312-AC1312-AB1312,0)</f>
        <v>#VALUE!</v>
      </c>
      <c r="AH1312" s="116"/>
      <c r="AI1312">
        <f t="shared" si="732"/>
        <v>335</v>
      </c>
      <c r="AJ1312" t="str">
        <f t="shared" si="747"/>
        <v>NA</v>
      </c>
      <c r="AK1312" t="str">
        <f>IF(ISERROR(MATCH(AI1312&amp;"."&amp;AJ1312,AK$91:AK1311,0)),AI1312&amp;"."&amp;AJ1312,AI1312&amp;"."&amp;AJ1312&amp;COUNTIFS(AI$91:AI1311,AI1312,AJ$91:AJ1311,AJ1312))</f>
        <v>335.NA1</v>
      </c>
    </row>
    <row r="1313" spans="1:37" ht="15" hidden="1">
      <c r="A1313" s="120">
        <f>ROW()</f>
        <v>1313</v>
      </c>
      <c r="B1313" s="120"/>
      <c r="C1313" s="1"/>
      <c r="E1313" s="121"/>
      <c r="F1313" s="138"/>
      <c r="G1313" s="119"/>
      <c r="X1313" s="3"/>
      <c r="AD1313" s="119"/>
      <c r="AE1313" s="119"/>
      <c r="AF1313" s="119"/>
      <c r="AG1313" s="119"/>
      <c r="AI1313">
        <f t="shared" si="732"/>
        <v>335</v>
      </c>
      <c r="AJ1313" t="str">
        <f t="shared" si="747"/>
        <v>NA</v>
      </c>
      <c r="AK1313" t="str">
        <f>IF(ISERROR(MATCH(AI1313&amp;"."&amp;AJ1313,AK$91:AK1312,0)),AI1313&amp;"."&amp;AJ1313,AI1313&amp;"."&amp;AJ1313&amp;COUNTIFS(AI$91:AI1312,AI1313,AJ$91:AJ1312,AJ1313))</f>
        <v>335.NA2</v>
      </c>
    </row>
    <row r="1314" spans="1:37" ht="15" hidden="1">
      <c r="A1314" s="120">
        <f>ROW()</f>
        <v>1314</v>
      </c>
      <c r="B1314" s="120"/>
      <c r="C1314" s="1">
        <v>336</v>
      </c>
      <c r="D1314" s="2" t="s">
        <v>520</v>
      </c>
      <c r="E1314" s="121"/>
      <c r="F1314" s="138"/>
      <c r="G1314" s="119"/>
      <c r="X1314" s="3"/>
      <c r="AD1314" s="119"/>
      <c r="AE1314" s="119"/>
      <c r="AF1314" s="119"/>
      <c r="AG1314" s="119"/>
      <c r="AI1314">
        <f t="shared" si="732"/>
        <v>336</v>
      </c>
      <c r="AJ1314" t="str">
        <f t="shared" si="747"/>
        <v>NA</v>
      </c>
      <c r="AK1314" t="str">
        <f>IF(ISERROR(MATCH(AI1314&amp;"."&amp;AJ1314,AK$91:AK1313,0)),AI1314&amp;"."&amp;AJ1314,AI1314&amp;"."&amp;AJ1314&amp;COUNTIFS(AI$91:AI1313,AI1314,AJ$91:AJ1313,AJ1314))</f>
        <v>336.NA</v>
      </c>
    </row>
    <row r="1315" spans="1:37" ht="15" hidden="1">
      <c r="A1315" s="120">
        <f>ROW()</f>
        <v>1315</v>
      </c>
      <c r="B1315" s="120"/>
      <c r="C1315" s="1"/>
      <c r="E1315" s="121" t="s">
        <v>15</v>
      </c>
      <c r="F1315" s="138" t="str">
        <f>INDEX(FuncAllocOptions,ROW(A1315)-ROW($A$92)+1,[4]Inputs!$S$11)</f>
        <v>P</v>
      </c>
      <c r="G1315" s="117" t="e">
        <f>SUMIF(FERCJAMFactor,AK1315,JAMValue)</f>
        <v>#VALUE!</v>
      </c>
      <c r="H1315" s="116" t="e">
        <f t="shared" ref="H1315:L1318" si="749">INDEX(FuncFactorTbl,MATCH($F1315,FuncFactors,0),MATCH(H$8,Functions,0))*$G1315</f>
        <v>#VALUE!</v>
      </c>
      <c r="I1315" s="116" t="e">
        <f t="shared" si="749"/>
        <v>#VALUE!</v>
      </c>
      <c r="J1315" s="116" t="e">
        <f t="shared" si="749"/>
        <v>#VALUE!</v>
      </c>
      <c r="K1315" s="116" t="e">
        <f t="shared" si="749"/>
        <v>#VALUE!</v>
      </c>
      <c r="L1315" s="116" t="e">
        <f t="shared" si="749"/>
        <v>#VALUE!</v>
      </c>
      <c r="N1315" s="108">
        <v>0.75</v>
      </c>
      <c r="O1315" s="116" t="e">
        <f>$H1315*$N1315*$M1315</f>
        <v>#VALUE!</v>
      </c>
      <c r="P1315" s="116" t="e">
        <f>$H1315*(1-$N1315)*$M1315</f>
        <v>#VALUE!</v>
      </c>
      <c r="Q1315" s="116" t="e">
        <f>$H1315*$N1315*(1-$M1315)</f>
        <v>#VALUE!</v>
      </c>
      <c r="R1315" s="116" t="e">
        <f>$H1315*(1-$N1315)*(1-$M1315)</f>
        <v>#VALUE!</v>
      </c>
      <c r="T1315" s="116">
        <v>0</v>
      </c>
      <c r="U1315" s="116">
        <v>0</v>
      </c>
      <c r="V1315" s="116">
        <v>0</v>
      </c>
      <c r="W1315" s="116">
        <v>0</v>
      </c>
      <c r="X1315" s="3"/>
      <c r="AD1315" s="117" t="e">
        <f>ROUND(SUM(-G1315,H1315:L1315),0)</f>
        <v>#VALUE!</v>
      </c>
      <c r="AE1315" s="117" t="e">
        <f>ROUND(H1315-O1315-P1315-Q1315-R1315,0)</f>
        <v>#VALUE!</v>
      </c>
      <c r="AF1315" s="117" t="e">
        <f>ROUND(I1315-T1315-U1315-V1315-W1315,0)</f>
        <v>#VALUE!</v>
      </c>
      <c r="AG1315" s="117" t="e">
        <f>ROUND(J1315-Y1315-Z1315-AA1315-AC1315-AB1315,0)</f>
        <v>#VALUE!</v>
      </c>
      <c r="AH1315" s="116"/>
      <c r="AI1315">
        <f t="shared" si="732"/>
        <v>336</v>
      </c>
      <c r="AJ1315" t="str">
        <f t="shared" si="747"/>
        <v>SG</v>
      </c>
      <c r="AK1315" t="str">
        <f>IF(ISERROR(MATCH(AI1315&amp;"."&amp;AJ1315,AK$91:AK1314,0)),AI1315&amp;"."&amp;AJ1315,AI1315&amp;"."&amp;AJ1315&amp;COUNTIFS(AI$91:AI1314,AI1315,AJ$91:AJ1314,AJ1315))</f>
        <v>336.SG</v>
      </c>
    </row>
    <row r="1316" spans="1:37" ht="15" hidden="1">
      <c r="A1316" s="120">
        <f>ROW()</f>
        <v>1316</v>
      </c>
      <c r="B1316" s="120"/>
      <c r="C1316" s="1"/>
      <c r="E1316" s="121" t="s">
        <v>15</v>
      </c>
      <c r="F1316" s="138" t="str">
        <f>INDEX(FuncAllocOptions,ROW(A1316)-ROW($A$92)+1,[4]Inputs!$S$11)</f>
        <v>P</v>
      </c>
      <c r="G1316" s="117" t="e">
        <f>SUMIF(FERCJAMFactor,AK1316,JAMValue)</f>
        <v>#VALUE!</v>
      </c>
      <c r="H1316" s="116" t="e">
        <f t="shared" si="749"/>
        <v>#VALUE!</v>
      </c>
      <c r="I1316" s="116" t="e">
        <f t="shared" si="749"/>
        <v>#VALUE!</v>
      </c>
      <c r="J1316" s="116" t="e">
        <f t="shared" si="749"/>
        <v>#VALUE!</v>
      </c>
      <c r="K1316" s="116" t="e">
        <f t="shared" si="749"/>
        <v>#VALUE!</v>
      </c>
      <c r="L1316" s="116" t="e">
        <f t="shared" si="749"/>
        <v>#VALUE!</v>
      </c>
      <c r="N1316" s="108">
        <v>0.75</v>
      </c>
      <c r="O1316" s="116" t="e">
        <f>$H1316*$N1316*$M1316</f>
        <v>#VALUE!</v>
      </c>
      <c r="P1316" s="116" t="e">
        <f>$H1316*(1-$N1316)*$M1316</f>
        <v>#VALUE!</v>
      </c>
      <c r="Q1316" s="116" t="e">
        <f>$H1316*$N1316*(1-$M1316)</f>
        <v>#VALUE!</v>
      </c>
      <c r="R1316" s="116" t="e">
        <f>$H1316*(1-$N1316)*(1-$M1316)</f>
        <v>#VALUE!</v>
      </c>
      <c r="T1316" s="116">
        <v>0</v>
      </c>
      <c r="U1316" s="116">
        <v>0</v>
      </c>
      <c r="V1316" s="116">
        <v>0</v>
      </c>
      <c r="W1316" s="116">
        <v>0</v>
      </c>
      <c r="X1316" s="3"/>
      <c r="AD1316" s="117" t="e">
        <f>ROUND(SUM(-G1316,H1316:L1316),0)</f>
        <v>#VALUE!</v>
      </c>
      <c r="AE1316" s="117" t="e">
        <f>ROUND(H1316-O1316-P1316-Q1316-R1316,0)</f>
        <v>#VALUE!</v>
      </c>
      <c r="AF1316" s="117" t="e">
        <f>ROUND(I1316-T1316-U1316-V1316-W1316,0)</f>
        <v>#VALUE!</v>
      </c>
      <c r="AG1316" s="117" t="e">
        <f>ROUND(J1316-Y1316-Z1316-AA1316-AC1316-AB1316,0)</f>
        <v>#VALUE!</v>
      </c>
      <c r="AH1316" s="116"/>
      <c r="AI1316">
        <f t="shared" si="732"/>
        <v>336</v>
      </c>
      <c r="AJ1316" t="str">
        <f t="shared" si="747"/>
        <v>SG</v>
      </c>
      <c r="AK1316" t="str">
        <f>IF(ISERROR(MATCH(AI1316&amp;"."&amp;AJ1316,AK$91:AK1315,0)),AI1316&amp;"."&amp;AJ1316,AI1316&amp;"."&amp;AJ1316&amp;COUNTIFS(AI$91:AI1315,AI1316,AJ$91:AJ1315,AJ1316))</f>
        <v>336.SG1</v>
      </c>
    </row>
    <row r="1317" spans="1:37" ht="15" hidden="1">
      <c r="A1317" s="120">
        <f>ROW()</f>
        <v>1317</v>
      </c>
      <c r="B1317" s="120"/>
      <c r="C1317" s="1"/>
      <c r="E1317" s="121" t="s">
        <v>15</v>
      </c>
      <c r="F1317" s="138" t="str">
        <f>INDEX(FuncAllocOptions,ROW(A1317)-ROW($A$92)+1,[4]Inputs!$S$11)</f>
        <v>P</v>
      </c>
      <c r="G1317" s="117" t="e">
        <f>SUMIF(FERCJAMFactor,AK1317,JAMValue)</f>
        <v>#VALUE!</v>
      </c>
      <c r="H1317" s="116" t="e">
        <f t="shared" si="749"/>
        <v>#VALUE!</v>
      </c>
      <c r="I1317" s="116" t="e">
        <f t="shared" si="749"/>
        <v>#VALUE!</v>
      </c>
      <c r="J1317" s="116" t="e">
        <f t="shared" si="749"/>
        <v>#VALUE!</v>
      </c>
      <c r="K1317" s="116" t="e">
        <f t="shared" si="749"/>
        <v>#VALUE!</v>
      </c>
      <c r="L1317" s="116" t="e">
        <f t="shared" si="749"/>
        <v>#VALUE!</v>
      </c>
      <c r="N1317" s="108">
        <v>0.75</v>
      </c>
      <c r="O1317" s="116" t="e">
        <f>$H1317*$N1317*$M1317</f>
        <v>#VALUE!</v>
      </c>
      <c r="P1317" s="116" t="e">
        <f>$H1317*(1-$N1317)*$M1317</f>
        <v>#VALUE!</v>
      </c>
      <c r="Q1317" s="116" t="e">
        <f>$H1317*$N1317*(1-$M1317)</f>
        <v>#VALUE!</v>
      </c>
      <c r="R1317" s="116" t="e">
        <f>$H1317*(1-$N1317)*(1-$M1317)</f>
        <v>#VALUE!</v>
      </c>
      <c r="T1317" s="116">
        <v>0</v>
      </c>
      <c r="U1317" s="116">
        <v>0</v>
      </c>
      <c r="V1317" s="116">
        <v>0</v>
      </c>
      <c r="W1317" s="116">
        <v>0</v>
      </c>
      <c r="X1317" s="3"/>
      <c r="AD1317" s="117" t="e">
        <f>ROUND(SUM(-G1317,H1317:L1317),0)</f>
        <v>#VALUE!</v>
      </c>
      <c r="AE1317" s="117" t="e">
        <f>ROUND(H1317-O1317-P1317-Q1317-R1317,0)</f>
        <v>#VALUE!</v>
      </c>
      <c r="AF1317" s="117" t="e">
        <f>ROUND(I1317-T1317-U1317-V1317-W1317,0)</f>
        <v>#VALUE!</v>
      </c>
      <c r="AG1317" s="117" t="e">
        <f>ROUND(J1317-Y1317-Z1317-AA1317-AC1317-AB1317,0)</f>
        <v>#VALUE!</v>
      </c>
      <c r="AH1317" s="116"/>
      <c r="AI1317">
        <f t="shared" si="732"/>
        <v>336</v>
      </c>
      <c r="AJ1317" t="str">
        <f t="shared" si="747"/>
        <v>SG</v>
      </c>
      <c r="AK1317" t="str">
        <f>IF(ISERROR(MATCH(AI1317&amp;"."&amp;AJ1317,AK$91:AK1316,0)),AI1317&amp;"."&amp;AJ1317,AI1317&amp;"."&amp;AJ1317&amp;COUNTIFS(AI$91:AI1316,AI1317,AJ$91:AJ1316,AJ1317))</f>
        <v>336.SG2</v>
      </c>
    </row>
    <row r="1318" spans="1:37" ht="15" hidden="1">
      <c r="A1318" s="120">
        <f>ROW()</f>
        <v>1318</v>
      </c>
      <c r="B1318" s="120"/>
      <c r="C1318" s="1"/>
      <c r="E1318" s="121" t="s">
        <v>15</v>
      </c>
      <c r="F1318" s="138" t="str">
        <f>INDEX(FuncAllocOptions,ROW(A1318)-ROW($A$92)+1,[4]Inputs!$S$11)</f>
        <v>P</v>
      </c>
      <c r="G1318" s="133" t="e">
        <f>SUMIF(FERCJAMFactor,AK1318,JAMValue)</f>
        <v>#VALUE!</v>
      </c>
      <c r="H1318" s="139" t="e">
        <f t="shared" si="749"/>
        <v>#VALUE!</v>
      </c>
      <c r="I1318" s="139" t="e">
        <f t="shared" si="749"/>
        <v>#VALUE!</v>
      </c>
      <c r="J1318" s="139" t="e">
        <f t="shared" si="749"/>
        <v>#VALUE!</v>
      </c>
      <c r="K1318" s="139" t="e">
        <f t="shared" si="749"/>
        <v>#VALUE!</v>
      </c>
      <c r="L1318" s="139" t="e">
        <f t="shared" si="749"/>
        <v>#VALUE!</v>
      </c>
      <c r="N1318" s="108">
        <v>0.75</v>
      </c>
      <c r="O1318" s="116" t="e">
        <f>$H1318*$N1318*$M1318</f>
        <v>#VALUE!</v>
      </c>
      <c r="P1318" s="116" t="e">
        <f>$H1318*(1-$N1318)*$M1318</f>
        <v>#VALUE!</v>
      </c>
      <c r="Q1318" s="116" t="e">
        <f>$H1318*$N1318*(1-$M1318)</f>
        <v>#VALUE!</v>
      </c>
      <c r="R1318" s="116" t="e">
        <f>$H1318*(1-$N1318)*(1-$M1318)</f>
        <v>#VALUE!</v>
      </c>
      <c r="T1318" s="116"/>
      <c r="U1318" s="116"/>
      <c r="V1318" s="116"/>
      <c r="W1318" s="116"/>
      <c r="X1318" s="3"/>
      <c r="AD1318" s="117" t="e">
        <f>ROUND(SUM(-G1318,H1318:L1318),0)</f>
        <v>#VALUE!</v>
      </c>
      <c r="AE1318" s="117" t="e">
        <f>ROUND(H1318-O1318-P1318-Q1318-R1318,0)</f>
        <v>#VALUE!</v>
      </c>
      <c r="AF1318" s="117" t="e">
        <f>ROUND(I1318-T1318-U1318-V1318-W1318,0)</f>
        <v>#VALUE!</v>
      </c>
      <c r="AG1318" s="117" t="e">
        <f>ROUND(J1318-Y1318-Z1318-AA1318-AC1318-AB1318,0)</f>
        <v>#VALUE!</v>
      </c>
      <c r="AH1318" s="116"/>
      <c r="AI1318">
        <f t="shared" si="732"/>
        <v>336</v>
      </c>
      <c r="AJ1318" t="str">
        <f t="shared" si="747"/>
        <v>SG</v>
      </c>
      <c r="AK1318" t="str">
        <f>IF(ISERROR(MATCH(AI1318&amp;"."&amp;AJ1318,AK$91:AK1317,0)),AI1318&amp;"."&amp;AJ1318,AI1318&amp;"."&amp;AJ1318&amp;COUNTIFS(AI$91:AI1317,AI1318,AJ$91:AJ1317,AJ1318))</f>
        <v>336.SG3</v>
      </c>
    </row>
    <row r="1319" spans="1:37" ht="15" hidden="1">
      <c r="A1319" s="120">
        <f>ROW()</f>
        <v>1319</v>
      </c>
      <c r="B1319" s="120"/>
      <c r="C1319" s="1"/>
      <c r="E1319" s="121"/>
      <c r="F1319" s="138"/>
      <c r="G1319" s="117" t="e">
        <f t="shared" ref="G1319:L1319" si="750">SUM(G1315:G1318)</f>
        <v>#VALUE!</v>
      </c>
      <c r="H1319" s="116" t="e">
        <f t="shared" si="750"/>
        <v>#VALUE!</v>
      </c>
      <c r="I1319" s="116" t="e">
        <f t="shared" si="750"/>
        <v>#VALUE!</v>
      </c>
      <c r="J1319" s="116" t="e">
        <f t="shared" si="750"/>
        <v>#VALUE!</v>
      </c>
      <c r="K1319" s="116" t="e">
        <f t="shared" si="750"/>
        <v>#VALUE!</v>
      </c>
      <c r="L1319" s="116" t="e">
        <f t="shared" si="750"/>
        <v>#VALUE!</v>
      </c>
      <c r="O1319" s="116" t="e">
        <f>SUM(O1315:O1318)</f>
        <v>#VALUE!</v>
      </c>
      <c r="P1319" s="116" t="e">
        <f>SUM(P1315:P1318)</f>
        <v>#VALUE!</v>
      </c>
      <c r="Q1319" s="116" t="e">
        <f>SUM(Q1315:Q1318)</f>
        <v>#VALUE!</v>
      </c>
      <c r="R1319" s="116" t="e">
        <f>SUM(R1315:R1318)</f>
        <v>#VALUE!</v>
      </c>
      <c r="T1319" s="116">
        <f>SUM(T1315:T1318)</f>
        <v>0</v>
      </c>
      <c r="U1319" s="116">
        <f>SUM(U1315:U1318)</f>
        <v>0</v>
      </c>
      <c r="V1319" s="116">
        <f>SUM(V1315:V1318)</f>
        <v>0</v>
      </c>
      <c r="W1319" s="116">
        <f>SUM(W1315:W1318)</f>
        <v>0</v>
      </c>
      <c r="X1319" s="3"/>
      <c r="Y1319" s="116">
        <f>SUM(Y1315:Y1318)</f>
        <v>0</v>
      </c>
      <c r="Z1319" s="116">
        <f>SUM(Z1315:Z1318)</f>
        <v>0</v>
      </c>
      <c r="AA1319" s="116">
        <f>SUM(AA1315:AA1318)</f>
        <v>0</v>
      </c>
      <c r="AB1319" s="116">
        <f>SUM(AB1315:AB1318)</f>
        <v>0</v>
      </c>
      <c r="AC1319" s="116">
        <f>SUM(AC1315:AC1318)</f>
        <v>0</v>
      </c>
      <c r="AD1319" s="117" t="e">
        <f>ROUND(SUM(-G1319,H1319:L1319),0)</f>
        <v>#VALUE!</v>
      </c>
      <c r="AE1319" s="117" t="e">
        <f>ROUND(H1319-O1319-P1319-Q1319-R1319,0)</f>
        <v>#VALUE!</v>
      </c>
      <c r="AF1319" s="117" t="e">
        <f>ROUND(I1319-T1319-U1319-V1319-W1319,0)</f>
        <v>#VALUE!</v>
      </c>
      <c r="AG1319" s="117" t="e">
        <f>ROUND(J1319-Y1319-Z1319-AA1319-AC1319-AB1319,0)</f>
        <v>#VALUE!</v>
      </c>
      <c r="AH1319" s="116"/>
      <c r="AI1319">
        <f t="shared" si="732"/>
        <v>336</v>
      </c>
      <c r="AJ1319" t="str">
        <f t="shared" si="747"/>
        <v>NA</v>
      </c>
      <c r="AK1319" t="str">
        <f>IF(ISERROR(MATCH(AI1319&amp;"."&amp;AJ1319,AK$91:AK1318,0)),AI1319&amp;"."&amp;AJ1319,AI1319&amp;"."&amp;AJ1319&amp;COUNTIFS(AI$91:AI1318,AI1319,AJ$91:AJ1318,AJ1319))</f>
        <v>336.NA1</v>
      </c>
    </row>
    <row r="1320" spans="1:37" ht="15" hidden="1">
      <c r="A1320" s="120">
        <f>ROW()</f>
        <v>1320</v>
      </c>
      <c r="B1320" s="120"/>
      <c r="C1320" s="1"/>
      <c r="E1320" s="121"/>
      <c r="F1320" s="138"/>
      <c r="G1320" s="119"/>
      <c r="X1320" s="3"/>
      <c r="AD1320" s="119"/>
      <c r="AE1320" s="119"/>
      <c r="AF1320" s="119"/>
      <c r="AG1320" s="119"/>
      <c r="AI1320">
        <f t="shared" si="732"/>
        <v>336</v>
      </c>
      <c r="AJ1320" t="str">
        <f t="shared" si="747"/>
        <v>NA</v>
      </c>
      <c r="AK1320" t="str">
        <f>IF(ISERROR(MATCH(AI1320&amp;"."&amp;AJ1320,AK$91:AK1319,0)),AI1320&amp;"."&amp;AJ1320,AI1320&amp;"."&amp;AJ1320&amp;COUNTIFS(AI$91:AI1319,AI1320,AJ$91:AJ1319,AJ1320))</f>
        <v>336.NA2</v>
      </c>
    </row>
    <row r="1321" spans="1:37" ht="15" hidden="1">
      <c r="A1321" s="120">
        <f>ROW()</f>
        <v>1321</v>
      </c>
      <c r="B1321" s="120"/>
      <c r="C1321" s="1"/>
      <c r="E1321" s="121"/>
      <c r="F1321" s="138"/>
      <c r="G1321" s="119"/>
      <c r="X1321" s="3"/>
      <c r="AD1321" s="119"/>
      <c r="AE1321" s="119"/>
      <c r="AF1321" s="119"/>
      <c r="AG1321" s="119"/>
      <c r="AI1321">
        <f t="shared" si="732"/>
        <v>336</v>
      </c>
      <c r="AJ1321" t="str">
        <f t="shared" si="747"/>
        <v>NA</v>
      </c>
      <c r="AK1321" t="str">
        <f>IF(ISERROR(MATCH(AI1321&amp;"."&amp;AJ1321,AK$91:AK1320,0)),AI1321&amp;"."&amp;AJ1321,AI1321&amp;"."&amp;AJ1321&amp;COUNTIFS(AI$91:AI1320,AI1321,AJ$91:AJ1320,AJ1321))</f>
        <v>336.NA3</v>
      </c>
    </row>
    <row r="1322" spans="1:37" ht="15" hidden="1">
      <c r="A1322" s="120">
        <f>ROW()</f>
        <v>1322</v>
      </c>
      <c r="B1322" s="120"/>
      <c r="C1322" s="1" t="s">
        <v>249</v>
      </c>
      <c r="D1322" s="2" t="s">
        <v>522</v>
      </c>
      <c r="E1322" s="121"/>
      <c r="F1322" s="138"/>
      <c r="G1322" s="119"/>
      <c r="X1322" s="3"/>
      <c r="AD1322" s="119"/>
      <c r="AE1322" s="119"/>
      <c r="AF1322" s="119"/>
      <c r="AG1322" s="119"/>
      <c r="AI1322" t="str">
        <f t="shared" si="732"/>
        <v>HP</v>
      </c>
      <c r="AJ1322" t="str">
        <f t="shared" si="747"/>
        <v>NA</v>
      </c>
      <c r="AK1322" t="str">
        <f>IF(ISERROR(MATCH(AI1322&amp;"."&amp;AJ1322,AK$91:AK1321,0)),AI1322&amp;"."&amp;AJ1322,AI1322&amp;"."&amp;AJ1322&amp;COUNTIFS(AI$91:AI1321,AI1322,AJ$91:AJ1321,AJ1322))</f>
        <v>HP.NA</v>
      </c>
    </row>
    <row r="1323" spans="1:37" ht="15" hidden="1">
      <c r="A1323" s="120">
        <f>ROW()</f>
        <v>1323</v>
      </c>
      <c r="B1323" s="120"/>
      <c r="E1323" s="121" t="s">
        <v>12</v>
      </c>
      <c r="F1323" s="138" t="str">
        <f>INDEX(FuncAllocOptions,ROW(A1323)-ROW($A$92)+1,[4]Inputs!$S$11)</f>
        <v>P</v>
      </c>
      <c r="G1323" s="117" t="e">
        <f>SUMIF(FERCJAMFactor,AK1323,JAMValue)</f>
        <v>#VALUE!</v>
      </c>
      <c r="H1323" s="116" t="e">
        <f t="shared" ref="H1323:L1324" si="751">INDEX(FuncFactorTbl,MATCH($F1323,FuncFactors,0),MATCH(H$8,Functions,0))*$G1323</f>
        <v>#VALUE!</v>
      </c>
      <c r="I1323" s="116" t="e">
        <f t="shared" si="751"/>
        <v>#VALUE!</v>
      </c>
      <c r="J1323" s="116" t="e">
        <f t="shared" si="751"/>
        <v>#VALUE!</v>
      </c>
      <c r="K1323" s="116" t="e">
        <f t="shared" si="751"/>
        <v>#VALUE!</v>
      </c>
      <c r="L1323" s="116" t="e">
        <f t="shared" si="751"/>
        <v>#VALUE!</v>
      </c>
      <c r="N1323" s="108">
        <v>0.75</v>
      </c>
      <c r="O1323" s="116" t="e">
        <f>$H1323*$N1323*$M1323</f>
        <v>#VALUE!</v>
      </c>
      <c r="P1323" s="116" t="e">
        <f>$H1323*(1-$N1323)*$M1323</f>
        <v>#VALUE!</v>
      </c>
      <c r="Q1323" s="116" t="e">
        <f>$H1323*$N1323*(1-$M1323)</f>
        <v>#VALUE!</v>
      </c>
      <c r="R1323" s="116" t="e">
        <f>$H1323*(1-$N1323)*(1-$M1323)</f>
        <v>#VALUE!</v>
      </c>
      <c r="T1323" s="116">
        <v>0</v>
      </c>
      <c r="U1323" s="116">
        <v>0</v>
      </c>
      <c r="V1323" s="116">
        <v>0</v>
      </c>
      <c r="W1323" s="116">
        <v>0</v>
      </c>
      <c r="X1323" s="3"/>
      <c r="AD1323" s="117" t="e">
        <f>ROUND(SUM(-G1323,H1323:L1323),0)</f>
        <v>#VALUE!</v>
      </c>
      <c r="AE1323" s="117" t="e">
        <f>ROUND(H1323-O1323-P1323-Q1323-R1323,0)</f>
        <v>#VALUE!</v>
      </c>
      <c r="AF1323" s="117" t="e">
        <f>ROUND(I1323-T1323-U1323-V1323-W1323,0)</f>
        <v>#VALUE!</v>
      </c>
      <c r="AG1323" s="117" t="e">
        <f>ROUND(J1323-Y1323-Z1323-AA1323-AC1323-AB1323,0)</f>
        <v>#VALUE!</v>
      </c>
      <c r="AH1323" s="116"/>
      <c r="AI1323" t="str">
        <f t="shared" si="732"/>
        <v>HP</v>
      </c>
      <c r="AJ1323" t="str">
        <f t="shared" si="747"/>
        <v>S</v>
      </c>
      <c r="AK1323" t="str">
        <f>IF(ISERROR(MATCH(AI1323&amp;"."&amp;AJ1323,AK$91:AK1322,0)),AI1323&amp;"."&amp;AJ1323,AI1323&amp;"."&amp;AJ1323&amp;COUNTIFS(AI$91:AI1322,AI1323,AJ$91:AJ1322,AJ1323))</f>
        <v>HP.S</v>
      </c>
    </row>
    <row r="1324" spans="1:37" ht="15" hidden="1">
      <c r="A1324" s="120">
        <f>ROW()</f>
        <v>1324</v>
      </c>
      <c r="B1324" s="120"/>
      <c r="E1324" s="121" t="s">
        <v>15</v>
      </c>
      <c r="F1324" s="138" t="str">
        <f>INDEX(FuncAllocOptions,ROW(A1324)-ROW($A$92)+1,[4]Inputs!$S$11)</f>
        <v>P</v>
      </c>
      <c r="G1324" s="133" t="e">
        <f>SUMIF(FERCJAMFactor,AK1324,JAMValue)</f>
        <v>#VALUE!</v>
      </c>
      <c r="H1324" s="139" t="e">
        <f t="shared" si="751"/>
        <v>#VALUE!</v>
      </c>
      <c r="I1324" s="139" t="e">
        <f t="shared" si="751"/>
        <v>#VALUE!</v>
      </c>
      <c r="J1324" s="139" t="e">
        <f t="shared" si="751"/>
        <v>#VALUE!</v>
      </c>
      <c r="K1324" s="139" t="e">
        <f t="shared" si="751"/>
        <v>#VALUE!</v>
      </c>
      <c r="L1324" s="139" t="e">
        <f t="shared" si="751"/>
        <v>#VALUE!</v>
      </c>
      <c r="N1324" s="108">
        <v>0.75</v>
      </c>
      <c r="O1324" s="116" t="e">
        <f>$H1324*$N1324*$M1324</f>
        <v>#VALUE!</v>
      </c>
      <c r="P1324" s="116" t="e">
        <f>$H1324*(1-$N1324)*$M1324</f>
        <v>#VALUE!</v>
      </c>
      <c r="Q1324" s="116" t="e">
        <f>$H1324*$N1324*(1-$M1324)</f>
        <v>#VALUE!</v>
      </c>
      <c r="R1324" s="116" t="e">
        <f>$H1324*(1-$N1324)*(1-$M1324)</f>
        <v>#VALUE!</v>
      </c>
      <c r="T1324" s="116"/>
      <c r="U1324" s="116"/>
      <c r="V1324" s="116"/>
      <c r="W1324" s="116"/>
      <c r="X1324" s="3"/>
      <c r="AD1324" s="117" t="e">
        <f>ROUND(SUM(-G1324,H1324:L1324),0)</f>
        <v>#VALUE!</v>
      </c>
      <c r="AE1324" s="117" t="e">
        <f>ROUND(H1324-O1324-P1324-Q1324-R1324,0)</f>
        <v>#VALUE!</v>
      </c>
      <c r="AF1324" s="117" t="e">
        <f>ROUND(I1324-T1324-U1324-V1324-W1324,0)</f>
        <v>#VALUE!</v>
      </c>
      <c r="AG1324" s="117" t="e">
        <f>ROUND(J1324-Y1324-Z1324-AA1324-AC1324-AB1324,0)</f>
        <v>#VALUE!</v>
      </c>
      <c r="AH1324" s="116"/>
      <c r="AI1324" t="str">
        <f t="shared" ref="AI1324:AI1387" si="752">IF(OR(C1324="",C1324=" ",C1324="  ",C1324="   "),AI1323,C1324)</f>
        <v>HP</v>
      </c>
      <c r="AJ1324" t="str">
        <f t="shared" si="747"/>
        <v>SG</v>
      </c>
      <c r="AK1324" t="str">
        <f>IF(ISERROR(MATCH(AI1324&amp;"."&amp;AJ1324,AK$91:AK1323,0)),AI1324&amp;"."&amp;AJ1324,AI1324&amp;"."&amp;AJ1324&amp;COUNTIFS(AI$91:AI1323,AI1324,AJ$91:AJ1323,AJ1324))</f>
        <v>HP.SG</v>
      </c>
    </row>
    <row r="1325" spans="1:37" ht="15" hidden="1">
      <c r="A1325" s="120">
        <f>ROW()</f>
        <v>1325</v>
      </c>
      <c r="B1325" s="120"/>
      <c r="E1325" s="121"/>
      <c r="F1325" s="138"/>
      <c r="G1325" s="117" t="e">
        <f t="shared" ref="G1325:L1325" si="753">SUM(G1323:G1324)</f>
        <v>#VALUE!</v>
      </c>
      <c r="H1325" s="116" t="e">
        <f t="shared" si="753"/>
        <v>#VALUE!</v>
      </c>
      <c r="I1325" s="116" t="e">
        <f t="shared" si="753"/>
        <v>#VALUE!</v>
      </c>
      <c r="J1325" s="116" t="e">
        <f t="shared" si="753"/>
        <v>#VALUE!</v>
      </c>
      <c r="K1325" s="116" t="e">
        <f t="shared" si="753"/>
        <v>#VALUE!</v>
      </c>
      <c r="L1325" s="116" t="e">
        <f t="shared" si="753"/>
        <v>#VALUE!</v>
      </c>
      <c r="O1325" s="116" t="e">
        <f>SUM(O1323:O1324)</f>
        <v>#VALUE!</v>
      </c>
      <c r="P1325" s="116" t="e">
        <f>SUM(P1323:P1324)</f>
        <v>#VALUE!</v>
      </c>
      <c r="Q1325" s="116" t="e">
        <f>SUM(Q1323:Q1324)</f>
        <v>#VALUE!</v>
      </c>
      <c r="R1325" s="116" t="e">
        <f>SUM(R1323:R1324)</f>
        <v>#VALUE!</v>
      </c>
      <c r="T1325" s="116">
        <f>SUM(T1323:T1324)</f>
        <v>0</v>
      </c>
      <c r="U1325" s="116">
        <f>SUM(U1323:U1324)</f>
        <v>0</v>
      </c>
      <c r="V1325" s="116">
        <f>SUM(V1323:V1324)</f>
        <v>0</v>
      </c>
      <c r="W1325" s="116">
        <f>SUM(W1323:W1324)</f>
        <v>0</v>
      </c>
      <c r="X1325" s="3"/>
      <c r="Y1325" s="116">
        <f>SUM(Y1323:Y1324)</f>
        <v>0</v>
      </c>
      <c r="Z1325" s="116">
        <f>SUM(Z1323:Z1324)</f>
        <v>0</v>
      </c>
      <c r="AA1325" s="116">
        <f>SUM(AA1323:AA1324)</f>
        <v>0</v>
      </c>
      <c r="AB1325" s="116">
        <f>SUM(AB1323:AB1324)</f>
        <v>0</v>
      </c>
      <c r="AC1325" s="116">
        <f>SUM(AC1323:AC1324)</f>
        <v>0</v>
      </c>
      <c r="AD1325" s="117" t="e">
        <f>ROUND(SUM(-G1325,H1325:L1325),0)</f>
        <v>#VALUE!</v>
      </c>
      <c r="AE1325" s="117" t="e">
        <f>ROUND(H1325-O1325-P1325-Q1325-R1325,0)</f>
        <v>#VALUE!</v>
      </c>
      <c r="AF1325" s="117" t="e">
        <f>ROUND(I1325-T1325-U1325-V1325-W1325,0)</f>
        <v>#VALUE!</v>
      </c>
      <c r="AG1325" s="117" t="e">
        <f>ROUND(J1325-Y1325-Z1325-AA1325-AC1325-AB1325,0)</f>
        <v>#VALUE!</v>
      </c>
      <c r="AH1325" s="116"/>
      <c r="AI1325" t="str">
        <f t="shared" si="752"/>
        <v>HP</v>
      </c>
      <c r="AJ1325" t="str">
        <f t="shared" si="747"/>
        <v>NA</v>
      </c>
      <c r="AK1325" t="str">
        <f>IF(ISERROR(MATCH(AI1325&amp;"."&amp;AJ1325,AK$91:AK1324,0)),AI1325&amp;"."&amp;AJ1325,AI1325&amp;"."&amp;AJ1325&amp;COUNTIFS(AI$91:AI1324,AI1325,AJ$91:AJ1324,AJ1325))</f>
        <v>HP.NA1</v>
      </c>
    </row>
    <row r="1326" spans="1:37" ht="15" hidden="1">
      <c r="A1326" s="120">
        <f>ROW()</f>
        <v>1326</v>
      </c>
      <c r="B1326" s="120"/>
      <c r="E1326" s="121"/>
      <c r="F1326" s="138"/>
      <c r="G1326" s="119"/>
      <c r="X1326" s="3"/>
      <c r="AD1326" s="119"/>
      <c r="AE1326" s="119"/>
      <c r="AF1326" s="119"/>
      <c r="AG1326" s="119"/>
      <c r="AI1326" t="str">
        <f t="shared" si="752"/>
        <v>HP</v>
      </c>
      <c r="AJ1326" t="str">
        <f t="shared" si="747"/>
        <v>NA</v>
      </c>
      <c r="AK1326" t="str">
        <f>IF(ISERROR(MATCH(AI1326&amp;"."&amp;AJ1326,AK$91:AK1325,0)),AI1326&amp;"."&amp;AJ1326,AI1326&amp;"."&amp;AJ1326&amp;COUNTIFS(AI$91:AI1325,AI1326,AJ$91:AJ1325,AJ1326))</f>
        <v>HP.NA2</v>
      </c>
    </row>
    <row r="1327" spans="1:37" ht="15" hidden="1">
      <c r="A1327" s="120">
        <f>ROW()</f>
        <v>1327</v>
      </c>
      <c r="B1327" s="120"/>
      <c r="E1327" s="121"/>
      <c r="F1327" s="138"/>
      <c r="G1327" s="119"/>
      <c r="X1327" s="3"/>
      <c r="AD1327" s="119"/>
      <c r="AE1327" s="119"/>
      <c r="AF1327" s="119"/>
      <c r="AG1327" s="119"/>
      <c r="AI1327" t="str">
        <f t="shared" si="752"/>
        <v>HP</v>
      </c>
      <c r="AJ1327" t="str">
        <f t="shared" si="747"/>
        <v>NA</v>
      </c>
      <c r="AK1327" t="str">
        <f>IF(ISERROR(MATCH(AI1327&amp;"."&amp;AJ1327,AK$91:AK1326,0)),AI1327&amp;"."&amp;AJ1327,AI1327&amp;"."&amp;AJ1327&amp;COUNTIFS(AI$91:AI1326,AI1327,AJ$91:AJ1326,AJ1327))</f>
        <v>HP.NA3</v>
      </c>
    </row>
    <row r="1328" spans="1:37" ht="15.75" hidden="1" thickBot="1">
      <c r="A1328" s="120">
        <f>ROW()</f>
        <v>1328</v>
      </c>
      <c r="B1328" s="120"/>
      <c r="C1328" s="110" t="s">
        <v>741</v>
      </c>
      <c r="E1328" s="121"/>
      <c r="F1328" s="138"/>
      <c r="G1328" s="153" t="e">
        <f t="shared" ref="G1328:L1328" si="754">G1277+G1284+G1291+G1298+G1305+G1312+G1319+G1325</f>
        <v>#VALUE!</v>
      </c>
      <c r="H1328" s="152" t="e">
        <f t="shared" si="754"/>
        <v>#VALUE!</v>
      </c>
      <c r="I1328" s="152" t="e">
        <f t="shared" si="754"/>
        <v>#VALUE!</v>
      </c>
      <c r="J1328" s="152" t="e">
        <f t="shared" si="754"/>
        <v>#VALUE!</v>
      </c>
      <c r="K1328" s="152" t="e">
        <f t="shared" si="754"/>
        <v>#VALUE!</v>
      </c>
      <c r="L1328" s="152" t="e">
        <f t="shared" si="754"/>
        <v>#VALUE!</v>
      </c>
      <c r="O1328" s="116" t="e">
        <f>O1277+O1284+O1291+O1298+O1305+O1312+O1319+O1325</f>
        <v>#VALUE!</v>
      </c>
      <c r="P1328" s="116" t="e">
        <f>P1277+P1284+P1291+P1298+P1305+P1312+P1319+P1325</f>
        <v>#VALUE!</v>
      </c>
      <c r="Q1328" s="116" t="e">
        <f>Q1277+Q1284+Q1291+Q1298+Q1305+Q1312+Q1319+Q1325</f>
        <v>#VALUE!</v>
      </c>
      <c r="R1328" s="116" t="e">
        <f>R1277+R1284+R1291+R1298+R1305+R1312+R1319+R1325</f>
        <v>#VALUE!</v>
      </c>
      <c r="S1328" s="116"/>
      <c r="T1328" s="116">
        <f>T1277+T1284+T1291+T1298+T1305+T1312+T1319+T1325</f>
        <v>0</v>
      </c>
      <c r="U1328" s="116">
        <f>U1277+U1284+U1291+U1298+U1305+U1312+U1319+U1325</f>
        <v>0</v>
      </c>
      <c r="V1328" s="116">
        <f>V1277+V1284+V1291+V1298+V1305+V1312+V1319+V1325</f>
        <v>0</v>
      </c>
      <c r="W1328" s="116">
        <f>W1277+W1284+W1291+W1298+W1305+W1312+W1319+W1325</f>
        <v>0</v>
      </c>
      <c r="X1328" s="3"/>
      <c r="Y1328" s="116">
        <f>Y1277+Y1284+Y1291+Y1298+Y1305+Y1312+Y1319+Y1325</f>
        <v>0</v>
      </c>
      <c r="Z1328" s="116">
        <f>Z1277+Z1284+Z1291+Z1298+Z1305+Z1312+Z1319+Z1325</f>
        <v>0</v>
      </c>
      <c r="AA1328" s="116">
        <f>AA1277+AA1284+AA1291+AA1298+AA1305+AA1312+AA1319+AA1325</f>
        <v>0</v>
      </c>
      <c r="AB1328" s="116">
        <f>AB1277+AB1284+AB1291+AB1298+AB1305+AB1312+AB1319+AB1325</f>
        <v>0</v>
      </c>
      <c r="AC1328" s="116">
        <f>AC1277+AC1284+AC1291+AC1298+AC1305+AC1312+AC1319+AC1325</f>
        <v>0</v>
      </c>
      <c r="AD1328" s="117" t="e">
        <f>ROUND(SUM(-G1328,H1328:L1328),0)</f>
        <v>#VALUE!</v>
      </c>
      <c r="AE1328" s="117" t="e">
        <f>ROUND(H1328-O1328-P1328-Q1328-R1328,0)</f>
        <v>#VALUE!</v>
      </c>
      <c r="AF1328" s="117" t="e">
        <f>ROUND(I1328-T1328-U1328-V1328-W1328,0)</f>
        <v>#VALUE!</v>
      </c>
      <c r="AG1328" s="117" t="e">
        <f>ROUND(J1328-Y1328-Z1328-AA1328-AC1328-AB1328,0)</f>
        <v>#VALUE!</v>
      </c>
      <c r="AH1328" s="116"/>
      <c r="AI1328" t="str">
        <f t="shared" si="752"/>
        <v>Total Hydraulic Plant</v>
      </c>
      <c r="AJ1328" t="str">
        <f t="shared" si="747"/>
        <v>NA</v>
      </c>
      <c r="AK1328" t="str">
        <f>IF(ISERROR(MATCH(AI1328&amp;"."&amp;AJ1328,AK$91:AK1327,0)),AI1328&amp;"."&amp;AJ1328,AI1328&amp;"."&amp;AJ1328&amp;COUNTIFS(AI$91:AI1327,AI1328,AJ$91:AJ1327,AJ1328))</f>
        <v>Total Hydraulic Plant.NA</v>
      </c>
    </row>
    <row r="1329" spans="1:37" ht="15" hidden="1">
      <c r="A1329" s="120">
        <f>ROW()</f>
        <v>1329</v>
      </c>
      <c r="B1329" s="120"/>
      <c r="E1329" s="121"/>
      <c r="F1329" s="138"/>
      <c r="G1329" s="119"/>
      <c r="X1329" s="3"/>
      <c r="AD1329" s="119"/>
      <c r="AE1329" s="119"/>
      <c r="AF1329" s="119"/>
      <c r="AG1329" s="119"/>
      <c r="AI1329" t="str">
        <f t="shared" si="752"/>
        <v>Total Hydraulic Plant</v>
      </c>
      <c r="AJ1329" t="str">
        <f t="shared" si="747"/>
        <v>NA</v>
      </c>
      <c r="AK1329" t="str">
        <f>IF(ISERROR(MATCH(AI1329&amp;"."&amp;AJ1329,AK$91:AK1328,0)),AI1329&amp;"."&amp;AJ1329,AI1329&amp;"."&amp;AJ1329&amp;COUNTIFS(AI$91:AI1328,AI1329,AJ$91:AJ1328,AJ1329))</f>
        <v>Total Hydraulic Plant.NA1</v>
      </c>
    </row>
    <row r="1330" spans="1:37" ht="15" hidden="1">
      <c r="A1330" s="120">
        <f>ROW()</f>
        <v>1330</v>
      </c>
      <c r="B1330" s="120"/>
      <c r="C1330" s="1">
        <v>340</v>
      </c>
      <c r="D1330" s="2" t="s">
        <v>500</v>
      </c>
      <c r="E1330" s="121"/>
      <c r="F1330" s="138"/>
      <c r="G1330" s="119"/>
      <c r="X1330" s="3"/>
      <c r="AD1330" s="119"/>
      <c r="AE1330" s="119"/>
      <c r="AF1330" s="119"/>
      <c r="AG1330" s="119"/>
      <c r="AI1330">
        <f t="shared" si="752"/>
        <v>340</v>
      </c>
      <c r="AJ1330" t="str">
        <f t="shared" si="747"/>
        <v>NA</v>
      </c>
      <c r="AK1330" t="str">
        <f>IF(ISERROR(MATCH(AI1330&amp;"."&amp;AJ1330,AK$91:AK1329,0)),AI1330&amp;"."&amp;AJ1330,AI1330&amp;"."&amp;AJ1330&amp;COUNTIFS(AI$91:AI1329,AI1330,AJ$91:AJ1329,AJ1330))</f>
        <v>340.NA</v>
      </c>
    </row>
    <row r="1331" spans="1:37" ht="15" hidden="1">
      <c r="A1331" s="120">
        <f>ROW()</f>
        <v>1331</v>
      </c>
      <c r="B1331" s="120"/>
      <c r="C1331" s="1"/>
      <c r="E1331" s="121" t="s">
        <v>15</v>
      </c>
      <c r="F1331" s="138" t="str">
        <f>INDEX(FuncAllocOptions,ROW(A1331)-ROW($A$92)+1,[4]Inputs!$S$11)</f>
        <v>P</v>
      </c>
      <c r="G1331" s="117" t="e">
        <f>SUMIF(FERCJAMFactor,AK1331,JAMValue)</f>
        <v>#VALUE!</v>
      </c>
      <c r="H1331" s="116" t="e">
        <f t="shared" ref="H1331:L1333" si="755">INDEX(FuncFactorTbl,MATCH($F1331,FuncFactors,0),MATCH(H$8,Functions,0))*$G1331</f>
        <v>#VALUE!</v>
      </c>
      <c r="I1331" s="116" t="e">
        <f t="shared" si="755"/>
        <v>#VALUE!</v>
      </c>
      <c r="J1331" s="116" t="e">
        <f t="shared" si="755"/>
        <v>#VALUE!</v>
      </c>
      <c r="K1331" s="116" t="e">
        <f t="shared" si="755"/>
        <v>#VALUE!</v>
      </c>
      <c r="L1331" s="116" t="e">
        <f t="shared" si="755"/>
        <v>#VALUE!</v>
      </c>
      <c r="N1331" s="108">
        <v>0.75</v>
      </c>
      <c r="O1331" s="116" t="e">
        <f>$H1331*$N1331*$M1331</f>
        <v>#VALUE!</v>
      </c>
      <c r="P1331" s="116" t="e">
        <f>$H1331*(1-$N1331)*$M1331</f>
        <v>#VALUE!</v>
      </c>
      <c r="Q1331" s="116" t="e">
        <f>$H1331*$N1331*(1-$M1331)</f>
        <v>#VALUE!</v>
      </c>
      <c r="R1331" s="116" t="e">
        <f>$H1331*(1-$N1331)*(1-$M1331)</f>
        <v>#VALUE!</v>
      </c>
      <c r="T1331" s="116">
        <v>0</v>
      </c>
      <c r="U1331" s="116">
        <v>0</v>
      </c>
      <c r="V1331" s="116">
        <v>0</v>
      </c>
      <c r="W1331" s="116">
        <v>0</v>
      </c>
      <c r="X1331" s="3"/>
      <c r="AD1331" s="117" t="e">
        <f>ROUND(SUM(-G1331,H1331:L1331),0)</f>
        <v>#VALUE!</v>
      </c>
      <c r="AE1331" s="117" t="e">
        <f>ROUND(H1331-O1331-P1331-Q1331-R1331,0)</f>
        <v>#VALUE!</v>
      </c>
      <c r="AF1331" s="117" t="e">
        <f>ROUND(I1331-T1331-U1331-V1331-W1331,0)</f>
        <v>#VALUE!</v>
      </c>
      <c r="AG1331" s="117" t="e">
        <f>ROUND(J1331-Y1331-Z1331-AA1331-AC1331-AB1331,0)</f>
        <v>#VALUE!</v>
      </c>
      <c r="AH1331" s="116"/>
      <c r="AI1331">
        <f t="shared" si="752"/>
        <v>340</v>
      </c>
      <c r="AJ1331" t="str">
        <f t="shared" si="747"/>
        <v>SG</v>
      </c>
      <c r="AK1331" t="str">
        <f>IF(ISERROR(MATCH(AI1331&amp;"."&amp;AJ1331,AK$91:AK1330,0)),AI1331&amp;"."&amp;AJ1331,AI1331&amp;"."&amp;AJ1331&amp;COUNTIFS(AI$91:AI1330,AI1331,AJ$91:AJ1330,AJ1331))</f>
        <v>340.SG</v>
      </c>
    </row>
    <row r="1332" spans="1:37" ht="15" hidden="1">
      <c r="A1332" s="120">
        <f>ROW()</f>
        <v>1332</v>
      </c>
      <c r="B1332" s="120"/>
      <c r="C1332" s="1"/>
      <c r="D1332" s="2" t="s">
        <v>715</v>
      </c>
      <c r="E1332" s="121" t="s">
        <v>15</v>
      </c>
      <c r="F1332" s="138" t="str">
        <f>INDEX(FuncAllocOptions,ROW(A1332)-ROW($A$92)+1,[4]Inputs!$S$11)</f>
        <v>P</v>
      </c>
      <c r="G1332" s="117" t="e">
        <f>SUMIF(FERCJAMFactor,AK1332,JAMValue)</f>
        <v>#VALUE!</v>
      </c>
      <c r="H1332" s="116" t="e">
        <f t="shared" si="755"/>
        <v>#VALUE!</v>
      </c>
      <c r="I1332" s="116" t="e">
        <f t="shared" si="755"/>
        <v>#VALUE!</v>
      </c>
      <c r="J1332" s="116" t="e">
        <f t="shared" si="755"/>
        <v>#VALUE!</v>
      </c>
      <c r="K1332" s="116" t="e">
        <f t="shared" si="755"/>
        <v>#VALUE!</v>
      </c>
      <c r="L1332" s="116" t="e">
        <f t="shared" si="755"/>
        <v>#VALUE!</v>
      </c>
      <c r="N1332" s="108">
        <v>0.75</v>
      </c>
      <c r="O1332" s="116" t="e">
        <f>$H1332*$N1332*$M1332</f>
        <v>#VALUE!</v>
      </c>
      <c r="P1332" s="116" t="e">
        <f>$H1332*(1-$N1332)*$M1332</f>
        <v>#VALUE!</v>
      </c>
      <c r="Q1332" s="116" t="e">
        <f>$H1332*$N1332*(1-$M1332)</f>
        <v>#VALUE!</v>
      </c>
      <c r="R1332" s="116" t="e">
        <f>$H1332*(1-$N1332)*(1-$M1332)</f>
        <v>#VALUE!</v>
      </c>
      <c r="T1332" s="116">
        <v>0</v>
      </c>
      <c r="U1332" s="116">
        <v>0</v>
      </c>
      <c r="V1332" s="116">
        <v>0</v>
      </c>
      <c r="W1332" s="116">
        <v>0</v>
      </c>
      <c r="X1332" s="3"/>
      <c r="AD1332" s="117" t="e">
        <f>ROUND(SUM(-G1332,H1332:L1332),0)</f>
        <v>#VALUE!</v>
      </c>
      <c r="AE1332" s="117" t="e">
        <f>ROUND(H1332-O1332-P1332-Q1332-R1332,0)</f>
        <v>#VALUE!</v>
      </c>
      <c r="AF1332" s="117" t="e">
        <f>ROUND(I1332-T1332-U1332-V1332-W1332,0)</f>
        <v>#VALUE!</v>
      </c>
      <c r="AG1332" s="117" t="e">
        <f>ROUND(J1332-Y1332-Z1332-AA1332-AC1332-AB1332,0)</f>
        <v>#VALUE!</v>
      </c>
      <c r="AH1332" s="116"/>
      <c r="AI1332">
        <f t="shared" si="752"/>
        <v>340</v>
      </c>
      <c r="AJ1332" t="str">
        <f t="shared" si="747"/>
        <v>SG</v>
      </c>
      <c r="AK1332" t="str">
        <f>IF(ISERROR(MATCH(AI1332&amp;"."&amp;AJ1332,AK$91:AK1331,0)),AI1332&amp;"."&amp;AJ1332,AI1332&amp;"."&amp;AJ1332&amp;COUNTIFS(AI$91:AI1331,AI1332,AJ$91:AJ1331,AJ1332))</f>
        <v>340.SG1</v>
      </c>
    </row>
    <row r="1333" spans="1:37" ht="15" hidden="1">
      <c r="A1333" s="120">
        <f>ROW()</f>
        <v>1333</v>
      </c>
      <c r="B1333" s="120"/>
      <c r="C1333" s="1"/>
      <c r="D1333" s="142" t="s">
        <v>298</v>
      </c>
      <c r="E1333" s="121" t="s">
        <v>15</v>
      </c>
      <c r="F1333" s="138" t="str">
        <f>INDEX(FuncAllocOptions,ROW(A1333)-ROW($A$92)+1,[4]Inputs!$S$11)</f>
        <v>P</v>
      </c>
      <c r="G1333" s="133" t="e">
        <f>SUMIF(FERCJAMFactor,AK1333,JAMValue)</f>
        <v>#VALUE!</v>
      </c>
      <c r="H1333" s="139" t="e">
        <f t="shared" si="755"/>
        <v>#VALUE!</v>
      </c>
      <c r="I1333" s="139" t="e">
        <f t="shared" si="755"/>
        <v>#VALUE!</v>
      </c>
      <c r="J1333" s="139" t="e">
        <f t="shared" si="755"/>
        <v>#VALUE!</v>
      </c>
      <c r="K1333" s="139" t="e">
        <f t="shared" si="755"/>
        <v>#VALUE!</v>
      </c>
      <c r="L1333" s="139" t="e">
        <f t="shared" si="755"/>
        <v>#VALUE!</v>
      </c>
      <c r="N1333" s="108">
        <v>0.75</v>
      </c>
      <c r="O1333" s="116" t="e">
        <f>$H1333*$N1333*$M1333</f>
        <v>#VALUE!</v>
      </c>
      <c r="P1333" s="116" t="e">
        <f>$H1333*(1-$N1333)*$M1333</f>
        <v>#VALUE!</v>
      </c>
      <c r="Q1333" s="116" t="e">
        <f>$H1333*$N1333*(1-$M1333)</f>
        <v>#VALUE!</v>
      </c>
      <c r="R1333" s="116" t="e">
        <f>$H1333*(1-$N1333)*(1-$M1333)</f>
        <v>#VALUE!</v>
      </c>
      <c r="T1333" s="116">
        <v>0</v>
      </c>
      <c r="U1333" s="116">
        <v>0</v>
      </c>
      <c r="V1333" s="116">
        <v>0</v>
      </c>
      <c r="W1333" s="116">
        <v>0</v>
      </c>
      <c r="X1333" s="3"/>
      <c r="AD1333" s="117" t="e">
        <f>ROUND(SUM(-G1333,H1333:L1333),0)</f>
        <v>#VALUE!</v>
      </c>
      <c r="AE1333" s="117" t="e">
        <f>ROUND(H1333-O1333-P1333-Q1333-R1333,0)</f>
        <v>#VALUE!</v>
      </c>
      <c r="AF1333" s="117" t="e">
        <f>ROUND(I1333-T1333-U1333-V1333-W1333,0)</f>
        <v>#VALUE!</v>
      </c>
      <c r="AG1333" s="117" t="e">
        <f>ROUND(J1333-Y1333-Z1333-AA1333-AC1333-AB1333,0)</f>
        <v>#VALUE!</v>
      </c>
      <c r="AH1333" s="116"/>
      <c r="AI1333">
        <f t="shared" si="752"/>
        <v>340</v>
      </c>
      <c r="AJ1333" t="str">
        <f t="shared" si="747"/>
        <v>SG</v>
      </c>
      <c r="AK1333" t="str">
        <f>IF(ISERROR(MATCH(AI1333&amp;"."&amp;AJ1333,AK$91:AK1332,0)),AI1333&amp;"."&amp;AJ1333,AI1333&amp;"."&amp;AJ1333&amp;COUNTIFS(AI$91:AI1332,AI1333,AJ$91:AJ1332,AJ1333))</f>
        <v>340.SG2</v>
      </c>
    </row>
    <row r="1334" spans="1:37" ht="15" hidden="1">
      <c r="A1334" s="120">
        <f>ROW()</f>
        <v>1334</v>
      </c>
      <c r="B1334" s="120"/>
      <c r="C1334" s="1"/>
      <c r="E1334" s="121"/>
      <c r="F1334" s="138"/>
      <c r="G1334" s="117" t="e">
        <f t="shared" ref="G1334:L1334" si="756">SUM(G1331:G1333)</f>
        <v>#VALUE!</v>
      </c>
      <c r="H1334" s="116" t="e">
        <f t="shared" si="756"/>
        <v>#VALUE!</v>
      </c>
      <c r="I1334" s="116" t="e">
        <f t="shared" si="756"/>
        <v>#VALUE!</v>
      </c>
      <c r="J1334" s="116" t="e">
        <f t="shared" si="756"/>
        <v>#VALUE!</v>
      </c>
      <c r="K1334" s="116" t="e">
        <f t="shared" si="756"/>
        <v>#VALUE!</v>
      </c>
      <c r="L1334" s="116" t="e">
        <f t="shared" si="756"/>
        <v>#VALUE!</v>
      </c>
      <c r="O1334" s="116" t="e">
        <f>SUM(O1331:O1333)</f>
        <v>#VALUE!</v>
      </c>
      <c r="P1334" s="116" t="e">
        <f>SUM(P1331:P1333)</f>
        <v>#VALUE!</v>
      </c>
      <c r="Q1334" s="116" t="e">
        <f>SUM(Q1331:Q1333)</f>
        <v>#VALUE!</v>
      </c>
      <c r="R1334" s="116" t="e">
        <f>SUM(R1331:R1333)</f>
        <v>#VALUE!</v>
      </c>
      <c r="T1334" s="116">
        <f>SUM(T1331:T1333)</f>
        <v>0</v>
      </c>
      <c r="U1334" s="116">
        <f>SUM(U1331:U1333)</f>
        <v>0</v>
      </c>
      <c r="V1334" s="116">
        <f>SUM(V1331:V1333)</f>
        <v>0</v>
      </c>
      <c r="W1334" s="116">
        <f>SUM(W1331:W1333)</f>
        <v>0</v>
      </c>
      <c r="X1334" s="3"/>
      <c r="Y1334" s="116">
        <f>SUM(Y1331:Y1333)</f>
        <v>0</v>
      </c>
      <c r="Z1334" s="116">
        <f>SUM(Z1331:Z1333)</f>
        <v>0</v>
      </c>
      <c r="AA1334" s="116">
        <f>SUM(AA1331:AA1333)</f>
        <v>0</v>
      </c>
      <c r="AB1334" s="116">
        <f>SUM(AB1331:AB1333)</f>
        <v>0</v>
      </c>
      <c r="AC1334" s="116">
        <f>SUM(AC1331:AC1333)</f>
        <v>0</v>
      </c>
      <c r="AD1334" s="117" t="e">
        <f>ROUND(SUM(-G1334,H1334:L1334),0)</f>
        <v>#VALUE!</v>
      </c>
      <c r="AE1334" s="117" t="e">
        <f>ROUND(H1334-O1334-P1334-Q1334-R1334,0)</f>
        <v>#VALUE!</v>
      </c>
      <c r="AF1334" s="117" t="e">
        <f>ROUND(I1334-T1334-U1334-V1334-W1334,0)</f>
        <v>#VALUE!</v>
      </c>
      <c r="AG1334" s="117" t="e">
        <f>ROUND(J1334-Y1334-Z1334-AA1334-AC1334-AB1334,0)</f>
        <v>#VALUE!</v>
      </c>
      <c r="AH1334" s="116"/>
      <c r="AI1334">
        <f t="shared" si="752"/>
        <v>340</v>
      </c>
      <c r="AJ1334" t="str">
        <f t="shared" si="747"/>
        <v>NA</v>
      </c>
      <c r="AK1334" t="str">
        <f>IF(ISERROR(MATCH(AI1334&amp;"."&amp;AJ1334,AK$91:AK1333,0)),AI1334&amp;"."&amp;AJ1334,AI1334&amp;"."&amp;AJ1334&amp;COUNTIFS(AI$91:AI1333,AI1334,AJ$91:AJ1333,AJ1334))</f>
        <v>340.NA1</v>
      </c>
    </row>
    <row r="1335" spans="1:37" ht="15" hidden="1">
      <c r="A1335" s="120">
        <f>ROW()</f>
        <v>1335</v>
      </c>
      <c r="B1335" s="120"/>
      <c r="C1335" s="1"/>
      <c r="E1335" s="121"/>
      <c r="F1335" s="138"/>
      <c r="G1335" s="119"/>
      <c r="X1335" s="3"/>
      <c r="AD1335" s="119"/>
      <c r="AE1335" s="119"/>
      <c r="AF1335" s="119"/>
      <c r="AG1335" s="119"/>
      <c r="AI1335">
        <f t="shared" si="752"/>
        <v>340</v>
      </c>
      <c r="AJ1335" t="str">
        <f t="shared" si="747"/>
        <v>NA</v>
      </c>
      <c r="AK1335" t="str">
        <f>IF(ISERROR(MATCH(AI1335&amp;"."&amp;AJ1335,AK$91:AK1334,0)),AI1335&amp;"."&amp;AJ1335,AI1335&amp;"."&amp;AJ1335&amp;COUNTIFS(AI$91:AI1334,AI1335,AJ$91:AJ1334,AJ1335))</f>
        <v>340.NA2</v>
      </c>
    </row>
    <row r="1336" spans="1:37" ht="15" hidden="1">
      <c r="A1336" s="120">
        <f>ROW()</f>
        <v>1336</v>
      </c>
      <c r="B1336" s="120"/>
      <c r="C1336" s="1">
        <v>341</v>
      </c>
      <c r="D1336" s="2" t="s">
        <v>502</v>
      </c>
      <c r="E1336" s="121"/>
      <c r="F1336" s="138"/>
      <c r="G1336" s="119"/>
      <c r="X1336" s="3"/>
      <c r="AD1336" s="119"/>
      <c r="AE1336" s="119"/>
      <c r="AF1336" s="119"/>
      <c r="AG1336" s="119"/>
      <c r="AI1336">
        <f t="shared" si="752"/>
        <v>341</v>
      </c>
      <c r="AJ1336" t="str">
        <f t="shared" si="747"/>
        <v>NA</v>
      </c>
      <c r="AK1336" t="str">
        <f>IF(ISERROR(MATCH(AI1336&amp;"."&amp;AJ1336,AK$91:AK1335,0)),AI1336&amp;"."&amp;AJ1336,AI1336&amp;"."&amp;AJ1336&amp;COUNTIFS(AI$91:AI1335,AI1336,AJ$91:AJ1335,AJ1336))</f>
        <v>341.NA</v>
      </c>
    </row>
    <row r="1337" spans="1:37" ht="15" hidden="1">
      <c r="A1337" s="120">
        <f>ROW()</f>
        <v>1337</v>
      </c>
      <c r="B1337" s="120"/>
      <c r="C1337" s="1"/>
      <c r="E1337" s="121" t="s">
        <v>15</v>
      </c>
      <c r="F1337" s="138" t="str">
        <f>INDEX(FuncAllocOptions,ROW(A1337)-ROW($A$92)+1,[4]Inputs!$S$11)</f>
        <v>P</v>
      </c>
      <c r="G1337" s="117" t="e">
        <f>SUMIF(FERCJAMFactor,AK1337,JAMValue)</f>
        <v>#VALUE!</v>
      </c>
      <c r="H1337" s="116" t="e">
        <f t="shared" ref="H1337:L1340" si="757">INDEX(FuncFactorTbl,MATCH($F1337,FuncFactors,0),MATCH(H$8,Functions,0))*$G1337</f>
        <v>#VALUE!</v>
      </c>
      <c r="I1337" s="116" t="e">
        <f t="shared" si="757"/>
        <v>#VALUE!</v>
      </c>
      <c r="J1337" s="116" t="e">
        <f t="shared" si="757"/>
        <v>#VALUE!</v>
      </c>
      <c r="K1337" s="116" t="e">
        <f t="shared" si="757"/>
        <v>#VALUE!</v>
      </c>
      <c r="L1337" s="116" t="e">
        <f t="shared" si="757"/>
        <v>#VALUE!</v>
      </c>
      <c r="N1337" s="108">
        <v>0.75</v>
      </c>
      <c r="O1337" s="116" t="e">
        <f>$H1337*$N1337*$M1337</f>
        <v>#VALUE!</v>
      </c>
      <c r="P1337" s="116" t="e">
        <f>$H1337*(1-$N1337)*$M1337</f>
        <v>#VALUE!</v>
      </c>
      <c r="Q1337" s="116" t="e">
        <f>$H1337*$N1337*(1-$M1337)</f>
        <v>#VALUE!</v>
      </c>
      <c r="R1337" s="116" t="e">
        <f>$H1337*(1-$N1337)*(1-$M1337)</f>
        <v>#VALUE!</v>
      </c>
      <c r="T1337" s="116">
        <v>0</v>
      </c>
      <c r="U1337" s="116">
        <v>0</v>
      </c>
      <c r="V1337" s="116">
        <v>0</v>
      </c>
      <c r="W1337" s="116">
        <v>0</v>
      </c>
      <c r="X1337" s="3"/>
      <c r="AD1337" s="117" t="e">
        <f>ROUND(SUM(-G1337,H1337:L1337),0)</f>
        <v>#VALUE!</v>
      </c>
      <c r="AE1337" s="117" t="e">
        <f>ROUND(H1337-O1337-P1337-Q1337-R1337,0)</f>
        <v>#VALUE!</v>
      </c>
      <c r="AF1337" s="117" t="e">
        <f>ROUND(I1337-T1337-U1337-V1337-W1337,0)</f>
        <v>#VALUE!</v>
      </c>
      <c r="AG1337" s="117" t="e">
        <f>ROUND(J1337-Y1337-Z1337-AA1337-AC1337-AB1337,0)</f>
        <v>#VALUE!</v>
      </c>
      <c r="AH1337" s="116"/>
      <c r="AI1337">
        <f t="shared" si="752"/>
        <v>341</v>
      </c>
      <c r="AJ1337" t="str">
        <f t="shared" si="747"/>
        <v>SG</v>
      </c>
      <c r="AK1337" t="str">
        <f>IF(ISERROR(MATCH(AI1337&amp;"."&amp;AJ1337,AK$91:AK1336,0)),AI1337&amp;"."&amp;AJ1337,AI1337&amp;"."&amp;AJ1337&amp;COUNTIFS(AI$91:AI1336,AI1337,AJ$91:AJ1336,AJ1337))</f>
        <v>341.SG</v>
      </c>
    </row>
    <row r="1338" spans="1:37" ht="15" hidden="1">
      <c r="A1338" s="120">
        <f>ROW()</f>
        <v>1338</v>
      </c>
      <c r="B1338" s="120"/>
      <c r="C1338" s="1"/>
      <c r="E1338" s="121" t="s">
        <v>15</v>
      </c>
      <c r="F1338" s="138" t="str">
        <f>INDEX(FuncAllocOptions,ROW(A1338)-ROW($A$92)+1,[4]Inputs!$S$11)</f>
        <v>P</v>
      </c>
      <c r="G1338" s="117" t="e">
        <f>SUMIF(FERCJAMFactor,AK1338,JAMValue)</f>
        <v>#VALUE!</v>
      </c>
      <c r="H1338" s="116" t="e">
        <f t="shared" si="757"/>
        <v>#VALUE!</v>
      </c>
      <c r="I1338" s="116" t="e">
        <f t="shared" si="757"/>
        <v>#VALUE!</v>
      </c>
      <c r="J1338" s="116" t="e">
        <f t="shared" si="757"/>
        <v>#VALUE!</v>
      </c>
      <c r="K1338" s="116" t="e">
        <f t="shared" si="757"/>
        <v>#VALUE!</v>
      </c>
      <c r="L1338" s="116" t="e">
        <f t="shared" si="757"/>
        <v>#VALUE!</v>
      </c>
      <c r="N1338" s="108">
        <v>0.75</v>
      </c>
      <c r="O1338" s="116" t="e">
        <f>$H1338*$N1338*$M1338</f>
        <v>#VALUE!</v>
      </c>
      <c r="P1338" s="116" t="e">
        <f>$H1338*(1-$N1338)*$M1338</f>
        <v>#VALUE!</v>
      </c>
      <c r="Q1338" s="116" t="e">
        <f>$H1338*$N1338*(1-$M1338)</f>
        <v>#VALUE!</v>
      </c>
      <c r="R1338" s="116" t="e">
        <f>$H1338*(1-$N1338)*(1-$M1338)</f>
        <v>#VALUE!</v>
      </c>
      <c r="T1338" s="116">
        <v>0</v>
      </c>
      <c r="U1338" s="116">
        <v>0</v>
      </c>
      <c r="V1338" s="116">
        <v>0</v>
      </c>
      <c r="W1338" s="116">
        <v>0</v>
      </c>
      <c r="X1338" s="3"/>
      <c r="AD1338" s="117" t="e">
        <f>ROUND(SUM(-G1338,H1338:L1338),0)</f>
        <v>#VALUE!</v>
      </c>
      <c r="AE1338" s="117" t="e">
        <f>ROUND(H1338-O1338-P1338-Q1338-R1338,0)</f>
        <v>#VALUE!</v>
      </c>
      <c r="AF1338" s="117" t="e">
        <f>ROUND(I1338-T1338-U1338-V1338-W1338,0)</f>
        <v>#VALUE!</v>
      </c>
      <c r="AG1338" s="117" t="e">
        <f>ROUND(J1338-Y1338-Z1338-AA1338-AC1338-AB1338,0)</f>
        <v>#VALUE!</v>
      </c>
      <c r="AH1338" s="116"/>
      <c r="AI1338">
        <f t="shared" si="752"/>
        <v>341</v>
      </c>
      <c r="AJ1338" t="str">
        <f t="shared" si="747"/>
        <v>SG</v>
      </c>
      <c r="AK1338" t="str">
        <f>IF(ISERROR(MATCH(AI1338&amp;"."&amp;AJ1338,AK$91:AK1337,0)),AI1338&amp;"."&amp;AJ1338,AI1338&amp;"."&amp;AJ1338&amp;COUNTIFS(AI$91:AI1337,AI1338,AJ$91:AJ1337,AJ1338))</f>
        <v>341.SG1</v>
      </c>
    </row>
    <row r="1339" spans="1:37" ht="15" hidden="1">
      <c r="A1339" s="120">
        <f>ROW()</f>
        <v>1339</v>
      </c>
      <c r="B1339" s="120"/>
      <c r="C1339" s="1"/>
      <c r="D1339" s="142" t="s">
        <v>715</v>
      </c>
      <c r="E1339" s="121" t="s">
        <v>15</v>
      </c>
      <c r="F1339" s="138" t="str">
        <f>INDEX(FuncAllocOptions,ROW(A1339)-ROW($A$92)+1,[4]Inputs!$S$11)</f>
        <v>P</v>
      </c>
      <c r="G1339" s="117" t="e">
        <f>SUMIF(FERCJAMFactor,AK1339,JAMValue)</f>
        <v>#VALUE!</v>
      </c>
      <c r="H1339" s="116" t="e">
        <f t="shared" si="757"/>
        <v>#VALUE!</v>
      </c>
      <c r="I1339" s="116" t="e">
        <f t="shared" si="757"/>
        <v>#VALUE!</v>
      </c>
      <c r="J1339" s="116" t="e">
        <f t="shared" si="757"/>
        <v>#VALUE!</v>
      </c>
      <c r="K1339" s="116" t="e">
        <f t="shared" si="757"/>
        <v>#VALUE!</v>
      </c>
      <c r="L1339" s="116" t="e">
        <f t="shared" si="757"/>
        <v>#VALUE!</v>
      </c>
      <c r="N1339" s="108">
        <v>0.75</v>
      </c>
      <c r="O1339" s="116" t="e">
        <f>$H1339*$N1339*$M1339</f>
        <v>#VALUE!</v>
      </c>
      <c r="P1339" s="116" t="e">
        <f>$H1339*(1-$N1339)*$M1339</f>
        <v>#VALUE!</v>
      </c>
      <c r="Q1339" s="116" t="e">
        <f>$H1339*$N1339*(1-$M1339)</f>
        <v>#VALUE!</v>
      </c>
      <c r="R1339" s="116" t="e">
        <f>$H1339*(1-$N1339)*(1-$M1339)</f>
        <v>#VALUE!</v>
      </c>
      <c r="T1339" s="116">
        <v>0</v>
      </c>
      <c r="U1339" s="116">
        <v>0</v>
      </c>
      <c r="V1339" s="116">
        <v>0</v>
      </c>
      <c r="W1339" s="116">
        <v>0</v>
      </c>
      <c r="X1339" s="3"/>
      <c r="AD1339" s="117" t="e">
        <f>ROUND(SUM(-G1339,H1339:L1339),0)</f>
        <v>#VALUE!</v>
      </c>
      <c r="AE1339" s="117" t="e">
        <f>ROUND(H1339-O1339-P1339-Q1339-R1339,0)</f>
        <v>#VALUE!</v>
      </c>
      <c r="AF1339" s="117" t="e">
        <f>ROUND(I1339-T1339-U1339-V1339-W1339,0)</f>
        <v>#VALUE!</v>
      </c>
      <c r="AG1339" s="117" t="e">
        <f>ROUND(J1339-Y1339-Z1339-AA1339-AC1339-AB1339,0)</f>
        <v>#VALUE!</v>
      </c>
      <c r="AH1339" s="116"/>
      <c r="AI1339">
        <f t="shared" si="752"/>
        <v>341</v>
      </c>
      <c r="AJ1339" t="str">
        <f t="shared" si="747"/>
        <v>SG</v>
      </c>
      <c r="AK1339" t="str">
        <f>IF(ISERROR(MATCH(AI1339&amp;"."&amp;AJ1339,AK$91:AK1338,0)),AI1339&amp;"."&amp;AJ1339,AI1339&amp;"."&amp;AJ1339&amp;COUNTIFS(AI$91:AI1338,AI1339,AJ$91:AJ1338,AJ1339))</f>
        <v>341.SG2</v>
      </c>
    </row>
    <row r="1340" spans="1:37" ht="15" hidden="1">
      <c r="A1340" s="120">
        <f>ROW()</f>
        <v>1340</v>
      </c>
      <c r="B1340" s="120"/>
      <c r="C1340" s="1"/>
      <c r="E1340" s="121" t="s">
        <v>15</v>
      </c>
      <c r="F1340" s="138" t="str">
        <f>INDEX(FuncAllocOptions,ROW(A1340)-ROW($A$92)+1,[4]Inputs!$S$11)</f>
        <v>P</v>
      </c>
      <c r="G1340" s="133" t="e">
        <f>SUMIF(FERCJAMFactor,AK1340,JAMValue)</f>
        <v>#VALUE!</v>
      </c>
      <c r="H1340" s="139" t="e">
        <f t="shared" si="757"/>
        <v>#VALUE!</v>
      </c>
      <c r="I1340" s="139" t="e">
        <f t="shared" si="757"/>
        <v>#VALUE!</v>
      </c>
      <c r="J1340" s="139" t="e">
        <f t="shared" si="757"/>
        <v>#VALUE!</v>
      </c>
      <c r="K1340" s="139" t="e">
        <f t="shared" si="757"/>
        <v>#VALUE!</v>
      </c>
      <c r="L1340" s="139" t="e">
        <f t="shared" si="757"/>
        <v>#VALUE!</v>
      </c>
      <c r="N1340" s="108">
        <v>0.75</v>
      </c>
      <c r="O1340" s="116" t="e">
        <f>$H1340*$N1340*$M1340</f>
        <v>#VALUE!</v>
      </c>
      <c r="P1340" s="116" t="e">
        <f>$H1340*(1-$N1340)*$M1340</f>
        <v>#VALUE!</v>
      </c>
      <c r="Q1340" s="116" t="e">
        <f>$H1340*$N1340*(1-$M1340)</f>
        <v>#VALUE!</v>
      </c>
      <c r="R1340" s="116" t="e">
        <f>$H1340*(1-$N1340)*(1-$M1340)</f>
        <v>#VALUE!</v>
      </c>
      <c r="T1340" s="116">
        <v>0</v>
      </c>
      <c r="U1340" s="116">
        <v>0</v>
      </c>
      <c r="V1340" s="116">
        <v>0</v>
      </c>
      <c r="W1340" s="116">
        <v>0</v>
      </c>
      <c r="X1340" s="3"/>
      <c r="AD1340" s="117" t="e">
        <f>ROUND(SUM(-G1340,H1340:L1340),0)</f>
        <v>#VALUE!</v>
      </c>
      <c r="AE1340" s="117" t="e">
        <f>ROUND(H1340-O1340-P1340-Q1340-R1340,0)</f>
        <v>#VALUE!</v>
      </c>
      <c r="AF1340" s="117" t="e">
        <f>ROUND(I1340-T1340-U1340-V1340-W1340,0)</f>
        <v>#VALUE!</v>
      </c>
      <c r="AG1340" s="117" t="e">
        <f>ROUND(J1340-Y1340-Z1340-AA1340-AC1340-AB1340,0)</f>
        <v>#VALUE!</v>
      </c>
      <c r="AH1340" s="116"/>
      <c r="AI1340">
        <f t="shared" si="752"/>
        <v>341</v>
      </c>
      <c r="AJ1340" t="str">
        <f t="shared" si="747"/>
        <v>SG</v>
      </c>
      <c r="AK1340" t="str">
        <f>IF(ISERROR(MATCH(AI1340&amp;"."&amp;AJ1340,AK$91:AK1339,0)),AI1340&amp;"."&amp;AJ1340,AI1340&amp;"."&amp;AJ1340&amp;COUNTIFS(AI$91:AI1339,AI1340,AJ$91:AJ1339,AJ1340))</f>
        <v>341.SG3</v>
      </c>
    </row>
    <row r="1341" spans="1:37" ht="15" hidden="1">
      <c r="A1341" s="120">
        <f>ROW()</f>
        <v>1341</v>
      </c>
      <c r="B1341" s="120"/>
      <c r="C1341" s="1"/>
      <c r="E1341" s="121"/>
      <c r="F1341" s="138"/>
      <c r="G1341" s="117" t="e">
        <f t="shared" ref="G1341:L1341" si="758">SUM(G1337:G1340)</f>
        <v>#VALUE!</v>
      </c>
      <c r="H1341" s="116" t="e">
        <f t="shared" si="758"/>
        <v>#VALUE!</v>
      </c>
      <c r="I1341" s="116" t="e">
        <f t="shared" si="758"/>
        <v>#VALUE!</v>
      </c>
      <c r="J1341" s="116" t="e">
        <f t="shared" si="758"/>
        <v>#VALUE!</v>
      </c>
      <c r="K1341" s="116" t="e">
        <f t="shared" si="758"/>
        <v>#VALUE!</v>
      </c>
      <c r="L1341" s="116" t="e">
        <f t="shared" si="758"/>
        <v>#VALUE!</v>
      </c>
      <c r="O1341" s="116" t="e">
        <f>SUM(O1337:O1340)</f>
        <v>#VALUE!</v>
      </c>
      <c r="P1341" s="116" t="e">
        <f>SUM(P1337:P1340)</f>
        <v>#VALUE!</v>
      </c>
      <c r="Q1341" s="116" t="e">
        <f>SUM(Q1337:Q1340)</f>
        <v>#VALUE!</v>
      </c>
      <c r="R1341" s="116" t="e">
        <f>SUM(R1337:R1340)</f>
        <v>#VALUE!</v>
      </c>
      <c r="T1341" s="116">
        <f>SUM(T1337:T1340)</f>
        <v>0</v>
      </c>
      <c r="U1341" s="116">
        <f>SUM(U1337:U1340)</f>
        <v>0</v>
      </c>
      <c r="V1341" s="116">
        <f>SUM(V1337:V1340)</f>
        <v>0</v>
      </c>
      <c r="W1341" s="116">
        <f>SUM(W1337:W1340)</f>
        <v>0</v>
      </c>
      <c r="X1341" s="3"/>
      <c r="Y1341" s="116">
        <f>SUM(Y1337:Y1340)</f>
        <v>0</v>
      </c>
      <c r="Z1341" s="116">
        <f>SUM(Z1337:Z1340)</f>
        <v>0</v>
      </c>
      <c r="AA1341" s="116">
        <f>SUM(AA1337:AA1340)</f>
        <v>0</v>
      </c>
      <c r="AB1341" s="116">
        <f>SUM(AB1337:AB1340)</f>
        <v>0</v>
      </c>
      <c r="AC1341" s="116">
        <f>SUM(AC1337:AC1340)</f>
        <v>0</v>
      </c>
      <c r="AD1341" s="117" t="e">
        <f>ROUND(SUM(-G1341,H1341:L1341),0)</f>
        <v>#VALUE!</v>
      </c>
      <c r="AE1341" s="117" t="e">
        <f>ROUND(H1341-O1341-P1341-Q1341-R1341,0)</f>
        <v>#VALUE!</v>
      </c>
      <c r="AF1341" s="117" t="e">
        <f>ROUND(I1341-T1341-U1341-V1341-W1341,0)</f>
        <v>#VALUE!</v>
      </c>
      <c r="AG1341" s="117" t="e">
        <f>ROUND(J1341-Y1341-Z1341-AA1341-AC1341-AB1341,0)</f>
        <v>#VALUE!</v>
      </c>
      <c r="AH1341" s="116"/>
      <c r="AI1341">
        <f t="shared" si="752"/>
        <v>341</v>
      </c>
      <c r="AJ1341" t="str">
        <f t="shared" si="747"/>
        <v>NA</v>
      </c>
      <c r="AK1341" t="str">
        <f>IF(ISERROR(MATCH(AI1341&amp;"."&amp;AJ1341,AK$91:AK1340,0)),AI1341&amp;"."&amp;AJ1341,AI1341&amp;"."&amp;AJ1341&amp;COUNTIFS(AI$91:AI1340,AI1341,AJ$91:AJ1340,AJ1341))</f>
        <v>341.NA1</v>
      </c>
    </row>
    <row r="1342" spans="1:37" ht="15" hidden="1">
      <c r="A1342" s="120">
        <f>ROW()</f>
        <v>1342</v>
      </c>
      <c r="B1342" s="120"/>
      <c r="C1342" s="1"/>
      <c r="E1342" s="121"/>
      <c r="F1342" s="138"/>
      <c r="G1342" s="119"/>
      <c r="X1342" s="3"/>
      <c r="AD1342" s="119"/>
      <c r="AE1342" s="119"/>
      <c r="AF1342" s="119"/>
      <c r="AG1342" s="119"/>
      <c r="AI1342">
        <f t="shared" si="752"/>
        <v>341</v>
      </c>
      <c r="AJ1342" t="str">
        <f t="shared" si="747"/>
        <v>NA</v>
      </c>
      <c r="AK1342" t="str">
        <f>IF(ISERROR(MATCH(AI1342&amp;"."&amp;AJ1342,AK$91:AK1341,0)),AI1342&amp;"."&amp;AJ1342,AI1342&amp;"."&amp;AJ1342&amp;COUNTIFS(AI$91:AI1341,AI1342,AJ$91:AJ1341,AJ1342))</f>
        <v>341.NA2</v>
      </c>
    </row>
    <row r="1343" spans="1:37" ht="15" hidden="1">
      <c r="A1343" s="120">
        <f>ROW()</f>
        <v>1343</v>
      </c>
      <c r="B1343" s="120"/>
      <c r="C1343" s="1">
        <v>342</v>
      </c>
      <c r="D1343" s="2" t="s">
        <v>526</v>
      </c>
      <c r="E1343" s="121"/>
      <c r="F1343" s="138"/>
      <c r="G1343" s="119"/>
      <c r="X1343" s="3"/>
      <c r="AD1343" s="119"/>
      <c r="AE1343" s="119"/>
      <c r="AF1343" s="119"/>
      <c r="AG1343" s="119"/>
      <c r="AI1343">
        <f t="shared" si="752"/>
        <v>342</v>
      </c>
      <c r="AJ1343" t="str">
        <f t="shared" si="747"/>
        <v>NA</v>
      </c>
      <c r="AK1343" t="str">
        <f>IF(ISERROR(MATCH(AI1343&amp;"."&amp;AJ1343,AK$91:AK1342,0)),AI1343&amp;"."&amp;AJ1343,AI1343&amp;"."&amp;AJ1343&amp;COUNTIFS(AI$91:AI1342,AI1343,AJ$91:AJ1342,AJ1343))</f>
        <v>342.NA</v>
      </c>
    </row>
    <row r="1344" spans="1:37" ht="15" hidden="1">
      <c r="A1344" s="120">
        <f>ROW()</f>
        <v>1344</v>
      </c>
      <c r="B1344" s="120"/>
      <c r="C1344" s="1"/>
      <c r="E1344" s="121" t="s">
        <v>15</v>
      </c>
      <c r="F1344" s="138" t="str">
        <f>INDEX(FuncAllocOptions,ROW(A1344)-ROW($A$92)+1,[4]Inputs!$S$11)</f>
        <v>P</v>
      </c>
      <c r="G1344" s="117" t="e">
        <f>SUMIF(FERCJAMFactor,AK1344,JAMValue)</f>
        <v>#VALUE!</v>
      </c>
      <c r="H1344" s="116" t="e">
        <f t="shared" ref="H1344:L1346" si="759">INDEX(FuncFactorTbl,MATCH($F1344,FuncFactors,0),MATCH(H$8,Functions,0))*$G1344</f>
        <v>#VALUE!</v>
      </c>
      <c r="I1344" s="116" t="e">
        <f t="shared" si="759"/>
        <v>#VALUE!</v>
      </c>
      <c r="J1344" s="116" t="e">
        <f t="shared" si="759"/>
        <v>#VALUE!</v>
      </c>
      <c r="K1344" s="116" t="e">
        <f t="shared" si="759"/>
        <v>#VALUE!</v>
      </c>
      <c r="L1344" s="116" t="e">
        <f t="shared" si="759"/>
        <v>#VALUE!</v>
      </c>
      <c r="N1344" s="108">
        <v>0.75</v>
      </c>
      <c r="O1344" s="116" t="e">
        <f>$H1344*$N1344*$M1344</f>
        <v>#VALUE!</v>
      </c>
      <c r="P1344" s="116" t="e">
        <f>$H1344*(1-$N1344)*$M1344</f>
        <v>#VALUE!</v>
      </c>
      <c r="Q1344" s="116" t="e">
        <f>$H1344*$N1344*(1-$M1344)</f>
        <v>#VALUE!</v>
      </c>
      <c r="R1344" s="116" t="e">
        <f>$H1344*(1-$N1344)*(1-$M1344)</f>
        <v>#VALUE!</v>
      </c>
      <c r="T1344" s="116">
        <v>0</v>
      </c>
      <c r="U1344" s="116">
        <v>0</v>
      </c>
      <c r="V1344" s="116">
        <v>0</v>
      </c>
      <c r="W1344" s="116">
        <v>0</v>
      </c>
      <c r="X1344" s="3"/>
      <c r="AD1344" s="117" t="e">
        <f>ROUND(SUM(-G1344,H1344:L1344),0)</f>
        <v>#VALUE!</v>
      </c>
      <c r="AE1344" s="117" t="e">
        <f>ROUND(H1344-O1344-P1344-Q1344-R1344,0)</f>
        <v>#VALUE!</v>
      </c>
      <c r="AF1344" s="117" t="e">
        <f>ROUND(I1344-T1344-U1344-V1344-W1344,0)</f>
        <v>#VALUE!</v>
      </c>
      <c r="AG1344" s="117" t="e">
        <f>ROUND(J1344-Y1344-Z1344-AA1344-AC1344-AB1344,0)</f>
        <v>#VALUE!</v>
      </c>
      <c r="AH1344" s="116"/>
      <c r="AI1344">
        <f t="shared" si="752"/>
        <v>342</v>
      </c>
      <c r="AJ1344" t="str">
        <f t="shared" si="747"/>
        <v>SG</v>
      </c>
      <c r="AK1344" t="str">
        <f>IF(ISERROR(MATCH(AI1344&amp;"."&amp;AJ1344,AK$91:AK1343,0)),AI1344&amp;"."&amp;AJ1344,AI1344&amp;"."&amp;AJ1344&amp;COUNTIFS(AI$91:AI1343,AI1344,AJ$91:AJ1343,AJ1344))</f>
        <v>342.SG</v>
      </c>
    </row>
    <row r="1345" spans="1:37" ht="15" hidden="1">
      <c r="A1345" s="120">
        <f>ROW()</f>
        <v>1345</v>
      </c>
      <c r="B1345" s="120"/>
      <c r="C1345" s="1"/>
      <c r="E1345" s="121" t="s">
        <v>15</v>
      </c>
      <c r="F1345" s="138" t="str">
        <f>INDEX(FuncAllocOptions,ROW(A1345)-ROW($A$92)+1,[4]Inputs!$S$11)</f>
        <v>P</v>
      </c>
      <c r="G1345" s="117" t="e">
        <f>SUMIF(FERCJAMFactor,AK1345,JAMValue)</f>
        <v>#VALUE!</v>
      </c>
      <c r="H1345" s="116" t="e">
        <f t="shared" si="759"/>
        <v>#VALUE!</v>
      </c>
      <c r="I1345" s="116" t="e">
        <f t="shared" si="759"/>
        <v>#VALUE!</v>
      </c>
      <c r="J1345" s="116" t="e">
        <f t="shared" si="759"/>
        <v>#VALUE!</v>
      </c>
      <c r="K1345" s="116" t="e">
        <f t="shared" si="759"/>
        <v>#VALUE!</v>
      </c>
      <c r="L1345" s="116" t="e">
        <f t="shared" si="759"/>
        <v>#VALUE!</v>
      </c>
      <c r="N1345" s="108">
        <v>0.75</v>
      </c>
      <c r="O1345" s="116" t="e">
        <f>$H1345*$N1345*$M1345</f>
        <v>#VALUE!</v>
      </c>
      <c r="P1345" s="116" t="e">
        <f>$H1345*(1-$N1345)*$M1345</f>
        <v>#VALUE!</v>
      </c>
      <c r="Q1345" s="116" t="e">
        <f>$H1345*$N1345*(1-$M1345)</f>
        <v>#VALUE!</v>
      </c>
      <c r="R1345" s="116" t="e">
        <f>$H1345*(1-$N1345)*(1-$M1345)</f>
        <v>#VALUE!</v>
      </c>
      <c r="T1345" s="116">
        <v>0</v>
      </c>
      <c r="U1345" s="116">
        <v>0</v>
      </c>
      <c r="V1345" s="116">
        <v>0</v>
      </c>
      <c r="W1345" s="116">
        <v>0</v>
      </c>
      <c r="X1345" s="3"/>
      <c r="AD1345" s="117" t="e">
        <f>ROUND(SUM(-G1345,H1345:L1345),0)</f>
        <v>#VALUE!</v>
      </c>
      <c r="AE1345" s="117" t="e">
        <f>ROUND(H1345-O1345-P1345-Q1345-R1345,0)</f>
        <v>#VALUE!</v>
      </c>
      <c r="AF1345" s="117" t="e">
        <f>ROUND(I1345-T1345-U1345-V1345-W1345,0)</f>
        <v>#VALUE!</v>
      </c>
      <c r="AG1345" s="117" t="e">
        <f>ROUND(J1345-Y1345-Z1345-AA1345-AC1345-AB1345,0)</f>
        <v>#VALUE!</v>
      </c>
      <c r="AH1345" s="116"/>
      <c r="AI1345">
        <f t="shared" si="752"/>
        <v>342</v>
      </c>
      <c r="AJ1345" t="str">
        <f t="shared" si="747"/>
        <v>SG</v>
      </c>
      <c r="AK1345" t="str">
        <f>IF(ISERROR(MATCH(AI1345&amp;"."&amp;AJ1345,AK$91:AK1344,0)),AI1345&amp;"."&amp;AJ1345,AI1345&amp;"."&amp;AJ1345&amp;COUNTIFS(AI$91:AI1344,AI1345,AJ$91:AJ1344,AJ1345))</f>
        <v>342.SG1</v>
      </c>
    </row>
    <row r="1346" spans="1:37" ht="15" hidden="1">
      <c r="A1346" s="120">
        <f>ROW()</f>
        <v>1346</v>
      </c>
      <c r="B1346" s="120"/>
      <c r="C1346" s="1"/>
      <c r="E1346" s="121" t="s">
        <v>15</v>
      </c>
      <c r="F1346" s="138" t="str">
        <f>INDEX(FuncAllocOptions,ROW(A1346)-ROW($A$92)+1,[4]Inputs!$S$11)</f>
        <v>P</v>
      </c>
      <c r="G1346" s="133" t="e">
        <f>SUMIF(FERCJAMFactor,AK1346,JAMValue)</f>
        <v>#VALUE!</v>
      </c>
      <c r="H1346" s="139" t="e">
        <f t="shared" si="759"/>
        <v>#VALUE!</v>
      </c>
      <c r="I1346" s="139" t="e">
        <f t="shared" si="759"/>
        <v>#VALUE!</v>
      </c>
      <c r="J1346" s="139" t="e">
        <f t="shared" si="759"/>
        <v>#VALUE!</v>
      </c>
      <c r="K1346" s="139" t="e">
        <f t="shared" si="759"/>
        <v>#VALUE!</v>
      </c>
      <c r="L1346" s="139" t="e">
        <f t="shared" si="759"/>
        <v>#VALUE!</v>
      </c>
      <c r="N1346" s="108">
        <v>0.75</v>
      </c>
      <c r="O1346" s="116" t="e">
        <f>$H1346*$N1346*$M1346</f>
        <v>#VALUE!</v>
      </c>
      <c r="P1346" s="116" t="e">
        <f>$H1346*(1-$N1346)*$M1346</f>
        <v>#VALUE!</v>
      </c>
      <c r="Q1346" s="116" t="e">
        <f>$H1346*$N1346*(1-$M1346)</f>
        <v>#VALUE!</v>
      </c>
      <c r="R1346" s="116" t="e">
        <f>$H1346*(1-$N1346)*(1-$M1346)</f>
        <v>#VALUE!</v>
      </c>
      <c r="T1346" s="116">
        <v>0</v>
      </c>
      <c r="U1346" s="116">
        <v>0</v>
      </c>
      <c r="V1346" s="116">
        <v>0</v>
      </c>
      <c r="W1346" s="116">
        <v>0</v>
      </c>
      <c r="X1346" s="3"/>
      <c r="AD1346" s="117" t="e">
        <f>ROUND(SUM(-G1346,H1346:L1346),0)</f>
        <v>#VALUE!</v>
      </c>
      <c r="AE1346" s="117" t="e">
        <f>ROUND(H1346-O1346-P1346-Q1346-R1346,0)</f>
        <v>#VALUE!</v>
      </c>
      <c r="AF1346" s="117" t="e">
        <f>ROUND(I1346-T1346-U1346-V1346-W1346,0)</f>
        <v>#VALUE!</v>
      </c>
      <c r="AG1346" s="117" t="e">
        <f>ROUND(J1346-Y1346-Z1346-AA1346-AC1346-AB1346,0)</f>
        <v>#VALUE!</v>
      </c>
      <c r="AH1346" s="116"/>
      <c r="AI1346">
        <f t="shared" si="752"/>
        <v>342</v>
      </c>
      <c r="AJ1346" t="str">
        <f t="shared" si="747"/>
        <v>SG</v>
      </c>
      <c r="AK1346" t="str">
        <f>IF(ISERROR(MATCH(AI1346&amp;"."&amp;AJ1346,AK$91:AK1345,0)),AI1346&amp;"."&amp;AJ1346,AI1346&amp;"."&amp;AJ1346&amp;COUNTIFS(AI$91:AI1345,AI1346,AJ$91:AJ1345,AJ1346))</f>
        <v>342.SG2</v>
      </c>
    </row>
    <row r="1347" spans="1:37" ht="15" hidden="1">
      <c r="A1347" s="120">
        <f>ROW()</f>
        <v>1347</v>
      </c>
      <c r="B1347" s="120"/>
      <c r="C1347" s="1"/>
      <c r="E1347" s="121"/>
      <c r="F1347" s="138"/>
      <c r="G1347" s="117" t="e">
        <f t="shared" ref="G1347:L1347" si="760">SUM(G1344:G1346)</f>
        <v>#VALUE!</v>
      </c>
      <c r="H1347" s="116" t="e">
        <f t="shared" si="760"/>
        <v>#VALUE!</v>
      </c>
      <c r="I1347" s="116" t="e">
        <f t="shared" si="760"/>
        <v>#VALUE!</v>
      </c>
      <c r="J1347" s="116" t="e">
        <f t="shared" si="760"/>
        <v>#VALUE!</v>
      </c>
      <c r="K1347" s="116" t="e">
        <f t="shared" si="760"/>
        <v>#VALUE!</v>
      </c>
      <c r="L1347" s="116" t="e">
        <f t="shared" si="760"/>
        <v>#VALUE!</v>
      </c>
      <c r="O1347" s="116" t="e">
        <f>SUM(O1344:O1346)</f>
        <v>#VALUE!</v>
      </c>
      <c r="P1347" s="116" t="e">
        <f>SUM(P1344:P1346)</f>
        <v>#VALUE!</v>
      </c>
      <c r="Q1347" s="116" t="e">
        <f>SUM(Q1344:Q1346)</f>
        <v>#VALUE!</v>
      </c>
      <c r="R1347" s="116" t="e">
        <f>SUM(R1344:R1346)</f>
        <v>#VALUE!</v>
      </c>
      <c r="T1347" s="116">
        <f>SUM(T1344:T1346)</f>
        <v>0</v>
      </c>
      <c r="U1347" s="116">
        <f>SUM(U1344:U1346)</f>
        <v>0</v>
      </c>
      <c r="V1347" s="116">
        <f>SUM(V1344:V1346)</f>
        <v>0</v>
      </c>
      <c r="W1347" s="116">
        <f>SUM(W1344:W1346)</f>
        <v>0</v>
      </c>
      <c r="X1347" s="3"/>
      <c r="Y1347" s="116">
        <f>SUM(Y1344:Y1346)</f>
        <v>0</v>
      </c>
      <c r="Z1347" s="116">
        <f>SUM(Z1344:Z1346)</f>
        <v>0</v>
      </c>
      <c r="AA1347" s="116">
        <f>SUM(AA1344:AA1346)</f>
        <v>0</v>
      </c>
      <c r="AB1347" s="116">
        <f>SUM(AB1344:AB1346)</f>
        <v>0</v>
      </c>
      <c r="AC1347" s="116">
        <f>SUM(AC1344:AC1346)</f>
        <v>0</v>
      </c>
      <c r="AD1347" s="117" t="e">
        <f>ROUND(SUM(-G1347,H1347:L1347),0)</f>
        <v>#VALUE!</v>
      </c>
      <c r="AE1347" s="117" t="e">
        <f>ROUND(H1347-O1347-P1347-Q1347-R1347,0)</f>
        <v>#VALUE!</v>
      </c>
      <c r="AF1347" s="117" t="e">
        <f>ROUND(I1347-T1347-U1347-V1347-W1347,0)</f>
        <v>#VALUE!</v>
      </c>
      <c r="AG1347" s="117" t="e">
        <f>ROUND(J1347-Y1347-Z1347-AA1347-AC1347-AB1347,0)</f>
        <v>#VALUE!</v>
      </c>
      <c r="AH1347" s="116"/>
      <c r="AI1347">
        <f t="shared" si="752"/>
        <v>342</v>
      </c>
      <c r="AJ1347" t="str">
        <f t="shared" si="747"/>
        <v>NA</v>
      </c>
      <c r="AK1347" t="str">
        <f>IF(ISERROR(MATCH(AI1347&amp;"."&amp;AJ1347,AK$91:AK1346,0)),AI1347&amp;"."&amp;AJ1347,AI1347&amp;"."&amp;AJ1347&amp;COUNTIFS(AI$91:AI1346,AI1347,AJ$91:AJ1346,AJ1347))</f>
        <v>342.NA1</v>
      </c>
    </row>
    <row r="1348" spans="1:37" ht="15" hidden="1">
      <c r="A1348" s="120">
        <f>ROW()</f>
        <v>1348</v>
      </c>
      <c r="B1348" s="120"/>
      <c r="C1348" s="1"/>
      <c r="E1348" s="121"/>
      <c r="F1348" s="138"/>
      <c r="G1348" s="119"/>
      <c r="X1348" s="3"/>
      <c r="AD1348" s="119"/>
      <c r="AE1348" s="119"/>
      <c r="AF1348" s="119"/>
      <c r="AG1348" s="119"/>
      <c r="AI1348">
        <f t="shared" si="752"/>
        <v>342</v>
      </c>
      <c r="AJ1348" t="str">
        <f t="shared" si="747"/>
        <v>NA</v>
      </c>
      <c r="AK1348" t="str">
        <f>IF(ISERROR(MATCH(AI1348&amp;"."&amp;AJ1348,AK$91:AK1347,0)),AI1348&amp;"."&amp;AJ1348,AI1348&amp;"."&amp;AJ1348&amp;COUNTIFS(AI$91:AI1347,AI1348,AJ$91:AJ1347,AJ1348))</f>
        <v>342.NA2</v>
      </c>
    </row>
    <row r="1349" spans="1:37" ht="15" hidden="1">
      <c r="A1349" s="120">
        <f>ROW()</f>
        <v>1349</v>
      </c>
      <c r="B1349" s="120"/>
      <c r="C1349" s="1">
        <v>343</v>
      </c>
      <c r="D1349" s="2" t="s">
        <v>527</v>
      </c>
      <c r="E1349" s="121"/>
      <c r="F1349" s="138"/>
      <c r="G1349" s="119"/>
      <c r="X1349" s="3"/>
      <c r="AD1349" s="119"/>
      <c r="AE1349" s="119"/>
      <c r="AF1349" s="119"/>
      <c r="AG1349" s="119"/>
      <c r="AI1349">
        <f t="shared" si="752"/>
        <v>343</v>
      </c>
      <c r="AJ1349" t="str">
        <f t="shared" si="747"/>
        <v>NA</v>
      </c>
      <c r="AK1349" t="str">
        <f>IF(ISERROR(MATCH(AI1349&amp;"."&amp;AJ1349,AK$91:AK1348,0)),AI1349&amp;"."&amp;AJ1349,AI1349&amp;"."&amp;AJ1349&amp;COUNTIFS(AI$91:AI1348,AI1349,AJ$91:AJ1348,AJ1349))</f>
        <v>343.NA</v>
      </c>
    </row>
    <row r="1350" spans="1:37" ht="15" hidden="1">
      <c r="A1350" s="120">
        <f>ROW()</f>
        <v>1350</v>
      </c>
      <c r="B1350" s="120"/>
      <c r="C1350" s="1"/>
      <c r="E1350" s="121" t="s">
        <v>15</v>
      </c>
      <c r="F1350" s="138" t="str">
        <f>INDEX(FuncAllocOptions,ROW(A1350)-ROW($A$92)+1,[4]Inputs!$S$11)</f>
        <v>P</v>
      </c>
      <c r="G1350" s="117" t="e">
        <f>SUMIF(FERCJAMFactor,AK1350,JAMValue)</f>
        <v>#VALUE!</v>
      </c>
      <c r="H1350" s="116" t="e">
        <f t="shared" ref="H1350:L1353" si="761">INDEX(FuncFactorTbl,MATCH($F1350,FuncFactors,0),MATCH(H$8,Functions,0))*$G1350</f>
        <v>#VALUE!</v>
      </c>
      <c r="I1350" s="116" t="e">
        <f t="shared" si="761"/>
        <v>#VALUE!</v>
      </c>
      <c r="J1350" s="116" t="e">
        <f t="shared" si="761"/>
        <v>#VALUE!</v>
      </c>
      <c r="K1350" s="116" t="e">
        <f t="shared" si="761"/>
        <v>#VALUE!</v>
      </c>
      <c r="L1350" s="116" t="e">
        <f t="shared" si="761"/>
        <v>#VALUE!</v>
      </c>
      <c r="N1350" s="108">
        <v>0.75</v>
      </c>
      <c r="O1350" s="116" t="e">
        <f>$H1350*$N1350*$M1350</f>
        <v>#VALUE!</v>
      </c>
      <c r="P1350" s="116" t="e">
        <f>$H1350*(1-$N1350)*$M1350</f>
        <v>#VALUE!</v>
      </c>
      <c r="Q1350" s="116" t="e">
        <f>$H1350*$N1350*(1-$M1350)</f>
        <v>#VALUE!</v>
      </c>
      <c r="R1350" s="116" t="e">
        <f>$H1350*(1-$N1350)*(1-$M1350)</f>
        <v>#VALUE!</v>
      </c>
      <c r="T1350" s="116">
        <v>0</v>
      </c>
      <c r="U1350" s="116">
        <v>0</v>
      </c>
      <c r="V1350" s="116">
        <v>0</v>
      </c>
      <c r="W1350" s="116">
        <v>0</v>
      </c>
      <c r="X1350" s="3"/>
      <c r="AD1350" s="117" t="e">
        <f>ROUND(SUM(-G1350,H1350:L1350),0)</f>
        <v>#VALUE!</v>
      </c>
      <c r="AE1350" s="117" t="e">
        <f>ROUND(H1350-O1350-P1350-Q1350-R1350,0)</f>
        <v>#VALUE!</v>
      </c>
      <c r="AF1350" s="117" t="e">
        <f>ROUND(I1350-T1350-U1350-V1350-W1350,0)</f>
        <v>#VALUE!</v>
      </c>
      <c r="AG1350" s="117" t="e">
        <f>ROUND(J1350-Y1350-Z1350-AA1350-AC1350-AB1350,0)</f>
        <v>#VALUE!</v>
      </c>
      <c r="AH1350" s="116"/>
      <c r="AI1350">
        <f t="shared" si="752"/>
        <v>343</v>
      </c>
      <c r="AJ1350" t="str">
        <f t="shared" si="747"/>
        <v>SG</v>
      </c>
      <c r="AK1350" t="str">
        <f>IF(ISERROR(MATCH(AI1350&amp;"."&amp;AJ1350,AK$91:AK1349,0)),AI1350&amp;"."&amp;AJ1350,AI1350&amp;"."&amp;AJ1350&amp;COUNTIFS(AI$91:AI1349,AI1350,AJ$91:AJ1349,AJ1350))</f>
        <v>343.SG</v>
      </c>
    </row>
    <row r="1351" spans="1:37" ht="15" hidden="1">
      <c r="A1351" s="120">
        <f>ROW()</f>
        <v>1351</v>
      </c>
      <c r="B1351" s="120"/>
      <c r="C1351" s="1"/>
      <c r="E1351" s="121" t="s">
        <v>15</v>
      </c>
      <c r="F1351" s="138" t="str">
        <f>INDEX(FuncAllocOptions,ROW(A1351)-ROW($A$92)+1,[4]Inputs!$S$11)</f>
        <v>P</v>
      </c>
      <c r="G1351" s="117" t="e">
        <f>SUMIF(FERCJAMFactor,AK1351,JAMValue)</f>
        <v>#VALUE!</v>
      </c>
      <c r="H1351" s="116" t="e">
        <f t="shared" si="761"/>
        <v>#VALUE!</v>
      </c>
      <c r="I1351" s="116" t="e">
        <f t="shared" si="761"/>
        <v>#VALUE!</v>
      </c>
      <c r="J1351" s="116" t="e">
        <f t="shared" si="761"/>
        <v>#VALUE!</v>
      </c>
      <c r="K1351" s="116" t="e">
        <f t="shared" si="761"/>
        <v>#VALUE!</v>
      </c>
      <c r="L1351" s="116" t="e">
        <f t="shared" si="761"/>
        <v>#VALUE!</v>
      </c>
      <c r="N1351" s="108">
        <v>0.75</v>
      </c>
      <c r="O1351" s="116" t="e">
        <f>$H1351*$N1351*$M1351</f>
        <v>#VALUE!</v>
      </c>
      <c r="P1351" s="116" t="e">
        <f>$H1351*(1-$N1351)*$M1351</f>
        <v>#VALUE!</v>
      </c>
      <c r="Q1351" s="116" t="e">
        <f>$H1351*$N1351*(1-$M1351)</f>
        <v>#VALUE!</v>
      </c>
      <c r="R1351" s="116" t="e">
        <f>$H1351*(1-$N1351)*(1-$M1351)</f>
        <v>#VALUE!</v>
      </c>
      <c r="T1351" s="116">
        <v>0</v>
      </c>
      <c r="U1351" s="116">
        <v>0</v>
      </c>
      <c r="V1351" s="116">
        <v>0</v>
      </c>
      <c r="W1351" s="116">
        <v>0</v>
      </c>
      <c r="X1351" s="3"/>
      <c r="AD1351" s="117" t="e">
        <f>ROUND(SUM(-G1351,H1351:L1351),0)</f>
        <v>#VALUE!</v>
      </c>
      <c r="AE1351" s="117" t="e">
        <f>ROUND(H1351-O1351-P1351-Q1351-R1351,0)</f>
        <v>#VALUE!</v>
      </c>
      <c r="AF1351" s="117" t="e">
        <f>ROUND(I1351-T1351-U1351-V1351-W1351,0)</f>
        <v>#VALUE!</v>
      </c>
      <c r="AG1351" s="117" t="e">
        <f>ROUND(J1351-Y1351-Z1351-AA1351-AC1351-AB1351,0)</f>
        <v>#VALUE!</v>
      </c>
      <c r="AH1351" s="116"/>
      <c r="AI1351">
        <f t="shared" si="752"/>
        <v>343</v>
      </c>
      <c r="AJ1351" t="str">
        <f t="shared" si="747"/>
        <v>SG</v>
      </c>
      <c r="AK1351" t="str">
        <f>IF(ISERROR(MATCH(AI1351&amp;"."&amp;AJ1351,AK$91:AK1350,0)),AI1351&amp;"."&amp;AJ1351,AI1351&amp;"."&amp;AJ1351&amp;COUNTIFS(AI$91:AI1350,AI1351,AJ$91:AJ1350,AJ1351))</f>
        <v>343.SG1</v>
      </c>
    </row>
    <row r="1352" spans="1:37" ht="15" hidden="1">
      <c r="A1352" s="120">
        <f>ROW()</f>
        <v>1352</v>
      </c>
      <c r="B1352" s="120"/>
      <c r="C1352" s="1"/>
      <c r="D1352" s="142" t="s">
        <v>715</v>
      </c>
      <c r="E1352" s="121" t="s">
        <v>15</v>
      </c>
      <c r="F1352" s="138" t="str">
        <f>INDEX(FuncAllocOptions,ROW(A1352)-ROW($A$92)+1,[4]Inputs!$S$11)</f>
        <v>P</v>
      </c>
      <c r="G1352" s="117" t="e">
        <f>SUMIF(FERCJAMFactor,AK1352,JAMValue)</f>
        <v>#VALUE!</v>
      </c>
      <c r="H1352" s="116" t="e">
        <f t="shared" si="761"/>
        <v>#VALUE!</v>
      </c>
      <c r="I1352" s="116" t="e">
        <f t="shared" si="761"/>
        <v>#VALUE!</v>
      </c>
      <c r="J1352" s="116" t="e">
        <f t="shared" si="761"/>
        <v>#VALUE!</v>
      </c>
      <c r="K1352" s="116" t="e">
        <f t="shared" si="761"/>
        <v>#VALUE!</v>
      </c>
      <c r="L1352" s="116" t="e">
        <f t="shared" si="761"/>
        <v>#VALUE!</v>
      </c>
      <c r="N1352" s="108">
        <v>0.75</v>
      </c>
      <c r="O1352" s="116" t="e">
        <f>$H1352*$N1352*$M1352</f>
        <v>#VALUE!</v>
      </c>
      <c r="P1352" s="116" t="e">
        <f>$H1352*(1-$N1352)*$M1352</f>
        <v>#VALUE!</v>
      </c>
      <c r="Q1352" s="116" t="e">
        <f>$H1352*$N1352*(1-$M1352)</f>
        <v>#VALUE!</v>
      </c>
      <c r="R1352" s="116" t="e">
        <f>$H1352*(1-$N1352)*(1-$M1352)</f>
        <v>#VALUE!</v>
      </c>
      <c r="T1352" s="116">
        <v>0</v>
      </c>
      <c r="U1352" s="116">
        <v>0</v>
      </c>
      <c r="V1352" s="116">
        <v>0</v>
      </c>
      <c r="W1352" s="116">
        <v>0</v>
      </c>
      <c r="X1352" s="3"/>
      <c r="AD1352" s="117" t="e">
        <f>ROUND(SUM(-G1352,H1352:L1352),0)</f>
        <v>#VALUE!</v>
      </c>
      <c r="AE1352" s="117" t="e">
        <f>ROUND(H1352-O1352-P1352-Q1352-R1352,0)</f>
        <v>#VALUE!</v>
      </c>
      <c r="AF1352" s="117" t="e">
        <f>ROUND(I1352-T1352-U1352-V1352-W1352,0)</f>
        <v>#VALUE!</v>
      </c>
      <c r="AG1352" s="117" t="e">
        <f>ROUND(J1352-Y1352-Z1352-AA1352-AC1352-AB1352,0)</f>
        <v>#VALUE!</v>
      </c>
      <c r="AH1352" s="116"/>
      <c r="AI1352">
        <f t="shared" si="752"/>
        <v>343</v>
      </c>
      <c r="AJ1352" t="str">
        <f t="shared" si="747"/>
        <v>SG</v>
      </c>
      <c r="AK1352" t="str">
        <f>IF(ISERROR(MATCH(AI1352&amp;"."&amp;AJ1352,AK$91:AK1351,0)),AI1352&amp;"."&amp;AJ1352,AI1352&amp;"."&amp;AJ1352&amp;COUNTIFS(AI$91:AI1351,AI1352,AJ$91:AJ1351,AJ1352))</f>
        <v>343.SG2</v>
      </c>
    </row>
    <row r="1353" spans="1:37" ht="15" hidden="1">
      <c r="A1353" s="120">
        <f>ROW()</f>
        <v>1353</v>
      </c>
      <c r="B1353" s="120"/>
      <c r="C1353" s="1"/>
      <c r="E1353" s="121" t="s">
        <v>15</v>
      </c>
      <c r="F1353" s="138" t="str">
        <f>INDEX(FuncAllocOptions,ROW(A1353)-ROW($A$92)+1,[4]Inputs!$S$11)</f>
        <v>P</v>
      </c>
      <c r="G1353" s="133" t="e">
        <f>SUMIF(FERCJAMFactor,AK1353,JAMValue)</f>
        <v>#VALUE!</v>
      </c>
      <c r="H1353" s="139" t="e">
        <f t="shared" si="761"/>
        <v>#VALUE!</v>
      </c>
      <c r="I1353" s="139" t="e">
        <f t="shared" si="761"/>
        <v>#VALUE!</v>
      </c>
      <c r="J1353" s="139" t="e">
        <f t="shared" si="761"/>
        <v>#VALUE!</v>
      </c>
      <c r="K1353" s="139" t="e">
        <f t="shared" si="761"/>
        <v>#VALUE!</v>
      </c>
      <c r="L1353" s="139" t="e">
        <f t="shared" si="761"/>
        <v>#VALUE!</v>
      </c>
      <c r="N1353" s="108">
        <v>0.75</v>
      </c>
      <c r="O1353" s="116" t="e">
        <f>$H1353*$N1353*$M1353</f>
        <v>#VALUE!</v>
      </c>
      <c r="P1353" s="116" t="e">
        <f>$H1353*(1-$N1353)*$M1353</f>
        <v>#VALUE!</v>
      </c>
      <c r="Q1353" s="116" t="e">
        <f>$H1353*$N1353*(1-$M1353)</f>
        <v>#VALUE!</v>
      </c>
      <c r="R1353" s="116" t="e">
        <f>$H1353*(1-$N1353)*(1-$M1353)</f>
        <v>#VALUE!</v>
      </c>
      <c r="T1353" s="116"/>
      <c r="U1353" s="116"/>
      <c r="V1353" s="116"/>
      <c r="W1353" s="116"/>
      <c r="X1353" s="3"/>
      <c r="AD1353" s="117" t="e">
        <f>ROUND(SUM(-G1353,H1353:L1353),0)</f>
        <v>#VALUE!</v>
      </c>
      <c r="AE1353" s="117" t="e">
        <f>ROUND(H1353-O1353-P1353-Q1353-R1353,0)</f>
        <v>#VALUE!</v>
      </c>
      <c r="AF1353" s="117" t="e">
        <f>ROUND(I1353-T1353-U1353-V1353-W1353,0)</f>
        <v>#VALUE!</v>
      </c>
      <c r="AG1353" s="117" t="e">
        <f>ROUND(J1353-Y1353-Z1353-AA1353-AC1353-AB1353,0)</f>
        <v>#VALUE!</v>
      </c>
      <c r="AH1353" s="116"/>
      <c r="AI1353">
        <f t="shared" si="752"/>
        <v>343</v>
      </c>
      <c r="AJ1353" t="str">
        <f t="shared" si="747"/>
        <v>SG</v>
      </c>
      <c r="AK1353" t="str">
        <f>IF(ISERROR(MATCH(AI1353&amp;"."&amp;AJ1353,AK$91:AK1352,0)),AI1353&amp;"."&amp;AJ1353,AI1353&amp;"."&amp;AJ1353&amp;COUNTIFS(AI$91:AI1352,AI1353,AJ$91:AJ1352,AJ1353))</f>
        <v>343.SG3</v>
      </c>
    </row>
    <row r="1354" spans="1:37" ht="15" hidden="1">
      <c r="A1354" s="120">
        <f>ROW()</f>
        <v>1354</v>
      </c>
      <c r="B1354" s="120"/>
      <c r="C1354" s="1"/>
      <c r="E1354" s="121"/>
      <c r="F1354" s="138"/>
      <c r="G1354" s="117" t="e">
        <f t="shared" ref="G1354:L1354" si="762">SUM(G1351:G1353)</f>
        <v>#VALUE!</v>
      </c>
      <c r="H1354" s="116" t="e">
        <f t="shared" si="762"/>
        <v>#VALUE!</v>
      </c>
      <c r="I1354" s="116" t="e">
        <f t="shared" si="762"/>
        <v>#VALUE!</v>
      </c>
      <c r="J1354" s="116" t="e">
        <f t="shared" si="762"/>
        <v>#VALUE!</v>
      </c>
      <c r="K1354" s="116" t="e">
        <f t="shared" si="762"/>
        <v>#VALUE!</v>
      </c>
      <c r="L1354" s="116" t="e">
        <f t="shared" si="762"/>
        <v>#VALUE!</v>
      </c>
      <c r="O1354" s="116" t="e">
        <f>SUM(O1351:O1353)</f>
        <v>#VALUE!</v>
      </c>
      <c r="P1354" s="116" t="e">
        <f>SUM(P1351:P1353)</f>
        <v>#VALUE!</v>
      </c>
      <c r="Q1354" s="116" t="e">
        <f>SUM(Q1351:Q1353)</f>
        <v>#VALUE!</v>
      </c>
      <c r="R1354" s="116" t="e">
        <f>SUM(R1351:R1353)</f>
        <v>#VALUE!</v>
      </c>
      <c r="T1354" s="116">
        <f>SUM(T1351:T1353)</f>
        <v>0</v>
      </c>
      <c r="U1354" s="116">
        <f>SUM(U1351:U1353)</f>
        <v>0</v>
      </c>
      <c r="V1354" s="116">
        <f>SUM(V1351:V1353)</f>
        <v>0</v>
      </c>
      <c r="W1354" s="116">
        <f>SUM(W1351:W1353)</f>
        <v>0</v>
      </c>
      <c r="X1354" s="3"/>
      <c r="Y1354" s="116">
        <f>SUM(Y1351:Y1353)</f>
        <v>0</v>
      </c>
      <c r="Z1354" s="116">
        <f>SUM(Z1351:Z1353)</f>
        <v>0</v>
      </c>
      <c r="AA1354" s="116">
        <f>SUM(AA1351:AA1353)</f>
        <v>0</v>
      </c>
      <c r="AB1354" s="116">
        <f>SUM(AB1351:AB1353)</f>
        <v>0</v>
      </c>
      <c r="AC1354" s="116">
        <f>SUM(AC1351:AC1353)</f>
        <v>0</v>
      </c>
      <c r="AD1354" s="117" t="e">
        <f>ROUND(SUM(-G1354,H1354:L1354),0)</f>
        <v>#VALUE!</v>
      </c>
      <c r="AE1354" s="117" t="e">
        <f>ROUND(H1354-O1354-P1354-Q1354-R1354,0)</f>
        <v>#VALUE!</v>
      </c>
      <c r="AF1354" s="117" t="e">
        <f>ROUND(I1354-T1354-U1354-V1354-W1354,0)</f>
        <v>#VALUE!</v>
      </c>
      <c r="AG1354" s="117" t="e">
        <f>ROUND(J1354-Y1354-Z1354-AA1354-AC1354-AB1354,0)</f>
        <v>#VALUE!</v>
      </c>
      <c r="AH1354" s="116"/>
      <c r="AI1354">
        <f t="shared" si="752"/>
        <v>343</v>
      </c>
      <c r="AJ1354" t="str">
        <f t="shared" si="747"/>
        <v>NA</v>
      </c>
      <c r="AK1354" t="str">
        <f>IF(ISERROR(MATCH(AI1354&amp;"."&amp;AJ1354,AK$91:AK1353,0)),AI1354&amp;"."&amp;AJ1354,AI1354&amp;"."&amp;AJ1354&amp;COUNTIFS(AI$91:AI1353,AI1354,AJ$91:AJ1353,AJ1354))</f>
        <v>343.NA1</v>
      </c>
    </row>
    <row r="1355" spans="1:37" ht="15" hidden="1">
      <c r="A1355" s="120">
        <f>ROW()</f>
        <v>1355</v>
      </c>
      <c r="B1355" s="120"/>
      <c r="C1355" s="1"/>
      <c r="E1355" s="121"/>
      <c r="F1355" s="138"/>
      <c r="G1355" s="119"/>
      <c r="X1355" s="3"/>
      <c r="AD1355" s="119"/>
      <c r="AE1355" s="119"/>
      <c r="AF1355" s="119"/>
      <c r="AG1355" s="119"/>
      <c r="AI1355">
        <f t="shared" si="752"/>
        <v>343</v>
      </c>
      <c r="AJ1355" t="str">
        <f t="shared" si="747"/>
        <v>NA</v>
      </c>
      <c r="AK1355" t="str">
        <f>IF(ISERROR(MATCH(AI1355&amp;"."&amp;AJ1355,AK$91:AK1354,0)),AI1355&amp;"."&amp;AJ1355,AI1355&amp;"."&amp;AJ1355&amp;COUNTIFS(AI$91:AI1354,AI1355,AJ$91:AJ1354,AJ1355))</f>
        <v>343.NA2</v>
      </c>
    </row>
    <row r="1356" spans="1:37" ht="15" hidden="1">
      <c r="A1356" s="120">
        <f>ROW()</f>
        <v>1356</v>
      </c>
      <c r="B1356" s="120"/>
      <c r="C1356" s="1">
        <v>344</v>
      </c>
      <c r="D1356" s="2" t="s">
        <v>528</v>
      </c>
      <c r="E1356" s="121"/>
      <c r="F1356" s="138"/>
      <c r="G1356" s="119"/>
      <c r="X1356" s="3"/>
      <c r="AD1356" s="119"/>
      <c r="AE1356" s="119"/>
      <c r="AF1356" s="119"/>
      <c r="AG1356" s="119"/>
      <c r="AI1356">
        <f t="shared" si="752"/>
        <v>344</v>
      </c>
      <c r="AJ1356" t="str">
        <f t="shared" si="747"/>
        <v>NA</v>
      </c>
      <c r="AK1356" t="str">
        <f>IF(ISERROR(MATCH(AI1356&amp;"."&amp;AJ1356,AK$91:AK1355,0)),AI1356&amp;"."&amp;AJ1356,AI1356&amp;"."&amp;AJ1356&amp;COUNTIFS(AI$91:AI1355,AI1356,AJ$91:AJ1355,AJ1356))</f>
        <v>344.NA</v>
      </c>
    </row>
    <row r="1357" spans="1:37" ht="15" hidden="1">
      <c r="A1357" s="120">
        <f>ROW()</f>
        <v>1357</v>
      </c>
      <c r="B1357" s="120"/>
      <c r="C1357" s="1"/>
      <c r="E1357" s="121" t="s">
        <v>12</v>
      </c>
      <c r="F1357" s="138" t="str">
        <f>INDEX(FuncAllocOptions,ROW(A1357)-ROW($A$92)+1,[4]Inputs!$S$11)</f>
        <v>P</v>
      </c>
      <c r="G1357" s="117" t="e">
        <f>SUMIF(FERCJAMFactor,AK1357,JAMValue)</f>
        <v>#VALUE!</v>
      </c>
      <c r="H1357" s="116" t="e">
        <f t="shared" ref="H1357:L1360" si="763">INDEX(FuncFactorTbl,MATCH($F1357,FuncFactors,0),MATCH(H$8,Functions,0))*$G1357</f>
        <v>#VALUE!</v>
      </c>
      <c r="I1357" s="116" t="e">
        <f t="shared" si="763"/>
        <v>#VALUE!</v>
      </c>
      <c r="J1357" s="116" t="e">
        <f t="shared" si="763"/>
        <v>#VALUE!</v>
      </c>
      <c r="K1357" s="116" t="e">
        <f t="shared" si="763"/>
        <v>#VALUE!</v>
      </c>
      <c r="L1357" s="116" t="e">
        <f t="shared" si="763"/>
        <v>#VALUE!</v>
      </c>
      <c r="N1357" s="108">
        <v>0.75</v>
      </c>
      <c r="O1357" s="116" t="e">
        <f>$H1357*$N1357*$M1357</f>
        <v>#VALUE!</v>
      </c>
      <c r="P1357" s="116" t="e">
        <f>$H1357*(1-$N1357)*$M1357</f>
        <v>#VALUE!</v>
      </c>
      <c r="Q1357" s="116" t="e">
        <f>$H1357*$N1357*(1-$M1357)</f>
        <v>#VALUE!</v>
      </c>
      <c r="R1357" s="116" t="e">
        <f>$H1357*(1-$N1357)*(1-$M1357)</f>
        <v>#VALUE!</v>
      </c>
      <c r="T1357" s="116">
        <v>0</v>
      </c>
      <c r="U1357" s="116">
        <v>0</v>
      </c>
      <c r="V1357" s="116">
        <v>0</v>
      </c>
      <c r="W1357" s="116">
        <v>0</v>
      </c>
      <c r="X1357" s="3"/>
      <c r="AD1357" s="117" t="e">
        <f>ROUND(SUM(-G1357,H1357:L1357),0)</f>
        <v>#VALUE!</v>
      </c>
      <c r="AE1357" s="117" t="e">
        <f>ROUND(H1357-O1357-P1357-Q1357-R1357,0)</f>
        <v>#VALUE!</v>
      </c>
      <c r="AF1357" s="117" t="e">
        <f>ROUND(I1357-T1357-U1357-V1357-W1357,0)</f>
        <v>#VALUE!</v>
      </c>
      <c r="AG1357" s="117" t="e">
        <f>ROUND(J1357-Y1357-Z1357-AA1357-AC1357-AB1357,0)</f>
        <v>#VALUE!</v>
      </c>
      <c r="AH1357" s="116"/>
      <c r="AI1357">
        <f t="shared" si="752"/>
        <v>344</v>
      </c>
      <c r="AJ1357" t="str">
        <f t="shared" si="747"/>
        <v>S</v>
      </c>
      <c r="AK1357" t="str">
        <f>IF(ISERROR(MATCH(AI1357&amp;"."&amp;AJ1357,AK$91:AK1356,0)),AI1357&amp;"."&amp;AJ1357,AI1357&amp;"."&amp;AJ1357&amp;COUNTIFS(AI$91:AI1356,AI1357,AJ$91:AJ1356,AJ1357))</f>
        <v>344.S</v>
      </c>
    </row>
    <row r="1358" spans="1:37" ht="15" hidden="1">
      <c r="A1358" s="120">
        <f>ROW()</f>
        <v>1358</v>
      </c>
      <c r="B1358" s="120"/>
      <c r="C1358" s="1"/>
      <c r="E1358" s="121" t="s">
        <v>15</v>
      </c>
      <c r="F1358" s="138" t="str">
        <f>INDEX(FuncAllocOptions,ROW(A1358)-ROW($A$92)+1,[4]Inputs!$S$11)</f>
        <v>P</v>
      </c>
      <c r="G1358" s="117" t="e">
        <f>SUMIF(FERCJAMFactor,AK1358,JAMValue)</f>
        <v>#VALUE!</v>
      </c>
      <c r="H1358" s="116" t="e">
        <f t="shared" si="763"/>
        <v>#VALUE!</v>
      </c>
      <c r="I1358" s="116" t="e">
        <f t="shared" si="763"/>
        <v>#VALUE!</v>
      </c>
      <c r="J1358" s="116" t="e">
        <f t="shared" si="763"/>
        <v>#VALUE!</v>
      </c>
      <c r="K1358" s="116" t="e">
        <f t="shared" si="763"/>
        <v>#VALUE!</v>
      </c>
      <c r="L1358" s="116" t="e">
        <f t="shared" si="763"/>
        <v>#VALUE!</v>
      </c>
      <c r="N1358" s="108">
        <v>0.75</v>
      </c>
      <c r="O1358" s="116" t="e">
        <f>$H1358*$N1358*$M1358</f>
        <v>#VALUE!</v>
      </c>
      <c r="P1358" s="116" t="e">
        <f>$H1358*(1-$N1358)*$M1358</f>
        <v>#VALUE!</v>
      </c>
      <c r="Q1358" s="116" t="e">
        <f>$H1358*$N1358*(1-$M1358)</f>
        <v>#VALUE!</v>
      </c>
      <c r="R1358" s="116" t="e">
        <f>$H1358*(1-$N1358)*(1-$M1358)</f>
        <v>#VALUE!</v>
      </c>
      <c r="T1358" s="116">
        <v>0</v>
      </c>
      <c r="U1358" s="116">
        <v>0</v>
      </c>
      <c r="V1358" s="116">
        <v>0</v>
      </c>
      <c r="W1358" s="116">
        <v>0</v>
      </c>
      <c r="X1358" s="3"/>
      <c r="AD1358" s="117" t="e">
        <f>ROUND(SUM(-G1358,H1358:L1358),0)</f>
        <v>#VALUE!</v>
      </c>
      <c r="AE1358" s="117" t="e">
        <f>ROUND(H1358-O1358-P1358-Q1358-R1358,0)</f>
        <v>#VALUE!</v>
      </c>
      <c r="AF1358" s="117" t="e">
        <f>ROUND(I1358-T1358-U1358-V1358-W1358,0)</f>
        <v>#VALUE!</v>
      </c>
      <c r="AG1358" s="117" t="e">
        <f>ROUND(J1358-Y1358-Z1358-AA1358-AC1358-AB1358,0)</f>
        <v>#VALUE!</v>
      </c>
      <c r="AH1358" s="116"/>
      <c r="AI1358">
        <f t="shared" si="752"/>
        <v>344</v>
      </c>
      <c r="AJ1358" t="str">
        <f t="shared" si="747"/>
        <v>SG</v>
      </c>
      <c r="AK1358" t="str">
        <f>IF(ISERROR(MATCH(AI1358&amp;"."&amp;AJ1358,AK$91:AK1357,0)),AI1358&amp;"."&amp;AJ1358,AI1358&amp;"."&amp;AJ1358&amp;COUNTIFS(AI$91:AI1357,AI1358,AJ$91:AJ1357,AJ1358))</f>
        <v>344.SG</v>
      </c>
    </row>
    <row r="1359" spans="1:37" ht="15" hidden="1">
      <c r="A1359" s="120">
        <f>ROW()</f>
        <v>1359</v>
      </c>
      <c r="B1359" s="120"/>
      <c r="C1359" s="1"/>
      <c r="D1359" s="142" t="s">
        <v>715</v>
      </c>
      <c r="E1359" s="121" t="s">
        <v>15</v>
      </c>
      <c r="F1359" s="138" t="str">
        <f>INDEX(FuncAllocOptions,ROW(A1359)-ROW($A$92)+1,[4]Inputs!$S$11)</f>
        <v>P</v>
      </c>
      <c r="G1359" s="117" t="e">
        <f>SUMIF(FERCJAMFactor,AK1359,JAMValue)</f>
        <v>#VALUE!</v>
      </c>
      <c r="H1359" s="116" t="e">
        <f t="shared" si="763"/>
        <v>#VALUE!</v>
      </c>
      <c r="I1359" s="116" t="e">
        <f t="shared" si="763"/>
        <v>#VALUE!</v>
      </c>
      <c r="J1359" s="116" t="e">
        <f t="shared" si="763"/>
        <v>#VALUE!</v>
      </c>
      <c r="K1359" s="116" t="e">
        <f t="shared" si="763"/>
        <v>#VALUE!</v>
      </c>
      <c r="L1359" s="116" t="e">
        <f t="shared" si="763"/>
        <v>#VALUE!</v>
      </c>
      <c r="N1359" s="108">
        <v>0.75</v>
      </c>
      <c r="O1359" s="116" t="e">
        <f>$H1359*$N1359*$M1359</f>
        <v>#VALUE!</v>
      </c>
      <c r="P1359" s="116" t="e">
        <f>$H1359*(1-$N1359)*$M1359</f>
        <v>#VALUE!</v>
      </c>
      <c r="Q1359" s="116" t="e">
        <f>$H1359*$N1359*(1-$M1359)</f>
        <v>#VALUE!</v>
      </c>
      <c r="R1359" s="116" t="e">
        <f>$H1359*(1-$N1359)*(1-$M1359)</f>
        <v>#VALUE!</v>
      </c>
      <c r="T1359" s="116">
        <v>0</v>
      </c>
      <c r="U1359" s="116">
        <v>0</v>
      </c>
      <c r="V1359" s="116">
        <v>0</v>
      </c>
      <c r="W1359" s="116">
        <v>0</v>
      </c>
      <c r="X1359" s="3"/>
      <c r="AD1359" s="117" t="e">
        <f>ROUND(SUM(-G1359,H1359:L1359),0)</f>
        <v>#VALUE!</v>
      </c>
      <c r="AE1359" s="117" t="e">
        <f>ROUND(H1359-O1359-P1359-Q1359-R1359,0)</f>
        <v>#VALUE!</v>
      </c>
      <c r="AF1359" s="117" t="e">
        <f>ROUND(I1359-T1359-U1359-V1359-W1359,0)</f>
        <v>#VALUE!</v>
      </c>
      <c r="AG1359" s="117" t="e">
        <f>ROUND(J1359-Y1359-Z1359-AA1359-AC1359-AB1359,0)</f>
        <v>#VALUE!</v>
      </c>
      <c r="AH1359" s="116"/>
      <c r="AI1359">
        <f t="shared" si="752"/>
        <v>344</v>
      </c>
      <c r="AJ1359" t="str">
        <f t="shared" si="747"/>
        <v>SG</v>
      </c>
      <c r="AK1359" t="str">
        <f>IF(ISERROR(MATCH(AI1359&amp;"."&amp;AJ1359,AK$91:AK1358,0)),AI1359&amp;"."&amp;AJ1359,AI1359&amp;"."&amp;AJ1359&amp;COUNTIFS(AI$91:AI1358,AI1359,AJ$91:AJ1358,AJ1359))</f>
        <v>344.SG1</v>
      </c>
    </row>
    <row r="1360" spans="1:37" ht="15" hidden="1">
      <c r="A1360" s="120">
        <f>ROW()</f>
        <v>1360</v>
      </c>
      <c r="B1360" s="120"/>
      <c r="C1360" s="1"/>
      <c r="E1360" s="121" t="s">
        <v>15</v>
      </c>
      <c r="F1360" s="138" t="str">
        <f>INDEX(FuncAllocOptions,ROW(A1360)-ROW($A$92)+1,[4]Inputs!$S$11)</f>
        <v>P</v>
      </c>
      <c r="G1360" s="133" t="e">
        <f>SUMIF(FERCJAMFactor,AK1360,JAMValue)</f>
        <v>#VALUE!</v>
      </c>
      <c r="H1360" s="139" t="e">
        <f t="shared" si="763"/>
        <v>#VALUE!</v>
      </c>
      <c r="I1360" s="139" t="e">
        <f t="shared" si="763"/>
        <v>#VALUE!</v>
      </c>
      <c r="J1360" s="139" t="e">
        <f t="shared" si="763"/>
        <v>#VALUE!</v>
      </c>
      <c r="K1360" s="139" t="e">
        <f t="shared" si="763"/>
        <v>#VALUE!</v>
      </c>
      <c r="L1360" s="139" t="e">
        <f t="shared" si="763"/>
        <v>#VALUE!</v>
      </c>
      <c r="N1360" s="108">
        <v>0.75</v>
      </c>
      <c r="O1360" s="116" t="e">
        <f>$H1360*$N1360*$M1360</f>
        <v>#VALUE!</v>
      </c>
      <c r="P1360" s="116" t="e">
        <f>$H1360*(1-$N1360)*$M1360</f>
        <v>#VALUE!</v>
      </c>
      <c r="Q1360" s="116" t="e">
        <f>$H1360*$N1360*(1-$M1360)</f>
        <v>#VALUE!</v>
      </c>
      <c r="R1360" s="116" t="e">
        <f>$H1360*(1-$N1360)*(1-$M1360)</f>
        <v>#VALUE!</v>
      </c>
      <c r="T1360" s="116">
        <v>0</v>
      </c>
      <c r="U1360" s="116">
        <v>0</v>
      </c>
      <c r="V1360" s="116">
        <v>0</v>
      </c>
      <c r="W1360" s="116">
        <v>0</v>
      </c>
      <c r="X1360" s="3"/>
      <c r="AD1360" s="117" t="e">
        <f>ROUND(SUM(-G1360,H1360:L1360),0)</f>
        <v>#VALUE!</v>
      </c>
      <c r="AE1360" s="117" t="e">
        <f>ROUND(H1360-O1360-P1360-Q1360-R1360,0)</f>
        <v>#VALUE!</v>
      </c>
      <c r="AF1360" s="117" t="e">
        <f>ROUND(I1360-T1360-U1360-V1360-W1360,0)</f>
        <v>#VALUE!</v>
      </c>
      <c r="AG1360" s="117" t="e">
        <f>ROUND(J1360-Y1360-Z1360-AA1360-AC1360-AB1360,0)</f>
        <v>#VALUE!</v>
      </c>
      <c r="AH1360" s="116"/>
      <c r="AI1360">
        <f t="shared" si="752"/>
        <v>344</v>
      </c>
      <c r="AJ1360" t="str">
        <f t="shared" si="747"/>
        <v>SG</v>
      </c>
      <c r="AK1360" t="str">
        <f>IF(ISERROR(MATCH(AI1360&amp;"."&amp;AJ1360,AK$91:AK1359,0)),AI1360&amp;"."&amp;AJ1360,AI1360&amp;"."&amp;AJ1360&amp;COUNTIFS(AI$91:AI1359,AI1360,AJ$91:AJ1359,AJ1360))</f>
        <v>344.SG2</v>
      </c>
    </row>
    <row r="1361" spans="1:37" ht="15" hidden="1">
      <c r="A1361" s="120">
        <f>ROW()</f>
        <v>1361</v>
      </c>
      <c r="B1361" s="120"/>
      <c r="C1361" s="1"/>
      <c r="E1361" s="121"/>
      <c r="F1361" s="138"/>
      <c r="G1361" s="117" t="e">
        <f t="shared" ref="G1361:L1361" si="764">SUM(G1358:G1360)</f>
        <v>#VALUE!</v>
      </c>
      <c r="H1361" s="116" t="e">
        <f t="shared" si="764"/>
        <v>#VALUE!</v>
      </c>
      <c r="I1361" s="116" t="e">
        <f t="shared" si="764"/>
        <v>#VALUE!</v>
      </c>
      <c r="J1361" s="116" t="e">
        <f t="shared" si="764"/>
        <v>#VALUE!</v>
      </c>
      <c r="K1361" s="116" t="e">
        <f t="shared" si="764"/>
        <v>#VALUE!</v>
      </c>
      <c r="L1361" s="116" t="e">
        <f t="shared" si="764"/>
        <v>#VALUE!</v>
      </c>
      <c r="O1361" s="116" t="e">
        <f>SUM(O1358:O1360)</f>
        <v>#VALUE!</v>
      </c>
      <c r="P1361" s="116" t="e">
        <f>SUM(P1358:P1360)</f>
        <v>#VALUE!</v>
      </c>
      <c r="Q1361" s="116" t="e">
        <f>SUM(Q1358:Q1360)</f>
        <v>#VALUE!</v>
      </c>
      <c r="R1361" s="116" t="e">
        <f>SUM(R1358:R1360)</f>
        <v>#VALUE!</v>
      </c>
      <c r="T1361" s="116">
        <f>SUM(T1358:T1360)</f>
        <v>0</v>
      </c>
      <c r="U1361" s="116">
        <f>SUM(U1358:U1360)</f>
        <v>0</v>
      </c>
      <c r="V1361" s="116">
        <f>SUM(V1358:V1360)</f>
        <v>0</v>
      </c>
      <c r="W1361" s="116">
        <f>SUM(W1358:W1360)</f>
        <v>0</v>
      </c>
      <c r="X1361" s="3"/>
      <c r="Y1361" s="116">
        <f>SUM(Y1358:Y1360)</f>
        <v>0</v>
      </c>
      <c r="Z1361" s="116">
        <f>SUM(Z1358:Z1360)</f>
        <v>0</v>
      </c>
      <c r="AA1361" s="116">
        <f>SUM(AA1358:AA1360)</f>
        <v>0</v>
      </c>
      <c r="AB1361" s="116">
        <f>SUM(AB1358:AB1360)</f>
        <v>0</v>
      </c>
      <c r="AC1361" s="116">
        <f>SUM(AC1358:AC1360)</f>
        <v>0</v>
      </c>
      <c r="AD1361" s="117" t="e">
        <f>ROUND(SUM(-G1361,H1361:L1361),0)</f>
        <v>#VALUE!</v>
      </c>
      <c r="AE1361" s="117" t="e">
        <f>ROUND(H1361-O1361-P1361-Q1361-R1361,0)</f>
        <v>#VALUE!</v>
      </c>
      <c r="AF1361" s="117" t="e">
        <f>ROUND(I1361-T1361-U1361-V1361-W1361,0)</f>
        <v>#VALUE!</v>
      </c>
      <c r="AG1361" s="117" t="e">
        <f>ROUND(J1361-Y1361-Z1361-AA1361-AC1361-AB1361,0)</f>
        <v>#VALUE!</v>
      </c>
      <c r="AH1361" s="116"/>
      <c r="AI1361">
        <f t="shared" si="752"/>
        <v>344</v>
      </c>
      <c r="AJ1361" t="str">
        <f t="shared" si="747"/>
        <v>NA</v>
      </c>
      <c r="AK1361" t="str">
        <f>IF(ISERROR(MATCH(AI1361&amp;"."&amp;AJ1361,AK$91:AK1360,0)),AI1361&amp;"."&amp;AJ1361,AI1361&amp;"."&amp;AJ1361&amp;COUNTIFS(AI$91:AI1360,AI1361,AJ$91:AJ1360,AJ1361))</f>
        <v>344.NA1</v>
      </c>
    </row>
    <row r="1362" spans="1:37" ht="15" hidden="1">
      <c r="A1362" s="120">
        <f>ROW()</f>
        <v>1362</v>
      </c>
      <c r="B1362" s="120"/>
      <c r="C1362" s="1"/>
      <c r="E1362" s="121"/>
      <c r="F1362" s="138"/>
      <c r="G1362" s="119"/>
      <c r="X1362" s="3"/>
      <c r="AD1362" s="119"/>
      <c r="AE1362" s="119"/>
      <c r="AF1362" s="119"/>
      <c r="AG1362" s="119"/>
      <c r="AI1362">
        <f t="shared" si="752"/>
        <v>344</v>
      </c>
      <c r="AJ1362" t="str">
        <f t="shared" si="747"/>
        <v>NA</v>
      </c>
      <c r="AK1362" t="str">
        <f>IF(ISERROR(MATCH(AI1362&amp;"."&amp;AJ1362,AK$91:AK1361,0)),AI1362&amp;"."&amp;AJ1362,AI1362&amp;"."&amp;AJ1362&amp;COUNTIFS(AI$91:AI1361,AI1362,AJ$91:AJ1361,AJ1362))</f>
        <v>344.NA2</v>
      </c>
    </row>
    <row r="1363" spans="1:37" ht="15" hidden="1">
      <c r="A1363" s="120">
        <f>ROW()</f>
        <v>1363</v>
      </c>
      <c r="B1363" s="120"/>
      <c r="C1363" s="1">
        <v>345</v>
      </c>
      <c r="D1363" s="2" t="s">
        <v>529</v>
      </c>
      <c r="E1363" s="121"/>
      <c r="F1363" s="138"/>
      <c r="G1363" s="119"/>
      <c r="X1363" s="3"/>
      <c r="AD1363" s="119"/>
      <c r="AE1363" s="119"/>
      <c r="AF1363" s="119"/>
      <c r="AG1363" s="119"/>
      <c r="AI1363">
        <f t="shared" si="752"/>
        <v>345</v>
      </c>
      <c r="AJ1363" t="str">
        <f t="shared" si="747"/>
        <v>NA</v>
      </c>
      <c r="AK1363" t="str">
        <f>IF(ISERROR(MATCH(AI1363&amp;"."&amp;AJ1363,AK$91:AK1362,0)),AI1363&amp;"."&amp;AJ1363,AI1363&amp;"."&amp;AJ1363&amp;COUNTIFS(AI$91:AI1362,AI1363,AJ$91:AJ1362,AJ1363))</f>
        <v>345.NA</v>
      </c>
    </row>
    <row r="1364" spans="1:37" ht="15" hidden="1">
      <c r="A1364" s="120">
        <f>ROW()</f>
        <v>1364</v>
      </c>
      <c r="B1364" s="120"/>
      <c r="C1364" s="1"/>
      <c r="E1364" s="121" t="s">
        <v>15</v>
      </c>
      <c r="F1364" s="138" t="str">
        <f>INDEX(FuncAllocOptions,ROW(A1364)-ROW($A$92)+1,[4]Inputs!$S$11)</f>
        <v>P</v>
      </c>
      <c r="G1364" s="117" t="e">
        <f>SUMIF(FERCJAMFactor,AK1364,JAMValue)</f>
        <v>#VALUE!</v>
      </c>
      <c r="H1364" s="116" t="e">
        <f t="shared" ref="H1364:L1367" si="765">INDEX(FuncFactorTbl,MATCH($F1364,FuncFactors,0),MATCH(H$8,Functions,0))*$G1364</f>
        <v>#VALUE!</v>
      </c>
      <c r="I1364" s="116" t="e">
        <f t="shared" si="765"/>
        <v>#VALUE!</v>
      </c>
      <c r="J1364" s="116" t="e">
        <f t="shared" si="765"/>
        <v>#VALUE!</v>
      </c>
      <c r="K1364" s="116" t="e">
        <f t="shared" si="765"/>
        <v>#VALUE!</v>
      </c>
      <c r="L1364" s="116" t="e">
        <f t="shared" si="765"/>
        <v>#VALUE!</v>
      </c>
      <c r="N1364" s="108">
        <v>0.75</v>
      </c>
      <c r="O1364" s="116" t="e">
        <f>$H1364*$N1364*$M1364</f>
        <v>#VALUE!</v>
      </c>
      <c r="P1364" s="116" t="e">
        <f>$H1364*(1-$N1364)*$M1364</f>
        <v>#VALUE!</v>
      </c>
      <c r="Q1364" s="116" t="e">
        <f>$H1364*$N1364*(1-$M1364)</f>
        <v>#VALUE!</v>
      </c>
      <c r="R1364" s="116" t="e">
        <f>$H1364*(1-$N1364)*(1-$M1364)</f>
        <v>#VALUE!</v>
      </c>
      <c r="T1364" s="116">
        <v>0</v>
      </c>
      <c r="U1364" s="116">
        <v>0</v>
      </c>
      <c r="V1364" s="116">
        <v>0</v>
      </c>
      <c r="W1364" s="116">
        <v>0</v>
      </c>
      <c r="X1364" s="3"/>
      <c r="AD1364" s="117" t="e">
        <f>ROUND(SUM(-G1364,H1364:L1364),0)</f>
        <v>#VALUE!</v>
      </c>
      <c r="AE1364" s="117" t="e">
        <f>ROUND(H1364-O1364-P1364-Q1364-R1364,0)</f>
        <v>#VALUE!</v>
      </c>
      <c r="AF1364" s="117" t="e">
        <f>ROUND(I1364-T1364-U1364-V1364-W1364,0)</f>
        <v>#VALUE!</v>
      </c>
      <c r="AG1364" s="117" t="e">
        <f>ROUND(J1364-Y1364-Z1364-AA1364-AC1364-AB1364,0)</f>
        <v>#VALUE!</v>
      </c>
      <c r="AH1364" s="116"/>
      <c r="AI1364">
        <f t="shared" si="752"/>
        <v>345</v>
      </c>
      <c r="AJ1364" t="str">
        <f t="shared" si="747"/>
        <v>SG</v>
      </c>
      <c r="AK1364" t="str">
        <f>IF(ISERROR(MATCH(AI1364&amp;"."&amp;AJ1364,AK$91:AK1363,0)),AI1364&amp;"."&amp;AJ1364,AI1364&amp;"."&amp;AJ1364&amp;COUNTIFS(AI$91:AI1363,AI1364,AJ$91:AJ1363,AJ1364))</f>
        <v>345.SG</v>
      </c>
    </row>
    <row r="1365" spans="1:37" ht="15" hidden="1">
      <c r="A1365" s="120">
        <f>ROW()</f>
        <v>1365</v>
      </c>
      <c r="B1365" s="120"/>
      <c r="C1365" s="1"/>
      <c r="D1365" s="142" t="s">
        <v>715</v>
      </c>
      <c r="E1365" s="121" t="s">
        <v>15</v>
      </c>
      <c r="F1365" s="138" t="str">
        <f>INDEX(FuncAllocOptions,ROW(A1365)-ROW($A$92)+1,[4]Inputs!$S$11)</f>
        <v>P</v>
      </c>
      <c r="G1365" s="117" t="e">
        <f>SUMIF(FERCJAMFactor,AK1365,JAMValue)</f>
        <v>#VALUE!</v>
      </c>
      <c r="H1365" s="116" t="e">
        <f t="shared" si="765"/>
        <v>#VALUE!</v>
      </c>
      <c r="I1365" s="116" t="e">
        <f t="shared" si="765"/>
        <v>#VALUE!</v>
      </c>
      <c r="J1365" s="116" t="e">
        <f t="shared" si="765"/>
        <v>#VALUE!</v>
      </c>
      <c r="K1365" s="116" t="e">
        <f t="shared" si="765"/>
        <v>#VALUE!</v>
      </c>
      <c r="L1365" s="116" t="e">
        <f t="shared" si="765"/>
        <v>#VALUE!</v>
      </c>
      <c r="N1365" s="108">
        <v>0.75</v>
      </c>
      <c r="O1365" s="116" t="e">
        <f>$H1365*$N1365*$M1365</f>
        <v>#VALUE!</v>
      </c>
      <c r="P1365" s="116" t="e">
        <f>$H1365*(1-$N1365)*$M1365</f>
        <v>#VALUE!</v>
      </c>
      <c r="Q1365" s="116" t="e">
        <f>$H1365*$N1365*(1-$M1365)</f>
        <v>#VALUE!</v>
      </c>
      <c r="R1365" s="116" t="e">
        <f>$H1365*(1-$N1365)*(1-$M1365)</f>
        <v>#VALUE!</v>
      </c>
      <c r="T1365" s="116">
        <v>0</v>
      </c>
      <c r="U1365" s="116">
        <v>0</v>
      </c>
      <c r="V1365" s="116">
        <v>0</v>
      </c>
      <c r="W1365" s="116">
        <v>0</v>
      </c>
      <c r="X1365" s="3"/>
      <c r="AD1365" s="117" t="e">
        <f>ROUND(SUM(-G1365,H1365:L1365),0)</f>
        <v>#VALUE!</v>
      </c>
      <c r="AE1365" s="117" t="e">
        <f>ROUND(H1365-O1365-P1365-Q1365-R1365,0)</f>
        <v>#VALUE!</v>
      </c>
      <c r="AF1365" s="117" t="e">
        <f>ROUND(I1365-T1365-U1365-V1365-W1365,0)</f>
        <v>#VALUE!</v>
      </c>
      <c r="AG1365" s="117" t="e">
        <f>ROUND(J1365-Y1365-Z1365-AA1365-AC1365-AB1365,0)</f>
        <v>#VALUE!</v>
      </c>
      <c r="AH1365" s="116"/>
      <c r="AI1365">
        <f t="shared" si="752"/>
        <v>345</v>
      </c>
      <c r="AJ1365" t="str">
        <f t="shared" si="747"/>
        <v>SG</v>
      </c>
      <c r="AK1365" t="str">
        <f>IF(ISERROR(MATCH(AI1365&amp;"."&amp;AJ1365,AK$91:AK1364,0)),AI1365&amp;"."&amp;AJ1365,AI1365&amp;"."&amp;AJ1365&amp;COUNTIFS(AI$91:AI1364,AI1365,AJ$91:AJ1364,AJ1365))</f>
        <v>345.SG1</v>
      </c>
    </row>
    <row r="1366" spans="1:37" ht="15" hidden="1">
      <c r="A1366" s="120">
        <f>ROW()</f>
        <v>1366</v>
      </c>
      <c r="B1366" s="120"/>
      <c r="C1366" s="1"/>
      <c r="E1366" s="121" t="s">
        <v>15</v>
      </c>
      <c r="F1366" s="138" t="str">
        <f>INDEX(FuncAllocOptions,ROW(A1366)-ROW($A$92)+1,[4]Inputs!$S$11)</f>
        <v>P</v>
      </c>
      <c r="G1366" s="117" t="e">
        <f>SUMIF(FERCJAMFactor,AK1366,JAMValue)</f>
        <v>#VALUE!</v>
      </c>
      <c r="H1366" s="116" t="e">
        <f t="shared" si="765"/>
        <v>#VALUE!</v>
      </c>
      <c r="I1366" s="116" t="e">
        <f t="shared" si="765"/>
        <v>#VALUE!</v>
      </c>
      <c r="J1366" s="116" t="e">
        <f t="shared" si="765"/>
        <v>#VALUE!</v>
      </c>
      <c r="K1366" s="116" t="e">
        <f t="shared" si="765"/>
        <v>#VALUE!</v>
      </c>
      <c r="L1366" s="116" t="e">
        <f t="shared" si="765"/>
        <v>#VALUE!</v>
      </c>
      <c r="N1366" s="108">
        <v>0.75</v>
      </c>
      <c r="O1366" s="116" t="e">
        <f>$H1366*$N1366*$M1366</f>
        <v>#VALUE!</v>
      </c>
      <c r="P1366" s="116" t="e">
        <f>$H1366*(1-$N1366)*$M1366</f>
        <v>#VALUE!</v>
      </c>
      <c r="Q1366" s="116" t="e">
        <f>$H1366*$N1366*(1-$M1366)</f>
        <v>#VALUE!</v>
      </c>
      <c r="R1366" s="116" t="e">
        <f>$H1366*(1-$N1366)*(1-$M1366)</f>
        <v>#VALUE!</v>
      </c>
      <c r="T1366" s="116">
        <v>0</v>
      </c>
      <c r="U1366" s="116">
        <v>0</v>
      </c>
      <c r="V1366" s="116">
        <v>0</v>
      </c>
      <c r="W1366" s="116">
        <v>0</v>
      </c>
      <c r="X1366" s="3"/>
      <c r="AD1366" s="117" t="e">
        <f>ROUND(SUM(-G1366,H1366:L1366),0)</f>
        <v>#VALUE!</v>
      </c>
      <c r="AE1366" s="117" t="e">
        <f>ROUND(H1366-O1366-P1366-Q1366-R1366,0)</f>
        <v>#VALUE!</v>
      </c>
      <c r="AF1366" s="117" t="e">
        <f>ROUND(I1366-T1366-U1366-V1366-W1366,0)</f>
        <v>#VALUE!</v>
      </c>
      <c r="AG1366" s="117" t="e">
        <f>ROUND(J1366-Y1366-Z1366-AA1366-AC1366-AB1366,0)</f>
        <v>#VALUE!</v>
      </c>
      <c r="AH1366" s="116"/>
      <c r="AI1366">
        <f t="shared" si="752"/>
        <v>345</v>
      </c>
      <c r="AJ1366" t="str">
        <f t="shared" si="747"/>
        <v>SG</v>
      </c>
      <c r="AK1366" t="str">
        <f>IF(ISERROR(MATCH(AI1366&amp;"."&amp;AJ1366,AK$91:AK1365,0)),AI1366&amp;"."&amp;AJ1366,AI1366&amp;"."&amp;AJ1366&amp;COUNTIFS(AI$91:AI1365,AI1366,AJ$91:AJ1365,AJ1366))</f>
        <v>345.SG2</v>
      </c>
    </row>
    <row r="1367" spans="1:37" ht="15" hidden="1">
      <c r="A1367" s="120">
        <f>ROW()</f>
        <v>1367</v>
      </c>
      <c r="B1367" s="120"/>
      <c r="C1367" s="1"/>
      <c r="E1367" s="121" t="s">
        <v>15</v>
      </c>
      <c r="F1367" s="138" t="str">
        <f>INDEX(FuncAllocOptions,ROW(A1367)-ROW($A$92)+1,[4]Inputs!$S$11)</f>
        <v>P</v>
      </c>
      <c r="G1367" s="133" t="e">
        <f>SUMIF(FERCJAMFactor,AK1367,JAMValue)</f>
        <v>#VALUE!</v>
      </c>
      <c r="H1367" s="139" t="e">
        <f t="shared" si="765"/>
        <v>#VALUE!</v>
      </c>
      <c r="I1367" s="139" t="e">
        <f t="shared" si="765"/>
        <v>#VALUE!</v>
      </c>
      <c r="J1367" s="139" t="e">
        <f t="shared" si="765"/>
        <v>#VALUE!</v>
      </c>
      <c r="K1367" s="139" t="e">
        <f t="shared" si="765"/>
        <v>#VALUE!</v>
      </c>
      <c r="L1367" s="139" t="e">
        <f t="shared" si="765"/>
        <v>#VALUE!</v>
      </c>
      <c r="N1367" s="108">
        <v>0.75</v>
      </c>
      <c r="O1367" s="116" t="e">
        <f>$H1367*$N1367*$M1367</f>
        <v>#VALUE!</v>
      </c>
      <c r="P1367" s="116" t="e">
        <f>$H1367*(1-$N1367)*$M1367</f>
        <v>#VALUE!</v>
      </c>
      <c r="Q1367" s="116" t="e">
        <f>$H1367*$N1367*(1-$M1367)</f>
        <v>#VALUE!</v>
      </c>
      <c r="R1367" s="116" t="e">
        <f>$H1367*(1-$N1367)*(1-$M1367)</f>
        <v>#VALUE!</v>
      </c>
      <c r="T1367" s="116">
        <v>0</v>
      </c>
      <c r="U1367" s="116">
        <v>0</v>
      </c>
      <c r="V1367" s="116">
        <v>0</v>
      </c>
      <c r="W1367" s="116">
        <v>0</v>
      </c>
      <c r="X1367" s="3"/>
      <c r="AD1367" s="117" t="e">
        <f>ROUND(SUM(-G1367,H1367:L1367),0)</f>
        <v>#VALUE!</v>
      </c>
      <c r="AE1367" s="117" t="e">
        <f>ROUND(H1367-O1367-P1367-Q1367-R1367,0)</f>
        <v>#VALUE!</v>
      </c>
      <c r="AF1367" s="117" t="e">
        <f>ROUND(I1367-T1367-U1367-V1367-W1367,0)</f>
        <v>#VALUE!</v>
      </c>
      <c r="AG1367" s="117" t="e">
        <f>ROUND(J1367-Y1367-Z1367-AA1367-AC1367-AB1367,0)</f>
        <v>#VALUE!</v>
      </c>
      <c r="AH1367" s="116"/>
      <c r="AI1367">
        <f t="shared" si="752"/>
        <v>345</v>
      </c>
      <c r="AJ1367" t="str">
        <f t="shared" si="747"/>
        <v>SG</v>
      </c>
      <c r="AK1367" t="str">
        <f>IF(ISERROR(MATCH(AI1367&amp;"."&amp;AJ1367,AK$91:AK1366,0)),AI1367&amp;"."&amp;AJ1367,AI1367&amp;"."&amp;AJ1367&amp;COUNTIFS(AI$91:AI1366,AI1367,AJ$91:AJ1366,AJ1367))</f>
        <v>345.SG3</v>
      </c>
    </row>
    <row r="1368" spans="1:37" ht="15" hidden="1">
      <c r="A1368" s="120">
        <f>ROW()</f>
        <v>1368</v>
      </c>
      <c r="B1368" s="120"/>
      <c r="C1368" s="1"/>
      <c r="E1368" s="121"/>
      <c r="F1368" s="138"/>
      <c r="G1368" s="117" t="e">
        <f t="shared" ref="G1368:L1368" si="766">SUM(G1364:G1367)</f>
        <v>#VALUE!</v>
      </c>
      <c r="H1368" s="116" t="e">
        <f t="shared" si="766"/>
        <v>#VALUE!</v>
      </c>
      <c r="I1368" s="116" t="e">
        <f t="shared" si="766"/>
        <v>#VALUE!</v>
      </c>
      <c r="J1368" s="116" t="e">
        <f t="shared" si="766"/>
        <v>#VALUE!</v>
      </c>
      <c r="K1368" s="116" t="e">
        <f t="shared" si="766"/>
        <v>#VALUE!</v>
      </c>
      <c r="L1368" s="116" t="e">
        <f t="shared" si="766"/>
        <v>#VALUE!</v>
      </c>
      <c r="O1368" s="116" t="e">
        <f>SUM(O1364:O1367)</f>
        <v>#VALUE!</v>
      </c>
      <c r="P1368" s="116" t="e">
        <f>SUM(P1364:P1367)</f>
        <v>#VALUE!</v>
      </c>
      <c r="Q1368" s="116" t="e">
        <f>SUM(Q1364:Q1367)</f>
        <v>#VALUE!</v>
      </c>
      <c r="R1368" s="116" t="e">
        <f>SUM(R1364:R1367)</f>
        <v>#VALUE!</v>
      </c>
      <c r="T1368" s="116">
        <f>SUM(T1364:T1367)</f>
        <v>0</v>
      </c>
      <c r="U1368" s="116">
        <f>SUM(U1364:U1367)</f>
        <v>0</v>
      </c>
      <c r="V1368" s="116">
        <f>SUM(V1364:V1367)</f>
        <v>0</v>
      </c>
      <c r="W1368" s="116">
        <f>SUM(W1364:W1367)</f>
        <v>0</v>
      </c>
      <c r="X1368" s="3"/>
      <c r="Y1368" s="116">
        <f>SUM(Y1364:Y1367)</f>
        <v>0</v>
      </c>
      <c r="Z1368" s="116">
        <f>SUM(Z1364:Z1367)</f>
        <v>0</v>
      </c>
      <c r="AA1368" s="116">
        <f>SUM(AA1364:AA1367)</f>
        <v>0</v>
      </c>
      <c r="AB1368" s="116">
        <f>SUM(AB1364:AB1367)</f>
        <v>0</v>
      </c>
      <c r="AC1368" s="116">
        <f>SUM(AC1364:AC1367)</f>
        <v>0</v>
      </c>
      <c r="AD1368" s="117" t="e">
        <f>ROUND(SUM(-G1368,H1368:L1368),0)</f>
        <v>#VALUE!</v>
      </c>
      <c r="AE1368" s="117" t="e">
        <f>ROUND(H1368-O1368-P1368-Q1368-R1368,0)</f>
        <v>#VALUE!</v>
      </c>
      <c r="AF1368" s="117" t="e">
        <f>ROUND(I1368-T1368-U1368-V1368-W1368,0)</f>
        <v>#VALUE!</v>
      </c>
      <c r="AG1368" s="117" t="e">
        <f>ROUND(J1368-Y1368-Z1368-AA1368-AC1368-AB1368,0)</f>
        <v>#VALUE!</v>
      </c>
      <c r="AH1368" s="116"/>
      <c r="AI1368">
        <f t="shared" si="752"/>
        <v>345</v>
      </c>
      <c r="AJ1368" t="str">
        <f t="shared" si="747"/>
        <v>NA</v>
      </c>
      <c r="AK1368" t="str">
        <f>IF(ISERROR(MATCH(AI1368&amp;"."&amp;AJ1368,AK$91:AK1367,0)),AI1368&amp;"."&amp;AJ1368,AI1368&amp;"."&amp;AJ1368&amp;COUNTIFS(AI$91:AI1367,AI1368,AJ$91:AJ1367,AJ1368))</f>
        <v>345.NA1</v>
      </c>
    </row>
    <row r="1369" spans="1:37" ht="15" hidden="1">
      <c r="A1369" s="120">
        <f>ROW()</f>
        <v>1369</v>
      </c>
      <c r="B1369" s="120"/>
      <c r="C1369" s="1"/>
      <c r="E1369" s="121"/>
      <c r="F1369" s="138"/>
      <c r="G1369" s="119"/>
      <c r="X1369" s="3"/>
      <c r="AD1369" s="119"/>
      <c r="AE1369" s="119"/>
      <c r="AF1369" s="119"/>
      <c r="AG1369" s="119"/>
      <c r="AI1369">
        <f t="shared" si="752"/>
        <v>345</v>
      </c>
      <c r="AJ1369" t="str">
        <f t="shared" si="747"/>
        <v>NA</v>
      </c>
      <c r="AK1369" t="str">
        <f>IF(ISERROR(MATCH(AI1369&amp;"."&amp;AJ1369,AK$91:AK1368,0)),AI1369&amp;"."&amp;AJ1369,AI1369&amp;"."&amp;AJ1369&amp;COUNTIFS(AI$91:AI1368,AI1369,AJ$91:AJ1368,AJ1369))</f>
        <v>345.NA2</v>
      </c>
    </row>
    <row r="1370" spans="1:37" ht="15" hidden="1">
      <c r="A1370" s="120">
        <f>ROW()</f>
        <v>1370</v>
      </c>
      <c r="B1370" s="120"/>
      <c r="C1370" s="1">
        <v>346</v>
      </c>
      <c r="D1370" s="2" t="s">
        <v>513</v>
      </c>
      <c r="E1370" s="121"/>
      <c r="F1370" s="138"/>
      <c r="G1370" s="119"/>
      <c r="X1370" s="3"/>
      <c r="AD1370" s="119"/>
      <c r="AE1370" s="119"/>
      <c r="AF1370" s="119"/>
      <c r="AG1370" s="119"/>
      <c r="AI1370">
        <f t="shared" si="752"/>
        <v>346</v>
      </c>
      <c r="AJ1370" t="str">
        <f t="shared" si="747"/>
        <v>NA</v>
      </c>
      <c r="AK1370" t="str">
        <f>IF(ISERROR(MATCH(AI1370&amp;"."&amp;AJ1370,AK$91:AK1369,0)),AI1370&amp;"."&amp;AJ1370,AI1370&amp;"."&amp;AJ1370&amp;COUNTIFS(AI$91:AI1369,AI1370,AJ$91:AJ1369,AJ1370))</f>
        <v>346.NA</v>
      </c>
    </row>
    <row r="1371" spans="1:37" ht="15" hidden="1">
      <c r="A1371" s="120">
        <f>ROW()</f>
        <v>1371</v>
      </c>
      <c r="B1371" s="120"/>
      <c r="C1371" s="1"/>
      <c r="E1371" s="121" t="s">
        <v>15</v>
      </c>
      <c r="F1371" s="138" t="str">
        <f>INDEX(FuncAllocOptions,ROW(A1371)-ROW($A$92)+1,[4]Inputs!$S$11)</f>
        <v>P</v>
      </c>
      <c r="G1371" s="117" t="e">
        <f>SUMIF(FERCJAMFactor,AK1371,JAMValue)</f>
        <v>#VALUE!</v>
      </c>
      <c r="H1371" s="116" t="e">
        <f t="shared" ref="H1371:L1373" si="767">INDEX(FuncFactorTbl,MATCH($F1371,FuncFactors,0),MATCH(H$8,Functions,0))*$G1371</f>
        <v>#VALUE!</v>
      </c>
      <c r="I1371" s="116" t="e">
        <f t="shared" si="767"/>
        <v>#VALUE!</v>
      </c>
      <c r="J1371" s="116" t="e">
        <f t="shared" si="767"/>
        <v>#VALUE!</v>
      </c>
      <c r="K1371" s="116" t="e">
        <f t="shared" si="767"/>
        <v>#VALUE!</v>
      </c>
      <c r="L1371" s="116" t="e">
        <f t="shared" si="767"/>
        <v>#VALUE!</v>
      </c>
      <c r="N1371" s="108">
        <v>0.75</v>
      </c>
      <c r="O1371" s="116" t="e">
        <f>$H1371*$N1371*$M1371</f>
        <v>#VALUE!</v>
      </c>
      <c r="P1371" s="116" t="e">
        <f>$H1371*(1-$N1371)*$M1371</f>
        <v>#VALUE!</v>
      </c>
      <c r="Q1371" s="116" t="e">
        <f>$H1371*$N1371*(1-$M1371)</f>
        <v>#VALUE!</v>
      </c>
      <c r="R1371" s="116" t="e">
        <f>$H1371*(1-$N1371)*(1-$M1371)</f>
        <v>#VALUE!</v>
      </c>
      <c r="T1371" s="116">
        <v>0</v>
      </c>
      <c r="U1371" s="116">
        <v>0</v>
      </c>
      <c r="V1371" s="116">
        <v>0</v>
      </c>
      <c r="W1371" s="116">
        <v>0</v>
      </c>
      <c r="X1371" s="3"/>
      <c r="AD1371" s="117" t="e">
        <f>ROUND(SUM(-G1371,H1371:L1371),0)</f>
        <v>#VALUE!</v>
      </c>
      <c r="AE1371" s="117" t="e">
        <f>ROUND(H1371-O1371-P1371-Q1371-R1371,0)</f>
        <v>#VALUE!</v>
      </c>
      <c r="AF1371" s="117" t="e">
        <f>ROUND(I1371-T1371-U1371-V1371-W1371,0)</f>
        <v>#VALUE!</v>
      </c>
      <c r="AG1371" s="117" t="e">
        <f>ROUND(J1371-Y1371-Z1371-AA1371-AC1371-AB1371,0)</f>
        <v>#VALUE!</v>
      </c>
      <c r="AH1371" s="116"/>
      <c r="AI1371">
        <f t="shared" si="752"/>
        <v>346</v>
      </c>
      <c r="AJ1371" t="str">
        <f t="shared" si="747"/>
        <v>SG</v>
      </c>
      <c r="AK1371" t="str">
        <f>IF(ISERROR(MATCH(AI1371&amp;"."&amp;AJ1371,AK$91:AK1370,0)),AI1371&amp;"."&amp;AJ1371,AI1371&amp;"."&amp;AJ1371&amp;COUNTIFS(AI$91:AI1370,AI1371,AJ$91:AJ1370,AJ1371))</f>
        <v>346.SG</v>
      </c>
    </row>
    <row r="1372" spans="1:37" ht="15" hidden="1">
      <c r="A1372" s="120">
        <f>ROW()</f>
        <v>1372</v>
      </c>
      <c r="B1372" s="120"/>
      <c r="C1372" s="1"/>
      <c r="D1372" s="142" t="s">
        <v>715</v>
      </c>
      <c r="E1372" s="121" t="s">
        <v>15</v>
      </c>
      <c r="F1372" s="138" t="str">
        <f>INDEX(FuncAllocOptions,ROW(A1372)-ROW($A$92)+1,[4]Inputs!$S$11)</f>
        <v>P</v>
      </c>
      <c r="G1372" s="117" t="e">
        <f>SUMIF(FERCJAMFactor,AK1372,JAMValue)</f>
        <v>#VALUE!</v>
      </c>
      <c r="H1372" s="116" t="e">
        <f t="shared" si="767"/>
        <v>#VALUE!</v>
      </c>
      <c r="I1372" s="116" t="e">
        <f t="shared" si="767"/>
        <v>#VALUE!</v>
      </c>
      <c r="J1372" s="116" t="e">
        <f t="shared" si="767"/>
        <v>#VALUE!</v>
      </c>
      <c r="K1372" s="116" t="e">
        <f t="shared" si="767"/>
        <v>#VALUE!</v>
      </c>
      <c r="L1372" s="116" t="e">
        <f t="shared" si="767"/>
        <v>#VALUE!</v>
      </c>
      <c r="N1372" s="108">
        <v>0.75</v>
      </c>
      <c r="O1372" s="116" t="e">
        <f>$H1372*$N1372*$M1372</f>
        <v>#VALUE!</v>
      </c>
      <c r="P1372" s="116" t="e">
        <f>$H1372*(1-$N1372)*$M1372</f>
        <v>#VALUE!</v>
      </c>
      <c r="Q1372" s="116" t="e">
        <f>$H1372*$N1372*(1-$M1372)</f>
        <v>#VALUE!</v>
      </c>
      <c r="R1372" s="116" t="e">
        <f>$H1372*(1-$N1372)*(1-$M1372)</f>
        <v>#VALUE!</v>
      </c>
      <c r="T1372" s="116">
        <v>0</v>
      </c>
      <c r="U1372" s="116">
        <v>0</v>
      </c>
      <c r="V1372" s="116">
        <v>0</v>
      </c>
      <c r="W1372" s="116">
        <v>0</v>
      </c>
      <c r="X1372" s="3"/>
      <c r="AD1372" s="117" t="e">
        <f>ROUND(SUM(-G1372,H1372:L1372),0)</f>
        <v>#VALUE!</v>
      </c>
      <c r="AE1372" s="117" t="e">
        <f>ROUND(H1372-O1372-P1372-Q1372-R1372,0)</f>
        <v>#VALUE!</v>
      </c>
      <c r="AF1372" s="117" t="e">
        <f>ROUND(I1372-T1372-U1372-V1372-W1372,0)</f>
        <v>#VALUE!</v>
      </c>
      <c r="AG1372" s="117" t="e">
        <f>ROUND(J1372-Y1372-Z1372-AA1372-AC1372-AB1372,0)</f>
        <v>#VALUE!</v>
      </c>
      <c r="AH1372" s="116"/>
      <c r="AI1372">
        <f t="shared" si="752"/>
        <v>346</v>
      </c>
      <c r="AJ1372" t="str">
        <f t="shared" si="747"/>
        <v>SG</v>
      </c>
      <c r="AK1372" t="str">
        <f>IF(ISERROR(MATCH(AI1372&amp;"."&amp;AJ1372,AK$91:AK1371,0)),AI1372&amp;"."&amp;AJ1372,AI1372&amp;"."&amp;AJ1372&amp;COUNTIFS(AI$91:AI1371,AI1372,AJ$91:AJ1371,AJ1372))</f>
        <v>346.SG1</v>
      </c>
    </row>
    <row r="1373" spans="1:37" ht="15" hidden="1">
      <c r="A1373" s="120">
        <f>ROW()</f>
        <v>1373</v>
      </c>
      <c r="B1373" s="120"/>
      <c r="C1373" s="1"/>
      <c r="E1373" s="121" t="s">
        <v>15</v>
      </c>
      <c r="F1373" s="138" t="str">
        <f>INDEX(FuncAllocOptions,ROW(A1373)-ROW($A$92)+1,[4]Inputs!$S$11)</f>
        <v>P</v>
      </c>
      <c r="G1373" s="133" t="e">
        <f>SUMIF(FERCJAMFactor,AK1373,JAMValue)</f>
        <v>#VALUE!</v>
      </c>
      <c r="H1373" s="139" t="e">
        <f t="shared" si="767"/>
        <v>#VALUE!</v>
      </c>
      <c r="I1373" s="139" t="e">
        <f t="shared" si="767"/>
        <v>#VALUE!</v>
      </c>
      <c r="J1373" s="139" t="e">
        <f t="shared" si="767"/>
        <v>#VALUE!</v>
      </c>
      <c r="K1373" s="139" t="e">
        <f t="shared" si="767"/>
        <v>#VALUE!</v>
      </c>
      <c r="L1373" s="139" t="e">
        <f t="shared" si="767"/>
        <v>#VALUE!</v>
      </c>
      <c r="N1373" s="108">
        <v>0.75</v>
      </c>
      <c r="O1373" s="116" t="e">
        <f>$H1373*$N1373*$M1373</f>
        <v>#VALUE!</v>
      </c>
      <c r="P1373" s="116" t="e">
        <f>$H1373*(1-$N1373)*$M1373</f>
        <v>#VALUE!</v>
      </c>
      <c r="Q1373" s="116" t="e">
        <f>$H1373*$N1373*(1-$M1373)</f>
        <v>#VALUE!</v>
      </c>
      <c r="R1373" s="116" t="e">
        <f>$H1373*(1-$N1373)*(1-$M1373)</f>
        <v>#VALUE!</v>
      </c>
      <c r="T1373" s="116">
        <v>0</v>
      </c>
      <c r="U1373" s="116">
        <v>0</v>
      </c>
      <c r="V1373" s="116">
        <v>0</v>
      </c>
      <c r="W1373" s="116">
        <v>0</v>
      </c>
      <c r="X1373" s="3"/>
      <c r="AD1373" s="117" t="e">
        <f>ROUND(SUM(-G1373,H1373:L1373),0)</f>
        <v>#VALUE!</v>
      </c>
      <c r="AE1373" s="117" t="e">
        <f>ROUND(H1373-O1373-P1373-Q1373-R1373,0)</f>
        <v>#VALUE!</v>
      </c>
      <c r="AF1373" s="117" t="e">
        <f>ROUND(I1373-T1373-U1373-V1373-W1373,0)</f>
        <v>#VALUE!</v>
      </c>
      <c r="AG1373" s="117" t="e">
        <f>ROUND(J1373-Y1373-Z1373-AA1373-AC1373-AB1373,0)</f>
        <v>#VALUE!</v>
      </c>
      <c r="AH1373" s="116"/>
      <c r="AI1373">
        <f t="shared" si="752"/>
        <v>346</v>
      </c>
      <c r="AJ1373" t="str">
        <f t="shared" ref="AJ1373:AJ1436" si="768">IF(E1373="","NA",E1373)</f>
        <v>SG</v>
      </c>
      <c r="AK1373" t="str">
        <f>IF(ISERROR(MATCH(AI1373&amp;"."&amp;AJ1373,AK$91:AK1372,0)),AI1373&amp;"."&amp;AJ1373,AI1373&amp;"."&amp;AJ1373&amp;COUNTIFS(AI$91:AI1372,AI1373,AJ$91:AJ1372,AJ1373))</f>
        <v>346.SG2</v>
      </c>
    </row>
    <row r="1374" spans="1:37" ht="15" hidden="1">
      <c r="A1374" s="120">
        <f>ROW()</f>
        <v>1374</v>
      </c>
      <c r="B1374" s="120"/>
      <c r="C1374" s="1"/>
      <c r="E1374" s="121"/>
      <c r="F1374" s="138"/>
      <c r="G1374" s="117" t="e">
        <f t="shared" ref="G1374:L1374" si="769">SUM(G1371:G1373)</f>
        <v>#VALUE!</v>
      </c>
      <c r="H1374" s="116" t="e">
        <f t="shared" si="769"/>
        <v>#VALUE!</v>
      </c>
      <c r="I1374" s="116" t="e">
        <f t="shared" si="769"/>
        <v>#VALUE!</v>
      </c>
      <c r="J1374" s="116" t="e">
        <f t="shared" si="769"/>
        <v>#VALUE!</v>
      </c>
      <c r="K1374" s="116" t="e">
        <f t="shared" si="769"/>
        <v>#VALUE!</v>
      </c>
      <c r="L1374" s="116" t="e">
        <f t="shared" si="769"/>
        <v>#VALUE!</v>
      </c>
      <c r="O1374" s="116" t="e">
        <f>SUM(O1371:O1373)</f>
        <v>#VALUE!</v>
      </c>
      <c r="P1374" s="116" t="e">
        <f>SUM(P1371:P1373)</f>
        <v>#VALUE!</v>
      </c>
      <c r="Q1374" s="116" t="e">
        <f>SUM(Q1371:Q1373)</f>
        <v>#VALUE!</v>
      </c>
      <c r="R1374" s="116" t="e">
        <f>SUM(R1371:R1373)</f>
        <v>#VALUE!</v>
      </c>
      <c r="T1374" s="116">
        <f>SUM(T1371:T1373)</f>
        <v>0</v>
      </c>
      <c r="U1374" s="116">
        <f>SUM(U1371:U1373)</f>
        <v>0</v>
      </c>
      <c r="V1374" s="116">
        <f>SUM(V1371:V1373)</f>
        <v>0</v>
      </c>
      <c r="W1374" s="116">
        <f>SUM(W1371:W1373)</f>
        <v>0</v>
      </c>
      <c r="X1374" s="3"/>
      <c r="Y1374" s="116">
        <f>SUM(Y1371:Y1373)</f>
        <v>0</v>
      </c>
      <c r="Z1374" s="116">
        <f>SUM(Z1371:Z1373)</f>
        <v>0</v>
      </c>
      <c r="AA1374" s="116">
        <f>SUM(AA1371:AA1373)</f>
        <v>0</v>
      </c>
      <c r="AB1374" s="116">
        <f>SUM(AB1371:AB1373)</f>
        <v>0</v>
      </c>
      <c r="AC1374" s="116">
        <f>SUM(AC1371:AC1373)</f>
        <v>0</v>
      </c>
      <c r="AD1374" s="117" t="e">
        <f>ROUND(SUM(-G1374,H1374:L1374),0)</f>
        <v>#VALUE!</v>
      </c>
      <c r="AE1374" s="117" t="e">
        <f>ROUND(H1374-O1374-P1374-Q1374-R1374,0)</f>
        <v>#VALUE!</v>
      </c>
      <c r="AF1374" s="117" t="e">
        <f>ROUND(I1374-T1374-U1374-V1374-W1374,0)</f>
        <v>#VALUE!</v>
      </c>
      <c r="AG1374" s="117" t="e">
        <f>ROUND(J1374-Y1374-Z1374-AA1374-AC1374-AB1374,0)</f>
        <v>#VALUE!</v>
      </c>
      <c r="AH1374" s="116"/>
      <c r="AI1374">
        <f t="shared" si="752"/>
        <v>346</v>
      </c>
      <c r="AJ1374" t="str">
        <f t="shared" si="768"/>
        <v>NA</v>
      </c>
      <c r="AK1374" t="str">
        <f>IF(ISERROR(MATCH(AI1374&amp;"."&amp;AJ1374,AK$91:AK1373,0)),AI1374&amp;"."&amp;AJ1374,AI1374&amp;"."&amp;AJ1374&amp;COUNTIFS(AI$91:AI1373,AI1374,AJ$91:AJ1373,AJ1374))</f>
        <v>346.NA1</v>
      </c>
    </row>
    <row r="1375" spans="1:37" ht="15" hidden="1">
      <c r="A1375" s="120">
        <f>ROW()</f>
        <v>1375</v>
      </c>
      <c r="B1375" s="120"/>
      <c r="C1375" s="1"/>
      <c r="E1375" s="121"/>
      <c r="F1375" s="138"/>
      <c r="G1375" s="119"/>
      <c r="X1375" s="3"/>
      <c r="AD1375" s="119"/>
      <c r="AE1375" s="119"/>
      <c r="AF1375" s="119"/>
      <c r="AG1375" s="119"/>
      <c r="AI1375">
        <f t="shared" si="752"/>
        <v>346</v>
      </c>
      <c r="AJ1375" t="str">
        <f t="shared" si="768"/>
        <v>NA</v>
      </c>
      <c r="AK1375" t="str">
        <f>IF(ISERROR(MATCH(AI1375&amp;"."&amp;AJ1375,AK$91:AK1374,0)),AI1375&amp;"."&amp;AJ1375,AI1375&amp;"."&amp;AJ1375&amp;COUNTIFS(AI$91:AI1374,AI1375,AJ$91:AJ1374,AJ1375))</f>
        <v>346.NA2</v>
      </c>
    </row>
    <row r="1376" spans="1:37" ht="15" hidden="1">
      <c r="A1376" s="120">
        <f>ROW()</f>
        <v>1376</v>
      </c>
      <c r="B1376" s="120"/>
      <c r="C1376" s="1" t="s">
        <v>256</v>
      </c>
      <c r="D1376" s="2" t="s">
        <v>531</v>
      </c>
      <c r="E1376" s="121"/>
      <c r="F1376" s="138"/>
      <c r="G1376" s="119"/>
      <c r="X1376" s="3"/>
      <c r="AD1376" s="119"/>
      <c r="AE1376" s="119"/>
      <c r="AF1376" s="119"/>
      <c r="AG1376" s="119"/>
      <c r="AI1376" t="str">
        <f t="shared" si="752"/>
        <v>OP</v>
      </c>
      <c r="AJ1376" t="str">
        <f t="shared" si="768"/>
        <v>NA</v>
      </c>
      <c r="AK1376" t="str">
        <f>IF(ISERROR(MATCH(AI1376&amp;"."&amp;AJ1376,AK$91:AK1375,0)),AI1376&amp;"."&amp;AJ1376,AI1376&amp;"."&amp;AJ1376&amp;COUNTIFS(AI$91:AI1375,AI1376,AJ$91:AJ1375,AJ1376))</f>
        <v>OP.NA</v>
      </c>
    </row>
    <row r="1377" spans="1:37" ht="15" hidden="1">
      <c r="A1377" s="120">
        <f>ROW()</f>
        <v>1377</v>
      </c>
      <c r="B1377" s="120"/>
      <c r="E1377" s="121" t="s">
        <v>12</v>
      </c>
      <c r="F1377" s="138" t="str">
        <f>INDEX(FuncAllocOptions,ROW(A1377)-ROW($A$92)+1,[4]Inputs!$S$11)</f>
        <v>P</v>
      </c>
      <c r="G1377" s="117" t="e">
        <f>SUMIF(FERCJAMFactor,AK1377,JAMValue)</f>
        <v>#VALUE!</v>
      </c>
      <c r="H1377" s="116" t="e">
        <f t="shared" ref="H1377:L1378" si="770">INDEX(FuncFactorTbl,MATCH($F1377,FuncFactors,0),MATCH(H$8,Functions,0))*$G1377</f>
        <v>#VALUE!</v>
      </c>
      <c r="I1377" s="116" t="e">
        <f t="shared" si="770"/>
        <v>#VALUE!</v>
      </c>
      <c r="J1377" s="116" t="e">
        <f t="shared" si="770"/>
        <v>#VALUE!</v>
      </c>
      <c r="K1377" s="116" t="e">
        <f t="shared" si="770"/>
        <v>#VALUE!</v>
      </c>
      <c r="L1377" s="116" t="e">
        <f t="shared" si="770"/>
        <v>#VALUE!</v>
      </c>
      <c r="N1377" s="108">
        <v>0.75</v>
      </c>
      <c r="O1377" s="116" t="e">
        <f>$H1377*$N1377*$M1377</f>
        <v>#VALUE!</v>
      </c>
      <c r="P1377" s="116" t="e">
        <f>$H1377*(1-$N1377)*$M1377</f>
        <v>#VALUE!</v>
      </c>
      <c r="Q1377" s="116" t="e">
        <f>$H1377*$N1377*(1-$M1377)</f>
        <v>#VALUE!</v>
      </c>
      <c r="R1377" s="116" t="e">
        <f>$H1377*(1-$N1377)*(1-$M1377)</f>
        <v>#VALUE!</v>
      </c>
      <c r="T1377" s="116">
        <v>0</v>
      </c>
      <c r="U1377" s="116">
        <v>0</v>
      </c>
      <c r="V1377" s="116">
        <v>0</v>
      </c>
      <c r="W1377" s="116">
        <v>0</v>
      </c>
      <c r="X1377" s="3"/>
      <c r="AD1377" s="117" t="e">
        <f>ROUND(SUM(-G1377,H1377:L1377),0)</f>
        <v>#VALUE!</v>
      </c>
      <c r="AE1377" s="117" t="e">
        <f>ROUND(H1377-O1377-P1377-Q1377-R1377,0)</f>
        <v>#VALUE!</v>
      </c>
      <c r="AF1377" s="117" t="e">
        <f>ROUND(I1377-T1377-U1377-V1377-W1377,0)</f>
        <v>#VALUE!</v>
      </c>
      <c r="AG1377" s="117" t="e">
        <f>ROUND(J1377-Y1377-Z1377-AA1377-AC1377-AB1377,0)</f>
        <v>#VALUE!</v>
      </c>
      <c r="AH1377" s="116"/>
      <c r="AI1377" t="str">
        <f t="shared" si="752"/>
        <v>OP</v>
      </c>
      <c r="AJ1377" t="str">
        <f t="shared" si="768"/>
        <v>S</v>
      </c>
      <c r="AK1377" t="str">
        <f>IF(ISERROR(MATCH(AI1377&amp;"."&amp;AJ1377,AK$91:AK1376,0)),AI1377&amp;"."&amp;AJ1377,AI1377&amp;"."&amp;AJ1377&amp;COUNTIFS(AI$91:AI1376,AI1377,AJ$91:AJ1376,AJ1377))</f>
        <v>OP.S</v>
      </c>
    </row>
    <row r="1378" spans="1:37" ht="15" hidden="1">
      <c r="A1378" s="120">
        <f>ROW()</f>
        <v>1378</v>
      </c>
      <c r="B1378" s="120"/>
      <c r="E1378" s="121" t="s">
        <v>15</v>
      </c>
      <c r="F1378" s="138" t="str">
        <f>INDEX(FuncAllocOptions,ROW(A1378)-ROW($A$92)+1,[4]Inputs!$S$11)</f>
        <v>P</v>
      </c>
      <c r="G1378" s="133" t="e">
        <f>SUMIF(FERCJAMFactor,AK1378,JAMValue)</f>
        <v>#VALUE!</v>
      </c>
      <c r="H1378" s="139" t="e">
        <f t="shared" si="770"/>
        <v>#VALUE!</v>
      </c>
      <c r="I1378" s="139" t="e">
        <f t="shared" si="770"/>
        <v>#VALUE!</v>
      </c>
      <c r="J1378" s="139" t="e">
        <f t="shared" si="770"/>
        <v>#VALUE!</v>
      </c>
      <c r="K1378" s="139" t="e">
        <f t="shared" si="770"/>
        <v>#VALUE!</v>
      </c>
      <c r="L1378" s="139" t="e">
        <f t="shared" si="770"/>
        <v>#VALUE!</v>
      </c>
      <c r="N1378" s="108">
        <v>0.75</v>
      </c>
      <c r="O1378" s="116" t="e">
        <f>$H1378*$N1378*$M1378</f>
        <v>#VALUE!</v>
      </c>
      <c r="P1378" s="116" t="e">
        <f>$H1378*(1-$N1378)*$M1378</f>
        <v>#VALUE!</v>
      </c>
      <c r="Q1378" s="116" t="e">
        <f>$H1378*$N1378*(1-$M1378)</f>
        <v>#VALUE!</v>
      </c>
      <c r="R1378" s="116" t="e">
        <f>$H1378*(1-$N1378)*(1-$M1378)</f>
        <v>#VALUE!</v>
      </c>
      <c r="T1378" s="116">
        <v>0</v>
      </c>
      <c r="U1378" s="116">
        <v>0</v>
      </c>
      <c r="V1378" s="116">
        <v>0</v>
      </c>
      <c r="W1378" s="116">
        <v>0</v>
      </c>
      <c r="X1378" s="3"/>
      <c r="AD1378" s="117" t="e">
        <f>ROUND(SUM(-G1378,H1378:L1378),0)</f>
        <v>#VALUE!</v>
      </c>
      <c r="AE1378" s="117" t="e">
        <f>ROUND(H1378-O1378-P1378-Q1378-R1378,0)</f>
        <v>#VALUE!</v>
      </c>
      <c r="AF1378" s="117" t="e">
        <f>ROUND(I1378-T1378-U1378-V1378-W1378,0)</f>
        <v>#VALUE!</v>
      </c>
      <c r="AG1378" s="117" t="e">
        <f>ROUND(J1378-Y1378-Z1378-AA1378-AC1378-AB1378,0)</f>
        <v>#VALUE!</v>
      </c>
      <c r="AH1378" s="116"/>
      <c r="AI1378" t="str">
        <f t="shared" si="752"/>
        <v>OP</v>
      </c>
      <c r="AJ1378" t="str">
        <f t="shared" si="768"/>
        <v>SG</v>
      </c>
      <c r="AK1378" t="str">
        <f>IF(ISERROR(MATCH(AI1378&amp;"."&amp;AJ1378,AK$91:AK1377,0)),AI1378&amp;"."&amp;AJ1378,AI1378&amp;"."&amp;AJ1378&amp;COUNTIFS(AI$91:AI1377,AI1378,AJ$91:AJ1377,AJ1378))</f>
        <v>OP.SG</v>
      </c>
    </row>
    <row r="1379" spans="1:37" ht="15" hidden="1">
      <c r="A1379" s="120">
        <f>ROW()</f>
        <v>1379</v>
      </c>
      <c r="B1379" s="120"/>
      <c r="E1379" s="121"/>
      <c r="F1379" s="138"/>
      <c r="G1379" s="117" t="e">
        <f t="shared" ref="G1379:L1379" si="771">SUM(G1377:G1378)</f>
        <v>#VALUE!</v>
      </c>
      <c r="H1379" s="116" t="e">
        <f t="shared" si="771"/>
        <v>#VALUE!</v>
      </c>
      <c r="I1379" s="116" t="e">
        <f t="shared" si="771"/>
        <v>#VALUE!</v>
      </c>
      <c r="J1379" s="116" t="e">
        <f t="shared" si="771"/>
        <v>#VALUE!</v>
      </c>
      <c r="K1379" s="116" t="e">
        <f t="shared" si="771"/>
        <v>#VALUE!</v>
      </c>
      <c r="L1379" s="116" t="e">
        <f t="shared" si="771"/>
        <v>#VALUE!</v>
      </c>
      <c r="O1379" s="116" t="e">
        <f>SUM(O1377:O1378)</f>
        <v>#VALUE!</v>
      </c>
      <c r="P1379" s="116" t="e">
        <f>SUM(P1377:P1378)</f>
        <v>#VALUE!</v>
      </c>
      <c r="Q1379" s="116" t="e">
        <f>SUM(Q1377:Q1378)</f>
        <v>#VALUE!</v>
      </c>
      <c r="R1379" s="116" t="e">
        <f>SUM(R1377:R1378)</f>
        <v>#VALUE!</v>
      </c>
      <c r="T1379" s="116">
        <f>SUM(T1377:T1378)</f>
        <v>0</v>
      </c>
      <c r="U1379" s="116">
        <f>SUM(U1377:U1378)</f>
        <v>0</v>
      </c>
      <c r="V1379" s="116">
        <f>SUM(V1377:V1378)</f>
        <v>0</v>
      </c>
      <c r="W1379" s="116">
        <f>SUM(W1377:W1378)</f>
        <v>0</v>
      </c>
      <c r="X1379" s="3"/>
      <c r="Y1379" s="116">
        <f>SUM(Y1377:Y1378)</f>
        <v>0</v>
      </c>
      <c r="Z1379" s="116">
        <f>SUM(Z1377:Z1378)</f>
        <v>0</v>
      </c>
      <c r="AA1379" s="116">
        <f>SUM(AA1377:AA1378)</f>
        <v>0</v>
      </c>
      <c r="AB1379" s="116">
        <f>SUM(AB1377:AB1378)</f>
        <v>0</v>
      </c>
      <c r="AC1379" s="116">
        <f>SUM(AC1377:AC1378)</f>
        <v>0</v>
      </c>
      <c r="AD1379" s="117" t="e">
        <f>ROUND(SUM(-G1379,H1379:L1379),0)</f>
        <v>#VALUE!</v>
      </c>
      <c r="AE1379" s="117" t="e">
        <f>ROUND(H1379-O1379-P1379-Q1379-R1379,0)</f>
        <v>#VALUE!</v>
      </c>
      <c r="AF1379" s="117" t="e">
        <f>ROUND(I1379-T1379-U1379-V1379-W1379,0)</f>
        <v>#VALUE!</v>
      </c>
      <c r="AG1379" s="117" t="e">
        <f>ROUND(J1379-Y1379-Z1379-AA1379-AC1379-AB1379,0)</f>
        <v>#VALUE!</v>
      </c>
      <c r="AH1379" s="116"/>
      <c r="AI1379" t="str">
        <f t="shared" si="752"/>
        <v>OP</v>
      </c>
      <c r="AJ1379" t="str">
        <f t="shared" si="768"/>
        <v>NA</v>
      </c>
      <c r="AK1379" t="str">
        <f>IF(ISERROR(MATCH(AI1379&amp;"."&amp;AJ1379,AK$91:AK1378,0)),AI1379&amp;"."&amp;AJ1379,AI1379&amp;"."&amp;AJ1379&amp;COUNTIFS(AI$91:AI1378,AI1379,AJ$91:AJ1378,AJ1379))</f>
        <v>OP.NA1</v>
      </c>
    </row>
    <row r="1380" spans="1:37" ht="15" hidden="1">
      <c r="A1380" s="120">
        <f>ROW()</f>
        <v>1380</v>
      </c>
      <c r="B1380" s="120"/>
      <c r="E1380" s="121"/>
      <c r="F1380" s="138"/>
      <c r="G1380" s="119"/>
      <c r="X1380" s="3"/>
      <c r="AD1380" s="119"/>
      <c r="AE1380" s="119"/>
      <c r="AF1380" s="119"/>
      <c r="AG1380" s="119"/>
      <c r="AI1380" t="str">
        <f t="shared" si="752"/>
        <v>OP</v>
      </c>
      <c r="AJ1380" t="str">
        <f t="shared" si="768"/>
        <v>NA</v>
      </c>
      <c r="AK1380" t="str">
        <f>IF(ISERROR(MATCH(AI1380&amp;"."&amp;AJ1380,AK$91:AK1379,0)),AI1380&amp;"."&amp;AJ1380,AI1380&amp;"."&amp;AJ1380&amp;COUNTIFS(AI$91:AI1379,AI1380,AJ$91:AJ1379,AJ1380))</f>
        <v>OP.NA2</v>
      </c>
    </row>
    <row r="1381" spans="1:37" ht="15.75" hidden="1" thickBot="1">
      <c r="A1381" s="120">
        <f>ROW()</f>
        <v>1381</v>
      </c>
      <c r="B1381" s="120"/>
      <c r="C1381" s="110" t="s">
        <v>532</v>
      </c>
      <c r="E1381" s="121"/>
      <c r="F1381" s="138"/>
      <c r="G1381" s="155" t="e">
        <f t="shared" ref="G1381:L1381" si="772">G1334+G1341+G1347+G1354+G1361+G1368+G1374+G1379</f>
        <v>#VALUE!</v>
      </c>
      <c r="H1381" s="154" t="e">
        <f t="shared" si="772"/>
        <v>#VALUE!</v>
      </c>
      <c r="I1381" s="154" t="e">
        <f t="shared" si="772"/>
        <v>#VALUE!</v>
      </c>
      <c r="J1381" s="154" t="e">
        <f t="shared" si="772"/>
        <v>#VALUE!</v>
      </c>
      <c r="K1381" s="154" t="e">
        <f t="shared" si="772"/>
        <v>#VALUE!</v>
      </c>
      <c r="L1381" s="154" t="e">
        <f t="shared" si="772"/>
        <v>#VALUE!</v>
      </c>
      <c r="O1381" s="116" t="e">
        <f>O1334+O1341+O1347+O1354+O1361+O1368+O1374+O1379</f>
        <v>#VALUE!</v>
      </c>
      <c r="P1381" s="116" t="e">
        <f>P1334+P1341+P1347+P1354+P1361+P1368+P1374+P1379</f>
        <v>#VALUE!</v>
      </c>
      <c r="Q1381" s="116" t="e">
        <f>Q1334+Q1341+Q1347+Q1354+Q1361+Q1368+Q1374+Q1379</f>
        <v>#VALUE!</v>
      </c>
      <c r="R1381" s="116" t="e">
        <f>R1334+R1341+R1347+R1354+R1361+R1368+R1374+R1379</f>
        <v>#VALUE!</v>
      </c>
      <c r="S1381" s="116"/>
      <c r="T1381" s="116">
        <f>T1334+T1341+T1347+T1354+T1361+T1368+T1374+T1379</f>
        <v>0</v>
      </c>
      <c r="U1381" s="116">
        <f>U1334+U1341+U1347+U1354+U1361+U1368+U1374+U1379</f>
        <v>0</v>
      </c>
      <c r="V1381" s="116">
        <f>V1334+V1341+V1347+V1354+V1361+V1368+V1374+V1379</f>
        <v>0</v>
      </c>
      <c r="W1381" s="116">
        <f>W1334+W1341+W1347+W1354+W1361+W1368+W1374+W1379</f>
        <v>0</v>
      </c>
      <c r="X1381" s="3"/>
      <c r="Y1381" s="116">
        <f>Y1334+Y1341+Y1347+Y1354+Y1361+Y1368+Y1374+Y1379</f>
        <v>0</v>
      </c>
      <c r="Z1381" s="116">
        <f>Z1334+Z1341+Z1347+Z1354+Z1361+Z1368+Z1374+Z1379</f>
        <v>0</v>
      </c>
      <c r="AA1381" s="116">
        <f>AA1334+AA1341+AA1347+AA1354+AA1361+AA1368+AA1374+AA1379</f>
        <v>0</v>
      </c>
      <c r="AB1381" s="116">
        <f>AB1334+AB1341+AB1347+AB1354+AB1361+AB1368+AB1374+AB1379</f>
        <v>0</v>
      </c>
      <c r="AC1381" s="116">
        <f>AC1334+AC1341+AC1347+AC1354+AC1361+AC1368+AC1374+AC1379</f>
        <v>0</v>
      </c>
      <c r="AD1381" s="117" t="e">
        <f>ROUND(SUM(-G1381,H1381:L1381),0)</f>
        <v>#VALUE!</v>
      </c>
      <c r="AE1381" s="117" t="e">
        <f>ROUND(H1381-O1381-P1381-Q1381-R1381,0)</f>
        <v>#VALUE!</v>
      </c>
      <c r="AF1381" s="117" t="e">
        <f>ROUND(I1381-T1381-U1381-V1381-W1381,0)</f>
        <v>#VALUE!</v>
      </c>
      <c r="AG1381" s="117" t="e">
        <f>ROUND(J1381-Y1381-Z1381-AA1381-AC1381-AB1381,0)</f>
        <v>#VALUE!</v>
      </c>
      <c r="AH1381" s="116"/>
      <c r="AI1381" t="str">
        <f t="shared" si="752"/>
        <v>Total Other Production Plant</v>
      </c>
      <c r="AJ1381" t="str">
        <f t="shared" si="768"/>
        <v>NA</v>
      </c>
      <c r="AK1381" t="str">
        <f>IF(ISERROR(MATCH(AI1381&amp;"."&amp;AJ1381,AK$91:AK1380,0)),AI1381&amp;"."&amp;AJ1381,AI1381&amp;"."&amp;AJ1381&amp;COUNTIFS(AI$91:AI1380,AI1381,AJ$91:AJ1380,AJ1381))</f>
        <v>Total Other Production Plant.NA</v>
      </c>
    </row>
    <row r="1382" spans="1:37" ht="15" hidden="1">
      <c r="A1382" s="120">
        <f>ROW()</f>
        <v>1382</v>
      </c>
      <c r="B1382" s="120"/>
      <c r="E1382" s="121"/>
      <c r="F1382" s="138"/>
      <c r="G1382" s="119"/>
      <c r="X1382" s="3"/>
      <c r="AD1382" s="119"/>
      <c r="AE1382" s="119"/>
      <c r="AF1382" s="119"/>
      <c r="AG1382" s="119"/>
      <c r="AI1382" t="str">
        <f t="shared" si="752"/>
        <v>Total Other Production Plant</v>
      </c>
      <c r="AJ1382" t="str">
        <f t="shared" si="768"/>
        <v>NA</v>
      </c>
      <c r="AK1382" t="str">
        <f>IF(ISERROR(MATCH(AI1382&amp;"."&amp;AJ1382,AK$91:AK1381,0)),AI1382&amp;"."&amp;AJ1382,AI1382&amp;"."&amp;AJ1382&amp;COUNTIFS(AI$91:AI1381,AI1382,AJ$91:AJ1381,AJ1382))</f>
        <v>Total Other Production Plant.NA1</v>
      </c>
    </row>
    <row r="1383" spans="1:37" ht="15" hidden="1">
      <c r="A1383" s="120">
        <f>ROW()</f>
        <v>1383</v>
      </c>
      <c r="B1383" s="120"/>
      <c r="C1383" s="110" t="s">
        <v>535</v>
      </c>
      <c r="E1383" s="121"/>
      <c r="F1383" s="138"/>
      <c r="G1383" s="119"/>
      <c r="X1383" s="3"/>
      <c r="AD1383" s="119"/>
      <c r="AE1383" s="119"/>
      <c r="AF1383" s="119"/>
      <c r="AG1383" s="119"/>
      <c r="AI1383" t="str">
        <f t="shared" si="752"/>
        <v>Experimental Plant</v>
      </c>
      <c r="AJ1383" t="str">
        <f t="shared" si="768"/>
        <v>NA</v>
      </c>
      <c r="AK1383" t="str">
        <f>IF(ISERROR(MATCH(AI1383&amp;"."&amp;AJ1383,AK$91:AK1382,0)),AI1383&amp;"."&amp;AJ1383,AI1383&amp;"."&amp;AJ1383&amp;COUNTIFS(AI$91:AI1382,AI1383,AJ$91:AJ1382,AJ1383))</f>
        <v>Experimental Plant.NA</v>
      </c>
    </row>
    <row r="1384" spans="1:37" ht="15" hidden="1">
      <c r="A1384" s="120">
        <f>ROW()</f>
        <v>1384</v>
      </c>
      <c r="B1384" s="120"/>
      <c r="C1384" s="1">
        <v>103</v>
      </c>
      <c r="D1384" s="2" t="s">
        <v>535</v>
      </c>
      <c r="E1384" s="121"/>
      <c r="F1384" s="138"/>
      <c r="G1384" s="119"/>
      <c r="X1384" s="3"/>
      <c r="AD1384" s="119"/>
      <c r="AE1384" s="119"/>
      <c r="AF1384" s="119"/>
      <c r="AG1384" s="119"/>
      <c r="AI1384">
        <f t="shared" si="752"/>
        <v>103</v>
      </c>
      <c r="AJ1384" t="str">
        <f t="shared" si="768"/>
        <v>NA</v>
      </c>
      <c r="AK1384" t="str">
        <f>IF(ISERROR(MATCH(AI1384&amp;"."&amp;AJ1384,AK$91:AK1383,0)),AI1384&amp;"."&amp;AJ1384,AI1384&amp;"."&amp;AJ1384&amp;COUNTIFS(AI$91:AI1383,AI1384,AJ$91:AJ1383,AJ1384))</f>
        <v>103.NA</v>
      </c>
    </row>
    <row r="1385" spans="1:37" ht="15" hidden="1">
      <c r="A1385" s="120">
        <f>ROW()</f>
        <v>1385</v>
      </c>
      <c r="B1385" s="120"/>
      <c r="E1385" s="121" t="s">
        <v>15</v>
      </c>
      <c r="F1385" s="138" t="str">
        <f>INDEX(FuncAllocOptions,ROW(A1385)-ROW($A$92)+1,[4]Inputs!$S$11)</f>
        <v>P</v>
      </c>
      <c r="G1385" s="133" t="e">
        <f>SUMIF(FERCJAMFactor,AK1385,JAMValue)</f>
        <v>#VALUE!</v>
      </c>
      <c r="H1385" s="139" t="e">
        <f>INDEX(FuncFactorTbl,MATCH($F1385,FuncFactors,0),MATCH(H$8,Functions,0))*$G1385</f>
        <v>#VALUE!</v>
      </c>
      <c r="I1385" s="139" t="e">
        <f>INDEX(FuncFactorTbl,MATCH($F1385,FuncFactors,0),MATCH(I$8,Functions,0))*$G1385</f>
        <v>#VALUE!</v>
      </c>
      <c r="J1385" s="139" t="e">
        <f>INDEX(FuncFactorTbl,MATCH($F1385,FuncFactors,0),MATCH(J$8,Functions,0))*$G1385</f>
        <v>#VALUE!</v>
      </c>
      <c r="K1385" s="139" t="e">
        <f>INDEX(FuncFactorTbl,MATCH($F1385,FuncFactors,0),MATCH(K$8,Functions,0))*$G1385</f>
        <v>#VALUE!</v>
      </c>
      <c r="L1385" s="139" t="e">
        <f>INDEX(FuncFactorTbl,MATCH($F1385,FuncFactors,0),MATCH(L$8,Functions,0))*$G1385</f>
        <v>#VALUE!</v>
      </c>
      <c r="N1385" s="108">
        <v>0.75</v>
      </c>
      <c r="O1385" s="116">
        <f>SUM(O1383:O1384)</f>
        <v>0</v>
      </c>
      <c r="P1385" s="116">
        <f>SUM(P1383:P1384)</f>
        <v>0</v>
      </c>
      <c r="Q1385" s="116">
        <f>SUM(Q1383:Q1384)</f>
        <v>0</v>
      </c>
      <c r="R1385" s="116">
        <f>SUM(R1383:R1384)</f>
        <v>0</v>
      </c>
      <c r="T1385" s="116">
        <v>0</v>
      </c>
      <c r="U1385" s="116">
        <v>0</v>
      </c>
      <c r="V1385" s="116">
        <v>0</v>
      </c>
      <c r="W1385" s="116">
        <v>0</v>
      </c>
      <c r="X1385" s="3"/>
      <c r="AD1385" s="117" t="e">
        <f>ROUND(SUM(-G1385,H1385:L1385),0)</f>
        <v>#VALUE!</v>
      </c>
      <c r="AE1385" s="117" t="e">
        <f>ROUND(H1385-O1385-P1385-Q1385-R1385,0)</f>
        <v>#VALUE!</v>
      </c>
      <c r="AF1385" s="117" t="e">
        <f>ROUND(I1385-T1385-U1385-V1385-W1385,0)</f>
        <v>#VALUE!</v>
      </c>
      <c r="AG1385" s="117" t="e">
        <f>ROUND(J1385-Y1385-Z1385-AA1385-AC1385-AB1385,0)</f>
        <v>#VALUE!</v>
      </c>
      <c r="AH1385" s="116"/>
      <c r="AI1385">
        <f t="shared" si="752"/>
        <v>103</v>
      </c>
      <c r="AJ1385" t="str">
        <f t="shared" si="768"/>
        <v>SG</v>
      </c>
      <c r="AK1385" t="str">
        <f>IF(ISERROR(MATCH(AI1385&amp;"."&amp;AJ1385,AK$91:AK1384,0)),AI1385&amp;"."&amp;AJ1385,AI1385&amp;"."&amp;AJ1385&amp;COUNTIFS(AI$91:AI1384,AI1385,AJ$91:AJ1384,AJ1385))</f>
        <v>103.SG</v>
      </c>
    </row>
    <row r="1386" spans="1:37" ht="15" hidden="1">
      <c r="A1386" s="120">
        <f>ROW()</f>
        <v>1386</v>
      </c>
      <c r="B1386" s="120"/>
      <c r="C1386" s="110" t="s">
        <v>740</v>
      </c>
      <c r="E1386" s="121"/>
      <c r="F1386" s="138"/>
      <c r="G1386" s="117" t="e">
        <f t="shared" ref="G1386:L1386" si="773">SUM(G1385)</f>
        <v>#VALUE!</v>
      </c>
      <c r="H1386" s="116" t="e">
        <f t="shared" si="773"/>
        <v>#VALUE!</v>
      </c>
      <c r="I1386" s="116" t="e">
        <f t="shared" si="773"/>
        <v>#VALUE!</v>
      </c>
      <c r="J1386" s="116" t="e">
        <f t="shared" si="773"/>
        <v>#VALUE!</v>
      </c>
      <c r="K1386" s="116" t="e">
        <f t="shared" si="773"/>
        <v>#VALUE!</v>
      </c>
      <c r="L1386" s="116" t="e">
        <f t="shared" si="773"/>
        <v>#VALUE!</v>
      </c>
      <c r="O1386" s="116">
        <f>SUM(O1385)</f>
        <v>0</v>
      </c>
      <c r="P1386" s="116">
        <f>SUM(P1385)</f>
        <v>0</v>
      </c>
      <c r="Q1386" s="116">
        <f>SUM(Q1385)</f>
        <v>0</v>
      </c>
      <c r="R1386" s="116">
        <f>SUM(R1385)</f>
        <v>0</v>
      </c>
      <c r="T1386" s="116">
        <f>SUM(T1385)</f>
        <v>0</v>
      </c>
      <c r="U1386" s="116">
        <f>SUM(U1385)</f>
        <v>0</v>
      </c>
      <c r="V1386" s="116">
        <f>SUM(V1385)</f>
        <v>0</v>
      </c>
      <c r="W1386" s="116">
        <f>SUM(W1385)</f>
        <v>0</v>
      </c>
      <c r="X1386" s="3"/>
      <c r="Y1386" s="116">
        <f>SUM(Y1385)</f>
        <v>0</v>
      </c>
      <c r="Z1386" s="116">
        <f>SUM(Z1385)</f>
        <v>0</v>
      </c>
      <c r="AA1386" s="116">
        <f>SUM(AA1385)</f>
        <v>0</v>
      </c>
      <c r="AB1386" s="116">
        <f>SUM(AB1385)</f>
        <v>0</v>
      </c>
      <c r="AC1386" s="116">
        <f>SUM(AC1385)</f>
        <v>0</v>
      </c>
      <c r="AD1386" s="117" t="e">
        <f>ROUND(SUM(-G1386,H1386:L1386),0)</f>
        <v>#VALUE!</v>
      </c>
      <c r="AE1386" s="117" t="e">
        <f>ROUND(H1386-O1386-P1386-Q1386-R1386,0)</f>
        <v>#VALUE!</v>
      </c>
      <c r="AF1386" s="117" t="e">
        <f>ROUND(I1386-T1386-U1386-V1386-W1386,0)</f>
        <v>#VALUE!</v>
      </c>
      <c r="AG1386" s="117" t="e">
        <f>ROUND(J1386-Y1386-Z1386-AA1386-AC1386-AB1386,0)</f>
        <v>#VALUE!</v>
      </c>
      <c r="AH1386" s="116"/>
      <c r="AI1386" t="str">
        <f t="shared" si="752"/>
        <v>Total Experimental Plant</v>
      </c>
      <c r="AJ1386" t="str">
        <f t="shared" si="768"/>
        <v>NA</v>
      </c>
      <c r="AK1386" t="str">
        <f>IF(ISERROR(MATCH(AI1386&amp;"."&amp;AJ1386,AK$91:AK1385,0)),AI1386&amp;"."&amp;AJ1386,AI1386&amp;"."&amp;AJ1386&amp;COUNTIFS(AI$91:AI1385,AI1386,AJ$91:AJ1385,AJ1386))</f>
        <v>Total Experimental Plant.NA</v>
      </c>
    </row>
    <row r="1387" spans="1:37" ht="15" hidden="1">
      <c r="A1387" s="120">
        <f>ROW()</f>
        <v>1387</v>
      </c>
      <c r="B1387" s="120"/>
      <c r="E1387" s="121"/>
      <c r="F1387" s="138"/>
      <c r="G1387" s="119"/>
      <c r="X1387" s="3"/>
      <c r="AD1387" s="119"/>
      <c r="AE1387" s="119"/>
      <c r="AF1387" s="119"/>
      <c r="AG1387" s="119"/>
      <c r="AI1387" t="str">
        <f t="shared" si="752"/>
        <v>Total Experimental Plant</v>
      </c>
      <c r="AJ1387" t="str">
        <f t="shared" si="768"/>
        <v>NA</v>
      </c>
      <c r="AK1387" t="str">
        <f>IF(ISERROR(MATCH(AI1387&amp;"."&amp;AJ1387,AK$91:AK1386,0)),AI1387&amp;"."&amp;AJ1387,AI1387&amp;"."&amp;AJ1387&amp;COUNTIFS(AI$91:AI1386,AI1387,AJ$91:AJ1386,AJ1387))</f>
        <v>Total Experimental Plant.NA1</v>
      </c>
    </row>
    <row r="1388" spans="1:37" ht="15.75" hidden="1" thickBot="1">
      <c r="A1388" s="120">
        <f>ROW()</f>
        <v>1388</v>
      </c>
      <c r="B1388" s="120"/>
      <c r="C1388" s="110" t="s">
        <v>739</v>
      </c>
      <c r="E1388" s="121"/>
      <c r="F1388" s="121"/>
      <c r="G1388" s="155" t="e">
        <f t="shared" ref="G1388:L1388" si="774">G1238+G1270+G1328+G1381+G1386</f>
        <v>#VALUE!</v>
      </c>
      <c r="H1388" s="154" t="e">
        <f t="shared" si="774"/>
        <v>#VALUE!</v>
      </c>
      <c r="I1388" s="154" t="e">
        <f t="shared" si="774"/>
        <v>#VALUE!</v>
      </c>
      <c r="J1388" s="154" t="e">
        <f t="shared" si="774"/>
        <v>#VALUE!</v>
      </c>
      <c r="K1388" s="154" t="e">
        <f t="shared" si="774"/>
        <v>#VALUE!</v>
      </c>
      <c r="L1388" s="154" t="e">
        <f t="shared" si="774"/>
        <v>#VALUE!</v>
      </c>
      <c r="O1388" s="116" t="e">
        <f>O1238+O1270+O1328+O1381+O1386</f>
        <v>#VALUE!</v>
      </c>
      <c r="P1388" s="116" t="e">
        <f>P1238+P1270+P1328+P1381+P1386</f>
        <v>#VALUE!</v>
      </c>
      <c r="Q1388" s="116" t="e">
        <f>Q1238+Q1270+Q1328+Q1381+Q1386</f>
        <v>#VALUE!</v>
      </c>
      <c r="R1388" s="116" t="e">
        <f>R1238+R1270+R1328+R1381+R1386</f>
        <v>#VALUE!</v>
      </c>
      <c r="S1388" s="116"/>
      <c r="T1388" s="116">
        <f>T1238+T1270+T1328+T1381+T1386</f>
        <v>0</v>
      </c>
      <c r="U1388" s="116">
        <f>U1238+U1270+U1328+U1381+U1386</f>
        <v>0</v>
      </c>
      <c r="V1388" s="116">
        <f>V1238+V1270+V1328+V1381+V1386</f>
        <v>0</v>
      </c>
      <c r="W1388" s="116">
        <f>W1238+W1270+W1328+W1381+W1386</f>
        <v>0</v>
      </c>
      <c r="X1388" s="3"/>
      <c r="Y1388" s="116">
        <f>Y1238+Y1270+Y1328+Y1381+Y1386</f>
        <v>0</v>
      </c>
      <c r="Z1388" s="116">
        <f>Z1238+Z1270+Z1328+Z1381+Z1386</f>
        <v>0</v>
      </c>
      <c r="AA1388" s="116">
        <f>AA1238+AA1270+AA1328+AA1381+AA1386</f>
        <v>0</v>
      </c>
      <c r="AB1388" s="116">
        <f>AB1238+AB1270+AB1328+AB1381+AB1386</f>
        <v>0</v>
      </c>
      <c r="AC1388" s="116">
        <f>AC1238+AC1270+AC1328+AC1381+AC1386</f>
        <v>0</v>
      </c>
      <c r="AD1388" s="117" t="e">
        <f>ROUND(SUM(-G1388,H1388:L1388),0)</f>
        <v>#VALUE!</v>
      </c>
      <c r="AE1388" s="117" t="e">
        <f>ROUND(H1388-O1388-P1388-Q1388-R1388,0)</f>
        <v>#VALUE!</v>
      </c>
      <c r="AF1388" s="117" t="e">
        <f>ROUND(I1388-T1388-U1388-V1388-W1388,0)</f>
        <v>#VALUE!</v>
      </c>
      <c r="AG1388" s="117" t="e">
        <f>ROUND(J1388-Y1388-Z1388-AA1388-AC1388-AB1388,0)</f>
        <v>#VALUE!</v>
      </c>
      <c r="AH1388" s="116"/>
      <c r="AI1388" t="str">
        <f t="shared" ref="AI1388:AI1451" si="775">IF(OR(C1388="",C1388=" ",C1388="  ",C1388="   "),AI1387,C1388)</f>
        <v>TOTAL PRODUCTION PLANT</v>
      </c>
      <c r="AJ1388" t="str">
        <f t="shared" si="768"/>
        <v>NA</v>
      </c>
      <c r="AK1388" t="str">
        <f>IF(ISERROR(MATCH(AI1388&amp;"."&amp;AJ1388,AK$91:AK1387,0)),AI1388&amp;"."&amp;AJ1388,AI1388&amp;"."&amp;AJ1388&amp;COUNTIFS(AI$91:AI1387,AI1388,AJ$91:AJ1387,AJ1388))</f>
        <v>TOTAL PRODUCTION PLANT.NA</v>
      </c>
    </row>
    <row r="1389" spans="1:37" ht="15" hidden="1">
      <c r="A1389" s="120">
        <f>ROW()</f>
        <v>1389</v>
      </c>
      <c r="B1389" s="120"/>
      <c r="E1389" s="121"/>
      <c r="F1389" s="138"/>
      <c r="G1389" s="119"/>
      <c r="X1389" s="3"/>
      <c r="AD1389" s="119"/>
      <c r="AE1389" s="119"/>
      <c r="AF1389" s="119"/>
      <c r="AG1389" s="119"/>
      <c r="AI1389" t="str">
        <f t="shared" si="775"/>
        <v>TOTAL PRODUCTION PLANT</v>
      </c>
      <c r="AJ1389" t="str">
        <f t="shared" si="768"/>
        <v>NA</v>
      </c>
      <c r="AK1389" t="str">
        <f>IF(ISERROR(MATCH(AI1389&amp;"."&amp;AJ1389,AK$91:AK1388,0)),AI1389&amp;"."&amp;AJ1389,AI1389&amp;"."&amp;AJ1389&amp;COUNTIFS(AI$91:AI1388,AI1389,AJ$91:AJ1388,AJ1389))</f>
        <v>TOTAL PRODUCTION PLANT.NA1</v>
      </c>
    </row>
    <row r="1390" spans="1:37" ht="15" hidden="1">
      <c r="A1390" s="120">
        <f>ROW()</f>
        <v>1390</v>
      </c>
      <c r="B1390" s="120"/>
      <c r="C1390" s="1">
        <v>350</v>
      </c>
      <c r="D1390" s="2" t="s">
        <v>500</v>
      </c>
      <c r="E1390" s="121"/>
      <c r="F1390" s="138"/>
      <c r="G1390" s="119"/>
      <c r="X1390" s="3"/>
      <c r="AD1390" s="119"/>
      <c r="AE1390" s="119"/>
      <c r="AF1390" s="119"/>
      <c r="AG1390" s="119"/>
      <c r="AI1390">
        <f t="shared" si="775"/>
        <v>350</v>
      </c>
      <c r="AJ1390" t="str">
        <f t="shared" si="768"/>
        <v>NA</v>
      </c>
      <c r="AK1390" t="str">
        <f>IF(ISERROR(MATCH(AI1390&amp;"."&amp;AJ1390,AK$91:AK1389,0)),AI1390&amp;"."&amp;AJ1390,AI1390&amp;"."&amp;AJ1390&amp;COUNTIFS(AI$91:AI1389,AI1390,AJ$91:AJ1389,AJ1390))</f>
        <v>350.NA</v>
      </c>
    </row>
    <row r="1391" spans="1:37" ht="15" hidden="1">
      <c r="A1391" s="120">
        <f>ROW()</f>
        <v>1391</v>
      </c>
      <c r="B1391" s="120"/>
      <c r="C1391" s="1"/>
      <c r="E1391" s="121" t="s">
        <v>15</v>
      </c>
      <c r="F1391" s="138" t="str">
        <f>INDEX(FuncAllocOptions,ROW(A1391)-ROW($A$92)+1,[4]Inputs!$S$11)</f>
        <v>T</v>
      </c>
      <c r="G1391" s="117" t="e">
        <f>SUMIF(FERCJAMFactor,AK1391,JAMValue)</f>
        <v>#VALUE!</v>
      </c>
      <c r="H1391" s="116" t="e">
        <f t="shared" ref="H1391:L1393" si="776">INDEX(FuncFactorTbl,MATCH($F1391,FuncFactors,0),MATCH(H$8,Functions,0))*$G1391</f>
        <v>#VALUE!</v>
      </c>
      <c r="I1391" s="116" t="e">
        <f t="shared" si="776"/>
        <v>#VALUE!</v>
      </c>
      <c r="J1391" s="116" t="e">
        <f t="shared" si="776"/>
        <v>#VALUE!</v>
      </c>
      <c r="K1391" s="116" t="e">
        <f t="shared" si="776"/>
        <v>#VALUE!</v>
      </c>
      <c r="L1391" s="116" t="e">
        <f t="shared" si="776"/>
        <v>#VALUE!</v>
      </c>
      <c r="S1391" s="108">
        <v>0.75</v>
      </c>
      <c r="T1391" s="116" t="e">
        <f>$I1391*$S1391*$M1391</f>
        <v>#VALUE!</v>
      </c>
      <c r="U1391" s="116" t="e">
        <f>$I1391*(1-$S1391)*$M1391</f>
        <v>#VALUE!</v>
      </c>
      <c r="V1391" s="116" t="e">
        <f>$I1391*$S1391*(1-$M1391)</f>
        <v>#VALUE!</v>
      </c>
      <c r="W1391" s="116" t="e">
        <f>$I1391*(1-$S1391)*(1-$M1391)</f>
        <v>#VALUE!</v>
      </c>
      <c r="X1391" s="3"/>
      <c r="AD1391" s="117" t="e">
        <f>ROUND(SUM(-G1391,H1391:L1391),0)</f>
        <v>#VALUE!</v>
      </c>
      <c r="AE1391" s="117" t="e">
        <f>ROUND(H1391-O1391-P1391-Q1391-R1391,0)</f>
        <v>#VALUE!</v>
      </c>
      <c r="AF1391" s="117" t="e">
        <f>ROUND(I1391-T1391-U1391-V1391-W1391,0)</f>
        <v>#VALUE!</v>
      </c>
      <c r="AG1391" s="117" t="e">
        <f>ROUND(J1391-Y1391-Z1391-AA1391-AC1391-AB1391,0)</f>
        <v>#VALUE!</v>
      </c>
      <c r="AH1391" s="116"/>
      <c r="AI1391">
        <f t="shared" si="775"/>
        <v>350</v>
      </c>
      <c r="AJ1391" t="str">
        <f t="shared" si="768"/>
        <v>SG</v>
      </c>
      <c r="AK1391" t="str">
        <f>IF(ISERROR(MATCH(AI1391&amp;"."&amp;AJ1391,AK$91:AK1390,0)),AI1391&amp;"."&amp;AJ1391,AI1391&amp;"."&amp;AJ1391&amp;COUNTIFS(AI$91:AI1390,AI1391,AJ$91:AJ1390,AJ1391))</f>
        <v>350.SG</v>
      </c>
    </row>
    <row r="1392" spans="1:37" ht="15" hidden="1">
      <c r="A1392" s="120">
        <f>ROW()</f>
        <v>1392</v>
      </c>
      <c r="B1392" s="120"/>
      <c r="C1392" s="1"/>
      <c r="E1392" s="121" t="s">
        <v>15</v>
      </c>
      <c r="F1392" s="138" t="str">
        <f>INDEX(FuncAllocOptions,ROW(A1392)-ROW($A$92)+1,[4]Inputs!$S$11)</f>
        <v>T</v>
      </c>
      <c r="G1392" s="117" t="e">
        <f>SUMIF(FERCJAMFactor,AK1392,JAMValue)</f>
        <v>#VALUE!</v>
      </c>
      <c r="H1392" s="116" t="e">
        <f t="shared" si="776"/>
        <v>#VALUE!</v>
      </c>
      <c r="I1392" s="116" t="e">
        <f t="shared" si="776"/>
        <v>#VALUE!</v>
      </c>
      <c r="J1392" s="116" t="e">
        <f t="shared" si="776"/>
        <v>#VALUE!</v>
      </c>
      <c r="K1392" s="116" t="e">
        <f t="shared" si="776"/>
        <v>#VALUE!</v>
      </c>
      <c r="L1392" s="116" t="e">
        <f t="shared" si="776"/>
        <v>#VALUE!</v>
      </c>
      <c r="S1392" s="108">
        <v>0.75</v>
      </c>
      <c r="T1392" s="116" t="e">
        <f>$I1392*$S1392*$M1392</f>
        <v>#VALUE!</v>
      </c>
      <c r="U1392" s="116" t="e">
        <f>$I1392*(1-$S1392)*$M1392</f>
        <v>#VALUE!</v>
      </c>
      <c r="V1392" s="116" t="e">
        <f>$I1392*$S1392*(1-$M1392)</f>
        <v>#VALUE!</v>
      </c>
      <c r="W1392" s="116" t="e">
        <f>$I1392*(1-$S1392)*(1-$M1392)</f>
        <v>#VALUE!</v>
      </c>
      <c r="X1392" s="3"/>
      <c r="AD1392" s="117" t="e">
        <f>ROUND(SUM(-G1392,H1392:L1392),0)</f>
        <v>#VALUE!</v>
      </c>
      <c r="AE1392" s="117" t="e">
        <f>ROUND(H1392-O1392-P1392-Q1392-R1392,0)</f>
        <v>#VALUE!</v>
      </c>
      <c r="AF1392" s="117" t="e">
        <f>ROUND(I1392-T1392-U1392-V1392-W1392,0)</f>
        <v>#VALUE!</v>
      </c>
      <c r="AG1392" s="117" t="e">
        <f>ROUND(J1392-Y1392-Z1392-AA1392-AC1392-AB1392,0)</f>
        <v>#VALUE!</v>
      </c>
      <c r="AH1392" s="116"/>
      <c r="AI1392">
        <f t="shared" si="775"/>
        <v>350</v>
      </c>
      <c r="AJ1392" t="str">
        <f t="shared" si="768"/>
        <v>SG</v>
      </c>
      <c r="AK1392" t="str">
        <f>IF(ISERROR(MATCH(AI1392&amp;"."&amp;AJ1392,AK$91:AK1391,0)),AI1392&amp;"."&amp;AJ1392,AI1392&amp;"."&amp;AJ1392&amp;COUNTIFS(AI$91:AI1391,AI1392,AJ$91:AJ1391,AJ1392))</f>
        <v>350.SG1</v>
      </c>
    </row>
    <row r="1393" spans="1:37" ht="15" hidden="1">
      <c r="A1393" s="120">
        <f>ROW()</f>
        <v>1393</v>
      </c>
      <c r="B1393" s="120"/>
      <c r="C1393" s="1"/>
      <c r="E1393" s="121" t="s">
        <v>15</v>
      </c>
      <c r="F1393" s="138" t="str">
        <f>INDEX(FuncAllocOptions,ROW(A1393)-ROW($A$92)+1,[4]Inputs!$S$11)</f>
        <v>T</v>
      </c>
      <c r="G1393" s="133" t="e">
        <f>SUMIF(FERCJAMFactor,AK1393,JAMValue)</f>
        <v>#VALUE!</v>
      </c>
      <c r="H1393" s="139" t="e">
        <f t="shared" si="776"/>
        <v>#VALUE!</v>
      </c>
      <c r="I1393" s="139" t="e">
        <f t="shared" si="776"/>
        <v>#VALUE!</v>
      </c>
      <c r="J1393" s="139" t="e">
        <f t="shared" si="776"/>
        <v>#VALUE!</v>
      </c>
      <c r="K1393" s="139" t="e">
        <f t="shared" si="776"/>
        <v>#VALUE!</v>
      </c>
      <c r="L1393" s="139" t="e">
        <f t="shared" si="776"/>
        <v>#VALUE!</v>
      </c>
      <c r="S1393" s="108">
        <v>0.75</v>
      </c>
      <c r="T1393" s="116" t="e">
        <f>$I1393*$S1393*$M1393</f>
        <v>#VALUE!</v>
      </c>
      <c r="U1393" s="116" t="e">
        <f>$I1393*(1-$S1393)*$M1393</f>
        <v>#VALUE!</v>
      </c>
      <c r="V1393" s="116" t="e">
        <f>$I1393*$S1393*(1-$M1393)</f>
        <v>#VALUE!</v>
      </c>
      <c r="W1393" s="116" t="e">
        <f>$I1393*(1-$S1393)*(1-$M1393)</f>
        <v>#VALUE!</v>
      </c>
      <c r="X1393" s="3"/>
      <c r="AD1393" s="117" t="e">
        <f>ROUND(SUM(-G1393,H1393:L1393),0)</f>
        <v>#VALUE!</v>
      </c>
      <c r="AE1393" s="117" t="e">
        <f>ROUND(H1393-O1393-P1393-Q1393-R1393,0)</f>
        <v>#VALUE!</v>
      </c>
      <c r="AF1393" s="117" t="e">
        <f>ROUND(I1393-T1393-U1393-V1393-W1393,0)</f>
        <v>#VALUE!</v>
      </c>
      <c r="AG1393" s="117" t="e">
        <f>ROUND(J1393-Y1393-Z1393-AA1393-AC1393-AB1393,0)</f>
        <v>#VALUE!</v>
      </c>
      <c r="AH1393" s="116"/>
      <c r="AI1393">
        <f t="shared" si="775"/>
        <v>350</v>
      </c>
      <c r="AJ1393" t="str">
        <f t="shared" si="768"/>
        <v>SG</v>
      </c>
      <c r="AK1393" t="str">
        <f>IF(ISERROR(MATCH(AI1393&amp;"."&amp;AJ1393,AK$91:AK1392,0)),AI1393&amp;"."&amp;AJ1393,AI1393&amp;"."&amp;AJ1393&amp;COUNTIFS(AI$91:AI1392,AI1393,AJ$91:AJ1392,AJ1393))</f>
        <v>350.SG2</v>
      </c>
    </row>
    <row r="1394" spans="1:37" ht="15" hidden="1">
      <c r="A1394" s="120">
        <f>ROW()</f>
        <v>1394</v>
      </c>
      <c r="B1394" s="120"/>
      <c r="C1394" s="1"/>
      <c r="E1394" s="121"/>
      <c r="F1394" s="138"/>
      <c r="G1394" s="117" t="e">
        <f t="shared" ref="G1394:L1394" si="777">SUM(G1391:G1393)</f>
        <v>#VALUE!</v>
      </c>
      <c r="H1394" s="116" t="e">
        <f t="shared" si="777"/>
        <v>#VALUE!</v>
      </c>
      <c r="I1394" s="116" t="e">
        <f t="shared" si="777"/>
        <v>#VALUE!</v>
      </c>
      <c r="J1394" s="116" t="e">
        <f t="shared" si="777"/>
        <v>#VALUE!</v>
      </c>
      <c r="K1394" s="116" t="e">
        <f t="shared" si="777"/>
        <v>#VALUE!</v>
      </c>
      <c r="L1394" s="116" t="e">
        <f t="shared" si="777"/>
        <v>#VALUE!</v>
      </c>
      <c r="O1394" s="116">
        <f>SUM(O1391:O1393)</f>
        <v>0</v>
      </c>
      <c r="P1394" s="116">
        <f>SUM(P1391:P1393)</f>
        <v>0</v>
      </c>
      <c r="Q1394" s="116">
        <f>SUM(Q1391:Q1393)</f>
        <v>0</v>
      </c>
      <c r="R1394" s="116">
        <f>SUM(R1391:R1393)</f>
        <v>0</v>
      </c>
      <c r="T1394" s="116" t="e">
        <f>SUM(T1391:T1393)</f>
        <v>#VALUE!</v>
      </c>
      <c r="U1394" s="116" t="e">
        <f>SUM(U1391:U1393)</f>
        <v>#VALUE!</v>
      </c>
      <c r="V1394" s="116" t="e">
        <f>SUM(V1391:V1393)</f>
        <v>#VALUE!</v>
      </c>
      <c r="W1394" s="116" t="e">
        <f>SUM(W1391:W1393)</f>
        <v>#VALUE!</v>
      </c>
      <c r="X1394" s="3"/>
      <c r="Y1394" s="116">
        <f>SUM(Y1391:Y1393)</f>
        <v>0</v>
      </c>
      <c r="Z1394" s="116">
        <f>SUM(Z1391:Z1393)</f>
        <v>0</v>
      </c>
      <c r="AA1394" s="116">
        <f>SUM(AA1391:AA1393)</f>
        <v>0</v>
      </c>
      <c r="AB1394" s="116">
        <f>SUM(AB1391:AB1393)</f>
        <v>0</v>
      </c>
      <c r="AC1394" s="116">
        <f>SUM(AC1391:AC1393)</f>
        <v>0</v>
      </c>
      <c r="AD1394" s="117" t="e">
        <f>ROUND(SUM(-G1394,H1394:L1394),0)</f>
        <v>#VALUE!</v>
      </c>
      <c r="AE1394" s="117" t="e">
        <f>ROUND(H1394-O1394-P1394-Q1394-R1394,0)</f>
        <v>#VALUE!</v>
      </c>
      <c r="AF1394" s="117" t="e">
        <f>ROUND(I1394-T1394-U1394-V1394-W1394,0)</f>
        <v>#VALUE!</v>
      </c>
      <c r="AG1394" s="117" t="e">
        <f>ROUND(J1394-Y1394-Z1394-AA1394-AC1394-AB1394,0)</f>
        <v>#VALUE!</v>
      </c>
      <c r="AH1394" s="116"/>
      <c r="AI1394">
        <f t="shared" si="775"/>
        <v>350</v>
      </c>
      <c r="AJ1394" t="str">
        <f t="shared" si="768"/>
        <v>NA</v>
      </c>
      <c r="AK1394" t="str">
        <f>IF(ISERROR(MATCH(AI1394&amp;"."&amp;AJ1394,AK$91:AK1393,0)),AI1394&amp;"."&amp;AJ1394,AI1394&amp;"."&amp;AJ1394&amp;COUNTIFS(AI$91:AI1393,AI1394,AJ$91:AJ1393,AJ1394))</f>
        <v>350.NA1</v>
      </c>
    </row>
    <row r="1395" spans="1:37" ht="15" hidden="1">
      <c r="A1395" s="120">
        <f>ROW()</f>
        <v>1395</v>
      </c>
      <c r="B1395" s="120"/>
      <c r="C1395" s="1"/>
      <c r="E1395" s="121"/>
      <c r="F1395" s="138"/>
      <c r="G1395" s="119"/>
      <c r="X1395" s="3"/>
      <c r="AD1395" s="119"/>
      <c r="AE1395" s="119"/>
      <c r="AF1395" s="119"/>
      <c r="AG1395" s="119"/>
      <c r="AI1395">
        <f t="shared" si="775"/>
        <v>350</v>
      </c>
      <c r="AJ1395" t="str">
        <f t="shared" si="768"/>
        <v>NA</v>
      </c>
      <c r="AK1395" t="str">
        <f>IF(ISERROR(MATCH(AI1395&amp;"."&amp;AJ1395,AK$91:AK1394,0)),AI1395&amp;"."&amp;AJ1395,AI1395&amp;"."&amp;AJ1395&amp;COUNTIFS(AI$91:AI1394,AI1395,AJ$91:AJ1394,AJ1395))</f>
        <v>350.NA2</v>
      </c>
    </row>
    <row r="1396" spans="1:37" ht="15" hidden="1">
      <c r="A1396" s="120">
        <f>ROW()</f>
        <v>1396</v>
      </c>
      <c r="B1396" s="120"/>
      <c r="C1396" s="1">
        <v>352</v>
      </c>
      <c r="D1396" s="2" t="s">
        <v>502</v>
      </c>
      <c r="E1396" s="121"/>
      <c r="F1396" s="138"/>
      <c r="G1396" s="119"/>
      <c r="X1396" s="3"/>
      <c r="AD1396" s="119"/>
      <c r="AE1396" s="119"/>
      <c r="AF1396" s="119"/>
      <c r="AG1396" s="119"/>
      <c r="AI1396">
        <f t="shared" si="775"/>
        <v>352</v>
      </c>
      <c r="AJ1396" t="str">
        <f t="shared" si="768"/>
        <v>NA</v>
      </c>
      <c r="AK1396" t="str">
        <f>IF(ISERROR(MATCH(AI1396&amp;"."&amp;AJ1396,AK$91:AK1395,0)),AI1396&amp;"."&amp;AJ1396,AI1396&amp;"."&amp;AJ1396&amp;COUNTIFS(AI$91:AI1395,AI1396,AJ$91:AJ1395,AJ1396))</f>
        <v>352.NA</v>
      </c>
    </row>
    <row r="1397" spans="1:37" ht="15" hidden="1">
      <c r="A1397" s="120">
        <f>ROW()</f>
        <v>1397</v>
      </c>
      <c r="B1397" s="120"/>
      <c r="C1397" s="1"/>
      <c r="E1397" s="121" t="s">
        <v>12</v>
      </c>
      <c r="F1397" s="138" t="str">
        <f>INDEX(FuncAllocOptions,ROW(A1397)-ROW($A$92)+1,[4]Inputs!$S$11)</f>
        <v>T</v>
      </c>
      <c r="G1397" s="117" t="e">
        <f>SUMIF(FERCJAMFactor,AK1397,JAMValue)</f>
        <v>#VALUE!</v>
      </c>
      <c r="H1397" s="116" t="e">
        <f t="shared" ref="H1397:L1400" si="778">INDEX(FuncFactorTbl,MATCH($F1397,FuncFactors,0),MATCH(H$8,Functions,0))*$G1397</f>
        <v>#VALUE!</v>
      </c>
      <c r="I1397" s="116" t="e">
        <f t="shared" si="778"/>
        <v>#VALUE!</v>
      </c>
      <c r="J1397" s="116" t="e">
        <f t="shared" si="778"/>
        <v>#VALUE!</v>
      </c>
      <c r="K1397" s="116" t="e">
        <f t="shared" si="778"/>
        <v>#VALUE!</v>
      </c>
      <c r="L1397" s="116" t="e">
        <f t="shared" si="778"/>
        <v>#VALUE!</v>
      </c>
      <c r="S1397" s="108">
        <v>0.75</v>
      </c>
      <c r="T1397" s="116" t="e">
        <f>$I1397*$S1397*$M1397</f>
        <v>#VALUE!</v>
      </c>
      <c r="U1397" s="116" t="e">
        <f>$I1397*(1-$S1397)*$M1397</f>
        <v>#VALUE!</v>
      </c>
      <c r="V1397" s="116" t="e">
        <f>$I1397*$S1397*(1-$M1397)</f>
        <v>#VALUE!</v>
      </c>
      <c r="W1397" s="116" t="e">
        <f>$I1397*(1-$S1397)*(1-$M1397)</f>
        <v>#VALUE!</v>
      </c>
      <c r="X1397" s="3"/>
      <c r="AD1397" s="117" t="e">
        <f>ROUND(SUM(-G1397,H1397:L1397),0)</f>
        <v>#VALUE!</v>
      </c>
      <c r="AE1397" s="117" t="e">
        <f>ROUND(H1397-O1397-P1397-Q1397-R1397,0)</f>
        <v>#VALUE!</v>
      </c>
      <c r="AF1397" s="117" t="e">
        <f>ROUND(I1397-T1397-U1397-V1397-W1397,0)</f>
        <v>#VALUE!</v>
      </c>
      <c r="AG1397" s="117" t="e">
        <f>ROUND(J1397-Y1397-Z1397-AA1397-AC1397-AB1397,0)</f>
        <v>#VALUE!</v>
      </c>
      <c r="AH1397" s="116"/>
      <c r="AI1397">
        <f t="shared" si="775"/>
        <v>352</v>
      </c>
      <c r="AJ1397" t="str">
        <f t="shared" si="768"/>
        <v>S</v>
      </c>
      <c r="AK1397" t="str">
        <f>IF(ISERROR(MATCH(AI1397&amp;"."&amp;AJ1397,AK$91:AK1396,0)),AI1397&amp;"."&amp;AJ1397,AI1397&amp;"."&amp;AJ1397&amp;COUNTIFS(AI$91:AI1396,AI1397,AJ$91:AJ1396,AJ1397))</f>
        <v>352.S</v>
      </c>
    </row>
    <row r="1398" spans="1:37" ht="15" hidden="1">
      <c r="A1398" s="120">
        <f>ROW()</f>
        <v>1398</v>
      </c>
      <c r="B1398" s="120"/>
      <c r="C1398" s="1"/>
      <c r="E1398" s="121" t="s">
        <v>15</v>
      </c>
      <c r="F1398" s="138" t="str">
        <f>INDEX(FuncAllocOptions,ROW(A1398)-ROW($A$92)+1,[4]Inputs!$S$11)</f>
        <v>T</v>
      </c>
      <c r="G1398" s="117" t="e">
        <f>SUMIF(FERCJAMFactor,AK1398,JAMValue)</f>
        <v>#VALUE!</v>
      </c>
      <c r="H1398" s="116" t="e">
        <f t="shared" si="778"/>
        <v>#VALUE!</v>
      </c>
      <c r="I1398" s="116" t="e">
        <f t="shared" si="778"/>
        <v>#VALUE!</v>
      </c>
      <c r="J1398" s="116" t="e">
        <f t="shared" si="778"/>
        <v>#VALUE!</v>
      </c>
      <c r="K1398" s="116" t="e">
        <f t="shared" si="778"/>
        <v>#VALUE!</v>
      </c>
      <c r="L1398" s="116" t="e">
        <f t="shared" si="778"/>
        <v>#VALUE!</v>
      </c>
      <c r="S1398" s="108">
        <v>0.75</v>
      </c>
      <c r="T1398" s="116" t="e">
        <f>$I1398*$S1398*$M1398</f>
        <v>#VALUE!</v>
      </c>
      <c r="U1398" s="116" t="e">
        <f>$I1398*(1-$S1398)*$M1398</f>
        <v>#VALUE!</v>
      </c>
      <c r="V1398" s="116" t="e">
        <f>$I1398*$S1398*(1-$M1398)</f>
        <v>#VALUE!</v>
      </c>
      <c r="W1398" s="116" t="e">
        <f>$I1398*(1-$S1398)*(1-$M1398)</f>
        <v>#VALUE!</v>
      </c>
      <c r="X1398" s="3"/>
      <c r="AD1398" s="117" t="e">
        <f>ROUND(SUM(-G1398,H1398:L1398),0)</f>
        <v>#VALUE!</v>
      </c>
      <c r="AE1398" s="117" t="e">
        <f>ROUND(H1398-O1398-P1398-Q1398-R1398,0)</f>
        <v>#VALUE!</v>
      </c>
      <c r="AF1398" s="117" t="e">
        <f>ROUND(I1398-T1398-U1398-V1398-W1398,0)</f>
        <v>#VALUE!</v>
      </c>
      <c r="AG1398" s="117" t="e">
        <f>ROUND(J1398-Y1398-Z1398-AA1398-AC1398-AB1398,0)</f>
        <v>#VALUE!</v>
      </c>
      <c r="AH1398" s="116"/>
      <c r="AI1398">
        <f t="shared" si="775"/>
        <v>352</v>
      </c>
      <c r="AJ1398" t="str">
        <f t="shared" si="768"/>
        <v>SG</v>
      </c>
      <c r="AK1398" t="str">
        <f>IF(ISERROR(MATCH(AI1398&amp;"."&amp;AJ1398,AK$91:AK1397,0)),AI1398&amp;"."&amp;AJ1398,AI1398&amp;"."&amp;AJ1398&amp;COUNTIFS(AI$91:AI1397,AI1398,AJ$91:AJ1397,AJ1398))</f>
        <v>352.SG</v>
      </c>
    </row>
    <row r="1399" spans="1:37" ht="15" hidden="1">
      <c r="A1399" s="120">
        <f>ROW()</f>
        <v>1399</v>
      </c>
      <c r="B1399" s="120"/>
      <c r="C1399" s="1"/>
      <c r="E1399" s="121" t="s">
        <v>15</v>
      </c>
      <c r="F1399" s="138" t="str">
        <f>INDEX(FuncAllocOptions,ROW(A1399)-ROW($A$92)+1,[4]Inputs!$S$11)</f>
        <v>T</v>
      </c>
      <c r="G1399" s="117" t="e">
        <f>SUMIF(FERCJAMFactor,AK1399,JAMValue)</f>
        <v>#VALUE!</v>
      </c>
      <c r="H1399" s="116" t="e">
        <f t="shared" si="778"/>
        <v>#VALUE!</v>
      </c>
      <c r="I1399" s="116" t="e">
        <f t="shared" si="778"/>
        <v>#VALUE!</v>
      </c>
      <c r="J1399" s="116" t="e">
        <f t="shared" si="778"/>
        <v>#VALUE!</v>
      </c>
      <c r="K1399" s="116" t="e">
        <f t="shared" si="778"/>
        <v>#VALUE!</v>
      </c>
      <c r="L1399" s="116" t="e">
        <f t="shared" si="778"/>
        <v>#VALUE!</v>
      </c>
      <c r="S1399" s="108">
        <v>0.75</v>
      </c>
      <c r="T1399" s="116" t="e">
        <f>$I1399*$S1399*$M1399</f>
        <v>#VALUE!</v>
      </c>
      <c r="U1399" s="116" t="e">
        <f>$I1399*(1-$S1399)*$M1399</f>
        <v>#VALUE!</v>
      </c>
      <c r="V1399" s="116" t="e">
        <f>$I1399*$S1399*(1-$M1399)</f>
        <v>#VALUE!</v>
      </c>
      <c r="W1399" s="116" t="e">
        <f>$I1399*(1-$S1399)*(1-$M1399)</f>
        <v>#VALUE!</v>
      </c>
      <c r="X1399" s="3"/>
      <c r="AD1399" s="117" t="e">
        <f>ROUND(SUM(-G1399,H1399:L1399),0)</f>
        <v>#VALUE!</v>
      </c>
      <c r="AE1399" s="117" t="e">
        <f>ROUND(H1399-O1399-P1399-Q1399-R1399,0)</f>
        <v>#VALUE!</v>
      </c>
      <c r="AF1399" s="117" t="e">
        <f>ROUND(I1399-T1399-U1399-V1399-W1399,0)</f>
        <v>#VALUE!</v>
      </c>
      <c r="AG1399" s="117" t="e">
        <f>ROUND(J1399-Y1399-Z1399-AA1399-AC1399-AB1399,0)</f>
        <v>#VALUE!</v>
      </c>
      <c r="AH1399" s="116"/>
      <c r="AI1399">
        <f t="shared" si="775"/>
        <v>352</v>
      </c>
      <c r="AJ1399" t="str">
        <f t="shared" si="768"/>
        <v>SG</v>
      </c>
      <c r="AK1399" t="str">
        <f>IF(ISERROR(MATCH(AI1399&amp;"."&amp;AJ1399,AK$91:AK1398,0)),AI1399&amp;"."&amp;AJ1399,AI1399&amp;"."&amp;AJ1399&amp;COUNTIFS(AI$91:AI1398,AI1399,AJ$91:AJ1398,AJ1399))</f>
        <v>352.SG1</v>
      </c>
    </row>
    <row r="1400" spans="1:37" ht="15" hidden="1">
      <c r="A1400" s="120">
        <f>ROW()</f>
        <v>1400</v>
      </c>
      <c r="B1400" s="120"/>
      <c r="C1400" s="1"/>
      <c r="E1400" s="121" t="s">
        <v>15</v>
      </c>
      <c r="F1400" s="138" t="str">
        <f>INDEX(FuncAllocOptions,ROW(A1400)-ROW($A$92)+1,[4]Inputs!$S$11)</f>
        <v>T</v>
      </c>
      <c r="G1400" s="133" t="e">
        <f>SUMIF(FERCJAMFactor,AK1400,JAMValue)</f>
        <v>#VALUE!</v>
      </c>
      <c r="H1400" s="139" t="e">
        <f t="shared" si="778"/>
        <v>#VALUE!</v>
      </c>
      <c r="I1400" s="139" t="e">
        <f t="shared" si="778"/>
        <v>#VALUE!</v>
      </c>
      <c r="J1400" s="139" t="e">
        <f t="shared" si="778"/>
        <v>#VALUE!</v>
      </c>
      <c r="K1400" s="139" t="e">
        <f t="shared" si="778"/>
        <v>#VALUE!</v>
      </c>
      <c r="L1400" s="139" t="e">
        <f t="shared" si="778"/>
        <v>#VALUE!</v>
      </c>
      <c r="S1400" s="108">
        <v>0.75</v>
      </c>
      <c r="T1400" s="116" t="e">
        <f>$I1400*$S1400*$M1400</f>
        <v>#VALUE!</v>
      </c>
      <c r="U1400" s="116" t="e">
        <f>$I1400*(1-$S1400)*$M1400</f>
        <v>#VALUE!</v>
      </c>
      <c r="V1400" s="116" t="e">
        <f>$I1400*$S1400*(1-$M1400)</f>
        <v>#VALUE!</v>
      </c>
      <c r="W1400" s="116" t="e">
        <f>$I1400*(1-$S1400)*(1-$M1400)</f>
        <v>#VALUE!</v>
      </c>
      <c r="X1400" s="3"/>
      <c r="AD1400" s="117" t="e">
        <f>ROUND(SUM(-G1400,H1400:L1400),0)</f>
        <v>#VALUE!</v>
      </c>
      <c r="AE1400" s="117" t="e">
        <f>ROUND(H1400-O1400-P1400-Q1400-R1400,0)</f>
        <v>#VALUE!</v>
      </c>
      <c r="AF1400" s="117" t="e">
        <f>ROUND(I1400-T1400-U1400-V1400-W1400,0)</f>
        <v>#VALUE!</v>
      </c>
      <c r="AG1400" s="117" t="e">
        <f>ROUND(J1400-Y1400-Z1400-AA1400-AC1400-AB1400,0)</f>
        <v>#VALUE!</v>
      </c>
      <c r="AH1400" s="116"/>
      <c r="AI1400">
        <f t="shared" si="775"/>
        <v>352</v>
      </c>
      <c r="AJ1400" t="str">
        <f t="shared" si="768"/>
        <v>SG</v>
      </c>
      <c r="AK1400" t="str">
        <f>IF(ISERROR(MATCH(AI1400&amp;"."&amp;AJ1400,AK$91:AK1399,0)),AI1400&amp;"."&amp;AJ1400,AI1400&amp;"."&amp;AJ1400&amp;COUNTIFS(AI$91:AI1399,AI1400,AJ$91:AJ1399,AJ1400))</f>
        <v>352.SG2</v>
      </c>
    </row>
    <row r="1401" spans="1:37" ht="15" hidden="1">
      <c r="A1401" s="120">
        <f>ROW()</f>
        <v>1401</v>
      </c>
      <c r="B1401" s="120"/>
      <c r="C1401" s="1"/>
      <c r="E1401" s="121"/>
      <c r="F1401" s="138"/>
      <c r="G1401" s="117" t="e">
        <f t="shared" ref="G1401:L1401" si="779">SUM(G1397:G1400)</f>
        <v>#VALUE!</v>
      </c>
      <c r="H1401" s="116" t="e">
        <f t="shared" si="779"/>
        <v>#VALUE!</v>
      </c>
      <c r="I1401" s="116" t="e">
        <f t="shared" si="779"/>
        <v>#VALUE!</v>
      </c>
      <c r="J1401" s="116" t="e">
        <f t="shared" si="779"/>
        <v>#VALUE!</v>
      </c>
      <c r="K1401" s="116" t="e">
        <f t="shared" si="779"/>
        <v>#VALUE!</v>
      </c>
      <c r="L1401" s="116" t="e">
        <f t="shared" si="779"/>
        <v>#VALUE!</v>
      </c>
      <c r="O1401" s="116">
        <f>SUM(O1397:O1400)</f>
        <v>0</v>
      </c>
      <c r="P1401" s="116">
        <f>SUM(P1397:P1400)</f>
        <v>0</v>
      </c>
      <c r="Q1401" s="116">
        <f>SUM(Q1397:Q1400)</f>
        <v>0</v>
      </c>
      <c r="R1401" s="116">
        <f>SUM(R1397:R1400)</f>
        <v>0</v>
      </c>
      <c r="T1401" s="116" t="e">
        <f>SUM(T1397:T1400)</f>
        <v>#VALUE!</v>
      </c>
      <c r="U1401" s="116" t="e">
        <f>SUM(U1397:U1400)</f>
        <v>#VALUE!</v>
      </c>
      <c r="V1401" s="116" t="e">
        <f>SUM(V1397:V1400)</f>
        <v>#VALUE!</v>
      </c>
      <c r="W1401" s="116" t="e">
        <f>SUM(W1397:W1400)</f>
        <v>#VALUE!</v>
      </c>
      <c r="X1401" s="3"/>
      <c r="Y1401" s="116">
        <f>SUM(Y1397:Y1400)</f>
        <v>0</v>
      </c>
      <c r="Z1401" s="116">
        <f>SUM(Z1397:Z1400)</f>
        <v>0</v>
      </c>
      <c r="AA1401" s="116">
        <f>SUM(AA1397:AA1400)</f>
        <v>0</v>
      </c>
      <c r="AB1401" s="116">
        <f>SUM(AB1397:AB1400)</f>
        <v>0</v>
      </c>
      <c r="AC1401" s="116">
        <f>SUM(AC1397:AC1400)</f>
        <v>0</v>
      </c>
      <c r="AD1401" s="117" t="e">
        <f>ROUND(SUM(-G1401,H1401:L1401),0)</f>
        <v>#VALUE!</v>
      </c>
      <c r="AE1401" s="117" t="e">
        <f>ROUND(H1401-O1401-P1401-Q1401-R1401,0)</f>
        <v>#VALUE!</v>
      </c>
      <c r="AF1401" s="117" t="e">
        <f>ROUND(I1401-T1401-U1401-V1401-W1401,0)</f>
        <v>#VALUE!</v>
      </c>
      <c r="AG1401" s="117" t="e">
        <f>ROUND(J1401-Y1401-Z1401-AA1401-AC1401-AB1401,0)</f>
        <v>#VALUE!</v>
      </c>
      <c r="AH1401" s="116"/>
      <c r="AI1401">
        <f t="shared" si="775"/>
        <v>352</v>
      </c>
      <c r="AJ1401" t="str">
        <f t="shared" si="768"/>
        <v>NA</v>
      </c>
      <c r="AK1401" t="str">
        <f>IF(ISERROR(MATCH(AI1401&amp;"."&amp;AJ1401,AK$91:AK1400,0)),AI1401&amp;"."&amp;AJ1401,AI1401&amp;"."&amp;AJ1401&amp;COUNTIFS(AI$91:AI1400,AI1401,AJ$91:AJ1400,AJ1401))</f>
        <v>352.NA1</v>
      </c>
    </row>
    <row r="1402" spans="1:37" ht="15" hidden="1">
      <c r="A1402" s="120">
        <f>ROW()</f>
        <v>1402</v>
      </c>
      <c r="B1402" s="120"/>
      <c r="C1402" s="1"/>
      <c r="E1402" s="121"/>
      <c r="F1402" s="138"/>
      <c r="G1402" s="119"/>
      <c r="X1402" s="3"/>
      <c r="AD1402" s="119"/>
      <c r="AE1402" s="119"/>
      <c r="AF1402" s="119"/>
      <c r="AG1402" s="119"/>
      <c r="AI1402">
        <f t="shared" si="775"/>
        <v>352</v>
      </c>
      <c r="AJ1402" t="str">
        <f t="shared" si="768"/>
        <v>NA</v>
      </c>
      <c r="AK1402" t="str">
        <f>IF(ISERROR(MATCH(AI1402&amp;"."&amp;AJ1402,AK$91:AK1401,0)),AI1402&amp;"."&amp;AJ1402,AI1402&amp;"."&amp;AJ1402&amp;COUNTIFS(AI$91:AI1401,AI1402,AJ$91:AJ1401,AJ1402))</f>
        <v>352.NA2</v>
      </c>
    </row>
    <row r="1403" spans="1:37" ht="15" hidden="1">
      <c r="A1403" s="120">
        <f>ROW()</f>
        <v>1403</v>
      </c>
      <c r="B1403" s="120"/>
      <c r="C1403" s="1">
        <v>353</v>
      </c>
      <c r="D1403" s="2" t="s">
        <v>380</v>
      </c>
      <c r="E1403" s="121"/>
      <c r="F1403" s="138"/>
      <c r="G1403" s="119"/>
      <c r="X1403" s="3"/>
      <c r="AD1403" s="119"/>
      <c r="AE1403" s="119"/>
      <c r="AF1403" s="119"/>
      <c r="AG1403" s="119"/>
      <c r="AI1403">
        <f t="shared" si="775"/>
        <v>353</v>
      </c>
      <c r="AJ1403" t="str">
        <f t="shared" si="768"/>
        <v>NA</v>
      </c>
      <c r="AK1403" t="str">
        <f>IF(ISERROR(MATCH(AI1403&amp;"."&amp;AJ1403,AK$91:AK1402,0)),AI1403&amp;"."&amp;AJ1403,AI1403&amp;"."&amp;AJ1403&amp;COUNTIFS(AI$91:AI1402,AI1403,AJ$91:AJ1402,AJ1403))</f>
        <v>353.NA</v>
      </c>
    </row>
    <row r="1404" spans="1:37" ht="15" hidden="1">
      <c r="A1404" s="120">
        <f>ROW()</f>
        <v>1404</v>
      </c>
      <c r="B1404" s="120"/>
      <c r="C1404" s="1"/>
      <c r="E1404" s="121" t="s">
        <v>15</v>
      </c>
      <c r="F1404" s="138" t="str">
        <f>INDEX(FuncAllocOptions,ROW(A1404)-ROW($A$92)+1,[4]Inputs!$S$11)</f>
        <v>T</v>
      </c>
      <c r="G1404" s="117" t="e">
        <f>SUMIF(FERCJAMFactor,AK1404,JAMValue)</f>
        <v>#VALUE!</v>
      </c>
      <c r="H1404" s="116" t="e">
        <f t="shared" ref="H1404:L1406" si="780">INDEX(FuncFactorTbl,MATCH($F1404,FuncFactors,0),MATCH(H$8,Functions,0))*$G1404</f>
        <v>#VALUE!</v>
      </c>
      <c r="I1404" s="116" t="e">
        <f t="shared" si="780"/>
        <v>#VALUE!</v>
      </c>
      <c r="J1404" s="116" t="e">
        <f t="shared" si="780"/>
        <v>#VALUE!</v>
      </c>
      <c r="K1404" s="116" t="e">
        <f t="shared" si="780"/>
        <v>#VALUE!</v>
      </c>
      <c r="L1404" s="116" t="e">
        <f t="shared" si="780"/>
        <v>#VALUE!</v>
      </c>
      <c r="S1404" s="108">
        <v>0.75</v>
      </c>
      <c r="T1404" s="116" t="e">
        <f>$I1404*$S1404*$M1404</f>
        <v>#VALUE!</v>
      </c>
      <c r="U1404" s="116" t="e">
        <f>$I1404*(1-$S1404)*$M1404</f>
        <v>#VALUE!</v>
      </c>
      <c r="V1404" s="116" t="e">
        <f>$I1404*$S1404*(1-$M1404)</f>
        <v>#VALUE!</v>
      </c>
      <c r="W1404" s="116" t="e">
        <f>$I1404*(1-$S1404)*(1-$M1404)</f>
        <v>#VALUE!</v>
      </c>
      <c r="X1404" s="3"/>
      <c r="AD1404" s="117" t="e">
        <f>ROUND(SUM(-G1404,H1404:L1404),0)</f>
        <v>#VALUE!</v>
      </c>
      <c r="AE1404" s="117" t="e">
        <f>ROUND(H1404-O1404-P1404-Q1404-R1404,0)</f>
        <v>#VALUE!</v>
      </c>
      <c r="AF1404" s="117" t="e">
        <f>ROUND(I1404-T1404-U1404-V1404-W1404,0)</f>
        <v>#VALUE!</v>
      </c>
      <c r="AG1404" s="117" t="e">
        <f>ROUND(J1404-Y1404-Z1404-AA1404-AC1404-AB1404,0)</f>
        <v>#VALUE!</v>
      </c>
      <c r="AH1404" s="116"/>
      <c r="AI1404">
        <f t="shared" si="775"/>
        <v>353</v>
      </c>
      <c r="AJ1404" t="str">
        <f t="shared" si="768"/>
        <v>SG</v>
      </c>
      <c r="AK1404" t="str">
        <f>IF(ISERROR(MATCH(AI1404&amp;"."&amp;AJ1404,AK$91:AK1403,0)),AI1404&amp;"."&amp;AJ1404,AI1404&amp;"."&amp;AJ1404&amp;COUNTIFS(AI$91:AI1403,AI1404,AJ$91:AJ1403,AJ1404))</f>
        <v>353.SG</v>
      </c>
    </row>
    <row r="1405" spans="1:37" ht="15" hidden="1">
      <c r="A1405" s="120">
        <f>ROW()</f>
        <v>1405</v>
      </c>
      <c r="B1405" s="120"/>
      <c r="C1405" s="1"/>
      <c r="E1405" s="121" t="s">
        <v>15</v>
      </c>
      <c r="F1405" s="138" t="str">
        <f>INDEX(FuncAllocOptions,ROW(A1405)-ROW($A$92)+1,[4]Inputs!$S$11)</f>
        <v>T</v>
      </c>
      <c r="G1405" s="117" t="e">
        <f>SUMIF(FERCJAMFactor,AK1405,JAMValue)</f>
        <v>#VALUE!</v>
      </c>
      <c r="H1405" s="116" t="e">
        <f t="shared" si="780"/>
        <v>#VALUE!</v>
      </c>
      <c r="I1405" s="116" t="e">
        <f t="shared" si="780"/>
        <v>#VALUE!</v>
      </c>
      <c r="J1405" s="116" t="e">
        <f t="shared" si="780"/>
        <v>#VALUE!</v>
      </c>
      <c r="K1405" s="116" t="e">
        <f t="shared" si="780"/>
        <v>#VALUE!</v>
      </c>
      <c r="L1405" s="116" t="e">
        <f t="shared" si="780"/>
        <v>#VALUE!</v>
      </c>
      <c r="S1405" s="108">
        <v>0.75</v>
      </c>
      <c r="T1405" s="116" t="e">
        <f>$I1405*$S1405*$M1405</f>
        <v>#VALUE!</v>
      </c>
      <c r="U1405" s="116" t="e">
        <f>$I1405*(1-$S1405)*$M1405</f>
        <v>#VALUE!</v>
      </c>
      <c r="V1405" s="116" t="e">
        <f>$I1405*$S1405*(1-$M1405)</f>
        <v>#VALUE!</v>
      </c>
      <c r="W1405" s="116" t="e">
        <f>$I1405*(1-$S1405)*(1-$M1405)</f>
        <v>#VALUE!</v>
      </c>
      <c r="X1405" s="3"/>
      <c r="AD1405" s="117" t="e">
        <f>ROUND(SUM(-G1405,H1405:L1405),0)</f>
        <v>#VALUE!</v>
      </c>
      <c r="AE1405" s="117" t="e">
        <f>ROUND(H1405-O1405-P1405-Q1405-R1405,0)</f>
        <v>#VALUE!</v>
      </c>
      <c r="AF1405" s="117" t="e">
        <f>ROUND(I1405-T1405-U1405-V1405-W1405,0)</f>
        <v>#VALUE!</v>
      </c>
      <c r="AG1405" s="117" t="e">
        <f>ROUND(J1405-Y1405-Z1405-AA1405-AC1405-AB1405,0)</f>
        <v>#VALUE!</v>
      </c>
      <c r="AH1405" s="116"/>
      <c r="AI1405">
        <f t="shared" si="775"/>
        <v>353</v>
      </c>
      <c r="AJ1405" t="str">
        <f t="shared" si="768"/>
        <v>SG</v>
      </c>
      <c r="AK1405" t="str">
        <f>IF(ISERROR(MATCH(AI1405&amp;"."&amp;AJ1405,AK$91:AK1404,0)),AI1405&amp;"."&amp;AJ1405,AI1405&amp;"."&amp;AJ1405&amp;COUNTIFS(AI$91:AI1404,AI1405,AJ$91:AJ1404,AJ1405))</f>
        <v>353.SG1</v>
      </c>
    </row>
    <row r="1406" spans="1:37" ht="15" hidden="1">
      <c r="A1406" s="120">
        <f>ROW()</f>
        <v>1406</v>
      </c>
      <c r="B1406" s="120"/>
      <c r="C1406" s="1"/>
      <c r="E1406" s="121" t="s">
        <v>15</v>
      </c>
      <c r="F1406" s="138" t="str">
        <f>INDEX(FuncAllocOptions,ROW(A1406)-ROW($A$92)+1,[4]Inputs!$S$11)</f>
        <v>T</v>
      </c>
      <c r="G1406" s="133" t="e">
        <f>SUMIF(FERCJAMFactor,AK1406,JAMValue)</f>
        <v>#VALUE!</v>
      </c>
      <c r="H1406" s="139" t="e">
        <f t="shared" si="780"/>
        <v>#VALUE!</v>
      </c>
      <c r="I1406" s="139" t="e">
        <f t="shared" si="780"/>
        <v>#VALUE!</v>
      </c>
      <c r="J1406" s="139" t="e">
        <f t="shared" si="780"/>
        <v>#VALUE!</v>
      </c>
      <c r="K1406" s="139" t="e">
        <f t="shared" si="780"/>
        <v>#VALUE!</v>
      </c>
      <c r="L1406" s="139" t="e">
        <f t="shared" si="780"/>
        <v>#VALUE!</v>
      </c>
      <c r="S1406" s="108">
        <v>0.75</v>
      </c>
      <c r="T1406" s="116" t="e">
        <f>$I1406*$S1406*$M1406</f>
        <v>#VALUE!</v>
      </c>
      <c r="U1406" s="116" t="e">
        <f>$I1406*(1-$S1406)*$M1406</f>
        <v>#VALUE!</v>
      </c>
      <c r="V1406" s="116" t="e">
        <f>$I1406*$S1406*(1-$M1406)</f>
        <v>#VALUE!</v>
      </c>
      <c r="W1406" s="116" t="e">
        <f>$I1406*(1-$S1406)*(1-$M1406)</f>
        <v>#VALUE!</v>
      </c>
      <c r="X1406" s="3"/>
      <c r="AD1406" s="117" t="e">
        <f>ROUND(SUM(-G1406,H1406:L1406),0)</f>
        <v>#VALUE!</v>
      </c>
      <c r="AE1406" s="117" t="e">
        <f>ROUND(H1406-O1406-P1406-Q1406-R1406,0)</f>
        <v>#VALUE!</v>
      </c>
      <c r="AF1406" s="117" t="e">
        <f>ROUND(I1406-T1406-U1406-V1406-W1406,0)</f>
        <v>#VALUE!</v>
      </c>
      <c r="AG1406" s="117" t="e">
        <f>ROUND(J1406-Y1406-Z1406-AA1406-AC1406-AB1406,0)</f>
        <v>#VALUE!</v>
      </c>
      <c r="AH1406" s="116"/>
      <c r="AI1406">
        <f t="shared" si="775"/>
        <v>353</v>
      </c>
      <c r="AJ1406" t="str">
        <f t="shared" si="768"/>
        <v>SG</v>
      </c>
      <c r="AK1406" t="str">
        <f>IF(ISERROR(MATCH(AI1406&amp;"."&amp;AJ1406,AK$91:AK1405,0)),AI1406&amp;"."&amp;AJ1406,AI1406&amp;"."&amp;AJ1406&amp;COUNTIFS(AI$91:AI1405,AI1406,AJ$91:AJ1405,AJ1406))</f>
        <v>353.SG2</v>
      </c>
    </row>
    <row r="1407" spans="1:37" ht="15" hidden="1">
      <c r="A1407" s="120">
        <f>ROW()</f>
        <v>1407</v>
      </c>
      <c r="B1407" s="120"/>
      <c r="C1407" s="1"/>
      <c r="E1407" s="121"/>
      <c r="F1407" s="138"/>
      <c r="G1407" s="117" t="e">
        <f t="shared" ref="G1407:L1407" si="781">SUM(G1404:G1406)</f>
        <v>#VALUE!</v>
      </c>
      <c r="H1407" s="116" t="e">
        <f t="shared" si="781"/>
        <v>#VALUE!</v>
      </c>
      <c r="I1407" s="116" t="e">
        <f t="shared" si="781"/>
        <v>#VALUE!</v>
      </c>
      <c r="J1407" s="116" t="e">
        <f t="shared" si="781"/>
        <v>#VALUE!</v>
      </c>
      <c r="K1407" s="116" t="e">
        <f t="shared" si="781"/>
        <v>#VALUE!</v>
      </c>
      <c r="L1407" s="116" t="e">
        <f t="shared" si="781"/>
        <v>#VALUE!</v>
      </c>
      <c r="O1407" s="116">
        <f>SUM(O1404:O1406)</f>
        <v>0</v>
      </c>
      <c r="P1407" s="116">
        <f>SUM(P1404:P1406)</f>
        <v>0</v>
      </c>
      <c r="Q1407" s="116">
        <f>SUM(Q1404:Q1406)</f>
        <v>0</v>
      </c>
      <c r="R1407" s="116">
        <f>SUM(R1404:R1406)</f>
        <v>0</v>
      </c>
      <c r="T1407" s="116" t="e">
        <f>SUM(T1404:T1406)</f>
        <v>#VALUE!</v>
      </c>
      <c r="U1407" s="116" t="e">
        <f>SUM(U1404:U1406)</f>
        <v>#VALUE!</v>
      </c>
      <c r="V1407" s="116" t="e">
        <f>SUM(V1404:V1406)</f>
        <v>#VALUE!</v>
      </c>
      <c r="W1407" s="116" t="e">
        <f>SUM(W1404:W1406)</f>
        <v>#VALUE!</v>
      </c>
      <c r="X1407" s="3"/>
      <c r="Y1407" s="116">
        <f>SUM(Y1404:Y1406)</f>
        <v>0</v>
      </c>
      <c r="Z1407" s="116">
        <f>SUM(Z1404:Z1406)</f>
        <v>0</v>
      </c>
      <c r="AA1407" s="116">
        <f>SUM(AA1404:AA1406)</f>
        <v>0</v>
      </c>
      <c r="AB1407" s="116">
        <f>SUM(AB1404:AB1406)</f>
        <v>0</v>
      </c>
      <c r="AC1407" s="116">
        <f>SUM(AC1404:AC1406)</f>
        <v>0</v>
      </c>
      <c r="AD1407" s="117" t="e">
        <f>ROUND(SUM(-G1407,H1407:L1407),0)</f>
        <v>#VALUE!</v>
      </c>
      <c r="AE1407" s="117" t="e">
        <f>ROUND(H1407-O1407-P1407-Q1407-R1407,0)</f>
        <v>#VALUE!</v>
      </c>
      <c r="AF1407" s="117" t="e">
        <f>ROUND(I1407-T1407-U1407-V1407-W1407,0)</f>
        <v>#VALUE!</v>
      </c>
      <c r="AG1407" s="117" t="e">
        <f>ROUND(J1407-Y1407-Z1407-AA1407-AC1407-AB1407,0)</f>
        <v>#VALUE!</v>
      </c>
      <c r="AH1407" s="116"/>
      <c r="AI1407">
        <f t="shared" si="775"/>
        <v>353</v>
      </c>
      <c r="AJ1407" t="str">
        <f t="shared" si="768"/>
        <v>NA</v>
      </c>
      <c r="AK1407" t="str">
        <f>IF(ISERROR(MATCH(AI1407&amp;"."&amp;AJ1407,AK$91:AK1406,0)),AI1407&amp;"."&amp;AJ1407,AI1407&amp;"."&amp;AJ1407&amp;COUNTIFS(AI$91:AI1406,AI1407,AJ$91:AJ1406,AJ1407))</f>
        <v>353.NA1</v>
      </c>
    </row>
    <row r="1408" spans="1:37" ht="15" hidden="1">
      <c r="A1408" s="120">
        <f>ROW()</f>
        <v>1408</v>
      </c>
      <c r="B1408" s="120"/>
      <c r="C1408" s="1"/>
      <c r="E1408" s="121"/>
      <c r="F1408" s="138"/>
      <c r="G1408" s="119"/>
      <c r="X1408" s="3"/>
      <c r="AD1408" s="119"/>
      <c r="AE1408" s="119"/>
      <c r="AF1408" s="119"/>
      <c r="AG1408" s="119"/>
      <c r="AI1408">
        <f t="shared" si="775"/>
        <v>353</v>
      </c>
      <c r="AJ1408" t="str">
        <f t="shared" si="768"/>
        <v>NA</v>
      </c>
      <c r="AK1408" t="str">
        <f>IF(ISERROR(MATCH(AI1408&amp;"."&amp;AJ1408,AK$91:AK1407,0)),AI1408&amp;"."&amp;AJ1408,AI1408&amp;"."&amp;AJ1408&amp;COUNTIFS(AI$91:AI1407,AI1408,AJ$91:AJ1407,AJ1408))</f>
        <v>353.NA2</v>
      </c>
    </row>
    <row r="1409" spans="1:37" ht="15" hidden="1">
      <c r="A1409" s="120">
        <f>ROW()</f>
        <v>1409</v>
      </c>
      <c r="B1409" s="120"/>
      <c r="C1409" s="1">
        <v>354</v>
      </c>
      <c r="D1409" s="2" t="s">
        <v>538</v>
      </c>
      <c r="E1409" s="121"/>
      <c r="F1409" s="138"/>
      <c r="G1409" s="119"/>
      <c r="X1409" s="3"/>
      <c r="AD1409" s="119"/>
      <c r="AE1409" s="119"/>
      <c r="AF1409" s="119"/>
      <c r="AG1409" s="119"/>
      <c r="AI1409">
        <f t="shared" si="775"/>
        <v>354</v>
      </c>
      <c r="AJ1409" t="str">
        <f t="shared" si="768"/>
        <v>NA</v>
      </c>
      <c r="AK1409" t="str">
        <f>IF(ISERROR(MATCH(AI1409&amp;"."&amp;AJ1409,AK$91:AK1408,0)),AI1409&amp;"."&amp;AJ1409,AI1409&amp;"."&amp;AJ1409&amp;COUNTIFS(AI$91:AI1408,AI1409,AJ$91:AJ1408,AJ1409))</f>
        <v>354.NA</v>
      </c>
    </row>
    <row r="1410" spans="1:37" ht="15" hidden="1">
      <c r="A1410" s="120">
        <f>ROW()</f>
        <v>1410</v>
      </c>
      <c r="B1410" s="120"/>
      <c r="C1410" s="1"/>
      <c r="E1410" s="121" t="s">
        <v>15</v>
      </c>
      <c r="F1410" s="138" t="str">
        <f>INDEX(FuncAllocOptions,ROW(A1410)-ROW($A$92)+1,[4]Inputs!$S$11)</f>
        <v>T</v>
      </c>
      <c r="G1410" s="117" t="e">
        <f>SUMIF(FERCJAMFactor,AK1410,JAMValue)</f>
        <v>#VALUE!</v>
      </c>
      <c r="H1410" s="116" t="e">
        <f t="shared" ref="H1410:L1412" si="782">INDEX(FuncFactorTbl,MATCH($F1410,FuncFactors,0),MATCH(H$8,Functions,0))*$G1410</f>
        <v>#VALUE!</v>
      </c>
      <c r="I1410" s="116" t="e">
        <f t="shared" si="782"/>
        <v>#VALUE!</v>
      </c>
      <c r="J1410" s="116" t="e">
        <f t="shared" si="782"/>
        <v>#VALUE!</v>
      </c>
      <c r="K1410" s="116" t="e">
        <f t="shared" si="782"/>
        <v>#VALUE!</v>
      </c>
      <c r="L1410" s="116" t="e">
        <f t="shared" si="782"/>
        <v>#VALUE!</v>
      </c>
      <c r="S1410" s="108">
        <v>0.75</v>
      </c>
      <c r="T1410" s="116" t="e">
        <f>$I1410*$S1410*$M1410</f>
        <v>#VALUE!</v>
      </c>
      <c r="U1410" s="116" t="e">
        <f>$I1410*(1-$S1410)*$M1410</f>
        <v>#VALUE!</v>
      </c>
      <c r="V1410" s="116" t="e">
        <f>$I1410*$S1410*(1-$M1410)</f>
        <v>#VALUE!</v>
      </c>
      <c r="W1410" s="116" t="e">
        <f>$I1410*(1-$S1410)*(1-$M1410)</f>
        <v>#VALUE!</v>
      </c>
      <c r="X1410" s="3"/>
      <c r="AD1410" s="117" t="e">
        <f>ROUND(SUM(-G1410,H1410:L1410),0)</f>
        <v>#VALUE!</v>
      </c>
      <c r="AE1410" s="117" t="e">
        <f>ROUND(H1410-O1410-P1410-Q1410-R1410,0)</f>
        <v>#VALUE!</v>
      </c>
      <c r="AF1410" s="117" t="e">
        <f>ROUND(I1410-T1410-U1410-V1410-W1410,0)</f>
        <v>#VALUE!</v>
      </c>
      <c r="AG1410" s="117" t="e">
        <f>ROUND(J1410-Y1410-Z1410-AA1410-AC1410-AB1410,0)</f>
        <v>#VALUE!</v>
      </c>
      <c r="AH1410" s="116"/>
      <c r="AI1410">
        <f t="shared" si="775"/>
        <v>354</v>
      </c>
      <c r="AJ1410" t="str">
        <f t="shared" si="768"/>
        <v>SG</v>
      </c>
      <c r="AK1410" t="str">
        <f>IF(ISERROR(MATCH(AI1410&amp;"."&amp;AJ1410,AK$91:AK1409,0)),AI1410&amp;"."&amp;AJ1410,AI1410&amp;"."&amp;AJ1410&amp;COUNTIFS(AI$91:AI1409,AI1410,AJ$91:AJ1409,AJ1410))</f>
        <v>354.SG</v>
      </c>
    </row>
    <row r="1411" spans="1:37" ht="15" hidden="1">
      <c r="A1411" s="120">
        <f>ROW()</f>
        <v>1411</v>
      </c>
      <c r="B1411" s="120"/>
      <c r="C1411" s="1"/>
      <c r="E1411" s="121" t="s">
        <v>15</v>
      </c>
      <c r="F1411" s="138" t="str">
        <f>INDEX(FuncAllocOptions,ROW(A1411)-ROW($A$92)+1,[4]Inputs!$S$11)</f>
        <v>T</v>
      </c>
      <c r="G1411" s="117" t="e">
        <f>SUMIF(FERCJAMFactor,AK1411,JAMValue)</f>
        <v>#VALUE!</v>
      </c>
      <c r="H1411" s="116" t="e">
        <f t="shared" si="782"/>
        <v>#VALUE!</v>
      </c>
      <c r="I1411" s="116" t="e">
        <f t="shared" si="782"/>
        <v>#VALUE!</v>
      </c>
      <c r="J1411" s="116" t="e">
        <f t="shared" si="782"/>
        <v>#VALUE!</v>
      </c>
      <c r="K1411" s="116" t="e">
        <f t="shared" si="782"/>
        <v>#VALUE!</v>
      </c>
      <c r="L1411" s="116" t="e">
        <f t="shared" si="782"/>
        <v>#VALUE!</v>
      </c>
      <c r="S1411" s="108">
        <v>0.75</v>
      </c>
      <c r="T1411" s="116" t="e">
        <f>$I1411*$S1411*$M1411</f>
        <v>#VALUE!</v>
      </c>
      <c r="U1411" s="116" t="e">
        <f>$I1411*(1-$S1411)*$M1411</f>
        <v>#VALUE!</v>
      </c>
      <c r="V1411" s="116" t="e">
        <f>$I1411*$S1411*(1-$M1411)</f>
        <v>#VALUE!</v>
      </c>
      <c r="W1411" s="116" t="e">
        <f>$I1411*(1-$S1411)*(1-$M1411)</f>
        <v>#VALUE!</v>
      </c>
      <c r="X1411" s="3"/>
      <c r="AD1411" s="117" t="e">
        <f>ROUND(SUM(-G1411,H1411:L1411),0)</f>
        <v>#VALUE!</v>
      </c>
      <c r="AE1411" s="117" t="e">
        <f>ROUND(H1411-O1411-P1411-Q1411-R1411,0)</f>
        <v>#VALUE!</v>
      </c>
      <c r="AF1411" s="117" t="e">
        <f>ROUND(I1411-T1411-U1411-V1411-W1411,0)</f>
        <v>#VALUE!</v>
      </c>
      <c r="AG1411" s="117" t="e">
        <f>ROUND(J1411-Y1411-Z1411-AA1411-AC1411-AB1411,0)</f>
        <v>#VALUE!</v>
      </c>
      <c r="AH1411" s="116"/>
      <c r="AI1411">
        <f t="shared" si="775"/>
        <v>354</v>
      </c>
      <c r="AJ1411" t="str">
        <f t="shared" si="768"/>
        <v>SG</v>
      </c>
      <c r="AK1411" t="str">
        <f>IF(ISERROR(MATCH(AI1411&amp;"."&amp;AJ1411,AK$91:AK1410,0)),AI1411&amp;"."&amp;AJ1411,AI1411&amp;"."&amp;AJ1411&amp;COUNTIFS(AI$91:AI1410,AI1411,AJ$91:AJ1410,AJ1411))</f>
        <v>354.SG1</v>
      </c>
    </row>
    <row r="1412" spans="1:37" ht="15" hidden="1">
      <c r="A1412" s="120">
        <f>ROW()</f>
        <v>1412</v>
      </c>
      <c r="B1412" s="120"/>
      <c r="C1412" s="1"/>
      <c r="E1412" s="121" t="s">
        <v>15</v>
      </c>
      <c r="F1412" s="138" t="str">
        <f>INDEX(FuncAllocOptions,ROW(A1412)-ROW($A$92)+1,[4]Inputs!$S$11)</f>
        <v>T</v>
      </c>
      <c r="G1412" s="133" t="e">
        <f>SUMIF(FERCJAMFactor,AK1412,JAMValue)</f>
        <v>#VALUE!</v>
      </c>
      <c r="H1412" s="139" t="e">
        <f t="shared" si="782"/>
        <v>#VALUE!</v>
      </c>
      <c r="I1412" s="139" t="e">
        <f t="shared" si="782"/>
        <v>#VALUE!</v>
      </c>
      <c r="J1412" s="139" t="e">
        <f t="shared" si="782"/>
        <v>#VALUE!</v>
      </c>
      <c r="K1412" s="139" t="e">
        <f t="shared" si="782"/>
        <v>#VALUE!</v>
      </c>
      <c r="L1412" s="139" t="e">
        <f t="shared" si="782"/>
        <v>#VALUE!</v>
      </c>
      <c r="S1412" s="108">
        <v>0.75</v>
      </c>
      <c r="T1412" s="116" t="e">
        <f>$I1412*$S1412*$M1412</f>
        <v>#VALUE!</v>
      </c>
      <c r="U1412" s="116" t="e">
        <f>$I1412*(1-$S1412)*$M1412</f>
        <v>#VALUE!</v>
      </c>
      <c r="V1412" s="116" t="e">
        <f>$I1412*$S1412*(1-$M1412)</f>
        <v>#VALUE!</v>
      </c>
      <c r="W1412" s="116" t="e">
        <f>$I1412*(1-$S1412)*(1-$M1412)</f>
        <v>#VALUE!</v>
      </c>
      <c r="X1412" s="3"/>
      <c r="AD1412" s="117" t="e">
        <f>ROUND(SUM(-G1412,H1412:L1412),0)</f>
        <v>#VALUE!</v>
      </c>
      <c r="AE1412" s="117" t="e">
        <f>ROUND(H1412-O1412-P1412-Q1412-R1412,0)</f>
        <v>#VALUE!</v>
      </c>
      <c r="AF1412" s="117" t="e">
        <f>ROUND(I1412-T1412-U1412-V1412-W1412,0)</f>
        <v>#VALUE!</v>
      </c>
      <c r="AG1412" s="117" t="e">
        <f>ROUND(J1412-Y1412-Z1412-AA1412-AC1412-AB1412,0)</f>
        <v>#VALUE!</v>
      </c>
      <c r="AH1412" s="116"/>
      <c r="AI1412">
        <f t="shared" si="775"/>
        <v>354</v>
      </c>
      <c r="AJ1412" t="str">
        <f t="shared" si="768"/>
        <v>SG</v>
      </c>
      <c r="AK1412" t="str">
        <f>IF(ISERROR(MATCH(AI1412&amp;"."&amp;AJ1412,AK$91:AK1411,0)),AI1412&amp;"."&amp;AJ1412,AI1412&amp;"."&amp;AJ1412&amp;COUNTIFS(AI$91:AI1411,AI1412,AJ$91:AJ1411,AJ1412))</f>
        <v>354.SG2</v>
      </c>
    </row>
    <row r="1413" spans="1:37" ht="15" hidden="1">
      <c r="A1413" s="120">
        <f>ROW()</f>
        <v>1413</v>
      </c>
      <c r="B1413" s="120"/>
      <c r="C1413" s="1"/>
      <c r="E1413" s="121"/>
      <c r="F1413" s="138"/>
      <c r="G1413" s="117" t="e">
        <f t="shared" ref="G1413:L1413" si="783">SUM(G1410:G1412)</f>
        <v>#VALUE!</v>
      </c>
      <c r="H1413" s="116" t="e">
        <f t="shared" si="783"/>
        <v>#VALUE!</v>
      </c>
      <c r="I1413" s="116" t="e">
        <f t="shared" si="783"/>
        <v>#VALUE!</v>
      </c>
      <c r="J1413" s="116" t="e">
        <f t="shared" si="783"/>
        <v>#VALUE!</v>
      </c>
      <c r="K1413" s="116" t="e">
        <f t="shared" si="783"/>
        <v>#VALUE!</v>
      </c>
      <c r="L1413" s="116" t="e">
        <f t="shared" si="783"/>
        <v>#VALUE!</v>
      </c>
      <c r="O1413" s="116">
        <f>SUM(O1410:O1412)</f>
        <v>0</v>
      </c>
      <c r="P1413" s="116">
        <f>SUM(P1410:P1412)</f>
        <v>0</v>
      </c>
      <c r="Q1413" s="116">
        <f>SUM(Q1410:Q1412)</f>
        <v>0</v>
      </c>
      <c r="R1413" s="116">
        <f>SUM(R1410:R1412)</f>
        <v>0</v>
      </c>
      <c r="T1413" s="116" t="e">
        <f>SUM(T1410:T1412)</f>
        <v>#VALUE!</v>
      </c>
      <c r="U1413" s="116" t="e">
        <f>SUM(U1410:U1412)</f>
        <v>#VALUE!</v>
      </c>
      <c r="V1413" s="116" t="e">
        <f>SUM(V1410:V1412)</f>
        <v>#VALUE!</v>
      </c>
      <c r="W1413" s="116" t="e">
        <f>SUM(W1410:W1412)</f>
        <v>#VALUE!</v>
      </c>
      <c r="X1413" s="3"/>
      <c r="Y1413" s="116">
        <f>SUM(Y1410:Y1412)</f>
        <v>0</v>
      </c>
      <c r="Z1413" s="116">
        <f>SUM(Z1410:Z1412)</f>
        <v>0</v>
      </c>
      <c r="AA1413" s="116">
        <f>SUM(AA1410:AA1412)</f>
        <v>0</v>
      </c>
      <c r="AB1413" s="116">
        <f>SUM(AB1410:AB1412)</f>
        <v>0</v>
      </c>
      <c r="AC1413" s="116">
        <f>SUM(AC1410:AC1412)</f>
        <v>0</v>
      </c>
      <c r="AD1413" s="117" t="e">
        <f>ROUND(SUM(-G1413,H1413:L1413),0)</f>
        <v>#VALUE!</v>
      </c>
      <c r="AE1413" s="117" t="e">
        <f>ROUND(H1413-O1413-P1413-Q1413-R1413,0)</f>
        <v>#VALUE!</v>
      </c>
      <c r="AF1413" s="117" t="e">
        <f>ROUND(I1413-T1413-U1413-V1413-W1413,0)</f>
        <v>#VALUE!</v>
      </c>
      <c r="AG1413" s="117" t="e">
        <f>ROUND(J1413-Y1413-Z1413-AA1413-AC1413-AB1413,0)</f>
        <v>#VALUE!</v>
      </c>
      <c r="AH1413" s="116"/>
      <c r="AI1413">
        <f t="shared" si="775"/>
        <v>354</v>
      </c>
      <c r="AJ1413" t="str">
        <f t="shared" si="768"/>
        <v>NA</v>
      </c>
      <c r="AK1413" t="str">
        <f>IF(ISERROR(MATCH(AI1413&amp;"."&amp;AJ1413,AK$91:AK1412,0)),AI1413&amp;"."&amp;AJ1413,AI1413&amp;"."&amp;AJ1413&amp;COUNTIFS(AI$91:AI1412,AI1413,AJ$91:AJ1412,AJ1413))</f>
        <v>354.NA1</v>
      </c>
    </row>
    <row r="1414" spans="1:37" ht="15" hidden="1">
      <c r="A1414" s="120">
        <f>ROW()</f>
        <v>1414</v>
      </c>
      <c r="B1414" s="120"/>
      <c r="C1414" s="1"/>
      <c r="E1414" s="121"/>
      <c r="F1414" s="138"/>
      <c r="G1414" s="119"/>
      <c r="X1414" s="3"/>
      <c r="AD1414" s="119"/>
      <c r="AE1414" s="119"/>
      <c r="AF1414" s="119"/>
      <c r="AG1414" s="119"/>
      <c r="AI1414">
        <f t="shared" si="775"/>
        <v>354</v>
      </c>
      <c r="AJ1414" t="str">
        <f t="shared" si="768"/>
        <v>NA</v>
      </c>
      <c r="AK1414" t="str">
        <f>IF(ISERROR(MATCH(AI1414&amp;"."&amp;AJ1414,AK$91:AK1413,0)),AI1414&amp;"."&amp;AJ1414,AI1414&amp;"."&amp;AJ1414&amp;COUNTIFS(AI$91:AI1413,AI1414,AJ$91:AJ1413,AJ1414))</f>
        <v>354.NA2</v>
      </c>
    </row>
    <row r="1415" spans="1:37" ht="15" hidden="1">
      <c r="A1415" s="120">
        <f>ROW()</f>
        <v>1415</v>
      </c>
      <c r="B1415" s="120"/>
      <c r="C1415" s="1">
        <v>355</v>
      </c>
      <c r="D1415" s="2" t="s">
        <v>539</v>
      </c>
      <c r="E1415" s="121"/>
      <c r="F1415" s="138"/>
      <c r="G1415" s="119"/>
      <c r="X1415" s="3"/>
      <c r="AD1415" s="119"/>
      <c r="AE1415" s="119"/>
      <c r="AF1415" s="119"/>
      <c r="AG1415" s="119"/>
      <c r="AI1415">
        <f t="shared" si="775"/>
        <v>355</v>
      </c>
      <c r="AJ1415" t="str">
        <f t="shared" si="768"/>
        <v>NA</v>
      </c>
      <c r="AK1415" t="str">
        <f>IF(ISERROR(MATCH(AI1415&amp;"."&amp;AJ1415,AK$91:AK1414,0)),AI1415&amp;"."&amp;AJ1415,AI1415&amp;"."&amp;AJ1415&amp;COUNTIFS(AI$91:AI1414,AI1415,AJ$91:AJ1414,AJ1415))</f>
        <v>355.NA</v>
      </c>
    </row>
    <row r="1416" spans="1:37" ht="15" hidden="1">
      <c r="A1416" s="120">
        <f>ROW()</f>
        <v>1416</v>
      </c>
      <c r="B1416" s="120"/>
      <c r="C1416" s="1"/>
      <c r="E1416" s="121" t="s">
        <v>15</v>
      </c>
      <c r="F1416" s="138" t="str">
        <f>INDEX(FuncAllocOptions,ROW(A1416)-ROW($A$92)+1,[4]Inputs!$S$11)</f>
        <v>T</v>
      </c>
      <c r="G1416" s="117" t="e">
        <f>SUMIF(FERCJAMFactor,AK1416,JAMValue)</f>
        <v>#VALUE!</v>
      </c>
      <c r="H1416" s="116" t="e">
        <f t="shared" ref="H1416:L1418" si="784">INDEX(FuncFactorTbl,MATCH($F1416,FuncFactors,0),MATCH(H$8,Functions,0))*$G1416</f>
        <v>#VALUE!</v>
      </c>
      <c r="I1416" s="116" t="e">
        <f t="shared" si="784"/>
        <v>#VALUE!</v>
      </c>
      <c r="J1416" s="116" t="e">
        <f t="shared" si="784"/>
        <v>#VALUE!</v>
      </c>
      <c r="K1416" s="116" t="e">
        <f t="shared" si="784"/>
        <v>#VALUE!</v>
      </c>
      <c r="L1416" s="116" t="e">
        <f t="shared" si="784"/>
        <v>#VALUE!</v>
      </c>
      <c r="S1416" s="108">
        <v>0.75</v>
      </c>
      <c r="T1416" s="116" t="e">
        <f>$I1416*$S1416*$M1416</f>
        <v>#VALUE!</v>
      </c>
      <c r="U1416" s="116" t="e">
        <f>$I1416*(1-$S1416)*$M1416</f>
        <v>#VALUE!</v>
      </c>
      <c r="V1416" s="116" t="e">
        <f>$I1416*$S1416*(1-$M1416)</f>
        <v>#VALUE!</v>
      </c>
      <c r="W1416" s="116" t="e">
        <f>$I1416*(1-$S1416)*(1-$M1416)</f>
        <v>#VALUE!</v>
      </c>
      <c r="X1416" s="3"/>
      <c r="AD1416" s="117" t="e">
        <f>ROUND(SUM(-G1416,H1416:L1416),0)</f>
        <v>#VALUE!</v>
      </c>
      <c r="AE1416" s="117" t="e">
        <f>ROUND(H1416-O1416-P1416-Q1416-R1416,0)</f>
        <v>#VALUE!</v>
      </c>
      <c r="AF1416" s="117" t="e">
        <f>ROUND(I1416-T1416-U1416-V1416-W1416,0)</f>
        <v>#VALUE!</v>
      </c>
      <c r="AG1416" s="117" t="e">
        <f>ROUND(J1416-Y1416-Z1416-AA1416-AC1416-AB1416,0)</f>
        <v>#VALUE!</v>
      </c>
      <c r="AH1416" s="116"/>
      <c r="AI1416">
        <f t="shared" si="775"/>
        <v>355</v>
      </c>
      <c r="AJ1416" t="str">
        <f t="shared" si="768"/>
        <v>SG</v>
      </c>
      <c r="AK1416" t="str">
        <f>IF(ISERROR(MATCH(AI1416&amp;"."&amp;AJ1416,AK$91:AK1415,0)),AI1416&amp;"."&amp;AJ1416,AI1416&amp;"."&amp;AJ1416&amp;COUNTIFS(AI$91:AI1415,AI1416,AJ$91:AJ1415,AJ1416))</f>
        <v>355.SG</v>
      </c>
    </row>
    <row r="1417" spans="1:37" ht="15" hidden="1">
      <c r="A1417" s="120">
        <f>ROW()</f>
        <v>1417</v>
      </c>
      <c r="B1417" s="120"/>
      <c r="C1417" s="1"/>
      <c r="E1417" s="121" t="s">
        <v>15</v>
      </c>
      <c r="F1417" s="138" t="str">
        <f>INDEX(FuncAllocOptions,ROW(A1417)-ROW($A$92)+1,[4]Inputs!$S$11)</f>
        <v>T</v>
      </c>
      <c r="G1417" s="117" t="e">
        <f>SUMIF(FERCJAMFactor,AK1417,JAMValue)</f>
        <v>#VALUE!</v>
      </c>
      <c r="H1417" s="116" t="e">
        <f t="shared" si="784"/>
        <v>#VALUE!</v>
      </c>
      <c r="I1417" s="116" t="e">
        <f t="shared" si="784"/>
        <v>#VALUE!</v>
      </c>
      <c r="J1417" s="116" t="e">
        <f t="shared" si="784"/>
        <v>#VALUE!</v>
      </c>
      <c r="K1417" s="116" t="e">
        <f t="shared" si="784"/>
        <v>#VALUE!</v>
      </c>
      <c r="L1417" s="116" t="e">
        <f t="shared" si="784"/>
        <v>#VALUE!</v>
      </c>
      <c r="S1417" s="108">
        <v>0.75</v>
      </c>
      <c r="T1417" s="116" t="e">
        <f>$I1417*$S1417*$M1417</f>
        <v>#VALUE!</v>
      </c>
      <c r="U1417" s="116" t="e">
        <f>$I1417*(1-$S1417)*$M1417</f>
        <v>#VALUE!</v>
      </c>
      <c r="V1417" s="116" t="e">
        <f>$I1417*$S1417*(1-$M1417)</f>
        <v>#VALUE!</v>
      </c>
      <c r="W1417" s="116" t="e">
        <f>$I1417*(1-$S1417)*(1-$M1417)</f>
        <v>#VALUE!</v>
      </c>
      <c r="X1417" s="3"/>
      <c r="AD1417" s="117" t="e">
        <f>ROUND(SUM(-G1417,H1417:L1417),0)</f>
        <v>#VALUE!</v>
      </c>
      <c r="AE1417" s="117" t="e">
        <f>ROUND(H1417-O1417-P1417-Q1417-R1417,0)</f>
        <v>#VALUE!</v>
      </c>
      <c r="AF1417" s="117" t="e">
        <f>ROUND(I1417-T1417-U1417-V1417-W1417,0)</f>
        <v>#VALUE!</v>
      </c>
      <c r="AG1417" s="117" t="e">
        <f>ROUND(J1417-Y1417-Z1417-AA1417-AC1417-AB1417,0)</f>
        <v>#VALUE!</v>
      </c>
      <c r="AH1417" s="116"/>
      <c r="AI1417">
        <f t="shared" si="775"/>
        <v>355</v>
      </c>
      <c r="AJ1417" t="str">
        <f t="shared" si="768"/>
        <v>SG</v>
      </c>
      <c r="AK1417" t="str">
        <f>IF(ISERROR(MATCH(AI1417&amp;"."&amp;AJ1417,AK$91:AK1416,0)),AI1417&amp;"."&amp;AJ1417,AI1417&amp;"."&amp;AJ1417&amp;COUNTIFS(AI$91:AI1416,AI1417,AJ$91:AJ1416,AJ1417))</f>
        <v>355.SG1</v>
      </c>
    </row>
    <row r="1418" spans="1:37" ht="15" hidden="1">
      <c r="A1418" s="120">
        <f>ROW()</f>
        <v>1418</v>
      </c>
      <c r="B1418" s="120"/>
      <c r="C1418" s="1"/>
      <c r="E1418" s="121" t="s">
        <v>15</v>
      </c>
      <c r="F1418" s="138" t="str">
        <f>INDEX(FuncAllocOptions,ROW(A1418)-ROW($A$92)+1,[4]Inputs!$S$11)</f>
        <v>T</v>
      </c>
      <c r="G1418" s="133" t="e">
        <f>SUMIF(FERCJAMFactor,AK1418,JAMValue)</f>
        <v>#VALUE!</v>
      </c>
      <c r="H1418" s="139" t="e">
        <f t="shared" si="784"/>
        <v>#VALUE!</v>
      </c>
      <c r="I1418" s="139" t="e">
        <f t="shared" si="784"/>
        <v>#VALUE!</v>
      </c>
      <c r="J1418" s="139" t="e">
        <f t="shared" si="784"/>
        <v>#VALUE!</v>
      </c>
      <c r="K1418" s="139" t="e">
        <f t="shared" si="784"/>
        <v>#VALUE!</v>
      </c>
      <c r="L1418" s="139" t="e">
        <f t="shared" si="784"/>
        <v>#VALUE!</v>
      </c>
      <c r="S1418" s="108">
        <v>0.75</v>
      </c>
      <c r="T1418" s="116" t="e">
        <f>$I1418*$S1418*$M1418</f>
        <v>#VALUE!</v>
      </c>
      <c r="U1418" s="116" t="e">
        <f>$I1418*(1-$S1418)*$M1418</f>
        <v>#VALUE!</v>
      </c>
      <c r="V1418" s="116" t="e">
        <f>$I1418*$S1418*(1-$M1418)</f>
        <v>#VALUE!</v>
      </c>
      <c r="W1418" s="116" t="e">
        <f>$I1418*(1-$S1418)*(1-$M1418)</f>
        <v>#VALUE!</v>
      </c>
      <c r="X1418" s="3"/>
      <c r="AD1418" s="117" t="e">
        <f>ROUND(SUM(-G1418,H1418:L1418),0)</f>
        <v>#VALUE!</v>
      </c>
      <c r="AE1418" s="117" t="e">
        <f>ROUND(H1418-O1418-P1418-Q1418-R1418,0)</f>
        <v>#VALUE!</v>
      </c>
      <c r="AF1418" s="117" t="e">
        <f>ROUND(I1418-T1418-U1418-V1418-W1418,0)</f>
        <v>#VALUE!</v>
      </c>
      <c r="AG1418" s="117" t="e">
        <f>ROUND(J1418-Y1418-Z1418-AA1418-AC1418-AB1418,0)</f>
        <v>#VALUE!</v>
      </c>
      <c r="AH1418" s="116"/>
      <c r="AI1418">
        <f t="shared" si="775"/>
        <v>355</v>
      </c>
      <c r="AJ1418" t="str">
        <f t="shared" si="768"/>
        <v>SG</v>
      </c>
      <c r="AK1418" t="str">
        <f>IF(ISERROR(MATCH(AI1418&amp;"."&amp;AJ1418,AK$91:AK1417,0)),AI1418&amp;"."&amp;AJ1418,AI1418&amp;"."&amp;AJ1418&amp;COUNTIFS(AI$91:AI1417,AI1418,AJ$91:AJ1417,AJ1418))</f>
        <v>355.SG2</v>
      </c>
    </row>
    <row r="1419" spans="1:37" ht="15" hidden="1">
      <c r="A1419" s="120">
        <f>ROW()</f>
        <v>1419</v>
      </c>
      <c r="B1419" s="120"/>
      <c r="C1419" s="1"/>
      <c r="E1419" s="121"/>
      <c r="F1419" s="138"/>
      <c r="G1419" s="117" t="e">
        <f t="shared" ref="G1419:L1419" si="785">SUM(G1416:G1418)</f>
        <v>#VALUE!</v>
      </c>
      <c r="H1419" s="116" t="e">
        <f t="shared" si="785"/>
        <v>#VALUE!</v>
      </c>
      <c r="I1419" s="116" t="e">
        <f t="shared" si="785"/>
        <v>#VALUE!</v>
      </c>
      <c r="J1419" s="116" t="e">
        <f t="shared" si="785"/>
        <v>#VALUE!</v>
      </c>
      <c r="K1419" s="116" t="e">
        <f t="shared" si="785"/>
        <v>#VALUE!</v>
      </c>
      <c r="L1419" s="116" t="e">
        <f t="shared" si="785"/>
        <v>#VALUE!</v>
      </c>
      <c r="O1419" s="116">
        <f>SUM(O1416:O1418)</f>
        <v>0</v>
      </c>
      <c r="P1419" s="116">
        <f>SUM(P1416:P1418)</f>
        <v>0</v>
      </c>
      <c r="Q1419" s="116">
        <f>SUM(Q1416:Q1418)</f>
        <v>0</v>
      </c>
      <c r="R1419" s="116">
        <f>SUM(R1416:R1418)</f>
        <v>0</v>
      </c>
      <c r="T1419" s="116" t="e">
        <f>SUM(T1416:T1418)</f>
        <v>#VALUE!</v>
      </c>
      <c r="U1419" s="116" t="e">
        <f>SUM(U1416:U1418)</f>
        <v>#VALUE!</v>
      </c>
      <c r="V1419" s="116" t="e">
        <f>SUM(V1416:V1418)</f>
        <v>#VALUE!</v>
      </c>
      <c r="W1419" s="116" t="e">
        <f>SUM(W1416:W1418)</f>
        <v>#VALUE!</v>
      </c>
      <c r="X1419" s="3"/>
      <c r="Y1419" s="116">
        <f>SUM(Y1416:Y1418)</f>
        <v>0</v>
      </c>
      <c r="Z1419" s="116">
        <f>SUM(Z1416:Z1418)</f>
        <v>0</v>
      </c>
      <c r="AA1419" s="116">
        <f>SUM(AA1416:AA1418)</f>
        <v>0</v>
      </c>
      <c r="AB1419" s="116">
        <f>SUM(AB1416:AB1418)</f>
        <v>0</v>
      </c>
      <c r="AC1419" s="116">
        <f>SUM(AC1416:AC1418)</f>
        <v>0</v>
      </c>
      <c r="AD1419" s="117" t="e">
        <f>ROUND(SUM(-G1419,H1419:L1419),0)</f>
        <v>#VALUE!</v>
      </c>
      <c r="AE1419" s="117" t="e">
        <f>ROUND(H1419-O1419-P1419-Q1419-R1419,0)</f>
        <v>#VALUE!</v>
      </c>
      <c r="AF1419" s="117" t="e">
        <f>ROUND(I1419-T1419-U1419-V1419-W1419,0)</f>
        <v>#VALUE!</v>
      </c>
      <c r="AG1419" s="117" t="e">
        <f>ROUND(J1419-Y1419-Z1419-AA1419-AC1419-AB1419,0)</f>
        <v>#VALUE!</v>
      </c>
      <c r="AH1419" s="116"/>
      <c r="AI1419">
        <f t="shared" si="775"/>
        <v>355</v>
      </c>
      <c r="AJ1419" t="str">
        <f t="shared" si="768"/>
        <v>NA</v>
      </c>
      <c r="AK1419" t="str">
        <f>IF(ISERROR(MATCH(AI1419&amp;"."&amp;AJ1419,AK$91:AK1418,0)),AI1419&amp;"."&amp;AJ1419,AI1419&amp;"."&amp;AJ1419&amp;COUNTIFS(AI$91:AI1418,AI1419,AJ$91:AJ1418,AJ1419))</f>
        <v>355.NA1</v>
      </c>
    </row>
    <row r="1420" spans="1:37" ht="15" hidden="1">
      <c r="A1420" s="120">
        <f>ROW()</f>
        <v>1420</v>
      </c>
      <c r="B1420" s="120"/>
      <c r="C1420" s="1"/>
      <c r="E1420" s="121"/>
      <c r="F1420" s="138"/>
      <c r="G1420" s="119"/>
      <c r="X1420" s="3"/>
      <c r="AD1420" s="119"/>
      <c r="AE1420" s="119"/>
      <c r="AF1420" s="119"/>
      <c r="AG1420" s="119"/>
      <c r="AI1420">
        <f t="shared" si="775"/>
        <v>355</v>
      </c>
      <c r="AJ1420" t="str">
        <f t="shared" si="768"/>
        <v>NA</v>
      </c>
      <c r="AK1420" t="str">
        <f>IF(ISERROR(MATCH(AI1420&amp;"."&amp;AJ1420,AK$91:AK1419,0)),AI1420&amp;"."&amp;AJ1420,AI1420&amp;"."&amp;AJ1420&amp;COUNTIFS(AI$91:AI1419,AI1420,AJ$91:AJ1419,AJ1420))</f>
        <v>355.NA2</v>
      </c>
    </row>
    <row r="1421" spans="1:37" ht="15" hidden="1">
      <c r="A1421" s="120">
        <f>ROW()</f>
        <v>1421</v>
      </c>
      <c r="B1421" s="120"/>
      <c r="C1421" s="1">
        <v>356</v>
      </c>
      <c r="D1421" s="2" t="s">
        <v>540</v>
      </c>
      <c r="E1421" s="121"/>
      <c r="F1421" s="138"/>
      <c r="G1421" s="119"/>
      <c r="X1421" s="3"/>
      <c r="AD1421" s="119"/>
      <c r="AE1421" s="119"/>
      <c r="AF1421" s="119"/>
      <c r="AG1421" s="119"/>
      <c r="AI1421">
        <f t="shared" si="775"/>
        <v>356</v>
      </c>
      <c r="AJ1421" t="str">
        <f t="shared" si="768"/>
        <v>NA</v>
      </c>
      <c r="AK1421" t="str">
        <f>IF(ISERROR(MATCH(AI1421&amp;"."&amp;AJ1421,AK$91:AK1420,0)),AI1421&amp;"."&amp;AJ1421,AI1421&amp;"."&amp;AJ1421&amp;COUNTIFS(AI$91:AI1420,AI1421,AJ$91:AJ1420,AJ1421))</f>
        <v>356.NA</v>
      </c>
    </row>
    <row r="1422" spans="1:37" ht="15" hidden="1">
      <c r="A1422" s="120">
        <f>ROW()</f>
        <v>1422</v>
      </c>
      <c r="B1422" s="120"/>
      <c r="C1422" s="1"/>
      <c r="E1422" s="121" t="s">
        <v>15</v>
      </c>
      <c r="F1422" s="138" t="str">
        <f>INDEX(FuncAllocOptions,ROW(A1422)-ROW($A$92)+1,[4]Inputs!$S$11)</f>
        <v>T</v>
      </c>
      <c r="G1422" s="117" t="e">
        <f>SUMIF(FERCJAMFactor,AK1422,JAMValue)</f>
        <v>#VALUE!</v>
      </c>
      <c r="H1422" s="116" t="e">
        <f t="shared" ref="H1422:L1424" si="786">INDEX(FuncFactorTbl,MATCH($F1422,FuncFactors,0),MATCH(H$8,Functions,0))*$G1422</f>
        <v>#VALUE!</v>
      </c>
      <c r="I1422" s="116" t="e">
        <f t="shared" si="786"/>
        <v>#VALUE!</v>
      </c>
      <c r="J1422" s="116" t="e">
        <f t="shared" si="786"/>
        <v>#VALUE!</v>
      </c>
      <c r="K1422" s="116" t="e">
        <f t="shared" si="786"/>
        <v>#VALUE!</v>
      </c>
      <c r="L1422" s="116" t="e">
        <f t="shared" si="786"/>
        <v>#VALUE!</v>
      </c>
      <c r="S1422" s="108">
        <v>0.75</v>
      </c>
      <c r="T1422" s="116" t="e">
        <f>$I1422*$S1422*$M1422</f>
        <v>#VALUE!</v>
      </c>
      <c r="U1422" s="116" t="e">
        <f>$I1422*(1-$S1422)*$M1422</f>
        <v>#VALUE!</v>
      </c>
      <c r="V1422" s="116" t="e">
        <f>$I1422*$S1422*(1-$M1422)</f>
        <v>#VALUE!</v>
      </c>
      <c r="W1422" s="116" t="e">
        <f>$I1422*(1-$S1422)*(1-$M1422)</f>
        <v>#VALUE!</v>
      </c>
      <c r="X1422" s="3"/>
      <c r="AD1422" s="117" t="e">
        <f>ROUND(SUM(-G1422,H1422:L1422),0)</f>
        <v>#VALUE!</v>
      </c>
      <c r="AE1422" s="117" t="e">
        <f>ROUND(H1422-O1422-P1422-Q1422-R1422,0)</f>
        <v>#VALUE!</v>
      </c>
      <c r="AF1422" s="117" t="e">
        <f>ROUND(I1422-T1422-U1422-V1422-W1422,0)</f>
        <v>#VALUE!</v>
      </c>
      <c r="AG1422" s="117" t="e">
        <f>ROUND(J1422-Y1422-Z1422-AA1422-AC1422-AB1422,0)</f>
        <v>#VALUE!</v>
      </c>
      <c r="AH1422" s="116"/>
      <c r="AI1422">
        <f t="shared" si="775"/>
        <v>356</v>
      </c>
      <c r="AJ1422" t="str">
        <f t="shared" si="768"/>
        <v>SG</v>
      </c>
      <c r="AK1422" t="str">
        <f>IF(ISERROR(MATCH(AI1422&amp;"."&amp;AJ1422,AK$91:AK1421,0)),AI1422&amp;"."&amp;AJ1422,AI1422&amp;"."&amp;AJ1422&amp;COUNTIFS(AI$91:AI1421,AI1422,AJ$91:AJ1421,AJ1422))</f>
        <v>356.SG</v>
      </c>
    </row>
    <row r="1423" spans="1:37" ht="15" hidden="1">
      <c r="A1423" s="120">
        <f>ROW()</f>
        <v>1423</v>
      </c>
      <c r="B1423" s="120"/>
      <c r="C1423" s="1"/>
      <c r="E1423" s="121" t="s">
        <v>15</v>
      </c>
      <c r="F1423" s="138" t="str">
        <f>INDEX(FuncAllocOptions,ROW(A1423)-ROW($A$92)+1,[4]Inputs!$S$11)</f>
        <v>T</v>
      </c>
      <c r="G1423" s="117" t="e">
        <f>SUMIF(FERCJAMFactor,AK1423,JAMValue)</f>
        <v>#VALUE!</v>
      </c>
      <c r="H1423" s="116" t="e">
        <f t="shared" si="786"/>
        <v>#VALUE!</v>
      </c>
      <c r="I1423" s="116" t="e">
        <f t="shared" si="786"/>
        <v>#VALUE!</v>
      </c>
      <c r="J1423" s="116" t="e">
        <f t="shared" si="786"/>
        <v>#VALUE!</v>
      </c>
      <c r="K1423" s="116" t="e">
        <f t="shared" si="786"/>
        <v>#VALUE!</v>
      </c>
      <c r="L1423" s="116" t="e">
        <f t="shared" si="786"/>
        <v>#VALUE!</v>
      </c>
      <c r="S1423" s="108">
        <v>0.75</v>
      </c>
      <c r="T1423" s="116" t="e">
        <f>$I1423*$S1423*$M1423</f>
        <v>#VALUE!</v>
      </c>
      <c r="U1423" s="116" t="e">
        <f>$I1423*(1-$S1423)*$M1423</f>
        <v>#VALUE!</v>
      </c>
      <c r="V1423" s="116" t="e">
        <f>$I1423*$S1423*(1-$M1423)</f>
        <v>#VALUE!</v>
      </c>
      <c r="W1423" s="116" t="e">
        <f>$I1423*(1-$S1423)*(1-$M1423)</f>
        <v>#VALUE!</v>
      </c>
      <c r="X1423" s="3"/>
      <c r="AD1423" s="117" t="e">
        <f>ROUND(SUM(-G1423,H1423:L1423),0)</f>
        <v>#VALUE!</v>
      </c>
      <c r="AE1423" s="117" t="e">
        <f>ROUND(H1423-O1423-P1423-Q1423-R1423,0)</f>
        <v>#VALUE!</v>
      </c>
      <c r="AF1423" s="117" t="e">
        <f>ROUND(I1423-T1423-U1423-V1423-W1423,0)</f>
        <v>#VALUE!</v>
      </c>
      <c r="AG1423" s="117" t="e">
        <f>ROUND(J1423-Y1423-Z1423-AA1423-AC1423-AB1423,0)</f>
        <v>#VALUE!</v>
      </c>
      <c r="AH1423" s="116"/>
      <c r="AI1423">
        <f t="shared" si="775"/>
        <v>356</v>
      </c>
      <c r="AJ1423" t="str">
        <f t="shared" si="768"/>
        <v>SG</v>
      </c>
      <c r="AK1423" t="str">
        <f>IF(ISERROR(MATCH(AI1423&amp;"."&amp;AJ1423,AK$91:AK1422,0)),AI1423&amp;"."&amp;AJ1423,AI1423&amp;"."&amp;AJ1423&amp;COUNTIFS(AI$91:AI1422,AI1423,AJ$91:AJ1422,AJ1423))</f>
        <v>356.SG1</v>
      </c>
    </row>
    <row r="1424" spans="1:37" ht="15" hidden="1">
      <c r="A1424" s="120">
        <f>ROW()</f>
        <v>1424</v>
      </c>
      <c r="B1424" s="120"/>
      <c r="C1424" s="1"/>
      <c r="E1424" s="121" t="s">
        <v>15</v>
      </c>
      <c r="F1424" s="138" t="str">
        <f>INDEX(FuncAllocOptions,ROW(A1424)-ROW($A$92)+1,[4]Inputs!$S$11)</f>
        <v>T</v>
      </c>
      <c r="G1424" s="133" t="e">
        <f>SUMIF(FERCJAMFactor,AK1424,JAMValue)</f>
        <v>#VALUE!</v>
      </c>
      <c r="H1424" s="139" t="e">
        <f t="shared" si="786"/>
        <v>#VALUE!</v>
      </c>
      <c r="I1424" s="139" t="e">
        <f t="shared" si="786"/>
        <v>#VALUE!</v>
      </c>
      <c r="J1424" s="139" t="e">
        <f t="shared" si="786"/>
        <v>#VALUE!</v>
      </c>
      <c r="K1424" s="139" t="e">
        <f t="shared" si="786"/>
        <v>#VALUE!</v>
      </c>
      <c r="L1424" s="139" t="e">
        <f t="shared" si="786"/>
        <v>#VALUE!</v>
      </c>
      <c r="S1424" s="108">
        <v>0.75</v>
      </c>
      <c r="T1424" s="116" t="e">
        <f>$I1424*$S1424*$M1424</f>
        <v>#VALUE!</v>
      </c>
      <c r="U1424" s="116" t="e">
        <f>$I1424*(1-$S1424)*$M1424</f>
        <v>#VALUE!</v>
      </c>
      <c r="V1424" s="116" t="e">
        <f>$I1424*$S1424*(1-$M1424)</f>
        <v>#VALUE!</v>
      </c>
      <c r="W1424" s="116" t="e">
        <f>$I1424*(1-$S1424)*(1-$M1424)</f>
        <v>#VALUE!</v>
      </c>
      <c r="X1424" s="3"/>
      <c r="AD1424" s="117" t="e">
        <f>ROUND(SUM(-G1424,H1424:L1424),0)</f>
        <v>#VALUE!</v>
      </c>
      <c r="AE1424" s="117" t="e">
        <f>ROUND(H1424-O1424-P1424-Q1424-R1424,0)</f>
        <v>#VALUE!</v>
      </c>
      <c r="AF1424" s="117" t="e">
        <f>ROUND(I1424-T1424-U1424-V1424-W1424,0)</f>
        <v>#VALUE!</v>
      </c>
      <c r="AG1424" s="117" t="e">
        <f>ROUND(J1424-Y1424-Z1424-AA1424-AC1424-AB1424,0)</f>
        <v>#VALUE!</v>
      </c>
      <c r="AH1424" s="116"/>
      <c r="AI1424">
        <f t="shared" si="775"/>
        <v>356</v>
      </c>
      <c r="AJ1424" t="str">
        <f t="shared" si="768"/>
        <v>SG</v>
      </c>
      <c r="AK1424" t="str">
        <f>IF(ISERROR(MATCH(AI1424&amp;"."&amp;AJ1424,AK$91:AK1423,0)),AI1424&amp;"."&amp;AJ1424,AI1424&amp;"."&amp;AJ1424&amp;COUNTIFS(AI$91:AI1423,AI1424,AJ$91:AJ1423,AJ1424))</f>
        <v>356.SG2</v>
      </c>
    </row>
    <row r="1425" spans="1:37" ht="15" hidden="1">
      <c r="A1425" s="120">
        <f>ROW()</f>
        <v>1425</v>
      </c>
      <c r="B1425" s="120"/>
      <c r="C1425" s="1"/>
      <c r="E1425" s="121"/>
      <c r="F1425" s="138"/>
      <c r="G1425" s="117" t="e">
        <f t="shared" ref="G1425:L1425" si="787">SUM(G1422:G1424)</f>
        <v>#VALUE!</v>
      </c>
      <c r="H1425" s="116" t="e">
        <f t="shared" si="787"/>
        <v>#VALUE!</v>
      </c>
      <c r="I1425" s="116" t="e">
        <f t="shared" si="787"/>
        <v>#VALUE!</v>
      </c>
      <c r="J1425" s="116" t="e">
        <f t="shared" si="787"/>
        <v>#VALUE!</v>
      </c>
      <c r="K1425" s="116" t="e">
        <f t="shared" si="787"/>
        <v>#VALUE!</v>
      </c>
      <c r="L1425" s="116" t="e">
        <f t="shared" si="787"/>
        <v>#VALUE!</v>
      </c>
      <c r="O1425" s="116">
        <f>SUM(O1422:O1424)</f>
        <v>0</v>
      </c>
      <c r="P1425" s="116">
        <f>SUM(P1422:P1424)</f>
        <v>0</v>
      </c>
      <c r="Q1425" s="116">
        <f>SUM(Q1422:Q1424)</f>
        <v>0</v>
      </c>
      <c r="R1425" s="116">
        <f>SUM(R1422:R1424)</f>
        <v>0</v>
      </c>
      <c r="T1425" s="116" t="e">
        <f>SUM(T1422:T1424)</f>
        <v>#VALUE!</v>
      </c>
      <c r="U1425" s="116" t="e">
        <f>SUM(U1422:U1424)</f>
        <v>#VALUE!</v>
      </c>
      <c r="V1425" s="116" t="e">
        <f>SUM(V1422:V1424)</f>
        <v>#VALUE!</v>
      </c>
      <c r="W1425" s="116" t="e">
        <f>SUM(W1422:W1424)</f>
        <v>#VALUE!</v>
      </c>
      <c r="X1425" s="3"/>
      <c r="Y1425" s="116">
        <f>SUM(Y1422:Y1424)</f>
        <v>0</v>
      </c>
      <c r="Z1425" s="116">
        <f>SUM(Z1422:Z1424)</f>
        <v>0</v>
      </c>
      <c r="AA1425" s="116">
        <f>SUM(AA1422:AA1424)</f>
        <v>0</v>
      </c>
      <c r="AB1425" s="116">
        <f>SUM(AB1422:AB1424)</f>
        <v>0</v>
      </c>
      <c r="AC1425" s="116">
        <f>SUM(AC1422:AC1424)</f>
        <v>0</v>
      </c>
      <c r="AD1425" s="117" t="e">
        <f>ROUND(SUM(-G1425,H1425:L1425),0)</f>
        <v>#VALUE!</v>
      </c>
      <c r="AE1425" s="117" t="e">
        <f>ROUND(H1425-O1425-P1425-Q1425-R1425,0)</f>
        <v>#VALUE!</v>
      </c>
      <c r="AF1425" s="117" t="e">
        <f>ROUND(I1425-T1425-U1425-V1425-W1425,0)</f>
        <v>#VALUE!</v>
      </c>
      <c r="AG1425" s="117" t="e">
        <f>ROUND(J1425-Y1425-Z1425-AA1425-AC1425-AB1425,0)</f>
        <v>#VALUE!</v>
      </c>
      <c r="AH1425" s="116"/>
      <c r="AI1425">
        <f t="shared" si="775"/>
        <v>356</v>
      </c>
      <c r="AJ1425" t="str">
        <f t="shared" si="768"/>
        <v>NA</v>
      </c>
      <c r="AK1425" t="str">
        <f>IF(ISERROR(MATCH(AI1425&amp;"."&amp;AJ1425,AK$91:AK1424,0)),AI1425&amp;"."&amp;AJ1425,AI1425&amp;"."&amp;AJ1425&amp;COUNTIFS(AI$91:AI1424,AI1425,AJ$91:AJ1424,AJ1425))</f>
        <v>356.NA1</v>
      </c>
    </row>
    <row r="1426" spans="1:37" ht="15" hidden="1">
      <c r="A1426" s="120">
        <f>ROW()</f>
        <v>1426</v>
      </c>
      <c r="B1426" s="120"/>
      <c r="C1426" s="1"/>
      <c r="E1426" s="121"/>
      <c r="F1426" s="138"/>
      <c r="G1426" s="119"/>
      <c r="X1426" s="3"/>
      <c r="AD1426" s="119"/>
      <c r="AE1426" s="119"/>
      <c r="AF1426" s="119"/>
      <c r="AG1426" s="119"/>
      <c r="AI1426">
        <f t="shared" si="775"/>
        <v>356</v>
      </c>
      <c r="AJ1426" t="str">
        <f t="shared" si="768"/>
        <v>NA</v>
      </c>
      <c r="AK1426" t="str">
        <f>IF(ISERROR(MATCH(AI1426&amp;"."&amp;AJ1426,AK$91:AK1425,0)),AI1426&amp;"."&amp;AJ1426,AI1426&amp;"."&amp;AJ1426&amp;COUNTIFS(AI$91:AI1425,AI1426,AJ$91:AJ1425,AJ1426))</f>
        <v>356.NA2</v>
      </c>
    </row>
    <row r="1427" spans="1:37" ht="15" hidden="1">
      <c r="A1427" s="120">
        <f>ROW()</f>
        <v>1427</v>
      </c>
      <c r="B1427" s="120"/>
      <c r="C1427" s="1">
        <v>357</v>
      </c>
      <c r="D1427" s="2" t="s">
        <v>541</v>
      </c>
      <c r="E1427" s="121"/>
      <c r="F1427" s="138"/>
      <c r="G1427" s="119"/>
      <c r="X1427" s="3"/>
      <c r="AD1427" s="119"/>
      <c r="AE1427" s="119"/>
      <c r="AF1427" s="119"/>
      <c r="AG1427" s="119"/>
      <c r="AI1427">
        <f t="shared" si="775"/>
        <v>357</v>
      </c>
      <c r="AJ1427" t="str">
        <f t="shared" si="768"/>
        <v>NA</v>
      </c>
      <c r="AK1427" t="str">
        <f>IF(ISERROR(MATCH(AI1427&amp;"."&amp;AJ1427,AK$91:AK1426,0)),AI1427&amp;"."&amp;AJ1427,AI1427&amp;"."&amp;AJ1427&amp;COUNTIFS(AI$91:AI1426,AI1427,AJ$91:AJ1426,AJ1427))</f>
        <v>357.NA</v>
      </c>
    </row>
    <row r="1428" spans="1:37" ht="15" hidden="1">
      <c r="A1428" s="120">
        <f>ROW()</f>
        <v>1428</v>
      </c>
      <c r="B1428" s="120"/>
      <c r="C1428" s="1"/>
      <c r="E1428" s="121" t="s">
        <v>15</v>
      </c>
      <c r="F1428" s="138" t="str">
        <f>INDEX(FuncAllocOptions,ROW(A1428)-ROW($A$92)+1,[4]Inputs!$S$11)</f>
        <v>T</v>
      </c>
      <c r="G1428" s="117" t="e">
        <f>SUMIF(FERCJAMFactor,AK1428,JAMValue)</f>
        <v>#VALUE!</v>
      </c>
      <c r="H1428" s="116" t="e">
        <f t="shared" ref="H1428:L1430" si="788">INDEX(FuncFactorTbl,MATCH($F1428,FuncFactors,0),MATCH(H$8,Functions,0))*$G1428</f>
        <v>#VALUE!</v>
      </c>
      <c r="I1428" s="116" t="e">
        <f t="shared" si="788"/>
        <v>#VALUE!</v>
      </c>
      <c r="J1428" s="116" t="e">
        <f t="shared" si="788"/>
        <v>#VALUE!</v>
      </c>
      <c r="K1428" s="116" t="e">
        <f t="shared" si="788"/>
        <v>#VALUE!</v>
      </c>
      <c r="L1428" s="116" t="e">
        <f t="shared" si="788"/>
        <v>#VALUE!</v>
      </c>
      <c r="S1428" s="108">
        <v>0.75</v>
      </c>
      <c r="T1428" s="116" t="e">
        <f>$I1428*$S1428*$M1428</f>
        <v>#VALUE!</v>
      </c>
      <c r="U1428" s="116" t="e">
        <f>$I1428*(1-$S1428)*$M1428</f>
        <v>#VALUE!</v>
      </c>
      <c r="V1428" s="116" t="e">
        <f>$I1428*$S1428*(1-$M1428)</f>
        <v>#VALUE!</v>
      </c>
      <c r="W1428" s="116" t="e">
        <f>$I1428*(1-$S1428)*(1-$M1428)</f>
        <v>#VALUE!</v>
      </c>
      <c r="X1428" s="3"/>
      <c r="AD1428" s="117" t="e">
        <f>ROUND(SUM(-G1428,H1428:L1428),0)</f>
        <v>#VALUE!</v>
      </c>
      <c r="AE1428" s="117" t="e">
        <f>ROUND(H1428-O1428-P1428-Q1428-R1428,0)</f>
        <v>#VALUE!</v>
      </c>
      <c r="AF1428" s="117" t="e">
        <f>ROUND(I1428-T1428-U1428-V1428-W1428,0)</f>
        <v>#VALUE!</v>
      </c>
      <c r="AG1428" s="117" t="e">
        <f>ROUND(J1428-Y1428-Z1428-AA1428-AC1428-AB1428,0)</f>
        <v>#VALUE!</v>
      </c>
      <c r="AH1428" s="116"/>
      <c r="AI1428">
        <f t="shared" si="775"/>
        <v>357</v>
      </c>
      <c r="AJ1428" t="str">
        <f t="shared" si="768"/>
        <v>SG</v>
      </c>
      <c r="AK1428" t="str">
        <f>IF(ISERROR(MATCH(AI1428&amp;"."&amp;AJ1428,AK$91:AK1427,0)),AI1428&amp;"."&amp;AJ1428,AI1428&amp;"."&amp;AJ1428&amp;COUNTIFS(AI$91:AI1427,AI1428,AJ$91:AJ1427,AJ1428))</f>
        <v>357.SG</v>
      </c>
    </row>
    <row r="1429" spans="1:37" ht="15" hidden="1">
      <c r="A1429" s="120">
        <f>ROW()</f>
        <v>1429</v>
      </c>
      <c r="B1429" s="120"/>
      <c r="C1429" s="1"/>
      <c r="E1429" s="121" t="s">
        <v>15</v>
      </c>
      <c r="F1429" s="138" t="str">
        <f>INDEX(FuncAllocOptions,ROW(A1429)-ROW($A$92)+1,[4]Inputs!$S$11)</f>
        <v>T</v>
      </c>
      <c r="G1429" s="117" t="e">
        <f>SUMIF(FERCJAMFactor,AK1429,JAMValue)</f>
        <v>#VALUE!</v>
      </c>
      <c r="H1429" s="116" t="e">
        <f t="shared" si="788"/>
        <v>#VALUE!</v>
      </c>
      <c r="I1429" s="116" t="e">
        <f t="shared" si="788"/>
        <v>#VALUE!</v>
      </c>
      <c r="J1429" s="116" t="e">
        <f t="shared" si="788"/>
        <v>#VALUE!</v>
      </c>
      <c r="K1429" s="116" t="e">
        <f t="shared" si="788"/>
        <v>#VALUE!</v>
      </c>
      <c r="L1429" s="116" t="e">
        <f t="shared" si="788"/>
        <v>#VALUE!</v>
      </c>
      <c r="S1429" s="108">
        <v>0.75</v>
      </c>
      <c r="T1429" s="116" t="e">
        <f>$I1429*$S1429*$M1429</f>
        <v>#VALUE!</v>
      </c>
      <c r="U1429" s="116" t="e">
        <f>$I1429*(1-$S1429)*$M1429</f>
        <v>#VALUE!</v>
      </c>
      <c r="V1429" s="116" t="e">
        <f>$I1429*$S1429*(1-$M1429)</f>
        <v>#VALUE!</v>
      </c>
      <c r="W1429" s="116" t="e">
        <f>$I1429*(1-$S1429)*(1-$M1429)</f>
        <v>#VALUE!</v>
      </c>
      <c r="X1429" s="3"/>
      <c r="AD1429" s="117" t="e">
        <f>ROUND(SUM(-G1429,H1429:L1429),0)</f>
        <v>#VALUE!</v>
      </c>
      <c r="AE1429" s="117" t="e">
        <f>ROUND(H1429-O1429-P1429-Q1429-R1429,0)</f>
        <v>#VALUE!</v>
      </c>
      <c r="AF1429" s="117" t="e">
        <f>ROUND(I1429-T1429-U1429-V1429-W1429,0)</f>
        <v>#VALUE!</v>
      </c>
      <c r="AG1429" s="117" t="e">
        <f>ROUND(J1429-Y1429-Z1429-AA1429-AC1429-AB1429,0)</f>
        <v>#VALUE!</v>
      </c>
      <c r="AH1429" s="116"/>
      <c r="AI1429">
        <f t="shared" si="775"/>
        <v>357</v>
      </c>
      <c r="AJ1429" t="str">
        <f t="shared" si="768"/>
        <v>SG</v>
      </c>
      <c r="AK1429" t="str">
        <f>IF(ISERROR(MATCH(AI1429&amp;"."&amp;AJ1429,AK$91:AK1428,0)),AI1429&amp;"."&amp;AJ1429,AI1429&amp;"."&amp;AJ1429&amp;COUNTIFS(AI$91:AI1428,AI1429,AJ$91:AJ1428,AJ1429))</f>
        <v>357.SG1</v>
      </c>
    </row>
    <row r="1430" spans="1:37" ht="15" hidden="1">
      <c r="A1430" s="120">
        <f>ROW()</f>
        <v>1430</v>
      </c>
      <c r="B1430" s="120"/>
      <c r="C1430" s="1"/>
      <c r="E1430" s="121" t="s">
        <v>15</v>
      </c>
      <c r="F1430" s="138" t="str">
        <f>INDEX(FuncAllocOptions,ROW(A1430)-ROW($A$92)+1,[4]Inputs!$S$11)</f>
        <v>T</v>
      </c>
      <c r="G1430" s="133" t="e">
        <f>SUMIF(FERCJAMFactor,AK1430,JAMValue)</f>
        <v>#VALUE!</v>
      </c>
      <c r="H1430" s="139" t="e">
        <f t="shared" si="788"/>
        <v>#VALUE!</v>
      </c>
      <c r="I1430" s="139" t="e">
        <f t="shared" si="788"/>
        <v>#VALUE!</v>
      </c>
      <c r="J1430" s="139" t="e">
        <f t="shared" si="788"/>
        <v>#VALUE!</v>
      </c>
      <c r="K1430" s="139" t="e">
        <f t="shared" si="788"/>
        <v>#VALUE!</v>
      </c>
      <c r="L1430" s="139" t="e">
        <f t="shared" si="788"/>
        <v>#VALUE!</v>
      </c>
      <c r="S1430" s="108">
        <v>0.75</v>
      </c>
      <c r="T1430" s="116" t="e">
        <f>$I1430*$S1430*$M1430</f>
        <v>#VALUE!</v>
      </c>
      <c r="U1430" s="116" t="e">
        <f>$I1430*(1-$S1430)*$M1430</f>
        <v>#VALUE!</v>
      </c>
      <c r="V1430" s="116" t="e">
        <f>$I1430*$S1430*(1-$M1430)</f>
        <v>#VALUE!</v>
      </c>
      <c r="W1430" s="116" t="e">
        <f>$I1430*(1-$S1430)*(1-$M1430)</f>
        <v>#VALUE!</v>
      </c>
      <c r="X1430" s="3"/>
      <c r="AD1430" s="117" t="e">
        <f>ROUND(SUM(-G1430,H1430:L1430),0)</f>
        <v>#VALUE!</v>
      </c>
      <c r="AE1430" s="117" t="e">
        <f>ROUND(H1430-O1430-P1430-Q1430-R1430,0)</f>
        <v>#VALUE!</v>
      </c>
      <c r="AF1430" s="117" t="e">
        <f>ROUND(I1430-T1430-U1430-V1430-W1430,0)</f>
        <v>#VALUE!</v>
      </c>
      <c r="AG1430" s="117" t="e">
        <f>ROUND(J1430-Y1430-Z1430-AA1430-AC1430-AB1430,0)</f>
        <v>#VALUE!</v>
      </c>
      <c r="AH1430" s="116"/>
      <c r="AI1430">
        <f t="shared" si="775"/>
        <v>357</v>
      </c>
      <c r="AJ1430" t="str">
        <f t="shared" si="768"/>
        <v>SG</v>
      </c>
      <c r="AK1430" t="str">
        <f>IF(ISERROR(MATCH(AI1430&amp;"."&amp;AJ1430,AK$91:AK1429,0)),AI1430&amp;"."&amp;AJ1430,AI1430&amp;"."&amp;AJ1430&amp;COUNTIFS(AI$91:AI1429,AI1430,AJ$91:AJ1429,AJ1430))</f>
        <v>357.SG2</v>
      </c>
    </row>
    <row r="1431" spans="1:37" ht="15" hidden="1">
      <c r="A1431" s="120">
        <f>ROW()</f>
        <v>1431</v>
      </c>
      <c r="B1431" s="120"/>
      <c r="C1431" s="1"/>
      <c r="E1431" s="121"/>
      <c r="F1431" s="138"/>
      <c r="G1431" s="117" t="e">
        <f t="shared" ref="G1431:L1431" si="789">SUM(G1428:G1430)</f>
        <v>#VALUE!</v>
      </c>
      <c r="H1431" s="116" t="e">
        <f t="shared" si="789"/>
        <v>#VALUE!</v>
      </c>
      <c r="I1431" s="116" t="e">
        <f t="shared" si="789"/>
        <v>#VALUE!</v>
      </c>
      <c r="J1431" s="116" t="e">
        <f t="shared" si="789"/>
        <v>#VALUE!</v>
      </c>
      <c r="K1431" s="116" t="e">
        <f t="shared" si="789"/>
        <v>#VALUE!</v>
      </c>
      <c r="L1431" s="116" t="e">
        <f t="shared" si="789"/>
        <v>#VALUE!</v>
      </c>
      <c r="O1431" s="116">
        <f>SUM(O1428:O1430)</f>
        <v>0</v>
      </c>
      <c r="P1431" s="116">
        <f>SUM(P1428:P1430)</f>
        <v>0</v>
      </c>
      <c r="Q1431" s="116">
        <f>SUM(Q1428:Q1430)</f>
        <v>0</v>
      </c>
      <c r="R1431" s="116">
        <f>SUM(R1428:R1430)</f>
        <v>0</v>
      </c>
      <c r="T1431" s="116" t="e">
        <f>SUM(T1428:T1430)</f>
        <v>#VALUE!</v>
      </c>
      <c r="U1431" s="116" t="e">
        <f>SUM(U1428:U1430)</f>
        <v>#VALUE!</v>
      </c>
      <c r="V1431" s="116" t="e">
        <f>SUM(V1428:V1430)</f>
        <v>#VALUE!</v>
      </c>
      <c r="W1431" s="116" t="e">
        <f>SUM(W1428:W1430)</f>
        <v>#VALUE!</v>
      </c>
      <c r="X1431" s="3"/>
      <c r="Y1431" s="116">
        <f>SUM(Y1428:Y1430)</f>
        <v>0</v>
      </c>
      <c r="Z1431" s="116">
        <f>SUM(Z1428:Z1430)</f>
        <v>0</v>
      </c>
      <c r="AA1431" s="116">
        <f>SUM(AA1428:AA1430)</f>
        <v>0</v>
      </c>
      <c r="AB1431" s="116">
        <f>SUM(AB1428:AB1430)</f>
        <v>0</v>
      </c>
      <c r="AC1431" s="116">
        <f>SUM(AC1428:AC1430)</f>
        <v>0</v>
      </c>
      <c r="AD1431" s="117" t="e">
        <f>ROUND(SUM(-G1431,H1431:L1431),0)</f>
        <v>#VALUE!</v>
      </c>
      <c r="AE1431" s="117" t="e">
        <f>ROUND(H1431-O1431-P1431-Q1431-R1431,0)</f>
        <v>#VALUE!</v>
      </c>
      <c r="AF1431" s="117" t="e">
        <f>ROUND(I1431-T1431-U1431-V1431-W1431,0)</f>
        <v>#VALUE!</v>
      </c>
      <c r="AG1431" s="117" t="e">
        <f>ROUND(J1431-Y1431-Z1431-AA1431-AC1431-AB1431,0)</f>
        <v>#VALUE!</v>
      </c>
      <c r="AH1431" s="116"/>
      <c r="AI1431">
        <f t="shared" si="775"/>
        <v>357</v>
      </c>
      <c r="AJ1431" t="str">
        <f t="shared" si="768"/>
        <v>NA</v>
      </c>
      <c r="AK1431" t="str">
        <f>IF(ISERROR(MATCH(AI1431&amp;"."&amp;AJ1431,AK$91:AK1430,0)),AI1431&amp;"."&amp;AJ1431,AI1431&amp;"."&amp;AJ1431&amp;COUNTIFS(AI$91:AI1430,AI1431,AJ$91:AJ1430,AJ1431))</f>
        <v>357.NA1</v>
      </c>
    </row>
    <row r="1432" spans="1:37" ht="15" hidden="1">
      <c r="A1432" s="120">
        <f>ROW()</f>
        <v>1432</v>
      </c>
      <c r="B1432" s="120"/>
      <c r="C1432" s="1"/>
      <c r="E1432" s="121"/>
      <c r="F1432" s="138"/>
      <c r="G1432" s="119"/>
      <c r="X1432" s="3"/>
      <c r="AD1432" s="119"/>
      <c r="AE1432" s="119"/>
      <c r="AF1432" s="119"/>
      <c r="AG1432" s="119"/>
      <c r="AI1432">
        <f t="shared" si="775"/>
        <v>357</v>
      </c>
      <c r="AJ1432" t="str">
        <f t="shared" si="768"/>
        <v>NA</v>
      </c>
      <c r="AK1432" t="str">
        <f>IF(ISERROR(MATCH(AI1432&amp;"."&amp;AJ1432,AK$91:AK1431,0)),AI1432&amp;"."&amp;AJ1432,AI1432&amp;"."&amp;AJ1432&amp;COUNTIFS(AI$91:AI1431,AI1432,AJ$91:AJ1431,AJ1432))</f>
        <v>357.NA2</v>
      </c>
    </row>
    <row r="1433" spans="1:37" ht="15" hidden="1">
      <c r="A1433" s="120">
        <f>ROW()</f>
        <v>1433</v>
      </c>
      <c r="B1433" s="120"/>
      <c r="C1433" s="1">
        <v>358</v>
      </c>
      <c r="D1433" s="2" t="s">
        <v>542</v>
      </c>
      <c r="E1433" s="121"/>
      <c r="F1433" s="138"/>
      <c r="G1433" s="119"/>
      <c r="X1433" s="3"/>
      <c r="AD1433" s="119"/>
      <c r="AE1433" s="119"/>
      <c r="AF1433" s="119"/>
      <c r="AG1433" s="119"/>
      <c r="AI1433">
        <f t="shared" si="775"/>
        <v>358</v>
      </c>
      <c r="AJ1433" t="str">
        <f t="shared" si="768"/>
        <v>NA</v>
      </c>
      <c r="AK1433" t="str">
        <f>IF(ISERROR(MATCH(AI1433&amp;"."&amp;AJ1433,AK$91:AK1432,0)),AI1433&amp;"."&amp;AJ1433,AI1433&amp;"."&amp;AJ1433&amp;COUNTIFS(AI$91:AI1432,AI1433,AJ$91:AJ1432,AJ1433))</f>
        <v>358.NA</v>
      </c>
    </row>
    <row r="1434" spans="1:37" ht="15" hidden="1">
      <c r="A1434" s="120">
        <f>ROW()</f>
        <v>1434</v>
      </c>
      <c r="B1434" s="120"/>
      <c r="C1434" s="1"/>
      <c r="E1434" s="121" t="s">
        <v>15</v>
      </c>
      <c r="F1434" s="138" t="str">
        <f>INDEX(FuncAllocOptions,ROW(A1434)-ROW($A$92)+1,[4]Inputs!$S$11)</f>
        <v>T</v>
      </c>
      <c r="G1434" s="117" t="e">
        <f>SUMIF(FERCJAMFactor,AK1434,JAMValue)</f>
        <v>#VALUE!</v>
      </c>
      <c r="H1434" s="116" t="e">
        <f t="shared" ref="H1434:L1436" si="790">INDEX(FuncFactorTbl,MATCH($F1434,FuncFactors,0),MATCH(H$8,Functions,0))*$G1434</f>
        <v>#VALUE!</v>
      </c>
      <c r="I1434" s="116" t="e">
        <f t="shared" si="790"/>
        <v>#VALUE!</v>
      </c>
      <c r="J1434" s="116" t="e">
        <f t="shared" si="790"/>
        <v>#VALUE!</v>
      </c>
      <c r="K1434" s="116" t="e">
        <f t="shared" si="790"/>
        <v>#VALUE!</v>
      </c>
      <c r="L1434" s="116" t="e">
        <f t="shared" si="790"/>
        <v>#VALUE!</v>
      </c>
      <c r="S1434" s="108">
        <v>0.75</v>
      </c>
      <c r="T1434" s="116" t="e">
        <f>$I1434*$S1434*$M1434</f>
        <v>#VALUE!</v>
      </c>
      <c r="U1434" s="116" t="e">
        <f>$I1434*(1-$S1434)*$M1434</f>
        <v>#VALUE!</v>
      </c>
      <c r="V1434" s="116" t="e">
        <f>$I1434*$S1434*(1-$M1434)</f>
        <v>#VALUE!</v>
      </c>
      <c r="W1434" s="116" t="e">
        <f>$I1434*(1-$S1434)*(1-$M1434)</f>
        <v>#VALUE!</v>
      </c>
      <c r="X1434" s="3"/>
      <c r="AD1434" s="117" t="e">
        <f>ROUND(SUM(-G1434,H1434:L1434),0)</f>
        <v>#VALUE!</v>
      </c>
      <c r="AE1434" s="117" t="e">
        <f>ROUND(H1434-O1434-P1434-Q1434-R1434,0)</f>
        <v>#VALUE!</v>
      </c>
      <c r="AF1434" s="117" t="e">
        <f>ROUND(I1434-T1434-U1434-V1434-W1434,0)</f>
        <v>#VALUE!</v>
      </c>
      <c r="AG1434" s="117" t="e">
        <f>ROUND(J1434-Y1434-Z1434-AA1434-AC1434-AB1434,0)</f>
        <v>#VALUE!</v>
      </c>
      <c r="AH1434" s="116"/>
      <c r="AI1434">
        <f t="shared" si="775"/>
        <v>358</v>
      </c>
      <c r="AJ1434" t="str">
        <f t="shared" si="768"/>
        <v>SG</v>
      </c>
      <c r="AK1434" t="str">
        <f>IF(ISERROR(MATCH(AI1434&amp;"."&amp;AJ1434,AK$91:AK1433,0)),AI1434&amp;"."&amp;AJ1434,AI1434&amp;"."&amp;AJ1434&amp;COUNTIFS(AI$91:AI1433,AI1434,AJ$91:AJ1433,AJ1434))</f>
        <v>358.SG</v>
      </c>
    </row>
    <row r="1435" spans="1:37" ht="15" hidden="1">
      <c r="A1435" s="120">
        <f>ROW()</f>
        <v>1435</v>
      </c>
      <c r="B1435" s="120"/>
      <c r="C1435" s="1"/>
      <c r="E1435" s="121" t="s">
        <v>15</v>
      </c>
      <c r="F1435" s="138" t="str">
        <f>INDEX(FuncAllocOptions,ROW(A1435)-ROW($A$92)+1,[4]Inputs!$S$11)</f>
        <v>T</v>
      </c>
      <c r="G1435" s="117" t="e">
        <f>SUMIF(FERCJAMFactor,AK1435,JAMValue)</f>
        <v>#VALUE!</v>
      </c>
      <c r="H1435" s="116" t="e">
        <f t="shared" si="790"/>
        <v>#VALUE!</v>
      </c>
      <c r="I1435" s="116" t="e">
        <f t="shared" si="790"/>
        <v>#VALUE!</v>
      </c>
      <c r="J1435" s="116" t="e">
        <f t="shared" si="790"/>
        <v>#VALUE!</v>
      </c>
      <c r="K1435" s="116" t="e">
        <f t="shared" si="790"/>
        <v>#VALUE!</v>
      </c>
      <c r="L1435" s="116" t="e">
        <f t="shared" si="790"/>
        <v>#VALUE!</v>
      </c>
      <c r="S1435" s="108">
        <v>0.75</v>
      </c>
      <c r="T1435" s="116" t="e">
        <f>$I1435*$S1435*$M1435</f>
        <v>#VALUE!</v>
      </c>
      <c r="U1435" s="116" t="e">
        <f>$I1435*(1-$S1435)*$M1435</f>
        <v>#VALUE!</v>
      </c>
      <c r="V1435" s="116" t="e">
        <f>$I1435*$S1435*(1-$M1435)</f>
        <v>#VALUE!</v>
      </c>
      <c r="W1435" s="116" t="e">
        <f>$I1435*(1-$S1435)*(1-$M1435)</f>
        <v>#VALUE!</v>
      </c>
      <c r="X1435" s="3"/>
      <c r="AD1435" s="117" t="e">
        <f>ROUND(SUM(-G1435,H1435:L1435),0)</f>
        <v>#VALUE!</v>
      </c>
      <c r="AE1435" s="117" t="e">
        <f>ROUND(H1435-O1435-P1435-Q1435-R1435,0)</f>
        <v>#VALUE!</v>
      </c>
      <c r="AF1435" s="117" t="e">
        <f>ROUND(I1435-T1435-U1435-V1435-W1435,0)</f>
        <v>#VALUE!</v>
      </c>
      <c r="AG1435" s="117" t="e">
        <f>ROUND(J1435-Y1435-Z1435-AA1435-AC1435-AB1435,0)</f>
        <v>#VALUE!</v>
      </c>
      <c r="AH1435" s="116"/>
      <c r="AI1435">
        <f t="shared" si="775"/>
        <v>358</v>
      </c>
      <c r="AJ1435" t="str">
        <f t="shared" si="768"/>
        <v>SG</v>
      </c>
      <c r="AK1435" t="str">
        <f>IF(ISERROR(MATCH(AI1435&amp;"."&amp;AJ1435,AK$91:AK1434,0)),AI1435&amp;"."&amp;AJ1435,AI1435&amp;"."&amp;AJ1435&amp;COUNTIFS(AI$91:AI1434,AI1435,AJ$91:AJ1434,AJ1435))</f>
        <v>358.SG1</v>
      </c>
    </row>
    <row r="1436" spans="1:37" ht="15" hidden="1">
      <c r="A1436" s="120">
        <f>ROW()</f>
        <v>1436</v>
      </c>
      <c r="B1436" s="120"/>
      <c r="C1436" s="1"/>
      <c r="E1436" s="121" t="s">
        <v>15</v>
      </c>
      <c r="F1436" s="138" t="str">
        <f>INDEX(FuncAllocOptions,ROW(A1436)-ROW($A$92)+1,[4]Inputs!$S$11)</f>
        <v>T</v>
      </c>
      <c r="G1436" s="133" t="e">
        <f>SUMIF(FERCJAMFactor,AK1436,JAMValue)</f>
        <v>#VALUE!</v>
      </c>
      <c r="H1436" s="139" t="e">
        <f t="shared" si="790"/>
        <v>#VALUE!</v>
      </c>
      <c r="I1436" s="139" t="e">
        <f t="shared" si="790"/>
        <v>#VALUE!</v>
      </c>
      <c r="J1436" s="139" t="e">
        <f t="shared" si="790"/>
        <v>#VALUE!</v>
      </c>
      <c r="K1436" s="139" t="e">
        <f t="shared" si="790"/>
        <v>#VALUE!</v>
      </c>
      <c r="L1436" s="139" t="e">
        <f t="shared" si="790"/>
        <v>#VALUE!</v>
      </c>
      <c r="S1436" s="108">
        <v>0.75</v>
      </c>
      <c r="T1436" s="116" t="e">
        <f>$I1436*$S1436*$M1436</f>
        <v>#VALUE!</v>
      </c>
      <c r="U1436" s="116" t="e">
        <f>$I1436*(1-$S1436)*$M1436</f>
        <v>#VALUE!</v>
      </c>
      <c r="V1436" s="116" t="e">
        <f>$I1436*$S1436*(1-$M1436)</f>
        <v>#VALUE!</v>
      </c>
      <c r="W1436" s="116" t="e">
        <f>$I1436*(1-$S1436)*(1-$M1436)</f>
        <v>#VALUE!</v>
      </c>
      <c r="X1436" s="3"/>
      <c r="AD1436" s="117" t="e">
        <f>ROUND(SUM(-G1436,H1436:L1436),0)</f>
        <v>#VALUE!</v>
      </c>
      <c r="AE1436" s="117" t="e">
        <f>ROUND(H1436-O1436-P1436-Q1436-R1436,0)</f>
        <v>#VALUE!</v>
      </c>
      <c r="AF1436" s="117" t="e">
        <f>ROUND(I1436-T1436-U1436-V1436-W1436,0)</f>
        <v>#VALUE!</v>
      </c>
      <c r="AG1436" s="117" t="e">
        <f>ROUND(J1436-Y1436-Z1436-AA1436-AC1436-AB1436,0)</f>
        <v>#VALUE!</v>
      </c>
      <c r="AH1436" s="116"/>
      <c r="AI1436">
        <f t="shared" si="775"/>
        <v>358</v>
      </c>
      <c r="AJ1436" t="str">
        <f t="shared" si="768"/>
        <v>SG</v>
      </c>
      <c r="AK1436" t="str">
        <f>IF(ISERROR(MATCH(AI1436&amp;"."&amp;AJ1436,AK$91:AK1435,0)),AI1436&amp;"."&amp;AJ1436,AI1436&amp;"."&amp;AJ1436&amp;COUNTIFS(AI$91:AI1435,AI1436,AJ$91:AJ1435,AJ1436))</f>
        <v>358.SG2</v>
      </c>
    </row>
    <row r="1437" spans="1:37" ht="15" hidden="1">
      <c r="A1437" s="120">
        <f>ROW()</f>
        <v>1437</v>
      </c>
      <c r="B1437" s="120"/>
      <c r="C1437" s="1"/>
      <c r="E1437" s="121"/>
      <c r="F1437" s="138"/>
      <c r="G1437" s="117" t="e">
        <f t="shared" ref="G1437:L1437" si="791">SUM(G1434:G1436)</f>
        <v>#VALUE!</v>
      </c>
      <c r="H1437" s="116" t="e">
        <f t="shared" si="791"/>
        <v>#VALUE!</v>
      </c>
      <c r="I1437" s="116" t="e">
        <f t="shared" si="791"/>
        <v>#VALUE!</v>
      </c>
      <c r="J1437" s="116" t="e">
        <f t="shared" si="791"/>
        <v>#VALUE!</v>
      </c>
      <c r="K1437" s="116" t="e">
        <f t="shared" si="791"/>
        <v>#VALUE!</v>
      </c>
      <c r="L1437" s="116" t="e">
        <f t="shared" si="791"/>
        <v>#VALUE!</v>
      </c>
      <c r="O1437" s="116">
        <f>SUM(O1434:O1436)</f>
        <v>0</v>
      </c>
      <c r="P1437" s="116">
        <f>SUM(P1434:P1436)</f>
        <v>0</v>
      </c>
      <c r="Q1437" s="116">
        <f>SUM(Q1434:Q1436)</f>
        <v>0</v>
      </c>
      <c r="R1437" s="116">
        <f>SUM(R1434:R1436)</f>
        <v>0</v>
      </c>
      <c r="T1437" s="116" t="e">
        <f>SUM(T1434:T1436)</f>
        <v>#VALUE!</v>
      </c>
      <c r="U1437" s="116" t="e">
        <f>SUM(U1434:U1436)</f>
        <v>#VALUE!</v>
      </c>
      <c r="V1437" s="116" t="e">
        <f>SUM(V1434:V1436)</f>
        <v>#VALUE!</v>
      </c>
      <c r="W1437" s="116" t="e">
        <f>SUM(W1434:W1436)</f>
        <v>#VALUE!</v>
      </c>
      <c r="X1437" s="3"/>
      <c r="Y1437" s="116">
        <f>SUM(Y1434:Y1436)</f>
        <v>0</v>
      </c>
      <c r="Z1437" s="116">
        <f>SUM(Z1434:Z1436)</f>
        <v>0</v>
      </c>
      <c r="AA1437" s="116">
        <f>SUM(AA1434:AA1436)</f>
        <v>0</v>
      </c>
      <c r="AB1437" s="116">
        <f>SUM(AB1434:AB1436)</f>
        <v>0</v>
      </c>
      <c r="AC1437" s="116">
        <f>SUM(AC1434:AC1436)</f>
        <v>0</v>
      </c>
      <c r="AD1437" s="117" t="e">
        <f>ROUND(SUM(-G1437,H1437:L1437),0)</f>
        <v>#VALUE!</v>
      </c>
      <c r="AE1437" s="117" t="e">
        <f>ROUND(H1437-O1437-P1437-Q1437-R1437,0)</f>
        <v>#VALUE!</v>
      </c>
      <c r="AF1437" s="117" t="e">
        <f>ROUND(I1437-T1437-U1437-V1437-W1437,0)</f>
        <v>#VALUE!</v>
      </c>
      <c r="AG1437" s="117" t="e">
        <f>ROUND(J1437-Y1437-Z1437-AA1437-AC1437-AB1437,0)</f>
        <v>#VALUE!</v>
      </c>
      <c r="AH1437" s="116"/>
      <c r="AI1437">
        <f t="shared" si="775"/>
        <v>358</v>
      </c>
      <c r="AJ1437" t="str">
        <f t="shared" ref="AJ1437:AJ1500" si="792">IF(E1437="","NA",E1437)</f>
        <v>NA</v>
      </c>
      <c r="AK1437" t="str">
        <f>IF(ISERROR(MATCH(AI1437&amp;"."&amp;AJ1437,AK$91:AK1436,0)),AI1437&amp;"."&amp;AJ1437,AI1437&amp;"."&amp;AJ1437&amp;COUNTIFS(AI$91:AI1436,AI1437,AJ$91:AJ1436,AJ1437))</f>
        <v>358.NA1</v>
      </c>
    </row>
    <row r="1438" spans="1:37" ht="15" hidden="1">
      <c r="A1438" s="120">
        <f>ROW()</f>
        <v>1438</v>
      </c>
      <c r="B1438" s="120"/>
      <c r="C1438" s="1"/>
      <c r="E1438" s="121"/>
      <c r="F1438" s="138"/>
      <c r="G1438" s="119"/>
      <c r="X1438" s="3"/>
      <c r="AD1438" s="119"/>
      <c r="AE1438" s="119"/>
      <c r="AF1438" s="119"/>
      <c r="AG1438" s="119"/>
      <c r="AI1438">
        <f t="shared" si="775"/>
        <v>358</v>
      </c>
      <c r="AJ1438" t="str">
        <f t="shared" si="792"/>
        <v>NA</v>
      </c>
      <c r="AK1438" t="str">
        <f>IF(ISERROR(MATCH(AI1438&amp;"."&amp;AJ1438,AK$91:AK1437,0)),AI1438&amp;"."&amp;AJ1438,AI1438&amp;"."&amp;AJ1438&amp;COUNTIFS(AI$91:AI1437,AI1438,AJ$91:AJ1437,AJ1438))</f>
        <v>358.NA2</v>
      </c>
    </row>
    <row r="1439" spans="1:37" ht="15" hidden="1">
      <c r="A1439" s="120">
        <f>ROW()</f>
        <v>1439</v>
      </c>
      <c r="B1439" s="120"/>
      <c r="C1439" s="1">
        <v>359</v>
      </c>
      <c r="D1439" s="2" t="s">
        <v>543</v>
      </c>
      <c r="E1439" s="121"/>
      <c r="F1439" s="138"/>
      <c r="G1439" s="119"/>
      <c r="X1439" s="3"/>
      <c r="AD1439" s="119"/>
      <c r="AE1439" s="119"/>
      <c r="AF1439" s="119"/>
      <c r="AG1439" s="119"/>
      <c r="AI1439">
        <f t="shared" si="775"/>
        <v>359</v>
      </c>
      <c r="AJ1439" t="str">
        <f t="shared" si="792"/>
        <v>NA</v>
      </c>
      <c r="AK1439" t="str">
        <f>IF(ISERROR(MATCH(AI1439&amp;"."&amp;AJ1439,AK$91:AK1438,0)),AI1439&amp;"."&amp;AJ1439,AI1439&amp;"."&amp;AJ1439&amp;COUNTIFS(AI$91:AI1438,AI1439,AJ$91:AJ1438,AJ1439))</f>
        <v>359.NA</v>
      </c>
    </row>
    <row r="1440" spans="1:37" ht="15" hidden="1">
      <c r="A1440" s="120">
        <f>ROW()</f>
        <v>1440</v>
      </c>
      <c r="B1440" s="120"/>
      <c r="C1440" s="1"/>
      <c r="E1440" s="121" t="s">
        <v>15</v>
      </c>
      <c r="F1440" s="138" t="str">
        <f>INDEX(FuncAllocOptions,ROW(A1440)-ROW($A$92)+1,[4]Inputs!$S$11)</f>
        <v>T</v>
      </c>
      <c r="G1440" s="117" t="e">
        <f>SUMIF(FERCJAMFactor,AK1440,JAMValue)</f>
        <v>#VALUE!</v>
      </c>
      <c r="H1440" s="116" t="e">
        <f t="shared" ref="H1440:L1442" si="793">INDEX(FuncFactorTbl,MATCH($F1440,FuncFactors,0),MATCH(H$8,Functions,0))*$G1440</f>
        <v>#VALUE!</v>
      </c>
      <c r="I1440" s="116" t="e">
        <f t="shared" si="793"/>
        <v>#VALUE!</v>
      </c>
      <c r="J1440" s="116" t="e">
        <f t="shared" si="793"/>
        <v>#VALUE!</v>
      </c>
      <c r="K1440" s="116" t="e">
        <f t="shared" si="793"/>
        <v>#VALUE!</v>
      </c>
      <c r="L1440" s="116" t="e">
        <f t="shared" si="793"/>
        <v>#VALUE!</v>
      </c>
      <c r="S1440" s="108">
        <v>0.75</v>
      </c>
      <c r="T1440" s="116" t="e">
        <f>$I1440*$S1440*$M1440</f>
        <v>#VALUE!</v>
      </c>
      <c r="U1440" s="116" t="e">
        <f>$I1440*(1-$S1440)*$M1440</f>
        <v>#VALUE!</v>
      </c>
      <c r="V1440" s="116" t="e">
        <f>$I1440*$S1440*(1-$M1440)</f>
        <v>#VALUE!</v>
      </c>
      <c r="W1440" s="116" t="e">
        <f>$I1440*(1-$S1440)*(1-$M1440)</f>
        <v>#VALUE!</v>
      </c>
      <c r="X1440" s="3"/>
      <c r="AD1440" s="117" t="e">
        <f>ROUND(SUM(-G1440,H1440:L1440),0)</f>
        <v>#VALUE!</v>
      </c>
      <c r="AE1440" s="117" t="e">
        <f>ROUND(H1440-O1440-P1440-Q1440-R1440,0)</f>
        <v>#VALUE!</v>
      </c>
      <c r="AF1440" s="117" t="e">
        <f>ROUND(I1440-T1440-U1440-V1440-W1440,0)</f>
        <v>#VALUE!</v>
      </c>
      <c r="AG1440" s="117" t="e">
        <f>ROUND(J1440-Y1440-Z1440-AA1440-AC1440-AB1440,0)</f>
        <v>#VALUE!</v>
      </c>
      <c r="AH1440" s="116"/>
      <c r="AI1440">
        <f t="shared" si="775"/>
        <v>359</v>
      </c>
      <c r="AJ1440" t="str">
        <f t="shared" si="792"/>
        <v>SG</v>
      </c>
      <c r="AK1440" t="str">
        <f>IF(ISERROR(MATCH(AI1440&amp;"."&amp;AJ1440,AK$91:AK1439,0)),AI1440&amp;"."&amp;AJ1440,AI1440&amp;"."&amp;AJ1440&amp;COUNTIFS(AI$91:AI1439,AI1440,AJ$91:AJ1439,AJ1440))</f>
        <v>359.SG</v>
      </c>
    </row>
    <row r="1441" spans="1:37" ht="15" hidden="1">
      <c r="A1441" s="120">
        <f>ROW()</f>
        <v>1441</v>
      </c>
      <c r="B1441" s="120"/>
      <c r="C1441" s="1"/>
      <c r="E1441" s="121" t="s">
        <v>15</v>
      </c>
      <c r="F1441" s="138" t="str">
        <f>INDEX(FuncAllocOptions,ROW(A1441)-ROW($A$92)+1,[4]Inputs!$S$11)</f>
        <v>T</v>
      </c>
      <c r="G1441" s="117" t="e">
        <f>SUMIF(FERCJAMFactor,AK1441,JAMValue)</f>
        <v>#VALUE!</v>
      </c>
      <c r="H1441" s="116" t="e">
        <f t="shared" si="793"/>
        <v>#VALUE!</v>
      </c>
      <c r="I1441" s="116" t="e">
        <f t="shared" si="793"/>
        <v>#VALUE!</v>
      </c>
      <c r="J1441" s="116" t="e">
        <f t="shared" si="793"/>
        <v>#VALUE!</v>
      </c>
      <c r="K1441" s="116" t="e">
        <f t="shared" si="793"/>
        <v>#VALUE!</v>
      </c>
      <c r="L1441" s="116" t="e">
        <f t="shared" si="793"/>
        <v>#VALUE!</v>
      </c>
      <c r="S1441" s="108">
        <v>0.75</v>
      </c>
      <c r="T1441" s="116" t="e">
        <f>$I1441*$S1441*$M1441</f>
        <v>#VALUE!</v>
      </c>
      <c r="U1441" s="116" t="e">
        <f>$I1441*(1-$S1441)*$M1441</f>
        <v>#VALUE!</v>
      </c>
      <c r="V1441" s="116" t="e">
        <f>$I1441*$S1441*(1-$M1441)</f>
        <v>#VALUE!</v>
      </c>
      <c r="W1441" s="116" t="e">
        <f>$I1441*(1-$S1441)*(1-$M1441)</f>
        <v>#VALUE!</v>
      </c>
      <c r="X1441" s="3"/>
      <c r="AD1441" s="117" t="e">
        <f>ROUND(SUM(-G1441,H1441:L1441),0)</f>
        <v>#VALUE!</v>
      </c>
      <c r="AE1441" s="117" t="e">
        <f>ROUND(H1441-O1441-P1441-Q1441-R1441,0)</f>
        <v>#VALUE!</v>
      </c>
      <c r="AF1441" s="117" t="e">
        <f>ROUND(I1441-T1441-U1441-V1441-W1441,0)</f>
        <v>#VALUE!</v>
      </c>
      <c r="AG1441" s="117" t="e">
        <f>ROUND(J1441-Y1441-Z1441-AA1441-AC1441-AB1441,0)</f>
        <v>#VALUE!</v>
      </c>
      <c r="AH1441" s="116"/>
      <c r="AI1441">
        <f t="shared" si="775"/>
        <v>359</v>
      </c>
      <c r="AJ1441" t="str">
        <f t="shared" si="792"/>
        <v>SG</v>
      </c>
      <c r="AK1441" t="str">
        <f>IF(ISERROR(MATCH(AI1441&amp;"."&amp;AJ1441,AK$91:AK1440,0)),AI1441&amp;"."&amp;AJ1441,AI1441&amp;"."&amp;AJ1441&amp;COUNTIFS(AI$91:AI1440,AI1441,AJ$91:AJ1440,AJ1441))</f>
        <v>359.SG1</v>
      </c>
    </row>
    <row r="1442" spans="1:37" ht="15" hidden="1">
      <c r="A1442" s="120">
        <f>ROW()</f>
        <v>1442</v>
      </c>
      <c r="B1442" s="120"/>
      <c r="C1442" s="1"/>
      <c r="E1442" s="121" t="s">
        <v>15</v>
      </c>
      <c r="F1442" s="138" t="str">
        <f>INDEX(FuncAllocOptions,ROW(A1442)-ROW($A$92)+1,[4]Inputs!$S$11)</f>
        <v>T</v>
      </c>
      <c r="G1442" s="133" t="e">
        <f>SUMIF(FERCJAMFactor,AK1442,JAMValue)</f>
        <v>#VALUE!</v>
      </c>
      <c r="H1442" s="139" t="e">
        <f t="shared" si="793"/>
        <v>#VALUE!</v>
      </c>
      <c r="I1442" s="139" t="e">
        <f t="shared" si="793"/>
        <v>#VALUE!</v>
      </c>
      <c r="J1442" s="139" t="e">
        <f t="shared" si="793"/>
        <v>#VALUE!</v>
      </c>
      <c r="K1442" s="139" t="e">
        <f t="shared" si="793"/>
        <v>#VALUE!</v>
      </c>
      <c r="L1442" s="139" t="e">
        <f t="shared" si="793"/>
        <v>#VALUE!</v>
      </c>
      <c r="S1442" s="108">
        <v>0.75</v>
      </c>
      <c r="T1442" s="116" t="e">
        <f>$I1442*$S1442*$M1442</f>
        <v>#VALUE!</v>
      </c>
      <c r="U1442" s="116" t="e">
        <f>$I1442*(1-$S1442)*$M1442</f>
        <v>#VALUE!</v>
      </c>
      <c r="V1442" s="116" t="e">
        <f>$I1442*$S1442*(1-$M1442)</f>
        <v>#VALUE!</v>
      </c>
      <c r="W1442" s="116" t="e">
        <f>$I1442*(1-$S1442)*(1-$M1442)</f>
        <v>#VALUE!</v>
      </c>
      <c r="X1442" s="3"/>
      <c r="AD1442" s="117" t="e">
        <f>ROUND(SUM(-G1442,H1442:L1442),0)</f>
        <v>#VALUE!</v>
      </c>
      <c r="AE1442" s="117" t="e">
        <f>ROUND(H1442-O1442-P1442-Q1442-R1442,0)</f>
        <v>#VALUE!</v>
      </c>
      <c r="AF1442" s="117" t="e">
        <f>ROUND(I1442-T1442-U1442-V1442-W1442,0)</f>
        <v>#VALUE!</v>
      </c>
      <c r="AG1442" s="117" t="e">
        <f>ROUND(J1442-Y1442-Z1442-AA1442-AC1442-AB1442,0)</f>
        <v>#VALUE!</v>
      </c>
      <c r="AH1442" s="116"/>
      <c r="AI1442">
        <f t="shared" si="775"/>
        <v>359</v>
      </c>
      <c r="AJ1442" t="str">
        <f t="shared" si="792"/>
        <v>SG</v>
      </c>
      <c r="AK1442" t="str">
        <f>IF(ISERROR(MATCH(AI1442&amp;"."&amp;AJ1442,AK$91:AK1441,0)),AI1442&amp;"."&amp;AJ1442,AI1442&amp;"."&amp;AJ1442&amp;COUNTIFS(AI$91:AI1441,AI1442,AJ$91:AJ1441,AJ1442))</f>
        <v>359.SG2</v>
      </c>
    </row>
    <row r="1443" spans="1:37" ht="15" hidden="1">
      <c r="A1443" s="120">
        <f>ROW()</f>
        <v>1443</v>
      </c>
      <c r="B1443" s="120"/>
      <c r="C1443" s="1"/>
      <c r="E1443" s="121"/>
      <c r="F1443" s="138"/>
      <c r="G1443" s="117" t="e">
        <f t="shared" ref="G1443:L1443" si="794">SUM(G1440:G1442)</f>
        <v>#VALUE!</v>
      </c>
      <c r="H1443" s="116" t="e">
        <f t="shared" si="794"/>
        <v>#VALUE!</v>
      </c>
      <c r="I1443" s="116" t="e">
        <f t="shared" si="794"/>
        <v>#VALUE!</v>
      </c>
      <c r="J1443" s="116" t="e">
        <f t="shared" si="794"/>
        <v>#VALUE!</v>
      </c>
      <c r="K1443" s="116" t="e">
        <f t="shared" si="794"/>
        <v>#VALUE!</v>
      </c>
      <c r="L1443" s="116" t="e">
        <f t="shared" si="794"/>
        <v>#VALUE!</v>
      </c>
      <c r="O1443" s="116">
        <f>SUM(O1440:O1442)</f>
        <v>0</v>
      </c>
      <c r="P1443" s="116">
        <f>SUM(P1440:P1442)</f>
        <v>0</v>
      </c>
      <c r="Q1443" s="116">
        <f>SUM(Q1440:Q1442)</f>
        <v>0</v>
      </c>
      <c r="R1443" s="116">
        <f>SUM(R1440:R1442)</f>
        <v>0</v>
      </c>
      <c r="T1443" s="116" t="e">
        <f>SUM(T1440:T1442)</f>
        <v>#VALUE!</v>
      </c>
      <c r="U1443" s="116" t="e">
        <f>SUM(U1440:U1442)</f>
        <v>#VALUE!</v>
      </c>
      <c r="V1443" s="116" t="e">
        <f>SUM(V1440:V1442)</f>
        <v>#VALUE!</v>
      </c>
      <c r="W1443" s="116" t="e">
        <f>SUM(W1440:W1442)</f>
        <v>#VALUE!</v>
      </c>
      <c r="X1443" s="3"/>
      <c r="Y1443" s="116">
        <f>SUM(Y1440:Y1442)</f>
        <v>0</v>
      </c>
      <c r="Z1443" s="116">
        <f>SUM(Z1440:Z1442)</f>
        <v>0</v>
      </c>
      <c r="AA1443" s="116">
        <f>SUM(AA1440:AA1442)</f>
        <v>0</v>
      </c>
      <c r="AB1443" s="116">
        <f>SUM(AB1440:AB1442)</f>
        <v>0</v>
      </c>
      <c r="AC1443" s="116">
        <f>SUM(AC1440:AC1442)</f>
        <v>0</v>
      </c>
      <c r="AD1443" s="117" t="e">
        <f>ROUND(SUM(-G1443,H1443:L1443),0)</f>
        <v>#VALUE!</v>
      </c>
      <c r="AE1443" s="117" t="e">
        <f>ROUND(H1443-O1443-P1443-Q1443-R1443,0)</f>
        <v>#VALUE!</v>
      </c>
      <c r="AF1443" s="117" t="e">
        <f>ROUND(I1443-T1443-U1443-V1443-W1443,0)</f>
        <v>#VALUE!</v>
      </c>
      <c r="AG1443" s="117" t="e">
        <f>ROUND(J1443-Y1443-Z1443-AA1443-AC1443-AB1443,0)</f>
        <v>#VALUE!</v>
      </c>
      <c r="AH1443" s="116"/>
      <c r="AI1443">
        <f t="shared" si="775"/>
        <v>359</v>
      </c>
      <c r="AJ1443" t="str">
        <f t="shared" si="792"/>
        <v>NA</v>
      </c>
      <c r="AK1443" t="str">
        <f>IF(ISERROR(MATCH(AI1443&amp;"."&amp;AJ1443,AK$91:AK1442,0)),AI1443&amp;"."&amp;AJ1443,AI1443&amp;"."&amp;AJ1443&amp;COUNTIFS(AI$91:AI1442,AI1443,AJ$91:AJ1442,AJ1443))</f>
        <v>359.NA1</v>
      </c>
    </row>
    <row r="1444" spans="1:37" ht="15" hidden="1">
      <c r="A1444" s="120">
        <f>ROW()</f>
        <v>1444</v>
      </c>
      <c r="B1444" s="120"/>
      <c r="C1444" s="1"/>
      <c r="E1444" s="121"/>
      <c r="F1444" s="138"/>
      <c r="G1444" s="119"/>
      <c r="X1444" s="3"/>
      <c r="AD1444" s="119"/>
      <c r="AE1444" s="119"/>
      <c r="AF1444" s="119"/>
      <c r="AG1444" s="119"/>
      <c r="AI1444">
        <f t="shared" si="775"/>
        <v>359</v>
      </c>
      <c r="AJ1444" t="str">
        <f t="shared" si="792"/>
        <v>NA</v>
      </c>
      <c r="AK1444" t="str">
        <f>IF(ISERROR(MATCH(AI1444&amp;"."&amp;AJ1444,AK$91:AK1443,0)),AI1444&amp;"."&amp;AJ1444,AI1444&amp;"."&amp;AJ1444&amp;COUNTIFS(AI$91:AI1443,AI1444,AJ$91:AJ1443,AJ1444))</f>
        <v>359.NA2</v>
      </c>
    </row>
    <row r="1445" spans="1:37" ht="15" hidden="1">
      <c r="A1445" s="120">
        <f>ROW()</f>
        <v>1445</v>
      </c>
      <c r="B1445" s="120"/>
      <c r="C1445" s="1" t="s">
        <v>265</v>
      </c>
      <c r="D1445" s="2" t="s">
        <v>544</v>
      </c>
      <c r="E1445" s="121"/>
      <c r="F1445" s="138"/>
      <c r="G1445" s="119"/>
      <c r="X1445" s="3"/>
      <c r="AD1445" s="119"/>
      <c r="AE1445" s="119"/>
      <c r="AF1445" s="119"/>
      <c r="AG1445" s="119"/>
      <c r="AI1445" t="str">
        <f t="shared" si="775"/>
        <v>TP</v>
      </c>
      <c r="AJ1445" t="str">
        <f t="shared" si="792"/>
        <v>NA</v>
      </c>
      <c r="AK1445" t="str">
        <f>IF(ISERROR(MATCH(AI1445&amp;"."&amp;AJ1445,AK$91:AK1444,0)),AI1445&amp;"."&amp;AJ1445,AI1445&amp;"."&amp;AJ1445&amp;COUNTIFS(AI$91:AI1444,AI1445,AJ$91:AJ1444,AJ1445))</f>
        <v>TP.NA</v>
      </c>
    </row>
    <row r="1446" spans="1:37" ht="15" hidden="1">
      <c r="A1446" s="120">
        <f>ROW()</f>
        <v>1446</v>
      </c>
      <c r="B1446" s="120"/>
      <c r="C1446" s="1"/>
      <c r="E1446" s="121" t="s">
        <v>15</v>
      </c>
      <c r="F1446" s="138" t="str">
        <f>INDEX(FuncAllocOptions,ROW(A1446)-ROW($A$92)+1,[4]Inputs!$S$11)</f>
        <v>T</v>
      </c>
      <c r="G1446" s="133" t="e">
        <f>SUMIF(FERCJAMFactor,AK1446,JAMValue)</f>
        <v>#VALUE!</v>
      </c>
      <c r="H1446" s="139" t="e">
        <f>INDEX(FuncFactorTbl,MATCH($F1446,FuncFactors,0),MATCH(H$8,Functions,0))*$G1446</f>
        <v>#VALUE!</v>
      </c>
      <c r="I1446" s="139" t="e">
        <f>INDEX(FuncFactorTbl,MATCH($F1446,FuncFactors,0),MATCH(I$8,Functions,0))*$G1446</f>
        <v>#VALUE!</v>
      </c>
      <c r="J1446" s="139" t="e">
        <f>INDEX(FuncFactorTbl,MATCH($F1446,FuncFactors,0),MATCH(J$8,Functions,0))*$G1446</f>
        <v>#VALUE!</v>
      </c>
      <c r="K1446" s="139" t="e">
        <f>INDEX(FuncFactorTbl,MATCH($F1446,FuncFactors,0),MATCH(K$8,Functions,0))*$G1446</f>
        <v>#VALUE!</v>
      </c>
      <c r="L1446" s="139" t="e">
        <f>INDEX(FuncFactorTbl,MATCH($F1446,FuncFactors,0),MATCH(L$8,Functions,0))*$G1446</f>
        <v>#VALUE!</v>
      </c>
      <c r="S1446" s="108">
        <v>0.75</v>
      </c>
      <c r="T1446" s="116" t="e">
        <f>$I1446*$S1446*$M1446</f>
        <v>#VALUE!</v>
      </c>
      <c r="U1446" s="116" t="e">
        <f>$I1446*(1-$S1446)*$M1446</f>
        <v>#VALUE!</v>
      </c>
      <c r="V1446" s="116" t="e">
        <f>$I1446*$S1446*(1-$M1446)</f>
        <v>#VALUE!</v>
      </c>
      <c r="W1446" s="116" t="e">
        <f>$I1446*(1-$S1446)*(1-$M1446)</f>
        <v>#VALUE!</v>
      </c>
      <c r="X1446" s="3"/>
      <c r="AD1446" s="117" t="e">
        <f>ROUND(SUM(-G1446,H1446:L1446),0)</f>
        <v>#VALUE!</v>
      </c>
      <c r="AE1446" s="117" t="e">
        <f>ROUND(H1446-O1446-P1446-Q1446-R1446,0)</f>
        <v>#VALUE!</v>
      </c>
      <c r="AF1446" s="117" t="e">
        <f>ROUND(I1446-T1446-U1446-V1446-W1446,0)</f>
        <v>#VALUE!</v>
      </c>
      <c r="AG1446" s="117" t="e">
        <f>ROUND(J1446-Y1446-Z1446-AA1446-AC1446-AB1446,0)</f>
        <v>#VALUE!</v>
      </c>
      <c r="AH1446" s="116"/>
      <c r="AI1446" t="str">
        <f t="shared" si="775"/>
        <v>TP</v>
      </c>
      <c r="AJ1446" t="str">
        <f t="shared" si="792"/>
        <v>SG</v>
      </c>
      <c r="AK1446" t="str">
        <f>IF(ISERROR(MATCH(AI1446&amp;"."&amp;AJ1446,AK$91:AK1445,0)),AI1446&amp;"."&amp;AJ1446,AI1446&amp;"."&amp;AJ1446&amp;COUNTIFS(AI$91:AI1445,AI1446,AJ$91:AJ1445,AJ1446))</f>
        <v>TP.SG</v>
      </c>
    </row>
    <row r="1447" spans="1:37" ht="15" hidden="1">
      <c r="A1447" s="120">
        <f>ROW()</f>
        <v>1447</v>
      </c>
      <c r="B1447" s="120"/>
      <c r="C1447" s="1"/>
      <c r="E1447" s="121"/>
      <c r="F1447" s="138"/>
      <c r="G1447" s="117" t="e">
        <f t="shared" ref="G1447:L1447" si="795">SUM(G1446)</f>
        <v>#VALUE!</v>
      </c>
      <c r="H1447" s="116" t="e">
        <f t="shared" si="795"/>
        <v>#VALUE!</v>
      </c>
      <c r="I1447" s="116" t="e">
        <f t="shared" si="795"/>
        <v>#VALUE!</v>
      </c>
      <c r="J1447" s="116" t="e">
        <f t="shared" si="795"/>
        <v>#VALUE!</v>
      </c>
      <c r="K1447" s="116" t="e">
        <f t="shared" si="795"/>
        <v>#VALUE!</v>
      </c>
      <c r="L1447" s="116" t="e">
        <f t="shared" si="795"/>
        <v>#VALUE!</v>
      </c>
      <c r="O1447" s="116">
        <f>SUM(O1446)</f>
        <v>0</v>
      </c>
      <c r="P1447" s="116">
        <f>SUM(P1446)</f>
        <v>0</v>
      </c>
      <c r="Q1447" s="116">
        <f>SUM(Q1446)</f>
        <v>0</v>
      </c>
      <c r="R1447" s="116">
        <f>SUM(R1446)</f>
        <v>0</v>
      </c>
      <c r="T1447" s="116" t="e">
        <f>SUM(T1446)</f>
        <v>#VALUE!</v>
      </c>
      <c r="U1447" s="116" t="e">
        <f>SUM(U1446)</f>
        <v>#VALUE!</v>
      </c>
      <c r="V1447" s="116" t="e">
        <f>SUM(V1446)</f>
        <v>#VALUE!</v>
      </c>
      <c r="W1447" s="116" t="e">
        <f>SUM(W1446)</f>
        <v>#VALUE!</v>
      </c>
      <c r="X1447" s="3"/>
      <c r="Y1447" s="116">
        <f>SUM(Y1446)</f>
        <v>0</v>
      </c>
      <c r="Z1447" s="116">
        <f>SUM(Z1446)</f>
        <v>0</v>
      </c>
      <c r="AA1447" s="116">
        <f>SUM(AA1446)</f>
        <v>0</v>
      </c>
      <c r="AB1447" s="116">
        <f>SUM(AB1446)</f>
        <v>0</v>
      </c>
      <c r="AC1447" s="116">
        <f>SUM(AC1446)</f>
        <v>0</v>
      </c>
      <c r="AD1447" s="117" t="e">
        <f>ROUND(SUM(-G1447,H1447:L1447),0)</f>
        <v>#VALUE!</v>
      </c>
      <c r="AE1447" s="117" t="e">
        <f>ROUND(H1447-O1447-P1447-Q1447-R1447,0)</f>
        <v>#VALUE!</v>
      </c>
      <c r="AF1447" s="117" t="e">
        <f>ROUND(I1447-T1447-U1447-V1447-W1447,0)</f>
        <v>#VALUE!</v>
      </c>
      <c r="AG1447" s="117" t="e">
        <f>ROUND(J1447-Y1447-Z1447-AA1447-AC1447-AB1447,0)</f>
        <v>#VALUE!</v>
      </c>
      <c r="AH1447" s="116"/>
      <c r="AI1447" t="str">
        <f t="shared" si="775"/>
        <v>TP</v>
      </c>
      <c r="AJ1447" t="str">
        <f t="shared" si="792"/>
        <v>NA</v>
      </c>
      <c r="AK1447" t="str">
        <f>IF(ISERROR(MATCH(AI1447&amp;"."&amp;AJ1447,AK$91:AK1446,0)),AI1447&amp;"."&amp;AJ1447,AI1447&amp;"."&amp;AJ1447&amp;COUNTIFS(AI$91:AI1446,AI1447,AJ$91:AJ1446,AJ1447))</f>
        <v>TP.NA1</v>
      </c>
    </row>
    <row r="1448" spans="1:37" ht="15" hidden="1">
      <c r="A1448" s="120">
        <f>ROW()</f>
        <v>1448</v>
      </c>
      <c r="B1448" s="120"/>
      <c r="C1448" s="1"/>
      <c r="E1448" s="121"/>
      <c r="F1448" s="138"/>
      <c r="G1448" s="119"/>
      <c r="X1448" s="3"/>
      <c r="AD1448" s="119"/>
      <c r="AE1448" s="119"/>
      <c r="AF1448" s="119"/>
      <c r="AG1448" s="119"/>
      <c r="AI1448" t="str">
        <f t="shared" si="775"/>
        <v>TP</v>
      </c>
      <c r="AJ1448" t="str">
        <f t="shared" si="792"/>
        <v>NA</v>
      </c>
      <c r="AK1448" t="str">
        <f>IF(ISERROR(MATCH(AI1448&amp;"."&amp;AJ1448,AK$91:AK1447,0)),AI1448&amp;"."&amp;AJ1448,AI1448&amp;"."&amp;AJ1448&amp;COUNTIFS(AI$91:AI1447,AI1448,AJ$91:AJ1447,AJ1448))</f>
        <v>TP.NA2</v>
      </c>
    </row>
    <row r="1449" spans="1:37" ht="15" hidden="1">
      <c r="A1449" s="120">
        <f>ROW()</f>
        <v>1449</v>
      </c>
      <c r="B1449" s="120"/>
      <c r="C1449" s="1" t="s">
        <v>266</v>
      </c>
      <c r="D1449" s="2" t="s">
        <v>545</v>
      </c>
      <c r="E1449" s="121"/>
      <c r="F1449" s="138"/>
      <c r="G1449" s="119"/>
      <c r="X1449" s="3"/>
      <c r="AD1449" s="119"/>
      <c r="AE1449" s="119"/>
      <c r="AF1449" s="119"/>
      <c r="AG1449" s="119"/>
      <c r="AI1449" t="str">
        <f t="shared" si="775"/>
        <v>TS0</v>
      </c>
      <c r="AJ1449" t="str">
        <f t="shared" si="792"/>
        <v>NA</v>
      </c>
      <c r="AK1449" t="str">
        <f>IF(ISERROR(MATCH(AI1449&amp;"."&amp;AJ1449,AK$91:AK1448,0)),AI1449&amp;"."&amp;AJ1449,AI1449&amp;"."&amp;AJ1449&amp;COUNTIFS(AI$91:AI1448,AI1449,AJ$91:AJ1448,AJ1449))</f>
        <v>TS0.NA</v>
      </c>
    </row>
    <row r="1450" spans="1:37" ht="15" hidden="1">
      <c r="A1450" s="120">
        <f>ROW()</f>
        <v>1450</v>
      </c>
      <c r="B1450" s="120"/>
      <c r="E1450" s="121" t="s">
        <v>15</v>
      </c>
      <c r="F1450" s="138" t="str">
        <f>INDEX(FuncAllocOptions,ROW(A1450)-ROW($A$92)+1,[4]Inputs!$S$11)</f>
        <v>T</v>
      </c>
      <c r="G1450" s="133" t="e">
        <f>SUMIF(FERCJAMFactor,AK1450,JAMValue)</f>
        <v>#VALUE!</v>
      </c>
      <c r="H1450" s="139" t="e">
        <f>INDEX(FuncFactorTbl,MATCH($F1450,FuncFactors,0),MATCH(H$8,Functions,0))*$G1450</f>
        <v>#VALUE!</v>
      </c>
      <c r="I1450" s="139" t="e">
        <f>INDEX(FuncFactorTbl,MATCH($F1450,FuncFactors,0),MATCH(I$8,Functions,0))*$G1450</f>
        <v>#VALUE!</v>
      </c>
      <c r="J1450" s="139" t="e">
        <f>INDEX(FuncFactorTbl,MATCH($F1450,FuncFactors,0),MATCH(J$8,Functions,0))*$G1450</f>
        <v>#VALUE!</v>
      </c>
      <c r="K1450" s="139" t="e">
        <f>INDEX(FuncFactorTbl,MATCH($F1450,FuncFactors,0),MATCH(K$8,Functions,0))*$G1450</f>
        <v>#VALUE!</v>
      </c>
      <c r="L1450" s="139" t="e">
        <f>INDEX(FuncFactorTbl,MATCH($F1450,FuncFactors,0),MATCH(L$8,Functions,0))*$G1450</f>
        <v>#VALUE!</v>
      </c>
      <c r="S1450" s="108">
        <v>0.75</v>
      </c>
      <c r="T1450" s="116" t="e">
        <f>$I1450*$S1450*$M1450</f>
        <v>#VALUE!</v>
      </c>
      <c r="U1450" s="116" t="e">
        <f>$I1450*(1-$S1450)*$M1450</f>
        <v>#VALUE!</v>
      </c>
      <c r="V1450" s="116" t="e">
        <f>$I1450*$S1450*(1-$M1450)</f>
        <v>#VALUE!</v>
      </c>
      <c r="W1450" s="116" t="e">
        <f>$I1450*(1-$S1450)*(1-$M1450)</f>
        <v>#VALUE!</v>
      </c>
      <c r="X1450" s="3"/>
      <c r="AD1450" s="117" t="e">
        <f>ROUND(SUM(-G1450,H1450:L1450),0)</f>
        <v>#VALUE!</v>
      </c>
      <c r="AE1450" s="117" t="e">
        <f>ROUND(H1450-O1450-P1450-Q1450-R1450,0)</f>
        <v>#VALUE!</v>
      </c>
      <c r="AF1450" s="117" t="e">
        <f>ROUND(I1450-T1450-U1450-V1450-W1450,0)</f>
        <v>#VALUE!</v>
      </c>
      <c r="AG1450" s="117" t="e">
        <f>ROUND(J1450-Y1450-Z1450-AA1450-AC1450-AB1450,0)</f>
        <v>#VALUE!</v>
      </c>
      <c r="AH1450" s="116"/>
      <c r="AI1450" t="str">
        <f t="shared" si="775"/>
        <v>TS0</v>
      </c>
      <c r="AJ1450" t="str">
        <f t="shared" si="792"/>
        <v>SG</v>
      </c>
      <c r="AK1450" t="str">
        <f>IF(ISERROR(MATCH(AI1450&amp;"."&amp;AJ1450,AK$91:AK1449,0)),AI1450&amp;"."&amp;AJ1450,AI1450&amp;"."&amp;AJ1450&amp;COUNTIFS(AI$91:AI1449,AI1450,AJ$91:AJ1449,AJ1450))</f>
        <v>TS0.SG</v>
      </c>
    </row>
    <row r="1451" spans="1:37" ht="15" hidden="1">
      <c r="A1451" s="120">
        <f>ROW()</f>
        <v>1451</v>
      </c>
      <c r="B1451" s="120"/>
      <c r="E1451" s="121"/>
      <c r="F1451" s="138"/>
      <c r="G1451" s="117" t="e">
        <f t="shared" ref="G1451:L1451" si="796">SUM(G1450)</f>
        <v>#VALUE!</v>
      </c>
      <c r="H1451" s="116" t="e">
        <f t="shared" si="796"/>
        <v>#VALUE!</v>
      </c>
      <c r="I1451" s="116" t="e">
        <f t="shared" si="796"/>
        <v>#VALUE!</v>
      </c>
      <c r="J1451" s="116" t="e">
        <f t="shared" si="796"/>
        <v>#VALUE!</v>
      </c>
      <c r="K1451" s="116" t="e">
        <f t="shared" si="796"/>
        <v>#VALUE!</v>
      </c>
      <c r="L1451" s="116" t="e">
        <f t="shared" si="796"/>
        <v>#VALUE!</v>
      </c>
      <c r="O1451" s="116">
        <f>SUM(O1450)</f>
        <v>0</v>
      </c>
      <c r="P1451" s="116">
        <f>SUM(P1450)</f>
        <v>0</v>
      </c>
      <c r="Q1451" s="116">
        <f>SUM(Q1450)</f>
        <v>0</v>
      </c>
      <c r="R1451" s="116">
        <f>SUM(R1450)</f>
        <v>0</v>
      </c>
      <c r="T1451" s="116" t="e">
        <f>SUM(T1450)</f>
        <v>#VALUE!</v>
      </c>
      <c r="U1451" s="116" t="e">
        <f>SUM(U1450)</f>
        <v>#VALUE!</v>
      </c>
      <c r="V1451" s="116" t="e">
        <f>SUM(V1450)</f>
        <v>#VALUE!</v>
      </c>
      <c r="W1451" s="116" t="e">
        <f>SUM(W1450)</f>
        <v>#VALUE!</v>
      </c>
      <c r="X1451" s="3"/>
      <c r="Y1451" s="116">
        <f>SUM(Y1450)</f>
        <v>0</v>
      </c>
      <c r="Z1451" s="116">
        <f>SUM(Z1450)</f>
        <v>0</v>
      </c>
      <c r="AA1451" s="116">
        <f>SUM(AA1450)</f>
        <v>0</v>
      </c>
      <c r="AB1451" s="116">
        <f>SUM(AB1450)</f>
        <v>0</v>
      </c>
      <c r="AC1451" s="116">
        <f>SUM(AC1450)</f>
        <v>0</v>
      </c>
      <c r="AD1451" s="117" t="e">
        <f>ROUND(SUM(-G1451,H1451:L1451),0)</f>
        <v>#VALUE!</v>
      </c>
      <c r="AE1451" s="117" t="e">
        <f>ROUND(H1451-O1451-P1451-Q1451-R1451,0)</f>
        <v>#VALUE!</v>
      </c>
      <c r="AF1451" s="117" t="e">
        <f>ROUND(I1451-T1451-U1451-V1451-W1451,0)</f>
        <v>#VALUE!</v>
      </c>
      <c r="AG1451" s="117" t="e">
        <f>ROUND(J1451-Y1451-Z1451-AA1451-AC1451-AB1451,0)</f>
        <v>#VALUE!</v>
      </c>
      <c r="AH1451" s="116"/>
      <c r="AI1451" t="str">
        <f t="shared" si="775"/>
        <v>TS0</v>
      </c>
      <c r="AJ1451" t="str">
        <f t="shared" si="792"/>
        <v>NA</v>
      </c>
      <c r="AK1451" t="str">
        <f>IF(ISERROR(MATCH(AI1451&amp;"."&amp;AJ1451,AK$91:AK1450,0)),AI1451&amp;"."&amp;AJ1451,AI1451&amp;"."&amp;AJ1451&amp;COUNTIFS(AI$91:AI1450,AI1451,AJ$91:AJ1450,AJ1451))</f>
        <v>TS0.NA1</v>
      </c>
    </row>
    <row r="1452" spans="1:37" ht="15" hidden="1">
      <c r="A1452" s="120">
        <f>ROW()</f>
        <v>1452</v>
      </c>
      <c r="B1452" s="120"/>
      <c r="E1452" s="121"/>
      <c r="F1452" s="138"/>
      <c r="G1452" s="119"/>
      <c r="X1452" s="3"/>
      <c r="AD1452" s="119"/>
      <c r="AE1452" s="119"/>
      <c r="AF1452" s="119"/>
      <c r="AG1452" s="119"/>
      <c r="AI1452" t="str">
        <f t="shared" ref="AI1452:AI1515" si="797">IF(OR(C1452="",C1452=" ",C1452="  ",C1452="   "),AI1451,C1452)</f>
        <v>TS0</v>
      </c>
      <c r="AJ1452" t="str">
        <f t="shared" si="792"/>
        <v>NA</v>
      </c>
      <c r="AK1452" t="str">
        <f>IF(ISERROR(MATCH(AI1452&amp;"."&amp;AJ1452,AK$91:AK1451,0)),AI1452&amp;"."&amp;AJ1452,AI1452&amp;"."&amp;AJ1452&amp;COUNTIFS(AI$91:AI1451,AI1452,AJ$91:AJ1451,AJ1452))</f>
        <v>TS0.NA2</v>
      </c>
    </row>
    <row r="1453" spans="1:37" ht="15.75" hidden="1" thickBot="1">
      <c r="A1453" s="120">
        <f>ROW()</f>
        <v>1453</v>
      </c>
      <c r="B1453" s="120"/>
      <c r="C1453" s="110" t="s">
        <v>738</v>
      </c>
      <c r="E1453" s="121"/>
      <c r="F1453" s="121"/>
      <c r="G1453" s="155" t="e">
        <f t="shared" ref="G1453:L1453" si="798">G1394+G1401+G1407+G1413+G1419+G1425+G1431+G1437+G1443+G1447+G1451</f>
        <v>#VALUE!</v>
      </c>
      <c r="H1453" s="154" t="e">
        <f t="shared" si="798"/>
        <v>#VALUE!</v>
      </c>
      <c r="I1453" s="154" t="e">
        <f t="shared" si="798"/>
        <v>#VALUE!</v>
      </c>
      <c r="J1453" s="154" t="e">
        <f t="shared" si="798"/>
        <v>#VALUE!</v>
      </c>
      <c r="K1453" s="154" t="e">
        <f t="shared" si="798"/>
        <v>#VALUE!</v>
      </c>
      <c r="L1453" s="154" t="e">
        <f t="shared" si="798"/>
        <v>#VALUE!</v>
      </c>
      <c r="O1453" s="116">
        <f>O1394+O1401+O1407+O1413+O1419+O1425+O1431+O1437+O1443+O1447+O1451</f>
        <v>0</v>
      </c>
      <c r="P1453" s="116">
        <f>P1394+P1401+P1407+P1413+P1419+P1425+P1431+P1437+P1443+P1447+P1451</f>
        <v>0</v>
      </c>
      <c r="Q1453" s="116">
        <f>Q1394+Q1401+Q1407+Q1413+Q1419+Q1425+Q1431+Q1437+Q1443+Q1447+Q1451</f>
        <v>0</v>
      </c>
      <c r="R1453" s="116">
        <f>R1394+R1401+R1407+R1413+R1419+R1425+R1431+R1437+R1443+R1447+R1451</f>
        <v>0</v>
      </c>
      <c r="S1453" s="116"/>
      <c r="T1453" s="116" t="e">
        <f>T1394+T1401+T1407+T1413+T1419+T1425+T1431+T1437+T1443+T1447+T1451</f>
        <v>#VALUE!</v>
      </c>
      <c r="U1453" s="116" t="e">
        <f>U1394+U1401+U1407+U1413+U1419+U1425+U1431+U1437+U1443+U1447+U1451</f>
        <v>#VALUE!</v>
      </c>
      <c r="V1453" s="116" t="e">
        <f>V1394+V1401+V1407+V1413+V1419+V1425+V1431+V1437+V1443+V1447+V1451</f>
        <v>#VALUE!</v>
      </c>
      <c r="W1453" s="116" t="e">
        <f>W1394+W1401+W1407+W1413+W1419+W1425+W1431+W1437+W1443+W1447+W1451</f>
        <v>#VALUE!</v>
      </c>
      <c r="X1453" s="3"/>
      <c r="Y1453" s="116">
        <f>Y1394+Y1401+Y1407+Y1413+Y1419+Y1425+Y1431+Y1437+Y1443+Y1447+Y1451</f>
        <v>0</v>
      </c>
      <c r="Z1453" s="116">
        <f>Z1394+Z1401+Z1407+Z1413+Z1419+Z1425+Z1431+Z1437+Z1443+Z1447+Z1451</f>
        <v>0</v>
      </c>
      <c r="AA1453" s="116">
        <f>AA1394+AA1401+AA1407+AA1413+AA1419+AA1425+AA1431+AA1437+AA1443+AA1447+AA1451</f>
        <v>0</v>
      </c>
      <c r="AB1453" s="116">
        <f>AB1394+AB1401+AB1407+AB1413+AB1419+AB1425+AB1431+AB1437+AB1443+AB1447+AB1451</f>
        <v>0</v>
      </c>
      <c r="AC1453" s="116">
        <f>AC1394+AC1401+AC1407+AC1413+AC1419+AC1425+AC1431+AC1437+AC1443+AC1447+AC1451</f>
        <v>0</v>
      </c>
      <c r="AD1453" s="117" t="e">
        <f>ROUND(SUM(-G1453,H1453:L1453),0)</f>
        <v>#VALUE!</v>
      </c>
      <c r="AE1453" s="117" t="e">
        <f>ROUND(H1453-O1453-P1453-Q1453-R1453,0)</f>
        <v>#VALUE!</v>
      </c>
      <c r="AF1453" s="117" t="e">
        <f>ROUND(I1453-T1453-U1453-V1453-W1453,0)</f>
        <v>#VALUE!</v>
      </c>
      <c r="AG1453" s="117" t="e">
        <f>ROUND(J1453-Y1453-Z1453-AA1453-AC1453-AB1453,0)</f>
        <v>#VALUE!</v>
      </c>
      <c r="AH1453" s="116"/>
      <c r="AI1453" t="str">
        <f t="shared" si="797"/>
        <v>TOTAL TRANSMISSION PLANT</v>
      </c>
      <c r="AJ1453" t="str">
        <f t="shared" si="792"/>
        <v>NA</v>
      </c>
      <c r="AK1453" t="str">
        <f>IF(ISERROR(MATCH(AI1453&amp;"."&amp;AJ1453,AK$91:AK1452,0)),AI1453&amp;"."&amp;AJ1453,AI1453&amp;"."&amp;AJ1453&amp;COUNTIFS(AI$91:AI1452,AI1453,AJ$91:AJ1452,AJ1453))</f>
        <v>TOTAL TRANSMISSION PLANT.NA</v>
      </c>
    </row>
    <row r="1454" spans="1:37" ht="15" hidden="1">
      <c r="A1454" s="120">
        <f>ROW()</f>
        <v>1454</v>
      </c>
      <c r="B1454" s="120"/>
      <c r="E1454" s="121"/>
      <c r="F1454" s="138"/>
      <c r="G1454" s="119"/>
      <c r="X1454" s="3"/>
      <c r="AD1454" s="119"/>
      <c r="AE1454" s="119"/>
      <c r="AF1454" s="119"/>
      <c r="AG1454" s="119"/>
      <c r="AI1454" t="str">
        <f t="shared" si="797"/>
        <v>TOTAL TRANSMISSION PLANT</v>
      </c>
      <c r="AJ1454" t="str">
        <f t="shared" si="792"/>
        <v>NA</v>
      </c>
      <c r="AK1454" t="str">
        <f>IF(ISERROR(MATCH(AI1454&amp;"."&amp;AJ1454,AK$91:AK1453,0)),AI1454&amp;"."&amp;AJ1454,AI1454&amp;"."&amp;AJ1454&amp;COUNTIFS(AI$91:AI1453,AI1454,AJ$91:AJ1453,AJ1454))</f>
        <v>TOTAL TRANSMISSION PLANT.NA1</v>
      </c>
    </row>
    <row r="1455" spans="1:37" ht="15" hidden="1">
      <c r="A1455" s="120">
        <f>ROW()</f>
        <v>1455</v>
      </c>
      <c r="B1455" s="120"/>
      <c r="C1455" s="1">
        <v>360</v>
      </c>
      <c r="D1455" s="2" t="s">
        <v>500</v>
      </c>
      <c r="E1455" s="121"/>
      <c r="F1455" s="138"/>
      <c r="G1455" s="119"/>
      <c r="X1455" s="3"/>
      <c r="AD1455" s="119"/>
      <c r="AE1455" s="119"/>
      <c r="AF1455" s="119"/>
      <c r="AG1455" s="119"/>
      <c r="AI1455">
        <f t="shared" si="797"/>
        <v>360</v>
      </c>
      <c r="AJ1455" t="str">
        <f t="shared" si="792"/>
        <v>NA</v>
      </c>
      <c r="AK1455" t="str">
        <f>IF(ISERROR(MATCH(AI1455&amp;"."&amp;AJ1455,AK$91:AK1454,0)),AI1455&amp;"."&amp;AJ1455,AI1455&amp;"."&amp;AJ1455&amp;COUNTIFS(AI$91:AI1454,AI1455,AJ$91:AJ1454,AJ1455))</f>
        <v>360.NA</v>
      </c>
    </row>
    <row r="1456" spans="1:37" ht="15" hidden="1">
      <c r="A1456" s="120">
        <f>ROW()</f>
        <v>1456</v>
      </c>
      <c r="B1456" s="120"/>
      <c r="C1456" s="1"/>
      <c r="E1456" s="121" t="s">
        <v>12</v>
      </c>
      <c r="F1456" s="138" t="str">
        <f>INDEX(FuncAllocOptions,ROW(A1456)-ROW($A$92)+1,[4]Inputs!$S$11)</f>
        <v>DPW</v>
      </c>
      <c r="G1456" s="133" t="e">
        <f>SUMIF(FERCJAMFactor,AK1456,JAMValue)</f>
        <v>#VALUE!</v>
      </c>
      <c r="H1456" s="139" t="e">
        <f>INDEX(FuncFactorTbl,MATCH($F1456,FuncFactors,0),MATCH(H$8,Functions,0))*$G1456</f>
        <v>#VALUE!</v>
      </c>
      <c r="I1456" s="139" t="e">
        <f>INDEX(FuncFactorTbl,MATCH($F1456,FuncFactors,0),MATCH(I$8,Functions,0))*$G1456</f>
        <v>#VALUE!</v>
      </c>
      <c r="J1456" s="139" t="e">
        <f>INDEX(FuncFactorTbl,MATCH($F1456,FuncFactors,0),MATCH(J$8,Functions,0))*$G1456</f>
        <v>#VALUE!</v>
      </c>
      <c r="K1456" s="139" t="e">
        <f>INDEX(FuncFactorTbl,MATCH($F1456,FuncFactors,0),MATCH(K$8,Functions,0))*$G1456</f>
        <v>#VALUE!</v>
      </c>
      <c r="L1456" s="139" t="e">
        <f>INDEX(FuncFactorTbl,MATCH($F1456,FuncFactors,0),MATCH(L$8,Functions,0))*$G1456</f>
        <v>#VALUE!</v>
      </c>
      <c r="X1456" s="3" t="str">
        <f>INDEX(DistFuncAllocOptions,ROW(A1456)-ROW($A$92)+1,[4]Inputs!$S$11)</f>
        <v>PLNT2</v>
      </c>
      <c r="Y1456" s="116" t="e">
        <f>INDEX(DistFuncFactorTbl,MATCH($X1456,DistFuncFactors,0),MATCH(Y$91,DistFunctions,0))*$J1456</f>
        <v>#VALUE!</v>
      </c>
      <c r="Z1456" s="116" t="e">
        <f>INDEX(DistFuncFactorTbl,MATCH($X1456,DistFuncFactors,0),MATCH(Z$91,DistFunctions,0))*$J1456</f>
        <v>#VALUE!</v>
      </c>
      <c r="AA1456" s="116" t="e">
        <f>INDEX(DistFuncFactorTbl,MATCH($X1456,DistFuncFactors,0),MATCH(AA$91,DistFunctions,0))*$J1456</f>
        <v>#VALUE!</v>
      </c>
      <c r="AB1456" s="116" t="e">
        <f>INDEX(DistFuncFactorTbl,MATCH($X1456,DistFuncFactors,0),MATCH(AB$91,DistFunctions,0))*$J1456</f>
        <v>#VALUE!</v>
      </c>
      <c r="AC1456" s="116" t="e">
        <f>INDEX(DistFuncFactorTbl,MATCH($X1456,DistFuncFactors,0),MATCH(AC$91,DistFunctions,0))*$J1456</f>
        <v>#VALUE!</v>
      </c>
      <c r="AD1456" s="117" t="e">
        <f>ROUND(SUM(-G1456,H1456:L1456),0)</f>
        <v>#VALUE!</v>
      </c>
      <c r="AE1456" s="117" t="e">
        <f>ROUND(H1456-O1456-P1456-Q1456-R1456,0)</f>
        <v>#VALUE!</v>
      </c>
      <c r="AF1456" s="117" t="e">
        <f>ROUND(I1456-T1456-U1456-V1456-W1456,0)</f>
        <v>#VALUE!</v>
      </c>
      <c r="AG1456" s="117" t="e">
        <f>ROUND(J1456-Y1456-Z1456-AA1456-AC1456-AB1456,0)</f>
        <v>#VALUE!</v>
      </c>
      <c r="AH1456" s="116"/>
      <c r="AI1456">
        <f t="shared" si="797"/>
        <v>360</v>
      </c>
      <c r="AJ1456" t="str">
        <f t="shared" si="792"/>
        <v>S</v>
      </c>
      <c r="AK1456" t="str">
        <f>IF(ISERROR(MATCH(AI1456&amp;"."&amp;AJ1456,AK$91:AK1455,0)),AI1456&amp;"."&amp;AJ1456,AI1456&amp;"."&amp;AJ1456&amp;COUNTIFS(AI$91:AI1455,AI1456,AJ$91:AJ1455,AJ1456))</f>
        <v>360.S1</v>
      </c>
    </row>
    <row r="1457" spans="1:37" ht="15" hidden="1">
      <c r="A1457" s="120">
        <f>ROW()</f>
        <v>1457</v>
      </c>
      <c r="B1457" s="120"/>
      <c r="C1457" s="1"/>
      <c r="E1457" s="121"/>
      <c r="F1457" s="138"/>
      <c r="G1457" s="117" t="e">
        <f t="shared" ref="G1457:L1457" si="799">SUM(G1456:G1456)</f>
        <v>#VALUE!</v>
      </c>
      <c r="H1457" s="116" t="e">
        <f t="shared" si="799"/>
        <v>#VALUE!</v>
      </c>
      <c r="I1457" s="116" t="e">
        <f t="shared" si="799"/>
        <v>#VALUE!</v>
      </c>
      <c r="J1457" s="116" t="e">
        <f t="shared" si="799"/>
        <v>#VALUE!</v>
      </c>
      <c r="K1457" s="116" t="e">
        <f t="shared" si="799"/>
        <v>#VALUE!</v>
      </c>
      <c r="L1457" s="116" t="e">
        <f t="shared" si="799"/>
        <v>#VALUE!</v>
      </c>
      <c r="O1457" s="116">
        <f>SUM(O1456:O1456)</f>
        <v>0</v>
      </c>
      <c r="P1457" s="116">
        <f>SUM(P1456:P1456)</f>
        <v>0</v>
      </c>
      <c r="Q1457" s="116">
        <f>SUM(Q1456:Q1456)</f>
        <v>0</v>
      </c>
      <c r="R1457" s="116">
        <f>SUM(R1456:R1456)</f>
        <v>0</v>
      </c>
      <c r="T1457" s="116">
        <f>SUM(T1456:T1456)</f>
        <v>0</v>
      </c>
      <c r="U1457" s="116">
        <f>SUM(U1456:U1456)</f>
        <v>0</v>
      </c>
      <c r="V1457" s="116">
        <f>SUM(V1456:V1456)</f>
        <v>0</v>
      </c>
      <c r="W1457" s="116">
        <f>SUM(W1456:W1456)</f>
        <v>0</v>
      </c>
      <c r="X1457" s="3"/>
      <c r="Y1457" s="116" t="e">
        <f>SUM(Y1456:Y1456)</f>
        <v>#VALUE!</v>
      </c>
      <c r="Z1457" s="116" t="e">
        <f>SUM(Z1456:Z1456)</f>
        <v>#VALUE!</v>
      </c>
      <c r="AA1457" s="116" t="e">
        <f>SUM(AA1456:AA1456)</f>
        <v>#VALUE!</v>
      </c>
      <c r="AB1457" s="116" t="e">
        <f>SUM(AB1456:AB1456)</f>
        <v>#VALUE!</v>
      </c>
      <c r="AC1457" s="116" t="e">
        <f>SUM(AC1456:AC1456)</f>
        <v>#VALUE!</v>
      </c>
      <c r="AD1457" s="117" t="e">
        <f>ROUND(SUM(-G1457,H1457:L1457),0)</f>
        <v>#VALUE!</v>
      </c>
      <c r="AE1457" s="117" t="e">
        <f>ROUND(H1457-O1457-P1457-Q1457-R1457,0)</f>
        <v>#VALUE!</v>
      </c>
      <c r="AF1457" s="117" t="e">
        <f>ROUND(I1457-T1457-U1457-V1457-W1457,0)</f>
        <v>#VALUE!</v>
      </c>
      <c r="AG1457" s="117" t="e">
        <f>ROUND(J1457-Y1457-Z1457-AA1457-AC1457-AB1457,0)</f>
        <v>#VALUE!</v>
      </c>
      <c r="AH1457" s="116"/>
      <c r="AI1457">
        <f t="shared" si="797"/>
        <v>360</v>
      </c>
      <c r="AJ1457" t="str">
        <f t="shared" si="792"/>
        <v>NA</v>
      </c>
      <c r="AK1457" t="str">
        <f>IF(ISERROR(MATCH(AI1457&amp;"."&amp;AJ1457,AK$91:AK1456,0)),AI1457&amp;"."&amp;AJ1457,AI1457&amp;"."&amp;AJ1457&amp;COUNTIFS(AI$91:AI1456,AI1457,AJ$91:AJ1456,AJ1457))</f>
        <v>360.NA1</v>
      </c>
    </row>
    <row r="1458" spans="1:37" ht="15" hidden="1">
      <c r="A1458" s="120">
        <f>ROW()</f>
        <v>1458</v>
      </c>
      <c r="B1458" s="120"/>
      <c r="C1458" s="1"/>
      <c r="E1458" s="121"/>
      <c r="F1458" s="138"/>
      <c r="G1458" s="119"/>
      <c r="X1458" s="3"/>
      <c r="AD1458" s="119"/>
      <c r="AE1458" s="119"/>
      <c r="AF1458" s="119"/>
      <c r="AG1458" s="119"/>
      <c r="AI1458">
        <f t="shared" si="797"/>
        <v>360</v>
      </c>
      <c r="AJ1458" t="str">
        <f t="shared" si="792"/>
        <v>NA</v>
      </c>
      <c r="AK1458" t="str">
        <f>IF(ISERROR(MATCH(AI1458&amp;"."&amp;AJ1458,AK$91:AK1457,0)),AI1458&amp;"."&amp;AJ1458,AI1458&amp;"."&amp;AJ1458&amp;COUNTIFS(AI$91:AI1457,AI1458,AJ$91:AJ1457,AJ1458))</f>
        <v>360.NA2</v>
      </c>
    </row>
    <row r="1459" spans="1:37" ht="15" hidden="1">
      <c r="A1459" s="120">
        <f>ROW()</f>
        <v>1459</v>
      </c>
      <c r="B1459" s="120"/>
      <c r="C1459" s="1">
        <v>361</v>
      </c>
      <c r="D1459" s="2" t="s">
        <v>502</v>
      </c>
      <c r="E1459" s="121"/>
      <c r="F1459" s="138"/>
      <c r="G1459" s="119"/>
      <c r="X1459" s="3"/>
      <c r="AD1459" s="119"/>
      <c r="AE1459" s="119"/>
      <c r="AF1459" s="119"/>
      <c r="AG1459" s="119"/>
      <c r="AI1459">
        <f t="shared" si="797"/>
        <v>361</v>
      </c>
      <c r="AJ1459" t="str">
        <f t="shared" si="792"/>
        <v>NA</v>
      </c>
      <c r="AK1459" t="str">
        <f>IF(ISERROR(MATCH(AI1459&amp;"."&amp;AJ1459,AK$91:AK1458,0)),AI1459&amp;"."&amp;AJ1459,AI1459&amp;"."&amp;AJ1459&amp;COUNTIFS(AI$91:AI1458,AI1459,AJ$91:AJ1458,AJ1459))</f>
        <v>361.NA</v>
      </c>
    </row>
    <row r="1460" spans="1:37" ht="15" hidden="1">
      <c r="A1460" s="120">
        <f>ROW()</f>
        <v>1460</v>
      </c>
      <c r="B1460" s="120"/>
      <c r="C1460" s="1"/>
      <c r="E1460" s="121" t="s">
        <v>12</v>
      </c>
      <c r="F1460" s="138" t="str">
        <f>INDEX(FuncAllocOptions,ROW(A1460)-ROW($A$92)+1,[4]Inputs!$S$11)</f>
        <v>DPW</v>
      </c>
      <c r="G1460" s="133" t="e">
        <f>SUMIF(FERCJAMFactor,AK1460,JAMValue)</f>
        <v>#VALUE!</v>
      </c>
      <c r="H1460" s="139" t="e">
        <f>INDEX(FuncFactorTbl,MATCH($F1460,FuncFactors,0),MATCH(H$8,Functions,0))*$G1460</f>
        <v>#VALUE!</v>
      </c>
      <c r="I1460" s="139" t="e">
        <f>INDEX(FuncFactorTbl,MATCH($F1460,FuncFactors,0),MATCH(I$8,Functions,0))*$G1460</f>
        <v>#VALUE!</v>
      </c>
      <c r="J1460" s="139" t="e">
        <f>INDEX(FuncFactorTbl,MATCH($F1460,FuncFactors,0),MATCH(J$8,Functions,0))*$G1460</f>
        <v>#VALUE!</v>
      </c>
      <c r="K1460" s="139" t="e">
        <f>INDEX(FuncFactorTbl,MATCH($F1460,FuncFactors,0),MATCH(K$8,Functions,0))*$G1460</f>
        <v>#VALUE!</v>
      </c>
      <c r="L1460" s="139" t="e">
        <f>INDEX(FuncFactorTbl,MATCH($F1460,FuncFactors,0),MATCH(L$8,Functions,0))*$G1460</f>
        <v>#VALUE!</v>
      </c>
      <c r="X1460" s="3" t="str">
        <f>INDEX(DistFuncAllocOptions,ROW(A1460)-ROW($A$92)+1,[4]Inputs!$S$11)</f>
        <v>PLNT2</v>
      </c>
      <c r="Y1460" s="116" t="e">
        <f>INDEX(DistFuncFactorTbl,MATCH($X1460,DistFuncFactors,0),MATCH(Y$91,DistFunctions,0))*$J1460</f>
        <v>#VALUE!</v>
      </c>
      <c r="Z1460" s="116" t="e">
        <f>INDEX(DistFuncFactorTbl,MATCH($X1460,DistFuncFactors,0),MATCH(Z$91,DistFunctions,0))*$J1460</f>
        <v>#VALUE!</v>
      </c>
      <c r="AA1460" s="116" t="e">
        <f>INDEX(DistFuncFactorTbl,MATCH($X1460,DistFuncFactors,0),MATCH(AA$91,DistFunctions,0))*$J1460</f>
        <v>#VALUE!</v>
      </c>
      <c r="AB1460" s="116" t="e">
        <f>INDEX(DistFuncFactorTbl,MATCH($X1460,DistFuncFactors,0),MATCH(AB$91,DistFunctions,0))*$J1460</f>
        <v>#VALUE!</v>
      </c>
      <c r="AC1460" s="116" t="e">
        <f>INDEX(DistFuncFactorTbl,MATCH($X1460,DistFuncFactors,0),MATCH(AC$91,DistFunctions,0))*$J1460</f>
        <v>#VALUE!</v>
      </c>
      <c r="AD1460" s="117" t="e">
        <f>ROUND(SUM(-G1460,H1460:L1460),0)</f>
        <v>#VALUE!</v>
      </c>
      <c r="AE1460" s="117" t="e">
        <f>ROUND(H1460-O1460-P1460-Q1460-R1460,0)</f>
        <v>#VALUE!</v>
      </c>
      <c r="AF1460" s="117" t="e">
        <f>ROUND(I1460-T1460-U1460-V1460-W1460,0)</f>
        <v>#VALUE!</v>
      </c>
      <c r="AG1460" s="117" t="e">
        <f>ROUND(J1460-Y1460-Z1460-AA1460-AC1460-AB1460,0)</f>
        <v>#VALUE!</v>
      </c>
      <c r="AH1460" s="116"/>
      <c r="AI1460">
        <f t="shared" si="797"/>
        <v>361</v>
      </c>
      <c r="AJ1460" t="str">
        <f t="shared" si="792"/>
        <v>S</v>
      </c>
      <c r="AK1460" t="str">
        <f>IF(ISERROR(MATCH(AI1460&amp;"."&amp;AJ1460,AK$91:AK1459,0)),AI1460&amp;"."&amp;AJ1460,AI1460&amp;"."&amp;AJ1460&amp;COUNTIFS(AI$91:AI1459,AI1460,AJ$91:AJ1459,AJ1460))</f>
        <v>361.S1</v>
      </c>
    </row>
    <row r="1461" spans="1:37" ht="15" hidden="1">
      <c r="A1461" s="120">
        <f>ROW()</f>
        <v>1461</v>
      </c>
      <c r="B1461" s="120"/>
      <c r="C1461" s="1"/>
      <c r="E1461" s="121"/>
      <c r="F1461" s="138"/>
      <c r="G1461" s="117" t="e">
        <f t="shared" ref="G1461:L1461" si="800">SUM(G1460:G1460)</f>
        <v>#VALUE!</v>
      </c>
      <c r="H1461" s="116" t="e">
        <f t="shared" si="800"/>
        <v>#VALUE!</v>
      </c>
      <c r="I1461" s="116" t="e">
        <f t="shared" si="800"/>
        <v>#VALUE!</v>
      </c>
      <c r="J1461" s="116" t="e">
        <f t="shared" si="800"/>
        <v>#VALUE!</v>
      </c>
      <c r="K1461" s="116" t="e">
        <f t="shared" si="800"/>
        <v>#VALUE!</v>
      </c>
      <c r="L1461" s="116" t="e">
        <f t="shared" si="800"/>
        <v>#VALUE!</v>
      </c>
      <c r="O1461" s="116">
        <f>SUM(O1460:O1460)</f>
        <v>0</v>
      </c>
      <c r="P1461" s="116">
        <f>SUM(P1460:P1460)</f>
        <v>0</v>
      </c>
      <c r="Q1461" s="116">
        <f>SUM(Q1460:Q1460)</f>
        <v>0</v>
      </c>
      <c r="R1461" s="116">
        <f>SUM(R1460:R1460)</f>
        <v>0</v>
      </c>
      <c r="T1461" s="116">
        <f>SUM(T1460:T1460)</f>
        <v>0</v>
      </c>
      <c r="U1461" s="116">
        <f>SUM(U1460:U1460)</f>
        <v>0</v>
      </c>
      <c r="V1461" s="116">
        <f>SUM(V1460:V1460)</f>
        <v>0</v>
      </c>
      <c r="W1461" s="116">
        <f>SUM(W1460:W1460)</f>
        <v>0</v>
      </c>
      <c r="X1461" s="3"/>
      <c r="Y1461" s="116" t="e">
        <f>SUM(Y1460:Y1460)</f>
        <v>#VALUE!</v>
      </c>
      <c r="Z1461" s="116" t="e">
        <f>SUM(Z1460:Z1460)</f>
        <v>#VALUE!</v>
      </c>
      <c r="AA1461" s="116" t="e">
        <f>SUM(AA1460:AA1460)</f>
        <v>#VALUE!</v>
      </c>
      <c r="AB1461" s="116" t="e">
        <f>SUM(AB1460:AB1460)</f>
        <v>#VALUE!</v>
      </c>
      <c r="AC1461" s="116" t="e">
        <f>SUM(AC1460:AC1460)</f>
        <v>#VALUE!</v>
      </c>
      <c r="AD1461" s="117" t="e">
        <f>ROUND(SUM(-G1461,H1461:L1461),0)</f>
        <v>#VALUE!</v>
      </c>
      <c r="AE1461" s="117" t="e">
        <f>ROUND(H1461-O1461-P1461-Q1461-R1461,0)</f>
        <v>#VALUE!</v>
      </c>
      <c r="AF1461" s="117" t="e">
        <f>ROUND(I1461-T1461-U1461-V1461-W1461,0)</f>
        <v>#VALUE!</v>
      </c>
      <c r="AG1461" s="117" t="e">
        <f>ROUND(J1461-Y1461-Z1461-AA1461-AC1461-AB1461,0)</f>
        <v>#VALUE!</v>
      </c>
      <c r="AH1461" s="116"/>
      <c r="AI1461">
        <f t="shared" si="797"/>
        <v>361</v>
      </c>
      <c r="AJ1461" t="str">
        <f t="shared" si="792"/>
        <v>NA</v>
      </c>
      <c r="AK1461" t="str">
        <f>IF(ISERROR(MATCH(AI1461&amp;"."&amp;AJ1461,AK$91:AK1460,0)),AI1461&amp;"."&amp;AJ1461,AI1461&amp;"."&amp;AJ1461&amp;COUNTIFS(AI$91:AI1460,AI1461,AJ$91:AJ1460,AJ1461))</f>
        <v>361.NA1</v>
      </c>
    </row>
    <row r="1462" spans="1:37" ht="15" hidden="1">
      <c r="A1462" s="120">
        <f>ROW()</f>
        <v>1462</v>
      </c>
      <c r="B1462" s="120"/>
      <c r="C1462" s="1"/>
      <c r="E1462" s="121"/>
      <c r="F1462" s="138"/>
      <c r="G1462" s="119"/>
      <c r="X1462" s="3"/>
      <c r="AD1462" s="119"/>
      <c r="AE1462" s="119"/>
      <c r="AF1462" s="119"/>
      <c r="AG1462" s="119"/>
      <c r="AI1462">
        <f t="shared" si="797"/>
        <v>361</v>
      </c>
      <c r="AJ1462" t="str">
        <f t="shared" si="792"/>
        <v>NA</v>
      </c>
      <c r="AK1462" t="str">
        <f>IF(ISERROR(MATCH(AI1462&amp;"."&amp;AJ1462,AK$91:AK1461,0)),AI1462&amp;"."&amp;AJ1462,AI1462&amp;"."&amp;AJ1462&amp;COUNTIFS(AI$91:AI1461,AI1462,AJ$91:AJ1461,AJ1462))</f>
        <v>361.NA2</v>
      </c>
    </row>
    <row r="1463" spans="1:37" ht="15" hidden="1">
      <c r="A1463" s="120">
        <f>ROW()</f>
        <v>1463</v>
      </c>
      <c r="B1463" s="120"/>
      <c r="C1463" s="1">
        <v>362</v>
      </c>
      <c r="D1463" s="2" t="s">
        <v>380</v>
      </c>
      <c r="E1463" s="121"/>
      <c r="F1463" s="138"/>
      <c r="G1463" s="119"/>
      <c r="X1463" s="3"/>
      <c r="AD1463" s="119"/>
      <c r="AE1463" s="119"/>
      <c r="AF1463" s="119"/>
      <c r="AG1463" s="119"/>
      <c r="AI1463">
        <f t="shared" si="797"/>
        <v>362</v>
      </c>
      <c r="AJ1463" t="str">
        <f t="shared" si="792"/>
        <v>NA</v>
      </c>
      <c r="AK1463" t="str">
        <f>IF(ISERROR(MATCH(AI1463&amp;"."&amp;AJ1463,AK$91:AK1462,0)),AI1463&amp;"."&amp;AJ1463,AI1463&amp;"."&amp;AJ1463&amp;COUNTIFS(AI$91:AI1462,AI1463,AJ$91:AJ1462,AJ1463))</f>
        <v>362.NA</v>
      </c>
    </row>
    <row r="1464" spans="1:37" ht="15" hidden="1">
      <c r="A1464" s="120">
        <f>ROW()</f>
        <v>1464</v>
      </c>
      <c r="B1464" s="120"/>
      <c r="C1464" s="1"/>
      <c r="E1464" s="121" t="s">
        <v>12</v>
      </c>
      <c r="F1464" s="138" t="str">
        <f>INDEX(FuncAllocOptions,ROW(A1464)-ROW($A$92)+1,[4]Inputs!$S$11)</f>
        <v>DPW</v>
      </c>
      <c r="G1464" s="133" t="e">
        <f>SUMIF(FERCJAMFactor,AK1464,JAMValue)</f>
        <v>#VALUE!</v>
      </c>
      <c r="H1464" s="139" t="e">
        <f>INDEX(FuncFactorTbl,MATCH($F1464,FuncFactors,0),MATCH(H$8,Functions,0))*$G1464</f>
        <v>#VALUE!</v>
      </c>
      <c r="I1464" s="139" t="e">
        <f>INDEX(FuncFactorTbl,MATCH($F1464,FuncFactors,0),MATCH(I$8,Functions,0))*$G1464</f>
        <v>#VALUE!</v>
      </c>
      <c r="J1464" s="139" t="e">
        <f>INDEX(FuncFactorTbl,MATCH($F1464,FuncFactors,0),MATCH(J$8,Functions,0))*$G1464</f>
        <v>#VALUE!</v>
      </c>
      <c r="K1464" s="139" t="e">
        <f>INDEX(FuncFactorTbl,MATCH($F1464,FuncFactors,0),MATCH(K$8,Functions,0))*$G1464</f>
        <v>#VALUE!</v>
      </c>
      <c r="L1464" s="139" t="e">
        <f>INDEX(FuncFactorTbl,MATCH($F1464,FuncFactors,0),MATCH(L$8,Functions,0))*$G1464</f>
        <v>#VALUE!</v>
      </c>
      <c r="X1464" s="3" t="str">
        <f>INDEX(DistFuncAllocOptions,ROW(A1464)-ROW($A$92)+1,[4]Inputs!$S$11)</f>
        <v>SUBS</v>
      </c>
      <c r="Y1464" s="116" t="e">
        <f>INDEX(DistFuncFactorTbl,MATCH($X1464,DistFuncFactors,0),MATCH(Y$91,DistFunctions,0))*$J1464</f>
        <v>#VALUE!</v>
      </c>
      <c r="Z1464" s="116" t="e">
        <f>INDEX(DistFuncFactorTbl,MATCH($X1464,DistFuncFactors,0),MATCH(Z$91,DistFunctions,0))*$J1464</f>
        <v>#VALUE!</v>
      </c>
      <c r="AA1464" s="116" t="e">
        <f>INDEX(DistFuncFactorTbl,MATCH($X1464,DistFuncFactors,0),MATCH(AA$91,DistFunctions,0))*$J1464</f>
        <v>#VALUE!</v>
      </c>
      <c r="AB1464" s="116" t="e">
        <f>INDEX(DistFuncFactorTbl,MATCH($X1464,DistFuncFactors,0),MATCH(AB$91,DistFunctions,0))*$J1464</f>
        <v>#VALUE!</v>
      </c>
      <c r="AC1464" s="116" t="e">
        <f>INDEX(DistFuncFactorTbl,MATCH($X1464,DistFuncFactors,0),MATCH(AC$91,DistFunctions,0))*$J1464</f>
        <v>#VALUE!</v>
      </c>
      <c r="AD1464" s="117" t="e">
        <f>ROUND(SUM(-G1464,H1464:L1464),0)</f>
        <v>#VALUE!</v>
      </c>
      <c r="AE1464" s="117" t="e">
        <f>ROUND(H1464-O1464-P1464-Q1464-R1464,0)</f>
        <v>#VALUE!</v>
      </c>
      <c r="AF1464" s="117" t="e">
        <f>ROUND(I1464-T1464-U1464-V1464-W1464,0)</f>
        <v>#VALUE!</v>
      </c>
      <c r="AG1464" s="117" t="e">
        <f>ROUND(J1464-Y1464-Z1464-AA1464-AC1464-AB1464,0)</f>
        <v>#VALUE!</v>
      </c>
      <c r="AH1464" s="116"/>
      <c r="AI1464">
        <f t="shared" si="797"/>
        <v>362</v>
      </c>
      <c r="AJ1464" t="str">
        <f t="shared" si="792"/>
        <v>S</v>
      </c>
      <c r="AK1464" t="str">
        <f>IF(ISERROR(MATCH(AI1464&amp;"."&amp;AJ1464,AK$91:AK1463,0)),AI1464&amp;"."&amp;AJ1464,AI1464&amp;"."&amp;AJ1464&amp;COUNTIFS(AI$91:AI1463,AI1464,AJ$91:AJ1463,AJ1464))</f>
        <v>362.S1</v>
      </c>
    </row>
    <row r="1465" spans="1:37" ht="15" hidden="1">
      <c r="A1465" s="120">
        <f>ROW()</f>
        <v>1465</v>
      </c>
      <c r="B1465" s="120"/>
      <c r="C1465" s="1"/>
      <c r="E1465" s="121"/>
      <c r="F1465" s="138"/>
      <c r="G1465" s="117" t="e">
        <f t="shared" ref="G1465:L1465" si="801">SUM(G1464:G1464)</f>
        <v>#VALUE!</v>
      </c>
      <c r="H1465" s="116" t="e">
        <f t="shared" si="801"/>
        <v>#VALUE!</v>
      </c>
      <c r="I1465" s="116" t="e">
        <f t="shared" si="801"/>
        <v>#VALUE!</v>
      </c>
      <c r="J1465" s="116" t="e">
        <f t="shared" si="801"/>
        <v>#VALUE!</v>
      </c>
      <c r="K1465" s="116" t="e">
        <f t="shared" si="801"/>
        <v>#VALUE!</v>
      </c>
      <c r="L1465" s="116" t="e">
        <f t="shared" si="801"/>
        <v>#VALUE!</v>
      </c>
      <c r="O1465" s="116">
        <f>SUM(O1464:O1464)</f>
        <v>0</v>
      </c>
      <c r="P1465" s="116">
        <f>SUM(P1464:P1464)</f>
        <v>0</v>
      </c>
      <c r="Q1465" s="116">
        <f>SUM(Q1464:Q1464)</f>
        <v>0</v>
      </c>
      <c r="R1465" s="116">
        <f>SUM(R1464:R1464)</f>
        <v>0</v>
      </c>
      <c r="T1465" s="116">
        <f>SUM(T1464:T1464)</f>
        <v>0</v>
      </c>
      <c r="U1465" s="116">
        <f>SUM(U1464:U1464)</f>
        <v>0</v>
      </c>
      <c r="V1465" s="116">
        <f>SUM(V1464:V1464)</f>
        <v>0</v>
      </c>
      <c r="W1465" s="116">
        <f>SUM(W1464:W1464)</f>
        <v>0</v>
      </c>
      <c r="X1465" s="3"/>
      <c r="Y1465" s="116" t="e">
        <f>SUM(Y1464:Y1464)</f>
        <v>#VALUE!</v>
      </c>
      <c r="Z1465" s="116" t="e">
        <f>SUM(Z1464:Z1464)</f>
        <v>#VALUE!</v>
      </c>
      <c r="AA1465" s="116" t="e">
        <f>SUM(AA1464:AA1464)</f>
        <v>#VALUE!</v>
      </c>
      <c r="AB1465" s="116" t="e">
        <f>SUM(AB1464:AB1464)</f>
        <v>#VALUE!</v>
      </c>
      <c r="AC1465" s="116" t="e">
        <f>SUM(AC1464:AC1464)</f>
        <v>#VALUE!</v>
      </c>
      <c r="AD1465" s="117" t="e">
        <f>ROUND(SUM(-G1465,H1465:L1465),0)</f>
        <v>#VALUE!</v>
      </c>
      <c r="AE1465" s="117" t="e">
        <f>ROUND(H1465-O1465-P1465-Q1465-R1465,0)</f>
        <v>#VALUE!</v>
      </c>
      <c r="AF1465" s="117" t="e">
        <f>ROUND(I1465-T1465-U1465-V1465-W1465,0)</f>
        <v>#VALUE!</v>
      </c>
      <c r="AG1465" s="117" t="e">
        <f>ROUND(J1465-Y1465-Z1465-AA1465-AC1465-AB1465,0)</f>
        <v>#VALUE!</v>
      </c>
      <c r="AH1465" s="116"/>
      <c r="AI1465">
        <f t="shared" si="797"/>
        <v>362</v>
      </c>
      <c r="AJ1465" t="str">
        <f t="shared" si="792"/>
        <v>NA</v>
      </c>
      <c r="AK1465" t="str">
        <f>IF(ISERROR(MATCH(AI1465&amp;"."&amp;AJ1465,AK$91:AK1464,0)),AI1465&amp;"."&amp;AJ1465,AI1465&amp;"."&amp;AJ1465&amp;COUNTIFS(AI$91:AI1464,AI1465,AJ$91:AJ1464,AJ1465))</f>
        <v>362.NA1</v>
      </c>
    </row>
    <row r="1466" spans="1:37" ht="15" hidden="1">
      <c r="A1466" s="120">
        <f>ROW()</f>
        <v>1466</v>
      </c>
      <c r="B1466" s="120"/>
      <c r="C1466" s="1"/>
      <c r="E1466" s="121"/>
      <c r="F1466" s="138"/>
      <c r="G1466" s="119"/>
      <c r="X1466" s="3"/>
      <c r="AD1466" s="119"/>
      <c r="AE1466" s="119"/>
      <c r="AF1466" s="119"/>
      <c r="AG1466" s="119"/>
      <c r="AI1466">
        <f t="shared" si="797"/>
        <v>362</v>
      </c>
      <c r="AJ1466" t="str">
        <f t="shared" si="792"/>
        <v>NA</v>
      </c>
      <c r="AK1466" t="str">
        <f>IF(ISERROR(MATCH(AI1466&amp;"."&amp;AJ1466,AK$91:AK1465,0)),AI1466&amp;"."&amp;AJ1466,AI1466&amp;"."&amp;AJ1466&amp;COUNTIFS(AI$91:AI1465,AI1466,AJ$91:AJ1465,AJ1466))</f>
        <v>362.NA2</v>
      </c>
    </row>
    <row r="1467" spans="1:37" ht="15" hidden="1">
      <c r="A1467" s="120">
        <f>ROW()</f>
        <v>1467</v>
      </c>
      <c r="B1467" s="120"/>
      <c r="C1467" s="1">
        <v>364</v>
      </c>
      <c r="D1467" s="2" t="s">
        <v>549</v>
      </c>
      <c r="E1467" s="121"/>
      <c r="F1467" s="138"/>
      <c r="G1467" s="119"/>
      <c r="X1467" s="3"/>
      <c r="AD1467" s="119"/>
      <c r="AE1467" s="119"/>
      <c r="AF1467" s="119"/>
      <c r="AG1467" s="119"/>
      <c r="AI1467">
        <f t="shared" si="797"/>
        <v>364</v>
      </c>
      <c r="AJ1467" t="str">
        <f t="shared" si="792"/>
        <v>NA</v>
      </c>
      <c r="AK1467" t="str">
        <f>IF(ISERROR(MATCH(AI1467&amp;"."&amp;AJ1467,AK$91:AK1466,0)),AI1467&amp;"."&amp;AJ1467,AI1467&amp;"."&amp;AJ1467&amp;COUNTIFS(AI$91:AI1466,AI1467,AJ$91:AJ1466,AJ1467))</f>
        <v>364.NA</v>
      </c>
    </row>
    <row r="1468" spans="1:37" ht="15" hidden="1">
      <c r="A1468" s="120">
        <f>ROW()</f>
        <v>1468</v>
      </c>
      <c r="B1468" s="120"/>
      <c r="C1468" s="1"/>
      <c r="E1468" s="121" t="s">
        <v>12</v>
      </c>
      <c r="F1468" s="138" t="str">
        <f>INDEX(FuncAllocOptions,ROW(A1468)-ROW($A$92)+1,[4]Inputs!$S$11)</f>
        <v>DPW</v>
      </c>
      <c r="G1468" s="133" t="e">
        <f>SUMIF(FERCJAMFactor,AK1468,JAMValue)</f>
        <v>#VALUE!</v>
      </c>
      <c r="H1468" s="139" t="e">
        <f>INDEX(FuncFactorTbl,MATCH($F1468,FuncFactors,0),MATCH(H$8,Functions,0))*$G1468</f>
        <v>#VALUE!</v>
      </c>
      <c r="I1468" s="139" t="e">
        <f>INDEX(FuncFactorTbl,MATCH($F1468,FuncFactors,0),MATCH(I$8,Functions,0))*$G1468</f>
        <v>#VALUE!</v>
      </c>
      <c r="J1468" s="139" t="e">
        <f>INDEX(FuncFactorTbl,MATCH($F1468,FuncFactors,0),MATCH(J$8,Functions,0))*$G1468</f>
        <v>#VALUE!</v>
      </c>
      <c r="K1468" s="139" t="e">
        <f>INDEX(FuncFactorTbl,MATCH($F1468,FuncFactors,0),MATCH(K$8,Functions,0))*$G1468</f>
        <v>#VALUE!</v>
      </c>
      <c r="L1468" s="139" t="e">
        <f>INDEX(FuncFactorTbl,MATCH($F1468,FuncFactors,0),MATCH(L$8,Functions,0))*$G1468</f>
        <v>#VALUE!</v>
      </c>
      <c r="X1468" s="3" t="str">
        <f>INDEX(DistFuncAllocOptions,ROW(A1468)-ROW($A$92)+1,[4]Inputs!$S$11)</f>
        <v>PC</v>
      </c>
      <c r="Y1468" s="116" t="e">
        <f>INDEX(DistFuncFactorTbl,MATCH($X1468,DistFuncFactors,0),MATCH(Y$91,DistFunctions,0))*$J1468</f>
        <v>#VALUE!</v>
      </c>
      <c r="Z1468" s="116" t="e">
        <f>INDEX(DistFuncFactorTbl,MATCH($X1468,DistFuncFactors,0),MATCH(Z$91,DistFunctions,0))*$J1468</f>
        <v>#VALUE!</v>
      </c>
      <c r="AA1468" s="116" t="e">
        <f>INDEX(DistFuncFactorTbl,MATCH($X1468,DistFuncFactors,0),MATCH(AA$91,DistFunctions,0))*$J1468</f>
        <v>#VALUE!</v>
      </c>
      <c r="AB1468" s="116" t="e">
        <f>INDEX(DistFuncFactorTbl,MATCH($X1468,DistFuncFactors,0),MATCH(AB$91,DistFunctions,0))*$J1468</f>
        <v>#VALUE!</v>
      </c>
      <c r="AC1468" s="116" t="e">
        <f>INDEX(DistFuncFactorTbl,MATCH($X1468,DistFuncFactors,0),MATCH(AC$91,DistFunctions,0))*$J1468</f>
        <v>#VALUE!</v>
      </c>
      <c r="AD1468" s="117" t="e">
        <f>ROUND(SUM(-G1468,H1468:L1468),0)</f>
        <v>#VALUE!</v>
      </c>
      <c r="AE1468" s="117" t="e">
        <f>ROUND(H1468-O1468-P1468-Q1468-R1468,0)</f>
        <v>#VALUE!</v>
      </c>
      <c r="AF1468" s="117" t="e">
        <f>ROUND(I1468-T1468-U1468-V1468-W1468,0)</f>
        <v>#VALUE!</v>
      </c>
      <c r="AG1468" s="117" t="e">
        <f>ROUND(J1468-Y1468-Z1468-AA1468-AC1468-AB1468,0)</f>
        <v>#VALUE!</v>
      </c>
      <c r="AH1468" s="116"/>
      <c r="AI1468">
        <f t="shared" si="797"/>
        <v>364</v>
      </c>
      <c r="AJ1468" t="str">
        <f t="shared" si="792"/>
        <v>S</v>
      </c>
      <c r="AK1468" t="str">
        <f>IF(ISERROR(MATCH(AI1468&amp;"."&amp;AJ1468,AK$91:AK1467,0)),AI1468&amp;"."&amp;AJ1468,AI1468&amp;"."&amp;AJ1468&amp;COUNTIFS(AI$91:AI1467,AI1468,AJ$91:AJ1467,AJ1468))</f>
        <v>364.S1</v>
      </c>
    </row>
    <row r="1469" spans="1:37" ht="15" hidden="1">
      <c r="A1469" s="120">
        <f>ROW()</f>
        <v>1469</v>
      </c>
      <c r="B1469" s="120"/>
      <c r="C1469" s="1"/>
      <c r="E1469" s="121"/>
      <c r="F1469" s="138"/>
      <c r="G1469" s="117" t="e">
        <f t="shared" ref="G1469:L1469" si="802">SUM(G1468:G1468)</f>
        <v>#VALUE!</v>
      </c>
      <c r="H1469" s="116" t="e">
        <f t="shared" si="802"/>
        <v>#VALUE!</v>
      </c>
      <c r="I1469" s="116" t="e">
        <f t="shared" si="802"/>
        <v>#VALUE!</v>
      </c>
      <c r="J1469" s="116" t="e">
        <f t="shared" si="802"/>
        <v>#VALUE!</v>
      </c>
      <c r="K1469" s="116" t="e">
        <f t="shared" si="802"/>
        <v>#VALUE!</v>
      </c>
      <c r="L1469" s="116" t="e">
        <f t="shared" si="802"/>
        <v>#VALUE!</v>
      </c>
      <c r="O1469" s="116">
        <f>SUM(O1468:O1468)</f>
        <v>0</v>
      </c>
      <c r="P1469" s="116">
        <f>SUM(P1468:P1468)</f>
        <v>0</v>
      </c>
      <c r="Q1469" s="116">
        <f>SUM(Q1468:Q1468)</f>
        <v>0</v>
      </c>
      <c r="R1469" s="116">
        <f>SUM(R1468:R1468)</f>
        <v>0</v>
      </c>
      <c r="T1469" s="116">
        <f>SUM(T1468:T1468)</f>
        <v>0</v>
      </c>
      <c r="U1469" s="116">
        <f>SUM(U1468:U1468)</f>
        <v>0</v>
      </c>
      <c r="V1469" s="116">
        <f>SUM(V1468:V1468)</f>
        <v>0</v>
      </c>
      <c r="W1469" s="116">
        <f>SUM(W1468:W1468)</f>
        <v>0</v>
      </c>
      <c r="X1469" s="3"/>
      <c r="Y1469" s="116" t="e">
        <f>SUM(Y1468:Y1468)</f>
        <v>#VALUE!</v>
      </c>
      <c r="Z1469" s="116" t="e">
        <f>SUM(Z1468:Z1468)</f>
        <v>#VALUE!</v>
      </c>
      <c r="AA1469" s="116" t="e">
        <f>SUM(AA1468:AA1468)</f>
        <v>#VALUE!</v>
      </c>
      <c r="AB1469" s="116" t="e">
        <f>SUM(AB1468:AB1468)</f>
        <v>#VALUE!</v>
      </c>
      <c r="AC1469" s="116" t="e">
        <f>SUM(AC1468:AC1468)</f>
        <v>#VALUE!</v>
      </c>
      <c r="AD1469" s="117" t="e">
        <f>ROUND(SUM(-G1469,H1469:L1469),0)</f>
        <v>#VALUE!</v>
      </c>
      <c r="AE1469" s="117" t="e">
        <f>ROUND(H1469-O1469-P1469-Q1469-R1469,0)</f>
        <v>#VALUE!</v>
      </c>
      <c r="AF1469" s="117" t="e">
        <f>ROUND(I1469-T1469-U1469-V1469-W1469,0)</f>
        <v>#VALUE!</v>
      </c>
      <c r="AG1469" s="117" t="e">
        <f>ROUND(J1469-Y1469-Z1469-AA1469-AC1469-AB1469,0)</f>
        <v>#VALUE!</v>
      </c>
      <c r="AH1469" s="116"/>
      <c r="AI1469">
        <f t="shared" si="797"/>
        <v>364</v>
      </c>
      <c r="AJ1469" t="str">
        <f t="shared" si="792"/>
        <v>NA</v>
      </c>
      <c r="AK1469" t="str">
        <f>IF(ISERROR(MATCH(AI1469&amp;"."&amp;AJ1469,AK$91:AK1468,0)),AI1469&amp;"."&amp;AJ1469,AI1469&amp;"."&amp;AJ1469&amp;COUNTIFS(AI$91:AI1468,AI1469,AJ$91:AJ1468,AJ1469))</f>
        <v>364.NA1</v>
      </c>
    </row>
    <row r="1470" spans="1:37" ht="15" hidden="1">
      <c r="A1470" s="120">
        <f>ROW()</f>
        <v>1470</v>
      </c>
      <c r="B1470" s="120"/>
      <c r="C1470" s="1"/>
      <c r="E1470" s="121"/>
      <c r="F1470" s="138"/>
      <c r="G1470" s="119"/>
      <c r="X1470" s="3"/>
      <c r="AD1470" s="119"/>
      <c r="AE1470" s="119"/>
      <c r="AF1470" s="119"/>
      <c r="AG1470" s="119"/>
      <c r="AI1470">
        <f t="shared" si="797"/>
        <v>364</v>
      </c>
      <c r="AJ1470" t="str">
        <f t="shared" si="792"/>
        <v>NA</v>
      </c>
      <c r="AK1470" t="str">
        <f>IF(ISERROR(MATCH(AI1470&amp;"."&amp;AJ1470,AK$91:AK1469,0)),AI1470&amp;"."&amp;AJ1470,AI1470&amp;"."&amp;AJ1470&amp;COUNTIFS(AI$91:AI1469,AI1470,AJ$91:AJ1469,AJ1470))</f>
        <v>364.NA2</v>
      </c>
    </row>
    <row r="1471" spans="1:37" ht="15" hidden="1">
      <c r="A1471" s="120">
        <f>ROW()</f>
        <v>1471</v>
      </c>
      <c r="B1471" s="120"/>
      <c r="C1471" s="1">
        <v>365</v>
      </c>
      <c r="D1471" s="2" t="s">
        <v>550</v>
      </c>
      <c r="E1471" s="121"/>
      <c r="F1471" s="138"/>
      <c r="G1471" s="119"/>
      <c r="X1471" s="3"/>
      <c r="AD1471" s="119"/>
      <c r="AE1471" s="119"/>
      <c r="AF1471" s="119"/>
      <c r="AG1471" s="119"/>
      <c r="AI1471">
        <f t="shared" si="797"/>
        <v>365</v>
      </c>
      <c r="AJ1471" t="str">
        <f t="shared" si="792"/>
        <v>NA</v>
      </c>
      <c r="AK1471" t="str">
        <f>IF(ISERROR(MATCH(AI1471&amp;"."&amp;AJ1471,AK$91:AK1470,0)),AI1471&amp;"."&amp;AJ1471,AI1471&amp;"."&amp;AJ1471&amp;COUNTIFS(AI$91:AI1470,AI1471,AJ$91:AJ1470,AJ1471))</f>
        <v>365.NA</v>
      </c>
    </row>
    <row r="1472" spans="1:37" ht="15" hidden="1">
      <c r="A1472" s="120">
        <f>ROW()</f>
        <v>1472</v>
      </c>
      <c r="B1472" s="120"/>
      <c r="C1472" s="1"/>
      <c r="E1472" s="121" t="s">
        <v>12</v>
      </c>
      <c r="F1472" s="138" t="str">
        <f>INDEX(FuncAllocOptions,ROW(A1472)-ROW($A$92)+1,[4]Inputs!$S$11)</f>
        <v>DPW</v>
      </c>
      <c r="G1472" s="133" t="e">
        <f>SUMIF(FERCJAMFactor,AK1472,JAMValue)</f>
        <v>#VALUE!</v>
      </c>
      <c r="H1472" s="139" t="e">
        <f>INDEX(FuncFactorTbl,MATCH($F1472,FuncFactors,0),MATCH(H$8,Functions,0))*$G1472</f>
        <v>#VALUE!</v>
      </c>
      <c r="I1472" s="139" t="e">
        <f>INDEX(FuncFactorTbl,MATCH($F1472,FuncFactors,0),MATCH(I$8,Functions,0))*$G1472</f>
        <v>#VALUE!</v>
      </c>
      <c r="J1472" s="139" t="e">
        <f>INDEX(FuncFactorTbl,MATCH($F1472,FuncFactors,0),MATCH(J$8,Functions,0))*$G1472</f>
        <v>#VALUE!</v>
      </c>
      <c r="K1472" s="139" t="e">
        <f>INDEX(FuncFactorTbl,MATCH($F1472,FuncFactors,0),MATCH(K$8,Functions,0))*$G1472</f>
        <v>#VALUE!</v>
      </c>
      <c r="L1472" s="139" t="e">
        <f>INDEX(FuncFactorTbl,MATCH($F1472,FuncFactors,0),MATCH(L$8,Functions,0))*$G1472</f>
        <v>#VALUE!</v>
      </c>
      <c r="X1472" s="3" t="str">
        <f>INDEX(DistFuncAllocOptions,ROW(A1472)-ROW($A$92)+1,[4]Inputs!$S$11)</f>
        <v>PC</v>
      </c>
      <c r="Y1472" s="116" t="e">
        <f>INDEX(DistFuncFactorTbl,MATCH($X1472,DistFuncFactors,0),MATCH(Y$91,DistFunctions,0))*$J1472</f>
        <v>#VALUE!</v>
      </c>
      <c r="Z1472" s="116" t="e">
        <f>INDEX(DistFuncFactorTbl,MATCH($X1472,DistFuncFactors,0),MATCH(Z$91,DistFunctions,0))*$J1472</f>
        <v>#VALUE!</v>
      </c>
      <c r="AA1472" s="116" t="e">
        <f>INDEX(DistFuncFactorTbl,MATCH($X1472,DistFuncFactors,0),MATCH(AA$91,DistFunctions,0))*$J1472</f>
        <v>#VALUE!</v>
      </c>
      <c r="AB1472" s="116" t="e">
        <f>INDEX(DistFuncFactorTbl,MATCH($X1472,DistFuncFactors,0),MATCH(AB$91,DistFunctions,0))*$J1472</f>
        <v>#VALUE!</v>
      </c>
      <c r="AC1472" s="116" t="e">
        <f>INDEX(DistFuncFactorTbl,MATCH($X1472,DistFuncFactors,0),MATCH(AC$91,DistFunctions,0))*$J1472</f>
        <v>#VALUE!</v>
      </c>
      <c r="AD1472" s="117" t="e">
        <f>ROUND(SUM(-G1472,H1472:L1472),0)</f>
        <v>#VALUE!</v>
      </c>
      <c r="AE1472" s="117" t="e">
        <f>ROUND(H1472-O1472-P1472-Q1472-R1472,0)</f>
        <v>#VALUE!</v>
      </c>
      <c r="AF1472" s="117" t="e">
        <f>ROUND(I1472-T1472-U1472-V1472-W1472,0)</f>
        <v>#VALUE!</v>
      </c>
      <c r="AG1472" s="117" t="e">
        <f>ROUND(J1472-Y1472-Z1472-AA1472-AC1472-AB1472,0)</f>
        <v>#VALUE!</v>
      </c>
      <c r="AH1472" s="116"/>
      <c r="AI1472">
        <f t="shared" si="797"/>
        <v>365</v>
      </c>
      <c r="AJ1472" t="str">
        <f t="shared" si="792"/>
        <v>S</v>
      </c>
      <c r="AK1472" t="str">
        <f>IF(ISERROR(MATCH(AI1472&amp;"."&amp;AJ1472,AK$91:AK1471,0)),AI1472&amp;"."&amp;AJ1472,AI1472&amp;"."&amp;AJ1472&amp;COUNTIFS(AI$91:AI1471,AI1472,AJ$91:AJ1471,AJ1472))</f>
        <v>365.S1</v>
      </c>
    </row>
    <row r="1473" spans="1:37" ht="15" hidden="1">
      <c r="A1473" s="120">
        <f>ROW()</f>
        <v>1473</v>
      </c>
      <c r="B1473" s="120"/>
      <c r="C1473" s="1"/>
      <c r="E1473" s="121"/>
      <c r="F1473" s="138"/>
      <c r="G1473" s="117" t="e">
        <f t="shared" ref="G1473:L1473" si="803">SUM(G1472:G1472)</f>
        <v>#VALUE!</v>
      </c>
      <c r="H1473" s="116" t="e">
        <f t="shared" si="803"/>
        <v>#VALUE!</v>
      </c>
      <c r="I1473" s="116" t="e">
        <f t="shared" si="803"/>
        <v>#VALUE!</v>
      </c>
      <c r="J1473" s="116" t="e">
        <f t="shared" si="803"/>
        <v>#VALUE!</v>
      </c>
      <c r="K1473" s="116" t="e">
        <f t="shared" si="803"/>
        <v>#VALUE!</v>
      </c>
      <c r="L1473" s="116" t="e">
        <f t="shared" si="803"/>
        <v>#VALUE!</v>
      </c>
      <c r="O1473" s="116">
        <f>SUM(O1472:O1472)</f>
        <v>0</v>
      </c>
      <c r="P1473" s="116">
        <f>SUM(P1472:P1472)</f>
        <v>0</v>
      </c>
      <c r="Q1473" s="116">
        <f>SUM(Q1472:Q1472)</f>
        <v>0</v>
      </c>
      <c r="R1473" s="116">
        <f>SUM(R1472:R1472)</f>
        <v>0</v>
      </c>
      <c r="T1473" s="116">
        <f>SUM(T1472:T1472)</f>
        <v>0</v>
      </c>
      <c r="U1473" s="116">
        <f>SUM(U1472:U1472)</f>
        <v>0</v>
      </c>
      <c r="V1473" s="116">
        <f>SUM(V1472:V1472)</f>
        <v>0</v>
      </c>
      <c r="W1473" s="116">
        <f>SUM(W1472:W1472)</f>
        <v>0</v>
      </c>
      <c r="X1473" s="3"/>
      <c r="Y1473" s="116" t="e">
        <f>SUM(Y1472:Y1472)</f>
        <v>#VALUE!</v>
      </c>
      <c r="Z1473" s="116" t="e">
        <f>SUM(Z1472:Z1472)</f>
        <v>#VALUE!</v>
      </c>
      <c r="AA1473" s="116" t="e">
        <f>SUM(AA1472:AA1472)</f>
        <v>#VALUE!</v>
      </c>
      <c r="AB1473" s="116" t="e">
        <f>SUM(AB1472:AB1472)</f>
        <v>#VALUE!</v>
      </c>
      <c r="AC1473" s="116" t="e">
        <f>SUM(AC1472:AC1472)</f>
        <v>#VALUE!</v>
      </c>
      <c r="AD1473" s="117" t="e">
        <f>ROUND(SUM(-G1473,H1473:L1473),0)</f>
        <v>#VALUE!</v>
      </c>
      <c r="AE1473" s="117" t="e">
        <f>ROUND(H1473-O1473-P1473-Q1473-R1473,0)</f>
        <v>#VALUE!</v>
      </c>
      <c r="AF1473" s="117" t="e">
        <f>ROUND(I1473-T1473-U1473-V1473-W1473,0)</f>
        <v>#VALUE!</v>
      </c>
      <c r="AG1473" s="117" t="e">
        <f>ROUND(J1473-Y1473-Z1473-AA1473-AC1473-AB1473,0)</f>
        <v>#VALUE!</v>
      </c>
      <c r="AH1473" s="116"/>
      <c r="AI1473">
        <f t="shared" si="797"/>
        <v>365</v>
      </c>
      <c r="AJ1473" t="str">
        <f t="shared" si="792"/>
        <v>NA</v>
      </c>
      <c r="AK1473" t="str">
        <f>IF(ISERROR(MATCH(AI1473&amp;"."&amp;AJ1473,AK$91:AK1472,0)),AI1473&amp;"."&amp;AJ1473,AI1473&amp;"."&amp;AJ1473&amp;COUNTIFS(AI$91:AI1472,AI1473,AJ$91:AJ1472,AJ1473))</f>
        <v>365.NA1</v>
      </c>
    </row>
    <row r="1474" spans="1:37" ht="15" hidden="1">
      <c r="A1474" s="120">
        <f>ROW()</f>
        <v>1474</v>
      </c>
      <c r="B1474" s="120"/>
      <c r="C1474" s="1"/>
      <c r="E1474" s="121"/>
      <c r="F1474" s="138"/>
      <c r="G1474" s="119"/>
      <c r="X1474" s="3"/>
      <c r="AD1474" s="119"/>
      <c r="AE1474" s="119"/>
      <c r="AF1474" s="119"/>
      <c r="AG1474" s="119"/>
      <c r="AI1474">
        <f t="shared" si="797"/>
        <v>365</v>
      </c>
      <c r="AJ1474" t="str">
        <f t="shared" si="792"/>
        <v>NA</v>
      </c>
      <c r="AK1474" t="str">
        <f>IF(ISERROR(MATCH(AI1474&amp;"."&amp;AJ1474,AK$91:AK1473,0)),AI1474&amp;"."&amp;AJ1474,AI1474&amp;"."&amp;AJ1474&amp;COUNTIFS(AI$91:AI1473,AI1474,AJ$91:AJ1473,AJ1474))</f>
        <v>365.NA2</v>
      </c>
    </row>
    <row r="1475" spans="1:37" ht="15" hidden="1">
      <c r="A1475" s="120">
        <f>ROW()</f>
        <v>1475</v>
      </c>
      <c r="B1475" s="120"/>
      <c r="C1475" s="1">
        <v>366</v>
      </c>
      <c r="D1475" s="2" t="s">
        <v>541</v>
      </c>
      <c r="E1475" s="121"/>
      <c r="F1475" s="138"/>
      <c r="G1475" s="119"/>
      <c r="X1475" s="3"/>
      <c r="AD1475" s="119"/>
      <c r="AE1475" s="119"/>
      <c r="AF1475" s="119"/>
      <c r="AG1475" s="119"/>
      <c r="AI1475">
        <f t="shared" si="797"/>
        <v>366</v>
      </c>
      <c r="AJ1475" t="str">
        <f t="shared" si="792"/>
        <v>NA</v>
      </c>
      <c r="AK1475" t="str">
        <f>IF(ISERROR(MATCH(AI1475&amp;"."&amp;AJ1475,AK$91:AK1474,0)),AI1475&amp;"."&amp;AJ1475,AI1475&amp;"."&amp;AJ1475&amp;COUNTIFS(AI$91:AI1474,AI1475,AJ$91:AJ1474,AJ1475))</f>
        <v>366.NA</v>
      </c>
    </row>
    <row r="1476" spans="1:37" ht="15" hidden="1">
      <c r="A1476" s="120">
        <f>ROW()</f>
        <v>1476</v>
      </c>
      <c r="B1476" s="120"/>
      <c r="C1476" s="1"/>
      <c r="E1476" s="121" t="s">
        <v>12</v>
      </c>
      <c r="F1476" s="138" t="str">
        <f>INDEX(FuncAllocOptions,ROW(A1476)-ROW($A$92)+1,[4]Inputs!$S$11)</f>
        <v>DPW</v>
      </c>
      <c r="G1476" s="133" t="e">
        <f>SUMIF(FERCJAMFactor,AK1476,JAMValue)</f>
        <v>#VALUE!</v>
      </c>
      <c r="H1476" s="139" t="e">
        <f>INDEX(FuncFactorTbl,MATCH($F1476,FuncFactors,0),MATCH(H$8,Functions,0))*$G1476</f>
        <v>#VALUE!</v>
      </c>
      <c r="I1476" s="139" t="e">
        <f>INDEX(FuncFactorTbl,MATCH($F1476,FuncFactors,0),MATCH(I$8,Functions,0))*$G1476</f>
        <v>#VALUE!</v>
      </c>
      <c r="J1476" s="139" t="e">
        <f>INDEX(FuncFactorTbl,MATCH($F1476,FuncFactors,0),MATCH(J$8,Functions,0))*$G1476</f>
        <v>#VALUE!</v>
      </c>
      <c r="K1476" s="139" t="e">
        <f>INDEX(FuncFactorTbl,MATCH($F1476,FuncFactors,0),MATCH(K$8,Functions,0))*$G1476</f>
        <v>#VALUE!</v>
      </c>
      <c r="L1476" s="139" t="e">
        <f>INDEX(FuncFactorTbl,MATCH($F1476,FuncFactors,0),MATCH(L$8,Functions,0))*$G1476</f>
        <v>#VALUE!</v>
      </c>
      <c r="X1476" s="3" t="str">
        <f>INDEX(DistFuncAllocOptions,ROW(A1476)-ROW($A$92)+1,[4]Inputs!$S$11)</f>
        <v>PC</v>
      </c>
      <c r="Y1476" s="116" t="e">
        <f>INDEX(DistFuncFactorTbl,MATCH($X1476,DistFuncFactors,0),MATCH(Y$91,DistFunctions,0))*$J1476</f>
        <v>#VALUE!</v>
      </c>
      <c r="Z1476" s="116" t="e">
        <f>INDEX(DistFuncFactorTbl,MATCH($X1476,DistFuncFactors,0),MATCH(Z$91,DistFunctions,0))*$J1476</f>
        <v>#VALUE!</v>
      </c>
      <c r="AA1476" s="116" t="e">
        <f>INDEX(DistFuncFactorTbl,MATCH($X1476,DistFuncFactors,0),MATCH(AA$91,DistFunctions,0))*$J1476</f>
        <v>#VALUE!</v>
      </c>
      <c r="AB1476" s="116" t="e">
        <f>INDEX(DistFuncFactorTbl,MATCH($X1476,DistFuncFactors,0),MATCH(AB$91,DistFunctions,0))*$J1476</f>
        <v>#VALUE!</v>
      </c>
      <c r="AC1476" s="116" t="e">
        <f>INDEX(DistFuncFactorTbl,MATCH($X1476,DistFuncFactors,0),MATCH(AC$91,DistFunctions,0))*$J1476</f>
        <v>#VALUE!</v>
      </c>
      <c r="AD1476" s="117" t="e">
        <f>ROUND(SUM(-G1476,H1476:L1476),0)</f>
        <v>#VALUE!</v>
      </c>
      <c r="AE1476" s="117" t="e">
        <f>ROUND(H1476-O1476-P1476-Q1476-R1476,0)</f>
        <v>#VALUE!</v>
      </c>
      <c r="AF1476" s="117" t="e">
        <f>ROUND(I1476-T1476-U1476-V1476-W1476,0)</f>
        <v>#VALUE!</v>
      </c>
      <c r="AG1476" s="117" t="e">
        <f>ROUND(J1476-Y1476-Z1476-AA1476-AC1476-AB1476,0)</f>
        <v>#VALUE!</v>
      </c>
      <c r="AH1476" s="116"/>
      <c r="AI1476">
        <f t="shared" si="797"/>
        <v>366</v>
      </c>
      <c r="AJ1476" t="str">
        <f t="shared" si="792"/>
        <v>S</v>
      </c>
      <c r="AK1476" t="str">
        <f>IF(ISERROR(MATCH(AI1476&amp;"."&amp;AJ1476,AK$91:AK1475,0)),AI1476&amp;"."&amp;AJ1476,AI1476&amp;"."&amp;AJ1476&amp;COUNTIFS(AI$91:AI1475,AI1476,AJ$91:AJ1475,AJ1476))</f>
        <v>366.S1</v>
      </c>
    </row>
    <row r="1477" spans="1:37" ht="15" hidden="1">
      <c r="A1477" s="120">
        <f>ROW()</f>
        <v>1477</v>
      </c>
      <c r="B1477" s="120"/>
      <c r="C1477" s="1"/>
      <c r="E1477" s="121"/>
      <c r="F1477" s="138"/>
      <c r="G1477" s="117" t="e">
        <f t="shared" ref="G1477:L1477" si="804">SUM(G1476:G1476)</f>
        <v>#VALUE!</v>
      </c>
      <c r="H1477" s="116" t="e">
        <f t="shared" si="804"/>
        <v>#VALUE!</v>
      </c>
      <c r="I1477" s="116" t="e">
        <f t="shared" si="804"/>
        <v>#VALUE!</v>
      </c>
      <c r="J1477" s="116" t="e">
        <f t="shared" si="804"/>
        <v>#VALUE!</v>
      </c>
      <c r="K1477" s="116" t="e">
        <f t="shared" si="804"/>
        <v>#VALUE!</v>
      </c>
      <c r="L1477" s="116" t="e">
        <f t="shared" si="804"/>
        <v>#VALUE!</v>
      </c>
      <c r="O1477" s="116">
        <f>SUM(O1476:O1476)</f>
        <v>0</v>
      </c>
      <c r="P1477" s="116">
        <f>SUM(P1476:P1476)</f>
        <v>0</v>
      </c>
      <c r="Q1477" s="116">
        <f>SUM(Q1476:Q1476)</f>
        <v>0</v>
      </c>
      <c r="R1477" s="116">
        <f>SUM(R1476:R1476)</f>
        <v>0</v>
      </c>
      <c r="T1477" s="116">
        <f>SUM(T1476:T1476)</f>
        <v>0</v>
      </c>
      <c r="U1477" s="116">
        <f>SUM(U1476:U1476)</f>
        <v>0</v>
      </c>
      <c r="V1477" s="116">
        <f>SUM(V1476:V1476)</f>
        <v>0</v>
      </c>
      <c r="W1477" s="116">
        <f>SUM(W1476:W1476)</f>
        <v>0</v>
      </c>
      <c r="X1477" s="3"/>
      <c r="Y1477" s="116" t="e">
        <f>SUM(Y1476:Y1476)</f>
        <v>#VALUE!</v>
      </c>
      <c r="Z1477" s="116" t="e">
        <f>SUM(Z1476:Z1476)</f>
        <v>#VALUE!</v>
      </c>
      <c r="AA1477" s="116" t="e">
        <f>SUM(AA1476:AA1476)</f>
        <v>#VALUE!</v>
      </c>
      <c r="AB1477" s="116" t="e">
        <f>SUM(AB1476:AB1476)</f>
        <v>#VALUE!</v>
      </c>
      <c r="AC1477" s="116" t="e">
        <f>SUM(AC1476:AC1476)</f>
        <v>#VALUE!</v>
      </c>
      <c r="AD1477" s="117" t="e">
        <f>ROUND(SUM(-G1477,H1477:L1477),0)</f>
        <v>#VALUE!</v>
      </c>
      <c r="AE1477" s="117" t="e">
        <f>ROUND(H1477-O1477-P1477-Q1477-R1477,0)</f>
        <v>#VALUE!</v>
      </c>
      <c r="AF1477" s="117" t="e">
        <f>ROUND(I1477-T1477-U1477-V1477-W1477,0)</f>
        <v>#VALUE!</v>
      </c>
      <c r="AG1477" s="117" t="e">
        <f>ROUND(J1477-Y1477-Z1477-AA1477-AC1477-AB1477,0)</f>
        <v>#VALUE!</v>
      </c>
      <c r="AH1477" s="116"/>
      <c r="AI1477">
        <f t="shared" si="797"/>
        <v>366</v>
      </c>
      <c r="AJ1477" t="str">
        <f t="shared" si="792"/>
        <v>NA</v>
      </c>
      <c r="AK1477" t="str">
        <f>IF(ISERROR(MATCH(AI1477&amp;"."&amp;AJ1477,AK$91:AK1476,0)),AI1477&amp;"."&amp;AJ1477,AI1477&amp;"."&amp;AJ1477&amp;COUNTIFS(AI$91:AI1476,AI1477,AJ$91:AJ1476,AJ1477))</f>
        <v>366.NA1</v>
      </c>
    </row>
    <row r="1478" spans="1:37" ht="15" hidden="1">
      <c r="A1478" s="120">
        <f>ROW()</f>
        <v>1478</v>
      </c>
      <c r="B1478" s="120"/>
      <c r="C1478" s="1"/>
      <c r="E1478" s="121"/>
      <c r="F1478" s="138"/>
      <c r="G1478" s="119"/>
      <c r="X1478" s="3"/>
      <c r="AD1478" s="119"/>
      <c r="AE1478" s="119"/>
      <c r="AF1478" s="119"/>
      <c r="AG1478" s="119"/>
      <c r="AI1478">
        <f t="shared" si="797"/>
        <v>366</v>
      </c>
      <c r="AJ1478" t="str">
        <f t="shared" si="792"/>
        <v>NA</v>
      </c>
      <c r="AK1478" t="str">
        <f>IF(ISERROR(MATCH(AI1478&amp;"."&amp;AJ1478,AK$91:AK1477,0)),AI1478&amp;"."&amp;AJ1478,AI1478&amp;"."&amp;AJ1478&amp;COUNTIFS(AI$91:AI1477,AI1478,AJ$91:AJ1477,AJ1478))</f>
        <v>366.NA2</v>
      </c>
    </row>
    <row r="1479" spans="1:37" ht="15" hidden="1">
      <c r="A1479" s="120">
        <f>ROW()</f>
        <v>1479</v>
      </c>
      <c r="B1479" s="120"/>
      <c r="C1479" s="1">
        <v>367</v>
      </c>
      <c r="D1479" s="2" t="s">
        <v>542</v>
      </c>
      <c r="E1479" s="121"/>
      <c r="F1479" s="138"/>
      <c r="G1479" s="119"/>
      <c r="X1479" s="3"/>
      <c r="AD1479" s="119"/>
      <c r="AE1479" s="119"/>
      <c r="AF1479" s="119"/>
      <c r="AG1479" s="119"/>
      <c r="AI1479">
        <f t="shared" si="797"/>
        <v>367</v>
      </c>
      <c r="AJ1479" t="str">
        <f t="shared" si="792"/>
        <v>NA</v>
      </c>
      <c r="AK1479" t="str">
        <f>IF(ISERROR(MATCH(AI1479&amp;"."&amp;AJ1479,AK$91:AK1478,0)),AI1479&amp;"."&amp;AJ1479,AI1479&amp;"."&amp;AJ1479&amp;COUNTIFS(AI$91:AI1478,AI1479,AJ$91:AJ1478,AJ1479))</f>
        <v>367.NA</v>
      </c>
    </row>
    <row r="1480" spans="1:37" ht="15" hidden="1">
      <c r="A1480" s="120">
        <f>ROW()</f>
        <v>1480</v>
      </c>
      <c r="B1480" s="120"/>
      <c r="C1480" s="1"/>
      <c r="E1480" s="121" t="s">
        <v>12</v>
      </c>
      <c r="F1480" s="138" t="str">
        <f>INDEX(FuncAllocOptions,ROW(A1480)-ROW($A$92)+1,[4]Inputs!$S$11)</f>
        <v>DPW</v>
      </c>
      <c r="G1480" s="133" t="e">
        <f>SUMIF(FERCJAMFactor,AK1480,JAMValue)</f>
        <v>#VALUE!</v>
      </c>
      <c r="H1480" s="139" t="e">
        <f>INDEX(FuncFactorTbl,MATCH($F1480,FuncFactors,0),MATCH(H$8,Functions,0))*$G1480</f>
        <v>#VALUE!</v>
      </c>
      <c r="I1480" s="139" t="e">
        <f>INDEX(FuncFactorTbl,MATCH($F1480,FuncFactors,0),MATCH(I$8,Functions,0))*$G1480</f>
        <v>#VALUE!</v>
      </c>
      <c r="J1480" s="139" t="e">
        <f>INDEX(FuncFactorTbl,MATCH($F1480,FuncFactors,0),MATCH(J$8,Functions,0))*$G1480</f>
        <v>#VALUE!</v>
      </c>
      <c r="K1480" s="139" t="e">
        <f>INDEX(FuncFactorTbl,MATCH($F1480,FuncFactors,0),MATCH(K$8,Functions,0))*$G1480</f>
        <v>#VALUE!</v>
      </c>
      <c r="L1480" s="139" t="e">
        <f>INDEX(FuncFactorTbl,MATCH($F1480,FuncFactors,0),MATCH(L$8,Functions,0))*$G1480</f>
        <v>#VALUE!</v>
      </c>
      <c r="X1480" s="3" t="str">
        <f>INDEX(DistFuncAllocOptions,ROW(A1480)-ROW($A$92)+1,[4]Inputs!$S$11)</f>
        <v>PC</v>
      </c>
      <c r="Y1480" s="116" t="e">
        <f>INDEX(DistFuncFactorTbl,MATCH($X1480,DistFuncFactors,0),MATCH(Y$91,DistFunctions,0))*$J1480</f>
        <v>#VALUE!</v>
      </c>
      <c r="Z1480" s="116" t="e">
        <f>INDEX(DistFuncFactorTbl,MATCH($X1480,DistFuncFactors,0),MATCH(Z$91,DistFunctions,0))*$J1480</f>
        <v>#VALUE!</v>
      </c>
      <c r="AA1480" s="116" t="e">
        <f>INDEX(DistFuncFactorTbl,MATCH($X1480,DistFuncFactors,0),MATCH(AA$91,DistFunctions,0))*$J1480</f>
        <v>#VALUE!</v>
      </c>
      <c r="AB1480" s="116" t="e">
        <f>INDEX(DistFuncFactorTbl,MATCH($X1480,DistFuncFactors,0),MATCH(AB$91,DistFunctions,0))*$J1480</f>
        <v>#VALUE!</v>
      </c>
      <c r="AC1480" s="116" t="e">
        <f>INDEX(DistFuncFactorTbl,MATCH($X1480,DistFuncFactors,0),MATCH(AC$91,DistFunctions,0))*$J1480</f>
        <v>#VALUE!</v>
      </c>
      <c r="AD1480" s="117" t="e">
        <f>ROUND(SUM(-G1480,H1480:L1480),0)</f>
        <v>#VALUE!</v>
      </c>
      <c r="AE1480" s="117" t="e">
        <f>ROUND(H1480-O1480-P1480-Q1480-R1480,0)</f>
        <v>#VALUE!</v>
      </c>
      <c r="AF1480" s="117" t="e">
        <f>ROUND(I1480-T1480-U1480-V1480-W1480,0)</f>
        <v>#VALUE!</v>
      </c>
      <c r="AG1480" s="117" t="e">
        <f>ROUND(J1480-Y1480-Z1480-AA1480-AC1480-AB1480,0)</f>
        <v>#VALUE!</v>
      </c>
      <c r="AH1480" s="116"/>
      <c r="AI1480">
        <f t="shared" si="797"/>
        <v>367</v>
      </c>
      <c r="AJ1480" t="str">
        <f t="shared" si="792"/>
        <v>S</v>
      </c>
      <c r="AK1480" t="str">
        <f>IF(ISERROR(MATCH(AI1480&amp;"."&amp;AJ1480,AK$91:AK1479,0)),AI1480&amp;"."&amp;AJ1480,AI1480&amp;"."&amp;AJ1480&amp;COUNTIFS(AI$91:AI1479,AI1480,AJ$91:AJ1479,AJ1480))</f>
        <v>367.S1</v>
      </c>
    </row>
    <row r="1481" spans="1:37" ht="15" hidden="1">
      <c r="A1481" s="120">
        <f>ROW()</f>
        <v>1481</v>
      </c>
      <c r="B1481" s="120"/>
      <c r="C1481" s="1"/>
      <c r="E1481" s="121"/>
      <c r="F1481" s="138"/>
      <c r="G1481" s="117" t="e">
        <f t="shared" ref="G1481:L1481" si="805">SUM(G1480:G1480)</f>
        <v>#VALUE!</v>
      </c>
      <c r="H1481" s="116" t="e">
        <f t="shared" si="805"/>
        <v>#VALUE!</v>
      </c>
      <c r="I1481" s="116" t="e">
        <f t="shared" si="805"/>
        <v>#VALUE!</v>
      </c>
      <c r="J1481" s="116" t="e">
        <f t="shared" si="805"/>
        <v>#VALUE!</v>
      </c>
      <c r="K1481" s="116" t="e">
        <f t="shared" si="805"/>
        <v>#VALUE!</v>
      </c>
      <c r="L1481" s="116" t="e">
        <f t="shared" si="805"/>
        <v>#VALUE!</v>
      </c>
      <c r="O1481" s="116">
        <f>SUM(O1480:O1480)</f>
        <v>0</v>
      </c>
      <c r="P1481" s="116">
        <f>SUM(P1480:P1480)</f>
        <v>0</v>
      </c>
      <c r="Q1481" s="116">
        <f>SUM(Q1480:Q1480)</f>
        <v>0</v>
      </c>
      <c r="R1481" s="116">
        <f>SUM(R1480:R1480)</f>
        <v>0</v>
      </c>
      <c r="T1481" s="116">
        <f>SUM(T1480:T1480)</f>
        <v>0</v>
      </c>
      <c r="U1481" s="116">
        <f>SUM(U1480:U1480)</f>
        <v>0</v>
      </c>
      <c r="V1481" s="116">
        <f>SUM(V1480:V1480)</f>
        <v>0</v>
      </c>
      <c r="W1481" s="116">
        <f>SUM(W1480:W1480)</f>
        <v>0</v>
      </c>
      <c r="X1481" s="3"/>
      <c r="Y1481" s="116" t="e">
        <f>SUM(Y1480:Y1480)</f>
        <v>#VALUE!</v>
      </c>
      <c r="Z1481" s="116" t="e">
        <f>SUM(Z1480:Z1480)</f>
        <v>#VALUE!</v>
      </c>
      <c r="AA1481" s="116" t="e">
        <f>SUM(AA1480:AA1480)</f>
        <v>#VALUE!</v>
      </c>
      <c r="AB1481" s="116" t="e">
        <f>SUM(AB1480:AB1480)</f>
        <v>#VALUE!</v>
      </c>
      <c r="AC1481" s="116" t="e">
        <f>SUM(AC1480:AC1480)</f>
        <v>#VALUE!</v>
      </c>
      <c r="AD1481" s="117" t="e">
        <f>ROUND(SUM(-G1481,H1481:L1481),0)</f>
        <v>#VALUE!</v>
      </c>
      <c r="AE1481" s="117" t="e">
        <f>ROUND(H1481-O1481-P1481-Q1481-R1481,0)</f>
        <v>#VALUE!</v>
      </c>
      <c r="AF1481" s="117" t="e">
        <f>ROUND(I1481-T1481-U1481-V1481-W1481,0)</f>
        <v>#VALUE!</v>
      </c>
      <c r="AG1481" s="117" t="e">
        <f>ROUND(J1481-Y1481-Z1481-AA1481-AC1481-AB1481,0)</f>
        <v>#VALUE!</v>
      </c>
      <c r="AH1481" s="116"/>
      <c r="AI1481">
        <f t="shared" si="797"/>
        <v>367</v>
      </c>
      <c r="AJ1481" t="str">
        <f t="shared" si="792"/>
        <v>NA</v>
      </c>
      <c r="AK1481" t="str">
        <f>IF(ISERROR(MATCH(AI1481&amp;"."&amp;AJ1481,AK$91:AK1480,0)),AI1481&amp;"."&amp;AJ1481,AI1481&amp;"."&amp;AJ1481&amp;COUNTIFS(AI$91:AI1480,AI1481,AJ$91:AJ1480,AJ1481))</f>
        <v>367.NA1</v>
      </c>
    </row>
    <row r="1482" spans="1:37" ht="15" hidden="1">
      <c r="A1482" s="120">
        <f>ROW()</f>
        <v>1482</v>
      </c>
      <c r="B1482" s="120"/>
      <c r="C1482" s="1"/>
      <c r="E1482" s="121"/>
      <c r="F1482" s="138"/>
      <c r="G1482" s="119"/>
      <c r="X1482" s="3"/>
      <c r="AD1482" s="119"/>
      <c r="AE1482" s="119"/>
      <c r="AF1482" s="119"/>
      <c r="AG1482" s="119"/>
      <c r="AI1482">
        <f t="shared" si="797"/>
        <v>367</v>
      </c>
      <c r="AJ1482" t="str">
        <f t="shared" si="792"/>
        <v>NA</v>
      </c>
      <c r="AK1482" t="str">
        <f>IF(ISERROR(MATCH(AI1482&amp;"."&amp;AJ1482,AK$91:AK1481,0)),AI1482&amp;"."&amp;AJ1482,AI1482&amp;"."&amp;AJ1482&amp;COUNTIFS(AI$91:AI1481,AI1482,AJ$91:AJ1481,AJ1482))</f>
        <v>367.NA2</v>
      </c>
    </row>
    <row r="1483" spans="1:37" ht="15" hidden="1">
      <c r="A1483" s="120">
        <f>ROW()</f>
        <v>1483</v>
      </c>
      <c r="B1483" s="120"/>
      <c r="C1483" s="1">
        <v>368</v>
      </c>
      <c r="D1483" s="2" t="s">
        <v>551</v>
      </c>
      <c r="E1483" s="121"/>
      <c r="F1483" s="138"/>
      <c r="G1483" s="119"/>
      <c r="X1483" s="3"/>
      <c r="AD1483" s="119"/>
      <c r="AE1483" s="119"/>
      <c r="AF1483" s="119"/>
      <c r="AG1483" s="119"/>
      <c r="AI1483">
        <f t="shared" si="797"/>
        <v>368</v>
      </c>
      <c r="AJ1483" t="str">
        <f t="shared" si="792"/>
        <v>NA</v>
      </c>
      <c r="AK1483" t="str">
        <f>IF(ISERROR(MATCH(AI1483&amp;"."&amp;AJ1483,AK$91:AK1482,0)),AI1483&amp;"."&amp;AJ1483,AI1483&amp;"."&amp;AJ1483&amp;COUNTIFS(AI$91:AI1482,AI1483,AJ$91:AJ1482,AJ1483))</f>
        <v>368.NA</v>
      </c>
    </row>
    <row r="1484" spans="1:37" ht="15" hidden="1">
      <c r="A1484" s="120">
        <f>ROW()</f>
        <v>1484</v>
      </c>
      <c r="B1484" s="120"/>
      <c r="C1484" s="1"/>
      <c r="E1484" s="121" t="s">
        <v>12</v>
      </c>
      <c r="F1484" s="138" t="str">
        <f>INDEX(FuncAllocOptions,ROW(A1484)-ROW($A$92)+1,[4]Inputs!$S$11)</f>
        <v>DPW</v>
      </c>
      <c r="G1484" s="133" t="e">
        <f>SUMIF(FERCJAMFactor,AK1484,JAMValue)</f>
        <v>#VALUE!</v>
      </c>
      <c r="H1484" s="139" t="e">
        <f>INDEX(FuncFactorTbl,MATCH($F1484,FuncFactors,0),MATCH(H$8,Functions,0))*$G1484</f>
        <v>#VALUE!</v>
      </c>
      <c r="I1484" s="139" t="e">
        <f>INDEX(FuncFactorTbl,MATCH($F1484,FuncFactors,0),MATCH(I$8,Functions,0))*$G1484</f>
        <v>#VALUE!</v>
      </c>
      <c r="J1484" s="139" t="e">
        <f>INDEX(FuncFactorTbl,MATCH($F1484,FuncFactors,0),MATCH(J$8,Functions,0))*$G1484</f>
        <v>#VALUE!</v>
      </c>
      <c r="K1484" s="139" t="e">
        <f>INDEX(FuncFactorTbl,MATCH($F1484,FuncFactors,0),MATCH(K$8,Functions,0))*$G1484</f>
        <v>#VALUE!</v>
      </c>
      <c r="L1484" s="139" t="e">
        <f>INDEX(FuncFactorTbl,MATCH($F1484,FuncFactors,0),MATCH(L$8,Functions,0))*$G1484</f>
        <v>#VALUE!</v>
      </c>
      <c r="X1484" s="3" t="str">
        <f>INDEX(DistFuncAllocOptions,ROW(A1484)-ROW($A$92)+1,[4]Inputs!$S$11)</f>
        <v>XFMR</v>
      </c>
      <c r="Y1484" s="116" t="e">
        <f>INDEX(DistFuncFactorTbl,MATCH($X1484,DistFuncFactors,0),MATCH(Y$91,DistFunctions,0))*$J1484</f>
        <v>#VALUE!</v>
      </c>
      <c r="Z1484" s="116" t="e">
        <f>INDEX(DistFuncFactorTbl,MATCH($X1484,DistFuncFactors,0),MATCH(Z$91,DistFunctions,0))*$J1484</f>
        <v>#VALUE!</v>
      </c>
      <c r="AA1484" s="116" t="e">
        <f>INDEX(DistFuncFactorTbl,MATCH($X1484,DistFuncFactors,0),MATCH(AA$91,DistFunctions,0))*$J1484</f>
        <v>#VALUE!</v>
      </c>
      <c r="AB1484" s="116" t="e">
        <f>INDEX(DistFuncFactorTbl,MATCH($X1484,DistFuncFactors,0),MATCH(AB$91,DistFunctions,0))*$J1484</f>
        <v>#VALUE!</v>
      </c>
      <c r="AC1484" s="116" t="e">
        <f>INDEX(DistFuncFactorTbl,MATCH($X1484,DistFuncFactors,0),MATCH(AC$91,DistFunctions,0))*$J1484</f>
        <v>#VALUE!</v>
      </c>
      <c r="AD1484" s="117" t="e">
        <f>ROUND(SUM(-G1484,H1484:L1484),0)</f>
        <v>#VALUE!</v>
      </c>
      <c r="AE1484" s="117" t="e">
        <f>ROUND(H1484-O1484-P1484-Q1484-R1484,0)</f>
        <v>#VALUE!</v>
      </c>
      <c r="AF1484" s="117" t="e">
        <f>ROUND(I1484-T1484-U1484-V1484-W1484,0)</f>
        <v>#VALUE!</v>
      </c>
      <c r="AG1484" s="117" t="e">
        <f>ROUND(J1484-Y1484-Z1484-AA1484-AC1484-AB1484,0)</f>
        <v>#VALUE!</v>
      </c>
      <c r="AH1484" s="116"/>
      <c r="AI1484">
        <f t="shared" si="797"/>
        <v>368</v>
      </c>
      <c r="AJ1484" t="str">
        <f t="shared" si="792"/>
        <v>S</v>
      </c>
      <c r="AK1484" t="str">
        <f>IF(ISERROR(MATCH(AI1484&amp;"."&amp;AJ1484,AK$91:AK1483,0)),AI1484&amp;"."&amp;AJ1484,AI1484&amp;"."&amp;AJ1484&amp;COUNTIFS(AI$91:AI1483,AI1484,AJ$91:AJ1483,AJ1484))</f>
        <v>368.S1</v>
      </c>
    </row>
    <row r="1485" spans="1:37" ht="15" hidden="1">
      <c r="A1485" s="120">
        <f>ROW()</f>
        <v>1485</v>
      </c>
      <c r="B1485" s="120"/>
      <c r="C1485" s="1"/>
      <c r="E1485" s="121"/>
      <c r="F1485" s="138"/>
      <c r="G1485" s="117" t="e">
        <f t="shared" ref="G1485:L1485" si="806">SUM(G1484:G1484)</f>
        <v>#VALUE!</v>
      </c>
      <c r="H1485" s="116" t="e">
        <f t="shared" si="806"/>
        <v>#VALUE!</v>
      </c>
      <c r="I1485" s="116" t="e">
        <f t="shared" si="806"/>
        <v>#VALUE!</v>
      </c>
      <c r="J1485" s="116" t="e">
        <f t="shared" si="806"/>
        <v>#VALUE!</v>
      </c>
      <c r="K1485" s="116" t="e">
        <f t="shared" si="806"/>
        <v>#VALUE!</v>
      </c>
      <c r="L1485" s="116" t="e">
        <f t="shared" si="806"/>
        <v>#VALUE!</v>
      </c>
      <c r="O1485" s="116">
        <f>SUM(O1484:O1484)</f>
        <v>0</v>
      </c>
      <c r="P1485" s="116">
        <f>SUM(P1484:P1484)</f>
        <v>0</v>
      </c>
      <c r="Q1485" s="116">
        <f>SUM(Q1484:Q1484)</f>
        <v>0</v>
      </c>
      <c r="R1485" s="116">
        <f>SUM(R1484:R1484)</f>
        <v>0</v>
      </c>
      <c r="T1485" s="116">
        <f>SUM(T1484:T1484)</f>
        <v>0</v>
      </c>
      <c r="U1485" s="116">
        <f>SUM(U1484:U1484)</f>
        <v>0</v>
      </c>
      <c r="V1485" s="116">
        <f>SUM(V1484:V1484)</f>
        <v>0</v>
      </c>
      <c r="W1485" s="116">
        <f>SUM(W1484:W1484)</f>
        <v>0</v>
      </c>
      <c r="X1485" s="3"/>
      <c r="Y1485" s="116" t="e">
        <f>SUM(Y1484:Y1484)</f>
        <v>#VALUE!</v>
      </c>
      <c r="Z1485" s="116" t="e">
        <f>SUM(Z1484:Z1484)</f>
        <v>#VALUE!</v>
      </c>
      <c r="AA1485" s="116" t="e">
        <f>SUM(AA1484:AA1484)</f>
        <v>#VALUE!</v>
      </c>
      <c r="AB1485" s="116" t="e">
        <f>SUM(AB1484:AB1484)</f>
        <v>#VALUE!</v>
      </c>
      <c r="AC1485" s="116" t="e">
        <f>SUM(AC1484:AC1484)</f>
        <v>#VALUE!</v>
      </c>
      <c r="AD1485" s="117" t="e">
        <f>ROUND(SUM(-G1485,H1485:L1485),0)</f>
        <v>#VALUE!</v>
      </c>
      <c r="AE1485" s="117" t="e">
        <f>ROUND(H1485-O1485-P1485-Q1485-R1485,0)</f>
        <v>#VALUE!</v>
      </c>
      <c r="AF1485" s="117" t="e">
        <f>ROUND(I1485-T1485-U1485-V1485-W1485,0)</f>
        <v>#VALUE!</v>
      </c>
      <c r="AG1485" s="117" t="e">
        <f>ROUND(J1485-Y1485-Z1485-AA1485-AC1485-AB1485,0)</f>
        <v>#VALUE!</v>
      </c>
      <c r="AH1485" s="116"/>
      <c r="AI1485">
        <f t="shared" si="797"/>
        <v>368</v>
      </c>
      <c r="AJ1485" t="str">
        <f t="shared" si="792"/>
        <v>NA</v>
      </c>
      <c r="AK1485" t="str">
        <f>IF(ISERROR(MATCH(AI1485&amp;"."&amp;AJ1485,AK$91:AK1484,0)),AI1485&amp;"."&amp;AJ1485,AI1485&amp;"."&amp;AJ1485&amp;COUNTIFS(AI$91:AI1484,AI1485,AJ$91:AJ1484,AJ1485))</f>
        <v>368.NA1</v>
      </c>
    </row>
    <row r="1486" spans="1:37" ht="15" hidden="1">
      <c r="A1486" s="120">
        <f>ROW()</f>
        <v>1486</v>
      </c>
      <c r="B1486" s="120"/>
      <c r="C1486" s="1"/>
      <c r="E1486" s="121"/>
      <c r="F1486" s="138"/>
      <c r="G1486" s="119"/>
      <c r="X1486" s="3"/>
      <c r="AD1486" s="119"/>
      <c r="AE1486" s="119"/>
      <c r="AF1486" s="119"/>
      <c r="AG1486" s="119"/>
      <c r="AI1486">
        <f t="shared" si="797"/>
        <v>368</v>
      </c>
      <c r="AJ1486" t="str">
        <f t="shared" si="792"/>
        <v>NA</v>
      </c>
      <c r="AK1486" t="str">
        <f>IF(ISERROR(MATCH(AI1486&amp;"."&amp;AJ1486,AK$91:AK1485,0)),AI1486&amp;"."&amp;AJ1486,AI1486&amp;"."&amp;AJ1486&amp;COUNTIFS(AI$91:AI1485,AI1486,AJ$91:AJ1485,AJ1486))</f>
        <v>368.NA2</v>
      </c>
    </row>
    <row r="1487" spans="1:37" ht="15" hidden="1">
      <c r="A1487" s="120">
        <f>ROW()</f>
        <v>1487</v>
      </c>
      <c r="B1487" s="120"/>
      <c r="C1487" s="1">
        <v>369</v>
      </c>
      <c r="D1487" s="2" t="s">
        <v>387</v>
      </c>
      <c r="E1487" s="121"/>
      <c r="F1487" s="138"/>
      <c r="G1487" s="119"/>
      <c r="X1487" s="3"/>
      <c r="AD1487" s="119"/>
      <c r="AE1487" s="119"/>
      <c r="AF1487" s="119"/>
      <c r="AG1487" s="119"/>
      <c r="AI1487">
        <f t="shared" si="797"/>
        <v>369</v>
      </c>
      <c r="AJ1487" t="str">
        <f t="shared" si="792"/>
        <v>NA</v>
      </c>
      <c r="AK1487" t="str">
        <f>IF(ISERROR(MATCH(AI1487&amp;"."&amp;AJ1487,AK$91:AK1486,0)),AI1487&amp;"."&amp;AJ1487,AI1487&amp;"."&amp;AJ1487&amp;COUNTIFS(AI$91:AI1486,AI1487,AJ$91:AJ1486,AJ1487))</f>
        <v>369.NA</v>
      </c>
    </row>
    <row r="1488" spans="1:37" ht="15" hidden="1">
      <c r="A1488" s="120">
        <f>ROW()</f>
        <v>1488</v>
      </c>
      <c r="B1488" s="120"/>
      <c r="E1488" s="121" t="s">
        <v>12</v>
      </c>
      <c r="F1488" s="138" t="str">
        <f>INDEX(FuncAllocOptions,ROW(A1488)-ROW($A$92)+1,[4]Inputs!$S$11)</f>
        <v>DPW</v>
      </c>
      <c r="G1488" s="133" t="e">
        <f>SUMIF(FERCJAMFactor,AK1488,JAMValue)</f>
        <v>#VALUE!</v>
      </c>
      <c r="H1488" s="139" t="e">
        <f>INDEX(FuncFactorTbl,MATCH($F1488,FuncFactors,0),MATCH(H$8,Functions,0))*$G1488</f>
        <v>#VALUE!</v>
      </c>
      <c r="I1488" s="139" t="e">
        <f>INDEX(FuncFactorTbl,MATCH($F1488,FuncFactors,0),MATCH(I$8,Functions,0))*$G1488</f>
        <v>#VALUE!</v>
      </c>
      <c r="J1488" s="139" t="e">
        <f>INDEX(FuncFactorTbl,MATCH($F1488,FuncFactors,0),MATCH(J$8,Functions,0))*$G1488</f>
        <v>#VALUE!</v>
      </c>
      <c r="K1488" s="139" t="e">
        <f>INDEX(FuncFactorTbl,MATCH($F1488,FuncFactors,0),MATCH(K$8,Functions,0))*$G1488</f>
        <v>#VALUE!</v>
      </c>
      <c r="L1488" s="139" t="e">
        <f>INDEX(FuncFactorTbl,MATCH($F1488,FuncFactors,0),MATCH(L$8,Functions,0))*$G1488</f>
        <v>#VALUE!</v>
      </c>
      <c r="X1488" s="3" t="str">
        <f>INDEX(DistFuncAllocOptions,ROW(A1488)-ROW($A$92)+1,[4]Inputs!$S$11)</f>
        <v>SERV</v>
      </c>
      <c r="Y1488" s="116" t="e">
        <f>INDEX(DistFuncFactorTbl,MATCH($X1488,DistFuncFactors,0),MATCH(Y$91,DistFunctions,0))*$J1488</f>
        <v>#VALUE!</v>
      </c>
      <c r="Z1488" s="116" t="e">
        <f>INDEX(DistFuncFactorTbl,MATCH($X1488,DistFuncFactors,0),MATCH(Z$91,DistFunctions,0))*$J1488</f>
        <v>#VALUE!</v>
      </c>
      <c r="AA1488" s="116" t="e">
        <f>INDEX(DistFuncFactorTbl,MATCH($X1488,DistFuncFactors,0),MATCH(AA$91,DistFunctions,0))*$J1488</f>
        <v>#VALUE!</v>
      </c>
      <c r="AB1488" s="116" t="e">
        <f>INDEX(DistFuncFactorTbl,MATCH($X1488,DistFuncFactors,0),MATCH(AB$91,DistFunctions,0))*$J1488</f>
        <v>#VALUE!</v>
      </c>
      <c r="AC1488" s="116" t="e">
        <f>INDEX(DistFuncFactorTbl,MATCH($X1488,DistFuncFactors,0),MATCH(AC$91,DistFunctions,0))*$J1488</f>
        <v>#VALUE!</v>
      </c>
      <c r="AD1488" s="117" t="e">
        <f>ROUND(SUM(-G1488,H1488:L1488),0)</f>
        <v>#VALUE!</v>
      </c>
      <c r="AE1488" s="117" t="e">
        <f>ROUND(H1488-O1488-P1488-Q1488-R1488,0)</f>
        <v>#VALUE!</v>
      </c>
      <c r="AF1488" s="117" t="e">
        <f>ROUND(I1488-T1488-U1488-V1488-W1488,0)</f>
        <v>#VALUE!</v>
      </c>
      <c r="AG1488" s="117" t="e">
        <f>ROUND(J1488-Y1488-Z1488-AA1488-AC1488-AB1488,0)</f>
        <v>#VALUE!</v>
      </c>
      <c r="AH1488" s="116"/>
      <c r="AI1488">
        <f t="shared" si="797"/>
        <v>369</v>
      </c>
      <c r="AJ1488" t="str">
        <f t="shared" si="792"/>
        <v>S</v>
      </c>
      <c r="AK1488" t="str">
        <f>IF(ISERROR(MATCH(AI1488&amp;"."&amp;AJ1488,AK$91:AK1487,0)),AI1488&amp;"."&amp;AJ1488,AI1488&amp;"."&amp;AJ1488&amp;COUNTIFS(AI$91:AI1487,AI1488,AJ$91:AJ1487,AJ1488))</f>
        <v>369.S1</v>
      </c>
    </row>
    <row r="1489" spans="1:37" ht="15" hidden="1">
      <c r="A1489" s="120">
        <f>ROW()</f>
        <v>1489</v>
      </c>
      <c r="B1489" s="120"/>
      <c r="E1489" s="121"/>
      <c r="F1489" s="138"/>
      <c r="G1489" s="117" t="e">
        <f t="shared" ref="G1489:L1489" si="807">SUM(G1488:G1488)</f>
        <v>#VALUE!</v>
      </c>
      <c r="H1489" s="116" t="e">
        <f t="shared" si="807"/>
        <v>#VALUE!</v>
      </c>
      <c r="I1489" s="116" t="e">
        <f t="shared" si="807"/>
        <v>#VALUE!</v>
      </c>
      <c r="J1489" s="116" t="e">
        <f t="shared" si="807"/>
        <v>#VALUE!</v>
      </c>
      <c r="K1489" s="116" t="e">
        <f t="shared" si="807"/>
        <v>#VALUE!</v>
      </c>
      <c r="L1489" s="116" t="e">
        <f t="shared" si="807"/>
        <v>#VALUE!</v>
      </c>
      <c r="O1489" s="116">
        <f>SUM(O1488:O1488)</f>
        <v>0</v>
      </c>
      <c r="P1489" s="116">
        <f>SUM(P1488:P1488)</f>
        <v>0</v>
      </c>
      <c r="Q1489" s="116">
        <f>SUM(Q1488:Q1488)</f>
        <v>0</v>
      </c>
      <c r="R1489" s="116">
        <f>SUM(R1488:R1488)</f>
        <v>0</v>
      </c>
      <c r="T1489" s="116">
        <f>SUM(T1488:T1488)</f>
        <v>0</v>
      </c>
      <c r="U1489" s="116">
        <f>SUM(U1488:U1488)</f>
        <v>0</v>
      </c>
      <c r="V1489" s="116">
        <f>SUM(V1488:V1488)</f>
        <v>0</v>
      </c>
      <c r="W1489" s="116">
        <f>SUM(W1488:W1488)</f>
        <v>0</v>
      </c>
      <c r="X1489" s="3"/>
      <c r="Y1489" s="116" t="e">
        <f>SUM(Y1488:Y1488)</f>
        <v>#VALUE!</v>
      </c>
      <c r="Z1489" s="116" t="e">
        <f>SUM(Z1488:Z1488)</f>
        <v>#VALUE!</v>
      </c>
      <c r="AA1489" s="116" t="e">
        <f>SUM(AA1488:AA1488)</f>
        <v>#VALUE!</v>
      </c>
      <c r="AB1489" s="116" t="e">
        <f>SUM(AB1488:AB1488)</f>
        <v>#VALUE!</v>
      </c>
      <c r="AC1489" s="116" t="e">
        <f>SUM(AC1488:AC1488)</f>
        <v>#VALUE!</v>
      </c>
      <c r="AD1489" s="117" t="e">
        <f>ROUND(SUM(-G1489,H1489:L1489),0)</f>
        <v>#VALUE!</v>
      </c>
      <c r="AE1489" s="117" t="e">
        <f>ROUND(H1489-O1489-P1489-Q1489-R1489,0)</f>
        <v>#VALUE!</v>
      </c>
      <c r="AF1489" s="117" t="e">
        <f>ROUND(I1489-T1489-U1489-V1489-W1489,0)</f>
        <v>#VALUE!</v>
      </c>
      <c r="AG1489" s="117" t="e">
        <f>ROUND(J1489-Y1489-Z1489-AA1489-AC1489-AB1489,0)</f>
        <v>#VALUE!</v>
      </c>
      <c r="AH1489" s="116"/>
      <c r="AI1489">
        <f t="shared" si="797"/>
        <v>369</v>
      </c>
      <c r="AJ1489" t="str">
        <f t="shared" si="792"/>
        <v>NA</v>
      </c>
      <c r="AK1489" t="str">
        <f>IF(ISERROR(MATCH(AI1489&amp;"."&amp;AJ1489,AK$91:AK1488,0)),AI1489&amp;"."&amp;AJ1489,AI1489&amp;"."&amp;AJ1489&amp;COUNTIFS(AI$91:AI1488,AI1489,AJ$91:AJ1488,AJ1489))</f>
        <v>369.NA1</v>
      </c>
    </row>
    <row r="1490" spans="1:37" ht="15" hidden="1">
      <c r="A1490" s="120">
        <f>ROW()</f>
        <v>1490</v>
      </c>
      <c r="B1490" s="120"/>
      <c r="E1490" s="121"/>
      <c r="F1490" s="138"/>
      <c r="G1490" s="119"/>
      <c r="X1490" s="3"/>
      <c r="AD1490" s="119"/>
      <c r="AE1490" s="119"/>
      <c r="AF1490" s="119"/>
      <c r="AG1490" s="119"/>
      <c r="AI1490">
        <f t="shared" si="797"/>
        <v>369</v>
      </c>
      <c r="AJ1490" t="str">
        <f t="shared" si="792"/>
        <v>NA</v>
      </c>
      <c r="AK1490" t="str">
        <f>IF(ISERROR(MATCH(AI1490&amp;"."&amp;AJ1490,AK$91:AK1489,0)),AI1490&amp;"."&amp;AJ1490,AI1490&amp;"."&amp;AJ1490&amp;COUNTIFS(AI$91:AI1489,AI1490,AJ$91:AJ1489,AJ1490))</f>
        <v>369.NA2</v>
      </c>
    </row>
    <row r="1491" spans="1:37" ht="15" hidden="1">
      <c r="A1491" s="120">
        <f>ROW()</f>
        <v>1491</v>
      </c>
      <c r="B1491" s="120"/>
      <c r="C1491" s="1">
        <v>370</v>
      </c>
      <c r="D1491" s="2" t="s">
        <v>388</v>
      </c>
      <c r="E1491" s="121"/>
      <c r="F1491" s="138"/>
      <c r="G1491" s="119"/>
      <c r="X1491" s="3"/>
      <c r="AD1491" s="119"/>
      <c r="AE1491" s="119"/>
      <c r="AF1491" s="119"/>
      <c r="AG1491" s="119"/>
      <c r="AI1491">
        <f t="shared" si="797"/>
        <v>370</v>
      </c>
      <c r="AJ1491" t="str">
        <f t="shared" si="792"/>
        <v>NA</v>
      </c>
      <c r="AK1491" t="str">
        <f>IF(ISERROR(MATCH(AI1491&amp;"."&amp;AJ1491,AK$91:AK1490,0)),AI1491&amp;"."&amp;AJ1491,AI1491&amp;"."&amp;AJ1491&amp;COUNTIFS(AI$91:AI1490,AI1491,AJ$91:AJ1490,AJ1491))</f>
        <v>370.NA</v>
      </c>
    </row>
    <row r="1492" spans="1:37" ht="15" hidden="1">
      <c r="A1492" s="120">
        <f>ROW()</f>
        <v>1492</v>
      </c>
      <c r="B1492" s="120"/>
      <c r="C1492" s="1"/>
      <c r="E1492" s="121" t="s">
        <v>12</v>
      </c>
      <c r="F1492" s="138" t="str">
        <f>INDEX(FuncAllocOptions,ROW(A1492)-ROW($A$92)+1,[4]Inputs!$S$11)</f>
        <v>DPW</v>
      </c>
      <c r="G1492" s="133" t="e">
        <f>SUMIF(FERCJAMFactor,AK1492,JAMValue)</f>
        <v>#VALUE!</v>
      </c>
      <c r="H1492" s="139" t="e">
        <f>INDEX(FuncFactorTbl,MATCH($F1492,FuncFactors,0),MATCH(H$8,Functions,0))*$G1492</f>
        <v>#VALUE!</v>
      </c>
      <c r="I1492" s="139" t="e">
        <f>INDEX(FuncFactorTbl,MATCH($F1492,FuncFactors,0),MATCH(I$8,Functions,0))*$G1492</f>
        <v>#VALUE!</v>
      </c>
      <c r="J1492" s="139" t="e">
        <f>INDEX(FuncFactorTbl,MATCH($F1492,FuncFactors,0),MATCH(J$8,Functions,0))*$G1492</f>
        <v>#VALUE!</v>
      </c>
      <c r="K1492" s="139" t="e">
        <f>INDEX(FuncFactorTbl,MATCH($F1492,FuncFactors,0),MATCH(K$8,Functions,0))*$G1492</f>
        <v>#VALUE!</v>
      </c>
      <c r="L1492" s="139" t="e">
        <f>INDEX(FuncFactorTbl,MATCH($F1492,FuncFactors,0),MATCH(L$8,Functions,0))*$G1492</f>
        <v>#VALUE!</v>
      </c>
      <c r="X1492" s="3" t="str">
        <f>INDEX(DistFuncAllocOptions,ROW(A1492)-ROW($A$92)+1,[4]Inputs!$S$11)</f>
        <v>METR</v>
      </c>
      <c r="Y1492" s="116" t="e">
        <f>INDEX(DistFuncFactorTbl,MATCH($X1492,DistFuncFactors,0),MATCH(Y$91,DistFunctions,0))*$J1492</f>
        <v>#VALUE!</v>
      </c>
      <c r="Z1492" s="116" t="e">
        <f>INDEX(DistFuncFactorTbl,MATCH($X1492,DistFuncFactors,0),MATCH(Z$91,DistFunctions,0))*$J1492</f>
        <v>#VALUE!</v>
      </c>
      <c r="AA1492" s="116" t="e">
        <f>INDEX(DistFuncFactorTbl,MATCH($X1492,DistFuncFactors,0),MATCH(AA$91,DistFunctions,0))*$J1492</f>
        <v>#VALUE!</v>
      </c>
      <c r="AB1492" s="116" t="e">
        <f>INDEX(DistFuncFactorTbl,MATCH($X1492,DistFuncFactors,0),MATCH(AB$91,DistFunctions,0))*$J1492</f>
        <v>#VALUE!</v>
      </c>
      <c r="AC1492" s="116" t="e">
        <f>INDEX(DistFuncFactorTbl,MATCH($X1492,DistFuncFactors,0),MATCH(AC$91,DistFunctions,0))*$J1492</f>
        <v>#VALUE!</v>
      </c>
      <c r="AD1492" s="117" t="e">
        <f>ROUND(SUM(-G1492,H1492:L1492),0)</f>
        <v>#VALUE!</v>
      </c>
      <c r="AE1492" s="117" t="e">
        <f>ROUND(H1492-O1492-P1492-Q1492-R1492,0)</f>
        <v>#VALUE!</v>
      </c>
      <c r="AF1492" s="117" t="e">
        <f>ROUND(I1492-T1492-U1492-V1492-W1492,0)</f>
        <v>#VALUE!</v>
      </c>
      <c r="AG1492" s="117" t="e">
        <f>ROUND(J1492-Y1492-Z1492-AA1492-AC1492-AB1492,0)</f>
        <v>#VALUE!</v>
      </c>
      <c r="AH1492" s="116"/>
      <c r="AI1492">
        <f t="shared" si="797"/>
        <v>370</v>
      </c>
      <c r="AJ1492" t="str">
        <f t="shared" si="792"/>
        <v>S</v>
      </c>
      <c r="AK1492" t="str">
        <f>IF(ISERROR(MATCH(AI1492&amp;"."&amp;AJ1492,AK$91:AK1491,0)),AI1492&amp;"."&amp;AJ1492,AI1492&amp;"."&amp;AJ1492&amp;COUNTIFS(AI$91:AI1491,AI1492,AJ$91:AJ1491,AJ1492))</f>
        <v>370.S1</v>
      </c>
    </row>
    <row r="1493" spans="1:37" ht="15" hidden="1">
      <c r="A1493" s="120">
        <f>ROW()</f>
        <v>1493</v>
      </c>
      <c r="B1493" s="120"/>
      <c r="C1493" s="1"/>
      <c r="E1493" s="121"/>
      <c r="F1493" s="138"/>
      <c r="G1493" s="117" t="e">
        <f t="shared" ref="G1493:L1493" si="808">SUM(G1492:G1492)</f>
        <v>#VALUE!</v>
      </c>
      <c r="H1493" s="116" t="e">
        <f t="shared" si="808"/>
        <v>#VALUE!</v>
      </c>
      <c r="I1493" s="116" t="e">
        <f t="shared" si="808"/>
        <v>#VALUE!</v>
      </c>
      <c r="J1493" s="116" t="e">
        <f t="shared" si="808"/>
        <v>#VALUE!</v>
      </c>
      <c r="K1493" s="116" t="e">
        <f t="shared" si="808"/>
        <v>#VALUE!</v>
      </c>
      <c r="L1493" s="116" t="e">
        <f t="shared" si="808"/>
        <v>#VALUE!</v>
      </c>
      <c r="O1493" s="116">
        <f>SUM(O1492:O1492)</f>
        <v>0</v>
      </c>
      <c r="P1493" s="116">
        <f>SUM(P1492:P1492)</f>
        <v>0</v>
      </c>
      <c r="Q1493" s="116">
        <f>SUM(Q1492:Q1492)</f>
        <v>0</v>
      </c>
      <c r="R1493" s="116">
        <f>SUM(R1492:R1492)</f>
        <v>0</v>
      </c>
      <c r="T1493" s="116">
        <f>SUM(T1492:T1492)</f>
        <v>0</v>
      </c>
      <c r="U1493" s="116">
        <f>SUM(U1492:U1492)</f>
        <v>0</v>
      </c>
      <c r="V1493" s="116">
        <f>SUM(V1492:V1492)</f>
        <v>0</v>
      </c>
      <c r="W1493" s="116">
        <f>SUM(W1492:W1492)</f>
        <v>0</v>
      </c>
      <c r="X1493" s="3"/>
      <c r="Y1493" s="116" t="e">
        <f>SUM(Y1492:Y1492)</f>
        <v>#VALUE!</v>
      </c>
      <c r="Z1493" s="116" t="e">
        <f>SUM(Z1492:Z1492)</f>
        <v>#VALUE!</v>
      </c>
      <c r="AA1493" s="116" t="e">
        <f>SUM(AA1492:AA1492)</f>
        <v>#VALUE!</v>
      </c>
      <c r="AB1493" s="116" t="e">
        <f>SUM(AB1492:AB1492)</f>
        <v>#VALUE!</v>
      </c>
      <c r="AC1493" s="116" t="e">
        <f>SUM(AC1492:AC1492)</f>
        <v>#VALUE!</v>
      </c>
      <c r="AD1493" s="117" t="e">
        <f>ROUND(SUM(-G1493,H1493:L1493),0)</f>
        <v>#VALUE!</v>
      </c>
      <c r="AE1493" s="117" t="e">
        <f>ROUND(H1493-O1493-P1493-Q1493-R1493,0)</f>
        <v>#VALUE!</v>
      </c>
      <c r="AF1493" s="117" t="e">
        <f>ROUND(I1493-T1493-U1493-V1493-W1493,0)</f>
        <v>#VALUE!</v>
      </c>
      <c r="AG1493" s="117" t="e">
        <f>ROUND(J1493-Y1493-Z1493-AA1493-AC1493-AB1493,0)</f>
        <v>#VALUE!</v>
      </c>
      <c r="AH1493" s="116"/>
      <c r="AI1493">
        <f t="shared" si="797"/>
        <v>370</v>
      </c>
      <c r="AJ1493" t="str">
        <f t="shared" si="792"/>
        <v>NA</v>
      </c>
      <c r="AK1493" t="str">
        <f>IF(ISERROR(MATCH(AI1493&amp;"."&amp;AJ1493,AK$91:AK1492,0)),AI1493&amp;"."&amp;AJ1493,AI1493&amp;"."&amp;AJ1493&amp;COUNTIFS(AI$91:AI1492,AI1493,AJ$91:AJ1492,AJ1493))</f>
        <v>370.NA1</v>
      </c>
    </row>
    <row r="1494" spans="1:37" ht="15" hidden="1">
      <c r="A1494" s="120">
        <f>ROW()</f>
        <v>1494</v>
      </c>
      <c r="B1494" s="120"/>
      <c r="C1494" s="1"/>
      <c r="E1494" s="121"/>
      <c r="F1494" s="138"/>
      <c r="G1494" s="119"/>
      <c r="X1494" s="3"/>
      <c r="AD1494" s="119"/>
      <c r="AE1494" s="119"/>
      <c r="AF1494" s="119"/>
      <c r="AG1494" s="119"/>
      <c r="AI1494">
        <f t="shared" si="797"/>
        <v>370</v>
      </c>
      <c r="AJ1494" t="str">
        <f t="shared" si="792"/>
        <v>NA</v>
      </c>
      <c r="AK1494" t="str">
        <f>IF(ISERROR(MATCH(AI1494&amp;"."&amp;AJ1494,AK$91:AK1493,0)),AI1494&amp;"."&amp;AJ1494,AI1494&amp;"."&amp;AJ1494&amp;COUNTIFS(AI$91:AI1493,AI1494,AJ$91:AJ1493,AJ1494))</f>
        <v>370.NA2</v>
      </c>
    </row>
    <row r="1495" spans="1:37" ht="15" hidden="1">
      <c r="A1495" s="120">
        <f>ROW()</f>
        <v>1495</v>
      </c>
      <c r="B1495" s="120"/>
      <c r="C1495" s="1">
        <v>371</v>
      </c>
      <c r="D1495" s="2" t="s">
        <v>552</v>
      </c>
      <c r="E1495" s="121"/>
      <c r="F1495" s="138"/>
      <c r="G1495" s="119"/>
      <c r="X1495" s="3"/>
      <c r="AD1495" s="119"/>
      <c r="AE1495" s="119"/>
      <c r="AF1495" s="119"/>
      <c r="AG1495" s="119"/>
      <c r="AI1495">
        <f t="shared" si="797"/>
        <v>371</v>
      </c>
      <c r="AJ1495" t="str">
        <f t="shared" si="792"/>
        <v>NA</v>
      </c>
      <c r="AK1495" t="str">
        <f>IF(ISERROR(MATCH(AI1495&amp;"."&amp;AJ1495,AK$91:AK1494,0)),AI1495&amp;"."&amp;AJ1495,AI1495&amp;"."&amp;AJ1495&amp;COUNTIFS(AI$91:AI1494,AI1495,AJ$91:AJ1494,AJ1495))</f>
        <v>371.NA</v>
      </c>
    </row>
    <row r="1496" spans="1:37" ht="15" hidden="1">
      <c r="A1496" s="120">
        <f>ROW()</f>
        <v>1496</v>
      </c>
      <c r="B1496" s="120"/>
      <c r="C1496" s="1"/>
      <c r="E1496" s="121" t="s">
        <v>12</v>
      </c>
      <c r="F1496" s="138" t="str">
        <f>INDEX(FuncAllocOptions,ROW(A1496)-ROW($A$92)+1,[4]Inputs!$S$11)</f>
        <v>DPW</v>
      </c>
      <c r="G1496" s="133" t="e">
        <f>SUMIF(FERCJAMFactor,AK1496,JAMValue)</f>
        <v>#VALUE!</v>
      </c>
      <c r="H1496" s="139" t="e">
        <f>INDEX(FuncFactorTbl,MATCH($F1496,FuncFactors,0),MATCH(H$8,Functions,0))*$G1496</f>
        <v>#VALUE!</v>
      </c>
      <c r="I1496" s="139" t="e">
        <f>INDEX(FuncFactorTbl,MATCH($F1496,FuncFactors,0),MATCH(I$8,Functions,0))*$G1496</f>
        <v>#VALUE!</v>
      </c>
      <c r="J1496" s="139" t="e">
        <f>INDEX(FuncFactorTbl,MATCH($F1496,FuncFactors,0),MATCH(J$8,Functions,0))*$G1496</f>
        <v>#VALUE!</v>
      </c>
      <c r="K1496" s="139" t="e">
        <f>INDEX(FuncFactorTbl,MATCH($F1496,FuncFactors,0),MATCH(K$8,Functions,0))*$G1496</f>
        <v>#VALUE!</v>
      </c>
      <c r="L1496" s="139" t="e">
        <f>INDEX(FuncFactorTbl,MATCH($F1496,FuncFactors,0),MATCH(L$8,Functions,0))*$G1496</f>
        <v>#VALUE!</v>
      </c>
      <c r="X1496" s="3" t="str">
        <f>INDEX(DistFuncAllocOptions,ROW(A1496)-ROW($A$92)+1,[4]Inputs!$S$11)</f>
        <v>PC</v>
      </c>
      <c r="Y1496" s="116" t="e">
        <f>INDEX(DistFuncFactorTbl,MATCH($X1496,DistFuncFactors,0),MATCH(Y$91,DistFunctions,0))*$J1496</f>
        <v>#VALUE!</v>
      </c>
      <c r="Z1496" s="116" t="e">
        <f>INDEX(DistFuncFactorTbl,MATCH($X1496,DistFuncFactors,0),MATCH(Z$91,DistFunctions,0))*$J1496</f>
        <v>#VALUE!</v>
      </c>
      <c r="AA1496" s="116" t="e">
        <f>INDEX(DistFuncFactorTbl,MATCH($X1496,DistFuncFactors,0),MATCH(AA$91,DistFunctions,0))*$J1496</f>
        <v>#VALUE!</v>
      </c>
      <c r="AB1496" s="116" t="e">
        <f>INDEX(DistFuncFactorTbl,MATCH($X1496,DistFuncFactors,0),MATCH(AB$91,DistFunctions,0))*$J1496</f>
        <v>#VALUE!</v>
      </c>
      <c r="AC1496" s="116" t="e">
        <f>INDEX(DistFuncFactorTbl,MATCH($X1496,DistFuncFactors,0),MATCH(AC$91,DistFunctions,0))*$J1496</f>
        <v>#VALUE!</v>
      </c>
      <c r="AD1496" s="117" t="e">
        <f>ROUND(SUM(-G1496,H1496:L1496),0)</f>
        <v>#VALUE!</v>
      </c>
      <c r="AE1496" s="117" t="e">
        <f>ROUND(H1496-O1496-P1496-Q1496-R1496,0)</f>
        <v>#VALUE!</v>
      </c>
      <c r="AF1496" s="117" t="e">
        <f>ROUND(I1496-T1496-U1496-V1496-W1496,0)</f>
        <v>#VALUE!</v>
      </c>
      <c r="AG1496" s="117" t="e">
        <f>ROUND(J1496-Y1496-Z1496-AA1496-AC1496-AB1496,0)</f>
        <v>#VALUE!</v>
      </c>
      <c r="AH1496" s="116"/>
      <c r="AI1496">
        <f t="shared" si="797"/>
        <v>371</v>
      </c>
      <c r="AJ1496" t="str">
        <f t="shared" si="792"/>
        <v>S</v>
      </c>
      <c r="AK1496" t="str">
        <f>IF(ISERROR(MATCH(AI1496&amp;"."&amp;AJ1496,AK$91:AK1495,0)),AI1496&amp;"."&amp;AJ1496,AI1496&amp;"."&amp;AJ1496&amp;COUNTIFS(AI$91:AI1495,AI1496,AJ$91:AJ1495,AJ1496))</f>
        <v>371.S1</v>
      </c>
    </row>
    <row r="1497" spans="1:37" ht="15" hidden="1">
      <c r="A1497" s="120">
        <f>ROW()</f>
        <v>1497</v>
      </c>
      <c r="B1497" s="120"/>
      <c r="C1497" s="1"/>
      <c r="E1497" s="121"/>
      <c r="F1497" s="138"/>
      <c r="G1497" s="117" t="e">
        <f t="shared" ref="G1497:L1497" si="809">SUM(G1496:G1496)</f>
        <v>#VALUE!</v>
      </c>
      <c r="H1497" s="116" t="e">
        <f t="shared" si="809"/>
        <v>#VALUE!</v>
      </c>
      <c r="I1497" s="116" t="e">
        <f t="shared" si="809"/>
        <v>#VALUE!</v>
      </c>
      <c r="J1497" s="116" t="e">
        <f t="shared" si="809"/>
        <v>#VALUE!</v>
      </c>
      <c r="K1497" s="116" t="e">
        <f t="shared" si="809"/>
        <v>#VALUE!</v>
      </c>
      <c r="L1497" s="116" t="e">
        <f t="shared" si="809"/>
        <v>#VALUE!</v>
      </c>
      <c r="O1497" s="116">
        <f>SUM(O1496:O1496)</f>
        <v>0</v>
      </c>
      <c r="P1497" s="116">
        <f>SUM(P1496:P1496)</f>
        <v>0</v>
      </c>
      <c r="Q1497" s="116">
        <f>SUM(Q1496:Q1496)</f>
        <v>0</v>
      </c>
      <c r="R1497" s="116">
        <f>SUM(R1496:R1496)</f>
        <v>0</v>
      </c>
      <c r="T1497" s="116">
        <f>SUM(T1496:T1496)</f>
        <v>0</v>
      </c>
      <c r="U1497" s="116">
        <f>SUM(U1496:U1496)</f>
        <v>0</v>
      </c>
      <c r="V1497" s="116">
        <f>SUM(V1496:V1496)</f>
        <v>0</v>
      </c>
      <c r="W1497" s="116">
        <f>SUM(W1496:W1496)</f>
        <v>0</v>
      </c>
      <c r="X1497" s="3"/>
      <c r="Y1497" s="116" t="e">
        <f>SUM(Y1496:Y1496)</f>
        <v>#VALUE!</v>
      </c>
      <c r="Z1497" s="116" t="e">
        <f>SUM(Z1496:Z1496)</f>
        <v>#VALUE!</v>
      </c>
      <c r="AA1497" s="116" t="e">
        <f>SUM(AA1496:AA1496)</f>
        <v>#VALUE!</v>
      </c>
      <c r="AB1497" s="116" t="e">
        <f>SUM(AB1496:AB1496)</f>
        <v>#VALUE!</v>
      </c>
      <c r="AC1497" s="116" t="e">
        <f>SUM(AC1496:AC1496)</f>
        <v>#VALUE!</v>
      </c>
      <c r="AD1497" s="117" t="e">
        <f>ROUND(SUM(-G1497,H1497:L1497),0)</f>
        <v>#VALUE!</v>
      </c>
      <c r="AE1497" s="117" t="e">
        <f>ROUND(H1497-O1497-P1497-Q1497-R1497,0)</f>
        <v>#VALUE!</v>
      </c>
      <c r="AF1497" s="117" t="e">
        <f>ROUND(I1497-T1497-U1497-V1497-W1497,0)</f>
        <v>#VALUE!</v>
      </c>
      <c r="AG1497" s="117" t="e">
        <f>ROUND(J1497-Y1497-Z1497-AA1497-AC1497-AB1497,0)</f>
        <v>#VALUE!</v>
      </c>
      <c r="AH1497" s="116"/>
      <c r="AI1497">
        <f t="shared" si="797"/>
        <v>371</v>
      </c>
      <c r="AJ1497" t="str">
        <f t="shared" si="792"/>
        <v>NA</v>
      </c>
      <c r="AK1497" t="str">
        <f>IF(ISERROR(MATCH(AI1497&amp;"."&amp;AJ1497,AK$91:AK1496,0)),AI1497&amp;"."&amp;AJ1497,AI1497&amp;"."&amp;AJ1497&amp;COUNTIFS(AI$91:AI1496,AI1497,AJ$91:AJ1496,AJ1497))</f>
        <v>371.NA1</v>
      </c>
    </row>
    <row r="1498" spans="1:37" ht="15" hidden="1">
      <c r="A1498" s="120">
        <f>ROW()</f>
        <v>1498</v>
      </c>
      <c r="B1498" s="120"/>
      <c r="C1498" s="1"/>
      <c r="E1498" s="121"/>
      <c r="F1498" s="138"/>
      <c r="G1498" s="119"/>
      <c r="X1498" s="3"/>
      <c r="AD1498" s="119"/>
      <c r="AE1498" s="119"/>
      <c r="AF1498" s="119"/>
      <c r="AG1498" s="119"/>
      <c r="AI1498">
        <f t="shared" si="797"/>
        <v>371</v>
      </c>
      <c r="AJ1498" t="str">
        <f t="shared" si="792"/>
        <v>NA</v>
      </c>
      <c r="AK1498" t="str">
        <f>IF(ISERROR(MATCH(AI1498&amp;"."&amp;AJ1498,AK$91:AK1497,0)),AI1498&amp;"."&amp;AJ1498,AI1498&amp;"."&amp;AJ1498&amp;COUNTIFS(AI$91:AI1497,AI1498,AJ$91:AJ1497,AJ1498))</f>
        <v>371.NA2</v>
      </c>
    </row>
    <row r="1499" spans="1:37" ht="15" hidden="1">
      <c r="A1499" s="120">
        <f>ROW()</f>
        <v>1499</v>
      </c>
      <c r="B1499" s="120"/>
      <c r="C1499" s="1">
        <v>372</v>
      </c>
      <c r="D1499" s="2" t="s">
        <v>390</v>
      </c>
      <c r="E1499" s="121"/>
      <c r="F1499" s="138"/>
      <c r="G1499" s="119"/>
      <c r="X1499" s="3"/>
      <c r="AD1499" s="119"/>
      <c r="AE1499" s="119"/>
      <c r="AF1499" s="119"/>
      <c r="AG1499" s="119"/>
      <c r="AI1499">
        <f t="shared" si="797"/>
        <v>372</v>
      </c>
      <c r="AJ1499" t="str">
        <f t="shared" si="792"/>
        <v>NA</v>
      </c>
      <c r="AK1499" t="str">
        <f>IF(ISERROR(MATCH(AI1499&amp;"."&amp;AJ1499,AK$91:AK1498,0)),AI1499&amp;"."&amp;AJ1499,AI1499&amp;"."&amp;AJ1499&amp;COUNTIFS(AI$91:AI1498,AI1499,AJ$91:AJ1498,AJ1499))</f>
        <v>372.NA</v>
      </c>
    </row>
    <row r="1500" spans="1:37" ht="15" hidden="1">
      <c r="A1500" s="120">
        <f>ROW()</f>
        <v>1500</v>
      </c>
      <c r="B1500" s="120"/>
      <c r="C1500" s="1"/>
      <c r="E1500" s="121" t="s">
        <v>12</v>
      </c>
      <c r="F1500" s="138" t="str">
        <f>INDEX(FuncAllocOptions,ROW(A1500)-ROW($A$92)+1,[4]Inputs!$S$11)</f>
        <v>DPW</v>
      </c>
      <c r="G1500" s="133" t="e">
        <f>SUMIF(FERCJAMFactor,AK1500,JAMValue)</f>
        <v>#VALUE!</v>
      </c>
      <c r="H1500" s="139" t="e">
        <f>INDEX(FuncFactorTbl,MATCH($F1500,FuncFactors,0),MATCH(H$8,Functions,0))*$G1500</f>
        <v>#VALUE!</v>
      </c>
      <c r="I1500" s="139" t="e">
        <f>INDEX(FuncFactorTbl,MATCH($F1500,FuncFactors,0),MATCH(I$8,Functions,0))*$G1500</f>
        <v>#VALUE!</v>
      </c>
      <c r="J1500" s="139" t="e">
        <f>INDEX(FuncFactorTbl,MATCH($F1500,FuncFactors,0),MATCH(J$8,Functions,0))*$G1500</f>
        <v>#VALUE!</v>
      </c>
      <c r="K1500" s="139" t="e">
        <f>INDEX(FuncFactorTbl,MATCH($F1500,FuncFactors,0),MATCH(K$8,Functions,0))*$G1500</f>
        <v>#VALUE!</v>
      </c>
      <c r="L1500" s="139" t="e">
        <f>INDEX(FuncFactorTbl,MATCH($F1500,FuncFactors,0),MATCH(L$8,Functions,0))*$G1500</f>
        <v>#VALUE!</v>
      </c>
      <c r="X1500" s="3" t="str">
        <f>INDEX(DistFuncAllocOptions,ROW(A1500)-ROW($A$92)+1,[4]Inputs!$S$11)</f>
        <v>PLNT2</v>
      </c>
      <c r="Y1500" s="116" t="e">
        <f>INDEX(DistFuncFactorTbl,MATCH($X1500,DistFuncFactors,0),MATCH(Y$91,DistFunctions,0))*$J1500</f>
        <v>#VALUE!</v>
      </c>
      <c r="Z1500" s="116" t="e">
        <f>INDEX(DistFuncFactorTbl,MATCH($X1500,DistFuncFactors,0),MATCH(Z$91,DistFunctions,0))*$J1500</f>
        <v>#VALUE!</v>
      </c>
      <c r="AA1500" s="116" t="e">
        <f>INDEX(DistFuncFactorTbl,MATCH($X1500,DistFuncFactors,0),MATCH(AA$91,DistFunctions,0))*$J1500</f>
        <v>#VALUE!</v>
      </c>
      <c r="AB1500" s="116" t="e">
        <f>INDEX(DistFuncFactorTbl,MATCH($X1500,DistFuncFactors,0),MATCH(AB$91,DistFunctions,0))*$J1500</f>
        <v>#VALUE!</v>
      </c>
      <c r="AC1500" s="116" t="e">
        <f>INDEX(DistFuncFactorTbl,MATCH($X1500,DistFuncFactors,0),MATCH(AC$91,DistFunctions,0))*$J1500</f>
        <v>#VALUE!</v>
      </c>
      <c r="AD1500" s="117" t="e">
        <f>ROUND(SUM(-G1500,H1500:L1500),0)</f>
        <v>#VALUE!</v>
      </c>
      <c r="AE1500" s="117" t="e">
        <f>ROUND(H1500-O1500-P1500-Q1500-R1500,0)</f>
        <v>#VALUE!</v>
      </c>
      <c r="AF1500" s="117" t="e">
        <f>ROUND(I1500-T1500-U1500-V1500-W1500,0)</f>
        <v>#VALUE!</v>
      </c>
      <c r="AG1500" s="117" t="e">
        <f>ROUND(J1500-Y1500-Z1500-AA1500-AC1500-AB1500,0)</f>
        <v>#VALUE!</v>
      </c>
      <c r="AH1500" s="116"/>
      <c r="AI1500">
        <f t="shared" si="797"/>
        <v>372</v>
      </c>
      <c r="AJ1500" t="str">
        <f t="shared" si="792"/>
        <v>S</v>
      </c>
      <c r="AK1500" t="str">
        <f>IF(ISERROR(MATCH(AI1500&amp;"."&amp;AJ1500,AK$91:AK1499,0)),AI1500&amp;"."&amp;AJ1500,AI1500&amp;"."&amp;AJ1500&amp;COUNTIFS(AI$91:AI1499,AI1500,AJ$91:AJ1499,AJ1500))</f>
        <v>372.S1</v>
      </c>
    </row>
    <row r="1501" spans="1:37" ht="15" hidden="1">
      <c r="A1501" s="120">
        <f>ROW()</f>
        <v>1501</v>
      </c>
      <c r="B1501" s="120"/>
      <c r="C1501" s="1"/>
      <c r="E1501" s="121"/>
      <c r="F1501" s="138"/>
      <c r="G1501" s="117" t="e">
        <f t="shared" ref="G1501:L1501" si="810">SUM(G1500:G1500)</f>
        <v>#VALUE!</v>
      </c>
      <c r="H1501" s="116" t="e">
        <f t="shared" si="810"/>
        <v>#VALUE!</v>
      </c>
      <c r="I1501" s="116" t="e">
        <f t="shared" si="810"/>
        <v>#VALUE!</v>
      </c>
      <c r="J1501" s="116" t="e">
        <f t="shared" si="810"/>
        <v>#VALUE!</v>
      </c>
      <c r="K1501" s="116" t="e">
        <f t="shared" si="810"/>
        <v>#VALUE!</v>
      </c>
      <c r="L1501" s="116" t="e">
        <f t="shared" si="810"/>
        <v>#VALUE!</v>
      </c>
      <c r="O1501" s="116">
        <f>SUM(O1500:O1500)</f>
        <v>0</v>
      </c>
      <c r="P1501" s="116">
        <f>SUM(P1500:P1500)</f>
        <v>0</v>
      </c>
      <c r="Q1501" s="116">
        <f>SUM(Q1500:Q1500)</f>
        <v>0</v>
      </c>
      <c r="R1501" s="116">
        <f>SUM(R1500:R1500)</f>
        <v>0</v>
      </c>
      <c r="T1501" s="116">
        <f>SUM(T1500:T1500)</f>
        <v>0</v>
      </c>
      <c r="U1501" s="116">
        <f>SUM(U1500:U1500)</f>
        <v>0</v>
      </c>
      <c r="V1501" s="116">
        <f>SUM(V1500:V1500)</f>
        <v>0</v>
      </c>
      <c r="W1501" s="116">
        <f>SUM(W1500:W1500)</f>
        <v>0</v>
      </c>
      <c r="X1501" s="3"/>
      <c r="Y1501" s="116" t="e">
        <f>SUM(Y1500:Y1500)</f>
        <v>#VALUE!</v>
      </c>
      <c r="Z1501" s="116" t="e">
        <f>SUM(Z1500:Z1500)</f>
        <v>#VALUE!</v>
      </c>
      <c r="AA1501" s="116" t="e">
        <f>SUM(AA1500:AA1500)</f>
        <v>#VALUE!</v>
      </c>
      <c r="AB1501" s="116" t="e">
        <f>SUM(AB1500:AB1500)</f>
        <v>#VALUE!</v>
      </c>
      <c r="AC1501" s="116" t="e">
        <f>SUM(AC1500:AC1500)</f>
        <v>#VALUE!</v>
      </c>
      <c r="AD1501" s="117" t="e">
        <f>ROUND(SUM(-G1501,H1501:L1501),0)</f>
        <v>#VALUE!</v>
      </c>
      <c r="AE1501" s="117" t="e">
        <f>ROUND(H1501-O1501-P1501-Q1501-R1501,0)</f>
        <v>#VALUE!</v>
      </c>
      <c r="AF1501" s="117" t="e">
        <f>ROUND(I1501-T1501-U1501-V1501-W1501,0)</f>
        <v>#VALUE!</v>
      </c>
      <c r="AG1501" s="117" t="e">
        <f>ROUND(J1501-Y1501-Z1501-AA1501-AC1501-AB1501,0)</f>
        <v>#VALUE!</v>
      </c>
      <c r="AH1501" s="116"/>
      <c r="AI1501">
        <f t="shared" si="797"/>
        <v>372</v>
      </c>
      <c r="AJ1501" t="str">
        <f t="shared" ref="AJ1501:AJ1564" si="811">IF(E1501="","NA",E1501)</f>
        <v>NA</v>
      </c>
      <c r="AK1501" t="str">
        <f>IF(ISERROR(MATCH(AI1501&amp;"."&amp;AJ1501,AK$91:AK1500,0)),AI1501&amp;"."&amp;AJ1501,AI1501&amp;"."&amp;AJ1501&amp;COUNTIFS(AI$91:AI1500,AI1501,AJ$91:AJ1500,AJ1501))</f>
        <v>372.NA1</v>
      </c>
    </row>
    <row r="1502" spans="1:37" ht="15" hidden="1">
      <c r="A1502" s="120">
        <f>ROW()</f>
        <v>1502</v>
      </c>
      <c r="B1502" s="120"/>
      <c r="C1502" s="1"/>
      <c r="E1502" s="121"/>
      <c r="F1502" s="138"/>
      <c r="G1502" s="119"/>
      <c r="X1502" s="3"/>
      <c r="AD1502" s="119"/>
      <c r="AE1502" s="119"/>
      <c r="AF1502" s="119"/>
      <c r="AG1502" s="119"/>
      <c r="AI1502">
        <f t="shared" si="797"/>
        <v>372</v>
      </c>
      <c r="AJ1502" t="str">
        <f t="shared" si="811"/>
        <v>NA</v>
      </c>
      <c r="AK1502" t="str">
        <f>IF(ISERROR(MATCH(AI1502&amp;"."&amp;AJ1502,AK$91:AK1501,0)),AI1502&amp;"."&amp;AJ1502,AI1502&amp;"."&amp;AJ1502&amp;COUNTIFS(AI$91:AI1501,AI1502,AJ$91:AJ1501,AJ1502))</f>
        <v>372.NA2</v>
      </c>
    </row>
    <row r="1503" spans="1:37" ht="15" hidden="1">
      <c r="A1503" s="120">
        <f>ROW()</f>
        <v>1503</v>
      </c>
      <c r="B1503" s="120"/>
      <c r="C1503" s="1">
        <v>373</v>
      </c>
      <c r="D1503" s="2" t="s">
        <v>553</v>
      </c>
      <c r="E1503" s="121"/>
      <c r="F1503" s="138"/>
      <c r="G1503" s="119"/>
      <c r="X1503" s="3"/>
      <c r="AD1503" s="119"/>
      <c r="AE1503" s="119"/>
      <c r="AF1503" s="119"/>
      <c r="AG1503" s="119"/>
      <c r="AI1503">
        <f t="shared" si="797"/>
        <v>373</v>
      </c>
      <c r="AJ1503" t="str">
        <f t="shared" si="811"/>
        <v>NA</v>
      </c>
      <c r="AK1503" t="str">
        <f>IF(ISERROR(MATCH(AI1503&amp;"."&amp;AJ1503,AK$91:AK1502,0)),AI1503&amp;"."&amp;AJ1503,AI1503&amp;"."&amp;AJ1503&amp;COUNTIFS(AI$91:AI1502,AI1503,AJ$91:AJ1502,AJ1503))</f>
        <v>373.NA2</v>
      </c>
    </row>
    <row r="1504" spans="1:37" ht="15" hidden="1">
      <c r="A1504" s="120">
        <f>ROW()</f>
        <v>1504</v>
      </c>
      <c r="B1504" s="120"/>
      <c r="C1504" s="1"/>
      <c r="E1504" s="121" t="s">
        <v>12</v>
      </c>
      <c r="F1504" s="138" t="str">
        <f>INDEX(FuncAllocOptions,ROW(A1504)-ROW($A$92)+1,[4]Inputs!$S$11)</f>
        <v>DPW</v>
      </c>
      <c r="G1504" s="133" t="e">
        <f>SUMIF(FERCJAMFactor,AK1504,JAMValue)</f>
        <v>#VALUE!</v>
      </c>
      <c r="H1504" s="139" t="e">
        <f>INDEX(FuncFactorTbl,MATCH($F1504,FuncFactors,0),MATCH(H$8,Functions,0))*$G1504</f>
        <v>#VALUE!</v>
      </c>
      <c r="I1504" s="139" t="e">
        <f>INDEX(FuncFactorTbl,MATCH($F1504,FuncFactors,0),MATCH(I$8,Functions,0))*$G1504</f>
        <v>#VALUE!</v>
      </c>
      <c r="J1504" s="139" t="e">
        <f>INDEX(FuncFactorTbl,MATCH($F1504,FuncFactors,0),MATCH(J$8,Functions,0))*$G1504</f>
        <v>#VALUE!</v>
      </c>
      <c r="K1504" s="139" t="e">
        <f>INDEX(FuncFactorTbl,MATCH($F1504,FuncFactors,0),MATCH(K$8,Functions,0))*$G1504</f>
        <v>#VALUE!</v>
      </c>
      <c r="L1504" s="139" t="e">
        <f>INDEX(FuncFactorTbl,MATCH($F1504,FuncFactors,0),MATCH(L$8,Functions,0))*$G1504</f>
        <v>#VALUE!</v>
      </c>
      <c r="X1504" s="3" t="str">
        <f>INDEX(DistFuncAllocOptions,ROW(A1504)-ROW($A$92)+1,[4]Inputs!$S$11)</f>
        <v>PC</v>
      </c>
      <c r="Y1504" s="116" t="e">
        <f>INDEX(DistFuncFactorTbl,MATCH($X1504,DistFuncFactors,0),MATCH(Y$91,DistFunctions,0))*$J1504</f>
        <v>#VALUE!</v>
      </c>
      <c r="Z1504" s="116" t="e">
        <f>INDEX(DistFuncFactorTbl,MATCH($X1504,DistFuncFactors,0),MATCH(Z$91,DistFunctions,0))*$J1504</f>
        <v>#VALUE!</v>
      </c>
      <c r="AA1504" s="116" t="e">
        <f>INDEX(DistFuncFactorTbl,MATCH($X1504,DistFuncFactors,0),MATCH(AA$91,DistFunctions,0))*$J1504</f>
        <v>#VALUE!</v>
      </c>
      <c r="AB1504" s="116" t="e">
        <f>INDEX(DistFuncFactorTbl,MATCH($X1504,DistFuncFactors,0),MATCH(AB$91,DistFunctions,0))*$J1504</f>
        <v>#VALUE!</v>
      </c>
      <c r="AC1504" s="116" t="e">
        <f>INDEX(DistFuncFactorTbl,MATCH($X1504,DistFuncFactors,0),MATCH(AC$91,DistFunctions,0))*$J1504</f>
        <v>#VALUE!</v>
      </c>
      <c r="AD1504" s="117" t="e">
        <f>ROUND(SUM(-G1504,H1504:L1504),0)</f>
        <v>#VALUE!</v>
      </c>
      <c r="AE1504" s="117" t="e">
        <f>ROUND(H1504-O1504-P1504-Q1504-R1504,0)</f>
        <v>#VALUE!</v>
      </c>
      <c r="AF1504" s="117" t="e">
        <f>ROUND(I1504-T1504-U1504-V1504-W1504,0)</f>
        <v>#VALUE!</v>
      </c>
      <c r="AG1504" s="117" t="e">
        <f>ROUND(J1504-Y1504-Z1504-AA1504-AC1504-AB1504,0)</f>
        <v>#VALUE!</v>
      </c>
      <c r="AH1504" s="116"/>
      <c r="AI1504">
        <f t="shared" si="797"/>
        <v>373</v>
      </c>
      <c r="AJ1504" t="str">
        <f t="shared" si="811"/>
        <v>S</v>
      </c>
      <c r="AK1504" t="str">
        <f>IF(ISERROR(MATCH(AI1504&amp;"."&amp;AJ1504,AK$91:AK1503,0)),AI1504&amp;"."&amp;AJ1504,AI1504&amp;"."&amp;AJ1504&amp;COUNTIFS(AI$91:AI1503,AI1504,AJ$91:AJ1503,AJ1504))</f>
        <v>373.S1</v>
      </c>
    </row>
    <row r="1505" spans="1:37" ht="15" hidden="1">
      <c r="A1505" s="120">
        <f>ROW()</f>
        <v>1505</v>
      </c>
      <c r="B1505" s="120"/>
      <c r="C1505" s="1"/>
      <c r="E1505" s="121"/>
      <c r="F1505" s="138"/>
      <c r="G1505" s="117" t="e">
        <f t="shared" ref="G1505:L1505" si="812">SUM(G1504:G1504)</f>
        <v>#VALUE!</v>
      </c>
      <c r="H1505" s="116" t="e">
        <f t="shared" si="812"/>
        <v>#VALUE!</v>
      </c>
      <c r="I1505" s="116" t="e">
        <f t="shared" si="812"/>
        <v>#VALUE!</v>
      </c>
      <c r="J1505" s="116" t="e">
        <f t="shared" si="812"/>
        <v>#VALUE!</v>
      </c>
      <c r="K1505" s="116" t="e">
        <f t="shared" si="812"/>
        <v>#VALUE!</v>
      </c>
      <c r="L1505" s="116" t="e">
        <f t="shared" si="812"/>
        <v>#VALUE!</v>
      </c>
      <c r="O1505" s="116">
        <f>SUM(O1504:O1504)</f>
        <v>0</v>
      </c>
      <c r="P1505" s="116">
        <f>SUM(P1504:P1504)</f>
        <v>0</v>
      </c>
      <c r="Q1505" s="116">
        <f>SUM(Q1504:Q1504)</f>
        <v>0</v>
      </c>
      <c r="R1505" s="116">
        <f>SUM(R1504:R1504)</f>
        <v>0</v>
      </c>
      <c r="T1505" s="116">
        <f>SUM(T1504:T1504)</f>
        <v>0</v>
      </c>
      <c r="U1505" s="116">
        <f>SUM(U1504:U1504)</f>
        <v>0</v>
      </c>
      <c r="V1505" s="116">
        <f>SUM(V1504:V1504)</f>
        <v>0</v>
      </c>
      <c r="W1505" s="116">
        <f>SUM(W1504:W1504)</f>
        <v>0</v>
      </c>
      <c r="X1505" s="3"/>
      <c r="Y1505" s="116" t="e">
        <f>SUM(Y1504:Y1504)</f>
        <v>#VALUE!</v>
      </c>
      <c r="Z1505" s="116" t="e">
        <f>SUM(Z1504:Z1504)</f>
        <v>#VALUE!</v>
      </c>
      <c r="AA1505" s="116" t="e">
        <f>SUM(AA1504:AA1504)</f>
        <v>#VALUE!</v>
      </c>
      <c r="AB1505" s="116" t="e">
        <f>SUM(AB1504:AB1504)</f>
        <v>#VALUE!</v>
      </c>
      <c r="AC1505" s="116" t="e">
        <f>SUM(AC1504:AC1504)</f>
        <v>#VALUE!</v>
      </c>
      <c r="AD1505" s="117" t="e">
        <f>ROUND(SUM(-G1505,H1505:L1505),0)</f>
        <v>#VALUE!</v>
      </c>
      <c r="AE1505" s="117" t="e">
        <f>ROUND(H1505-O1505-P1505-Q1505-R1505,0)</f>
        <v>#VALUE!</v>
      </c>
      <c r="AF1505" s="117" t="e">
        <f>ROUND(I1505-T1505-U1505-V1505-W1505,0)</f>
        <v>#VALUE!</v>
      </c>
      <c r="AG1505" s="117" t="e">
        <f>ROUND(J1505-Y1505-Z1505-AA1505-AC1505-AB1505,0)</f>
        <v>#VALUE!</v>
      </c>
      <c r="AH1505" s="116"/>
      <c r="AI1505">
        <f t="shared" si="797"/>
        <v>373</v>
      </c>
      <c r="AJ1505" t="str">
        <f t="shared" si="811"/>
        <v>NA</v>
      </c>
      <c r="AK1505" t="str">
        <f>IF(ISERROR(MATCH(AI1505&amp;"."&amp;AJ1505,AK$91:AK1504,0)),AI1505&amp;"."&amp;AJ1505,AI1505&amp;"."&amp;AJ1505&amp;COUNTIFS(AI$91:AI1504,AI1505,AJ$91:AJ1504,AJ1505))</f>
        <v>373.NA3</v>
      </c>
    </row>
    <row r="1506" spans="1:37" ht="15" hidden="1">
      <c r="A1506" s="120">
        <f>ROW()</f>
        <v>1506</v>
      </c>
      <c r="B1506" s="120"/>
      <c r="C1506" s="1"/>
      <c r="E1506" s="121"/>
      <c r="F1506" s="138"/>
      <c r="G1506" s="119"/>
      <c r="X1506" s="3"/>
      <c r="AD1506" s="119"/>
      <c r="AE1506" s="119"/>
      <c r="AF1506" s="119"/>
      <c r="AG1506" s="119"/>
      <c r="AI1506">
        <f t="shared" si="797"/>
        <v>373</v>
      </c>
      <c r="AJ1506" t="str">
        <f t="shared" si="811"/>
        <v>NA</v>
      </c>
      <c r="AK1506" t="str">
        <f>IF(ISERROR(MATCH(AI1506&amp;"."&amp;AJ1506,AK$91:AK1505,0)),AI1506&amp;"."&amp;AJ1506,AI1506&amp;"."&amp;AJ1506&amp;COUNTIFS(AI$91:AI1505,AI1506,AJ$91:AJ1505,AJ1506))</f>
        <v>373.NA4</v>
      </c>
    </row>
    <row r="1507" spans="1:37" ht="15" hidden="1">
      <c r="A1507" s="120">
        <f>ROW()</f>
        <v>1507</v>
      </c>
      <c r="B1507" s="120"/>
      <c r="C1507" s="1" t="s">
        <v>246</v>
      </c>
      <c r="D1507" s="2" t="s">
        <v>554</v>
      </c>
      <c r="E1507" s="121"/>
      <c r="F1507" s="138"/>
      <c r="G1507" s="119"/>
      <c r="X1507" s="3"/>
      <c r="AD1507" s="119"/>
      <c r="AE1507" s="119"/>
      <c r="AF1507" s="119"/>
      <c r="AG1507" s="119"/>
      <c r="AI1507" t="str">
        <f t="shared" si="797"/>
        <v>DP</v>
      </c>
      <c r="AJ1507" t="str">
        <f t="shared" si="811"/>
        <v>NA</v>
      </c>
      <c r="AK1507" t="str">
        <f>IF(ISERROR(MATCH(AI1507&amp;"."&amp;AJ1507,AK$91:AK1506,0)),AI1507&amp;"."&amp;AJ1507,AI1507&amp;"."&amp;AJ1507&amp;COUNTIFS(AI$91:AI1506,AI1507,AJ$91:AJ1506,AJ1507))</f>
        <v>DP.NA</v>
      </c>
    </row>
    <row r="1508" spans="1:37" ht="15" hidden="1">
      <c r="A1508" s="120">
        <f>ROW()</f>
        <v>1508</v>
      </c>
      <c r="B1508" s="120"/>
      <c r="C1508" s="1"/>
      <c r="E1508" s="121" t="s">
        <v>12</v>
      </c>
      <c r="F1508" s="138" t="str">
        <f>INDEX(FuncAllocOptions,ROW(A1508)-ROW($A$92)+1,[4]Inputs!$S$11)</f>
        <v>DPW</v>
      </c>
      <c r="G1508" s="133" t="e">
        <f>SUMIF(FERCJAMFactor,AK1508,JAMValue)</f>
        <v>#VALUE!</v>
      </c>
      <c r="H1508" s="139" t="e">
        <f>INDEX(FuncFactorTbl,MATCH($F1508,FuncFactors,0),MATCH(H$8,Functions,0))*$G1508</f>
        <v>#VALUE!</v>
      </c>
      <c r="I1508" s="139" t="e">
        <f>INDEX(FuncFactorTbl,MATCH($F1508,FuncFactors,0),MATCH(I$8,Functions,0))*$G1508</f>
        <v>#VALUE!</v>
      </c>
      <c r="J1508" s="139" t="e">
        <f>INDEX(FuncFactorTbl,MATCH($F1508,FuncFactors,0),MATCH(J$8,Functions,0))*$G1508</f>
        <v>#VALUE!</v>
      </c>
      <c r="K1508" s="139" t="e">
        <f>INDEX(FuncFactorTbl,MATCH($F1508,FuncFactors,0),MATCH(K$8,Functions,0))*$G1508</f>
        <v>#VALUE!</v>
      </c>
      <c r="L1508" s="139" t="e">
        <f>INDEX(FuncFactorTbl,MATCH($F1508,FuncFactors,0),MATCH(L$8,Functions,0))*$G1508</f>
        <v>#VALUE!</v>
      </c>
      <c r="X1508" s="3" t="str">
        <f>INDEX(DistFuncAllocOptions,ROW(A1508)-ROW($A$92)+1,[4]Inputs!$S$11)</f>
        <v>PLNT2</v>
      </c>
      <c r="Y1508" s="116" t="e">
        <f>INDEX(DistFuncFactorTbl,MATCH($X1508,DistFuncFactors,0),MATCH(Y$91,DistFunctions,0))*$J1508</f>
        <v>#VALUE!</v>
      </c>
      <c r="Z1508" s="116" t="e">
        <f>INDEX(DistFuncFactorTbl,MATCH($X1508,DistFuncFactors,0),MATCH(Z$91,DistFunctions,0))*$J1508</f>
        <v>#VALUE!</v>
      </c>
      <c r="AA1508" s="116" t="e">
        <f>INDEX(DistFuncFactorTbl,MATCH($X1508,DistFuncFactors,0),MATCH(AA$91,DistFunctions,0))*$J1508</f>
        <v>#VALUE!</v>
      </c>
      <c r="AB1508" s="116" t="e">
        <f>INDEX(DistFuncFactorTbl,MATCH($X1508,DistFuncFactors,0),MATCH(AB$91,DistFunctions,0))*$J1508</f>
        <v>#VALUE!</v>
      </c>
      <c r="AC1508" s="116" t="e">
        <f>INDEX(DistFuncFactorTbl,MATCH($X1508,DistFuncFactors,0),MATCH(AC$91,DistFunctions,0))*$J1508</f>
        <v>#VALUE!</v>
      </c>
      <c r="AD1508" s="117" t="e">
        <f>ROUND(SUM(-G1508,H1508:L1508),0)</f>
        <v>#VALUE!</v>
      </c>
      <c r="AE1508" s="117" t="e">
        <f>ROUND(H1508-O1508-P1508-Q1508-R1508,0)</f>
        <v>#VALUE!</v>
      </c>
      <c r="AF1508" s="117" t="e">
        <f>ROUND(I1508-T1508-U1508-V1508-W1508,0)</f>
        <v>#VALUE!</v>
      </c>
      <c r="AG1508" s="117" t="e">
        <f>ROUND(J1508-Y1508-Z1508-AA1508-AC1508-AB1508,0)</f>
        <v>#VALUE!</v>
      </c>
      <c r="AH1508" s="116"/>
      <c r="AI1508" t="str">
        <f t="shared" si="797"/>
        <v>DP</v>
      </c>
      <c r="AJ1508" t="str">
        <f t="shared" si="811"/>
        <v>S</v>
      </c>
      <c r="AK1508" t="str">
        <f>IF(ISERROR(MATCH(AI1508&amp;"."&amp;AJ1508,AK$91:AK1507,0)),AI1508&amp;"."&amp;AJ1508,AI1508&amp;"."&amp;AJ1508&amp;COUNTIFS(AI$91:AI1507,AI1508,AJ$91:AJ1507,AJ1508))</f>
        <v>DP.S</v>
      </c>
    </row>
    <row r="1509" spans="1:37" ht="15" hidden="1">
      <c r="A1509" s="120">
        <f>ROW()</f>
        <v>1509</v>
      </c>
      <c r="B1509" s="120"/>
      <c r="C1509" s="1"/>
      <c r="E1509" s="121"/>
      <c r="F1509" s="138"/>
      <c r="G1509" s="117" t="e">
        <f t="shared" ref="G1509:L1509" si="813">SUM(G1508)</f>
        <v>#VALUE!</v>
      </c>
      <c r="H1509" s="116" t="e">
        <f t="shared" si="813"/>
        <v>#VALUE!</v>
      </c>
      <c r="I1509" s="116" t="e">
        <f t="shared" si="813"/>
        <v>#VALUE!</v>
      </c>
      <c r="J1509" s="116" t="e">
        <f t="shared" si="813"/>
        <v>#VALUE!</v>
      </c>
      <c r="K1509" s="116" t="e">
        <f t="shared" si="813"/>
        <v>#VALUE!</v>
      </c>
      <c r="L1509" s="116" t="e">
        <f t="shared" si="813"/>
        <v>#VALUE!</v>
      </c>
      <c r="O1509" s="116">
        <f>SUM(O1508)</f>
        <v>0</v>
      </c>
      <c r="P1509" s="116">
        <f>SUM(P1508)</f>
        <v>0</v>
      </c>
      <c r="Q1509" s="116">
        <f>SUM(Q1508)</f>
        <v>0</v>
      </c>
      <c r="R1509" s="116">
        <f>SUM(R1508)</f>
        <v>0</v>
      </c>
      <c r="T1509" s="116">
        <f>SUM(T1508)</f>
        <v>0</v>
      </c>
      <c r="U1509" s="116">
        <f>SUM(U1508)</f>
        <v>0</v>
      </c>
      <c r="V1509" s="116">
        <f>SUM(V1508)</f>
        <v>0</v>
      </c>
      <c r="W1509" s="116">
        <f>SUM(W1508)</f>
        <v>0</v>
      </c>
      <c r="X1509" s="3"/>
      <c r="Y1509" s="116" t="e">
        <f>SUM(Y1508)</f>
        <v>#VALUE!</v>
      </c>
      <c r="Z1509" s="116" t="e">
        <f>SUM(Z1508)</f>
        <v>#VALUE!</v>
      </c>
      <c r="AA1509" s="116" t="e">
        <f>SUM(AA1508)</f>
        <v>#VALUE!</v>
      </c>
      <c r="AB1509" s="116" t="e">
        <f>SUM(AB1508)</f>
        <v>#VALUE!</v>
      </c>
      <c r="AC1509" s="116" t="e">
        <f>SUM(AC1508)</f>
        <v>#VALUE!</v>
      </c>
      <c r="AD1509" s="117" t="e">
        <f>ROUND(SUM(-G1509,H1509:L1509),0)</f>
        <v>#VALUE!</v>
      </c>
      <c r="AE1509" s="117" t="e">
        <f>ROUND(H1509-O1509-P1509-Q1509-R1509,0)</f>
        <v>#VALUE!</v>
      </c>
      <c r="AF1509" s="117" t="e">
        <f>ROUND(I1509-T1509-U1509-V1509-W1509,0)</f>
        <v>#VALUE!</v>
      </c>
      <c r="AG1509" s="117" t="e">
        <f>ROUND(J1509-Y1509-Z1509-AA1509-AC1509-AB1509,0)</f>
        <v>#VALUE!</v>
      </c>
      <c r="AH1509" s="116"/>
      <c r="AI1509" t="str">
        <f t="shared" si="797"/>
        <v>DP</v>
      </c>
      <c r="AJ1509" t="str">
        <f t="shared" si="811"/>
        <v>NA</v>
      </c>
      <c r="AK1509" t="str">
        <f>IF(ISERROR(MATCH(AI1509&amp;"."&amp;AJ1509,AK$91:AK1508,0)),AI1509&amp;"."&amp;AJ1509,AI1509&amp;"."&amp;AJ1509&amp;COUNTIFS(AI$91:AI1508,AI1509,AJ$91:AJ1508,AJ1509))</f>
        <v>DP.NA1</v>
      </c>
    </row>
    <row r="1510" spans="1:37" ht="15" hidden="1">
      <c r="A1510" s="120">
        <f>ROW()</f>
        <v>1510</v>
      </c>
      <c r="B1510" s="120"/>
      <c r="C1510" s="1"/>
      <c r="E1510" s="121"/>
      <c r="F1510" s="138"/>
      <c r="G1510" s="119"/>
      <c r="X1510" s="3"/>
      <c r="AD1510" s="119"/>
      <c r="AE1510" s="119"/>
      <c r="AF1510" s="119"/>
      <c r="AG1510" s="119"/>
      <c r="AI1510" t="str">
        <f t="shared" si="797"/>
        <v>DP</v>
      </c>
      <c r="AJ1510" t="str">
        <f t="shared" si="811"/>
        <v>NA</v>
      </c>
      <c r="AK1510" t="str">
        <f>IF(ISERROR(MATCH(AI1510&amp;"."&amp;AJ1510,AK$91:AK1509,0)),AI1510&amp;"."&amp;AJ1510,AI1510&amp;"."&amp;AJ1510&amp;COUNTIFS(AI$91:AI1509,AI1510,AJ$91:AJ1509,AJ1510))</f>
        <v>DP.NA2</v>
      </c>
    </row>
    <row r="1511" spans="1:37" ht="15" hidden="1">
      <c r="A1511" s="120">
        <f>ROW()</f>
        <v>1511</v>
      </c>
      <c r="B1511" s="120"/>
      <c r="C1511" s="1" t="s">
        <v>247</v>
      </c>
      <c r="D1511" s="2" t="s">
        <v>555</v>
      </c>
      <c r="E1511" s="121"/>
      <c r="F1511" s="138"/>
      <c r="G1511" s="119"/>
      <c r="X1511" s="3"/>
      <c r="AD1511" s="119"/>
      <c r="AE1511" s="119"/>
      <c r="AF1511" s="119"/>
      <c r="AG1511" s="119"/>
      <c r="AI1511" t="str">
        <f t="shared" si="797"/>
        <v>DS0</v>
      </c>
      <c r="AJ1511" t="str">
        <f t="shared" si="811"/>
        <v>NA</v>
      </c>
      <c r="AK1511" t="str">
        <f>IF(ISERROR(MATCH(AI1511&amp;"."&amp;AJ1511,AK$91:AK1510,0)),AI1511&amp;"."&amp;AJ1511,AI1511&amp;"."&amp;AJ1511&amp;COUNTIFS(AI$91:AI1510,AI1511,AJ$91:AJ1510,AJ1511))</f>
        <v>DS0.NA</v>
      </c>
    </row>
    <row r="1512" spans="1:37" ht="15" hidden="1">
      <c r="A1512" s="120">
        <f>ROW()</f>
        <v>1512</v>
      </c>
      <c r="B1512" s="120"/>
      <c r="E1512" s="121" t="s">
        <v>12</v>
      </c>
      <c r="F1512" s="138" t="str">
        <f>INDEX(FuncAllocOptions,ROW(A1512)-ROW($A$92)+1,[4]Inputs!$S$11)</f>
        <v>DPW</v>
      </c>
      <c r="G1512" s="133" t="e">
        <f>SUMIF(FERCJAMFactor,AK1512,JAMValue)</f>
        <v>#VALUE!</v>
      </c>
      <c r="H1512" s="139" t="e">
        <f>INDEX(FuncFactorTbl,MATCH($F1512,FuncFactors,0),MATCH(H$8,Functions,0))*$G1512</f>
        <v>#VALUE!</v>
      </c>
      <c r="I1512" s="139" t="e">
        <f>INDEX(FuncFactorTbl,MATCH($F1512,FuncFactors,0),MATCH(I$8,Functions,0))*$G1512</f>
        <v>#VALUE!</v>
      </c>
      <c r="J1512" s="139" t="e">
        <f>INDEX(FuncFactorTbl,MATCH($F1512,FuncFactors,0),MATCH(J$8,Functions,0))*$G1512</f>
        <v>#VALUE!</v>
      </c>
      <c r="K1512" s="139" t="e">
        <f>INDEX(FuncFactorTbl,MATCH($F1512,FuncFactors,0),MATCH(K$8,Functions,0))*$G1512</f>
        <v>#VALUE!</v>
      </c>
      <c r="L1512" s="139" t="e">
        <f>INDEX(FuncFactorTbl,MATCH($F1512,FuncFactors,0),MATCH(L$8,Functions,0))*$G1512</f>
        <v>#VALUE!</v>
      </c>
      <c r="X1512" s="3" t="str">
        <f>INDEX(DistFuncAllocOptions,ROW(A1512)-ROW($A$92)+1,[4]Inputs!$S$11)</f>
        <v>PLNT2</v>
      </c>
      <c r="Y1512" s="116" t="e">
        <f>INDEX(DistFuncFactorTbl,MATCH($X1512,DistFuncFactors,0),MATCH(Y$91,DistFunctions,0))*$J1512</f>
        <v>#VALUE!</v>
      </c>
      <c r="Z1512" s="116" t="e">
        <f>INDEX(DistFuncFactorTbl,MATCH($X1512,DistFuncFactors,0),MATCH(Z$91,DistFunctions,0))*$J1512</f>
        <v>#VALUE!</v>
      </c>
      <c r="AA1512" s="116" t="e">
        <f>INDEX(DistFuncFactorTbl,MATCH($X1512,DistFuncFactors,0),MATCH(AA$91,DistFunctions,0))*$J1512</f>
        <v>#VALUE!</v>
      </c>
      <c r="AB1512" s="116" t="e">
        <f>INDEX(DistFuncFactorTbl,MATCH($X1512,DistFuncFactors,0),MATCH(AB$91,DistFunctions,0))*$J1512</f>
        <v>#VALUE!</v>
      </c>
      <c r="AC1512" s="116" t="e">
        <f>INDEX(DistFuncFactorTbl,MATCH($X1512,DistFuncFactors,0),MATCH(AC$91,DistFunctions,0))*$J1512</f>
        <v>#VALUE!</v>
      </c>
      <c r="AD1512" s="117" t="e">
        <f>ROUND(SUM(-G1512,H1512:L1512),0)</f>
        <v>#VALUE!</v>
      </c>
      <c r="AE1512" s="117" t="e">
        <f>ROUND(H1512-O1512-P1512-Q1512-R1512,0)</f>
        <v>#VALUE!</v>
      </c>
      <c r="AF1512" s="117" t="e">
        <f>ROUND(I1512-T1512-U1512-V1512-W1512,0)</f>
        <v>#VALUE!</v>
      </c>
      <c r="AG1512" s="117" t="e">
        <f>ROUND(J1512-Y1512-Z1512-AA1512-AC1512-AB1512,0)</f>
        <v>#VALUE!</v>
      </c>
      <c r="AH1512" s="116"/>
      <c r="AI1512" t="str">
        <f t="shared" si="797"/>
        <v>DS0</v>
      </c>
      <c r="AJ1512" t="str">
        <f t="shared" si="811"/>
        <v>S</v>
      </c>
      <c r="AK1512" t="str">
        <f>IF(ISERROR(MATCH(AI1512&amp;"."&amp;AJ1512,AK$91:AK1511,0)),AI1512&amp;"."&amp;AJ1512,AI1512&amp;"."&amp;AJ1512&amp;COUNTIFS(AI$91:AI1511,AI1512,AJ$91:AJ1511,AJ1512))</f>
        <v>DS0.S</v>
      </c>
    </row>
    <row r="1513" spans="1:37" ht="15" hidden="1">
      <c r="A1513" s="120">
        <f>ROW()</f>
        <v>1513</v>
      </c>
      <c r="B1513" s="120"/>
      <c r="E1513" s="121"/>
      <c r="F1513" s="138"/>
      <c r="G1513" s="117" t="e">
        <f t="shared" ref="G1513:L1513" si="814">SUM(G1512)</f>
        <v>#VALUE!</v>
      </c>
      <c r="H1513" s="116" t="e">
        <f t="shared" si="814"/>
        <v>#VALUE!</v>
      </c>
      <c r="I1513" s="116" t="e">
        <f t="shared" si="814"/>
        <v>#VALUE!</v>
      </c>
      <c r="J1513" s="116" t="e">
        <f t="shared" si="814"/>
        <v>#VALUE!</v>
      </c>
      <c r="K1513" s="116" t="e">
        <f t="shared" si="814"/>
        <v>#VALUE!</v>
      </c>
      <c r="L1513" s="116" t="e">
        <f t="shared" si="814"/>
        <v>#VALUE!</v>
      </c>
      <c r="O1513" s="116">
        <f>SUM(O1512)</f>
        <v>0</v>
      </c>
      <c r="P1513" s="116">
        <f>SUM(P1512)</f>
        <v>0</v>
      </c>
      <c r="Q1513" s="116">
        <f>SUM(Q1512)</f>
        <v>0</v>
      </c>
      <c r="R1513" s="116">
        <f>SUM(R1512)</f>
        <v>0</v>
      </c>
      <c r="T1513" s="116">
        <f>SUM(T1512)</f>
        <v>0</v>
      </c>
      <c r="U1513" s="116">
        <f>SUM(U1512)</f>
        <v>0</v>
      </c>
      <c r="V1513" s="116">
        <f>SUM(V1512)</f>
        <v>0</v>
      </c>
      <c r="W1513" s="116">
        <f>SUM(W1512)</f>
        <v>0</v>
      </c>
      <c r="X1513" s="3"/>
      <c r="Y1513" s="116" t="e">
        <f>SUM(Y1512)</f>
        <v>#VALUE!</v>
      </c>
      <c r="Z1513" s="116" t="e">
        <f>SUM(Z1512)</f>
        <v>#VALUE!</v>
      </c>
      <c r="AA1513" s="116" t="e">
        <f>SUM(AA1512)</f>
        <v>#VALUE!</v>
      </c>
      <c r="AB1513" s="116" t="e">
        <f>SUM(AB1512)</f>
        <v>#VALUE!</v>
      </c>
      <c r="AC1513" s="116" t="e">
        <f>SUM(AC1512)</f>
        <v>#VALUE!</v>
      </c>
      <c r="AD1513" s="117" t="e">
        <f>ROUND(SUM(-G1513,H1513:L1513),0)</f>
        <v>#VALUE!</v>
      </c>
      <c r="AE1513" s="117" t="e">
        <f>ROUND(H1513-O1513-P1513-Q1513-R1513,0)</f>
        <v>#VALUE!</v>
      </c>
      <c r="AF1513" s="117" t="e">
        <f>ROUND(I1513-T1513-U1513-V1513-W1513,0)</f>
        <v>#VALUE!</v>
      </c>
      <c r="AG1513" s="117" t="e">
        <f>ROUND(J1513-Y1513-Z1513-AA1513-AC1513-AB1513,0)</f>
        <v>#VALUE!</v>
      </c>
      <c r="AH1513" s="116"/>
      <c r="AI1513" t="str">
        <f t="shared" si="797"/>
        <v>DS0</v>
      </c>
      <c r="AJ1513" t="str">
        <f t="shared" si="811"/>
        <v>NA</v>
      </c>
      <c r="AK1513" t="str">
        <f>IF(ISERROR(MATCH(AI1513&amp;"."&amp;AJ1513,AK$91:AK1512,0)),AI1513&amp;"."&amp;AJ1513,AI1513&amp;"."&amp;AJ1513&amp;COUNTIFS(AI$91:AI1512,AI1513,AJ$91:AJ1512,AJ1513))</f>
        <v>DS0.NA1</v>
      </c>
    </row>
    <row r="1514" spans="1:37" ht="15" hidden="1">
      <c r="A1514" s="120">
        <f>ROW()</f>
        <v>1514</v>
      </c>
      <c r="B1514" s="120"/>
      <c r="E1514" s="121"/>
      <c r="F1514" s="138"/>
      <c r="G1514" s="119"/>
      <c r="X1514" s="3"/>
      <c r="AD1514" s="119"/>
      <c r="AE1514" s="119"/>
      <c r="AF1514" s="119"/>
      <c r="AG1514" s="119"/>
      <c r="AI1514" t="str">
        <f t="shared" si="797"/>
        <v>DS0</v>
      </c>
      <c r="AJ1514" t="str">
        <f t="shared" si="811"/>
        <v>NA</v>
      </c>
      <c r="AK1514" t="str">
        <f>IF(ISERROR(MATCH(AI1514&amp;"."&amp;AJ1514,AK$91:AK1513,0)),AI1514&amp;"."&amp;AJ1514,AI1514&amp;"."&amp;AJ1514&amp;COUNTIFS(AI$91:AI1513,AI1514,AJ$91:AJ1513,AJ1514))</f>
        <v>DS0.NA2</v>
      </c>
    </row>
    <row r="1515" spans="1:37" ht="15" hidden="1">
      <c r="A1515" s="120">
        <f>ROW()</f>
        <v>1515</v>
      </c>
      <c r="B1515" s="120"/>
      <c r="E1515" s="121"/>
      <c r="F1515" s="121"/>
      <c r="G1515" s="119"/>
      <c r="X1515" s="3"/>
      <c r="AD1515" s="119"/>
      <c r="AE1515" s="119"/>
      <c r="AF1515" s="119"/>
      <c r="AG1515" s="119"/>
      <c r="AI1515" t="str">
        <f t="shared" si="797"/>
        <v>DS0</v>
      </c>
      <c r="AJ1515" t="str">
        <f t="shared" si="811"/>
        <v>NA</v>
      </c>
      <c r="AK1515" t="str">
        <f>IF(ISERROR(MATCH(AI1515&amp;"."&amp;AJ1515,AK$91:AK1514,0)),AI1515&amp;"."&amp;AJ1515,AI1515&amp;"."&amp;AJ1515&amp;COUNTIFS(AI$91:AI1514,AI1515,AJ$91:AJ1514,AJ1515))</f>
        <v>DS0.NA3</v>
      </c>
    </row>
    <row r="1516" spans="1:37" ht="15.75" hidden="1" thickBot="1">
      <c r="A1516" s="120">
        <f>ROW()</f>
        <v>1516</v>
      </c>
      <c r="B1516" s="120"/>
      <c r="C1516" s="110" t="s">
        <v>737</v>
      </c>
      <c r="E1516" s="121"/>
      <c r="F1516" s="138"/>
      <c r="G1516" s="155" t="e">
        <f t="shared" ref="G1516:L1516" si="815">G1457+G1461+G1465+G1469+G1473+G1477+G1481+G1485+G1489+G1493+G1497+G1501+G1505+G1509+G1513</f>
        <v>#VALUE!</v>
      </c>
      <c r="H1516" s="154" t="e">
        <f t="shared" si="815"/>
        <v>#VALUE!</v>
      </c>
      <c r="I1516" s="154" t="e">
        <f t="shared" si="815"/>
        <v>#VALUE!</v>
      </c>
      <c r="J1516" s="154" t="e">
        <f t="shared" si="815"/>
        <v>#VALUE!</v>
      </c>
      <c r="K1516" s="154" t="e">
        <f t="shared" si="815"/>
        <v>#VALUE!</v>
      </c>
      <c r="L1516" s="154" t="e">
        <f t="shared" si="815"/>
        <v>#VALUE!</v>
      </c>
      <c r="O1516" s="116">
        <f>O1457+O1461+O1465+O1469+O1473+O1477+O1481+O1485+O1489+O1493+O1497+O1501+O1505+O1509+O1513</f>
        <v>0</v>
      </c>
      <c r="P1516" s="116">
        <f>P1457+P1461+P1465+P1469+P1473+P1477+P1481+P1485+P1489+P1493+P1497+P1501+P1505+P1509+P1513</f>
        <v>0</v>
      </c>
      <c r="Q1516" s="116">
        <f>Q1457+Q1461+Q1465+Q1469+Q1473+Q1477+Q1481+Q1485+Q1489+Q1493+Q1497+Q1501+Q1505+Q1509+Q1513</f>
        <v>0</v>
      </c>
      <c r="R1516" s="116">
        <f>R1457+R1461+R1465+R1469+R1473+R1477+R1481+R1485+R1489+R1493+R1497+R1501+R1505+R1509+R1513</f>
        <v>0</v>
      </c>
      <c r="S1516" s="116"/>
      <c r="T1516" s="116">
        <f>T1457+T1461+T1465+T1469+T1473+T1477+T1481+T1485+T1489+T1493+T1497+T1501+T1505+T1509+T1513</f>
        <v>0</v>
      </c>
      <c r="U1516" s="116">
        <f>U1457+U1461+U1465+U1469+U1473+U1477+U1481+U1485+U1489+U1493+U1497+U1501+U1505+U1509+U1513</f>
        <v>0</v>
      </c>
      <c r="V1516" s="116">
        <f>V1457+V1461+V1465+V1469+V1473+V1477+V1481+V1485+V1489+V1493+V1497+V1501+V1505+V1509+V1513</f>
        <v>0</v>
      </c>
      <c r="W1516" s="116">
        <f>W1457+W1461+W1465+W1469+W1473+W1477+W1481+W1485+W1489+W1493+W1497+W1501+W1505+W1509+W1513</f>
        <v>0</v>
      </c>
      <c r="X1516" s="3"/>
      <c r="Y1516" s="116" t="e">
        <f>Y1457+Y1461+Y1465+Y1469+Y1473+Y1477+Y1481+Y1485+Y1489+Y1493+Y1497+Y1501+Y1505+Y1509+Y1513</f>
        <v>#VALUE!</v>
      </c>
      <c r="Z1516" s="116" t="e">
        <f>Z1457+Z1461+Z1465+Z1469+Z1473+Z1477+Z1481+Z1485+Z1489+Z1493+Z1497+Z1501+Z1505+Z1509+Z1513</f>
        <v>#VALUE!</v>
      </c>
      <c r="AA1516" s="116" t="e">
        <f>AA1457+AA1461+AA1465+AA1469+AA1473+AA1477+AA1481+AA1485+AA1489+AA1493+AA1497+AA1501+AA1505+AA1509+AA1513</f>
        <v>#VALUE!</v>
      </c>
      <c r="AB1516" s="116" t="e">
        <f>AB1457+AB1461+AB1465+AB1469+AB1473+AB1477+AB1481+AB1485+AB1489+AB1493+AB1497+AB1501+AB1505+AB1509+AB1513</f>
        <v>#VALUE!</v>
      </c>
      <c r="AC1516" s="116" t="e">
        <f>AC1457+AC1461+AC1465+AC1469+AC1473+AC1477+AC1481+AC1485+AC1489+AC1493+AC1497+AC1501+AC1505+AC1509+AC1513</f>
        <v>#VALUE!</v>
      </c>
      <c r="AD1516" s="117" t="e">
        <f>ROUND(SUM(-G1516,H1516:L1516),0)</f>
        <v>#VALUE!</v>
      </c>
      <c r="AE1516" s="117" t="e">
        <f>ROUND(H1516-O1516-P1516-Q1516-R1516,0)</f>
        <v>#VALUE!</v>
      </c>
      <c r="AF1516" s="117" t="e">
        <f>ROUND(I1516-T1516-U1516-V1516-W1516,0)</f>
        <v>#VALUE!</v>
      </c>
      <c r="AG1516" s="117" t="e">
        <f>ROUND(J1516-Y1516-Z1516-AA1516-AC1516-AB1516,0)</f>
        <v>#VALUE!</v>
      </c>
      <c r="AH1516" s="116"/>
      <c r="AI1516" t="str">
        <f t="shared" ref="AI1516:AI1579" si="816">IF(OR(C1516="",C1516=" ",C1516="  ",C1516="   "),AI1515,C1516)</f>
        <v>TOTAL DISTRIBUTION PLANT</v>
      </c>
      <c r="AJ1516" t="str">
        <f t="shared" si="811"/>
        <v>NA</v>
      </c>
      <c r="AK1516" t="str">
        <f>IF(ISERROR(MATCH(AI1516&amp;"."&amp;AJ1516,AK$91:AK1515,0)),AI1516&amp;"."&amp;AJ1516,AI1516&amp;"."&amp;AJ1516&amp;COUNTIFS(AI$91:AI1515,AI1516,AJ$91:AJ1515,AJ1516))</f>
        <v>TOTAL DISTRIBUTION PLANT.NA</v>
      </c>
    </row>
    <row r="1517" spans="1:37" ht="15" hidden="1">
      <c r="A1517" s="120">
        <f>ROW()</f>
        <v>1517</v>
      </c>
      <c r="B1517" s="120"/>
      <c r="E1517" s="121"/>
      <c r="F1517" s="138"/>
      <c r="G1517" s="119"/>
      <c r="X1517" s="3"/>
      <c r="AD1517" s="119"/>
      <c r="AE1517" s="119"/>
      <c r="AF1517" s="119"/>
      <c r="AG1517" s="119"/>
      <c r="AI1517" t="str">
        <f t="shared" si="816"/>
        <v>TOTAL DISTRIBUTION PLANT</v>
      </c>
      <c r="AJ1517" t="str">
        <f t="shared" si="811"/>
        <v>NA</v>
      </c>
      <c r="AK1517" t="str">
        <f>IF(ISERROR(MATCH(AI1517&amp;"."&amp;AJ1517,AK$91:AK1516,0)),AI1517&amp;"."&amp;AJ1517,AI1517&amp;"."&amp;AJ1517&amp;COUNTIFS(AI$91:AI1516,AI1517,AJ$91:AJ1516,AJ1517))</f>
        <v>TOTAL DISTRIBUTION PLANT.NA1</v>
      </c>
    </row>
    <row r="1518" spans="1:37" ht="15" hidden="1">
      <c r="A1518" s="120">
        <f>ROW()</f>
        <v>1518</v>
      </c>
      <c r="B1518" s="120"/>
      <c r="C1518" s="1">
        <v>389</v>
      </c>
      <c r="D1518" s="2" t="s">
        <v>500</v>
      </c>
      <c r="E1518" s="121"/>
      <c r="F1518" s="138"/>
      <c r="G1518" s="119"/>
      <c r="X1518" s="3"/>
      <c r="AD1518" s="119"/>
      <c r="AE1518" s="119"/>
      <c r="AF1518" s="119"/>
      <c r="AG1518" s="119"/>
      <c r="AI1518">
        <f t="shared" si="816"/>
        <v>389</v>
      </c>
      <c r="AJ1518" t="str">
        <f t="shared" si="811"/>
        <v>NA</v>
      </c>
      <c r="AK1518" t="str">
        <f>IF(ISERROR(MATCH(AI1518&amp;"."&amp;AJ1518,AK$91:AK1517,0)),AI1518&amp;"."&amp;AJ1518,AI1518&amp;"."&amp;AJ1518&amp;COUNTIFS(AI$91:AI1517,AI1518,AJ$91:AJ1517,AJ1518))</f>
        <v>389.NA</v>
      </c>
    </row>
    <row r="1519" spans="1:37" ht="15" hidden="1">
      <c r="A1519" s="120">
        <f>ROW()</f>
        <v>1519</v>
      </c>
      <c r="B1519" s="120"/>
      <c r="C1519" s="1"/>
      <c r="E1519" s="121" t="s">
        <v>12</v>
      </c>
      <c r="F1519" s="138" t="str">
        <f>INDEX(FuncAllocOptions,ROW(A1519)-ROW($A$92)+1,[4]Inputs!$S$11)</f>
        <v>G-SITUS</v>
      </c>
      <c r="G1519" s="117" t="e">
        <f>SUMIF(FERCJAMFactor,AK1519,JAMValue)</f>
        <v>#VALUE!</v>
      </c>
      <c r="H1519" s="116" t="e">
        <f t="shared" ref="H1519:L1523" si="817">INDEX(FuncFactorTbl,MATCH($F1519,FuncFactors,0),MATCH(H$8,Functions,0))*$G1519</f>
        <v>#VALUE!</v>
      </c>
      <c r="I1519" s="116" t="e">
        <f t="shared" si="817"/>
        <v>#VALUE!</v>
      </c>
      <c r="J1519" s="116" t="e">
        <f t="shared" si="817"/>
        <v>#VALUE!</v>
      </c>
      <c r="K1519" s="116" t="e">
        <f t="shared" si="817"/>
        <v>#VALUE!</v>
      </c>
      <c r="L1519" s="116" t="e">
        <f t="shared" si="817"/>
        <v>#VALUE!</v>
      </c>
      <c r="N1519" s="108">
        <v>0.75</v>
      </c>
      <c r="O1519" s="116" t="e">
        <f>$H1519*$N1519*$M1519</f>
        <v>#VALUE!</v>
      </c>
      <c r="P1519" s="116" t="e">
        <f>$H1519*(1-$N1519)*$M1519</f>
        <v>#VALUE!</v>
      </c>
      <c r="Q1519" s="116" t="e">
        <f>$H1519*$N1519*(1-$M1519)</f>
        <v>#VALUE!</v>
      </c>
      <c r="R1519" s="116" t="e">
        <f>$H1519*(1-$N1519)*(1-$M1519)</f>
        <v>#VALUE!</v>
      </c>
      <c r="S1519" s="108">
        <v>0.75</v>
      </c>
      <c r="T1519" s="116" t="e">
        <f>$I1519*$S1519*$M1519</f>
        <v>#VALUE!</v>
      </c>
      <c r="U1519" s="116" t="e">
        <f>$I1519*(1-$S1519)*$M1519</f>
        <v>#VALUE!</v>
      </c>
      <c r="V1519" s="116" t="e">
        <f>$I1519*$S1519*(1-$M1519)</f>
        <v>#VALUE!</v>
      </c>
      <c r="W1519" s="116" t="e">
        <f>$I1519*(1-$S1519)*(1-$M1519)</f>
        <v>#VALUE!</v>
      </c>
      <c r="X1519" s="3" t="str">
        <f>INDEX(DistFuncAllocOptions,ROW(A1519)-ROW($A$92)+1,[4]Inputs!$S$11)</f>
        <v>PLNT</v>
      </c>
      <c r="Y1519" s="116" t="e">
        <f t="shared" ref="Y1519:AC1523" si="818">INDEX(DistFuncFactorTbl,MATCH($X1519,DistFuncFactors,0),MATCH(Y$91,DistFunctions,0))*$J1519</f>
        <v>#VALUE!</v>
      </c>
      <c r="Z1519" s="116" t="e">
        <f t="shared" si="818"/>
        <v>#VALUE!</v>
      </c>
      <c r="AA1519" s="116" t="e">
        <f t="shared" si="818"/>
        <v>#VALUE!</v>
      </c>
      <c r="AB1519" s="116" t="e">
        <f t="shared" si="818"/>
        <v>#VALUE!</v>
      </c>
      <c r="AC1519" s="116" t="e">
        <f t="shared" si="818"/>
        <v>#VALUE!</v>
      </c>
      <c r="AD1519" s="117" t="e">
        <f t="shared" ref="AD1519:AD1524" si="819">ROUND(SUM(-G1519,H1519:L1519),0)</f>
        <v>#VALUE!</v>
      </c>
      <c r="AE1519" s="117" t="e">
        <f t="shared" ref="AE1519:AE1524" si="820">ROUND(H1519-O1519-P1519-Q1519-R1519,0)</f>
        <v>#VALUE!</v>
      </c>
      <c r="AF1519" s="117" t="e">
        <f t="shared" ref="AF1519:AF1524" si="821">ROUND(I1519-T1519-U1519-V1519-W1519,0)</f>
        <v>#VALUE!</v>
      </c>
      <c r="AG1519" s="117" t="e">
        <f t="shared" ref="AG1519:AG1524" si="822">ROUND(J1519-Y1519-Z1519-AA1519-AC1519-AB1519,0)</f>
        <v>#VALUE!</v>
      </c>
      <c r="AH1519" s="116"/>
      <c r="AI1519">
        <f t="shared" si="816"/>
        <v>389</v>
      </c>
      <c r="AJ1519" t="str">
        <f t="shared" si="811"/>
        <v>S</v>
      </c>
      <c r="AK1519" t="str">
        <f>IF(ISERROR(MATCH(AI1519&amp;"."&amp;AJ1519,AK$91:AK1518,0)),AI1519&amp;"."&amp;AJ1519,AI1519&amp;"."&amp;AJ1519&amp;COUNTIFS(AI$91:AI1518,AI1519,AJ$91:AJ1518,AJ1519))</f>
        <v>389.S</v>
      </c>
    </row>
    <row r="1520" spans="1:37" ht="15" hidden="1">
      <c r="A1520" s="120">
        <f>ROW()</f>
        <v>1520</v>
      </c>
      <c r="B1520" s="120"/>
      <c r="C1520" s="1"/>
      <c r="E1520" s="121" t="s">
        <v>155</v>
      </c>
      <c r="F1520" s="138" t="str">
        <f>INDEX(FuncAllocOptions,ROW(A1520)-ROW($A$92)+1,[4]Inputs!$S$11)</f>
        <v>CUST</v>
      </c>
      <c r="G1520" s="117" t="e">
        <f>SUMIF(FERCJAMFactor,AK1520,JAMValue)</f>
        <v>#VALUE!</v>
      </c>
      <c r="H1520" s="116" t="e">
        <f t="shared" si="817"/>
        <v>#VALUE!</v>
      </c>
      <c r="I1520" s="116" t="e">
        <f t="shared" si="817"/>
        <v>#VALUE!</v>
      </c>
      <c r="J1520" s="116" t="e">
        <f t="shared" si="817"/>
        <v>#VALUE!</v>
      </c>
      <c r="K1520" s="116" t="e">
        <f t="shared" si="817"/>
        <v>#VALUE!</v>
      </c>
      <c r="L1520" s="116" t="e">
        <f t="shared" si="817"/>
        <v>#VALUE!</v>
      </c>
      <c r="N1520" s="108">
        <v>0.75</v>
      </c>
      <c r="O1520" s="116" t="e">
        <f>$H1520*$N1520*$M1520</f>
        <v>#VALUE!</v>
      </c>
      <c r="P1520" s="116" t="e">
        <f>$H1520*(1-$N1520)*$M1520</f>
        <v>#VALUE!</v>
      </c>
      <c r="Q1520" s="116" t="e">
        <f>$H1520*$N1520*(1-$M1520)</f>
        <v>#VALUE!</v>
      </c>
      <c r="R1520" s="116" t="e">
        <f>$H1520*(1-$N1520)*(1-$M1520)</f>
        <v>#VALUE!</v>
      </c>
      <c r="S1520" s="108">
        <v>0.75</v>
      </c>
      <c r="T1520" s="116" t="e">
        <f>$I1520*$S1520*$M1520</f>
        <v>#VALUE!</v>
      </c>
      <c r="U1520" s="116" t="e">
        <f>$I1520*(1-$S1520)*$M1520</f>
        <v>#VALUE!</v>
      </c>
      <c r="V1520" s="116" t="e">
        <f>$I1520*$S1520*(1-$M1520)</f>
        <v>#VALUE!</v>
      </c>
      <c r="W1520" s="116" t="e">
        <f>$I1520*(1-$S1520)*(1-$M1520)</f>
        <v>#VALUE!</v>
      </c>
      <c r="X1520" s="3" t="str">
        <f>INDEX(DistFuncAllocOptions,ROW(A1520)-ROW($A$92)+1,[4]Inputs!$S$11)</f>
        <v>CUST</v>
      </c>
      <c r="Y1520" s="116" t="e">
        <f t="shared" si="818"/>
        <v>#VALUE!</v>
      </c>
      <c r="Z1520" s="116" t="e">
        <f t="shared" si="818"/>
        <v>#VALUE!</v>
      </c>
      <c r="AA1520" s="116" t="e">
        <f t="shared" si="818"/>
        <v>#VALUE!</v>
      </c>
      <c r="AB1520" s="116" t="e">
        <f t="shared" si="818"/>
        <v>#VALUE!</v>
      </c>
      <c r="AC1520" s="116" t="e">
        <f t="shared" si="818"/>
        <v>#VALUE!</v>
      </c>
      <c r="AD1520" s="117" t="e">
        <f t="shared" si="819"/>
        <v>#VALUE!</v>
      </c>
      <c r="AE1520" s="117" t="e">
        <f t="shared" si="820"/>
        <v>#VALUE!</v>
      </c>
      <c r="AF1520" s="117" t="e">
        <f t="shared" si="821"/>
        <v>#VALUE!</v>
      </c>
      <c r="AG1520" s="117" t="e">
        <f t="shared" si="822"/>
        <v>#VALUE!</v>
      </c>
      <c r="AH1520" s="116"/>
      <c r="AI1520">
        <f t="shared" si="816"/>
        <v>389</v>
      </c>
      <c r="AJ1520" t="str">
        <f t="shared" si="811"/>
        <v>CN</v>
      </c>
      <c r="AK1520" t="str">
        <f>IF(ISERROR(MATCH(AI1520&amp;"."&amp;AJ1520,AK$91:AK1519,0)),AI1520&amp;"."&amp;AJ1520,AI1520&amp;"."&amp;AJ1520&amp;COUNTIFS(AI$91:AI1519,AI1520,AJ$91:AJ1519,AJ1520))</f>
        <v>389.CN</v>
      </c>
    </row>
    <row r="1521" spans="1:37" ht="15" hidden="1">
      <c r="A1521" s="120">
        <f>ROW()</f>
        <v>1521</v>
      </c>
      <c r="B1521" s="120"/>
      <c r="C1521" s="1"/>
      <c r="E1521" s="121" t="s">
        <v>15</v>
      </c>
      <c r="F1521" s="138" t="str">
        <f>INDEX(FuncAllocOptions,ROW(A1521)-ROW($A$92)+1,[4]Inputs!$S$11)</f>
        <v>PT</v>
      </c>
      <c r="G1521" s="117" t="e">
        <f>SUMIF(FERCJAMFactor,AK1521,JAMValue)</f>
        <v>#VALUE!</v>
      </c>
      <c r="H1521" s="116" t="e">
        <f t="shared" si="817"/>
        <v>#VALUE!</v>
      </c>
      <c r="I1521" s="116" t="e">
        <f t="shared" si="817"/>
        <v>#VALUE!</v>
      </c>
      <c r="J1521" s="116" t="e">
        <f t="shared" si="817"/>
        <v>#VALUE!</v>
      </c>
      <c r="K1521" s="116" t="e">
        <f t="shared" si="817"/>
        <v>#VALUE!</v>
      </c>
      <c r="L1521" s="116" t="e">
        <f t="shared" si="817"/>
        <v>#VALUE!</v>
      </c>
      <c r="N1521" s="108">
        <v>0.75</v>
      </c>
      <c r="O1521" s="116" t="e">
        <f>$H1521*$N1521*$M1521</f>
        <v>#VALUE!</v>
      </c>
      <c r="P1521" s="116" t="e">
        <f>$H1521*(1-$N1521)*$M1521</f>
        <v>#VALUE!</v>
      </c>
      <c r="Q1521" s="116" t="e">
        <f>$H1521*$N1521*(1-$M1521)</f>
        <v>#VALUE!</v>
      </c>
      <c r="R1521" s="116" t="e">
        <f>$H1521*(1-$N1521)*(1-$M1521)</f>
        <v>#VALUE!</v>
      </c>
      <c r="S1521" s="108">
        <v>0.75</v>
      </c>
      <c r="T1521" s="116" t="e">
        <f>$I1521*$S1521*$M1521</f>
        <v>#VALUE!</v>
      </c>
      <c r="U1521" s="116" t="e">
        <f>$I1521*(1-$S1521)*$M1521</f>
        <v>#VALUE!</v>
      </c>
      <c r="V1521" s="116" t="e">
        <f>$I1521*$S1521*(1-$M1521)</f>
        <v>#VALUE!</v>
      </c>
      <c r="W1521" s="116" t="e">
        <f>$I1521*(1-$S1521)*(1-$M1521)</f>
        <v>#VALUE!</v>
      </c>
      <c r="X1521" s="3" t="str">
        <f>INDEX(DistFuncAllocOptions,ROW(A1521)-ROW($A$92)+1,[4]Inputs!$S$11)</f>
        <v>PLNT</v>
      </c>
      <c r="Y1521" s="116" t="e">
        <f t="shared" si="818"/>
        <v>#VALUE!</v>
      </c>
      <c r="Z1521" s="116" t="e">
        <f t="shared" si="818"/>
        <v>#VALUE!</v>
      </c>
      <c r="AA1521" s="116" t="e">
        <f t="shared" si="818"/>
        <v>#VALUE!</v>
      </c>
      <c r="AB1521" s="116" t="e">
        <f t="shared" si="818"/>
        <v>#VALUE!</v>
      </c>
      <c r="AC1521" s="116" t="e">
        <f t="shared" si="818"/>
        <v>#VALUE!</v>
      </c>
      <c r="AD1521" s="117" t="e">
        <f t="shared" si="819"/>
        <v>#VALUE!</v>
      </c>
      <c r="AE1521" s="117" t="e">
        <f t="shared" si="820"/>
        <v>#VALUE!</v>
      </c>
      <c r="AF1521" s="117" t="e">
        <f t="shared" si="821"/>
        <v>#VALUE!</v>
      </c>
      <c r="AG1521" s="117" t="e">
        <f t="shared" si="822"/>
        <v>#VALUE!</v>
      </c>
      <c r="AH1521" s="116"/>
      <c r="AI1521">
        <f t="shared" si="816"/>
        <v>389</v>
      </c>
      <c r="AJ1521" t="str">
        <f t="shared" si="811"/>
        <v>SG</v>
      </c>
      <c r="AK1521" t="str">
        <f>IF(ISERROR(MATCH(AI1521&amp;"."&amp;AJ1521,AK$91:AK1520,0)),AI1521&amp;"."&amp;AJ1521,AI1521&amp;"."&amp;AJ1521&amp;COUNTIFS(AI$91:AI1520,AI1521,AJ$91:AJ1520,AJ1521))</f>
        <v>389.SG</v>
      </c>
    </row>
    <row r="1522" spans="1:37" ht="15" hidden="1">
      <c r="A1522" s="120">
        <f>ROW()</f>
        <v>1522</v>
      </c>
      <c r="B1522" s="120"/>
      <c r="C1522" s="1"/>
      <c r="E1522" s="121" t="s">
        <v>15</v>
      </c>
      <c r="F1522" s="138" t="str">
        <f>INDEX(FuncAllocOptions,ROW(A1522)-ROW($A$92)+1,[4]Inputs!$S$11)</f>
        <v>G-SG</v>
      </c>
      <c r="G1522" s="117" t="e">
        <f>SUMIF(FERCJAMFactor,AK1522,JAMValue)</f>
        <v>#VALUE!</v>
      </c>
      <c r="H1522" s="116" t="e">
        <f t="shared" si="817"/>
        <v>#VALUE!</v>
      </c>
      <c r="I1522" s="116" t="e">
        <f t="shared" si="817"/>
        <v>#VALUE!</v>
      </c>
      <c r="J1522" s="116" t="e">
        <f t="shared" si="817"/>
        <v>#VALUE!</v>
      </c>
      <c r="K1522" s="116" t="e">
        <f t="shared" si="817"/>
        <v>#VALUE!</v>
      </c>
      <c r="L1522" s="116" t="e">
        <f t="shared" si="817"/>
        <v>#VALUE!</v>
      </c>
      <c r="N1522" s="108">
        <v>0.75</v>
      </c>
      <c r="O1522" s="116" t="e">
        <f>$H1522*$N1522*$M1522</f>
        <v>#VALUE!</v>
      </c>
      <c r="P1522" s="116" t="e">
        <f>$H1522*(1-$N1522)*$M1522</f>
        <v>#VALUE!</v>
      </c>
      <c r="Q1522" s="116" t="e">
        <f>$H1522*$N1522*(1-$M1522)</f>
        <v>#VALUE!</v>
      </c>
      <c r="R1522" s="116" t="e">
        <f>$H1522*(1-$N1522)*(1-$M1522)</f>
        <v>#VALUE!</v>
      </c>
      <c r="S1522" s="108">
        <v>0.75</v>
      </c>
      <c r="T1522" s="116" t="e">
        <f>$I1522*$S1522*$M1522</f>
        <v>#VALUE!</v>
      </c>
      <c r="U1522" s="116" t="e">
        <f>$I1522*(1-$S1522)*$M1522</f>
        <v>#VALUE!</v>
      </c>
      <c r="V1522" s="116" t="e">
        <f>$I1522*$S1522*(1-$M1522)</f>
        <v>#VALUE!</v>
      </c>
      <c r="W1522" s="116" t="e">
        <f>$I1522*(1-$S1522)*(1-$M1522)</f>
        <v>#VALUE!</v>
      </c>
      <c r="X1522" s="3" t="str">
        <f>INDEX(DistFuncAllocOptions,ROW(A1522)-ROW($A$92)+1,[4]Inputs!$S$11)</f>
        <v>PLNT</v>
      </c>
      <c r="Y1522" s="116" t="e">
        <f t="shared" si="818"/>
        <v>#VALUE!</v>
      </c>
      <c r="Z1522" s="116" t="e">
        <f t="shared" si="818"/>
        <v>#VALUE!</v>
      </c>
      <c r="AA1522" s="116" t="e">
        <f t="shared" si="818"/>
        <v>#VALUE!</v>
      </c>
      <c r="AB1522" s="116" t="e">
        <f t="shared" si="818"/>
        <v>#VALUE!</v>
      </c>
      <c r="AC1522" s="116" t="e">
        <f t="shared" si="818"/>
        <v>#VALUE!</v>
      </c>
      <c r="AD1522" s="117" t="e">
        <f t="shared" si="819"/>
        <v>#VALUE!</v>
      </c>
      <c r="AE1522" s="117" t="e">
        <f t="shared" si="820"/>
        <v>#VALUE!</v>
      </c>
      <c r="AF1522" s="117" t="e">
        <f t="shared" si="821"/>
        <v>#VALUE!</v>
      </c>
      <c r="AG1522" s="117" t="e">
        <f t="shared" si="822"/>
        <v>#VALUE!</v>
      </c>
      <c r="AH1522" s="116"/>
      <c r="AI1522">
        <f t="shared" si="816"/>
        <v>389</v>
      </c>
      <c r="AJ1522" t="str">
        <f t="shared" si="811"/>
        <v>SG</v>
      </c>
      <c r="AK1522" t="str">
        <f>IF(ISERROR(MATCH(AI1522&amp;"."&amp;AJ1522,AK$91:AK1521,0)),AI1522&amp;"."&amp;AJ1522,AI1522&amp;"."&amp;AJ1522&amp;COUNTIFS(AI$91:AI1521,AI1522,AJ$91:AJ1521,AJ1522))</f>
        <v>389.SG1</v>
      </c>
    </row>
    <row r="1523" spans="1:37" ht="15" hidden="1">
      <c r="A1523" s="120">
        <f>ROW()</f>
        <v>1523</v>
      </c>
      <c r="B1523" s="120"/>
      <c r="C1523" s="1"/>
      <c r="E1523" s="121" t="s">
        <v>136</v>
      </c>
      <c r="F1523" s="138" t="str">
        <f>INDEX(FuncAllocOptions,ROW(A1523)-ROW($A$92)+1,[4]Inputs!$S$11)</f>
        <v>PTD</v>
      </c>
      <c r="G1523" s="133" t="e">
        <f>SUMIF(FERCJAMFactor,AK1523,JAMValue)</f>
        <v>#VALUE!</v>
      </c>
      <c r="H1523" s="139" t="e">
        <f t="shared" si="817"/>
        <v>#VALUE!</v>
      </c>
      <c r="I1523" s="139" t="e">
        <f t="shared" si="817"/>
        <v>#VALUE!</v>
      </c>
      <c r="J1523" s="139" t="e">
        <f t="shared" si="817"/>
        <v>#VALUE!</v>
      </c>
      <c r="K1523" s="139" t="e">
        <f t="shared" si="817"/>
        <v>#VALUE!</v>
      </c>
      <c r="L1523" s="139" t="e">
        <f t="shared" si="817"/>
        <v>#VALUE!</v>
      </c>
      <c r="N1523" s="108">
        <v>0.75</v>
      </c>
      <c r="O1523" s="116" t="e">
        <f>$H1523*$N1523*$M1523</f>
        <v>#VALUE!</v>
      </c>
      <c r="P1523" s="116" t="e">
        <f>$H1523*(1-$N1523)*$M1523</f>
        <v>#VALUE!</v>
      </c>
      <c r="Q1523" s="116" t="e">
        <f>$H1523*$N1523*(1-$M1523)</f>
        <v>#VALUE!</v>
      </c>
      <c r="R1523" s="116" t="e">
        <f>$H1523*(1-$N1523)*(1-$M1523)</f>
        <v>#VALUE!</v>
      </c>
      <c r="S1523" s="108">
        <v>0.75</v>
      </c>
      <c r="T1523" s="116" t="e">
        <f>$I1523*$S1523*$M1523</f>
        <v>#VALUE!</v>
      </c>
      <c r="U1523" s="116" t="e">
        <f>$I1523*(1-$S1523)*$M1523</f>
        <v>#VALUE!</v>
      </c>
      <c r="V1523" s="116" t="e">
        <f>$I1523*$S1523*(1-$M1523)</f>
        <v>#VALUE!</v>
      </c>
      <c r="W1523" s="116" t="e">
        <f>$I1523*(1-$S1523)*(1-$M1523)</f>
        <v>#VALUE!</v>
      </c>
      <c r="X1523" s="3" t="str">
        <f>INDEX(DistFuncAllocOptions,ROW(A1523)-ROW($A$92)+1,[4]Inputs!$S$11)</f>
        <v>PLNT</v>
      </c>
      <c r="Y1523" s="116" t="e">
        <f t="shared" si="818"/>
        <v>#VALUE!</v>
      </c>
      <c r="Z1523" s="116" t="e">
        <f t="shared" si="818"/>
        <v>#VALUE!</v>
      </c>
      <c r="AA1523" s="116" t="e">
        <f t="shared" si="818"/>
        <v>#VALUE!</v>
      </c>
      <c r="AB1523" s="116" t="e">
        <f t="shared" si="818"/>
        <v>#VALUE!</v>
      </c>
      <c r="AC1523" s="116" t="e">
        <f t="shared" si="818"/>
        <v>#VALUE!</v>
      </c>
      <c r="AD1523" s="117" t="e">
        <f t="shared" si="819"/>
        <v>#VALUE!</v>
      </c>
      <c r="AE1523" s="117" t="e">
        <f t="shared" si="820"/>
        <v>#VALUE!</v>
      </c>
      <c r="AF1523" s="117" t="e">
        <f t="shared" si="821"/>
        <v>#VALUE!</v>
      </c>
      <c r="AG1523" s="117" t="e">
        <f t="shared" si="822"/>
        <v>#VALUE!</v>
      </c>
      <c r="AH1523" s="116"/>
      <c r="AI1523">
        <f t="shared" si="816"/>
        <v>389</v>
      </c>
      <c r="AJ1523" t="str">
        <f t="shared" si="811"/>
        <v>SO</v>
      </c>
      <c r="AK1523" t="str">
        <f>IF(ISERROR(MATCH(AI1523&amp;"."&amp;AJ1523,AK$91:AK1522,0)),AI1523&amp;"."&amp;AJ1523,AI1523&amp;"."&amp;AJ1523&amp;COUNTIFS(AI$91:AI1522,AI1523,AJ$91:AJ1522,AJ1523))</f>
        <v>389.SO</v>
      </c>
    </row>
    <row r="1524" spans="1:37" ht="15" hidden="1">
      <c r="A1524" s="120">
        <f>ROW()</f>
        <v>1524</v>
      </c>
      <c r="B1524" s="120"/>
      <c r="C1524" s="1"/>
      <c r="E1524" s="121"/>
      <c r="F1524" s="138"/>
      <c r="G1524" s="117" t="e">
        <f t="shared" ref="G1524:L1524" si="823">SUM(G1519:G1523)</f>
        <v>#VALUE!</v>
      </c>
      <c r="H1524" s="116" t="e">
        <f t="shared" si="823"/>
        <v>#VALUE!</v>
      </c>
      <c r="I1524" s="116" t="e">
        <f t="shared" si="823"/>
        <v>#VALUE!</v>
      </c>
      <c r="J1524" s="116" t="e">
        <f t="shared" si="823"/>
        <v>#VALUE!</v>
      </c>
      <c r="K1524" s="116" t="e">
        <f t="shared" si="823"/>
        <v>#VALUE!</v>
      </c>
      <c r="L1524" s="116" t="e">
        <f t="shared" si="823"/>
        <v>#VALUE!</v>
      </c>
      <c r="O1524" s="116" t="e">
        <f>SUM(O1519:O1523)</f>
        <v>#VALUE!</v>
      </c>
      <c r="P1524" s="116" t="e">
        <f>SUM(P1519:P1523)</f>
        <v>#VALUE!</v>
      </c>
      <c r="Q1524" s="116" t="e">
        <f>SUM(Q1519:Q1523)</f>
        <v>#VALUE!</v>
      </c>
      <c r="R1524" s="116" t="e">
        <f>SUM(R1519:R1523)</f>
        <v>#VALUE!</v>
      </c>
      <c r="T1524" s="116" t="e">
        <f>SUM(T1519:T1523)</f>
        <v>#VALUE!</v>
      </c>
      <c r="U1524" s="116" t="e">
        <f>SUM(U1519:U1523)</f>
        <v>#VALUE!</v>
      </c>
      <c r="V1524" s="116" t="e">
        <f>SUM(V1519:V1523)</f>
        <v>#VALUE!</v>
      </c>
      <c r="W1524" s="116" t="e">
        <f>SUM(W1519:W1523)</f>
        <v>#VALUE!</v>
      </c>
      <c r="X1524" s="3"/>
      <c r="Y1524" s="116" t="e">
        <f>SUM(Y1519:Y1523)</f>
        <v>#VALUE!</v>
      </c>
      <c r="Z1524" s="116" t="e">
        <f>SUM(Z1519:Z1523)</f>
        <v>#VALUE!</v>
      </c>
      <c r="AA1524" s="116" t="e">
        <f>SUM(AA1519:AA1523)</f>
        <v>#VALUE!</v>
      </c>
      <c r="AB1524" s="116" t="e">
        <f>SUM(AB1519:AB1523)</f>
        <v>#VALUE!</v>
      </c>
      <c r="AC1524" s="116" t="e">
        <f>SUM(AC1519:AC1523)</f>
        <v>#VALUE!</v>
      </c>
      <c r="AD1524" s="117" t="e">
        <f t="shared" si="819"/>
        <v>#VALUE!</v>
      </c>
      <c r="AE1524" s="117" t="e">
        <f t="shared" si="820"/>
        <v>#VALUE!</v>
      </c>
      <c r="AF1524" s="117" t="e">
        <f t="shared" si="821"/>
        <v>#VALUE!</v>
      </c>
      <c r="AG1524" s="117" t="e">
        <f t="shared" si="822"/>
        <v>#VALUE!</v>
      </c>
      <c r="AH1524" s="116"/>
      <c r="AI1524">
        <f t="shared" si="816"/>
        <v>389</v>
      </c>
      <c r="AJ1524" t="str">
        <f t="shared" si="811"/>
        <v>NA</v>
      </c>
      <c r="AK1524" t="str">
        <f>IF(ISERROR(MATCH(AI1524&amp;"."&amp;AJ1524,AK$91:AK1523,0)),AI1524&amp;"."&amp;AJ1524,AI1524&amp;"."&amp;AJ1524&amp;COUNTIFS(AI$91:AI1523,AI1524,AJ$91:AJ1523,AJ1524))</f>
        <v>389.NA1</v>
      </c>
    </row>
    <row r="1525" spans="1:37" ht="15" hidden="1">
      <c r="A1525" s="120">
        <f>ROW()</f>
        <v>1525</v>
      </c>
      <c r="B1525" s="120"/>
      <c r="C1525" s="1"/>
      <c r="E1525" s="121"/>
      <c r="F1525" s="138"/>
      <c r="G1525" s="119"/>
      <c r="X1525" s="3"/>
      <c r="AD1525" s="119"/>
      <c r="AE1525" s="119"/>
      <c r="AF1525" s="119"/>
      <c r="AG1525" s="119"/>
      <c r="AI1525">
        <f t="shared" si="816"/>
        <v>389</v>
      </c>
      <c r="AJ1525" t="str">
        <f t="shared" si="811"/>
        <v>NA</v>
      </c>
      <c r="AK1525" t="str">
        <f>IF(ISERROR(MATCH(AI1525&amp;"."&amp;AJ1525,AK$91:AK1524,0)),AI1525&amp;"."&amp;AJ1525,AI1525&amp;"."&amp;AJ1525&amp;COUNTIFS(AI$91:AI1524,AI1525,AJ$91:AJ1524,AJ1525))</f>
        <v>389.NA2</v>
      </c>
    </row>
    <row r="1526" spans="1:37" ht="15" hidden="1">
      <c r="A1526" s="120">
        <f>ROW()</f>
        <v>1526</v>
      </c>
      <c r="B1526" s="120"/>
      <c r="C1526" s="1">
        <v>390</v>
      </c>
      <c r="D1526" s="2" t="s">
        <v>502</v>
      </c>
      <c r="E1526" s="121"/>
      <c r="F1526" s="138"/>
      <c r="G1526" s="119"/>
      <c r="X1526" s="3"/>
      <c r="AD1526" s="119"/>
      <c r="AE1526" s="119"/>
      <c r="AF1526" s="119"/>
      <c r="AG1526" s="119"/>
      <c r="AI1526">
        <f t="shared" si="816"/>
        <v>390</v>
      </c>
      <c r="AJ1526" t="str">
        <f t="shared" si="811"/>
        <v>NA</v>
      </c>
      <c r="AK1526" t="str">
        <f>IF(ISERROR(MATCH(AI1526&amp;"."&amp;AJ1526,AK$91:AK1525,0)),AI1526&amp;"."&amp;AJ1526,AI1526&amp;"."&amp;AJ1526&amp;COUNTIFS(AI$91:AI1525,AI1526,AJ$91:AJ1525,AJ1526))</f>
        <v>390.NA</v>
      </c>
    </row>
    <row r="1527" spans="1:37" ht="15" hidden="1">
      <c r="A1527" s="120">
        <f>ROW()</f>
        <v>1527</v>
      </c>
      <c r="B1527" s="120"/>
      <c r="C1527" s="1"/>
      <c r="E1527" s="121" t="s">
        <v>12</v>
      </c>
      <c r="F1527" s="138" t="str">
        <f>INDEX(FuncAllocOptions,ROW(A1527)-ROW($A$92)+1,[4]Inputs!$S$11)</f>
        <v>G-SITUS</v>
      </c>
      <c r="G1527" s="117" t="e">
        <f t="shared" ref="G1527:G1533" si="824">SUMIF(FERCJAMFactor,AK1527,JAMValue)</f>
        <v>#VALUE!</v>
      </c>
      <c r="H1527" s="116" t="e">
        <f t="shared" ref="H1527:L1533" si="825">INDEX(FuncFactorTbl,MATCH($F1527,FuncFactors,0),MATCH(H$8,Functions,0))*$G1527</f>
        <v>#VALUE!</v>
      </c>
      <c r="I1527" s="116" t="e">
        <f t="shared" si="825"/>
        <v>#VALUE!</v>
      </c>
      <c r="J1527" s="116" t="e">
        <f t="shared" si="825"/>
        <v>#VALUE!</v>
      </c>
      <c r="K1527" s="116" t="e">
        <f t="shared" si="825"/>
        <v>#VALUE!</v>
      </c>
      <c r="L1527" s="116" t="e">
        <f t="shared" si="825"/>
        <v>#VALUE!</v>
      </c>
      <c r="N1527" s="108">
        <v>0.75</v>
      </c>
      <c r="O1527" s="116" t="e">
        <f t="shared" ref="O1527:O1533" si="826">$H1527*$N1527*$M1527</f>
        <v>#VALUE!</v>
      </c>
      <c r="P1527" s="116" t="e">
        <f t="shared" ref="P1527:P1533" si="827">$H1527*(1-$N1527)*$M1527</f>
        <v>#VALUE!</v>
      </c>
      <c r="Q1527" s="116" t="e">
        <f t="shared" ref="Q1527:Q1533" si="828">$H1527*$N1527*(1-$M1527)</f>
        <v>#VALUE!</v>
      </c>
      <c r="R1527" s="116" t="e">
        <f t="shared" ref="R1527:R1533" si="829">$H1527*(1-$N1527)*(1-$M1527)</f>
        <v>#VALUE!</v>
      </c>
      <c r="S1527" s="108">
        <v>0.75</v>
      </c>
      <c r="T1527" s="116" t="e">
        <f t="shared" ref="T1527:T1533" si="830">$I1527*$S1527*$M1527</f>
        <v>#VALUE!</v>
      </c>
      <c r="U1527" s="116" t="e">
        <f t="shared" ref="U1527:U1533" si="831">$I1527*(1-$S1527)*$M1527</f>
        <v>#VALUE!</v>
      </c>
      <c r="V1527" s="116" t="e">
        <f t="shared" ref="V1527:V1533" si="832">$I1527*$S1527*(1-$M1527)</f>
        <v>#VALUE!</v>
      </c>
      <c r="W1527" s="116" t="e">
        <f t="shared" ref="W1527:W1533" si="833">$I1527*(1-$S1527)*(1-$M1527)</f>
        <v>#VALUE!</v>
      </c>
      <c r="X1527" s="3" t="str">
        <f>INDEX(DistFuncAllocOptions,ROW(A1527)-ROW($A$92)+1,[4]Inputs!$S$11)</f>
        <v>PLNT</v>
      </c>
      <c r="Y1527" s="116" t="e">
        <f t="shared" ref="Y1527:AC1533" si="834">INDEX(DistFuncFactorTbl,MATCH($X1527,DistFuncFactors,0),MATCH(Y$91,DistFunctions,0))*$J1527</f>
        <v>#VALUE!</v>
      </c>
      <c r="Z1527" s="116" t="e">
        <f t="shared" si="834"/>
        <v>#VALUE!</v>
      </c>
      <c r="AA1527" s="116" t="e">
        <f t="shared" si="834"/>
        <v>#VALUE!</v>
      </c>
      <c r="AB1527" s="116" t="e">
        <f t="shared" si="834"/>
        <v>#VALUE!</v>
      </c>
      <c r="AC1527" s="116" t="e">
        <f t="shared" si="834"/>
        <v>#VALUE!</v>
      </c>
      <c r="AD1527" s="117" t="e">
        <f t="shared" ref="AD1527:AD1534" si="835">ROUND(SUM(-G1527,H1527:L1527),0)</f>
        <v>#VALUE!</v>
      </c>
      <c r="AE1527" s="117" t="e">
        <f t="shared" ref="AE1527:AE1534" si="836">ROUND(H1527-O1527-P1527-Q1527-R1527,0)</f>
        <v>#VALUE!</v>
      </c>
      <c r="AF1527" s="117" t="e">
        <f t="shared" ref="AF1527:AF1534" si="837">ROUND(I1527-T1527-U1527-V1527-W1527,0)</f>
        <v>#VALUE!</v>
      </c>
      <c r="AG1527" s="117" t="e">
        <f t="shared" ref="AG1527:AG1534" si="838">ROUND(J1527-Y1527-Z1527-AA1527-AC1527-AB1527,0)</f>
        <v>#VALUE!</v>
      </c>
      <c r="AH1527" s="116"/>
      <c r="AI1527">
        <f t="shared" si="816"/>
        <v>390</v>
      </c>
      <c r="AJ1527" t="str">
        <f t="shared" si="811"/>
        <v>S</v>
      </c>
      <c r="AK1527" t="str">
        <f>IF(ISERROR(MATCH(AI1527&amp;"."&amp;AJ1527,AK$91:AK1526,0)),AI1527&amp;"."&amp;AJ1527,AI1527&amp;"."&amp;AJ1527&amp;COUNTIFS(AI$91:AI1526,AI1527,AJ$91:AJ1526,AJ1527))</f>
        <v>390.S</v>
      </c>
    </row>
    <row r="1528" spans="1:37" ht="15" hidden="1">
      <c r="A1528" s="120">
        <f>ROW()</f>
        <v>1528</v>
      </c>
      <c r="B1528" s="120"/>
      <c r="C1528" s="1"/>
      <c r="E1528" s="121" t="s">
        <v>15</v>
      </c>
      <c r="F1528" s="138" t="str">
        <f>INDEX(FuncAllocOptions,ROW(A1528)-ROW($A$92)+1,[4]Inputs!$S$11)</f>
        <v>G-DGU</v>
      </c>
      <c r="G1528" s="117" t="e">
        <f t="shared" si="824"/>
        <v>#VALUE!</v>
      </c>
      <c r="H1528" s="116" t="e">
        <f t="shared" si="825"/>
        <v>#VALUE!</v>
      </c>
      <c r="I1528" s="116" t="e">
        <f t="shared" si="825"/>
        <v>#VALUE!</v>
      </c>
      <c r="J1528" s="116" t="e">
        <f t="shared" si="825"/>
        <v>#VALUE!</v>
      </c>
      <c r="K1528" s="116" t="e">
        <f t="shared" si="825"/>
        <v>#VALUE!</v>
      </c>
      <c r="L1528" s="116" t="e">
        <f t="shared" si="825"/>
        <v>#VALUE!</v>
      </c>
      <c r="N1528" s="108">
        <v>0.75</v>
      </c>
      <c r="O1528" s="116" t="e">
        <f t="shared" si="826"/>
        <v>#VALUE!</v>
      </c>
      <c r="P1528" s="116" t="e">
        <f t="shared" si="827"/>
        <v>#VALUE!</v>
      </c>
      <c r="Q1528" s="116" t="e">
        <f t="shared" si="828"/>
        <v>#VALUE!</v>
      </c>
      <c r="R1528" s="116" t="e">
        <f t="shared" si="829"/>
        <v>#VALUE!</v>
      </c>
      <c r="S1528" s="108">
        <v>0.75</v>
      </c>
      <c r="T1528" s="116" t="e">
        <f t="shared" si="830"/>
        <v>#VALUE!</v>
      </c>
      <c r="U1528" s="116" t="e">
        <f t="shared" si="831"/>
        <v>#VALUE!</v>
      </c>
      <c r="V1528" s="116" t="e">
        <f t="shared" si="832"/>
        <v>#VALUE!</v>
      </c>
      <c r="W1528" s="116" t="e">
        <f t="shared" si="833"/>
        <v>#VALUE!</v>
      </c>
      <c r="X1528" s="3" t="str">
        <f>INDEX(DistFuncAllocOptions,ROW(A1528)-ROW($A$92)+1,[4]Inputs!$S$11)</f>
        <v>PLNT</v>
      </c>
      <c r="Y1528" s="116" t="e">
        <f t="shared" si="834"/>
        <v>#VALUE!</v>
      </c>
      <c r="Z1528" s="116" t="e">
        <f t="shared" si="834"/>
        <v>#VALUE!</v>
      </c>
      <c r="AA1528" s="116" t="e">
        <f t="shared" si="834"/>
        <v>#VALUE!</v>
      </c>
      <c r="AB1528" s="116" t="e">
        <f t="shared" si="834"/>
        <v>#VALUE!</v>
      </c>
      <c r="AC1528" s="116" t="e">
        <f t="shared" si="834"/>
        <v>#VALUE!</v>
      </c>
      <c r="AD1528" s="117" t="e">
        <f t="shared" si="835"/>
        <v>#VALUE!</v>
      </c>
      <c r="AE1528" s="117" t="e">
        <f t="shared" si="836"/>
        <v>#VALUE!</v>
      </c>
      <c r="AF1528" s="117" t="e">
        <f t="shared" si="837"/>
        <v>#VALUE!</v>
      </c>
      <c r="AG1528" s="117" t="e">
        <f t="shared" si="838"/>
        <v>#VALUE!</v>
      </c>
      <c r="AH1528" s="116"/>
      <c r="AI1528">
        <f t="shared" si="816"/>
        <v>390</v>
      </c>
      <c r="AJ1528" t="str">
        <f t="shared" si="811"/>
        <v>SG</v>
      </c>
      <c r="AK1528" t="str">
        <f>IF(ISERROR(MATCH(AI1528&amp;"."&amp;AJ1528,AK$91:AK1527,0)),AI1528&amp;"."&amp;AJ1528,AI1528&amp;"."&amp;AJ1528&amp;COUNTIFS(AI$91:AI1527,AI1528,AJ$91:AJ1527,AJ1528))</f>
        <v>390.SG</v>
      </c>
    </row>
    <row r="1529" spans="1:37" ht="15" hidden="1">
      <c r="A1529" s="120">
        <f>ROW()</f>
        <v>1529</v>
      </c>
      <c r="B1529" s="120"/>
      <c r="C1529" s="1"/>
      <c r="E1529" s="121" t="s">
        <v>15</v>
      </c>
      <c r="F1529" s="138" t="str">
        <f>INDEX(FuncAllocOptions,ROW(A1529)-ROW($A$92)+1,[4]Inputs!$S$11)</f>
        <v>G-DGU</v>
      </c>
      <c r="G1529" s="117" t="e">
        <f t="shared" si="824"/>
        <v>#VALUE!</v>
      </c>
      <c r="H1529" s="116" t="e">
        <f t="shared" si="825"/>
        <v>#VALUE!</v>
      </c>
      <c r="I1529" s="116" t="e">
        <f t="shared" si="825"/>
        <v>#VALUE!</v>
      </c>
      <c r="J1529" s="116" t="e">
        <f t="shared" si="825"/>
        <v>#VALUE!</v>
      </c>
      <c r="K1529" s="116" t="e">
        <f t="shared" si="825"/>
        <v>#VALUE!</v>
      </c>
      <c r="L1529" s="116" t="e">
        <f t="shared" si="825"/>
        <v>#VALUE!</v>
      </c>
      <c r="N1529" s="108">
        <v>0.75</v>
      </c>
      <c r="O1529" s="116" t="e">
        <f t="shared" si="826"/>
        <v>#VALUE!</v>
      </c>
      <c r="P1529" s="116" t="e">
        <f t="shared" si="827"/>
        <v>#VALUE!</v>
      </c>
      <c r="Q1529" s="116" t="e">
        <f t="shared" si="828"/>
        <v>#VALUE!</v>
      </c>
      <c r="R1529" s="116" t="e">
        <f t="shared" si="829"/>
        <v>#VALUE!</v>
      </c>
      <c r="S1529" s="108">
        <v>0.75</v>
      </c>
      <c r="T1529" s="116" t="e">
        <f t="shared" si="830"/>
        <v>#VALUE!</v>
      </c>
      <c r="U1529" s="116" t="e">
        <f t="shared" si="831"/>
        <v>#VALUE!</v>
      </c>
      <c r="V1529" s="116" t="e">
        <f t="shared" si="832"/>
        <v>#VALUE!</v>
      </c>
      <c r="W1529" s="116" t="e">
        <f t="shared" si="833"/>
        <v>#VALUE!</v>
      </c>
      <c r="X1529" s="3" t="str">
        <f>INDEX(DistFuncAllocOptions,ROW(A1529)-ROW($A$92)+1,[4]Inputs!$S$11)</f>
        <v>PLNT</v>
      </c>
      <c r="Y1529" s="116" t="e">
        <f t="shared" si="834"/>
        <v>#VALUE!</v>
      </c>
      <c r="Z1529" s="116" t="e">
        <f t="shared" si="834"/>
        <v>#VALUE!</v>
      </c>
      <c r="AA1529" s="116" t="e">
        <f t="shared" si="834"/>
        <v>#VALUE!</v>
      </c>
      <c r="AB1529" s="116" t="e">
        <f t="shared" si="834"/>
        <v>#VALUE!</v>
      </c>
      <c r="AC1529" s="116" t="e">
        <f t="shared" si="834"/>
        <v>#VALUE!</v>
      </c>
      <c r="AD1529" s="117" t="e">
        <f t="shared" si="835"/>
        <v>#VALUE!</v>
      </c>
      <c r="AE1529" s="117" t="e">
        <f t="shared" si="836"/>
        <v>#VALUE!</v>
      </c>
      <c r="AF1529" s="117" t="e">
        <f t="shared" si="837"/>
        <v>#VALUE!</v>
      </c>
      <c r="AG1529" s="117" t="e">
        <f t="shared" si="838"/>
        <v>#VALUE!</v>
      </c>
      <c r="AH1529" s="116"/>
      <c r="AI1529">
        <f t="shared" si="816"/>
        <v>390</v>
      </c>
      <c r="AJ1529" t="str">
        <f t="shared" si="811"/>
        <v>SG</v>
      </c>
      <c r="AK1529" t="str">
        <f>IF(ISERROR(MATCH(AI1529&amp;"."&amp;AJ1529,AK$91:AK1528,0)),AI1529&amp;"."&amp;AJ1529,AI1529&amp;"."&amp;AJ1529&amp;COUNTIFS(AI$91:AI1528,AI1529,AJ$91:AJ1528,AJ1529))</f>
        <v>390.SG1</v>
      </c>
    </row>
    <row r="1530" spans="1:37" ht="15" hidden="1">
      <c r="A1530" s="120">
        <f>ROW()</f>
        <v>1530</v>
      </c>
      <c r="B1530" s="120"/>
      <c r="C1530" s="1"/>
      <c r="E1530" s="121" t="s">
        <v>16</v>
      </c>
      <c r="F1530" s="138" t="str">
        <f>INDEX(FuncAllocOptions,ROW(A1530)-ROW($A$92)+1,[4]Inputs!$S$11)</f>
        <v>P</v>
      </c>
      <c r="G1530" s="117" t="e">
        <f t="shared" si="824"/>
        <v>#VALUE!</v>
      </c>
      <c r="H1530" s="116" t="e">
        <f t="shared" si="825"/>
        <v>#VALUE!</v>
      </c>
      <c r="I1530" s="116" t="e">
        <f t="shared" si="825"/>
        <v>#VALUE!</v>
      </c>
      <c r="J1530" s="116" t="e">
        <f t="shared" si="825"/>
        <v>#VALUE!</v>
      </c>
      <c r="K1530" s="116" t="e">
        <f t="shared" si="825"/>
        <v>#VALUE!</v>
      </c>
      <c r="L1530" s="116" t="e">
        <f t="shared" si="825"/>
        <v>#VALUE!</v>
      </c>
      <c r="N1530" s="108">
        <v>0.75</v>
      </c>
      <c r="O1530" s="116" t="e">
        <f t="shared" si="826"/>
        <v>#VALUE!</v>
      </c>
      <c r="P1530" s="116" t="e">
        <f t="shared" si="827"/>
        <v>#VALUE!</v>
      </c>
      <c r="Q1530" s="116" t="e">
        <f t="shared" si="828"/>
        <v>#VALUE!</v>
      </c>
      <c r="R1530" s="116" t="e">
        <f t="shared" si="829"/>
        <v>#VALUE!</v>
      </c>
      <c r="S1530" s="108">
        <v>0.75</v>
      </c>
      <c r="T1530" s="116" t="e">
        <f t="shared" si="830"/>
        <v>#VALUE!</v>
      </c>
      <c r="U1530" s="116" t="e">
        <f t="shared" si="831"/>
        <v>#VALUE!</v>
      </c>
      <c r="V1530" s="116" t="e">
        <f t="shared" si="832"/>
        <v>#VALUE!</v>
      </c>
      <c r="W1530" s="116" t="e">
        <f t="shared" si="833"/>
        <v>#VALUE!</v>
      </c>
      <c r="X1530" s="3" t="str">
        <f>INDEX(DistFuncAllocOptions,ROW(A1530)-ROW($A$92)+1,[4]Inputs!$S$11)</f>
        <v>PLNT</v>
      </c>
      <c r="Y1530" s="116" t="e">
        <f t="shared" si="834"/>
        <v>#VALUE!</v>
      </c>
      <c r="Z1530" s="116" t="e">
        <f t="shared" si="834"/>
        <v>#VALUE!</v>
      </c>
      <c r="AA1530" s="116" t="e">
        <f t="shared" si="834"/>
        <v>#VALUE!</v>
      </c>
      <c r="AB1530" s="116" t="e">
        <f t="shared" si="834"/>
        <v>#VALUE!</v>
      </c>
      <c r="AC1530" s="116" t="e">
        <f t="shared" si="834"/>
        <v>#VALUE!</v>
      </c>
      <c r="AD1530" s="117" t="e">
        <f t="shared" si="835"/>
        <v>#VALUE!</v>
      </c>
      <c r="AE1530" s="117" t="e">
        <f t="shared" si="836"/>
        <v>#VALUE!</v>
      </c>
      <c r="AF1530" s="117" t="e">
        <f t="shared" si="837"/>
        <v>#VALUE!</v>
      </c>
      <c r="AG1530" s="117" t="e">
        <f t="shared" si="838"/>
        <v>#VALUE!</v>
      </c>
      <c r="AH1530" s="116"/>
      <c r="AI1530">
        <f t="shared" si="816"/>
        <v>390</v>
      </c>
      <c r="AJ1530" t="str">
        <f t="shared" si="811"/>
        <v>SE</v>
      </c>
      <c r="AK1530" t="str">
        <f>IF(ISERROR(MATCH(AI1530&amp;"."&amp;AJ1530,AK$91:AK1529,0)),AI1530&amp;"."&amp;AJ1530,AI1530&amp;"."&amp;AJ1530&amp;COUNTIFS(AI$91:AI1529,AI1530,AJ$91:AJ1529,AJ1530))</f>
        <v>390.SE</v>
      </c>
    </row>
    <row r="1531" spans="1:37" ht="15" hidden="1">
      <c r="A1531" s="120">
        <f>ROW()</f>
        <v>1531</v>
      </c>
      <c r="B1531" s="120"/>
      <c r="C1531" s="1"/>
      <c r="E1531" s="121" t="s">
        <v>155</v>
      </c>
      <c r="F1531" s="138" t="str">
        <f>INDEX(FuncAllocOptions,ROW(A1531)-ROW($A$92)+1,[4]Inputs!$S$11)</f>
        <v>CUST</v>
      </c>
      <c r="G1531" s="117" t="e">
        <f t="shared" si="824"/>
        <v>#VALUE!</v>
      </c>
      <c r="H1531" s="116" t="e">
        <f t="shared" si="825"/>
        <v>#VALUE!</v>
      </c>
      <c r="I1531" s="116" t="e">
        <f t="shared" si="825"/>
        <v>#VALUE!</v>
      </c>
      <c r="J1531" s="116" t="e">
        <f t="shared" si="825"/>
        <v>#VALUE!</v>
      </c>
      <c r="K1531" s="116" t="e">
        <f t="shared" si="825"/>
        <v>#VALUE!</v>
      </c>
      <c r="L1531" s="116" t="e">
        <f t="shared" si="825"/>
        <v>#VALUE!</v>
      </c>
      <c r="N1531" s="108">
        <v>0.75</v>
      </c>
      <c r="O1531" s="116" t="e">
        <f t="shared" si="826"/>
        <v>#VALUE!</v>
      </c>
      <c r="P1531" s="116" t="e">
        <f t="shared" si="827"/>
        <v>#VALUE!</v>
      </c>
      <c r="Q1531" s="116" t="e">
        <f t="shared" si="828"/>
        <v>#VALUE!</v>
      </c>
      <c r="R1531" s="116" t="e">
        <f t="shared" si="829"/>
        <v>#VALUE!</v>
      </c>
      <c r="S1531" s="108">
        <v>0.75</v>
      </c>
      <c r="T1531" s="116" t="e">
        <f t="shared" si="830"/>
        <v>#VALUE!</v>
      </c>
      <c r="U1531" s="116" t="e">
        <f t="shared" si="831"/>
        <v>#VALUE!</v>
      </c>
      <c r="V1531" s="116" t="e">
        <f t="shared" si="832"/>
        <v>#VALUE!</v>
      </c>
      <c r="W1531" s="116" t="e">
        <f t="shared" si="833"/>
        <v>#VALUE!</v>
      </c>
      <c r="X1531" s="3" t="str">
        <f>INDEX(DistFuncAllocOptions,ROW(A1531)-ROW($A$92)+1,[4]Inputs!$S$11)</f>
        <v>CUST</v>
      </c>
      <c r="Y1531" s="116" t="e">
        <f t="shared" si="834"/>
        <v>#VALUE!</v>
      </c>
      <c r="Z1531" s="116" t="e">
        <f t="shared" si="834"/>
        <v>#VALUE!</v>
      </c>
      <c r="AA1531" s="116" t="e">
        <f t="shared" si="834"/>
        <v>#VALUE!</v>
      </c>
      <c r="AB1531" s="116" t="e">
        <f t="shared" si="834"/>
        <v>#VALUE!</v>
      </c>
      <c r="AC1531" s="116" t="e">
        <f t="shared" si="834"/>
        <v>#VALUE!</v>
      </c>
      <c r="AD1531" s="117" t="e">
        <f t="shared" si="835"/>
        <v>#VALUE!</v>
      </c>
      <c r="AE1531" s="117" t="e">
        <f t="shared" si="836"/>
        <v>#VALUE!</v>
      </c>
      <c r="AF1531" s="117" t="e">
        <f t="shared" si="837"/>
        <v>#VALUE!</v>
      </c>
      <c r="AG1531" s="117" t="e">
        <f t="shared" si="838"/>
        <v>#VALUE!</v>
      </c>
      <c r="AH1531" s="116"/>
      <c r="AI1531">
        <f t="shared" si="816"/>
        <v>390</v>
      </c>
      <c r="AJ1531" t="str">
        <f t="shared" si="811"/>
        <v>CN</v>
      </c>
      <c r="AK1531" t="str">
        <f>IF(ISERROR(MATCH(AI1531&amp;"."&amp;AJ1531,AK$91:AK1530,0)),AI1531&amp;"."&amp;AJ1531,AI1531&amp;"."&amp;AJ1531&amp;COUNTIFS(AI$91:AI1530,AI1531,AJ$91:AJ1530,AJ1531))</f>
        <v>390.CN</v>
      </c>
    </row>
    <row r="1532" spans="1:37" ht="15" hidden="1">
      <c r="A1532" s="120">
        <f>ROW()</f>
        <v>1532</v>
      </c>
      <c r="B1532" s="120"/>
      <c r="C1532" s="1"/>
      <c r="E1532" s="121" t="s">
        <v>15</v>
      </c>
      <c r="F1532" s="138" t="str">
        <f>INDEX(FuncAllocOptions,ROW(A1532)-ROW($A$92)+1,[4]Inputs!$S$11)</f>
        <v>G-SG</v>
      </c>
      <c r="G1532" s="117" t="e">
        <f t="shared" si="824"/>
        <v>#VALUE!</v>
      </c>
      <c r="H1532" s="116" t="e">
        <f t="shared" si="825"/>
        <v>#VALUE!</v>
      </c>
      <c r="I1532" s="116" t="e">
        <f t="shared" si="825"/>
        <v>#VALUE!</v>
      </c>
      <c r="J1532" s="116" t="e">
        <f t="shared" si="825"/>
        <v>#VALUE!</v>
      </c>
      <c r="K1532" s="116" t="e">
        <f t="shared" si="825"/>
        <v>#VALUE!</v>
      </c>
      <c r="L1532" s="116" t="e">
        <f t="shared" si="825"/>
        <v>#VALUE!</v>
      </c>
      <c r="N1532" s="108">
        <v>0.75</v>
      </c>
      <c r="O1532" s="116" t="e">
        <f t="shared" si="826"/>
        <v>#VALUE!</v>
      </c>
      <c r="P1532" s="116" t="e">
        <f t="shared" si="827"/>
        <v>#VALUE!</v>
      </c>
      <c r="Q1532" s="116" t="e">
        <f t="shared" si="828"/>
        <v>#VALUE!</v>
      </c>
      <c r="R1532" s="116" t="e">
        <f t="shared" si="829"/>
        <v>#VALUE!</v>
      </c>
      <c r="S1532" s="108">
        <v>0.75</v>
      </c>
      <c r="T1532" s="116" t="e">
        <f t="shared" si="830"/>
        <v>#VALUE!</v>
      </c>
      <c r="U1532" s="116" t="e">
        <f t="shared" si="831"/>
        <v>#VALUE!</v>
      </c>
      <c r="V1532" s="116" t="e">
        <f t="shared" si="832"/>
        <v>#VALUE!</v>
      </c>
      <c r="W1532" s="116" t="e">
        <f t="shared" si="833"/>
        <v>#VALUE!</v>
      </c>
      <c r="X1532" s="3" t="str">
        <f>INDEX(DistFuncAllocOptions,ROW(A1532)-ROW($A$92)+1,[4]Inputs!$S$11)</f>
        <v>PLNT</v>
      </c>
      <c r="Y1532" s="116" t="e">
        <f t="shared" si="834"/>
        <v>#VALUE!</v>
      </c>
      <c r="Z1532" s="116" t="e">
        <f t="shared" si="834"/>
        <v>#VALUE!</v>
      </c>
      <c r="AA1532" s="116" t="e">
        <f t="shared" si="834"/>
        <v>#VALUE!</v>
      </c>
      <c r="AB1532" s="116" t="e">
        <f t="shared" si="834"/>
        <v>#VALUE!</v>
      </c>
      <c r="AC1532" s="116" t="e">
        <f t="shared" si="834"/>
        <v>#VALUE!</v>
      </c>
      <c r="AD1532" s="117" t="e">
        <f t="shared" si="835"/>
        <v>#VALUE!</v>
      </c>
      <c r="AE1532" s="117" t="e">
        <f t="shared" si="836"/>
        <v>#VALUE!</v>
      </c>
      <c r="AF1532" s="117" t="e">
        <f t="shared" si="837"/>
        <v>#VALUE!</v>
      </c>
      <c r="AG1532" s="117" t="e">
        <f t="shared" si="838"/>
        <v>#VALUE!</v>
      </c>
      <c r="AH1532" s="116"/>
      <c r="AI1532">
        <f t="shared" si="816"/>
        <v>390</v>
      </c>
      <c r="AJ1532" t="str">
        <f t="shared" si="811"/>
        <v>SG</v>
      </c>
      <c r="AK1532" t="str">
        <f>IF(ISERROR(MATCH(AI1532&amp;"."&amp;AJ1532,AK$91:AK1531,0)),AI1532&amp;"."&amp;AJ1532,AI1532&amp;"."&amp;AJ1532&amp;COUNTIFS(AI$91:AI1531,AI1532,AJ$91:AJ1531,AJ1532))</f>
        <v>390.SG2</v>
      </c>
    </row>
    <row r="1533" spans="1:37" ht="15" hidden="1">
      <c r="A1533" s="120">
        <f>ROW()</f>
        <v>1533</v>
      </c>
      <c r="B1533" s="120"/>
      <c r="C1533" s="1"/>
      <c r="E1533" s="121" t="s">
        <v>136</v>
      </c>
      <c r="F1533" s="138" t="str">
        <f>INDEX(FuncAllocOptions,ROW(A1533)-ROW($A$92)+1,[4]Inputs!$S$11)</f>
        <v>PTD</v>
      </c>
      <c r="G1533" s="133" t="e">
        <f t="shared" si="824"/>
        <v>#VALUE!</v>
      </c>
      <c r="H1533" s="139" t="e">
        <f t="shared" si="825"/>
        <v>#VALUE!</v>
      </c>
      <c r="I1533" s="139" t="e">
        <f t="shared" si="825"/>
        <v>#VALUE!</v>
      </c>
      <c r="J1533" s="139" t="e">
        <f t="shared" si="825"/>
        <v>#VALUE!</v>
      </c>
      <c r="K1533" s="139" t="e">
        <f t="shared" si="825"/>
        <v>#VALUE!</v>
      </c>
      <c r="L1533" s="139" t="e">
        <f t="shared" si="825"/>
        <v>#VALUE!</v>
      </c>
      <c r="N1533" s="108">
        <v>0.75</v>
      </c>
      <c r="O1533" s="116" t="e">
        <f t="shared" si="826"/>
        <v>#VALUE!</v>
      </c>
      <c r="P1533" s="116" t="e">
        <f t="shared" si="827"/>
        <v>#VALUE!</v>
      </c>
      <c r="Q1533" s="116" t="e">
        <f t="shared" si="828"/>
        <v>#VALUE!</v>
      </c>
      <c r="R1533" s="116" t="e">
        <f t="shared" si="829"/>
        <v>#VALUE!</v>
      </c>
      <c r="S1533" s="108">
        <v>0.75</v>
      </c>
      <c r="T1533" s="116" t="e">
        <f t="shared" si="830"/>
        <v>#VALUE!</v>
      </c>
      <c r="U1533" s="116" t="e">
        <f t="shared" si="831"/>
        <v>#VALUE!</v>
      </c>
      <c r="V1533" s="116" t="e">
        <f t="shared" si="832"/>
        <v>#VALUE!</v>
      </c>
      <c r="W1533" s="116" t="e">
        <f t="shared" si="833"/>
        <v>#VALUE!</v>
      </c>
      <c r="X1533" s="3" t="str">
        <f>INDEX(DistFuncAllocOptions,ROW(A1533)-ROW($A$92)+1,[4]Inputs!$S$11)</f>
        <v>PLNT</v>
      </c>
      <c r="Y1533" s="116" t="e">
        <f t="shared" si="834"/>
        <v>#VALUE!</v>
      </c>
      <c r="Z1533" s="116" t="e">
        <f t="shared" si="834"/>
        <v>#VALUE!</v>
      </c>
      <c r="AA1533" s="116" t="e">
        <f t="shared" si="834"/>
        <v>#VALUE!</v>
      </c>
      <c r="AB1533" s="116" t="e">
        <f t="shared" si="834"/>
        <v>#VALUE!</v>
      </c>
      <c r="AC1533" s="116" t="e">
        <f t="shared" si="834"/>
        <v>#VALUE!</v>
      </c>
      <c r="AD1533" s="117" t="e">
        <f t="shared" si="835"/>
        <v>#VALUE!</v>
      </c>
      <c r="AE1533" s="117" t="e">
        <f t="shared" si="836"/>
        <v>#VALUE!</v>
      </c>
      <c r="AF1533" s="117" t="e">
        <f t="shared" si="837"/>
        <v>#VALUE!</v>
      </c>
      <c r="AG1533" s="117" t="e">
        <f t="shared" si="838"/>
        <v>#VALUE!</v>
      </c>
      <c r="AH1533" s="116"/>
      <c r="AI1533">
        <f t="shared" si="816"/>
        <v>390</v>
      </c>
      <c r="AJ1533" t="str">
        <f t="shared" si="811"/>
        <v>SO</v>
      </c>
      <c r="AK1533" t="str">
        <f>IF(ISERROR(MATCH(AI1533&amp;"."&amp;AJ1533,AK$91:AK1532,0)),AI1533&amp;"."&amp;AJ1533,AI1533&amp;"."&amp;AJ1533&amp;COUNTIFS(AI$91:AI1532,AI1533,AJ$91:AJ1532,AJ1533))</f>
        <v>390.SO</v>
      </c>
    </row>
    <row r="1534" spans="1:37" ht="15" hidden="1">
      <c r="A1534" s="120">
        <f>ROW()</f>
        <v>1534</v>
      </c>
      <c r="B1534" s="120"/>
      <c r="C1534" s="1"/>
      <c r="E1534" s="121"/>
      <c r="F1534" s="138"/>
      <c r="G1534" s="117" t="e">
        <f t="shared" ref="G1534:L1534" si="839">SUM(G1527:G1533)</f>
        <v>#VALUE!</v>
      </c>
      <c r="H1534" s="116" t="e">
        <f t="shared" si="839"/>
        <v>#VALUE!</v>
      </c>
      <c r="I1534" s="116" t="e">
        <f t="shared" si="839"/>
        <v>#VALUE!</v>
      </c>
      <c r="J1534" s="116" t="e">
        <f t="shared" si="839"/>
        <v>#VALUE!</v>
      </c>
      <c r="K1534" s="116" t="e">
        <f t="shared" si="839"/>
        <v>#VALUE!</v>
      </c>
      <c r="L1534" s="116" t="e">
        <f t="shared" si="839"/>
        <v>#VALUE!</v>
      </c>
      <c r="O1534" s="116" t="e">
        <f>SUM(O1527:O1533)</f>
        <v>#VALUE!</v>
      </c>
      <c r="P1534" s="116" t="e">
        <f>SUM(P1527:P1533)</f>
        <v>#VALUE!</v>
      </c>
      <c r="Q1534" s="116" t="e">
        <f>SUM(Q1527:Q1533)</f>
        <v>#VALUE!</v>
      </c>
      <c r="R1534" s="116" t="e">
        <f>SUM(R1527:R1533)</f>
        <v>#VALUE!</v>
      </c>
      <c r="T1534" s="116" t="e">
        <f>SUM(T1527:T1533)</f>
        <v>#VALUE!</v>
      </c>
      <c r="U1534" s="116" t="e">
        <f>SUM(U1527:U1533)</f>
        <v>#VALUE!</v>
      </c>
      <c r="V1534" s="116" t="e">
        <f>SUM(V1527:V1533)</f>
        <v>#VALUE!</v>
      </c>
      <c r="W1534" s="116" t="e">
        <f>SUM(W1527:W1533)</f>
        <v>#VALUE!</v>
      </c>
      <c r="X1534" s="3"/>
      <c r="Y1534" s="116" t="e">
        <f>SUM(Y1527:Y1533)</f>
        <v>#VALUE!</v>
      </c>
      <c r="Z1534" s="116" t="e">
        <f>SUM(Z1527:Z1533)</f>
        <v>#VALUE!</v>
      </c>
      <c r="AA1534" s="116" t="e">
        <f>SUM(AA1527:AA1533)</f>
        <v>#VALUE!</v>
      </c>
      <c r="AB1534" s="116" t="e">
        <f>SUM(AB1527:AB1533)</f>
        <v>#VALUE!</v>
      </c>
      <c r="AC1534" s="116" t="e">
        <f>SUM(AC1527:AC1533)</f>
        <v>#VALUE!</v>
      </c>
      <c r="AD1534" s="117" t="e">
        <f t="shared" si="835"/>
        <v>#VALUE!</v>
      </c>
      <c r="AE1534" s="117" t="e">
        <f t="shared" si="836"/>
        <v>#VALUE!</v>
      </c>
      <c r="AF1534" s="117" t="e">
        <f t="shared" si="837"/>
        <v>#VALUE!</v>
      </c>
      <c r="AG1534" s="117" t="e">
        <f t="shared" si="838"/>
        <v>#VALUE!</v>
      </c>
      <c r="AH1534" s="116"/>
      <c r="AI1534">
        <f t="shared" si="816"/>
        <v>390</v>
      </c>
      <c r="AJ1534" t="str">
        <f t="shared" si="811"/>
        <v>NA</v>
      </c>
      <c r="AK1534" t="str">
        <f>IF(ISERROR(MATCH(AI1534&amp;"."&amp;AJ1534,AK$91:AK1533,0)),AI1534&amp;"."&amp;AJ1534,AI1534&amp;"."&amp;AJ1534&amp;COUNTIFS(AI$91:AI1533,AI1534,AJ$91:AJ1533,AJ1534))</f>
        <v>390.NA1</v>
      </c>
    </row>
    <row r="1535" spans="1:37" ht="15" hidden="1">
      <c r="A1535" s="120">
        <f>ROW()</f>
        <v>1535</v>
      </c>
      <c r="B1535" s="120"/>
      <c r="C1535" s="1"/>
      <c r="E1535" s="121"/>
      <c r="F1535" s="138"/>
      <c r="G1535" s="119"/>
      <c r="X1535" s="3"/>
      <c r="AD1535" s="119"/>
      <c r="AE1535" s="119"/>
      <c r="AF1535" s="119"/>
      <c r="AG1535" s="119"/>
      <c r="AI1535">
        <f t="shared" si="816"/>
        <v>390</v>
      </c>
      <c r="AJ1535" t="str">
        <f t="shared" si="811"/>
        <v>NA</v>
      </c>
      <c r="AK1535" t="str">
        <f>IF(ISERROR(MATCH(AI1535&amp;"."&amp;AJ1535,AK$91:AK1534,0)),AI1535&amp;"."&amp;AJ1535,AI1535&amp;"."&amp;AJ1535&amp;COUNTIFS(AI$91:AI1534,AI1535,AJ$91:AJ1534,AJ1535))</f>
        <v>390.NA2</v>
      </c>
    </row>
    <row r="1536" spans="1:37" ht="15" hidden="1">
      <c r="A1536" s="120">
        <f>ROW()</f>
        <v>1536</v>
      </c>
      <c r="B1536" s="120"/>
      <c r="C1536" s="1">
        <v>391</v>
      </c>
      <c r="D1536" s="2" t="s">
        <v>559</v>
      </c>
      <c r="E1536" s="121"/>
      <c r="F1536" s="138"/>
      <c r="G1536" s="119"/>
      <c r="X1536" s="3"/>
      <c r="AD1536" s="119"/>
      <c r="AE1536" s="119"/>
      <c r="AF1536" s="119"/>
      <c r="AG1536" s="119"/>
      <c r="AI1536">
        <f t="shared" si="816"/>
        <v>391</v>
      </c>
      <c r="AJ1536" t="str">
        <f t="shared" si="811"/>
        <v>NA</v>
      </c>
      <c r="AK1536" t="str">
        <f>IF(ISERROR(MATCH(AI1536&amp;"."&amp;AJ1536,AK$91:AK1535,0)),AI1536&amp;"."&amp;AJ1536,AI1536&amp;"."&amp;AJ1536&amp;COUNTIFS(AI$91:AI1535,AI1536,AJ$91:AJ1535,AJ1536))</f>
        <v>391.NA</v>
      </c>
    </row>
    <row r="1537" spans="1:37" ht="15" hidden="1">
      <c r="A1537" s="120">
        <f>ROW()</f>
        <v>1537</v>
      </c>
      <c r="B1537" s="120"/>
      <c r="C1537" s="1"/>
      <c r="E1537" s="121" t="s">
        <v>12</v>
      </c>
      <c r="F1537" s="138" t="str">
        <f>INDEX(FuncAllocOptions,ROW(A1537)-ROW($A$92)+1,[4]Inputs!$S$11)</f>
        <v>G-SITUS</v>
      </c>
      <c r="G1537" s="117" t="e">
        <f t="shared" ref="G1537:G1545" si="840">SUMIF(FERCJAMFactor,AK1537,JAMValue)</f>
        <v>#VALUE!</v>
      </c>
      <c r="H1537" s="116" t="e">
        <f t="shared" ref="H1537:L1545" si="841">INDEX(FuncFactorTbl,MATCH($F1537,FuncFactors,0),MATCH(H$8,Functions,0))*$G1537</f>
        <v>#VALUE!</v>
      </c>
      <c r="I1537" s="116" t="e">
        <f t="shared" si="841"/>
        <v>#VALUE!</v>
      </c>
      <c r="J1537" s="116" t="e">
        <f t="shared" si="841"/>
        <v>#VALUE!</v>
      </c>
      <c r="K1537" s="116" t="e">
        <f t="shared" si="841"/>
        <v>#VALUE!</v>
      </c>
      <c r="L1537" s="116" t="e">
        <f t="shared" si="841"/>
        <v>#VALUE!</v>
      </c>
      <c r="N1537" s="108">
        <v>0.75</v>
      </c>
      <c r="O1537" s="116" t="e">
        <f t="shared" ref="O1537:O1545" si="842">$H1537*$N1537*$M1537</f>
        <v>#VALUE!</v>
      </c>
      <c r="P1537" s="116" t="e">
        <f t="shared" ref="P1537:P1545" si="843">$H1537*(1-$N1537)*$M1537</f>
        <v>#VALUE!</v>
      </c>
      <c r="Q1537" s="116" t="e">
        <f t="shared" ref="Q1537:Q1545" si="844">$H1537*$N1537*(1-$M1537)</f>
        <v>#VALUE!</v>
      </c>
      <c r="R1537" s="116" t="e">
        <f t="shared" ref="R1537:R1545" si="845">$H1537*(1-$N1537)*(1-$M1537)</f>
        <v>#VALUE!</v>
      </c>
      <c r="S1537" s="108">
        <v>0.75</v>
      </c>
      <c r="T1537" s="116" t="e">
        <f t="shared" ref="T1537:T1545" si="846">$I1537*$S1537*$M1537</f>
        <v>#VALUE!</v>
      </c>
      <c r="U1537" s="116" t="e">
        <f t="shared" ref="U1537:U1545" si="847">$I1537*(1-$S1537)*$M1537</f>
        <v>#VALUE!</v>
      </c>
      <c r="V1537" s="116" t="e">
        <f t="shared" ref="V1537:V1545" si="848">$I1537*$S1537*(1-$M1537)</f>
        <v>#VALUE!</v>
      </c>
      <c r="W1537" s="116" t="e">
        <f t="shared" ref="W1537:W1545" si="849">$I1537*(1-$S1537)*(1-$M1537)</f>
        <v>#VALUE!</v>
      </c>
      <c r="X1537" s="3" t="str">
        <f>INDEX(DistFuncAllocOptions,ROW(A1537)-ROW($A$92)+1,[4]Inputs!$S$11)</f>
        <v>PLNT</v>
      </c>
      <c r="Y1537" s="116" t="e">
        <f t="shared" ref="Y1537:AC1545" si="850">INDEX(DistFuncFactorTbl,MATCH($X1537,DistFuncFactors,0),MATCH(Y$91,DistFunctions,0))*$J1537</f>
        <v>#VALUE!</v>
      </c>
      <c r="Z1537" s="116" t="e">
        <f t="shared" si="850"/>
        <v>#VALUE!</v>
      </c>
      <c r="AA1537" s="116" t="e">
        <f t="shared" si="850"/>
        <v>#VALUE!</v>
      </c>
      <c r="AB1537" s="116" t="e">
        <f t="shared" si="850"/>
        <v>#VALUE!</v>
      </c>
      <c r="AC1537" s="116" t="e">
        <f t="shared" si="850"/>
        <v>#VALUE!</v>
      </c>
      <c r="AD1537" s="117" t="e">
        <f t="shared" ref="AD1537:AD1546" si="851">ROUND(SUM(-G1537,H1537:L1537),0)</f>
        <v>#VALUE!</v>
      </c>
      <c r="AE1537" s="117" t="e">
        <f t="shared" ref="AE1537:AE1546" si="852">ROUND(H1537-O1537-P1537-Q1537-R1537,0)</f>
        <v>#VALUE!</v>
      </c>
      <c r="AF1537" s="117" t="e">
        <f t="shared" ref="AF1537:AF1546" si="853">ROUND(I1537-T1537-U1537-V1537-W1537,0)</f>
        <v>#VALUE!</v>
      </c>
      <c r="AG1537" s="117" t="e">
        <f t="shared" ref="AG1537:AG1546" si="854">ROUND(J1537-Y1537-Z1537-AA1537-AC1537-AB1537,0)</f>
        <v>#VALUE!</v>
      </c>
      <c r="AH1537" s="116"/>
      <c r="AI1537">
        <f t="shared" si="816"/>
        <v>391</v>
      </c>
      <c r="AJ1537" t="str">
        <f t="shared" si="811"/>
        <v>S</v>
      </c>
      <c r="AK1537" t="str">
        <f>IF(ISERROR(MATCH(AI1537&amp;"."&amp;AJ1537,AK$91:AK1536,0)),AI1537&amp;"."&amp;AJ1537,AI1537&amp;"."&amp;AJ1537&amp;COUNTIFS(AI$91:AI1536,AI1537,AJ$91:AJ1536,AJ1537))</f>
        <v>391.S</v>
      </c>
    </row>
    <row r="1538" spans="1:37" ht="15" hidden="1">
      <c r="A1538" s="120">
        <f>ROW()</f>
        <v>1538</v>
      </c>
      <c r="B1538" s="120"/>
      <c r="C1538" s="1"/>
      <c r="E1538" s="121" t="s">
        <v>15</v>
      </c>
      <c r="F1538" s="138" t="str">
        <f>INDEX(FuncAllocOptions,ROW(A1538)-ROW($A$92)+1,[4]Inputs!$S$11)</f>
        <v>PT</v>
      </c>
      <c r="G1538" s="117" t="e">
        <f t="shared" si="840"/>
        <v>#VALUE!</v>
      </c>
      <c r="H1538" s="116" t="e">
        <f t="shared" si="841"/>
        <v>#VALUE!</v>
      </c>
      <c r="I1538" s="116" t="e">
        <f t="shared" si="841"/>
        <v>#VALUE!</v>
      </c>
      <c r="J1538" s="116" t="e">
        <f t="shared" si="841"/>
        <v>#VALUE!</v>
      </c>
      <c r="K1538" s="116" t="e">
        <f t="shared" si="841"/>
        <v>#VALUE!</v>
      </c>
      <c r="L1538" s="116" t="e">
        <f t="shared" si="841"/>
        <v>#VALUE!</v>
      </c>
      <c r="N1538" s="108">
        <v>0.75</v>
      </c>
      <c r="O1538" s="116" t="e">
        <f t="shared" si="842"/>
        <v>#VALUE!</v>
      </c>
      <c r="P1538" s="116" t="e">
        <f t="shared" si="843"/>
        <v>#VALUE!</v>
      </c>
      <c r="Q1538" s="116" t="e">
        <f t="shared" si="844"/>
        <v>#VALUE!</v>
      </c>
      <c r="R1538" s="116" t="e">
        <f t="shared" si="845"/>
        <v>#VALUE!</v>
      </c>
      <c r="S1538" s="108">
        <v>0.75</v>
      </c>
      <c r="T1538" s="116" t="e">
        <f t="shared" si="846"/>
        <v>#VALUE!</v>
      </c>
      <c r="U1538" s="116" t="e">
        <f t="shared" si="847"/>
        <v>#VALUE!</v>
      </c>
      <c r="V1538" s="116" t="e">
        <f t="shared" si="848"/>
        <v>#VALUE!</v>
      </c>
      <c r="W1538" s="116" t="e">
        <f t="shared" si="849"/>
        <v>#VALUE!</v>
      </c>
      <c r="X1538" s="3" t="str">
        <f>INDEX(DistFuncAllocOptions,ROW(A1538)-ROW($A$92)+1,[4]Inputs!$S$11)</f>
        <v>PLNT</v>
      </c>
      <c r="Y1538" s="116" t="e">
        <f t="shared" si="850"/>
        <v>#VALUE!</v>
      </c>
      <c r="Z1538" s="116" t="e">
        <f t="shared" si="850"/>
        <v>#VALUE!</v>
      </c>
      <c r="AA1538" s="116" t="e">
        <f t="shared" si="850"/>
        <v>#VALUE!</v>
      </c>
      <c r="AB1538" s="116" t="e">
        <f t="shared" si="850"/>
        <v>#VALUE!</v>
      </c>
      <c r="AC1538" s="116" t="e">
        <f t="shared" si="850"/>
        <v>#VALUE!</v>
      </c>
      <c r="AD1538" s="117" t="e">
        <f t="shared" si="851"/>
        <v>#VALUE!</v>
      </c>
      <c r="AE1538" s="117" t="e">
        <f t="shared" si="852"/>
        <v>#VALUE!</v>
      </c>
      <c r="AF1538" s="117" t="e">
        <f t="shared" si="853"/>
        <v>#VALUE!</v>
      </c>
      <c r="AG1538" s="117" t="e">
        <f t="shared" si="854"/>
        <v>#VALUE!</v>
      </c>
      <c r="AH1538" s="116"/>
      <c r="AI1538">
        <f t="shared" si="816"/>
        <v>391</v>
      </c>
      <c r="AJ1538" t="str">
        <f t="shared" si="811"/>
        <v>SG</v>
      </c>
      <c r="AK1538" t="str">
        <f>IF(ISERROR(MATCH(AI1538&amp;"."&amp;AJ1538,AK$91:AK1537,0)),AI1538&amp;"."&amp;AJ1538,AI1538&amp;"."&amp;AJ1538&amp;COUNTIFS(AI$91:AI1537,AI1538,AJ$91:AJ1537,AJ1538))</f>
        <v>391.SG</v>
      </c>
    </row>
    <row r="1539" spans="1:37" ht="15" hidden="1">
      <c r="A1539" s="120">
        <f>ROW()</f>
        <v>1539</v>
      </c>
      <c r="B1539" s="120"/>
      <c r="C1539" s="1"/>
      <c r="E1539" s="121" t="s">
        <v>15</v>
      </c>
      <c r="F1539" s="138" t="str">
        <f>INDEX(FuncAllocOptions,ROW(A1539)-ROW($A$92)+1,[4]Inputs!$S$11)</f>
        <v>PT</v>
      </c>
      <c r="G1539" s="117" t="e">
        <f t="shared" si="840"/>
        <v>#VALUE!</v>
      </c>
      <c r="H1539" s="116" t="e">
        <f t="shared" si="841"/>
        <v>#VALUE!</v>
      </c>
      <c r="I1539" s="116" t="e">
        <f t="shared" si="841"/>
        <v>#VALUE!</v>
      </c>
      <c r="J1539" s="116" t="e">
        <f t="shared" si="841"/>
        <v>#VALUE!</v>
      </c>
      <c r="K1539" s="116" t="e">
        <f t="shared" si="841"/>
        <v>#VALUE!</v>
      </c>
      <c r="L1539" s="116" t="e">
        <f t="shared" si="841"/>
        <v>#VALUE!</v>
      </c>
      <c r="N1539" s="108">
        <v>0.75</v>
      </c>
      <c r="O1539" s="116" t="e">
        <f t="shared" si="842"/>
        <v>#VALUE!</v>
      </c>
      <c r="P1539" s="116" t="e">
        <f t="shared" si="843"/>
        <v>#VALUE!</v>
      </c>
      <c r="Q1539" s="116" t="e">
        <f t="shared" si="844"/>
        <v>#VALUE!</v>
      </c>
      <c r="R1539" s="116" t="e">
        <f t="shared" si="845"/>
        <v>#VALUE!</v>
      </c>
      <c r="S1539" s="108">
        <v>0.75</v>
      </c>
      <c r="T1539" s="116" t="e">
        <f t="shared" si="846"/>
        <v>#VALUE!</v>
      </c>
      <c r="U1539" s="116" t="e">
        <f t="shared" si="847"/>
        <v>#VALUE!</v>
      </c>
      <c r="V1539" s="116" t="e">
        <f t="shared" si="848"/>
        <v>#VALUE!</v>
      </c>
      <c r="W1539" s="116" t="e">
        <f t="shared" si="849"/>
        <v>#VALUE!</v>
      </c>
      <c r="X1539" s="3" t="str">
        <f>INDEX(DistFuncAllocOptions,ROW(A1539)-ROW($A$92)+1,[4]Inputs!$S$11)</f>
        <v>PLNT</v>
      </c>
      <c r="Y1539" s="116" t="e">
        <f t="shared" si="850"/>
        <v>#VALUE!</v>
      </c>
      <c r="Z1539" s="116" t="e">
        <f t="shared" si="850"/>
        <v>#VALUE!</v>
      </c>
      <c r="AA1539" s="116" t="e">
        <f t="shared" si="850"/>
        <v>#VALUE!</v>
      </c>
      <c r="AB1539" s="116" t="e">
        <f t="shared" si="850"/>
        <v>#VALUE!</v>
      </c>
      <c r="AC1539" s="116" t="e">
        <f t="shared" si="850"/>
        <v>#VALUE!</v>
      </c>
      <c r="AD1539" s="117" t="e">
        <f t="shared" si="851"/>
        <v>#VALUE!</v>
      </c>
      <c r="AE1539" s="117" t="e">
        <f t="shared" si="852"/>
        <v>#VALUE!</v>
      </c>
      <c r="AF1539" s="117" t="e">
        <f t="shared" si="853"/>
        <v>#VALUE!</v>
      </c>
      <c r="AG1539" s="117" t="e">
        <f t="shared" si="854"/>
        <v>#VALUE!</v>
      </c>
      <c r="AH1539" s="116"/>
      <c r="AI1539">
        <f t="shared" si="816"/>
        <v>391</v>
      </c>
      <c r="AJ1539" t="str">
        <f t="shared" si="811"/>
        <v>SG</v>
      </c>
      <c r="AK1539" t="str">
        <f>IF(ISERROR(MATCH(AI1539&amp;"."&amp;AJ1539,AK$91:AK1538,0)),AI1539&amp;"."&amp;AJ1539,AI1539&amp;"."&amp;AJ1539&amp;COUNTIFS(AI$91:AI1538,AI1539,AJ$91:AJ1538,AJ1539))</f>
        <v>391.SG1</v>
      </c>
    </row>
    <row r="1540" spans="1:37" ht="15" hidden="1">
      <c r="A1540" s="120">
        <f>ROW()</f>
        <v>1540</v>
      </c>
      <c r="B1540" s="120"/>
      <c r="C1540" s="1"/>
      <c r="E1540" s="121" t="s">
        <v>155</v>
      </c>
      <c r="F1540" s="138" t="str">
        <f>INDEX(FuncAllocOptions,ROW(A1540)-ROW($A$92)+1,[4]Inputs!$S$11)</f>
        <v>CUST</v>
      </c>
      <c r="G1540" s="117" t="e">
        <f t="shared" si="840"/>
        <v>#VALUE!</v>
      </c>
      <c r="H1540" s="116" t="e">
        <f t="shared" si="841"/>
        <v>#VALUE!</v>
      </c>
      <c r="I1540" s="116" t="e">
        <f t="shared" si="841"/>
        <v>#VALUE!</v>
      </c>
      <c r="J1540" s="116" t="e">
        <f t="shared" si="841"/>
        <v>#VALUE!</v>
      </c>
      <c r="K1540" s="116" t="e">
        <f t="shared" si="841"/>
        <v>#VALUE!</v>
      </c>
      <c r="L1540" s="116" t="e">
        <f t="shared" si="841"/>
        <v>#VALUE!</v>
      </c>
      <c r="N1540" s="108">
        <v>0.75</v>
      </c>
      <c r="O1540" s="116" t="e">
        <f t="shared" si="842"/>
        <v>#VALUE!</v>
      </c>
      <c r="P1540" s="116" t="e">
        <f t="shared" si="843"/>
        <v>#VALUE!</v>
      </c>
      <c r="Q1540" s="116" t="e">
        <f t="shared" si="844"/>
        <v>#VALUE!</v>
      </c>
      <c r="R1540" s="116" t="e">
        <f t="shared" si="845"/>
        <v>#VALUE!</v>
      </c>
      <c r="S1540" s="108">
        <v>0.75</v>
      </c>
      <c r="T1540" s="116" t="e">
        <f t="shared" si="846"/>
        <v>#VALUE!</v>
      </c>
      <c r="U1540" s="116" t="e">
        <f t="shared" si="847"/>
        <v>#VALUE!</v>
      </c>
      <c r="V1540" s="116" t="e">
        <f t="shared" si="848"/>
        <v>#VALUE!</v>
      </c>
      <c r="W1540" s="116" t="e">
        <f t="shared" si="849"/>
        <v>#VALUE!</v>
      </c>
      <c r="X1540" s="3" t="str">
        <f>INDEX(DistFuncAllocOptions,ROW(A1540)-ROW($A$92)+1,[4]Inputs!$S$11)</f>
        <v>CUST</v>
      </c>
      <c r="Y1540" s="116" t="e">
        <f t="shared" si="850"/>
        <v>#VALUE!</v>
      </c>
      <c r="Z1540" s="116" t="e">
        <f t="shared" si="850"/>
        <v>#VALUE!</v>
      </c>
      <c r="AA1540" s="116" t="e">
        <f t="shared" si="850"/>
        <v>#VALUE!</v>
      </c>
      <c r="AB1540" s="116" t="e">
        <f t="shared" si="850"/>
        <v>#VALUE!</v>
      </c>
      <c r="AC1540" s="116" t="e">
        <f t="shared" si="850"/>
        <v>#VALUE!</v>
      </c>
      <c r="AD1540" s="117" t="e">
        <f t="shared" si="851"/>
        <v>#VALUE!</v>
      </c>
      <c r="AE1540" s="117" t="e">
        <f t="shared" si="852"/>
        <v>#VALUE!</v>
      </c>
      <c r="AF1540" s="117" t="e">
        <f t="shared" si="853"/>
        <v>#VALUE!</v>
      </c>
      <c r="AG1540" s="117" t="e">
        <f t="shared" si="854"/>
        <v>#VALUE!</v>
      </c>
      <c r="AH1540" s="116"/>
      <c r="AI1540">
        <f t="shared" si="816"/>
        <v>391</v>
      </c>
      <c r="AJ1540" t="str">
        <f t="shared" si="811"/>
        <v>CN</v>
      </c>
      <c r="AK1540" t="str">
        <f>IF(ISERROR(MATCH(AI1540&amp;"."&amp;AJ1540,AK$91:AK1539,0)),AI1540&amp;"."&amp;AJ1540,AI1540&amp;"."&amp;AJ1540&amp;COUNTIFS(AI$91:AI1539,AI1540,AJ$91:AJ1539,AJ1540))</f>
        <v>391.CN</v>
      </c>
    </row>
    <row r="1541" spans="1:37" ht="15" hidden="1">
      <c r="A1541" s="120">
        <f>ROW()</f>
        <v>1541</v>
      </c>
      <c r="B1541" s="120"/>
      <c r="C1541" s="1"/>
      <c r="E1541" s="121" t="s">
        <v>15</v>
      </c>
      <c r="F1541" s="138" t="str">
        <f>INDEX(FuncAllocOptions,ROW(A1541)-ROW($A$92)+1,[4]Inputs!$S$11)</f>
        <v>G-SG</v>
      </c>
      <c r="G1541" s="117" t="e">
        <f t="shared" si="840"/>
        <v>#VALUE!</v>
      </c>
      <c r="H1541" s="116" t="e">
        <f t="shared" si="841"/>
        <v>#VALUE!</v>
      </c>
      <c r="I1541" s="116" t="e">
        <f t="shared" si="841"/>
        <v>#VALUE!</v>
      </c>
      <c r="J1541" s="116" t="e">
        <f t="shared" si="841"/>
        <v>#VALUE!</v>
      </c>
      <c r="K1541" s="116" t="e">
        <f t="shared" si="841"/>
        <v>#VALUE!</v>
      </c>
      <c r="L1541" s="116" t="e">
        <f t="shared" si="841"/>
        <v>#VALUE!</v>
      </c>
      <c r="N1541" s="108">
        <v>0.75</v>
      </c>
      <c r="O1541" s="116" t="e">
        <f t="shared" si="842"/>
        <v>#VALUE!</v>
      </c>
      <c r="P1541" s="116" t="e">
        <f t="shared" si="843"/>
        <v>#VALUE!</v>
      </c>
      <c r="Q1541" s="116" t="e">
        <f t="shared" si="844"/>
        <v>#VALUE!</v>
      </c>
      <c r="R1541" s="116" t="e">
        <f t="shared" si="845"/>
        <v>#VALUE!</v>
      </c>
      <c r="S1541" s="108">
        <v>0.75</v>
      </c>
      <c r="T1541" s="116" t="e">
        <f t="shared" si="846"/>
        <v>#VALUE!</v>
      </c>
      <c r="U1541" s="116" t="e">
        <f t="shared" si="847"/>
        <v>#VALUE!</v>
      </c>
      <c r="V1541" s="116" t="e">
        <f t="shared" si="848"/>
        <v>#VALUE!</v>
      </c>
      <c r="W1541" s="116" t="e">
        <f t="shared" si="849"/>
        <v>#VALUE!</v>
      </c>
      <c r="X1541" s="3" t="str">
        <f>INDEX(DistFuncAllocOptions,ROW(A1541)-ROW($A$92)+1,[4]Inputs!$S$11)</f>
        <v>PLNT</v>
      </c>
      <c r="Y1541" s="116" t="e">
        <f t="shared" si="850"/>
        <v>#VALUE!</v>
      </c>
      <c r="Z1541" s="116" t="e">
        <f t="shared" si="850"/>
        <v>#VALUE!</v>
      </c>
      <c r="AA1541" s="116" t="e">
        <f t="shared" si="850"/>
        <v>#VALUE!</v>
      </c>
      <c r="AB1541" s="116" t="e">
        <f t="shared" si="850"/>
        <v>#VALUE!</v>
      </c>
      <c r="AC1541" s="116" t="e">
        <f t="shared" si="850"/>
        <v>#VALUE!</v>
      </c>
      <c r="AD1541" s="117" t="e">
        <f t="shared" si="851"/>
        <v>#VALUE!</v>
      </c>
      <c r="AE1541" s="117" t="e">
        <f t="shared" si="852"/>
        <v>#VALUE!</v>
      </c>
      <c r="AF1541" s="117" t="e">
        <f t="shared" si="853"/>
        <v>#VALUE!</v>
      </c>
      <c r="AG1541" s="117" t="e">
        <f t="shared" si="854"/>
        <v>#VALUE!</v>
      </c>
      <c r="AH1541" s="116"/>
      <c r="AI1541">
        <f t="shared" si="816"/>
        <v>391</v>
      </c>
      <c r="AJ1541" t="str">
        <f t="shared" si="811"/>
        <v>SG</v>
      </c>
      <c r="AK1541" t="str">
        <f>IF(ISERROR(MATCH(AI1541&amp;"."&amp;AJ1541,AK$91:AK1540,0)),AI1541&amp;"."&amp;AJ1541,AI1541&amp;"."&amp;AJ1541&amp;COUNTIFS(AI$91:AI1540,AI1541,AJ$91:AJ1540,AJ1541))</f>
        <v>391.SG2</v>
      </c>
    </row>
    <row r="1542" spans="1:37" ht="15" hidden="1">
      <c r="A1542" s="120">
        <f>ROW()</f>
        <v>1542</v>
      </c>
      <c r="B1542" s="120"/>
      <c r="C1542" s="1"/>
      <c r="E1542" s="121" t="s">
        <v>16</v>
      </c>
      <c r="F1542" s="138" t="str">
        <f>INDEX(FuncAllocOptions,ROW(A1542)-ROW($A$92)+1,[4]Inputs!$S$11)</f>
        <v>P</v>
      </c>
      <c r="G1542" s="117" t="e">
        <f t="shared" si="840"/>
        <v>#VALUE!</v>
      </c>
      <c r="H1542" s="116" t="e">
        <f t="shared" si="841"/>
        <v>#VALUE!</v>
      </c>
      <c r="I1542" s="116" t="e">
        <f t="shared" si="841"/>
        <v>#VALUE!</v>
      </c>
      <c r="J1542" s="116" t="e">
        <f t="shared" si="841"/>
        <v>#VALUE!</v>
      </c>
      <c r="K1542" s="116" t="e">
        <f t="shared" si="841"/>
        <v>#VALUE!</v>
      </c>
      <c r="L1542" s="116" t="e">
        <f t="shared" si="841"/>
        <v>#VALUE!</v>
      </c>
      <c r="N1542" s="108">
        <v>0</v>
      </c>
      <c r="O1542" s="116" t="e">
        <f t="shared" si="842"/>
        <v>#VALUE!</v>
      </c>
      <c r="P1542" s="116" t="e">
        <f t="shared" si="843"/>
        <v>#VALUE!</v>
      </c>
      <c r="Q1542" s="116" t="e">
        <f t="shared" si="844"/>
        <v>#VALUE!</v>
      </c>
      <c r="R1542" s="116" t="e">
        <f t="shared" si="845"/>
        <v>#VALUE!</v>
      </c>
      <c r="S1542" s="108">
        <v>0</v>
      </c>
      <c r="T1542" s="116" t="e">
        <f t="shared" si="846"/>
        <v>#VALUE!</v>
      </c>
      <c r="U1542" s="116" t="e">
        <f t="shared" si="847"/>
        <v>#VALUE!</v>
      </c>
      <c r="V1542" s="116" t="e">
        <f t="shared" si="848"/>
        <v>#VALUE!</v>
      </c>
      <c r="W1542" s="116" t="e">
        <f t="shared" si="849"/>
        <v>#VALUE!</v>
      </c>
      <c r="X1542" s="3" t="str">
        <f>INDEX(DistFuncAllocOptions,ROW(A1542)-ROW($A$92)+1,[4]Inputs!$S$11)</f>
        <v>PLNT</v>
      </c>
      <c r="Y1542" s="116" t="e">
        <f t="shared" si="850"/>
        <v>#VALUE!</v>
      </c>
      <c r="Z1542" s="116" t="e">
        <f t="shared" si="850"/>
        <v>#VALUE!</v>
      </c>
      <c r="AA1542" s="116" t="e">
        <f t="shared" si="850"/>
        <v>#VALUE!</v>
      </c>
      <c r="AB1542" s="116" t="e">
        <f t="shared" si="850"/>
        <v>#VALUE!</v>
      </c>
      <c r="AC1542" s="116" t="e">
        <f t="shared" si="850"/>
        <v>#VALUE!</v>
      </c>
      <c r="AD1542" s="117" t="e">
        <f t="shared" si="851"/>
        <v>#VALUE!</v>
      </c>
      <c r="AE1542" s="117" t="e">
        <f t="shared" si="852"/>
        <v>#VALUE!</v>
      </c>
      <c r="AF1542" s="117" t="e">
        <f t="shared" si="853"/>
        <v>#VALUE!</v>
      </c>
      <c r="AG1542" s="117" t="e">
        <f t="shared" si="854"/>
        <v>#VALUE!</v>
      </c>
      <c r="AH1542" s="116"/>
      <c r="AI1542">
        <f t="shared" si="816"/>
        <v>391</v>
      </c>
      <c r="AJ1542" t="str">
        <f t="shared" si="811"/>
        <v>SE</v>
      </c>
      <c r="AK1542" t="str">
        <f>IF(ISERROR(MATCH(AI1542&amp;"."&amp;AJ1542,AK$91:AK1541,0)),AI1542&amp;"."&amp;AJ1542,AI1542&amp;"."&amp;AJ1542&amp;COUNTIFS(AI$91:AI1541,AI1542,AJ$91:AJ1541,AJ1542))</f>
        <v>391.SE</v>
      </c>
    </row>
    <row r="1543" spans="1:37" ht="15" hidden="1">
      <c r="A1543" s="120">
        <f>ROW()</f>
        <v>1543</v>
      </c>
      <c r="B1543" s="120"/>
      <c r="C1543" s="1"/>
      <c r="E1543" s="121" t="s">
        <v>136</v>
      </c>
      <c r="F1543" s="138" t="str">
        <f>INDEX(FuncAllocOptions,ROW(A1543)-ROW($A$92)+1,[4]Inputs!$S$11)</f>
        <v>PTD</v>
      </c>
      <c r="G1543" s="117" t="e">
        <f t="shared" si="840"/>
        <v>#VALUE!</v>
      </c>
      <c r="H1543" s="116" t="e">
        <f t="shared" si="841"/>
        <v>#VALUE!</v>
      </c>
      <c r="I1543" s="116" t="e">
        <f t="shared" si="841"/>
        <v>#VALUE!</v>
      </c>
      <c r="J1543" s="116" t="e">
        <f t="shared" si="841"/>
        <v>#VALUE!</v>
      </c>
      <c r="K1543" s="116" t="e">
        <f t="shared" si="841"/>
        <v>#VALUE!</v>
      </c>
      <c r="L1543" s="116" t="e">
        <f t="shared" si="841"/>
        <v>#VALUE!</v>
      </c>
      <c r="N1543" s="108">
        <v>0.75</v>
      </c>
      <c r="O1543" s="116" t="e">
        <f t="shared" si="842"/>
        <v>#VALUE!</v>
      </c>
      <c r="P1543" s="116" t="e">
        <f t="shared" si="843"/>
        <v>#VALUE!</v>
      </c>
      <c r="Q1543" s="116" t="e">
        <f t="shared" si="844"/>
        <v>#VALUE!</v>
      </c>
      <c r="R1543" s="116" t="e">
        <f t="shared" si="845"/>
        <v>#VALUE!</v>
      </c>
      <c r="S1543" s="108">
        <v>0.75</v>
      </c>
      <c r="T1543" s="116" t="e">
        <f t="shared" si="846"/>
        <v>#VALUE!</v>
      </c>
      <c r="U1543" s="116" t="e">
        <f t="shared" si="847"/>
        <v>#VALUE!</v>
      </c>
      <c r="V1543" s="116" t="e">
        <f t="shared" si="848"/>
        <v>#VALUE!</v>
      </c>
      <c r="W1543" s="116" t="e">
        <f t="shared" si="849"/>
        <v>#VALUE!</v>
      </c>
      <c r="X1543" s="3" t="str">
        <f>INDEX(DistFuncAllocOptions,ROW(A1543)-ROW($A$92)+1,[4]Inputs!$S$11)</f>
        <v>PLNT</v>
      </c>
      <c r="Y1543" s="116" t="e">
        <f t="shared" si="850"/>
        <v>#VALUE!</v>
      </c>
      <c r="Z1543" s="116" t="e">
        <f t="shared" si="850"/>
        <v>#VALUE!</v>
      </c>
      <c r="AA1543" s="116" t="e">
        <f t="shared" si="850"/>
        <v>#VALUE!</v>
      </c>
      <c r="AB1543" s="116" t="e">
        <f t="shared" si="850"/>
        <v>#VALUE!</v>
      </c>
      <c r="AC1543" s="116" t="e">
        <f t="shared" si="850"/>
        <v>#VALUE!</v>
      </c>
      <c r="AD1543" s="117" t="e">
        <f t="shared" si="851"/>
        <v>#VALUE!</v>
      </c>
      <c r="AE1543" s="117" t="e">
        <f t="shared" si="852"/>
        <v>#VALUE!</v>
      </c>
      <c r="AF1543" s="117" t="e">
        <f t="shared" si="853"/>
        <v>#VALUE!</v>
      </c>
      <c r="AG1543" s="117" t="e">
        <f t="shared" si="854"/>
        <v>#VALUE!</v>
      </c>
      <c r="AH1543" s="116"/>
      <c r="AI1543">
        <f t="shared" si="816"/>
        <v>391</v>
      </c>
      <c r="AJ1543" t="str">
        <f t="shared" si="811"/>
        <v>SO</v>
      </c>
      <c r="AK1543" t="str">
        <f>IF(ISERROR(MATCH(AI1543&amp;"."&amp;AJ1543,AK$91:AK1542,0)),AI1543&amp;"."&amp;AJ1543,AI1543&amp;"."&amp;AJ1543&amp;COUNTIFS(AI$91:AI1542,AI1543,AJ$91:AJ1542,AJ1543))</f>
        <v>391.SO</v>
      </c>
    </row>
    <row r="1544" spans="1:37" ht="15" hidden="1">
      <c r="A1544" s="120">
        <f>ROW()</f>
        <v>1544</v>
      </c>
      <c r="B1544" s="120"/>
      <c r="C1544" s="1"/>
      <c r="E1544" s="121" t="s">
        <v>15</v>
      </c>
      <c r="F1544" s="138" t="str">
        <f>INDEX(FuncAllocOptions,ROW(A1544)-ROW($A$92)+1,[4]Inputs!$S$11)</f>
        <v>G-SG</v>
      </c>
      <c r="G1544" s="117" t="e">
        <f t="shared" si="840"/>
        <v>#VALUE!</v>
      </c>
      <c r="H1544" s="116" t="e">
        <f t="shared" si="841"/>
        <v>#VALUE!</v>
      </c>
      <c r="I1544" s="116" t="e">
        <f t="shared" si="841"/>
        <v>#VALUE!</v>
      </c>
      <c r="J1544" s="116" t="e">
        <f t="shared" si="841"/>
        <v>#VALUE!</v>
      </c>
      <c r="K1544" s="116" t="e">
        <f t="shared" si="841"/>
        <v>#VALUE!</v>
      </c>
      <c r="L1544" s="116" t="e">
        <f t="shared" si="841"/>
        <v>#VALUE!</v>
      </c>
      <c r="N1544" s="108">
        <v>0.75</v>
      </c>
      <c r="O1544" s="116" t="e">
        <f t="shared" si="842"/>
        <v>#VALUE!</v>
      </c>
      <c r="P1544" s="116" t="e">
        <f t="shared" si="843"/>
        <v>#VALUE!</v>
      </c>
      <c r="Q1544" s="116" t="e">
        <f t="shared" si="844"/>
        <v>#VALUE!</v>
      </c>
      <c r="R1544" s="116" t="e">
        <f t="shared" si="845"/>
        <v>#VALUE!</v>
      </c>
      <c r="S1544" s="108">
        <v>0.75</v>
      </c>
      <c r="T1544" s="116" t="e">
        <f t="shared" si="846"/>
        <v>#VALUE!</v>
      </c>
      <c r="U1544" s="116" t="e">
        <f t="shared" si="847"/>
        <v>#VALUE!</v>
      </c>
      <c r="V1544" s="116" t="e">
        <f t="shared" si="848"/>
        <v>#VALUE!</v>
      </c>
      <c r="W1544" s="116" t="e">
        <f t="shared" si="849"/>
        <v>#VALUE!</v>
      </c>
      <c r="X1544" s="3" t="str">
        <f>INDEX(DistFuncAllocOptions,ROW(A1544)-ROW($A$92)+1,[4]Inputs!$S$11)</f>
        <v>PLNT</v>
      </c>
      <c r="Y1544" s="116" t="e">
        <f t="shared" si="850"/>
        <v>#VALUE!</v>
      </c>
      <c r="Z1544" s="116" t="e">
        <f t="shared" si="850"/>
        <v>#VALUE!</v>
      </c>
      <c r="AA1544" s="116" t="e">
        <f t="shared" si="850"/>
        <v>#VALUE!</v>
      </c>
      <c r="AB1544" s="116" t="e">
        <f t="shared" si="850"/>
        <v>#VALUE!</v>
      </c>
      <c r="AC1544" s="116" t="e">
        <f t="shared" si="850"/>
        <v>#VALUE!</v>
      </c>
      <c r="AD1544" s="117" t="e">
        <f t="shared" si="851"/>
        <v>#VALUE!</v>
      </c>
      <c r="AE1544" s="117" t="e">
        <f t="shared" si="852"/>
        <v>#VALUE!</v>
      </c>
      <c r="AF1544" s="117" t="e">
        <f t="shared" si="853"/>
        <v>#VALUE!</v>
      </c>
      <c r="AG1544" s="117" t="e">
        <f t="shared" si="854"/>
        <v>#VALUE!</v>
      </c>
      <c r="AH1544" s="116"/>
      <c r="AI1544">
        <f t="shared" si="816"/>
        <v>391</v>
      </c>
      <c r="AJ1544" t="str">
        <f t="shared" si="811"/>
        <v>SG</v>
      </c>
      <c r="AK1544" t="str">
        <f>IF(ISERROR(MATCH(AI1544&amp;"."&amp;AJ1544,AK$91:AK1543,0)),AI1544&amp;"."&amp;AJ1544,AI1544&amp;"."&amp;AJ1544&amp;COUNTIFS(AI$91:AI1543,AI1544,AJ$91:AJ1543,AJ1544))</f>
        <v>391.SG3</v>
      </c>
    </row>
    <row r="1545" spans="1:37" ht="15" hidden="1">
      <c r="A1545" s="120">
        <f>ROW()</f>
        <v>1545</v>
      </c>
      <c r="B1545" s="120"/>
      <c r="C1545" s="1"/>
      <c r="E1545" s="121" t="s">
        <v>15</v>
      </c>
      <c r="F1545" s="138" t="str">
        <f>INDEX(FuncAllocOptions,ROW(A1545)-ROW($A$92)+1,[4]Inputs!$S$11)</f>
        <v>P</v>
      </c>
      <c r="G1545" s="133" t="e">
        <f t="shared" si="840"/>
        <v>#VALUE!</v>
      </c>
      <c r="H1545" s="139" t="e">
        <f t="shared" si="841"/>
        <v>#VALUE!</v>
      </c>
      <c r="I1545" s="139" t="e">
        <f t="shared" si="841"/>
        <v>#VALUE!</v>
      </c>
      <c r="J1545" s="139" t="e">
        <f t="shared" si="841"/>
        <v>#VALUE!</v>
      </c>
      <c r="K1545" s="139" t="e">
        <f t="shared" si="841"/>
        <v>#VALUE!</v>
      </c>
      <c r="L1545" s="139" t="e">
        <f t="shared" si="841"/>
        <v>#VALUE!</v>
      </c>
      <c r="N1545" s="108">
        <v>0.75</v>
      </c>
      <c r="O1545" s="116" t="e">
        <f t="shared" si="842"/>
        <v>#VALUE!</v>
      </c>
      <c r="P1545" s="116" t="e">
        <f t="shared" si="843"/>
        <v>#VALUE!</v>
      </c>
      <c r="Q1545" s="116" t="e">
        <f t="shared" si="844"/>
        <v>#VALUE!</v>
      </c>
      <c r="R1545" s="116" t="e">
        <f t="shared" si="845"/>
        <v>#VALUE!</v>
      </c>
      <c r="S1545" s="108">
        <v>0.75</v>
      </c>
      <c r="T1545" s="116" t="e">
        <f t="shared" si="846"/>
        <v>#VALUE!</v>
      </c>
      <c r="U1545" s="116" t="e">
        <f t="shared" si="847"/>
        <v>#VALUE!</v>
      </c>
      <c r="V1545" s="116" t="e">
        <f t="shared" si="848"/>
        <v>#VALUE!</v>
      </c>
      <c r="W1545" s="116" t="e">
        <f t="shared" si="849"/>
        <v>#VALUE!</v>
      </c>
      <c r="X1545" s="3" t="str">
        <f>INDEX(DistFuncAllocOptions,ROW(A1545)-ROW($A$92)+1,[4]Inputs!$S$11)</f>
        <v>PLNT</v>
      </c>
      <c r="Y1545" s="116" t="e">
        <f t="shared" si="850"/>
        <v>#VALUE!</v>
      </c>
      <c r="Z1545" s="116" t="e">
        <f t="shared" si="850"/>
        <v>#VALUE!</v>
      </c>
      <c r="AA1545" s="116" t="e">
        <f t="shared" si="850"/>
        <v>#VALUE!</v>
      </c>
      <c r="AB1545" s="116" t="e">
        <f t="shared" si="850"/>
        <v>#VALUE!</v>
      </c>
      <c r="AC1545" s="116" t="e">
        <f t="shared" si="850"/>
        <v>#VALUE!</v>
      </c>
      <c r="AD1545" s="117" t="e">
        <f t="shared" si="851"/>
        <v>#VALUE!</v>
      </c>
      <c r="AE1545" s="117" t="e">
        <f t="shared" si="852"/>
        <v>#VALUE!</v>
      </c>
      <c r="AF1545" s="117" t="e">
        <f t="shared" si="853"/>
        <v>#VALUE!</v>
      </c>
      <c r="AG1545" s="117" t="e">
        <f t="shared" si="854"/>
        <v>#VALUE!</v>
      </c>
      <c r="AH1545" s="116"/>
      <c r="AI1545">
        <f t="shared" si="816"/>
        <v>391</v>
      </c>
      <c r="AJ1545" t="str">
        <f t="shared" si="811"/>
        <v>SG</v>
      </c>
      <c r="AK1545" t="str">
        <f>IF(ISERROR(MATCH(AI1545&amp;"."&amp;AJ1545,AK$91:AK1544,0)),AI1545&amp;"."&amp;AJ1545,AI1545&amp;"."&amp;AJ1545&amp;COUNTIFS(AI$91:AI1544,AI1545,AJ$91:AJ1544,AJ1545))</f>
        <v>391.SG4</v>
      </c>
    </row>
    <row r="1546" spans="1:37" ht="15" hidden="1">
      <c r="A1546" s="120">
        <f>ROW()</f>
        <v>1546</v>
      </c>
      <c r="B1546" s="120"/>
      <c r="C1546" s="1"/>
      <c r="E1546" s="121"/>
      <c r="F1546" s="138"/>
      <c r="G1546" s="117" t="e">
        <f t="shared" ref="G1546:L1546" si="855">SUM(G1537:G1545)</f>
        <v>#VALUE!</v>
      </c>
      <c r="H1546" s="116" t="e">
        <f t="shared" si="855"/>
        <v>#VALUE!</v>
      </c>
      <c r="I1546" s="116" t="e">
        <f t="shared" si="855"/>
        <v>#VALUE!</v>
      </c>
      <c r="J1546" s="116" t="e">
        <f t="shared" si="855"/>
        <v>#VALUE!</v>
      </c>
      <c r="K1546" s="116" t="e">
        <f t="shared" si="855"/>
        <v>#VALUE!</v>
      </c>
      <c r="L1546" s="116" t="e">
        <f t="shared" si="855"/>
        <v>#VALUE!</v>
      </c>
      <c r="O1546" s="116" t="e">
        <f>SUM(O1537:O1545)</f>
        <v>#VALUE!</v>
      </c>
      <c r="P1546" s="116" t="e">
        <f>SUM(P1537:P1545)</f>
        <v>#VALUE!</v>
      </c>
      <c r="Q1546" s="116" t="e">
        <f>SUM(Q1537:Q1545)</f>
        <v>#VALUE!</v>
      </c>
      <c r="R1546" s="116" t="e">
        <f>SUM(R1537:R1545)</f>
        <v>#VALUE!</v>
      </c>
      <c r="T1546" s="116" t="e">
        <f>SUM(T1537:T1545)</f>
        <v>#VALUE!</v>
      </c>
      <c r="U1546" s="116" t="e">
        <f>SUM(U1537:U1545)</f>
        <v>#VALUE!</v>
      </c>
      <c r="V1546" s="116" t="e">
        <f>SUM(V1537:V1545)</f>
        <v>#VALUE!</v>
      </c>
      <c r="W1546" s="116" t="e">
        <f>SUM(W1537:W1545)</f>
        <v>#VALUE!</v>
      </c>
      <c r="X1546" s="3"/>
      <c r="Y1546" s="116" t="e">
        <f>SUM(Y1537:Y1545)</f>
        <v>#VALUE!</v>
      </c>
      <c r="Z1546" s="116" t="e">
        <f>SUM(Z1537:Z1545)</f>
        <v>#VALUE!</v>
      </c>
      <c r="AA1546" s="116" t="e">
        <f>SUM(AA1537:AA1545)</f>
        <v>#VALUE!</v>
      </c>
      <c r="AB1546" s="116" t="e">
        <f>SUM(AB1537:AB1545)</f>
        <v>#VALUE!</v>
      </c>
      <c r="AC1546" s="116" t="e">
        <f>SUM(AC1537:AC1545)</f>
        <v>#VALUE!</v>
      </c>
      <c r="AD1546" s="117" t="e">
        <f t="shared" si="851"/>
        <v>#VALUE!</v>
      </c>
      <c r="AE1546" s="117" t="e">
        <f t="shared" si="852"/>
        <v>#VALUE!</v>
      </c>
      <c r="AF1546" s="117" t="e">
        <f t="shared" si="853"/>
        <v>#VALUE!</v>
      </c>
      <c r="AG1546" s="117" t="e">
        <f t="shared" si="854"/>
        <v>#VALUE!</v>
      </c>
      <c r="AH1546" s="116"/>
      <c r="AI1546">
        <f t="shared" si="816"/>
        <v>391</v>
      </c>
      <c r="AJ1546" t="str">
        <f t="shared" si="811"/>
        <v>NA</v>
      </c>
      <c r="AK1546" t="str">
        <f>IF(ISERROR(MATCH(AI1546&amp;"."&amp;AJ1546,AK$91:AK1545,0)),AI1546&amp;"."&amp;AJ1546,AI1546&amp;"."&amp;AJ1546&amp;COUNTIFS(AI$91:AI1545,AI1546,AJ$91:AJ1545,AJ1546))</f>
        <v>391.NA1</v>
      </c>
    </row>
    <row r="1547" spans="1:37" ht="15" hidden="1">
      <c r="A1547" s="120">
        <f>ROW()</f>
        <v>1547</v>
      </c>
      <c r="B1547" s="120"/>
      <c r="C1547" s="1"/>
      <c r="E1547" s="121"/>
      <c r="F1547" s="138"/>
      <c r="G1547" s="119"/>
      <c r="X1547" s="3"/>
      <c r="AD1547" s="119"/>
      <c r="AE1547" s="119"/>
      <c r="AF1547" s="119"/>
      <c r="AG1547" s="119"/>
      <c r="AI1547">
        <f t="shared" si="816"/>
        <v>391</v>
      </c>
      <c r="AJ1547" t="str">
        <f t="shared" si="811"/>
        <v>NA</v>
      </c>
      <c r="AK1547" t="str">
        <f>IF(ISERROR(MATCH(AI1547&amp;"."&amp;AJ1547,AK$91:AK1546,0)),AI1547&amp;"."&amp;AJ1547,AI1547&amp;"."&amp;AJ1547&amp;COUNTIFS(AI$91:AI1546,AI1547,AJ$91:AJ1546,AJ1547))</f>
        <v>391.NA2</v>
      </c>
    </row>
    <row r="1548" spans="1:37" ht="15" hidden="1">
      <c r="A1548" s="120">
        <f>ROW()</f>
        <v>1548</v>
      </c>
      <c r="B1548" s="120"/>
      <c r="C1548" s="1">
        <v>392</v>
      </c>
      <c r="D1548" s="2" t="s">
        <v>560</v>
      </c>
      <c r="E1548" s="121"/>
      <c r="F1548" s="138"/>
      <c r="G1548" s="119"/>
      <c r="X1548" s="3"/>
      <c r="AD1548" s="119"/>
      <c r="AE1548" s="119"/>
      <c r="AF1548" s="119"/>
      <c r="AG1548" s="119"/>
      <c r="AI1548">
        <f t="shared" si="816"/>
        <v>392</v>
      </c>
      <c r="AJ1548" t="str">
        <f t="shared" si="811"/>
        <v>NA</v>
      </c>
      <c r="AK1548" t="str">
        <f>IF(ISERROR(MATCH(AI1548&amp;"."&amp;AJ1548,AK$91:AK1547,0)),AI1548&amp;"."&amp;AJ1548,AI1548&amp;"."&amp;AJ1548&amp;COUNTIFS(AI$91:AI1547,AI1548,AJ$91:AJ1547,AJ1548))</f>
        <v>392.NA</v>
      </c>
    </row>
    <row r="1549" spans="1:37" ht="15" hidden="1">
      <c r="A1549" s="120">
        <f>ROW()</f>
        <v>1549</v>
      </c>
      <c r="B1549" s="120"/>
      <c r="C1549" s="1"/>
      <c r="E1549" s="121" t="s">
        <v>12</v>
      </c>
      <c r="F1549" s="138" t="str">
        <f>INDEX(FuncAllocOptions,ROW(A1549)-ROW($A$92)+1,[4]Inputs!$S$11)</f>
        <v>G-SITUS</v>
      </c>
      <c r="G1549" s="117" t="e">
        <f t="shared" ref="G1549:G1557" si="856">SUMIF(FERCJAMFactor,AK1549,JAMValue)</f>
        <v>#VALUE!</v>
      </c>
      <c r="H1549" s="116" t="e">
        <f t="shared" ref="H1549:L1557" si="857">INDEX(FuncFactorTbl,MATCH($F1549,FuncFactors,0),MATCH(H$8,Functions,0))*$G1549</f>
        <v>#VALUE!</v>
      </c>
      <c r="I1549" s="116" t="e">
        <f t="shared" si="857"/>
        <v>#VALUE!</v>
      </c>
      <c r="J1549" s="116" t="e">
        <f t="shared" si="857"/>
        <v>#VALUE!</v>
      </c>
      <c r="K1549" s="116" t="e">
        <f t="shared" si="857"/>
        <v>#VALUE!</v>
      </c>
      <c r="L1549" s="116" t="e">
        <f t="shared" si="857"/>
        <v>#VALUE!</v>
      </c>
      <c r="N1549" s="108">
        <v>0.75</v>
      </c>
      <c r="O1549" s="116" t="e">
        <f t="shared" ref="O1549:O1557" si="858">$H1549*$N1549*$M1549</f>
        <v>#VALUE!</v>
      </c>
      <c r="P1549" s="116" t="e">
        <f t="shared" ref="P1549:P1557" si="859">$H1549*(1-$N1549)*$M1549</f>
        <v>#VALUE!</v>
      </c>
      <c r="Q1549" s="116" t="e">
        <f t="shared" ref="Q1549:Q1557" si="860">$H1549*$N1549*(1-$M1549)</f>
        <v>#VALUE!</v>
      </c>
      <c r="R1549" s="116" t="e">
        <f t="shared" ref="R1549:R1557" si="861">$H1549*(1-$N1549)*(1-$M1549)</f>
        <v>#VALUE!</v>
      </c>
      <c r="S1549" s="108">
        <v>0.75</v>
      </c>
      <c r="T1549" s="116" t="e">
        <f t="shared" ref="T1549:T1557" si="862">$I1549*$S1549*$M1549</f>
        <v>#VALUE!</v>
      </c>
      <c r="U1549" s="116" t="e">
        <f t="shared" ref="U1549:U1557" si="863">$I1549*(1-$S1549)*$M1549</f>
        <v>#VALUE!</v>
      </c>
      <c r="V1549" s="116" t="e">
        <f t="shared" ref="V1549:V1557" si="864">$I1549*$S1549*(1-$M1549)</f>
        <v>#VALUE!</v>
      </c>
      <c r="W1549" s="116" t="e">
        <f t="shared" ref="W1549:W1557" si="865">$I1549*(1-$S1549)*(1-$M1549)</f>
        <v>#VALUE!</v>
      </c>
      <c r="X1549" s="3" t="str">
        <f>INDEX(DistFuncAllocOptions,ROW(A1549)-ROW($A$92)+1,[4]Inputs!$S$11)</f>
        <v>PLNT</v>
      </c>
      <c r="Y1549" s="116" t="e">
        <f t="shared" ref="Y1549:AC1557" si="866">INDEX(DistFuncFactorTbl,MATCH($X1549,DistFuncFactors,0),MATCH(Y$91,DistFunctions,0))*$J1549</f>
        <v>#VALUE!</v>
      </c>
      <c r="Z1549" s="116" t="e">
        <f t="shared" si="866"/>
        <v>#VALUE!</v>
      </c>
      <c r="AA1549" s="116" t="e">
        <f t="shared" si="866"/>
        <v>#VALUE!</v>
      </c>
      <c r="AB1549" s="116" t="e">
        <f t="shared" si="866"/>
        <v>#VALUE!</v>
      </c>
      <c r="AC1549" s="116" t="e">
        <f t="shared" si="866"/>
        <v>#VALUE!</v>
      </c>
      <c r="AD1549" s="117" t="e">
        <f t="shared" ref="AD1549:AD1558" si="867">ROUND(SUM(-G1549,H1549:L1549),0)</f>
        <v>#VALUE!</v>
      </c>
      <c r="AE1549" s="117" t="e">
        <f t="shared" ref="AE1549:AE1558" si="868">ROUND(H1549-O1549-P1549-Q1549-R1549,0)</f>
        <v>#VALUE!</v>
      </c>
      <c r="AF1549" s="117" t="e">
        <f t="shared" ref="AF1549:AF1558" si="869">ROUND(I1549-T1549-U1549-V1549-W1549,0)</f>
        <v>#VALUE!</v>
      </c>
      <c r="AG1549" s="117" t="e">
        <f t="shared" ref="AG1549:AG1558" si="870">ROUND(J1549-Y1549-Z1549-AA1549-AC1549-AB1549,0)</f>
        <v>#VALUE!</v>
      </c>
      <c r="AH1549" s="116"/>
      <c r="AI1549">
        <f t="shared" si="816"/>
        <v>392</v>
      </c>
      <c r="AJ1549" t="str">
        <f t="shared" si="811"/>
        <v>S</v>
      </c>
      <c r="AK1549" t="str">
        <f>IF(ISERROR(MATCH(AI1549&amp;"."&amp;AJ1549,AK$91:AK1548,0)),AI1549&amp;"."&amp;AJ1549,AI1549&amp;"."&amp;AJ1549&amp;COUNTIFS(AI$91:AI1548,AI1549,AJ$91:AJ1548,AJ1549))</f>
        <v>392.S</v>
      </c>
    </row>
    <row r="1550" spans="1:37" ht="15" hidden="1">
      <c r="A1550" s="120">
        <f>ROW()</f>
        <v>1550</v>
      </c>
      <c r="B1550" s="120"/>
      <c r="C1550" s="1"/>
      <c r="E1550" s="121" t="s">
        <v>136</v>
      </c>
      <c r="F1550" s="138" t="str">
        <f>INDEX(FuncAllocOptions,ROW(A1550)-ROW($A$92)+1,[4]Inputs!$S$11)</f>
        <v>PTD</v>
      </c>
      <c r="G1550" s="117" t="e">
        <f t="shared" si="856"/>
        <v>#VALUE!</v>
      </c>
      <c r="H1550" s="116" t="e">
        <f t="shared" si="857"/>
        <v>#VALUE!</v>
      </c>
      <c r="I1550" s="116" t="e">
        <f t="shared" si="857"/>
        <v>#VALUE!</v>
      </c>
      <c r="J1550" s="116" t="e">
        <f t="shared" si="857"/>
        <v>#VALUE!</v>
      </c>
      <c r="K1550" s="116" t="e">
        <f t="shared" si="857"/>
        <v>#VALUE!</v>
      </c>
      <c r="L1550" s="116" t="e">
        <f t="shared" si="857"/>
        <v>#VALUE!</v>
      </c>
      <c r="N1550" s="108">
        <v>0.75</v>
      </c>
      <c r="O1550" s="116" t="e">
        <f t="shared" si="858"/>
        <v>#VALUE!</v>
      </c>
      <c r="P1550" s="116" t="e">
        <f t="shared" si="859"/>
        <v>#VALUE!</v>
      </c>
      <c r="Q1550" s="116" t="e">
        <f t="shared" si="860"/>
        <v>#VALUE!</v>
      </c>
      <c r="R1550" s="116" t="e">
        <f t="shared" si="861"/>
        <v>#VALUE!</v>
      </c>
      <c r="S1550" s="108">
        <v>0.75</v>
      </c>
      <c r="T1550" s="116" t="e">
        <f t="shared" si="862"/>
        <v>#VALUE!</v>
      </c>
      <c r="U1550" s="116" t="e">
        <f t="shared" si="863"/>
        <v>#VALUE!</v>
      </c>
      <c r="V1550" s="116" t="e">
        <f t="shared" si="864"/>
        <v>#VALUE!</v>
      </c>
      <c r="W1550" s="116" t="e">
        <f t="shared" si="865"/>
        <v>#VALUE!</v>
      </c>
      <c r="X1550" s="3" t="str">
        <f>INDEX(DistFuncAllocOptions,ROW(A1550)-ROW($A$92)+1,[4]Inputs!$S$11)</f>
        <v>PLNT</v>
      </c>
      <c r="Y1550" s="116" t="e">
        <f t="shared" si="866"/>
        <v>#VALUE!</v>
      </c>
      <c r="Z1550" s="116" t="e">
        <f t="shared" si="866"/>
        <v>#VALUE!</v>
      </c>
      <c r="AA1550" s="116" t="e">
        <f t="shared" si="866"/>
        <v>#VALUE!</v>
      </c>
      <c r="AB1550" s="116" t="e">
        <f t="shared" si="866"/>
        <v>#VALUE!</v>
      </c>
      <c r="AC1550" s="116" t="e">
        <f t="shared" si="866"/>
        <v>#VALUE!</v>
      </c>
      <c r="AD1550" s="117" t="e">
        <f t="shared" si="867"/>
        <v>#VALUE!</v>
      </c>
      <c r="AE1550" s="117" t="e">
        <f t="shared" si="868"/>
        <v>#VALUE!</v>
      </c>
      <c r="AF1550" s="117" t="e">
        <f t="shared" si="869"/>
        <v>#VALUE!</v>
      </c>
      <c r="AG1550" s="117" t="e">
        <f t="shared" si="870"/>
        <v>#VALUE!</v>
      </c>
      <c r="AH1550" s="116"/>
      <c r="AI1550">
        <f t="shared" si="816"/>
        <v>392</v>
      </c>
      <c r="AJ1550" t="str">
        <f t="shared" si="811"/>
        <v>SO</v>
      </c>
      <c r="AK1550" t="str">
        <f>IF(ISERROR(MATCH(AI1550&amp;"."&amp;AJ1550,AK$91:AK1549,0)),AI1550&amp;"."&amp;AJ1550,AI1550&amp;"."&amp;AJ1550&amp;COUNTIFS(AI$91:AI1549,AI1550,AJ$91:AJ1549,AJ1550))</f>
        <v>392.SO</v>
      </c>
    </row>
    <row r="1551" spans="1:37" ht="15" hidden="1">
      <c r="A1551" s="120">
        <f>ROW()</f>
        <v>1551</v>
      </c>
      <c r="B1551" s="120"/>
      <c r="C1551" s="1"/>
      <c r="E1551" s="121" t="s">
        <v>15</v>
      </c>
      <c r="F1551" s="138" t="str">
        <f>INDEX(FuncAllocOptions,ROW(A1551)-ROW($A$92)+1,[4]Inputs!$S$11)</f>
        <v>G-SG</v>
      </c>
      <c r="G1551" s="117" t="e">
        <f t="shared" si="856"/>
        <v>#VALUE!</v>
      </c>
      <c r="H1551" s="116" t="e">
        <f t="shared" si="857"/>
        <v>#VALUE!</v>
      </c>
      <c r="I1551" s="116" t="e">
        <f t="shared" si="857"/>
        <v>#VALUE!</v>
      </c>
      <c r="J1551" s="116" t="e">
        <f t="shared" si="857"/>
        <v>#VALUE!</v>
      </c>
      <c r="K1551" s="116" t="e">
        <f t="shared" si="857"/>
        <v>#VALUE!</v>
      </c>
      <c r="L1551" s="116" t="e">
        <f t="shared" si="857"/>
        <v>#VALUE!</v>
      </c>
      <c r="N1551" s="108">
        <v>0.75</v>
      </c>
      <c r="O1551" s="116" t="e">
        <f t="shared" si="858"/>
        <v>#VALUE!</v>
      </c>
      <c r="P1551" s="116" t="e">
        <f t="shared" si="859"/>
        <v>#VALUE!</v>
      </c>
      <c r="Q1551" s="116" t="e">
        <f t="shared" si="860"/>
        <v>#VALUE!</v>
      </c>
      <c r="R1551" s="116" t="e">
        <f t="shared" si="861"/>
        <v>#VALUE!</v>
      </c>
      <c r="S1551" s="108">
        <v>0.75</v>
      </c>
      <c r="T1551" s="116" t="e">
        <f t="shared" si="862"/>
        <v>#VALUE!</v>
      </c>
      <c r="U1551" s="116" t="e">
        <f t="shared" si="863"/>
        <v>#VALUE!</v>
      </c>
      <c r="V1551" s="116" t="e">
        <f t="shared" si="864"/>
        <v>#VALUE!</v>
      </c>
      <c r="W1551" s="116" t="e">
        <f t="shared" si="865"/>
        <v>#VALUE!</v>
      </c>
      <c r="X1551" s="3" t="str">
        <f>INDEX(DistFuncAllocOptions,ROW(A1551)-ROW($A$92)+1,[4]Inputs!$S$11)</f>
        <v>PLNT</v>
      </c>
      <c r="Y1551" s="116" t="e">
        <f t="shared" si="866"/>
        <v>#VALUE!</v>
      </c>
      <c r="Z1551" s="116" t="e">
        <f t="shared" si="866"/>
        <v>#VALUE!</v>
      </c>
      <c r="AA1551" s="116" t="e">
        <f t="shared" si="866"/>
        <v>#VALUE!</v>
      </c>
      <c r="AB1551" s="116" t="e">
        <f t="shared" si="866"/>
        <v>#VALUE!</v>
      </c>
      <c r="AC1551" s="116" t="e">
        <f t="shared" si="866"/>
        <v>#VALUE!</v>
      </c>
      <c r="AD1551" s="117" t="e">
        <f t="shared" si="867"/>
        <v>#VALUE!</v>
      </c>
      <c r="AE1551" s="117" t="e">
        <f t="shared" si="868"/>
        <v>#VALUE!</v>
      </c>
      <c r="AF1551" s="117" t="e">
        <f t="shared" si="869"/>
        <v>#VALUE!</v>
      </c>
      <c r="AG1551" s="117" t="e">
        <f t="shared" si="870"/>
        <v>#VALUE!</v>
      </c>
      <c r="AH1551" s="116"/>
      <c r="AI1551">
        <f t="shared" si="816"/>
        <v>392</v>
      </c>
      <c r="AJ1551" t="str">
        <f t="shared" si="811"/>
        <v>SG</v>
      </c>
      <c r="AK1551" t="str">
        <f>IF(ISERROR(MATCH(AI1551&amp;"."&amp;AJ1551,AK$91:AK1550,0)),AI1551&amp;"."&amp;AJ1551,AI1551&amp;"."&amp;AJ1551&amp;COUNTIFS(AI$91:AI1550,AI1551,AJ$91:AJ1550,AJ1551))</f>
        <v>392.SG</v>
      </c>
    </row>
    <row r="1552" spans="1:37" ht="15" hidden="1">
      <c r="A1552" s="120">
        <f>ROW()</f>
        <v>1552</v>
      </c>
      <c r="B1552" s="120"/>
      <c r="C1552" s="1"/>
      <c r="E1552" s="121" t="s">
        <v>155</v>
      </c>
      <c r="F1552" s="138" t="str">
        <f>INDEX(FuncAllocOptions,ROW(A1552)-ROW($A$92)+1,[4]Inputs!$S$11)</f>
        <v>CUST</v>
      </c>
      <c r="G1552" s="117" t="e">
        <f t="shared" si="856"/>
        <v>#VALUE!</v>
      </c>
      <c r="H1552" s="116" t="e">
        <f t="shared" si="857"/>
        <v>#VALUE!</v>
      </c>
      <c r="I1552" s="116" t="e">
        <f t="shared" si="857"/>
        <v>#VALUE!</v>
      </c>
      <c r="J1552" s="116" t="e">
        <f t="shared" si="857"/>
        <v>#VALUE!</v>
      </c>
      <c r="K1552" s="116" t="e">
        <f t="shared" si="857"/>
        <v>#VALUE!</v>
      </c>
      <c r="L1552" s="116" t="e">
        <f t="shared" si="857"/>
        <v>#VALUE!</v>
      </c>
      <c r="N1552" s="108">
        <v>0.75</v>
      </c>
      <c r="O1552" s="116" t="e">
        <f t="shared" si="858"/>
        <v>#VALUE!</v>
      </c>
      <c r="P1552" s="116" t="e">
        <f t="shared" si="859"/>
        <v>#VALUE!</v>
      </c>
      <c r="Q1552" s="116" t="e">
        <f t="shared" si="860"/>
        <v>#VALUE!</v>
      </c>
      <c r="R1552" s="116" t="e">
        <f t="shared" si="861"/>
        <v>#VALUE!</v>
      </c>
      <c r="S1552" s="108">
        <v>0.75</v>
      </c>
      <c r="T1552" s="116" t="e">
        <f t="shared" si="862"/>
        <v>#VALUE!</v>
      </c>
      <c r="U1552" s="116" t="e">
        <f t="shared" si="863"/>
        <v>#VALUE!</v>
      </c>
      <c r="V1552" s="116" t="e">
        <f t="shared" si="864"/>
        <v>#VALUE!</v>
      </c>
      <c r="W1552" s="116" t="e">
        <f t="shared" si="865"/>
        <v>#VALUE!</v>
      </c>
      <c r="X1552" s="3" t="str">
        <f>INDEX(DistFuncAllocOptions,ROW(A1552)-ROW($A$92)+1,[4]Inputs!$S$11)</f>
        <v>CUST</v>
      </c>
      <c r="Y1552" s="116" t="e">
        <f t="shared" si="866"/>
        <v>#VALUE!</v>
      </c>
      <c r="Z1552" s="116" t="e">
        <f t="shared" si="866"/>
        <v>#VALUE!</v>
      </c>
      <c r="AA1552" s="116" t="e">
        <f t="shared" si="866"/>
        <v>#VALUE!</v>
      </c>
      <c r="AB1552" s="116" t="e">
        <f t="shared" si="866"/>
        <v>#VALUE!</v>
      </c>
      <c r="AC1552" s="116" t="e">
        <f t="shared" si="866"/>
        <v>#VALUE!</v>
      </c>
      <c r="AD1552" s="117" t="e">
        <f t="shared" si="867"/>
        <v>#VALUE!</v>
      </c>
      <c r="AE1552" s="117" t="e">
        <f t="shared" si="868"/>
        <v>#VALUE!</v>
      </c>
      <c r="AF1552" s="117" t="e">
        <f t="shared" si="869"/>
        <v>#VALUE!</v>
      </c>
      <c r="AG1552" s="117" t="e">
        <f t="shared" si="870"/>
        <v>#VALUE!</v>
      </c>
      <c r="AH1552" s="116"/>
      <c r="AI1552">
        <f t="shared" si="816"/>
        <v>392</v>
      </c>
      <c r="AJ1552" t="str">
        <f t="shared" si="811"/>
        <v>CN</v>
      </c>
      <c r="AK1552" t="str">
        <f>IF(ISERROR(MATCH(AI1552&amp;"."&amp;AJ1552,AK$91:AK1551,0)),AI1552&amp;"."&amp;AJ1552,AI1552&amp;"."&amp;AJ1552&amp;COUNTIFS(AI$91:AI1551,AI1552,AJ$91:AJ1551,AJ1552))</f>
        <v>392.CN</v>
      </c>
    </row>
    <row r="1553" spans="1:37" ht="15" hidden="1">
      <c r="A1553" s="120">
        <f>ROW()</f>
        <v>1553</v>
      </c>
      <c r="B1553" s="120"/>
      <c r="C1553" s="1"/>
      <c r="E1553" s="121" t="s">
        <v>15</v>
      </c>
      <c r="F1553" s="138" t="str">
        <f>INDEX(FuncAllocOptions,ROW(A1553)-ROW($A$92)+1,[4]Inputs!$S$11)</f>
        <v>PT</v>
      </c>
      <c r="G1553" s="117" t="e">
        <f t="shared" si="856"/>
        <v>#VALUE!</v>
      </c>
      <c r="H1553" s="116" t="e">
        <f t="shared" si="857"/>
        <v>#VALUE!</v>
      </c>
      <c r="I1553" s="116" t="e">
        <f t="shared" si="857"/>
        <v>#VALUE!</v>
      </c>
      <c r="J1553" s="116" t="e">
        <f t="shared" si="857"/>
        <v>#VALUE!</v>
      </c>
      <c r="K1553" s="116" t="e">
        <f t="shared" si="857"/>
        <v>#VALUE!</v>
      </c>
      <c r="L1553" s="116" t="e">
        <f t="shared" si="857"/>
        <v>#VALUE!</v>
      </c>
      <c r="N1553" s="108">
        <v>0.75</v>
      </c>
      <c r="O1553" s="116" t="e">
        <f t="shared" si="858"/>
        <v>#VALUE!</v>
      </c>
      <c r="P1553" s="116" t="e">
        <f t="shared" si="859"/>
        <v>#VALUE!</v>
      </c>
      <c r="Q1553" s="116" t="e">
        <f t="shared" si="860"/>
        <v>#VALUE!</v>
      </c>
      <c r="R1553" s="116" t="e">
        <f t="shared" si="861"/>
        <v>#VALUE!</v>
      </c>
      <c r="S1553" s="108">
        <v>0.75</v>
      </c>
      <c r="T1553" s="116" t="e">
        <f t="shared" si="862"/>
        <v>#VALUE!</v>
      </c>
      <c r="U1553" s="116" t="e">
        <f t="shared" si="863"/>
        <v>#VALUE!</v>
      </c>
      <c r="V1553" s="116" t="e">
        <f t="shared" si="864"/>
        <v>#VALUE!</v>
      </c>
      <c r="W1553" s="116" t="e">
        <f t="shared" si="865"/>
        <v>#VALUE!</v>
      </c>
      <c r="X1553" s="3" t="str">
        <f>INDEX(DistFuncAllocOptions,ROW(A1553)-ROW($A$92)+1,[4]Inputs!$S$11)</f>
        <v>PLNT</v>
      </c>
      <c r="Y1553" s="116" t="e">
        <f t="shared" si="866"/>
        <v>#VALUE!</v>
      </c>
      <c r="Z1553" s="116" t="e">
        <f t="shared" si="866"/>
        <v>#VALUE!</v>
      </c>
      <c r="AA1553" s="116" t="e">
        <f t="shared" si="866"/>
        <v>#VALUE!</v>
      </c>
      <c r="AB1553" s="116" t="e">
        <f t="shared" si="866"/>
        <v>#VALUE!</v>
      </c>
      <c r="AC1553" s="116" t="e">
        <f t="shared" si="866"/>
        <v>#VALUE!</v>
      </c>
      <c r="AD1553" s="117" t="e">
        <f t="shared" si="867"/>
        <v>#VALUE!</v>
      </c>
      <c r="AE1553" s="117" t="e">
        <f t="shared" si="868"/>
        <v>#VALUE!</v>
      </c>
      <c r="AF1553" s="117" t="e">
        <f t="shared" si="869"/>
        <v>#VALUE!</v>
      </c>
      <c r="AG1553" s="117" t="e">
        <f t="shared" si="870"/>
        <v>#VALUE!</v>
      </c>
      <c r="AH1553" s="116"/>
      <c r="AI1553">
        <f t="shared" si="816"/>
        <v>392</v>
      </c>
      <c r="AJ1553" t="str">
        <f t="shared" si="811"/>
        <v>SG</v>
      </c>
      <c r="AK1553" t="str">
        <f>IF(ISERROR(MATCH(AI1553&amp;"."&amp;AJ1553,AK$91:AK1552,0)),AI1553&amp;"."&amp;AJ1553,AI1553&amp;"."&amp;AJ1553&amp;COUNTIFS(AI$91:AI1552,AI1553,AJ$91:AJ1552,AJ1553))</f>
        <v>392.SG1</v>
      </c>
    </row>
    <row r="1554" spans="1:37" ht="15" hidden="1">
      <c r="A1554" s="120">
        <f>ROW()</f>
        <v>1554</v>
      </c>
      <c r="B1554" s="120"/>
      <c r="C1554" s="1"/>
      <c r="E1554" s="121" t="s">
        <v>16</v>
      </c>
      <c r="F1554" s="138" t="str">
        <f>INDEX(FuncAllocOptions,ROW(A1554)-ROW($A$92)+1,[4]Inputs!$S$11)</f>
        <v>P</v>
      </c>
      <c r="G1554" s="117" t="e">
        <f t="shared" si="856"/>
        <v>#VALUE!</v>
      </c>
      <c r="H1554" s="116" t="e">
        <f t="shared" si="857"/>
        <v>#VALUE!</v>
      </c>
      <c r="I1554" s="116" t="e">
        <f t="shared" si="857"/>
        <v>#VALUE!</v>
      </c>
      <c r="J1554" s="116" t="e">
        <f t="shared" si="857"/>
        <v>#VALUE!</v>
      </c>
      <c r="K1554" s="116" t="e">
        <f t="shared" si="857"/>
        <v>#VALUE!</v>
      </c>
      <c r="L1554" s="116" t="e">
        <f t="shared" si="857"/>
        <v>#VALUE!</v>
      </c>
      <c r="N1554" s="108">
        <v>0</v>
      </c>
      <c r="O1554" s="116" t="e">
        <f t="shared" si="858"/>
        <v>#VALUE!</v>
      </c>
      <c r="P1554" s="116" t="e">
        <f t="shared" si="859"/>
        <v>#VALUE!</v>
      </c>
      <c r="Q1554" s="116" t="e">
        <f t="shared" si="860"/>
        <v>#VALUE!</v>
      </c>
      <c r="R1554" s="116" t="e">
        <f t="shared" si="861"/>
        <v>#VALUE!</v>
      </c>
      <c r="S1554" s="108">
        <v>0</v>
      </c>
      <c r="T1554" s="116" t="e">
        <f t="shared" si="862"/>
        <v>#VALUE!</v>
      </c>
      <c r="U1554" s="116" t="e">
        <f t="shared" si="863"/>
        <v>#VALUE!</v>
      </c>
      <c r="V1554" s="116" t="e">
        <f t="shared" si="864"/>
        <v>#VALUE!</v>
      </c>
      <c r="W1554" s="116" t="e">
        <f t="shared" si="865"/>
        <v>#VALUE!</v>
      </c>
      <c r="X1554" s="3" t="str">
        <f>INDEX(DistFuncAllocOptions,ROW(A1554)-ROW($A$92)+1,[4]Inputs!$S$11)</f>
        <v>PLNT</v>
      </c>
      <c r="Y1554" s="116" t="e">
        <f t="shared" si="866"/>
        <v>#VALUE!</v>
      </c>
      <c r="Z1554" s="116" t="e">
        <f t="shared" si="866"/>
        <v>#VALUE!</v>
      </c>
      <c r="AA1554" s="116" t="e">
        <f t="shared" si="866"/>
        <v>#VALUE!</v>
      </c>
      <c r="AB1554" s="116" t="e">
        <f t="shared" si="866"/>
        <v>#VALUE!</v>
      </c>
      <c r="AC1554" s="116" t="e">
        <f t="shared" si="866"/>
        <v>#VALUE!</v>
      </c>
      <c r="AD1554" s="117" t="e">
        <f t="shared" si="867"/>
        <v>#VALUE!</v>
      </c>
      <c r="AE1554" s="117" t="e">
        <f t="shared" si="868"/>
        <v>#VALUE!</v>
      </c>
      <c r="AF1554" s="117" t="e">
        <f t="shared" si="869"/>
        <v>#VALUE!</v>
      </c>
      <c r="AG1554" s="117" t="e">
        <f t="shared" si="870"/>
        <v>#VALUE!</v>
      </c>
      <c r="AH1554" s="116"/>
      <c r="AI1554">
        <f t="shared" si="816"/>
        <v>392</v>
      </c>
      <c r="AJ1554" t="str">
        <f t="shared" si="811"/>
        <v>SE</v>
      </c>
      <c r="AK1554" t="str">
        <f>IF(ISERROR(MATCH(AI1554&amp;"."&amp;AJ1554,AK$91:AK1553,0)),AI1554&amp;"."&amp;AJ1554,AI1554&amp;"."&amp;AJ1554&amp;COUNTIFS(AI$91:AI1553,AI1554,AJ$91:AJ1553,AJ1554))</f>
        <v>392.SE</v>
      </c>
    </row>
    <row r="1555" spans="1:37" ht="15" hidden="1">
      <c r="A1555" s="120">
        <f>ROW()</f>
        <v>1555</v>
      </c>
      <c r="B1555" s="120"/>
      <c r="C1555" s="1"/>
      <c r="E1555" s="121" t="s">
        <v>15</v>
      </c>
      <c r="F1555" s="138" t="str">
        <f>INDEX(FuncAllocOptions,ROW(A1555)-ROW($A$92)+1,[4]Inputs!$S$11)</f>
        <v>G-DGP</v>
      </c>
      <c r="G1555" s="117" t="e">
        <f t="shared" si="856"/>
        <v>#VALUE!</v>
      </c>
      <c r="H1555" s="116" t="e">
        <f t="shared" si="857"/>
        <v>#VALUE!</v>
      </c>
      <c r="I1555" s="116" t="e">
        <f t="shared" si="857"/>
        <v>#VALUE!</v>
      </c>
      <c r="J1555" s="116" t="e">
        <f t="shared" si="857"/>
        <v>#VALUE!</v>
      </c>
      <c r="K1555" s="116" t="e">
        <f t="shared" si="857"/>
        <v>#VALUE!</v>
      </c>
      <c r="L1555" s="116" t="e">
        <f t="shared" si="857"/>
        <v>#VALUE!</v>
      </c>
      <c r="N1555" s="108">
        <v>0.75</v>
      </c>
      <c r="O1555" s="116" t="e">
        <f t="shared" si="858"/>
        <v>#VALUE!</v>
      </c>
      <c r="P1555" s="116" t="e">
        <f t="shared" si="859"/>
        <v>#VALUE!</v>
      </c>
      <c r="Q1555" s="116" t="e">
        <f t="shared" si="860"/>
        <v>#VALUE!</v>
      </c>
      <c r="R1555" s="116" t="e">
        <f t="shared" si="861"/>
        <v>#VALUE!</v>
      </c>
      <c r="S1555" s="108">
        <v>0.75</v>
      </c>
      <c r="T1555" s="116" t="e">
        <f t="shared" si="862"/>
        <v>#VALUE!</v>
      </c>
      <c r="U1555" s="116" t="e">
        <f t="shared" si="863"/>
        <v>#VALUE!</v>
      </c>
      <c r="V1555" s="116" t="e">
        <f t="shared" si="864"/>
        <v>#VALUE!</v>
      </c>
      <c r="W1555" s="116" t="e">
        <f t="shared" si="865"/>
        <v>#VALUE!</v>
      </c>
      <c r="X1555" s="3" t="str">
        <f>INDEX(DistFuncAllocOptions,ROW(A1555)-ROW($A$92)+1,[4]Inputs!$S$11)</f>
        <v>PLNT</v>
      </c>
      <c r="Y1555" s="116" t="e">
        <f t="shared" si="866"/>
        <v>#VALUE!</v>
      </c>
      <c r="Z1555" s="116" t="e">
        <f t="shared" si="866"/>
        <v>#VALUE!</v>
      </c>
      <c r="AA1555" s="116" t="e">
        <f t="shared" si="866"/>
        <v>#VALUE!</v>
      </c>
      <c r="AB1555" s="116" t="e">
        <f t="shared" si="866"/>
        <v>#VALUE!</v>
      </c>
      <c r="AC1555" s="116" t="e">
        <f t="shared" si="866"/>
        <v>#VALUE!</v>
      </c>
      <c r="AD1555" s="117" t="e">
        <f t="shared" si="867"/>
        <v>#VALUE!</v>
      </c>
      <c r="AE1555" s="117" t="e">
        <f t="shared" si="868"/>
        <v>#VALUE!</v>
      </c>
      <c r="AF1555" s="117" t="e">
        <f t="shared" si="869"/>
        <v>#VALUE!</v>
      </c>
      <c r="AG1555" s="117" t="e">
        <f t="shared" si="870"/>
        <v>#VALUE!</v>
      </c>
      <c r="AH1555" s="116"/>
      <c r="AI1555">
        <f t="shared" si="816"/>
        <v>392</v>
      </c>
      <c r="AJ1555" t="str">
        <f t="shared" si="811"/>
        <v>SG</v>
      </c>
      <c r="AK1555" t="str">
        <f>IF(ISERROR(MATCH(AI1555&amp;"."&amp;AJ1555,AK$91:AK1554,0)),AI1555&amp;"."&amp;AJ1555,AI1555&amp;"."&amp;AJ1555&amp;COUNTIFS(AI$91:AI1554,AI1555,AJ$91:AJ1554,AJ1555))</f>
        <v>392.SG2</v>
      </c>
    </row>
    <row r="1556" spans="1:37" ht="15" hidden="1">
      <c r="A1556" s="120">
        <f>ROW()</f>
        <v>1556</v>
      </c>
      <c r="B1556" s="120"/>
      <c r="C1556" s="1"/>
      <c r="E1556" s="121" t="s">
        <v>15</v>
      </c>
      <c r="F1556" s="138" t="str">
        <f>INDEX(FuncAllocOptions,ROW(A1556)-ROW($A$92)+1,[4]Inputs!$S$11)</f>
        <v>G-SG</v>
      </c>
      <c r="G1556" s="117" t="e">
        <f t="shared" si="856"/>
        <v>#VALUE!</v>
      </c>
      <c r="H1556" s="116" t="e">
        <f t="shared" si="857"/>
        <v>#VALUE!</v>
      </c>
      <c r="I1556" s="116" t="e">
        <f t="shared" si="857"/>
        <v>#VALUE!</v>
      </c>
      <c r="J1556" s="116" t="e">
        <f t="shared" si="857"/>
        <v>#VALUE!</v>
      </c>
      <c r="K1556" s="116" t="e">
        <f t="shared" si="857"/>
        <v>#VALUE!</v>
      </c>
      <c r="L1556" s="116" t="e">
        <f t="shared" si="857"/>
        <v>#VALUE!</v>
      </c>
      <c r="N1556" s="108">
        <v>0.75</v>
      </c>
      <c r="O1556" s="116" t="e">
        <f t="shared" si="858"/>
        <v>#VALUE!</v>
      </c>
      <c r="P1556" s="116" t="e">
        <f t="shared" si="859"/>
        <v>#VALUE!</v>
      </c>
      <c r="Q1556" s="116" t="e">
        <f t="shared" si="860"/>
        <v>#VALUE!</v>
      </c>
      <c r="R1556" s="116" t="e">
        <f t="shared" si="861"/>
        <v>#VALUE!</v>
      </c>
      <c r="S1556" s="108">
        <v>0.75</v>
      </c>
      <c r="T1556" s="116" t="e">
        <f t="shared" si="862"/>
        <v>#VALUE!</v>
      </c>
      <c r="U1556" s="116" t="e">
        <f t="shared" si="863"/>
        <v>#VALUE!</v>
      </c>
      <c r="V1556" s="116" t="e">
        <f t="shared" si="864"/>
        <v>#VALUE!</v>
      </c>
      <c r="W1556" s="116" t="e">
        <f t="shared" si="865"/>
        <v>#VALUE!</v>
      </c>
      <c r="X1556" s="3" t="str">
        <f>INDEX(DistFuncAllocOptions,ROW(A1556)-ROW($A$92)+1,[4]Inputs!$S$11)</f>
        <v>PLNT</v>
      </c>
      <c r="Y1556" s="116" t="e">
        <f t="shared" si="866"/>
        <v>#VALUE!</v>
      </c>
      <c r="Z1556" s="116" t="e">
        <f t="shared" si="866"/>
        <v>#VALUE!</v>
      </c>
      <c r="AA1556" s="116" t="e">
        <f t="shared" si="866"/>
        <v>#VALUE!</v>
      </c>
      <c r="AB1556" s="116" t="e">
        <f t="shared" si="866"/>
        <v>#VALUE!</v>
      </c>
      <c r="AC1556" s="116" t="e">
        <f t="shared" si="866"/>
        <v>#VALUE!</v>
      </c>
      <c r="AD1556" s="117" t="e">
        <f t="shared" si="867"/>
        <v>#VALUE!</v>
      </c>
      <c r="AE1556" s="117" t="e">
        <f t="shared" si="868"/>
        <v>#VALUE!</v>
      </c>
      <c r="AF1556" s="117" t="e">
        <f t="shared" si="869"/>
        <v>#VALUE!</v>
      </c>
      <c r="AG1556" s="117" t="e">
        <f t="shared" si="870"/>
        <v>#VALUE!</v>
      </c>
      <c r="AH1556" s="116"/>
      <c r="AI1556">
        <f t="shared" si="816"/>
        <v>392</v>
      </c>
      <c r="AJ1556" t="str">
        <f t="shared" si="811"/>
        <v>SG</v>
      </c>
      <c r="AK1556" t="str">
        <f>IF(ISERROR(MATCH(AI1556&amp;"."&amp;AJ1556,AK$91:AK1555,0)),AI1556&amp;"."&amp;AJ1556,AI1556&amp;"."&amp;AJ1556&amp;COUNTIFS(AI$91:AI1555,AI1556,AJ$91:AJ1555,AJ1556))</f>
        <v>392.SG3</v>
      </c>
    </row>
    <row r="1557" spans="1:37" ht="15" hidden="1">
      <c r="A1557" s="120">
        <f>ROW()</f>
        <v>1557</v>
      </c>
      <c r="B1557" s="120"/>
      <c r="C1557" s="1"/>
      <c r="E1557" s="121" t="s">
        <v>15</v>
      </c>
      <c r="F1557" s="138" t="str">
        <f>INDEX(FuncAllocOptions,ROW(A1557)-ROW($A$92)+1,[4]Inputs!$S$11)</f>
        <v>G-DGU</v>
      </c>
      <c r="G1557" s="133" t="e">
        <f t="shared" si="856"/>
        <v>#VALUE!</v>
      </c>
      <c r="H1557" s="139" t="e">
        <f t="shared" si="857"/>
        <v>#VALUE!</v>
      </c>
      <c r="I1557" s="139" t="e">
        <f t="shared" si="857"/>
        <v>#VALUE!</v>
      </c>
      <c r="J1557" s="139" t="e">
        <f t="shared" si="857"/>
        <v>#VALUE!</v>
      </c>
      <c r="K1557" s="139" t="e">
        <f t="shared" si="857"/>
        <v>#VALUE!</v>
      </c>
      <c r="L1557" s="139" t="e">
        <f t="shared" si="857"/>
        <v>#VALUE!</v>
      </c>
      <c r="N1557" s="108">
        <v>0.75</v>
      </c>
      <c r="O1557" s="116" t="e">
        <f t="shared" si="858"/>
        <v>#VALUE!</v>
      </c>
      <c r="P1557" s="116" t="e">
        <f t="shared" si="859"/>
        <v>#VALUE!</v>
      </c>
      <c r="Q1557" s="116" t="e">
        <f t="shared" si="860"/>
        <v>#VALUE!</v>
      </c>
      <c r="R1557" s="116" t="e">
        <f t="shared" si="861"/>
        <v>#VALUE!</v>
      </c>
      <c r="S1557" s="108">
        <v>0.75</v>
      </c>
      <c r="T1557" s="116" t="e">
        <f t="shared" si="862"/>
        <v>#VALUE!</v>
      </c>
      <c r="U1557" s="116" t="e">
        <f t="shared" si="863"/>
        <v>#VALUE!</v>
      </c>
      <c r="V1557" s="116" t="e">
        <f t="shared" si="864"/>
        <v>#VALUE!</v>
      </c>
      <c r="W1557" s="116" t="e">
        <f t="shared" si="865"/>
        <v>#VALUE!</v>
      </c>
      <c r="X1557" s="3" t="str">
        <f>INDEX(DistFuncAllocOptions,ROW(A1557)-ROW($A$92)+1,[4]Inputs!$S$11)</f>
        <v>PLNT</v>
      </c>
      <c r="Y1557" s="116" t="e">
        <f t="shared" si="866"/>
        <v>#VALUE!</v>
      </c>
      <c r="Z1557" s="116" t="e">
        <f t="shared" si="866"/>
        <v>#VALUE!</v>
      </c>
      <c r="AA1557" s="116" t="e">
        <f t="shared" si="866"/>
        <v>#VALUE!</v>
      </c>
      <c r="AB1557" s="116" t="e">
        <f t="shared" si="866"/>
        <v>#VALUE!</v>
      </c>
      <c r="AC1557" s="116" t="e">
        <f t="shared" si="866"/>
        <v>#VALUE!</v>
      </c>
      <c r="AD1557" s="117" t="e">
        <f t="shared" si="867"/>
        <v>#VALUE!</v>
      </c>
      <c r="AE1557" s="117" t="e">
        <f t="shared" si="868"/>
        <v>#VALUE!</v>
      </c>
      <c r="AF1557" s="117" t="e">
        <f t="shared" si="869"/>
        <v>#VALUE!</v>
      </c>
      <c r="AG1557" s="117" t="e">
        <f t="shared" si="870"/>
        <v>#VALUE!</v>
      </c>
      <c r="AH1557" s="116"/>
      <c r="AI1557">
        <f t="shared" si="816"/>
        <v>392</v>
      </c>
      <c r="AJ1557" t="str">
        <f t="shared" si="811"/>
        <v>SG</v>
      </c>
      <c r="AK1557" t="str">
        <f>IF(ISERROR(MATCH(AI1557&amp;"."&amp;AJ1557,AK$91:AK1556,0)),AI1557&amp;"."&amp;AJ1557,AI1557&amp;"."&amp;AJ1557&amp;COUNTIFS(AI$91:AI1556,AI1557,AJ$91:AJ1556,AJ1557))</f>
        <v>392.SG4</v>
      </c>
    </row>
    <row r="1558" spans="1:37" ht="15" hidden="1">
      <c r="A1558" s="120">
        <f>ROW()</f>
        <v>1558</v>
      </c>
      <c r="B1558" s="120"/>
      <c r="C1558" s="1"/>
      <c r="E1558" s="121"/>
      <c r="F1558" s="138"/>
      <c r="G1558" s="117" t="e">
        <f t="shared" ref="G1558:L1558" si="871">SUM(G1549:G1557)</f>
        <v>#VALUE!</v>
      </c>
      <c r="H1558" s="116" t="e">
        <f t="shared" si="871"/>
        <v>#VALUE!</v>
      </c>
      <c r="I1558" s="116" t="e">
        <f t="shared" si="871"/>
        <v>#VALUE!</v>
      </c>
      <c r="J1558" s="116" t="e">
        <f t="shared" si="871"/>
        <v>#VALUE!</v>
      </c>
      <c r="K1558" s="116" t="e">
        <f t="shared" si="871"/>
        <v>#VALUE!</v>
      </c>
      <c r="L1558" s="116" t="e">
        <f t="shared" si="871"/>
        <v>#VALUE!</v>
      </c>
      <c r="O1558" s="116" t="e">
        <f>SUM(O1549:O1557)</f>
        <v>#VALUE!</v>
      </c>
      <c r="P1558" s="116" t="e">
        <f>SUM(P1549:P1557)</f>
        <v>#VALUE!</v>
      </c>
      <c r="Q1558" s="116" t="e">
        <f>SUM(Q1549:Q1557)</f>
        <v>#VALUE!</v>
      </c>
      <c r="R1558" s="116" t="e">
        <f>SUM(R1549:R1557)</f>
        <v>#VALUE!</v>
      </c>
      <c r="S1558" s="116"/>
      <c r="T1558" s="116" t="e">
        <f>SUM(T1549:T1557)</f>
        <v>#VALUE!</v>
      </c>
      <c r="U1558" s="116" t="e">
        <f>SUM(U1549:U1557)</f>
        <v>#VALUE!</v>
      </c>
      <c r="V1558" s="116" t="e">
        <f>SUM(V1549:V1557)</f>
        <v>#VALUE!</v>
      </c>
      <c r="W1558" s="116" t="e">
        <f>SUM(W1549:W1557)</f>
        <v>#VALUE!</v>
      </c>
      <c r="X1558" s="3"/>
      <c r="Y1558" s="116" t="e">
        <f>SUM(Y1549:Y1557)</f>
        <v>#VALUE!</v>
      </c>
      <c r="Z1558" s="116" t="e">
        <f>SUM(Z1549:Z1557)</f>
        <v>#VALUE!</v>
      </c>
      <c r="AA1558" s="116" t="e">
        <f>SUM(AA1549:AA1557)</f>
        <v>#VALUE!</v>
      </c>
      <c r="AB1558" s="116" t="e">
        <f>SUM(AB1549:AB1557)</f>
        <v>#VALUE!</v>
      </c>
      <c r="AC1558" s="116" t="e">
        <f>SUM(AC1549:AC1557)</f>
        <v>#VALUE!</v>
      </c>
      <c r="AD1558" s="117" t="e">
        <f t="shared" si="867"/>
        <v>#VALUE!</v>
      </c>
      <c r="AE1558" s="117" t="e">
        <f t="shared" si="868"/>
        <v>#VALUE!</v>
      </c>
      <c r="AF1558" s="117" t="e">
        <f t="shared" si="869"/>
        <v>#VALUE!</v>
      </c>
      <c r="AG1558" s="117" t="e">
        <f t="shared" si="870"/>
        <v>#VALUE!</v>
      </c>
      <c r="AH1558" s="116"/>
      <c r="AI1558">
        <f t="shared" si="816"/>
        <v>392</v>
      </c>
      <c r="AJ1558" t="str">
        <f t="shared" si="811"/>
        <v>NA</v>
      </c>
      <c r="AK1558" t="str">
        <f>IF(ISERROR(MATCH(AI1558&amp;"."&amp;AJ1558,AK$91:AK1557,0)),AI1558&amp;"."&amp;AJ1558,AI1558&amp;"."&amp;AJ1558&amp;COUNTIFS(AI$91:AI1557,AI1558,AJ$91:AJ1557,AJ1558))</f>
        <v>392.NA1</v>
      </c>
    </row>
    <row r="1559" spans="1:37" ht="15" hidden="1">
      <c r="A1559" s="120">
        <f>ROW()</f>
        <v>1559</v>
      </c>
      <c r="B1559" s="120"/>
      <c r="C1559" s="1"/>
      <c r="E1559" s="121"/>
      <c r="F1559" s="138"/>
      <c r="G1559" s="119"/>
      <c r="X1559" s="3"/>
      <c r="AD1559" s="119"/>
      <c r="AE1559" s="119"/>
      <c r="AF1559" s="119"/>
      <c r="AG1559" s="119"/>
      <c r="AI1559">
        <f t="shared" si="816"/>
        <v>392</v>
      </c>
      <c r="AJ1559" t="str">
        <f t="shared" si="811"/>
        <v>NA</v>
      </c>
      <c r="AK1559" t="str">
        <f>IF(ISERROR(MATCH(AI1559&amp;"."&amp;AJ1559,AK$91:AK1558,0)),AI1559&amp;"."&amp;AJ1559,AI1559&amp;"."&amp;AJ1559&amp;COUNTIFS(AI$91:AI1558,AI1559,AJ$91:AJ1558,AJ1559))</f>
        <v>392.NA2</v>
      </c>
    </row>
    <row r="1560" spans="1:37" ht="15" hidden="1">
      <c r="A1560" s="120">
        <f>ROW()</f>
        <v>1560</v>
      </c>
      <c r="B1560" s="120"/>
      <c r="C1560" s="1">
        <v>393</v>
      </c>
      <c r="D1560" s="2" t="s">
        <v>561</v>
      </c>
      <c r="E1560" s="121"/>
      <c r="F1560" s="138"/>
      <c r="G1560" s="119"/>
      <c r="X1560" s="3"/>
      <c r="AD1560" s="119"/>
      <c r="AE1560" s="119"/>
      <c r="AF1560" s="119"/>
      <c r="AG1560" s="119"/>
      <c r="AI1560">
        <f t="shared" si="816"/>
        <v>393</v>
      </c>
      <c r="AJ1560" t="str">
        <f t="shared" si="811"/>
        <v>NA</v>
      </c>
      <c r="AK1560" t="str">
        <f>IF(ISERROR(MATCH(AI1560&amp;"."&amp;AJ1560,AK$91:AK1559,0)),AI1560&amp;"."&amp;AJ1560,AI1560&amp;"."&amp;AJ1560&amp;COUNTIFS(AI$91:AI1559,AI1560,AJ$91:AJ1559,AJ1560))</f>
        <v>393.NA</v>
      </c>
    </row>
    <row r="1561" spans="1:37" ht="15" hidden="1">
      <c r="A1561" s="120">
        <f>ROW()</f>
        <v>1561</v>
      </c>
      <c r="B1561" s="120"/>
      <c r="C1561" s="1"/>
      <c r="E1561" s="121" t="s">
        <v>12</v>
      </c>
      <c r="F1561" s="138" t="str">
        <f>INDEX(FuncAllocOptions,ROW(A1561)-ROW($A$92)+1,[4]Inputs!$S$11)</f>
        <v>G-SITUS</v>
      </c>
      <c r="G1561" s="117" t="e">
        <f t="shared" ref="G1561:G1566" si="872">SUMIF(FERCJAMFactor,AK1561,JAMValue)</f>
        <v>#VALUE!</v>
      </c>
      <c r="H1561" s="116" t="e">
        <f t="shared" ref="H1561:L1566" si="873">INDEX(FuncFactorTbl,MATCH($F1561,FuncFactors,0),MATCH(H$8,Functions,0))*$G1561</f>
        <v>#VALUE!</v>
      </c>
      <c r="I1561" s="116" t="e">
        <f t="shared" si="873"/>
        <v>#VALUE!</v>
      </c>
      <c r="J1561" s="116" t="e">
        <f t="shared" si="873"/>
        <v>#VALUE!</v>
      </c>
      <c r="K1561" s="116" t="e">
        <f t="shared" si="873"/>
        <v>#VALUE!</v>
      </c>
      <c r="L1561" s="116" t="e">
        <f t="shared" si="873"/>
        <v>#VALUE!</v>
      </c>
      <c r="N1561" s="108">
        <v>0.75</v>
      </c>
      <c r="O1561" s="116" t="e">
        <f t="shared" ref="O1561:O1566" si="874">$H1561*$N1561*$M1561</f>
        <v>#VALUE!</v>
      </c>
      <c r="P1561" s="116" t="e">
        <f t="shared" ref="P1561:P1566" si="875">$H1561*(1-$N1561)*$M1561</f>
        <v>#VALUE!</v>
      </c>
      <c r="Q1561" s="116" t="e">
        <f t="shared" ref="Q1561:Q1566" si="876">$H1561*$N1561*(1-$M1561)</f>
        <v>#VALUE!</v>
      </c>
      <c r="R1561" s="116" t="e">
        <f t="shared" ref="R1561:R1566" si="877">$H1561*(1-$N1561)*(1-$M1561)</f>
        <v>#VALUE!</v>
      </c>
      <c r="S1561" s="108">
        <v>0.75</v>
      </c>
      <c r="T1561" s="116" t="e">
        <f t="shared" ref="T1561:T1566" si="878">$I1561*$S1561*$M1561</f>
        <v>#VALUE!</v>
      </c>
      <c r="U1561" s="116" t="e">
        <f t="shared" ref="U1561:U1566" si="879">$I1561*(1-$S1561)*$M1561</f>
        <v>#VALUE!</v>
      </c>
      <c r="V1561" s="116" t="e">
        <f t="shared" ref="V1561:V1566" si="880">$I1561*$S1561*(1-$M1561)</f>
        <v>#VALUE!</v>
      </c>
      <c r="W1561" s="116" t="e">
        <f t="shared" ref="W1561:W1566" si="881">$I1561*(1-$S1561)*(1-$M1561)</f>
        <v>#VALUE!</v>
      </c>
      <c r="X1561" s="3" t="str">
        <f>INDEX(DistFuncAllocOptions,ROW(A1561)-ROW($A$92)+1,[4]Inputs!$S$11)</f>
        <v>PLNT</v>
      </c>
      <c r="Y1561" s="116" t="e">
        <f t="shared" ref="Y1561:AC1566" si="882">INDEX(DistFuncFactorTbl,MATCH($X1561,DistFuncFactors,0),MATCH(Y$91,DistFunctions,0))*$J1561</f>
        <v>#VALUE!</v>
      </c>
      <c r="Z1561" s="116" t="e">
        <f t="shared" si="882"/>
        <v>#VALUE!</v>
      </c>
      <c r="AA1561" s="116" t="e">
        <f t="shared" si="882"/>
        <v>#VALUE!</v>
      </c>
      <c r="AB1561" s="116" t="e">
        <f t="shared" si="882"/>
        <v>#VALUE!</v>
      </c>
      <c r="AC1561" s="116" t="e">
        <f t="shared" si="882"/>
        <v>#VALUE!</v>
      </c>
      <c r="AD1561" s="117" t="e">
        <f t="shared" ref="AD1561:AD1567" si="883">ROUND(SUM(-G1561,H1561:L1561),0)</f>
        <v>#VALUE!</v>
      </c>
      <c r="AE1561" s="117" t="e">
        <f t="shared" ref="AE1561:AE1567" si="884">ROUND(H1561-O1561-P1561-Q1561-R1561,0)</f>
        <v>#VALUE!</v>
      </c>
      <c r="AF1561" s="117" t="e">
        <f t="shared" ref="AF1561:AF1567" si="885">ROUND(I1561-T1561-U1561-V1561-W1561,0)</f>
        <v>#VALUE!</v>
      </c>
      <c r="AG1561" s="117" t="e">
        <f t="shared" ref="AG1561:AG1567" si="886">ROUND(J1561-Y1561-Z1561-AA1561-AC1561-AB1561,0)</f>
        <v>#VALUE!</v>
      </c>
      <c r="AH1561" s="116"/>
      <c r="AI1561">
        <f t="shared" si="816"/>
        <v>393</v>
      </c>
      <c r="AJ1561" t="str">
        <f t="shared" si="811"/>
        <v>S</v>
      </c>
      <c r="AK1561" t="str">
        <f>IF(ISERROR(MATCH(AI1561&amp;"."&amp;AJ1561,AK$91:AK1560,0)),AI1561&amp;"."&amp;AJ1561,AI1561&amp;"."&amp;AJ1561&amp;COUNTIFS(AI$91:AI1560,AI1561,AJ$91:AJ1560,AJ1561))</f>
        <v>393.S</v>
      </c>
    </row>
    <row r="1562" spans="1:37" ht="15" hidden="1">
      <c r="A1562" s="120">
        <f>ROW()</f>
        <v>1562</v>
      </c>
      <c r="B1562" s="120"/>
      <c r="C1562" s="1"/>
      <c r="E1562" s="121" t="s">
        <v>15</v>
      </c>
      <c r="F1562" s="138" t="str">
        <f>INDEX(FuncAllocOptions,ROW(A1562)-ROW($A$92)+1,[4]Inputs!$S$11)</f>
        <v>PT</v>
      </c>
      <c r="G1562" s="117" t="e">
        <f t="shared" si="872"/>
        <v>#VALUE!</v>
      </c>
      <c r="H1562" s="116" t="e">
        <f t="shared" si="873"/>
        <v>#VALUE!</v>
      </c>
      <c r="I1562" s="116" t="e">
        <f t="shared" si="873"/>
        <v>#VALUE!</v>
      </c>
      <c r="J1562" s="116" t="e">
        <f t="shared" si="873"/>
        <v>#VALUE!</v>
      </c>
      <c r="K1562" s="116" t="e">
        <f t="shared" si="873"/>
        <v>#VALUE!</v>
      </c>
      <c r="L1562" s="116" t="e">
        <f t="shared" si="873"/>
        <v>#VALUE!</v>
      </c>
      <c r="N1562" s="108">
        <v>0.75</v>
      </c>
      <c r="O1562" s="116" t="e">
        <f t="shared" si="874"/>
        <v>#VALUE!</v>
      </c>
      <c r="P1562" s="116" t="e">
        <f t="shared" si="875"/>
        <v>#VALUE!</v>
      </c>
      <c r="Q1562" s="116" t="e">
        <f t="shared" si="876"/>
        <v>#VALUE!</v>
      </c>
      <c r="R1562" s="116" t="e">
        <f t="shared" si="877"/>
        <v>#VALUE!</v>
      </c>
      <c r="S1562" s="108">
        <v>0.75</v>
      </c>
      <c r="T1562" s="116" t="e">
        <f t="shared" si="878"/>
        <v>#VALUE!</v>
      </c>
      <c r="U1562" s="116" t="e">
        <f t="shared" si="879"/>
        <v>#VALUE!</v>
      </c>
      <c r="V1562" s="116" t="e">
        <f t="shared" si="880"/>
        <v>#VALUE!</v>
      </c>
      <c r="W1562" s="116" t="e">
        <f t="shared" si="881"/>
        <v>#VALUE!</v>
      </c>
      <c r="X1562" s="3" t="str">
        <f>INDEX(DistFuncAllocOptions,ROW(A1562)-ROW($A$92)+1,[4]Inputs!$S$11)</f>
        <v>PLNT</v>
      </c>
      <c r="Y1562" s="116" t="e">
        <f t="shared" si="882"/>
        <v>#VALUE!</v>
      </c>
      <c r="Z1562" s="116" t="e">
        <f t="shared" si="882"/>
        <v>#VALUE!</v>
      </c>
      <c r="AA1562" s="116" t="e">
        <f t="shared" si="882"/>
        <v>#VALUE!</v>
      </c>
      <c r="AB1562" s="116" t="e">
        <f t="shared" si="882"/>
        <v>#VALUE!</v>
      </c>
      <c r="AC1562" s="116" t="e">
        <f t="shared" si="882"/>
        <v>#VALUE!</v>
      </c>
      <c r="AD1562" s="117" t="e">
        <f t="shared" si="883"/>
        <v>#VALUE!</v>
      </c>
      <c r="AE1562" s="117" t="e">
        <f t="shared" si="884"/>
        <v>#VALUE!</v>
      </c>
      <c r="AF1562" s="117" t="e">
        <f t="shared" si="885"/>
        <v>#VALUE!</v>
      </c>
      <c r="AG1562" s="117" t="e">
        <f t="shared" si="886"/>
        <v>#VALUE!</v>
      </c>
      <c r="AH1562" s="116"/>
      <c r="AI1562">
        <f t="shared" si="816"/>
        <v>393</v>
      </c>
      <c r="AJ1562" t="str">
        <f t="shared" si="811"/>
        <v>SG</v>
      </c>
      <c r="AK1562" t="str">
        <f>IF(ISERROR(MATCH(AI1562&amp;"."&amp;AJ1562,AK$91:AK1561,0)),AI1562&amp;"."&amp;AJ1562,AI1562&amp;"."&amp;AJ1562&amp;COUNTIFS(AI$91:AI1561,AI1562,AJ$91:AJ1561,AJ1562))</f>
        <v>393.SG</v>
      </c>
    </row>
    <row r="1563" spans="1:37" ht="15" hidden="1">
      <c r="A1563" s="120">
        <f>ROW()</f>
        <v>1563</v>
      </c>
      <c r="B1563" s="120"/>
      <c r="C1563" s="1"/>
      <c r="E1563" s="121" t="s">
        <v>15</v>
      </c>
      <c r="F1563" s="138" t="str">
        <f>INDEX(FuncAllocOptions,ROW(A1563)-ROW($A$92)+1,[4]Inputs!$S$11)</f>
        <v>PT</v>
      </c>
      <c r="G1563" s="117" t="e">
        <f t="shared" si="872"/>
        <v>#VALUE!</v>
      </c>
      <c r="H1563" s="116" t="e">
        <f t="shared" si="873"/>
        <v>#VALUE!</v>
      </c>
      <c r="I1563" s="116" t="e">
        <f t="shared" si="873"/>
        <v>#VALUE!</v>
      </c>
      <c r="J1563" s="116" t="e">
        <f t="shared" si="873"/>
        <v>#VALUE!</v>
      </c>
      <c r="K1563" s="116" t="e">
        <f t="shared" si="873"/>
        <v>#VALUE!</v>
      </c>
      <c r="L1563" s="116" t="e">
        <f t="shared" si="873"/>
        <v>#VALUE!</v>
      </c>
      <c r="N1563" s="108">
        <v>0.75</v>
      </c>
      <c r="O1563" s="116" t="e">
        <f t="shared" si="874"/>
        <v>#VALUE!</v>
      </c>
      <c r="P1563" s="116" t="e">
        <f t="shared" si="875"/>
        <v>#VALUE!</v>
      </c>
      <c r="Q1563" s="116" t="e">
        <f t="shared" si="876"/>
        <v>#VALUE!</v>
      </c>
      <c r="R1563" s="116" t="e">
        <f t="shared" si="877"/>
        <v>#VALUE!</v>
      </c>
      <c r="S1563" s="108">
        <v>0.75</v>
      </c>
      <c r="T1563" s="116" t="e">
        <f t="shared" si="878"/>
        <v>#VALUE!</v>
      </c>
      <c r="U1563" s="116" t="e">
        <f t="shared" si="879"/>
        <v>#VALUE!</v>
      </c>
      <c r="V1563" s="116" t="e">
        <f t="shared" si="880"/>
        <v>#VALUE!</v>
      </c>
      <c r="W1563" s="116" t="e">
        <f t="shared" si="881"/>
        <v>#VALUE!</v>
      </c>
      <c r="X1563" s="3" t="str">
        <f>INDEX(DistFuncAllocOptions,ROW(A1563)-ROW($A$92)+1,[4]Inputs!$S$11)</f>
        <v>PLNT</v>
      </c>
      <c r="Y1563" s="116" t="e">
        <f t="shared" si="882"/>
        <v>#VALUE!</v>
      </c>
      <c r="Z1563" s="116" t="e">
        <f t="shared" si="882"/>
        <v>#VALUE!</v>
      </c>
      <c r="AA1563" s="116" t="e">
        <f t="shared" si="882"/>
        <v>#VALUE!</v>
      </c>
      <c r="AB1563" s="116" t="e">
        <f t="shared" si="882"/>
        <v>#VALUE!</v>
      </c>
      <c r="AC1563" s="116" t="e">
        <f t="shared" si="882"/>
        <v>#VALUE!</v>
      </c>
      <c r="AD1563" s="117" t="e">
        <f t="shared" si="883"/>
        <v>#VALUE!</v>
      </c>
      <c r="AE1563" s="117" t="e">
        <f t="shared" si="884"/>
        <v>#VALUE!</v>
      </c>
      <c r="AF1563" s="117" t="e">
        <f t="shared" si="885"/>
        <v>#VALUE!</v>
      </c>
      <c r="AG1563" s="117" t="e">
        <f t="shared" si="886"/>
        <v>#VALUE!</v>
      </c>
      <c r="AH1563" s="116"/>
      <c r="AI1563">
        <f t="shared" si="816"/>
        <v>393</v>
      </c>
      <c r="AJ1563" t="str">
        <f t="shared" si="811"/>
        <v>SG</v>
      </c>
      <c r="AK1563" t="str">
        <f>IF(ISERROR(MATCH(AI1563&amp;"."&amp;AJ1563,AK$91:AK1562,0)),AI1563&amp;"."&amp;AJ1563,AI1563&amp;"."&amp;AJ1563&amp;COUNTIFS(AI$91:AI1562,AI1563,AJ$91:AJ1562,AJ1563))</f>
        <v>393.SG1</v>
      </c>
    </row>
    <row r="1564" spans="1:37" ht="15" hidden="1">
      <c r="A1564" s="120">
        <f>ROW()</f>
        <v>1564</v>
      </c>
      <c r="B1564" s="120"/>
      <c r="C1564" s="1"/>
      <c r="E1564" s="121" t="s">
        <v>136</v>
      </c>
      <c r="F1564" s="138" t="str">
        <f>INDEX(FuncAllocOptions,ROW(A1564)-ROW($A$92)+1,[4]Inputs!$S$11)</f>
        <v>PTD</v>
      </c>
      <c r="G1564" s="117" t="e">
        <f t="shared" si="872"/>
        <v>#VALUE!</v>
      </c>
      <c r="H1564" s="116" t="e">
        <f t="shared" si="873"/>
        <v>#VALUE!</v>
      </c>
      <c r="I1564" s="116" t="e">
        <f t="shared" si="873"/>
        <v>#VALUE!</v>
      </c>
      <c r="J1564" s="116" t="e">
        <f t="shared" si="873"/>
        <v>#VALUE!</v>
      </c>
      <c r="K1564" s="116" t="e">
        <f t="shared" si="873"/>
        <v>#VALUE!</v>
      </c>
      <c r="L1564" s="116" t="e">
        <f t="shared" si="873"/>
        <v>#VALUE!</v>
      </c>
      <c r="N1564" s="108">
        <v>0.75</v>
      </c>
      <c r="O1564" s="116" t="e">
        <f t="shared" si="874"/>
        <v>#VALUE!</v>
      </c>
      <c r="P1564" s="116" t="e">
        <f t="shared" si="875"/>
        <v>#VALUE!</v>
      </c>
      <c r="Q1564" s="116" t="e">
        <f t="shared" si="876"/>
        <v>#VALUE!</v>
      </c>
      <c r="R1564" s="116" t="e">
        <f t="shared" si="877"/>
        <v>#VALUE!</v>
      </c>
      <c r="S1564" s="108">
        <v>0.75</v>
      </c>
      <c r="T1564" s="116" t="e">
        <f t="shared" si="878"/>
        <v>#VALUE!</v>
      </c>
      <c r="U1564" s="116" t="e">
        <f t="shared" si="879"/>
        <v>#VALUE!</v>
      </c>
      <c r="V1564" s="116" t="e">
        <f t="shared" si="880"/>
        <v>#VALUE!</v>
      </c>
      <c r="W1564" s="116" t="e">
        <f t="shared" si="881"/>
        <v>#VALUE!</v>
      </c>
      <c r="X1564" s="3" t="str">
        <f>INDEX(DistFuncAllocOptions,ROW(A1564)-ROW($A$92)+1,[4]Inputs!$S$11)</f>
        <v>PLNT</v>
      </c>
      <c r="Y1564" s="116" t="e">
        <f t="shared" si="882"/>
        <v>#VALUE!</v>
      </c>
      <c r="Z1564" s="116" t="e">
        <f t="shared" si="882"/>
        <v>#VALUE!</v>
      </c>
      <c r="AA1564" s="116" t="e">
        <f t="shared" si="882"/>
        <v>#VALUE!</v>
      </c>
      <c r="AB1564" s="116" t="e">
        <f t="shared" si="882"/>
        <v>#VALUE!</v>
      </c>
      <c r="AC1564" s="116" t="e">
        <f t="shared" si="882"/>
        <v>#VALUE!</v>
      </c>
      <c r="AD1564" s="117" t="e">
        <f t="shared" si="883"/>
        <v>#VALUE!</v>
      </c>
      <c r="AE1564" s="117" t="e">
        <f t="shared" si="884"/>
        <v>#VALUE!</v>
      </c>
      <c r="AF1564" s="117" t="e">
        <f t="shared" si="885"/>
        <v>#VALUE!</v>
      </c>
      <c r="AG1564" s="117" t="e">
        <f t="shared" si="886"/>
        <v>#VALUE!</v>
      </c>
      <c r="AH1564" s="116"/>
      <c r="AI1564">
        <f t="shared" si="816"/>
        <v>393</v>
      </c>
      <c r="AJ1564" t="str">
        <f t="shared" si="811"/>
        <v>SO</v>
      </c>
      <c r="AK1564" t="str">
        <f>IF(ISERROR(MATCH(AI1564&amp;"."&amp;AJ1564,AK$91:AK1563,0)),AI1564&amp;"."&amp;AJ1564,AI1564&amp;"."&amp;AJ1564&amp;COUNTIFS(AI$91:AI1563,AI1564,AJ$91:AJ1563,AJ1564))</f>
        <v>393.SO</v>
      </c>
    </row>
    <row r="1565" spans="1:37" ht="15" hidden="1">
      <c r="A1565" s="120">
        <f>ROW()</f>
        <v>1565</v>
      </c>
      <c r="B1565" s="120"/>
      <c r="C1565" s="1"/>
      <c r="E1565" s="121" t="s">
        <v>15</v>
      </c>
      <c r="F1565" s="138" t="str">
        <f>INDEX(FuncAllocOptions,ROW(A1565)-ROW($A$92)+1,[4]Inputs!$S$11)</f>
        <v>G-SG</v>
      </c>
      <c r="G1565" s="117" t="e">
        <f t="shared" si="872"/>
        <v>#VALUE!</v>
      </c>
      <c r="H1565" s="116" t="e">
        <f t="shared" si="873"/>
        <v>#VALUE!</v>
      </c>
      <c r="I1565" s="116" t="e">
        <f t="shared" si="873"/>
        <v>#VALUE!</v>
      </c>
      <c r="J1565" s="116" t="e">
        <f t="shared" si="873"/>
        <v>#VALUE!</v>
      </c>
      <c r="K1565" s="116" t="e">
        <f t="shared" si="873"/>
        <v>#VALUE!</v>
      </c>
      <c r="L1565" s="116" t="e">
        <f t="shared" si="873"/>
        <v>#VALUE!</v>
      </c>
      <c r="N1565" s="108">
        <v>0.75</v>
      </c>
      <c r="O1565" s="116" t="e">
        <f t="shared" si="874"/>
        <v>#VALUE!</v>
      </c>
      <c r="P1565" s="116" t="e">
        <f t="shared" si="875"/>
        <v>#VALUE!</v>
      </c>
      <c r="Q1565" s="116" t="e">
        <f t="shared" si="876"/>
        <v>#VALUE!</v>
      </c>
      <c r="R1565" s="116" t="e">
        <f t="shared" si="877"/>
        <v>#VALUE!</v>
      </c>
      <c r="S1565" s="108">
        <v>0.75</v>
      </c>
      <c r="T1565" s="116" t="e">
        <f t="shared" si="878"/>
        <v>#VALUE!</v>
      </c>
      <c r="U1565" s="116" t="e">
        <f t="shared" si="879"/>
        <v>#VALUE!</v>
      </c>
      <c r="V1565" s="116" t="e">
        <f t="shared" si="880"/>
        <v>#VALUE!</v>
      </c>
      <c r="W1565" s="116" t="e">
        <f t="shared" si="881"/>
        <v>#VALUE!</v>
      </c>
      <c r="X1565" s="3" t="str">
        <f>INDEX(DistFuncAllocOptions,ROW(A1565)-ROW($A$92)+1,[4]Inputs!$S$11)</f>
        <v>PLNT</v>
      </c>
      <c r="Y1565" s="116" t="e">
        <f t="shared" si="882"/>
        <v>#VALUE!</v>
      </c>
      <c r="Z1565" s="116" t="e">
        <f t="shared" si="882"/>
        <v>#VALUE!</v>
      </c>
      <c r="AA1565" s="116" t="e">
        <f t="shared" si="882"/>
        <v>#VALUE!</v>
      </c>
      <c r="AB1565" s="116" t="e">
        <f t="shared" si="882"/>
        <v>#VALUE!</v>
      </c>
      <c r="AC1565" s="116" t="e">
        <f t="shared" si="882"/>
        <v>#VALUE!</v>
      </c>
      <c r="AD1565" s="117" t="e">
        <f t="shared" si="883"/>
        <v>#VALUE!</v>
      </c>
      <c r="AE1565" s="117" t="e">
        <f t="shared" si="884"/>
        <v>#VALUE!</v>
      </c>
      <c r="AF1565" s="117" t="e">
        <f t="shared" si="885"/>
        <v>#VALUE!</v>
      </c>
      <c r="AG1565" s="117" t="e">
        <f t="shared" si="886"/>
        <v>#VALUE!</v>
      </c>
      <c r="AH1565" s="116"/>
      <c r="AI1565">
        <f t="shared" si="816"/>
        <v>393</v>
      </c>
      <c r="AJ1565" t="str">
        <f t="shared" ref="AJ1565:AJ1628" si="887">IF(E1565="","NA",E1565)</f>
        <v>SG</v>
      </c>
      <c r="AK1565" t="str">
        <f>IF(ISERROR(MATCH(AI1565&amp;"."&amp;AJ1565,AK$91:AK1564,0)),AI1565&amp;"."&amp;AJ1565,AI1565&amp;"."&amp;AJ1565&amp;COUNTIFS(AI$91:AI1564,AI1565,AJ$91:AJ1564,AJ1565))</f>
        <v>393.SG2</v>
      </c>
    </row>
    <row r="1566" spans="1:37" ht="15" hidden="1">
      <c r="A1566" s="120">
        <f>ROW()</f>
        <v>1566</v>
      </c>
      <c r="B1566" s="120"/>
      <c r="C1566" s="1"/>
      <c r="E1566" s="121" t="s">
        <v>15</v>
      </c>
      <c r="F1566" s="138" t="str">
        <f>INDEX(FuncAllocOptions,ROW(A1566)-ROW($A$92)+1,[4]Inputs!$S$11)</f>
        <v>G-DGU</v>
      </c>
      <c r="G1566" s="133" t="e">
        <f t="shared" si="872"/>
        <v>#VALUE!</v>
      </c>
      <c r="H1566" s="139" t="e">
        <f t="shared" si="873"/>
        <v>#VALUE!</v>
      </c>
      <c r="I1566" s="139" t="e">
        <f t="shared" si="873"/>
        <v>#VALUE!</v>
      </c>
      <c r="J1566" s="139" t="e">
        <f t="shared" si="873"/>
        <v>#VALUE!</v>
      </c>
      <c r="K1566" s="139" t="e">
        <f t="shared" si="873"/>
        <v>#VALUE!</v>
      </c>
      <c r="L1566" s="139" t="e">
        <f t="shared" si="873"/>
        <v>#VALUE!</v>
      </c>
      <c r="N1566" s="108">
        <v>0.75</v>
      </c>
      <c r="O1566" s="116" t="e">
        <f t="shared" si="874"/>
        <v>#VALUE!</v>
      </c>
      <c r="P1566" s="116" t="e">
        <f t="shared" si="875"/>
        <v>#VALUE!</v>
      </c>
      <c r="Q1566" s="116" t="e">
        <f t="shared" si="876"/>
        <v>#VALUE!</v>
      </c>
      <c r="R1566" s="116" t="e">
        <f t="shared" si="877"/>
        <v>#VALUE!</v>
      </c>
      <c r="S1566" s="108">
        <v>0.75</v>
      </c>
      <c r="T1566" s="116" t="e">
        <f t="shared" si="878"/>
        <v>#VALUE!</v>
      </c>
      <c r="U1566" s="116" t="e">
        <f t="shared" si="879"/>
        <v>#VALUE!</v>
      </c>
      <c r="V1566" s="116" t="e">
        <f t="shared" si="880"/>
        <v>#VALUE!</v>
      </c>
      <c r="W1566" s="116" t="e">
        <f t="shared" si="881"/>
        <v>#VALUE!</v>
      </c>
      <c r="X1566" s="3" t="str">
        <f>INDEX(DistFuncAllocOptions,ROW(A1566)-ROW($A$92)+1,[4]Inputs!$S$11)</f>
        <v>PLNT</v>
      </c>
      <c r="Y1566" s="116" t="e">
        <f t="shared" si="882"/>
        <v>#VALUE!</v>
      </c>
      <c r="Z1566" s="116" t="e">
        <f t="shared" si="882"/>
        <v>#VALUE!</v>
      </c>
      <c r="AA1566" s="116" t="e">
        <f t="shared" si="882"/>
        <v>#VALUE!</v>
      </c>
      <c r="AB1566" s="116" t="e">
        <f t="shared" si="882"/>
        <v>#VALUE!</v>
      </c>
      <c r="AC1566" s="116" t="e">
        <f t="shared" si="882"/>
        <v>#VALUE!</v>
      </c>
      <c r="AD1566" s="117" t="e">
        <f t="shared" si="883"/>
        <v>#VALUE!</v>
      </c>
      <c r="AE1566" s="117" t="e">
        <f t="shared" si="884"/>
        <v>#VALUE!</v>
      </c>
      <c r="AF1566" s="117" t="e">
        <f t="shared" si="885"/>
        <v>#VALUE!</v>
      </c>
      <c r="AG1566" s="117" t="e">
        <f t="shared" si="886"/>
        <v>#VALUE!</v>
      </c>
      <c r="AH1566" s="116"/>
      <c r="AI1566">
        <f t="shared" si="816"/>
        <v>393</v>
      </c>
      <c r="AJ1566" t="str">
        <f t="shared" si="887"/>
        <v>SG</v>
      </c>
      <c r="AK1566" t="str">
        <f>IF(ISERROR(MATCH(AI1566&amp;"."&amp;AJ1566,AK$91:AK1565,0)),AI1566&amp;"."&amp;AJ1566,AI1566&amp;"."&amp;AJ1566&amp;COUNTIFS(AI$91:AI1565,AI1566,AJ$91:AJ1565,AJ1566))</f>
        <v>393.SG3</v>
      </c>
    </row>
    <row r="1567" spans="1:37" ht="15" hidden="1">
      <c r="A1567" s="120">
        <f>ROW()</f>
        <v>1567</v>
      </c>
      <c r="B1567" s="120"/>
      <c r="C1567" s="1"/>
      <c r="E1567" s="121"/>
      <c r="F1567" s="138"/>
      <c r="G1567" s="117" t="e">
        <f t="shared" ref="G1567:L1567" si="888">SUM(G1561:G1566)</f>
        <v>#VALUE!</v>
      </c>
      <c r="H1567" s="116" t="e">
        <f t="shared" si="888"/>
        <v>#VALUE!</v>
      </c>
      <c r="I1567" s="116" t="e">
        <f t="shared" si="888"/>
        <v>#VALUE!</v>
      </c>
      <c r="J1567" s="116" t="e">
        <f t="shared" si="888"/>
        <v>#VALUE!</v>
      </c>
      <c r="K1567" s="116" t="e">
        <f t="shared" si="888"/>
        <v>#VALUE!</v>
      </c>
      <c r="L1567" s="116" t="e">
        <f t="shared" si="888"/>
        <v>#VALUE!</v>
      </c>
      <c r="O1567" s="116" t="e">
        <f>SUM(O1561:O1566)</f>
        <v>#VALUE!</v>
      </c>
      <c r="P1567" s="116" t="e">
        <f>SUM(P1561:P1566)</f>
        <v>#VALUE!</v>
      </c>
      <c r="Q1567" s="116" t="e">
        <f>SUM(Q1561:Q1566)</f>
        <v>#VALUE!</v>
      </c>
      <c r="R1567" s="116" t="e">
        <f>SUM(R1561:R1566)</f>
        <v>#VALUE!</v>
      </c>
      <c r="S1567" s="116"/>
      <c r="T1567" s="116" t="e">
        <f>SUM(T1561:T1566)</f>
        <v>#VALUE!</v>
      </c>
      <c r="U1567" s="116" t="e">
        <f>SUM(U1561:U1566)</f>
        <v>#VALUE!</v>
      </c>
      <c r="V1567" s="116" t="e">
        <f>SUM(V1561:V1566)</f>
        <v>#VALUE!</v>
      </c>
      <c r="W1567" s="116" t="e">
        <f>SUM(W1561:W1566)</f>
        <v>#VALUE!</v>
      </c>
      <c r="X1567" s="3"/>
      <c r="Y1567" s="116" t="e">
        <f>SUM(Y1561:Y1566)</f>
        <v>#VALUE!</v>
      </c>
      <c r="Z1567" s="116" t="e">
        <f>SUM(Z1561:Z1566)</f>
        <v>#VALUE!</v>
      </c>
      <c r="AA1567" s="116" t="e">
        <f>SUM(AA1561:AA1566)</f>
        <v>#VALUE!</v>
      </c>
      <c r="AB1567" s="116" t="e">
        <f>SUM(AB1561:AB1566)</f>
        <v>#VALUE!</v>
      </c>
      <c r="AC1567" s="116" t="e">
        <f>SUM(AC1561:AC1566)</f>
        <v>#VALUE!</v>
      </c>
      <c r="AD1567" s="117" t="e">
        <f t="shared" si="883"/>
        <v>#VALUE!</v>
      </c>
      <c r="AE1567" s="117" t="e">
        <f t="shared" si="884"/>
        <v>#VALUE!</v>
      </c>
      <c r="AF1567" s="117" t="e">
        <f t="shared" si="885"/>
        <v>#VALUE!</v>
      </c>
      <c r="AG1567" s="117" t="e">
        <f t="shared" si="886"/>
        <v>#VALUE!</v>
      </c>
      <c r="AH1567" s="116"/>
      <c r="AI1567">
        <f t="shared" si="816"/>
        <v>393</v>
      </c>
      <c r="AJ1567" t="str">
        <f t="shared" si="887"/>
        <v>NA</v>
      </c>
      <c r="AK1567" t="str">
        <f>IF(ISERROR(MATCH(AI1567&amp;"."&amp;AJ1567,AK$91:AK1566,0)),AI1567&amp;"."&amp;AJ1567,AI1567&amp;"."&amp;AJ1567&amp;COUNTIFS(AI$91:AI1566,AI1567,AJ$91:AJ1566,AJ1567))</f>
        <v>393.NA1</v>
      </c>
    </row>
    <row r="1568" spans="1:37" ht="15" hidden="1">
      <c r="A1568" s="120">
        <f>ROW()</f>
        <v>1568</v>
      </c>
      <c r="B1568" s="120"/>
      <c r="C1568" s="1"/>
      <c r="E1568" s="121"/>
      <c r="F1568" s="138"/>
      <c r="G1568" s="119"/>
      <c r="X1568" s="3"/>
      <c r="AD1568" s="119"/>
      <c r="AE1568" s="119"/>
      <c r="AF1568" s="119"/>
      <c r="AG1568" s="119"/>
      <c r="AI1568">
        <f t="shared" si="816"/>
        <v>393</v>
      </c>
      <c r="AJ1568" t="str">
        <f t="shared" si="887"/>
        <v>NA</v>
      </c>
      <c r="AK1568" t="str">
        <f>IF(ISERROR(MATCH(AI1568&amp;"."&amp;AJ1568,AK$91:AK1567,0)),AI1568&amp;"."&amp;AJ1568,AI1568&amp;"."&amp;AJ1568&amp;COUNTIFS(AI$91:AI1567,AI1568,AJ$91:AJ1567,AJ1568))</f>
        <v>393.NA2</v>
      </c>
    </row>
    <row r="1569" spans="1:37" ht="15" hidden="1">
      <c r="A1569" s="120">
        <f>ROW()</f>
        <v>1569</v>
      </c>
      <c r="B1569" s="120"/>
      <c r="C1569" s="1">
        <v>394</v>
      </c>
      <c r="D1569" s="2" t="s">
        <v>562</v>
      </c>
      <c r="E1569" s="121"/>
      <c r="F1569" s="138"/>
      <c r="G1569" s="119"/>
      <c r="X1569" s="3"/>
      <c r="AD1569" s="119"/>
      <c r="AE1569" s="119"/>
      <c r="AF1569" s="119"/>
      <c r="AG1569" s="119"/>
      <c r="AI1569">
        <f t="shared" si="816"/>
        <v>394</v>
      </c>
      <c r="AJ1569" t="str">
        <f t="shared" si="887"/>
        <v>NA</v>
      </c>
      <c r="AK1569" t="str">
        <f>IF(ISERROR(MATCH(AI1569&amp;"."&amp;AJ1569,AK$91:AK1568,0)),AI1569&amp;"."&amp;AJ1569,AI1569&amp;"."&amp;AJ1569&amp;COUNTIFS(AI$91:AI1568,AI1569,AJ$91:AJ1568,AJ1569))</f>
        <v>394.NA</v>
      </c>
    </row>
    <row r="1570" spans="1:37" ht="15" hidden="1">
      <c r="A1570" s="120">
        <f>ROW()</f>
        <v>1570</v>
      </c>
      <c r="B1570" s="120"/>
      <c r="C1570" s="1"/>
      <c r="E1570" s="121" t="s">
        <v>12</v>
      </c>
      <c r="F1570" s="138" t="str">
        <f>INDEX(FuncAllocOptions,ROW(A1570)-ROW($A$92)+1,[4]Inputs!$S$11)</f>
        <v>G-SITUS</v>
      </c>
      <c r="G1570" s="117" t="e">
        <f t="shared" ref="G1570:G1577" si="889">SUMIF(FERCJAMFactor,AK1570,JAMValue)</f>
        <v>#VALUE!</v>
      </c>
      <c r="H1570" s="116" t="e">
        <f t="shared" ref="H1570:L1577" si="890">INDEX(FuncFactorTbl,MATCH($F1570,FuncFactors,0),MATCH(H$8,Functions,0))*$G1570</f>
        <v>#VALUE!</v>
      </c>
      <c r="I1570" s="116" t="e">
        <f t="shared" si="890"/>
        <v>#VALUE!</v>
      </c>
      <c r="J1570" s="116" t="e">
        <f t="shared" si="890"/>
        <v>#VALUE!</v>
      </c>
      <c r="K1570" s="116" t="e">
        <f t="shared" si="890"/>
        <v>#VALUE!</v>
      </c>
      <c r="L1570" s="116" t="e">
        <f t="shared" si="890"/>
        <v>#VALUE!</v>
      </c>
      <c r="N1570" s="108">
        <v>0.75</v>
      </c>
      <c r="O1570" s="116" t="e">
        <f t="shared" ref="O1570:O1577" si="891">$H1570*$N1570*$M1570</f>
        <v>#VALUE!</v>
      </c>
      <c r="P1570" s="116" t="e">
        <f t="shared" ref="P1570:P1577" si="892">$H1570*(1-$N1570)*$M1570</f>
        <v>#VALUE!</v>
      </c>
      <c r="Q1570" s="116" t="e">
        <f t="shared" ref="Q1570:Q1577" si="893">$H1570*$N1570*(1-$M1570)</f>
        <v>#VALUE!</v>
      </c>
      <c r="R1570" s="116" t="e">
        <f t="shared" ref="R1570:R1577" si="894">$H1570*(1-$N1570)*(1-$M1570)</f>
        <v>#VALUE!</v>
      </c>
      <c r="S1570" s="108">
        <v>0.75</v>
      </c>
      <c r="T1570" s="116" t="e">
        <f t="shared" ref="T1570:T1577" si="895">$I1570*$S1570*$M1570</f>
        <v>#VALUE!</v>
      </c>
      <c r="U1570" s="116" t="e">
        <f t="shared" ref="U1570:U1577" si="896">$I1570*(1-$S1570)*$M1570</f>
        <v>#VALUE!</v>
      </c>
      <c r="V1570" s="116" t="e">
        <f t="shared" ref="V1570:V1577" si="897">$I1570*$S1570*(1-$M1570)</f>
        <v>#VALUE!</v>
      </c>
      <c r="W1570" s="116" t="e">
        <f t="shared" ref="W1570:W1577" si="898">$I1570*(1-$S1570)*(1-$M1570)</f>
        <v>#VALUE!</v>
      </c>
      <c r="X1570" s="3" t="str">
        <f>INDEX(DistFuncAllocOptions,ROW(A1570)-ROW($A$92)+1,[4]Inputs!$S$11)</f>
        <v>PLNT</v>
      </c>
      <c r="Y1570" s="116" t="e">
        <f t="shared" ref="Y1570:AC1577" si="899">INDEX(DistFuncFactorTbl,MATCH($X1570,DistFuncFactors,0),MATCH(Y$91,DistFunctions,0))*$J1570</f>
        <v>#VALUE!</v>
      </c>
      <c r="Z1570" s="116" t="e">
        <f t="shared" si="899"/>
        <v>#VALUE!</v>
      </c>
      <c r="AA1570" s="116" t="e">
        <f t="shared" si="899"/>
        <v>#VALUE!</v>
      </c>
      <c r="AB1570" s="116" t="e">
        <f t="shared" si="899"/>
        <v>#VALUE!</v>
      </c>
      <c r="AC1570" s="116" t="e">
        <f t="shared" si="899"/>
        <v>#VALUE!</v>
      </c>
      <c r="AD1570" s="117" t="e">
        <f t="shared" ref="AD1570:AD1578" si="900">ROUND(SUM(-G1570,H1570:L1570),0)</f>
        <v>#VALUE!</v>
      </c>
      <c r="AE1570" s="117" t="e">
        <f t="shared" ref="AE1570:AE1578" si="901">ROUND(H1570-O1570-P1570-Q1570-R1570,0)</f>
        <v>#VALUE!</v>
      </c>
      <c r="AF1570" s="117" t="e">
        <f t="shared" ref="AF1570:AF1578" si="902">ROUND(I1570-T1570-U1570-V1570-W1570,0)</f>
        <v>#VALUE!</v>
      </c>
      <c r="AG1570" s="117" t="e">
        <f t="shared" ref="AG1570:AG1578" si="903">ROUND(J1570-Y1570-Z1570-AA1570-AC1570-AB1570,0)</f>
        <v>#VALUE!</v>
      </c>
      <c r="AH1570" s="116"/>
      <c r="AI1570">
        <f t="shared" si="816"/>
        <v>394</v>
      </c>
      <c r="AJ1570" t="str">
        <f t="shared" si="887"/>
        <v>S</v>
      </c>
      <c r="AK1570" t="str">
        <f>IF(ISERROR(MATCH(AI1570&amp;"."&amp;AJ1570,AK$91:AK1569,0)),AI1570&amp;"."&amp;AJ1570,AI1570&amp;"."&amp;AJ1570&amp;COUNTIFS(AI$91:AI1569,AI1570,AJ$91:AJ1569,AJ1570))</f>
        <v>394.S</v>
      </c>
    </row>
    <row r="1571" spans="1:37" ht="15" hidden="1">
      <c r="A1571" s="120">
        <f>ROW()</f>
        <v>1571</v>
      </c>
      <c r="B1571" s="120"/>
      <c r="C1571" s="1"/>
      <c r="E1571" s="121" t="s">
        <v>15</v>
      </c>
      <c r="F1571" s="138" t="str">
        <f>INDEX(FuncAllocOptions,ROW(A1571)-ROW($A$92)+1,[4]Inputs!$S$11)</f>
        <v>PT</v>
      </c>
      <c r="G1571" s="117" t="e">
        <f t="shared" si="889"/>
        <v>#VALUE!</v>
      </c>
      <c r="H1571" s="116" t="e">
        <f t="shared" si="890"/>
        <v>#VALUE!</v>
      </c>
      <c r="I1571" s="116" t="e">
        <f t="shared" si="890"/>
        <v>#VALUE!</v>
      </c>
      <c r="J1571" s="116" t="e">
        <f t="shared" si="890"/>
        <v>#VALUE!</v>
      </c>
      <c r="K1571" s="116" t="e">
        <f t="shared" si="890"/>
        <v>#VALUE!</v>
      </c>
      <c r="L1571" s="116" t="e">
        <f t="shared" si="890"/>
        <v>#VALUE!</v>
      </c>
      <c r="N1571" s="108">
        <v>0.75</v>
      </c>
      <c r="O1571" s="116" t="e">
        <f t="shared" si="891"/>
        <v>#VALUE!</v>
      </c>
      <c r="P1571" s="116" t="e">
        <f t="shared" si="892"/>
        <v>#VALUE!</v>
      </c>
      <c r="Q1571" s="116" t="e">
        <f t="shared" si="893"/>
        <v>#VALUE!</v>
      </c>
      <c r="R1571" s="116" t="e">
        <f t="shared" si="894"/>
        <v>#VALUE!</v>
      </c>
      <c r="S1571" s="108">
        <v>0.75</v>
      </c>
      <c r="T1571" s="116" t="e">
        <f t="shared" si="895"/>
        <v>#VALUE!</v>
      </c>
      <c r="U1571" s="116" t="e">
        <f t="shared" si="896"/>
        <v>#VALUE!</v>
      </c>
      <c r="V1571" s="116" t="e">
        <f t="shared" si="897"/>
        <v>#VALUE!</v>
      </c>
      <c r="W1571" s="116" t="e">
        <f t="shared" si="898"/>
        <v>#VALUE!</v>
      </c>
      <c r="X1571" s="3" t="str">
        <f>INDEX(DistFuncAllocOptions,ROW(A1571)-ROW($A$92)+1,[4]Inputs!$S$11)</f>
        <v>PLNT</v>
      </c>
      <c r="Y1571" s="116" t="e">
        <f t="shared" si="899"/>
        <v>#VALUE!</v>
      </c>
      <c r="Z1571" s="116" t="e">
        <f t="shared" si="899"/>
        <v>#VALUE!</v>
      </c>
      <c r="AA1571" s="116" t="e">
        <f t="shared" si="899"/>
        <v>#VALUE!</v>
      </c>
      <c r="AB1571" s="116" t="e">
        <f t="shared" si="899"/>
        <v>#VALUE!</v>
      </c>
      <c r="AC1571" s="116" t="e">
        <f t="shared" si="899"/>
        <v>#VALUE!</v>
      </c>
      <c r="AD1571" s="117" t="e">
        <f t="shared" si="900"/>
        <v>#VALUE!</v>
      </c>
      <c r="AE1571" s="117" t="e">
        <f t="shared" si="901"/>
        <v>#VALUE!</v>
      </c>
      <c r="AF1571" s="117" t="e">
        <f t="shared" si="902"/>
        <v>#VALUE!</v>
      </c>
      <c r="AG1571" s="117" t="e">
        <f t="shared" si="903"/>
        <v>#VALUE!</v>
      </c>
      <c r="AH1571" s="116"/>
      <c r="AI1571">
        <f t="shared" si="816"/>
        <v>394</v>
      </c>
      <c r="AJ1571" t="str">
        <f t="shared" si="887"/>
        <v>SG</v>
      </c>
      <c r="AK1571" t="str">
        <f>IF(ISERROR(MATCH(AI1571&amp;"."&amp;AJ1571,AK$91:AK1570,0)),AI1571&amp;"."&amp;AJ1571,AI1571&amp;"."&amp;AJ1571&amp;COUNTIFS(AI$91:AI1570,AI1571,AJ$91:AJ1570,AJ1571))</f>
        <v>394.SG</v>
      </c>
    </row>
    <row r="1572" spans="1:37" ht="15" hidden="1">
      <c r="A1572" s="120">
        <f>ROW()</f>
        <v>1572</v>
      </c>
      <c r="B1572" s="120"/>
      <c r="C1572" s="1"/>
      <c r="E1572" s="121" t="s">
        <v>15</v>
      </c>
      <c r="F1572" s="138" t="str">
        <f>INDEX(FuncAllocOptions,ROW(A1572)-ROW($A$92)+1,[4]Inputs!$S$11)</f>
        <v>G-SG</v>
      </c>
      <c r="G1572" s="117" t="e">
        <f t="shared" si="889"/>
        <v>#VALUE!</v>
      </c>
      <c r="H1572" s="116" t="e">
        <f t="shared" si="890"/>
        <v>#VALUE!</v>
      </c>
      <c r="I1572" s="116" t="e">
        <f t="shared" si="890"/>
        <v>#VALUE!</v>
      </c>
      <c r="J1572" s="116" t="e">
        <f t="shared" si="890"/>
        <v>#VALUE!</v>
      </c>
      <c r="K1572" s="116" t="e">
        <f t="shared" si="890"/>
        <v>#VALUE!</v>
      </c>
      <c r="L1572" s="116" t="e">
        <f t="shared" si="890"/>
        <v>#VALUE!</v>
      </c>
      <c r="N1572" s="108">
        <v>0.75</v>
      </c>
      <c r="O1572" s="116" t="e">
        <f t="shared" si="891"/>
        <v>#VALUE!</v>
      </c>
      <c r="P1572" s="116" t="e">
        <f t="shared" si="892"/>
        <v>#VALUE!</v>
      </c>
      <c r="Q1572" s="116" t="e">
        <f t="shared" si="893"/>
        <v>#VALUE!</v>
      </c>
      <c r="R1572" s="116" t="e">
        <f t="shared" si="894"/>
        <v>#VALUE!</v>
      </c>
      <c r="S1572" s="108">
        <v>0.75</v>
      </c>
      <c r="T1572" s="116" t="e">
        <f t="shared" si="895"/>
        <v>#VALUE!</v>
      </c>
      <c r="U1572" s="116" t="e">
        <f t="shared" si="896"/>
        <v>#VALUE!</v>
      </c>
      <c r="V1572" s="116" t="e">
        <f t="shared" si="897"/>
        <v>#VALUE!</v>
      </c>
      <c r="W1572" s="116" t="e">
        <f t="shared" si="898"/>
        <v>#VALUE!</v>
      </c>
      <c r="X1572" s="3" t="str">
        <f>INDEX(DistFuncAllocOptions,ROW(A1572)-ROW($A$92)+1,[4]Inputs!$S$11)</f>
        <v>PLNT</v>
      </c>
      <c r="Y1572" s="116" t="e">
        <f t="shared" si="899"/>
        <v>#VALUE!</v>
      </c>
      <c r="Z1572" s="116" t="e">
        <f t="shared" si="899"/>
        <v>#VALUE!</v>
      </c>
      <c r="AA1572" s="116" t="e">
        <f t="shared" si="899"/>
        <v>#VALUE!</v>
      </c>
      <c r="AB1572" s="116" t="e">
        <f t="shared" si="899"/>
        <v>#VALUE!</v>
      </c>
      <c r="AC1572" s="116" t="e">
        <f t="shared" si="899"/>
        <v>#VALUE!</v>
      </c>
      <c r="AD1572" s="117" t="e">
        <f t="shared" si="900"/>
        <v>#VALUE!</v>
      </c>
      <c r="AE1572" s="117" t="e">
        <f t="shared" si="901"/>
        <v>#VALUE!</v>
      </c>
      <c r="AF1572" s="117" t="e">
        <f t="shared" si="902"/>
        <v>#VALUE!</v>
      </c>
      <c r="AG1572" s="117" t="e">
        <f t="shared" si="903"/>
        <v>#VALUE!</v>
      </c>
      <c r="AH1572" s="116"/>
      <c r="AI1572">
        <f t="shared" si="816"/>
        <v>394</v>
      </c>
      <c r="AJ1572" t="str">
        <f t="shared" si="887"/>
        <v>SG</v>
      </c>
      <c r="AK1572" t="str">
        <f>IF(ISERROR(MATCH(AI1572&amp;"."&amp;AJ1572,AK$91:AK1571,0)),AI1572&amp;"."&amp;AJ1572,AI1572&amp;"."&amp;AJ1572&amp;COUNTIFS(AI$91:AI1571,AI1572,AJ$91:AJ1571,AJ1572))</f>
        <v>394.SG1</v>
      </c>
    </row>
    <row r="1573" spans="1:37" ht="15" hidden="1">
      <c r="A1573" s="120">
        <f>ROW()</f>
        <v>1573</v>
      </c>
      <c r="B1573" s="120"/>
      <c r="C1573" s="1"/>
      <c r="E1573" s="121" t="s">
        <v>136</v>
      </c>
      <c r="F1573" s="138" t="str">
        <f>INDEX(FuncAllocOptions,ROW(A1573)-ROW($A$92)+1,[4]Inputs!$S$11)</f>
        <v>PTD</v>
      </c>
      <c r="G1573" s="117" t="e">
        <f t="shared" si="889"/>
        <v>#VALUE!</v>
      </c>
      <c r="H1573" s="116" t="e">
        <f t="shared" si="890"/>
        <v>#VALUE!</v>
      </c>
      <c r="I1573" s="116" t="e">
        <f t="shared" si="890"/>
        <v>#VALUE!</v>
      </c>
      <c r="J1573" s="116" t="e">
        <f t="shared" si="890"/>
        <v>#VALUE!</v>
      </c>
      <c r="K1573" s="116" t="e">
        <f t="shared" si="890"/>
        <v>#VALUE!</v>
      </c>
      <c r="L1573" s="116" t="e">
        <f t="shared" si="890"/>
        <v>#VALUE!</v>
      </c>
      <c r="N1573" s="108">
        <v>0.75</v>
      </c>
      <c r="O1573" s="116" t="e">
        <f t="shared" si="891"/>
        <v>#VALUE!</v>
      </c>
      <c r="P1573" s="116" t="e">
        <f t="shared" si="892"/>
        <v>#VALUE!</v>
      </c>
      <c r="Q1573" s="116" t="e">
        <f t="shared" si="893"/>
        <v>#VALUE!</v>
      </c>
      <c r="R1573" s="116" t="e">
        <f t="shared" si="894"/>
        <v>#VALUE!</v>
      </c>
      <c r="S1573" s="108">
        <v>0.75</v>
      </c>
      <c r="T1573" s="116" t="e">
        <f t="shared" si="895"/>
        <v>#VALUE!</v>
      </c>
      <c r="U1573" s="116" t="e">
        <f t="shared" si="896"/>
        <v>#VALUE!</v>
      </c>
      <c r="V1573" s="116" t="e">
        <f t="shared" si="897"/>
        <v>#VALUE!</v>
      </c>
      <c r="W1573" s="116" t="e">
        <f t="shared" si="898"/>
        <v>#VALUE!</v>
      </c>
      <c r="X1573" s="3" t="str">
        <f>INDEX(DistFuncAllocOptions,ROW(A1573)-ROW($A$92)+1,[4]Inputs!$S$11)</f>
        <v>PLNT</v>
      </c>
      <c r="Y1573" s="116" t="e">
        <f t="shared" si="899"/>
        <v>#VALUE!</v>
      </c>
      <c r="Z1573" s="116" t="e">
        <f t="shared" si="899"/>
        <v>#VALUE!</v>
      </c>
      <c r="AA1573" s="116" t="e">
        <f t="shared" si="899"/>
        <v>#VALUE!</v>
      </c>
      <c r="AB1573" s="116" t="e">
        <f t="shared" si="899"/>
        <v>#VALUE!</v>
      </c>
      <c r="AC1573" s="116" t="e">
        <f t="shared" si="899"/>
        <v>#VALUE!</v>
      </c>
      <c r="AD1573" s="117" t="e">
        <f t="shared" si="900"/>
        <v>#VALUE!</v>
      </c>
      <c r="AE1573" s="117" t="e">
        <f t="shared" si="901"/>
        <v>#VALUE!</v>
      </c>
      <c r="AF1573" s="117" t="e">
        <f t="shared" si="902"/>
        <v>#VALUE!</v>
      </c>
      <c r="AG1573" s="117" t="e">
        <f t="shared" si="903"/>
        <v>#VALUE!</v>
      </c>
      <c r="AH1573" s="116"/>
      <c r="AI1573">
        <f t="shared" si="816"/>
        <v>394</v>
      </c>
      <c r="AJ1573" t="str">
        <f t="shared" si="887"/>
        <v>SO</v>
      </c>
      <c r="AK1573" t="str">
        <f>IF(ISERROR(MATCH(AI1573&amp;"."&amp;AJ1573,AK$91:AK1572,0)),AI1573&amp;"."&amp;AJ1573,AI1573&amp;"."&amp;AJ1573&amp;COUNTIFS(AI$91:AI1572,AI1573,AJ$91:AJ1572,AJ1573))</f>
        <v>394.SO</v>
      </c>
    </row>
    <row r="1574" spans="1:37" ht="15" hidden="1">
      <c r="A1574" s="120">
        <f>ROW()</f>
        <v>1574</v>
      </c>
      <c r="B1574" s="120"/>
      <c r="C1574" s="1"/>
      <c r="E1574" s="121" t="s">
        <v>16</v>
      </c>
      <c r="F1574" s="138" t="str">
        <f>INDEX(FuncAllocOptions,ROW(A1574)-ROW($A$92)+1,[4]Inputs!$S$11)</f>
        <v>P</v>
      </c>
      <c r="G1574" s="117" t="e">
        <f t="shared" si="889"/>
        <v>#VALUE!</v>
      </c>
      <c r="H1574" s="116" t="e">
        <f t="shared" si="890"/>
        <v>#VALUE!</v>
      </c>
      <c r="I1574" s="116" t="e">
        <f t="shared" si="890"/>
        <v>#VALUE!</v>
      </c>
      <c r="J1574" s="116" t="e">
        <f t="shared" si="890"/>
        <v>#VALUE!</v>
      </c>
      <c r="K1574" s="116" t="e">
        <f t="shared" si="890"/>
        <v>#VALUE!</v>
      </c>
      <c r="L1574" s="116" t="e">
        <f t="shared" si="890"/>
        <v>#VALUE!</v>
      </c>
      <c r="N1574" s="108">
        <v>0</v>
      </c>
      <c r="O1574" s="116" t="e">
        <f t="shared" si="891"/>
        <v>#VALUE!</v>
      </c>
      <c r="P1574" s="116" t="e">
        <f t="shared" si="892"/>
        <v>#VALUE!</v>
      </c>
      <c r="Q1574" s="116" t="e">
        <f t="shared" si="893"/>
        <v>#VALUE!</v>
      </c>
      <c r="R1574" s="116" t="e">
        <f t="shared" si="894"/>
        <v>#VALUE!</v>
      </c>
      <c r="S1574" s="108">
        <v>0</v>
      </c>
      <c r="T1574" s="116" t="e">
        <f t="shared" si="895"/>
        <v>#VALUE!</v>
      </c>
      <c r="U1574" s="116" t="e">
        <f t="shared" si="896"/>
        <v>#VALUE!</v>
      </c>
      <c r="V1574" s="116" t="e">
        <f t="shared" si="897"/>
        <v>#VALUE!</v>
      </c>
      <c r="W1574" s="116" t="e">
        <f t="shared" si="898"/>
        <v>#VALUE!</v>
      </c>
      <c r="X1574" s="3" t="str">
        <f>INDEX(DistFuncAllocOptions,ROW(A1574)-ROW($A$92)+1,[4]Inputs!$S$11)</f>
        <v>PLNT</v>
      </c>
      <c r="Y1574" s="116" t="e">
        <f t="shared" si="899"/>
        <v>#VALUE!</v>
      </c>
      <c r="Z1574" s="116" t="e">
        <f t="shared" si="899"/>
        <v>#VALUE!</v>
      </c>
      <c r="AA1574" s="116" t="e">
        <f t="shared" si="899"/>
        <v>#VALUE!</v>
      </c>
      <c r="AB1574" s="116" t="e">
        <f t="shared" si="899"/>
        <v>#VALUE!</v>
      </c>
      <c r="AC1574" s="116" t="e">
        <f t="shared" si="899"/>
        <v>#VALUE!</v>
      </c>
      <c r="AD1574" s="117" t="e">
        <f t="shared" si="900"/>
        <v>#VALUE!</v>
      </c>
      <c r="AE1574" s="117" t="e">
        <f t="shared" si="901"/>
        <v>#VALUE!</v>
      </c>
      <c r="AF1574" s="117" t="e">
        <f t="shared" si="902"/>
        <v>#VALUE!</v>
      </c>
      <c r="AG1574" s="117" t="e">
        <f t="shared" si="903"/>
        <v>#VALUE!</v>
      </c>
      <c r="AH1574" s="116"/>
      <c r="AI1574">
        <f t="shared" si="816"/>
        <v>394</v>
      </c>
      <c r="AJ1574" t="str">
        <f t="shared" si="887"/>
        <v>SE</v>
      </c>
      <c r="AK1574" t="str">
        <f>IF(ISERROR(MATCH(AI1574&amp;"."&amp;AJ1574,AK$91:AK1573,0)),AI1574&amp;"."&amp;AJ1574,AI1574&amp;"."&amp;AJ1574&amp;COUNTIFS(AI$91:AI1573,AI1574,AJ$91:AJ1573,AJ1574))</f>
        <v>394.SE</v>
      </c>
    </row>
    <row r="1575" spans="1:37" ht="15" hidden="1">
      <c r="A1575" s="120">
        <f>ROW()</f>
        <v>1575</v>
      </c>
      <c r="B1575" s="120"/>
      <c r="C1575" s="1"/>
      <c r="E1575" s="121" t="s">
        <v>15</v>
      </c>
      <c r="F1575" s="138" t="str">
        <f>INDEX(FuncAllocOptions,ROW(A1575)-ROW($A$92)+1,[4]Inputs!$S$11)</f>
        <v>PT</v>
      </c>
      <c r="G1575" s="117" t="e">
        <f t="shared" si="889"/>
        <v>#VALUE!</v>
      </c>
      <c r="H1575" s="116" t="e">
        <f t="shared" si="890"/>
        <v>#VALUE!</v>
      </c>
      <c r="I1575" s="116" t="e">
        <f t="shared" si="890"/>
        <v>#VALUE!</v>
      </c>
      <c r="J1575" s="116" t="e">
        <f t="shared" si="890"/>
        <v>#VALUE!</v>
      </c>
      <c r="K1575" s="116" t="e">
        <f t="shared" si="890"/>
        <v>#VALUE!</v>
      </c>
      <c r="L1575" s="116" t="e">
        <f t="shared" si="890"/>
        <v>#VALUE!</v>
      </c>
      <c r="N1575" s="108">
        <v>0.75</v>
      </c>
      <c r="O1575" s="116" t="e">
        <f t="shared" si="891"/>
        <v>#VALUE!</v>
      </c>
      <c r="P1575" s="116" t="e">
        <f t="shared" si="892"/>
        <v>#VALUE!</v>
      </c>
      <c r="Q1575" s="116" t="e">
        <f t="shared" si="893"/>
        <v>#VALUE!</v>
      </c>
      <c r="R1575" s="116" t="e">
        <f t="shared" si="894"/>
        <v>#VALUE!</v>
      </c>
      <c r="S1575" s="108">
        <v>0.75</v>
      </c>
      <c r="T1575" s="116" t="e">
        <f t="shared" si="895"/>
        <v>#VALUE!</v>
      </c>
      <c r="U1575" s="116" t="e">
        <f t="shared" si="896"/>
        <v>#VALUE!</v>
      </c>
      <c r="V1575" s="116" t="e">
        <f t="shared" si="897"/>
        <v>#VALUE!</v>
      </c>
      <c r="W1575" s="116" t="e">
        <f t="shared" si="898"/>
        <v>#VALUE!</v>
      </c>
      <c r="X1575" s="3" t="str">
        <f>INDEX(DistFuncAllocOptions,ROW(A1575)-ROW($A$92)+1,[4]Inputs!$S$11)</f>
        <v>PLNT</v>
      </c>
      <c r="Y1575" s="116" t="e">
        <f t="shared" si="899"/>
        <v>#VALUE!</v>
      </c>
      <c r="Z1575" s="116" t="e">
        <f t="shared" si="899"/>
        <v>#VALUE!</v>
      </c>
      <c r="AA1575" s="116" t="e">
        <f t="shared" si="899"/>
        <v>#VALUE!</v>
      </c>
      <c r="AB1575" s="116" t="e">
        <f t="shared" si="899"/>
        <v>#VALUE!</v>
      </c>
      <c r="AC1575" s="116" t="e">
        <f t="shared" si="899"/>
        <v>#VALUE!</v>
      </c>
      <c r="AD1575" s="117" t="e">
        <f t="shared" si="900"/>
        <v>#VALUE!</v>
      </c>
      <c r="AE1575" s="117" t="e">
        <f t="shared" si="901"/>
        <v>#VALUE!</v>
      </c>
      <c r="AF1575" s="117" t="e">
        <f t="shared" si="902"/>
        <v>#VALUE!</v>
      </c>
      <c r="AG1575" s="117" t="e">
        <f t="shared" si="903"/>
        <v>#VALUE!</v>
      </c>
      <c r="AH1575" s="116"/>
      <c r="AI1575">
        <f t="shared" si="816"/>
        <v>394</v>
      </c>
      <c r="AJ1575" t="str">
        <f t="shared" si="887"/>
        <v>SG</v>
      </c>
      <c r="AK1575" t="str">
        <f>IF(ISERROR(MATCH(AI1575&amp;"."&amp;AJ1575,AK$91:AK1574,0)),AI1575&amp;"."&amp;AJ1575,AI1575&amp;"."&amp;AJ1575&amp;COUNTIFS(AI$91:AI1574,AI1575,AJ$91:AJ1574,AJ1575))</f>
        <v>394.SG2</v>
      </c>
    </row>
    <row r="1576" spans="1:37" ht="15" hidden="1">
      <c r="A1576" s="120">
        <f>ROW()</f>
        <v>1576</v>
      </c>
      <c r="B1576" s="120"/>
      <c r="C1576" s="1"/>
      <c r="E1576" s="121" t="s">
        <v>15</v>
      </c>
      <c r="F1576" s="138" t="str">
        <f>INDEX(FuncAllocOptions,ROW(A1576)-ROW($A$92)+1,[4]Inputs!$S$11)</f>
        <v>G-SG</v>
      </c>
      <c r="G1576" s="117" t="e">
        <f t="shared" si="889"/>
        <v>#VALUE!</v>
      </c>
      <c r="H1576" s="116" t="e">
        <f t="shared" si="890"/>
        <v>#VALUE!</v>
      </c>
      <c r="I1576" s="116" t="e">
        <f t="shared" si="890"/>
        <v>#VALUE!</v>
      </c>
      <c r="J1576" s="116" t="e">
        <f t="shared" si="890"/>
        <v>#VALUE!</v>
      </c>
      <c r="K1576" s="116" t="e">
        <f t="shared" si="890"/>
        <v>#VALUE!</v>
      </c>
      <c r="L1576" s="116" t="e">
        <f t="shared" si="890"/>
        <v>#VALUE!</v>
      </c>
      <c r="N1576" s="108">
        <v>0.75</v>
      </c>
      <c r="O1576" s="116" t="e">
        <f t="shared" si="891"/>
        <v>#VALUE!</v>
      </c>
      <c r="P1576" s="116" t="e">
        <f t="shared" si="892"/>
        <v>#VALUE!</v>
      </c>
      <c r="Q1576" s="116" t="e">
        <f t="shared" si="893"/>
        <v>#VALUE!</v>
      </c>
      <c r="R1576" s="116" t="e">
        <f t="shared" si="894"/>
        <v>#VALUE!</v>
      </c>
      <c r="S1576" s="108">
        <v>0.75</v>
      </c>
      <c r="T1576" s="116" t="e">
        <f t="shared" si="895"/>
        <v>#VALUE!</v>
      </c>
      <c r="U1576" s="116" t="e">
        <f t="shared" si="896"/>
        <v>#VALUE!</v>
      </c>
      <c r="V1576" s="116" t="e">
        <f t="shared" si="897"/>
        <v>#VALUE!</v>
      </c>
      <c r="W1576" s="116" t="e">
        <f t="shared" si="898"/>
        <v>#VALUE!</v>
      </c>
      <c r="X1576" s="3" t="str">
        <f>INDEX(DistFuncAllocOptions,ROW(A1576)-ROW($A$92)+1,[4]Inputs!$S$11)</f>
        <v>PLNT</v>
      </c>
      <c r="Y1576" s="116" t="e">
        <f t="shared" si="899"/>
        <v>#VALUE!</v>
      </c>
      <c r="Z1576" s="116" t="e">
        <f t="shared" si="899"/>
        <v>#VALUE!</v>
      </c>
      <c r="AA1576" s="116" t="e">
        <f t="shared" si="899"/>
        <v>#VALUE!</v>
      </c>
      <c r="AB1576" s="116" t="e">
        <f t="shared" si="899"/>
        <v>#VALUE!</v>
      </c>
      <c r="AC1576" s="116" t="e">
        <f t="shared" si="899"/>
        <v>#VALUE!</v>
      </c>
      <c r="AD1576" s="117" t="e">
        <f t="shared" si="900"/>
        <v>#VALUE!</v>
      </c>
      <c r="AE1576" s="117" t="e">
        <f t="shared" si="901"/>
        <v>#VALUE!</v>
      </c>
      <c r="AF1576" s="117" t="e">
        <f t="shared" si="902"/>
        <v>#VALUE!</v>
      </c>
      <c r="AG1576" s="117" t="e">
        <f t="shared" si="903"/>
        <v>#VALUE!</v>
      </c>
      <c r="AH1576" s="116"/>
      <c r="AI1576">
        <f t="shared" si="816"/>
        <v>394</v>
      </c>
      <c r="AJ1576" t="str">
        <f t="shared" si="887"/>
        <v>SG</v>
      </c>
      <c r="AK1576" t="str">
        <f>IF(ISERROR(MATCH(AI1576&amp;"."&amp;AJ1576,AK$91:AK1575,0)),AI1576&amp;"."&amp;AJ1576,AI1576&amp;"."&amp;AJ1576&amp;COUNTIFS(AI$91:AI1575,AI1576,AJ$91:AJ1575,AJ1576))</f>
        <v>394.SG3</v>
      </c>
    </row>
    <row r="1577" spans="1:37" ht="15" hidden="1">
      <c r="A1577" s="120">
        <f>ROW()</f>
        <v>1577</v>
      </c>
      <c r="B1577" s="120"/>
      <c r="C1577" s="1"/>
      <c r="E1577" s="121" t="s">
        <v>15</v>
      </c>
      <c r="F1577" s="138" t="str">
        <f>INDEX(FuncAllocOptions,ROW(A1577)-ROW($A$92)+1,[4]Inputs!$S$11)</f>
        <v>G-SG</v>
      </c>
      <c r="G1577" s="133" t="e">
        <f t="shared" si="889"/>
        <v>#VALUE!</v>
      </c>
      <c r="H1577" s="139" t="e">
        <f t="shared" si="890"/>
        <v>#VALUE!</v>
      </c>
      <c r="I1577" s="139" t="e">
        <f t="shared" si="890"/>
        <v>#VALUE!</v>
      </c>
      <c r="J1577" s="139" t="e">
        <f t="shared" si="890"/>
        <v>#VALUE!</v>
      </c>
      <c r="K1577" s="139" t="e">
        <f t="shared" si="890"/>
        <v>#VALUE!</v>
      </c>
      <c r="L1577" s="139" t="e">
        <f t="shared" si="890"/>
        <v>#VALUE!</v>
      </c>
      <c r="N1577" s="108">
        <v>0.75</v>
      </c>
      <c r="O1577" s="116" t="e">
        <f t="shared" si="891"/>
        <v>#VALUE!</v>
      </c>
      <c r="P1577" s="116" t="e">
        <f t="shared" si="892"/>
        <v>#VALUE!</v>
      </c>
      <c r="Q1577" s="116" t="e">
        <f t="shared" si="893"/>
        <v>#VALUE!</v>
      </c>
      <c r="R1577" s="116" t="e">
        <f t="shared" si="894"/>
        <v>#VALUE!</v>
      </c>
      <c r="S1577" s="108">
        <v>0.75</v>
      </c>
      <c r="T1577" s="116" t="e">
        <f t="shared" si="895"/>
        <v>#VALUE!</v>
      </c>
      <c r="U1577" s="116" t="e">
        <f t="shared" si="896"/>
        <v>#VALUE!</v>
      </c>
      <c r="V1577" s="116" t="e">
        <f t="shared" si="897"/>
        <v>#VALUE!</v>
      </c>
      <c r="W1577" s="116" t="e">
        <f t="shared" si="898"/>
        <v>#VALUE!</v>
      </c>
      <c r="X1577" s="3" t="str">
        <f>INDEX(DistFuncAllocOptions,ROW(A1577)-ROW($A$92)+1,[4]Inputs!$S$11)</f>
        <v>PLNT</v>
      </c>
      <c r="Y1577" s="116" t="e">
        <f t="shared" si="899"/>
        <v>#VALUE!</v>
      </c>
      <c r="Z1577" s="116" t="e">
        <f t="shared" si="899"/>
        <v>#VALUE!</v>
      </c>
      <c r="AA1577" s="116" t="e">
        <f t="shared" si="899"/>
        <v>#VALUE!</v>
      </c>
      <c r="AB1577" s="116" t="e">
        <f t="shared" si="899"/>
        <v>#VALUE!</v>
      </c>
      <c r="AC1577" s="116" t="e">
        <f t="shared" si="899"/>
        <v>#VALUE!</v>
      </c>
      <c r="AD1577" s="117" t="e">
        <f t="shared" si="900"/>
        <v>#VALUE!</v>
      </c>
      <c r="AE1577" s="117" t="e">
        <f t="shared" si="901"/>
        <v>#VALUE!</v>
      </c>
      <c r="AF1577" s="117" t="e">
        <f t="shared" si="902"/>
        <v>#VALUE!</v>
      </c>
      <c r="AG1577" s="117" t="e">
        <f t="shared" si="903"/>
        <v>#VALUE!</v>
      </c>
      <c r="AH1577" s="116"/>
      <c r="AI1577">
        <f t="shared" si="816"/>
        <v>394</v>
      </c>
      <c r="AJ1577" t="str">
        <f t="shared" si="887"/>
        <v>SG</v>
      </c>
      <c r="AK1577" t="str">
        <f>IF(ISERROR(MATCH(AI1577&amp;"."&amp;AJ1577,AK$91:AK1576,0)),AI1577&amp;"."&amp;AJ1577,AI1577&amp;"."&amp;AJ1577&amp;COUNTIFS(AI$91:AI1576,AI1577,AJ$91:AJ1576,AJ1577))</f>
        <v>394.SG4</v>
      </c>
    </row>
    <row r="1578" spans="1:37" ht="15" hidden="1">
      <c r="A1578" s="120">
        <f>ROW()</f>
        <v>1578</v>
      </c>
      <c r="B1578" s="120"/>
      <c r="C1578" s="1"/>
      <c r="E1578" s="121"/>
      <c r="F1578" s="138"/>
      <c r="G1578" s="117" t="e">
        <f t="shared" ref="G1578:L1578" si="904">SUM(G1570:G1577)</f>
        <v>#VALUE!</v>
      </c>
      <c r="H1578" s="116" t="e">
        <f t="shared" si="904"/>
        <v>#VALUE!</v>
      </c>
      <c r="I1578" s="116" t="e">
        <f t="shared" si="904"/>
        <v>#VALUE!</v>
      </c>
      <c r="J1578" s="116" t="e">
        <f t="shared" si="904"/>
        <v>#VALUE!</v>
      </c>
      <c r="K1578" s="116" t="e">
        <f t="shared" si="904"/>
        <v>#VALUE!</v>
      </c>
      <c r="L1578" s="116" t="e">
        <f t="shared" si="904"/>
        <v>#VALUE!</v>
      </c>
      <c r="O1578" s="116" t="e">
        <f>SUM(O1570:O1577)</f>
        <v>#VALUE!</v>
      </c>
      <c r="P1578" s="116" t="e">
        <f>SUM(P1570:P1577)</f>
        <v>#VALUE!</v>
      </c>
      <c r="Q1578" s="116" t="e">
        <f>SUM(Q1570:Q1577)</f>
        <v>#VALUE!</v>
      </c>
      <c r="R1578" s="116" t="e">
        <f>SUM(R1570:R1577)</f>
        <v>#VALUE!</v>
      </c>
      <c r="T1578" s="116" t="e">
        <f>SUM(T1570:T1577)</f>
        <v>#VALUE!</v>
      </c>
      <c r="U1578" s="116" t="e">
        <f>SUM(U1570:U1577)</f>
        <v>#VALUE!</v>
      </c>
      <c r="V1578" s="116" t="e">
        <f>SUM(V1570:V1577)</f>
        <v>#VALUE!</v>
      </c>
      <c r="W1578" s="116" t="e">
        <f>SUM(W1570:W1577)</f>
        <v>#VALUE!</v>
      </c>
      <c r="X1578" s="3"/>
      <c r="Y1578" s="116" t="e">
        <f>SUM(Y1570:Y1577)</f>
        <v>#VALUE!</v>
      </c>
      <c r="Z1578" s="116" t="e">
        <f>SUM(Z1570:Z1577)</f>
        <v>#VALUE!</v>
      </c>
      <c r="AA1578" s="116" t="e">
        <f>SUM(AA1570:AA1577)</f>
        <v>#VALUE!</v>
      </c>
      <c r="AB1578" s="116" t="e">
        <f>SUM(AB1570:AB1577)</f>
        <v>#VALUE!</v>
      </c>
      <c r="AC1578" s="116" t="e">
        <f>SUM(AC1570:AC1577)</f>
        <v>#VALUE!</v>
      </c>
      <c r="AD1578" s="117" t="e">
        <f t="shared" si="900"/>
        <v>#VALUE!</v>
      </c>
      <c r="AE1578" s="117" t="e">
        <f t="shared" si="901"/>
        <v>#VALUE!</v>
      </c>
      <c r="AF1578" s="117" t="e">
        <f t="shared" si="902"/>
        <v>#VALUE!</v>
      </c>
      <c r="AG1578" s="117" t="e">
        <f t="shared" si="903"/>
        <v>#VALUE!</v>
      </c>
      <c r="AH1578" s="116"/>
      <c r="AI1578">
        <f t="shared" si="816"/>
        <v>394</v>
      </c>
      <c r="AJ1578" t="str">
        <f t="shared" si="887"/>
        <v>NA</v>
      </c>
      <c r="AK1578" t="str">
        <f>IF(ISERROR(MATCH(AI1578&amp;"."&amp;AJ1578,AK$91:AK1577,0)),AI1578&amp;"."&amp;AJ1578,AI1578&amp;"."&amp;AJ1578&amp;COUNTIFS(AI$91:AI1577,AI1578,AJ$91:AJ1577,AJ1578))</f>
        <v>394.NA1</v>
      </c>
    </row>
    <row r="1579" spans="1:37" ht="15" hidden="1">
      <c r="A1579" s="120">
        <f>ROW()</f>
        <v>1579</v>
      </c>
      <c r="B1579" s="120"/>
      <c r="C1579" s="1"/>
      <c r="E1579" s="121"/>
      <c r="F1579" s="138"/>
      <c r="G1579" s="119"/>
      <c r="X1579" s="3"/>
      <c r="AD1579" s="119"/>
      <c r="AE1579" s="119"/>
      <c r="AF1579" s="119"/>
      <c r="AG1579" s="119"/>
      <c r="AI1579">
        <f t="shared" si="816"/>
        <v>394</v>
      </c>
      <c r="AJ1579" t="str">
        <f t="shared" si="887"/>
        <v>NA</v>
      </c>
      <c r="AK1579" t="str">
        <f>IF(ISERROR(MATCH(AI1579&amp;"."&amp;AJ1579,AK$91:AK1578,0)),AI1579&amp;"."&amp;AJ1579,AI1579&amp;"."&amp;AJ1579&amp;COUNTIFS(AI$91:AI1578,AI1579,AJ$91:AJ1578,AJ1579))</f>
        <v>394.NA2</v>
      </c>
    </row>
    <row r="1580" spans="1:37" ht="15" hidden="1">
      <c r="A1580" s="120">
        <f>ROW()</f>
        <v>1580</v>
      </c>
      <c r="B1580" s="120"/>
      <c r="C1580" s="1">
        <v>395</v>
      </c>
      <c r="D1580" s="2" t="s">
        <v>563</v>
      </c>
      <c r="E1580" s="121"/>
      <c r="F1580" s="138"/>
      <c r="G1580" s="119"/>
      <c r="X1580" s="3"/>
      <c r="AD1580" s="119"/>
      <c r="AE1580" s="119"/>
      <c r="AF1580" s="119"/>
      <c r="AG1580" s="119"/>
      <c r="AI1580">
        <f t="shared" ref="AI1580:AI1643" si="905">IF(OR(C1580="",C1580=" ",C1580="  ",C1580="   "),AI1579,C1580)</f>
        <v>395</v>
      </c>
      <c r="AJ1580" t="str">
        <f t="shared" si="887"/>
        <v>NA</v>
      </c>
      <c r="AK1580" t="str">
        <f>IF(ISERROR(MATCH(AI1580&amp;"."&amp;AJ1580,AK$91:AK1579,0)),AI1580&amp;"."&amp;AJ1580,AI1580&amp;"."&amp;AJ1580&amp;COUNTIFS(AI$91:AI1579,AI1580,AJ$91:AJ1579,AJ1580))</f>
        <v>395.NA</v>
      </c>
    </row>
    <row r="1581" spans="1:37" ht="15" hidden="1">
      <c r="A1581" s="120">
        <f>ROW()</f>
        <v>1581</v>
      </c>
      <c r="B1581" s="120"/>
      <c r="C1581" s="1"/>
      <c r="E1581" s="121" t="s">
        <v>12</v>
      </c>
      <c r="F1581" s="138" t="str">
        <f>INDEX(FuncAllocOptions,ROW(A1581)-ROW($A$92)+1,[4]Inputs!$S$11)</f>
        <v>G-SITUS</v>
      </c>
      <c r="G1581" s="117" t="e">
        <f t="shared" ref="G1581:G1588" si="906">SUMIF(FERCJAMFactor,AK1581,JAMValue)</f>
        <v>#VALUE!</v>
      </c>
      <c r="H1581" s="116" t="e">
        <f t="shared" ref="H1581:L1588" si="907">INDEX(FuncFactorTbl,MATCH($F1581,FuncFactors,0),MATCH(H$8,Functions,0))*$G1581</f>
        <v>#VALUE!</v>
      </c>
      <c r="I1581" s="116" t="e">
        <f t="shared" si="907"/>
        <v>#VALUE!</v>
      </c>
      <c r="J1581" s="116" t="e">
        <f t="shared" si="907"/>
        <v>#VALUE!</v>
      </c>
      <c r="K1581" s="116" t="e">
        <f t="shared" si="907"/>
        <v>#VALUE!</v>
      </c>
      <c r="L1581" s="116" t="e">
        <f t="shared" si="907"/>
        <v>#VALUE!</v>
      </c>
      <c r="N1581" s="108">
        <v>0.75</v>
      </c>
      <c r="O1581" s="116" t="e">
        <f t="shared" ref="O1581:O1588" si="908">$H1581*$N1581*$M1581</f>
        <v>#VALUE!</v>
      </c>
      <c r="P1581" s="116" t="e">
        <f t="shared" ref="P1581:P1588" si="909">$H1581*(1-$N1581)*$M1581</f>
        <v>#VALUE!</v>
      </c>
      <c r="Q1581" s="116" t="e">
        <f t="shared" ref="Q1581:Q1588" si="910">$H1581*$N1581*(1-$M1581)</f>
        <v>#VALUE!</v>
      </c>
      <c r="R1581" s="116" t="e">
        <f t="shared" ref="R1581:R1588" si="911">$H1581*(1-$N1581)*(1-$M1581)</f>
        <v>#VALUE!</v>
      </c>
      <c r="S1581" s="108">
        <v>0.75</v>
      </c>
      <c r="T1581" s="116" t="e">
        <f t="shared" ref="T1581:T1588" si="912">$I1581*$S1581*$M1581</f>
        <v>#VALUE!</v>
      </c>
      <c r="U1581" s="116" t="e">
        <f t="shared" ref="U1581:U1588" si="913">$I1581*(1-$S1581)*$M1581</f>
        <v>#VALUE!</v>
      </c>
      <c r="V1581" s="116" t="e">
        <f t="shared" ref="V1581:V1588" si="914">$I1581*$S1581*(1-$M1581)</f>
        <v>#VALUE!</v>
      </c>
      <c r="W1581" s="116" t="e">
        <f t="shared" ref="W1581:W1588" si="915">$I1581*(1-$S1581)*(1-$M1581)</f>
        <v>#VALUE!</v>
      </c>
      <c r="X1581" s="3" t="str">
        <f>INDEX(DistFuncAllocOptions,ROW(A1581)-ROW($A$92)+1,[4]Inputs!$S$11)</f>
        <v>PLNT</v>
      </c>
      <c r="Y1581" s="116" t="e">
        <f t="shared" ref="Y1581:AC1588" si="916">INDEX(DistFuncFactorTbl,MATCH($X1581,DistFuncFactors,0),MATCH(Y$91,DistFunctions,0))*$J1581</f>
        <v>#VALUE!</v>
      </c>
      <c r="Z1581" s="116" t="e">
        <f t="shared" si="916"/>
        <v>#VALUE!</v>
      </c>
      <c r="AA1581" s="116" t="e">
        <f t="shared" si="916"/>
        <v>#VALUE!</v>
      </c>
      <c r="AB1581" s="116" t="e">
        <f t="shared" si="916"/>
        <v>#VALUE!</v>
      </c>
      <c r="AC1581" s="116" t="e">
        <f t="shared" si="916"/>
        <v>#VALUE!</v>
      </c>
      <c r="AD1581" s="117" t="e">
        <f t="shared" ref="AD1581:AD1589" si="917">ROUND(SUM(-G1581,H1581:L1581),0)</f>
        <v>#VALUE!</v>
      </c>
      <c r="AE1581" s="117" t="e">
        <f t="shared" ref="AE1581:AE1589" si="918">ROUND(H1581-O1581-P1581-Q1581-R1581,0)</f>
        <v>#VALUE!</v>
      </c>
      <c r="AF1581" s="117" t="e">
        <f t="shared" ref="AF1581:AF1589" si="919">ROUND(I1581-T1581-U1581-V1581-W1581,0)</f>
        <v>#VALUE!</v>
      </c>
      <c r="AG1581" s="117" t="e">
        <f t="shared" ref="AG1581:AG1589" si="920">ROUND(J1581-Y1581-Z1581-AA1581-AC1581-AB1581,0)</f>
        <v>#VALUE!</v>
      </c>
      <c r="AH1581" s="116"/>
      <c r="AI1581">
        <f t="shared" si="905"/>
        <v>395</v>
      </c>
      <c r="AJ1581" t="str">
        <f t="shared" si="887"/>
        <v>S</v>
      </c>
      <c r="AK1581" t="str">
        <f>IF(ISERROR(MATCH(AI1581&amp;"."&amp;AJ1581,AK$91:AK1580,0)),AI1581&amp;"."&amp;AJ1581,AI1581&amp;"."&amp;AJ1581&amp;COUNTIFS(AI$91:AI1580,AI1581,AJ$91:AJ1580,AJ1581))</f>
        <v>395.S</v>
      </c>
    </row>
    <row r="1582" spans="1:37" ht="15" hidden="1">
      <c r="A1582" s="120">
        <f>ROW()</f>
        <v>1582</v>
      </c>
      <c r="B1582" s="120"/>
      <c r="C1582" s="1"/>
      <c r="E1582" s="121" t="s">
        <v>15</v>
      </c>
      <c r="F1582" s="138" t="str">
        <f>INDEX(FuncAllocOptions,ROW(A1582)-ROW($A$92)+1,[4]Inputs!$S$11)</f>
        <v>PT</v>
      </c>
      <c r="G1582" s="117" t="e">
        <f t="shared" si="906"/>
        <v>#VALUE!</v>
      </c>
      <c r="H1582" s="116" t="e">
        <f t="shared" si="907"/>
        <v>#VALUE!</v>
      </c>
      <c r="I1582" s="116" t="e">
        <f t="shared" si="907"/>
        <v>#VALUE!</v>
      </c>
      <c r="J1582" s="116" t="e">
        <f t="shared" si="907"/>
        <v>#VALUE!</v>
      </c>
      <c r="K1582" s="116" t="e">
        <f t="shared" si="907"/>
        <v>#VALUE!</v>
      </c>
      <c r="L1582" s="116" t="e">
        <f t="shared" si="907"/>
        <v>#VALUE!</v>
      </c>
      <c r="N1582" s="108">
        <v>0.75</v>
      </c>
      <c r="O1582" s="116" t="e">
        <f t="shared" si="908"/>
        <v>#VALUE!</v>
      </c>
      <c r="P1582" s="116" t="e">
        <f t="shared" si="909"/>
        <v>#VALUE!</v>
      </c>
      <c r="Q1582" s="116" t="e">
        <f t="shared" si="910"/>
        <v>#VALUE!</v>
      </c>
      <c r="R1582" s="116" t="e">
        <f t="shared" si="911"/>
        <v>#VALUE!</v>
      </c>
      <c r="S1582" s="108">
        <v>0.75</v>
      </c>
      <c r="T1582" s="116" t="e">
        <f t="shared" si="912"/>
        <v>#VALUE!</v>
      </c>
      <c r="U1582" s="116" t="e">
        <f t="shared" si="913"/>
        <v>#VALUE!</v>
      </c>
      <c r="V1582" s="116" t="e">
        <f t="shared" si="914"/>
        <v>#VALUE!</v>
      </c>
      <c r="W1582" s="116" t="e">
        <f t="shared" si="915"/>
        <v>#VALUE!</v>
      </c>
      <c r="X1582" s="3" t="str">
        <f>INDEX(DistFuncAllocOptions,ROW(A1582)-ROW($A$92)+1,[4]Inputs!$S$11)</f>
        <v>PLNT</v>
      </c>
      <c r="Y1582" s="116" t="e">
        <f t="shared" si="916"/>
        <v>#VALUE!</v>
      </c>
      <c r="Z1582" s="116" t="e">
        <f t="shared" si="916"/>
        <v>#VALUE!</v>
      </c>
      <c r="AA1582" s="116" t="e">
        <f t="shared" si="916"/>
        <v>#VALUE!</v>
      </c>
      <c r="AB1582" s="116" t="e">
        <f t="shared" si="916"/>
        <v>#VALUE!</v>
      </c>
      <c r="AC1582" s="116" t="e">
        <f t="shared" si="916"/>
        <v>#VALUE!</v>
      </c>
      <c r="AD1582" s="117" t="e">
        <f t="shared" si="917"/>
        <v>#VALUE!</v>
      </c>
      <c r="AE1582" s="117" t="e">
        <f t="shared" si="918"/>
        <v>#VALUE!</v>
      </c>
      <c r="AF1582" s="117" t="e">
        <f t="shared" si="919"/>
        <v>#VALUE!</v>
      </c>
      <c r="AG1582" s="117" t="e">
        <f t="shared" si="920"/>
        <v>#VALUE!</v>
      </c>
      <c r="AH1582" s="116"/>
      <c r="AI1582">
        <f t="shared" si="905"/>
        <v>395</v>
      </c>
      <c r="AJ1582" t="str">
        <f t="shared" si="887"/>
        <v>SG</v>
      </c>
      <c r="AK1582" t="str">
        <f>IF(ISERROR(MATCH(AI1582&amp;"."&amp;AJ1582,AK$91:AK1581,0)),AI1582&amp;"."&amp;AJ1582,AI1582&amp;"."&amp;AJ1582&amp;COUNTIFS(AI$91:AI1581,AI1582,AJ$91:AJ1581,AJ1582))</f>
        <v>395.SG</v>
      </c>
    </row>
    <row r="1583" spans="1:37" ht="15" hidden="1">
      <c r="A1583" s="120">
        <f>ROW()</f>
        <v>1583</v>
      </c>
      <c r="B1583" s="120"/>
      <c r="C1583" s="1"/>
      <c r="E1583" s="121" t="s">
        <v>15</v>
      </c>
      <c r="F1583" s="138" t="str">
        <f>INDEX(FuncAllocOptions,ROW(A1583)-ROW($A$92)+1,[4]Inputs!$S$11)</f>
        <v>PT</v>
      </c>
      <c r="G1583" s="117" t="e">
        <f t="shared" si="906"/>
        <v>#VALUE!</v>
      </c>
      <c r="H1583" s="116" t="e">
        <f t="shared" si="907"/>
        <v>#VALUE!</v>
      </c>
      <c r="I1583" s="116" t="e">
        <f t="shared" si="907"/>
        <v>#VALUE!</v>
      </c>
      <c r="J1583" s="116" t="e">
        <f t="shared" si="907"/>
        <v>#VALUE!</v>
      </c>
      <c r="K1583" s="116" t="e">
        <f t="shared" si="907"/>
        <v>#VALUE!</v>
      </c>
      <c r="L1583" s="116" t="e">
        <f t="shared" si="907"/>
        <v>#VALUE!</v>
      </c>
      <c r="N1583" s="108">
        <v>0.75</v>
      </c>
      <c r="O1583" s="116" t="e">
        <f t="shared" si="908"/>
        <v>#VALUE!</v>
      </c>
      <c r="P1583" s="116" t="e">
        <f t="shared" si="909"/>
        <v>#VALUE!</v>
      </c>
      <c r="Q1583" s="116" t="e">
        <f t="shared" si="910"/>
        <v>#VALUE!</v>
      </c>
      <c r="R1583" s="116" t="e">
        <f t="shared" si="911"/>
        <v>#VALUE!</v>
      </c>
      <c r="S1583" s="108">
        <v>0.75</v>
      </c>
      <c r="T1583" s="116" t="e">
        <f t="shared" si="912"/>
        <v>#VALUE!</v>
      </c>
      <c r="U1583" s="116" t="e">
        <f t="shared" si="913"/>
        <v>#VALUE!</v>
      </c>
      <c r="V1583" s="116" t="e">
        <f t="shared" si="914"/>
        <v>#VALUE!</v>
      </c>
      <c r="W1583" s="116" t="e">
        <f t="shared" si="915"/>
        <v>#VALUE!</v>
      </c>
      <c r="X1583" s="3" t="str">
        <f>INDEX(DistFuncAllocOptions,ROW(A1583)-ROW($A$92)+1,[4]Inputs!$S$11)</f>
        <v>PLNT</v>
      </c>
      <c r="Y1583" s="116" t="e">
        <f t="shared" si="916"/>
        <v>#VALUE!</v>
      </c>
      <c r="Z1583" s="116" t="e">
        <f t="shared" si="916"/>
        <v>#VALUE!</v>
      </c>
      <c r="AA1583" s="116" t="e">
        <f t="shared" si="916"/>
        <v>#VALUE!</v>
      </c>
      <c r="AB1583" s="116" t="e">
        <f t="shared" si="916"/>
        <v>#VALUE!</v>
      </c>
      <c r="AC1583" s="116" t="e">
        <f t="shared" si="916"/>
        <v>#VALUE!</v>
      </c>
      <c r="AD1583" s="117" t="e">
        <f t="shared" si="917"/>
        <v>#VALUE!</v>
      </c>
      <c r="AE1583" s="117" t="e">
        <f t="shared" si="918"/>
        <v>#VALUE!</v>
      </c>
      <c r="AF1583" s="117" t="e">
        <f t="shared" si="919"/>
        <v>#VALUE!</v>
      </c>
      <c r="AG1583" s="117" t="e">
        <f t="shared" si="920"/>
        <v>#VALUE!</v>
      </c>
      <c r="AH1583" s="116"/>
      <c r="AI1583">
        <f t="shared" si="905"/>
        <v>395</v>
      </c>
      <c r="AJ1583" t="str">
        <f t="shared" si="887"/>
        <v>SG</v>
      </c>
      <c r="AK1583" t="str">
        <f>IF(ISERROR(MATCH(AI1583&amp;"."&amp;AJ1583,AK$91:AK1582,0)),AI1583&amp;"."&amp;AJ1583,AI1583&amp;"."&amp;AJ1583&amp;COUNTIFS(AI$91:AI1582,AI1583,AJ$91:AJ1582,AJ1583))</f>
        <v>395.SG1</v>
      </c>
    </row>
    <row r="1584" spans="1:37" ht="15" hidden="1">
      <c r="A1584" s="120">
        <f>ROW()</f>
        <v>1584</v>
      </c>
      <c r="B1584" s="120"/>
      <c r="C1584" s="1"/>
      <c r="E1584" s="121" t="s">
        <v>136</v>
      </c>
      <c r="F1584" s="138" t="str">
        <f>INDEX(FuncAllocOptions,ROW(A1584)-ROW($A$92)+1,[4]Inputs!$S$11)</f>
        <v>PTD</v>
      </c>
      <c r="G1584" s="117" t="e">
        <f t="shared" si="906"/>
        <v>#VALUE!</v>
      </c>
      <c r="H1584" s="116" t="e">
        <f t="shared" si="907"/>
        <v>#VALUE!</v>
      </c>
      <c r="I1584" s="116" t="e">
        <f t="shared" si="907"/>
        <v>#VALUE!</v>
      </c>
      <c r="J1584" s="116" t="e">
        <f t="shared" si="907"/>
        <v>#VALUE!</v>
      </c>
      <c r="K1584" s="116" t="e">
        <f t="shared" si="907"/>
        <v>#VALUE!</v>
      </c>
      <c r="L1584" s="116" t="e">
        <f t="shared" si="907"/>
        <v>#VALUE!</v>
      </c>
      <c r="N1584" s="108">
        <v>0.75</v>
      </c>
      <c r="O1584" s="116" t="e">
        <f t="shared" si="908"/>
        <v>#VALUE!</v>
      </c>
      <c r="P1584" s="116" t="e">
        <f t="shared" si="909"/>
        <v>#VALUE!</v>
      </c>
      <c r="Q1584" s="116" t="e">
        <f t="shared" si="910"/>
        <v>#VALUE!</v>
      </c>
      <c r="R1584" s="116" t="e">
        <f t="shared" si="911"/>
        <v>#VALUE!</v>
      </c>
      <c r="S1584" s="108">
        <v>0.75</v>
      </c>
      <c r="T1584" s="116" t="e">
        <f t="shared" si="912"/>
        <v>#VALUE!</v>
      </c>
      <c r="U1584" s="116" t="e">
        <f t="shared" si="913"/>
        <v>#VALUE!</v>
      </c>
      <c r="V1584" s="116" t="e">
        <f t="shared" si="914"/>
        <v>#VALUE!</v>
      </c>
      <c r="W1584" s="116" t="e">
        <f t="shared" si="915"/>
        <v>#VALUE!</v>
      </c>
      <c r="X1584" s="3" t="str">
        <f>INDEX(DistFuncAllocOptions,ROW(A1584)-ROW($A$92)+1,[4]Inputs!$S$11)</f>
        <v>PLNT</v>
      </c>
      <c r="Y1584" s="116" t="e">
        <f t="shared" si="916"/>
        <v>#VALUE!</v>
      </c>
      <c r="Z1584" s="116" t="e">
        <f t="shared" si="916"/>
        <v>#VALUE!</v>
      </c>
      <c r="AA1584" s="116" t="e">
        <f t="shared" si="916"/>
        <v>#VALUE!</v>
      </c>
      <c r="AB1584" s="116" t="e">
        <f t="shared" si="916"/>
        <v>#VALUE!</v>
      </c>
      <c r="AC1584" s="116" t="e">
        <f t="shared" si="916"/>
        <v>#VALUE!</v>
      </c>
      <c r="AD1584" s="117" t="e">
        <f t="shared" si="917"/>
        <v>#VALUE!</v>
      </c>
      <c r="AE1584" s="117" t="e">
        <f t="shared" si="918"/>
        <v>#VALUE!</v>
      </c>
      <c r="AF1584" s="117" t="e">
        <f t="shared" si="919"/>
        <v>#VALUE!</v>
      </c>
      <c r="AG1584" s="117" t="e">
        <f t="shared" si="920"/>
        <v>#VALUE!</v>
      </c>
      <c r="AH1584" s="116"/>
      <c r="AI1584">
        <f t="shared" si="905"/>
        <v>395</v>
      </c>
      <c r="AJ1584" t="str">
        <f t="shared" si="887"/>
        <v>SO</v>
      </c>
      <c r="AK1584" t="str">
        <f>IF(ISERROR(MATCH(AI1584&amp;"."&amp;AJ1584,AK$91:AK1583,0)),AI1584&amp;"."&amp;AJ1584,AI1584&amp;"."&amp;AJ1584&amp;COUNTIFS(AI$91:AI1583,AI1584,AJ$91:AJ1583,AJ1584))</f>
        <v>395.SO</v>
      </c>
    </row>
    <row r="1585" spans="1:37" ht="15" hidden="1">
      <c r="A1585" s="120">
        <f>ROW()</f>
        <v>1585</v>
      </c>
      <c r="B1585" s="120"/>
      <c r="C1585" s="1"/>
      <c r="E1585" s="121" t="s">
        <v>16</v>
      </c>
      <c r="F1585" s="138" t="str">
        <f>INDEX(FuncAllocOptions,ROW(A1585)-ROW($A$92)+1,[4]Inputs!$S$11)</f>
        <v>P</v>
      </c>
      <c r="G1585" s="117" t="e">
        <f t="shared" si="906"/>
        <v>#VALUE!</v>
      </c>
      <c r="H1585" s="116" t="e">
        <f t="shared" si="907"/>
        <v>#VALUE!</v>
      </c>
      <c r="I1585" s="116" t="e">
        <f t="shared" si="907"/>
        <v>#VALUE!</v>
      </c>
      <c r="J1585" s="116" t="e">
        <f t="shared" si="907"/>
        <v>#VALUE!</v>
      </c>
      <c r="K1585" s="116" t="e">
        <f t="shared" si="907"/>
        <v>#VALUE!</v>
      </c>
      <c r="L1585" s="116" t="e">
        <f t="shared" si="907"/>
        <v>#VALUE!</v>
      </c>
      <c r="N1585" s="108">
        <v>0</v>
      </c>
      <c r="O1585" s="116" t="e">
        <f t="shared" si="908"/>
        <v>#VALUE!</v>
      </c>
      <c r="P1585" s="116" t="e">
        <f t="shared" si="909"/>
        <v>#VALUE!</v>
      </c>
      <c r="Q1585" s="116" t="e">
        <f t="shared" si="910"/>
        <v>#VALUE!</v>
      </c>
      <c r="R1585" s="116" t="e">
        <f t="shared" si="911"/>
        <v>#VALUE!</v>
      </c>
      <c r="S1585" s="108">
        <v>0</v>
      </c>
      <c r="T1585" s="116" t="e">
        <f t="shared" si="912"/>
        <v>#VALUE!</v>
      </c>
      <c r="U1585" s="116" t="e">
        <f t="shared" si="913"/>
        <v>#VALUE!</v>
      </c>
      <c r="V1585" s="116" t="e">
        <f t="shared" si="914"/>
        <v>#VALUE!</v>
      </c>
      <c r="W1585" s="116" t="e">
        <f t="shared" si="915"/>
        <v>#VALUE!</v>
      </c>
      <c r="X1585" s="3" t="str">
        <f>INDEX(DistFuncAllocOptions,ROW(A1585)-ROW($A$92)+1,[4]Inputs!$S$11)</f>
        <v>PLNT</v>
      </c>
      <c r="Y1585" s="116" t="e">
        <f t="shared" si="916"/>
        <v>#VALUE!</v>
      </c>
      <c r="Z1585" s="116" t="e">
        <f t="shared" si="916"/>
        <v>#VALUE!</v>
      </c>
      <c r="AA1585" s="116" t="e">
        <f t="shared" si="916"/>
        <v>#VALUE!</v>
      </c>
      <c r="AB1585" s="116" t="e">
        <f t="shared" si="916"/>
        <v>#VALUE!</v>
      </c>
      <c r="AC1585" s="116" t="e">
        <f t="shared" si="916"/>
        <v>#VALUE!</v>
      </c>
      <c r="AD1585" s="117" t="e">
        <f t="shared" si="917"/>
        <v>#VALUE!</v>
      </c>
      <c r="AE1585" s="117" t="e">
        <f t="shared" si="918"/>
        <v>#VALUE!</v>
      </c>
      <c r="AF1585" s="117" t="e">
        <f t="shared" si="919"/>
        <v>#VALUE!</v>
      </c>
      <c r="AG1585" s="117" t="e">
        <f t="shared" si="920"/>
        <v>#VALUE!</v>
      </c>
      <c r="AH1585" s="116"/>
      <c r="AI1585">
        <f t="shared" si="905"/>
        <v>395</v>
      </c>
      <c r="AJ1585" t="str">
        <f t="shared" si="887"/>
        <v>SE</v>
      </c>
      <c r="AK1585" t="str">
        <f>IF(ISERROR(MATCH(AI1585&amp;"."&amp;AJ1585,AK$91:AK1584,0)),AI1585&amp;"."&amp;AJ1585,AI1585&amp;"."&amp;AJ1585&amp;COUNTIFS(AI$91:AI1584,AI1585,AJ$91:AJ1584,AJ1585))</f>
        <v>395.SE</v>
      </c>
    </row>
    <row r="1586" spans="1:37" ht="15" hidden="1">
      <c r="A1586" s="120">
        <f>ROW()</f>
        <v>1586</v>
      </c>
      <c r="B1586" s="120"/>
      <c r="C1586" s="1"/>
      <c r="E1586" s="121" t="s">
        <v>15</v>
      </c>
      <c r="F1586" s="138" t="str">
        <f>INDEX(FuncAllocOptions,ROW(A1586)-ROW($A$92)+1,[4]Inputs!$S$11)</f>
        <v>G-SG</v>
      </c>
      <c r="G1586" s="117" t="e">
        <f t="shared" si="906"/>
        <v>#VALUE!</v>
      </c>
      <c r="H1586" s="116" t="e">
        <f t="shared" si="907"/>
        <v>#VALUE!</v>
      </c>
      <c r="I1586" s="116" t="e">
        <f t="shared" si="907"/>
        <v>#VALUE!</v>
      </c>
      <c r="J1586" s="116" t="e">
        <f t="shared" si="907"/>
        <v>#VALUE!</v>
      </c>
      <c r="K1586" s="116" t="e">
        <f t="shared" si="907"/>
        <v>#VALUE!</v>
      </c>
      <c r="L1586" s="116" t="e">
        <f t="shared" si="907"/>
        <v>#VALUE!</v>
      </c>
      <c r="N1586" s="108">
        <v>0.75</v>
      </c>
      <c r="O1586" s="116" t="e">
        <f t="shared" si="908"/>
        <v>#VALUE!</v>
      </c>
      <c r="P1586" s="116" t="e">
        <f t="shared" si="909"/>
        <v>#VALUE!</v>
      </c>
      <c r="Q1586" s="116" t="e">
        <f t="shared" si="910"/>
        <v>#VALUE!</v>
      </c>
      <c r="R1586" s="116" t="e">
        <f t="shared" si="911"/>
        <v>#VALUE!</v>
      </c>
      <c r="S1586" s="108">
        <v>0.75</v>
      </c>
      <c r="T1586" s="116" t="e">
        <f t="shared" si="912"/>
        <v>#VALUE!</v>
      </c>
      <c r="U1586" s="116" t="e">
        <f t="shared" si="913"/>
        <v>#VALUE!</v>
      </c>
      <c r="V1586" s="116" t="e">
        <f t="shared" si="914"/>
        <v>#VALUE!</v>
      </c>
      <c r="W1586" s="116" t="e">
        <f t="shared" si="915"/>
        <v>#VALUE!</v>
      </c>
      <c r="X1586" s="3" t="str">
        <f>INDEX(DistFuncAllocOptions,ROW(A1586)-ROW($A$92)+1,[4]Inputs!$S$11)</f>
        <v>PLNT</v>
      </c>
      <c r="Y1586" s="116" t="e">
        <f t="shared" si="916"/>
        <v>#VALUE!</v>
      </c>
      <c r="Z1586" s="116" t="e">
        <f t="shared" si="916"/>
        <v>#VALUE!</v>
      </c>
      <c r="AA1586" s="116" t="e">
        <f t="shared" si="916"/>
        <v>#VALUE!</v>
      </c>
      <c r="AB1586" s="116" t="e">
        <f t="shared" si="916"/>
        <v>#VALUE!</v>
      </c>
      <c r="AC1586" s="116" t="e">
        <f t="shared" si="916"/>
        <v>#VALUE!</v>
      </c>
      <c r="AD1586" s="117" t="e">
        <f t="shared" si="917"/>
        <v>#VALUE!</v>
      </c>
      <c r="AE1586" s="117" t="e">
        <f t="shared" si="918"/>
        <v>#VALUE!</v>
      </c>
      <c r="AF1586" s="117" t="e">
        <f t="shared" si="919"/>
        <v>#VALUE!</v>
      </c>
      <c r="AG1586" s="117" t="e">
        <f t="shared" si="920"/>
        <v>#VALUE!</v>
      </c>
      <c r="AH1586" s="116"/>
      <c r="AI1586">
        <f t="shared" si="905"/>
        <v>395</v>
      </c>
      <c r="AJ1586" t="str">
        <f t="shared" si="887"/>
        <v>SG</v>
      </c>
      <c r="AK1586" t="str">
        <f>IF(ISERROR(MATCH(AI1586&amp;"."&amp;AJ1586,AK$91:AK1585,0)),AI1586&amp;"."&amp;AJ1586,AI1586&amp;"."&amp;AJ1586&amp;COUNTIFS(AI$91:AI1585,AI1586,AJ$91:AJ1585,AJ1586))</f>
        <v>395.SG2</v>
      </c>
    </row>
    <row r="1587" spans="1:37" ht="15" hidden="1">
      <c r="A1587" s="120">
        <f>ROW()</f>
        <v>1587</v>
      </c>
      <c r="B1587" s="120"/>
      <c r="C1587" s="1"/>
      <c r="E1587" s="121" t="s">
        <v>15</v>
      </c>
      <c r="F1587" s="138" t="str">
        <f>INDEX(FuncAllocOptions,ROW(A1587)-ROW($A$92)+1,[4]Inputs!$S$11)</f>
        <v>G-SG</v>
      </c>
      <c r="G1587" s="117" t="e">
        <f t="shared" si="906"/>
        <v>#VALUE!</v>
      </c>
      <c r="H1587" s="116" t="e">
        <f t="shared" si="907"/>
        <v>#VALUE!</v>
      </c>
      <c r="I1587" s="116" t="e">
        <f t="shared" si="907"/>
        <v>#VALUE!</v>
      </c>
      <c r="J1587" s="116" t="e">
        <f t="shared" si="907"/>
        <v>#VALUE!</v>
      </c>
      <c r="K1587" s="116" t="e">
        <f t="shared" si="907"/>
        <v>#VALUE!</v>
      </c>
      <c r="L1587" s="116" t="e">
        <f t="shared" si="907"/>
        <v>#VALUE!</v>
      </c>
      <c r="N1587" s="108">
        <v>0.75</v>
      </c>
      <c r="O1587" s="116" t="e">
        <f t="shared" si="908"/>
        <v>#VALUE!</v>
      </c>
      <c r="P1587" s="116" t="e">
        <f t="shared" si="909"/>
        <v>#VALUE!</v>
      </c>
      <c r="Q1587" s="116" t="e">
        <f t="shared" si="910"/>
        <v>#VALUE!</v>
      </c>
      <c r="R1587" s="116" t="e">
        <f t="shared" si="911"/>
        <v>#VALUE!</v>
      </c>
      <c r="S1587" s="108">
        <v>0.75</v>
      </c>
      <c r="T1587" s="116" t="e">
        <f t="shared" si="912"/>
        <v>#VALUE!</v>
      </c>
      <c r="U1587" s="116" t="e">
        <f t="shared" si="913"/>
        <v>#VALUE!</v>
      </c>
      <c r="V1587" s="116" t="e">
        <f t="shared" si="914"/>
        <v>#VALUE!</v>
      </c>
      <c r="W1587" s="116" t="e">
        <f t="shared" si="915"/>
        <v>#VALUE!</v>
      </c>
      <c r="X1587" s="3" t="str">
        <f>INDEX(DistFuncAllocOptions,ROW(A1587)-ROW($A$92)+1,[4]Inputs!$S$11)</f>
        <v>PLNT</v>
      </c>
      <c r="Y1587" s="116" t="e">
        <f t="shared" si="916"/>
        <v>#VALUE!</v>
      </c>
      <c r="Z1587" s="116" t="e">
        <f t="shared" si="916"/>
        <v>#VALUE!</v>
      </c>
      <c r="AA1587" s="116" t="e">
        <f t="shared" si="916"/>
        <v>#VALUE!</v>
      </c>
      <c r="AB1587" s="116" t="e">
        <f t="shared" si="916"/>
        <v>#VALUE!</v>
      </c>
      <c r="AC1587" s="116" t="e">
        <f t="shared" si="916"/>
        <v>#VALUE!</v>
      </c>
      <c r="AD1587" s="117" t="e">
        <f t="shared" si="917"/>
        <v>#VALUE!</v>
      </c>
      <c r="AE1587" s="117" t="e">
        <f t="shared" si="918"/>
        <v>#VALUE!</v>
      </c>
      <c r="AF1587" s="117" t="e">
        <f t="shared" si="919"/>
        <v>#VALUE!</v>
      </c>
      <c r="AG1587" s="117" t="e">
        <f t="shared" si="920"/>
        <v>#VALUE!</v>
      </c>
      <c r="AH1587" s="116"/>
      <c r="AI1587">
        <f t="shared" si="905"/>
        <v>395</v>
      </c>
      <c r="AJ1587" t="str">
        <f t="shared" si="887"/>
        <v>SG</v>
      </c>
      <c r="AK1587" t="str">
        <f>IF(ISERROR(MATCH(AI1587&amp;"."&amp;AJ1587,AK$91:AK1586,0)),AI1587&amp;"."&amp;AJ1587,AI1587&amp;"."&amp;AJ1587&amp;COUNTIFS(AI$91:AI1586,AI1587,AJ$91:AJ1586,AJ1587))</f>
        <v>395.SG3</v>
      </c>
    </row>
    <row r="1588" spans="1:37" ht="15" hidden="1">
      <c r="A1588" s="120">
        <f>ROW()</f>
        <v>1588</v>
      </c>
      <c r="B1588" s="120"/>
      <c r="C1588" s="1"/>
      <c r="E1588" s="121" t="s">
        <v>15</v>
      </c>
      <c r="F1588" s="138" t="str">
        <f>INDEX(FuncAllocOptions,ROW(A1588)-ROW($A$92)+1,[4]Inputs!$S$11)</f>
        <v>G-SG</v>
      </c>
      <c r="G1588" s="133" t="e">
        <f t="shared" si="906"/>
        <v>#VALUE!</v>
      </c>
      <c r="H1588" s="139" t="e">
        <f t="shared" si="907"/>
        <v>#VALUE!</v>
      </c>
      <c r="I1588" s="139" t="e">
        <f t="shared" si="907"/>
        <v>#VALUE!</v>
      </c>
      <c r="J1588" s="139" t="e">
        <f t="shared" si="907"/>
        <v>#VALUE!</v>
      </c>
      <c r="K1588" s="139" t="e">
        <f t="shared" si="907"/>
        <v>#VALUE!</v>
      </c>
      <c r="L1588" s="139" t="e">
        <f t="shared" si="907"/>
        <v>#VALUE!</v>
      </c>
      <c r="N1588" s="108">
        <v>0.75</v>
      </c>
      <c r="O1588" s="116" t="e">
        <f t="shared" si="908"/>
        <v>#VALUE!</v>
      </c>
      <c r="P1588" s="116" t="e">
        <f t="shared" si="909"/>
        <v>#VALUE!</v>
      </c>
      <c r="Q1588" s="116" t="e">
        <f t="shared" si="910"/>
        <v>#VALUE!</v>
      </c>
      <c r="R1588" s="116" t="e">
        <f t="shared" si="911"/>
        <v>#VALUE!</v>
      </c>
      <c r="S1588" s="108">
        <v>0.75</v>
      </c>
      <c r="T1588" s="116" t="e">
        <f t="shared" si="912"/>
        <v>#VALUE!</v>
      </c>
      <c r="U1588" s="116" t="e">
        <f t="shared" si="913"/>
        <v>#VALUE!</v>
      </c>
      <c r="V1588" s="116" t="e">
        <f t="shared" si="914"/>
        <v>#VALUE!</v>
      </c>
      <c r="W1588" s="116" t="e">
        <f t="shared" si="915"/>
        <v>#VALUE!</v>
      </c>
      <c r="X1588" s="3" t="str">
        <f>INDEX(DistFuncAllocOptions,ROW(A1588)-ROW($A$92)+1,[4]Inputs!$S$11)</f>
        <v>PLNT</v>
      </c>
      <c r="Y1588" s="116" t="e">
        <f t="shared" si="916"/>
        <v>#VALUE!</v>
      </c>
      <c r="Z1588" s="116" t="e">
        <f t="shared" si="916"/>
        <v>#VALUE!</v>
      </c>
      <c r="AA1588" s="116" t="e">
        <f t="shared" si="916"/>
        <v>#VALUE!</v>
      </c>
      <c r="AB1588" s="116" t="e">
        <f t="shared" si="916"/>
        <v>#VALUE!</v>
      </c>
      <c r="AC1588" s="116" t="e">
        <f t="shared" si="916"/>
        <v>#VALUE!</v>
      </c>
      <c r="AD1588" s="117" t="e">
        <f t="shared" si="917"/>
        <v>#VALUE!</v>
      </c>
      <c r="AE1588" s="117" t="e">
        <f t="shared" si="918"/>
        <v>#VALUE!</v>
      </c>
      <c r="AF1588" s="117" t="e">
        <f t="shared" si="919"/>
        <v>#VALUE!</v>
      </c>
      <c r="AG1588" s="117" t="e">
        <f t="shared" si="920"/>
        <v>#VALUE!</v>
      </c>
      <c r="AH1588" s="116"/>
      <c r="AI1588">
        <f t="shared" si="905"/>
        <v>395</v>
      </c>
      <c r="AJ1588" t="str">
        <f t="shared" si="887"/>
        <v>SG</v>
      </c>
      <c r="AK1588" t="str">
        <f>IF(ISERROR(MATCH(AI1588&amp;"."&amp;AJ1588,AK$91:AK1587,0)),AI1588&amp;"."&amp;AJ1588,AI1588&amp;"."&amp;AJ1588&amp;COUNTIFS(AI$91:AI1587,AI1588,AJ$91:AJ1587,AJ1588))</f>
        <v>395.SG4</v>
      </c>
    </row>
    <row r="1589" spans="1:37" ht="15" hidden="1">
      <c r="A1589" s="120">
        <f>ROW()</f>
        <v>1589</v>
      </c>
      <c r="B1589" s="120"/>
      <c r="C1589" s="1"/>
      <c r="E1589" s="121"/>
      <c r="F1589" s="138"/>
      <c r="G1589" s="117" t="e">
        <f t="shared" ref="G1589:L1589" si="921">SUM(G1581:G1588)</f>
        <v>#VALUE!</v>
      </c>
      <c r="H1589" s="116" t="e">
        <f t="shared" si="921"/>
        <v>#VALUE!</v>
      </c>
      <c r="I1589" s="116" t="e">
        <f t="shared" si="921"/>
        <v>#VALUE!</v>
      </c>
      <c r="J1589" s="116" t="e">
        <f t="shared" si="921"/>
        <v>#VALUE!</v>
      </c>
      <c r="K1589" s="116" t="e">
        <f t="shared" si="921"/>
        <v>#VALUE!</v>
      </c>
      <c r="L1589" s="116" t="e">
        <f t="shared" si="921"/>
        <v>#VALUE!</v>
      </c>
      <c r="O1589" s="116" t="e">
        <f>SUM(O1581:O1588)</f>
        <v>#VALUE!</v>
      </c>
      <c r="P1589" s="116" t="e">
        <f>SUM(P1581:P1588)</f>
        <v>#VALUE!</v>
      </c>
      <c r="Q1589" s="116" t="e">
        <f>SUM(Q1581:Q1588)</f>
        <v>#VALUE!</v>
      </c>
      <c r="R1589" s="116" t="e">
        <f>SUM(R1581:R1588)</f>
        <v>#VALUE!</v>
      </c>
      <c r="T1589" s="116" t="e">
        <f>SUM(T1581:T1588)</f>
        <v>#VALUE!</v>
      </c>
      <c r="U1589" s="116" t="e">
        <f>SUM(U1581:U1588)</f>
        <v>#VALUE!</v>
      </c>
      <c r="V1589" s="116" t="e">
        <f>SUM(V1581:V1588)</f>
        <v>#VALUE!</v>
      </c>
      <c r="W1589" s="116" t="e">
        <f>SUM(W1581:W1588)</f>
        <v>#VALUE!</v>
      </c>
      <c r="X1589" s="3"/>
      <c r="Y1589" s="116" t="e">
        <f>SUM(Y1581:Y1588)</f>
        <v>#VALUE!</v>
      </c>
      <c r="Z1589" s="116" t="e">
        <f>SUM(Z1581:Z1588)</f>
        <v>#VALUE!</v>
      </c>
      <c r="AA1589" s="116" t="e">
        <f>SUM(AA1581:AA1588)</f>
        <v>#VALUE!</v>
      </c>
      <c r="AB1589" s="116" t="e">
        <f>SUM(AB1581:AB1588)</f>
        <v>#VALUE!</v>
      </c>
      <c r="AC1589" s="116" t="e">
        <f>SUM(AC1581:AC1588)</f>
        <v>#VALUE!</v>
      </c>
      <c r="AD1589" s="117" t="e">
        <f t="shared" si="917"/>
        <v>#VALUE!</v>
      </c>
      <c r="AE1589" s="117" t="e">
        <f t="shared" si="918"/>
        <v>#VALUE!</v>
      </c>
      <c r="AF1589" s="117" t="e">
        <f t="shared" si="919"/>
        <v>#VALUE!</v>
      </c>
      <c r="AG1589" s="117" t="e">
        <f t="shared" si="920"/>
        <v>#VALUE!</v>
      </c>
      <c r="AH1589" s="116"/>
      <c r="AI1589">
        <f t="shared" si="905"/>
        <v>395</v>
      </c>
      <c r="AJ1589" t="str">
        <f t="shared" si="887"/>
        <v>NA</v>
      </c>
      <c r="AK1589" t="str">
        <f>IF(ISERROR(MATCH(AI1589&amp;"."&amp;AJ1589,AK$91:AK1588,0)),AI1589&amp;"."&amp;AJ1589,AI1589&amp;"."&amp;AJ1589&amp;COUNTIFS(AI$91:AI1588,AI1589,AJ$91:AJ1588,AJ1589))</f>
        <v>395.NA1</v>
      </c>
    </row>
    <row r="1590" spans="1:37" ht="15" hidden="1">
      <c r="A1590" s="120">
        <f>ROW()</f>
        <v>1590</v>
      </c>
      <c r="B1590" s="120"/>
      <c r="C1590" s="1"/>
      <c r="E1590" s="121"/>
      <c r="F1590" s="138"/>
      <c r="G1590" s="119"/>
      <c r="X1590" s="3"/>
      <c r="AD1590" s="119"/>
      <c r="AE1590" s="119"/>
      <c r="AF1590" s="119"/>
      <c r="AG1590" s="119"/>
      <c r="AI1590">
        <f t="shared" si="905"/>
        <v>395</v>
      </c>
      <c r="AJ1590" t="str">
        <f t="shared" si="887"/>
        <v>NA</v>
      </c>
      <c r="AK1590" t="str">
        <f>IF(ISERROR(MATCH(AI1590&amp;"."&amp;AJ1590,AK$91:AK1589,0)),AI1590&amp;"."&amp;AJ1590,AI1590&amp;"."&amp;AJ1590&amp;COUNTIFS(AI$91:AI1589,AI1590,AJ$91:AJ1589,AJ1590))</f>
        <v>395.NA2</v>
      </c>
    </row>
    <row r="1591" spans="1:37" ht="15" hidden="1">
      <c r="A1591" s="120">
        <f>ROW()</f>
        <v>1591</v>
      </c>
      <c r="B1591" s="120"/>
      <c r="C1591" s="1">
        <v>396</v>
      </c>
      <c r="D1591" s="2" t="s">
        <v>564</v>
      </c>
      <c r="E1591" s="121"/>
      <c r="F1591" s="138"/>
      <c r="G1591" s="119"/>
      <c r="X1591" s="3"/>
      <c r="AD1591" s="119"/>
      <c r="AE1591" s="119"/>
      <c r="AF1591" s="119"/>
      <c r="AG1591" s="119"/>
      <c r="AI1591">
        <f t="shared" si="905"/>
        <v>396</v>
      </c>
      <c r="AJ1591" t="str">
        <f t="shared" si="887"/>
        <v>NA</v>
      </c>
      <c r="AK1591" t="str">
        <f>IF(ISERROR(MATCH(AI1591&amp;"."&amp;AJ1591,AK$91:AK1590,0)),AI1591&amp;"."&amp;AJ1591,AI1591&amp;"."&amp;AJ1591&amp;COUNTIFS(AI$91:AI1590,AI1591,AJ$91:AJ1590,AJ1591))</f>
        <v>396.NA</v>
      </c>
    </row>
    <row r="1592" spans="1:37" ht="15" hidden="1">
      <c r="A1592" s="120">
        <f>ROW()</f>
        <v>1592</v>
      </c>
      <c r="B1592" s="120"/>
      <c r="E1592" s="121" t="s">
        <v>12</v>
      </c>
      <c r="F1592" s="138" t="str">
        <f>INDEX(FuncAllocOptions,ROW(A1592)-ROW($A$92)+1,[4]Inputs!$S$11)</f>
        <v>G-SITUS</v>
      </c>
      <c r="G1592" s="117" t="e">
        <f t="shared" ref="G1592:G1599" si="922">SUMIF(FERCJAMFactor,AK1592,JAMValue)</f>
        <v>#VALUE!</v>
      </c>
      <c r="H1592" s="116" t="e">
        <f t="shared" ref="H1592:L1599" si="923">INDEX(FuncFactorTbl,MATCH($F1592,FuncFactors,0),MATCH(H$8,Functions,0))*$G1592</f>
        <v>#VALUE!</v>
      </c>
      <c r="I1592" s="116" t="e">
        <f t="shared" si="923"/>
        <v>#VALUE!</v>
      </c>
      <c r="J1592" s="116" t="e">
        <f t="shared" si="923"/>
        <v>#VALUE!</v>
      </c>
      <c r="K1592" s="135" t="e">
        <f t="shared" si="923"/>
        <v>#VALUE!</v>
      </c>
      <c r="L1592" s="116" t="e">
        <f t="shared" si="923"/>
        <v>#VALUE!</v>
      </c>
      <c r="N1592" s="108">
        <v>0.75</v>
      </c>
      <c r="O1592" s="116" t="e">
        <f t="shared" ref="O1592:O1599" si="924">$H1592*$N1592*$M1592</f>
        <v>#VALUE!</v>
      </c>
      <c r="P1592" s="116" t="e">
        <f t="shared" ref="P1592:P1599" si="925">$H1592*(1-$N1592)*$M1592</f>
        <v>#VALUE!</v>
      </c>
      <c r="Q1592" s="116" t="e">
        <f t="shared" ref="Q1592:Q1599" si="926">$H1592*$N1592*(1-$M1592)</f>
        <v>#VALUE!</v>
      </c>
      <c r="R1592" s="116" t="e">
        <f t="shared" ref="R1592:R1599" si="927">$H1592*(1-$N1592)*(1-$M1592)</f>
        <v>#VALUE!</v>
      </c>
      <c r="S1592" s="108">
        <v>0.75</v>
      </c>
      <c r="T1592" s="116" t="e">
        <f t="shared" ref="T1592:T1599" si="928">$I1592*$S1592*$M1592</f>
        <v>#VALUE!</v>
      </c>
      <c r="U1592" s="116" t="e">
        <f t="shared" ref="U1592:U1599" si="929">$I1592*(1-$S1592)*$M1592</f>
        <v>#VALUE!</v>
      </c>
      <c r="V1592" s="116" t="e">
        <f t="shared" ref="V1592:V1599" si="930">$I1592*$S1592*(1-$M1592)</f>
        <v>#VALUE!</v>
      </c>
      <c r="W1592" s="116" t="e">
        <f t="shared" ref="W1592:W1599" si="931">$I1592*(1-$S1592)*(1-$M1592)</f>
        <v>#VALUE!</v>
      </c>
      <c r="X1592" s="3" t="str">
        <f>INDEX(DistFuncAllocOptions,ROW(A1592)-ROW($A$92)+1,[4]Inputs!$S$11)</f>
        <v>PLNT</v>
      </c>
      <c r="Y1592" s="116" t="e">
        <f t="shared" ref="Y1592:AC1599" si="932">INDEX(DistFuncFactorTbl,MATCH($X1592,DistFuncFactors,0),MATCH(Y$91,DistFunctions,0))*$J1592</f>
        <v>#VALUE!</v>
      </c>
      <c r="Z1592" s="116" t="e">
        <f t="shared" si="932"/>
        <v>#VALUE!</v>
      </c>
      <c r="AA1592" s="116" t="e">
        <f t="shared" si="932"/>
        <v>#VALUE!</v>
      </c>
      <c r="AB1592" s="116" t="e">
        <f t="shared" si="932"/>
        <v>#VALUE!</v>
      </c>
      <c r="AC1592" s="116" t="e">
        <f t="shared" si="932"/>
        <v>#VALUE!</v>
      </c>
      <c r="AD1592" s="117" t="e">
        <f t="shared" ref="AD1592:AD1600" si="933">ROUND(SUM(-G1592,H1592:L1592),0)</f>
        <v>#VALUE!</v>
      </c>
      <c r="AE1592" s="117" t="e">
        <f t="shared" ref="AE1592:AE1600" si="934">ROUND(H1592-O1592-P1592-Q1592-R1592,0)</f>
        <v>#VALUE!</v>
      </c>
      <c r="AF1592" s="117" t="e">
        <f t="shared" ref="AF1592:AF1600" si="935">ROUND(I1592-T1592-U1592-V1592-W1592,0)</f>
        <v>#VALUE!</v>
      </c>
      <c r="AG1592" s="117" t="e">
        <f t="shared" ref="AG1592:AG1600" si="936">ROUND(J1592-Y1592-Z1592-AA1592-AC1592-AB1592,0)</f>
        <v>#VALUE!</v>
      </c>
      <c r="AH1592" s="116"/>
      <c r="AI1592">
        <f t="shared" si="905"/>
        <v>396</v>
      </c>
      <c r="AJ1592" t="str">
        <f t="shared" si="887"/>
        <v>S</v>
      </c>
      <c r="AK1592" t="str">
        <f>IF(ISERROR(MATCH(AI1592&amp;"."&amp;AJ1592,AK$91:AK1591,0)),AI1592&amp;"."&amp;AJ1592,AI1592&amp;"."&amp;AJ1592&amp;COUNTIFS(AI$91:AI1591,AI1592,AJ$91:AJ1591,AJ1592))</f>
        <v>396.S</v>
      </c>
    </row>
    <row r="1593" spans="1:37" ht="15" hidden="1">
      <c r="A1593" s="120">
        <f>ROW()</f>
        <v>1593</v>
      </c>
      <c r="B1593" s="120"/>
      <c r="E1593" s="121" t="s">
        <v>15</v>
      </c>
      <c r="F1593" s="138" t="str">
        <f>INDEX(FuncAllocOptions,ROW(A1593)-ROW($A$92)+1,[4]Inputs!$S$11)</f>
        <v>G-DGP</v>
      </c>
      <c r="G1593" s="117" t="e">
        <f t="shared" si="922"/>
        <v>#VALUE!</v>
      </c>
      <c r="H1593" s="116" t="e">
        <f t="shared" si="923"/>
        <v>#VALUE!</v>
      </c>
      <c r="I1593" s="116" t="e">
        <f t="shared" si="923"/>
        <v>#VALUE!</v>
      </c>
      <c r="J1593" s="116" t="e">
        <f t="shared" si="923"/>
        <v>#VALUE!</v>
      </c>
      <c r="K1593" s="116" t="e">
        <f t="shared" si="923"/>
        <v>#VALUE!</v>
      </c>
      <c r="L1593" s="116" t="e">
        <f t="shared" si="923"/>
        <v>#VALUE!</v>
      </c>
      <c r="N1593" s="108">
        <v>0.75</v>
      </c>
      <c r="O1593" s="116" t="e">
        <f t="shared" si="924"/>
        <v>#VALUE!</v>
      </c>
      <c r="P1593" s="116" t="e">
        <f t="shared" si="925"/>
        <v>#VALUE!</v>
      </c>
      <c r="Q1593" s="116" t="e">
        <f t="shared" si="926"/>
        <v>#VALUE!</v>
      </c>
      <c r="R1593" s="116" t="e">
        <f t="shared" si="927"/>
        <v>#VALUE!</v>
      </c>
      <c r="S1593" s="108">
        <v>0.75</v>
      </c>
      <c r="T1593" s="116" t="e">
        <f t="shared" si="928"/>
        <v>#VALUE!</v>
      </c>
      <c r="U1593" s="116" t="e">
        <f t="shared" si="929"/>
        <v>#VALUE!</v>
      </c>
      <c r="V1593" s="116" t="e">
        <f t="shared" si="930"/>
        <v>#VALUE!</v>
      </c>
      <c r="W1593" s="116" t="e">
        <f t="shared" si="931"/>
        <v>#VALUE!</v>
      </c>
      <c r="X1593" s="3" t="str">
        <f>INDEX(DistFuncAllocOptions,ROW(A1593)-ROW($A$92)+1,[4]Inputs!$S$11)</f>
        <v>PLNT</v>
      </c>
      <c r="Y1593" s="116" t="e">
        <f t="shared" si="932"/>
        <v>#VALUE!</v>
      </c>
      <c r="Z1593" s="116" t="e">
        <f t="shared" si="932"/>
        <v>#VALUE!</v>
      </c>
      <c r="AA1593" s="116" t="e">
        <f t="shared" si="932"/>
        <v>#VALUE!</v>
      </c>
      <c r="AB1593" s="116" t="e">
        <f t="shared" si="932"/>
        <v>#VALUE!</v>
      </c>
      <c r="AC1593" s="116" t="e">
        <f t="shared" si="932"/>
        <v>#VALUE!</v>
      </c>
      <c r="AD1593" s="117" t="e">
        <f t="shared" si="933"/>
        <v>#VALUE!</v>
      </c>
      <c r="AE1593" s="117" t="e">
        <f t="shared" si="934"/>
        <v>#VALUE!</v>
      </c>
      <c r="AF1593" s="117" t="e">
        <f t="shared" si="935"/>
        <v>#VALUE!</v>
      </c>
      <c r="AG1593" s="117" t="e">
        <f t="shared" si="936"/>
        <v>#VALUE!</v>
      </c>
      <c r="AH1593" s="116"/>
      <c r="AI1593">
        <f t="shared" si="905"/>
        <v>396</v>
      </c>
      <c r="AJ1593" t="str">
        <f t="shared" si="887"/>
        <v>SG</v>
      </c>
      <c r="AK1593" t="str">
        <f>IF(ISERROR(MATCH(AI1593&amp;"."&amp;AJ1593,AK$91:AK1592,0)),AI1593&amp;"."&amp;AJ1593,AI1593&amp;"."&amp;AJ1593&amp;COUNTIFS(AI$91:AI1592,AI1593,AJ$91:AJ1592,AJ1593))</f>
        <v>396.SG</v>
      </c>
    </row>
    <row r="1594" spans="1:37" ht="15" hidden="1">
      <c r="A1594" s="120">
        <f>ROW()</f>
        <v>1594</v>
      </c>
      <c r="B1594" s="120"/>
      <c r="E1594" s="121" t="s">
        <v>15</v>
      </c>
      <c r="F1594" s="138" t="str">
        <f>INDEX(FuncAllocOptions,ROW(A1594)-ROW($A$92)+1,[4]Inputs!$S$11)</f>
        <v>G-SG</v>
      </c>
      <c r="G1594" s="117" t="e">
        <f t="shared" si="922"/>
        <v>#VALUE!</v>
      </c>
      <c r="H1594" s="116" t="e">
        <f t="shared" si="923"/>
        <v>#VALUE!</v>
      </c>
      <c r="I1594" s="116" t="e">
        <f t="shared" si="923"/>
        <v>#VALUE!</v>
      </c>
      <c r="J1594" s="116" t="e">
        <f t="shared" si="923"/>
        <v>#VALUE!</v>
      </c>
      <c r="K1594" s="116" t="e">
        <f t="shared" si="923"/>
        <v>#VALUE!</v>
      </c>
      <c r="L1594" s="116" t="e">
        <f t="shared" si="923"/>
        <v>#VALUE!</v>
      </c>
      <c r="N1594" s="108">
        <v>0.75</v>
      </c>
      <c r="O1594" s="116" t="e">
        <f t="shared" si="924"/>
        <v>#VALUE!</v>
      </c>
      <c r="P1594" s="116" t="e">
        <f t="shared" si="925"/>
        <v>#VALUE!</v>
      </c>
      <c r="Q1594" s="116" t="e">
        <f t="shared" si="926"/>
        <v>#VALUE!</v>
      </c>
      <c r="R1594" s="116" t="e">
        <f t="shared" si="927"/>
        <v>#VALUE!</v>
      </c>
      <c r="S1594" s="108">
        <v>0.75</v>
      </c>
      <c r="T1594" s="116" t="e">
        <f t="shared" si="928"/>
        <v>#VALUE!</v>
      </c>
      <c r="U1594" s="116" t="e">
        <f t="shared" si="929"/>
        <v>#VALUE!</v>
      </c>
      <c r="V1594" s="116" t="e">
        <f t="shared" si="930"/>
        <v>#VALUE!</v>
      </c>
      <c r="W1594" s="116" t="e">
        <f t="shared" si="931"/>
        <v>#VALUE!</v>
      </c>
      <c r="X1594" s="3" t="str">
        <f>INDEX(DistFuncAllocOptions,ROW(A1594)-ROW($A$92)+1,[4]Inputs!$S$11)</f>
        <v>PLNT</v>
      </c>
      <c r="Y1594" s="116" t="e">
        <f t="shared" si="932"/>
        <v>#VALUE!</v>
      </c>
      <c r="Z1594" s="116" t="e">
        <f t="shared" si="932"/>
        <v>#VALUE!</v>
      </c>
      <c r="AA1594" s="116" t="e">
        <f t="shared" si="932"/>
        <v>#VALUE!</v>
      </c>
      <c r="AB1594" s="116" t="e">
        <f t="shared" si="932"/>
        <v>#VALUE!</v>
      </c>
      <c r="AC1594" s="116" t="e">
        <f t="shared" si="932"/>
        <v>#VALUE!</v>
      </c>
      <c r="AD1594" s="117" t="e">
        <f t="shared" si="933"/>
        <v>#VALUE!</v>
      </c>
      <c r="AE1594" s="117" t="e">
        <f t="shared" si="934"/>
        <v>#VALUE!</v>
      </c>
      <c r="AF1594" s="117" t="e">
        <f t="shared" si="935"/>
        <v>#VALUE!</v>
      </c>
      <c r="AG1594" s="117" t="e">
        <f t="shared" si="936"/>
        <v>#VALUE!</v>
      </c>
      <c r="AH1594" s="116"/>
      <c r="AI1594">
        <f t="shared" si="905"/>
        <v>396</v>
      </c>
      <c r="AJ1594" t="str">
        <f t="shared" si="887"/>
        <v>SG</v>
      </c>
      <c r="AK1594" t="str">
        <f>IF(ISERROR(MATCH(AI1594&amp;"."&amp;AJ1594,AK$91:AK1593,0)),AI1594&amp;"."&amp;AJ1594,AI1594&amp;"."&amp;AJ1594&amp;COUNTIFS(AI$91:AI1593,AI1594,AJ$91:AJ1593,AJ1594))</f>
        <v>396.SG1</v>
      </c>
    </row>
    <row r="1595" spans="1:37" ht="15" hidden="1">
      <c r="A1595" s="120">
        <f>ROW()</f>
        <v>1595</v>
      </c>
      <c r="B1595" s="120"/>
      <c r="E1595" s="121" t="s">
        <v>136</v>
      </c>
      <c r="F1595" s="138" t="str">
        <f>INDEX(FuncAllocOptions,ROW(A1595)-ROW($A$92)+1,[4]Inputs!$S$11)</f>
        <v>PTD</v>
      </c>
      <c r="G1595" s="117" t="e">
        <f t="shared" si="922"/>
        <v>#VALUE!</v>
      </c>
      <c r="H1595" s="116" t="e">
        <f t="shared" si="923"/>
        <v>#VALUE!</v>
      </c>
      <c r="I1595" s="116" t="e">
        <f t="shared" si="923"/>
        <v>#VALUE!</v>
      </c>
      <c r="J1595" s="116" t="e">
        <f t="shared" si="923"/>
        <v>#VALUE!</v>
      </c>
      <c r="K1595" s="116" t="e">
        <f t="shared" si="923"/>
        <v>#VALUE!</v>
      </c>
      <c r="L1595" s="116" t="e">
        <f t="shared" si="923"/>
        <v>#VALUE!</v>
      </c>
      <c r="N1595" s="108">
        <v>0.75</v>
      </c>
      <c r="O1595" s="116" t="e">
        <f t="shared" si="924"/>
        <v>#VALUE!</v>
      </c>
      <c r="P1595" s="116" t="e">
        <f t="shared" si="925"/>
        <v>#VALUE!</v>
      </c>
      <c r="Q1595" s="116" t="e">
        <f t="shared" si="926"/>
        <v>#VALUE!</v>
      </c>
      <c r="R1595" s="116" t="e">
        <f t="shared" si="927"/>
        <v>#VALUE!</v>
      </c>
      <c r="S1595" s="108">
        <v>0.75</v>
      </c>
      <c r="T1595" s="116" t="e">
        <f t="shared" si="928"/>
        <v>#VALUE!</v>
      </c>
      <c r="U1595" s="116" t="e">
        <f t="shared" si="929"/>
        <v>#VALUE!</v>
      </c>
      <c r="V1595" s="116" t="e">
        <f t="shared" si="930"/>
        <v>#VALUE!</v>
      </c>
      <c r="W1595" s="116" t="e">
        <f t="shared" si="931"/>
        <v>#VALUE!</v>
      </c>
      <c r="X1595" s="3" t="str">
        <f>INDEX(DistFuncAllocOptions,ROW(A1595)-ROW($A$92)+1,[4]Inputs!$S$11)</f>
        <v>PLNT</v>
      </c>
      <c r="Y1595" s="116" t="e">
        <f t="shared" si="932"/>
        <v>#VALUE!</v>
      </c>
      <c r="Z1595" s="116" t="e">
        <f t="shared" si="932"/>
        <v>#VALUE!</v>
      </c>
      <c r="AA1595" s="116" t="e">
        <f t="shared" si="932"/>
        <v>#VALUE!</v>
      </c>
      <c r="AB1595" s="116" t="e">
        <f t="shared" si="932"/>
        <v>#VALUE!</v>
      </c>
      <c r="AC1595" s="116" t="e">
        <f t="shared" si="932"/>
        <v>#VALUE!</v>
      </c>
      <c r="AD1595" s="117" t="e">
        <f t="shared" si="933"/>
        <v>#VALUE!</v>
      </c>
      <c r="AE1595" s="117" t="e">
        <f t="shared" si="934"/>
        <v>#VALUE!</v>
      </c>
      <c r="AF1595" s="117" t="e">
        <f t="shared" si="935"/>
        <v>#VALUE!</v>
      </c>
      <c r="AG1595" s="117" t="e">
        <f t="shared" si="936"/>
        <v>#VALUE!</v>
      </c>
      <c r="AH1595" s="116"/>
      <c r="AI1595">
        <f t="shared" si="905"/>
        <v>396</v>
      </c>
      <c r="AJ1595" t="str">
        <f t="shared" si="887"/>
        <v>SO</v>
      </c>
      <c r="AK1595" t="str">
        <f>IF(ISERROR(MATCH(AI1595&amp;"."&amp;AJ1595,AK$91:AK1594,0)),AI1595&amp;"."&amp;AJ1595,AI1595&amp;"."&amp;AJ1595&amp;COUNTIFS(AI$91:AI1594,AI1595,AJ$91:AJ1594,AJ1595))</f>
        <v>396.SO</v>
      </c>
    </row>
    <row r="1596" spans="1:37" ht="15" hidden="1">
      <c r="A1596" s="120">
        <f>ROW()</f>
        <v>1596</v>
      </c>
      <c r="B1596" s="120"/>
      <c r="E1596" s="121" t="s">
        <v>15</v>
      </c>
      <c r="F1596" s="138" t="str">
        <f>INDEX(FuncAllocOptions,ROW(A1596)-ROW($A$92)+1,[4]Inputs!$S$11)</f>
        <v>G-DGU</v>
      </c>
      <c r="G1596" s="117" t="e">
        <f t="shared" si="922"/>
        <v>#VALUE!</v>
      </c>
      <c r="H1596" s="116" t="e">
        <f t="shared" si="923"/>
        <v>#VALUE!</v>
      </c>
      <c r="I1596" s="116" t="e">
        <f t="shared" si="923"/>
        <v>#VALUE!</v>
      </c>
      <c r="J1596" s="116" t="e">
        <f t="shared" si="923"/>
        <v>#VALUE!</v>
      </c>
      <c r="K1596" s="116" t="e">
        <f t="shared" si="923"/>
        <v>#VALUE!</v>
      </c>
      <c r="L1596" s="116" t="e">
        <f t="shared" si="923"/>
        <v>#VALUE!</v>
      </c>
      <c r="N1596" s="108">
        <v>0.75</v>
      </c>
      <c r="O1596" s="116" t="e">
        <f t="shared" si="924"/>
        <v>#VALUE!</v>
      </c>
      <c r="P1596" s="116" t="e">
        <f t="shared" si="925"/>
        <v>#VALUE!</v>
      </c>
      <c r="Q1596" s="116" t="e">
        <f t="shared" si="926"/>
        <v>#VALUE!</v>
      </c>
      <c r="R1596" s="116" t="e">
        <f t="shared" si="927"/>
        <v>#VALUE!</v>
      </c>
      <c r="S1596" s="108">
        <v>0.75</v>
      </c>
      <c r="T1596" s="116" t="e">
        <f t="shared" si="928"/>
        <v>#VALUE!</v>
      </c>
      <c r="U1596" s="116" t="e">
        <f t="shared" si="929"/>
        <v>#VALUE!</v>
      </c>
      <c r="V1596" s="116" t="e">
        <f t="shared" si="930"/>
        <v>#VALUE!</v>
      </c>
      <c r="W1596" s="116" t="e">
        <f t="shared" si="931"/>
        <v>#VALUE!</v>
      </c>
      <c r="X1596" s="3" t="str">
        <f>INDEX(DistFuncAllocOptions,ROW(A1596)-ROW($A$92)+1,[4]Inputs!$S$11)</f>
        <v>PLNT</v>
      </c>
      <c r="Y1596" s="116" t="e">
        <f t="shared" si="932"/>
        <v>#VALUE!</v>
      </c>
      <c r="Z1596" s="116" t="e">
        <f t="shared" si="932"/>
        <v>#VALUE!</v>
      </c>
      <c r="AA1596" s="116" t="e">
        <f t="shared" si="932"/>
        <v>#VALUE!</v>
      </c>
      <c r="AB1596" s="116" t="e">
        <f t="shared" si="932"/>
        <v>#VALUE!</v>
      </c>
      <c r="AC1596" s="116" t="e">
        <f t="shared" si="932"/>
        <v>#VALUE!</v>
      </c>
      <c r="AD1596" s="117" t="e">
        <f t="shared" si="933"/>
        <v>#VALUE!</v>
      </c>
      <c r="AE1596" s="117" t="e">
        <f t="shared" si="934"/>
        <v>#VALUE!</v>
      </c>
      <c r="AF1596" s="117" t="e">
        <f t="shared" si="935"/>
        <v>#VALUE!</v>
      </c>
      <c r="AG1596" s="117" t="e">
        <f t="shared" si="936"/>
        <v>#VALUE!</v>
      </c>
      <c r="AH1596" s="116"/>
      <c r="AI1596">
        <f t="shared" si="905"/>
        <v>396</v>
      </c>
      <c r="AJ1596" t="str">
        <f t="shared" si="887"/>
        <v>SG</v>
      </c>
      <c r="AK1596" t="str">
        <f>IF(ISERROR(MATCH(AI1596&amp;"."&amp;AJ1596,AK$91:AK1595,0)),AI1596&amp;"."&amp;AJ1596,AI1596&amp;"."&amp;AJ1596&amp;COUNTIFS(AI$91:AI1595,AI1596,AJ$91:AJ1595,AJ1596))</f>
        <v>396.SG2</v>
      </c>
    </row>
    <row r="1597" spans="1:37" ht="15" hidden="1">
      <c r="A1597" s="120">
        <f>ROW()</f>
        <v>1597</v>
      </c>
      <c r="B1597" s="120"/>
      <c r="E1597" s="121" t="s">
        <v>16</v>
      </c>
      <c r="F1597" s="138" t="str">
        <f>INDEX(FuncAllocOptions,ROW(A1597)-ROW($A$92)+1,[4]Inputs!$S$11)</f>
        <v>P</v>
      </c>
      <c r="G1597" s="117" t="e">
        <f t="shared" si="922"/>
        <v>#VALUE!</v>
      </c>
      <c r="H1597" s="116" t="e">
        <f t="shared" si="923"/>
        <v>#VALUE!</v>
      </c>
      <c r="I1597" s="116" t="e">
        <f t="shared" si="923"/>
        <v>#VALUE!</v>
      </c>
      <c r="J1597" s="116" t="e">
        <f t="shared" si="923"/>
        <v>#VALUE!</v>
      </c>
      <c r="K1597" s="116" t="e">
        <f t="shared" si="923"/>
        <v>#VALUE!</v>
      </c>
      <c r="L1597" s="116" t="e">
        <f t="shared" si="923"/>
        <v>#VALUE!</v>
      </c>
      <c r="N1597" s="108">
        <v>0</v>
      </c>
      <c r="O1597" s="116" t="e">
        <f t="shared" si="924"/>
        <v>#VALUE!</v>
      </c>
      <c r="P1597" s="116" t="e">
        <f t="shared" si="925"/>
        <v>#VALUE!</v>
      </c>
      <c r="Q1597" s="116" t="e">
        <f t="shared" si="926"/>
        <v>#VALUE!</v>
      </c>
      <c r="R1597" s="116" t="e">
        <f t="shared" si="927"/>
        <v>#VALUE!</v>
      </c>
      <c r="S1597" s="108">
        <v>0</v>
      </c>
      <c r="T1597" s="116" t="e">
        <f t="shared" si="928"/>
        <v>#VALUE!</v>
      </c>
      <c r="U1597" s="116" t="e">
        <f t="shared" si="929"/>
        <v>#VALUE!</v>
      </c>
      <c r="V1597" s="116" t="e">
        <f t="shared" si="930"/>
        <v>#VALUE!</v>
      </c>
      <c r="W1597" s="116" t="e">
        <f t="shared" si="931"/>
        <v>#VALUE!</v>
      </c>
      <c r="X1597" s="3" t="str">
        <f>INDEX(DistFuncAllocOptions,ROW(A1597)-ROW($A$92)+1,[4]Inputs!$S$11)</f>
        <v>PLNT</v>
      </c>
      <c r="Y1597" s="116" t="e">
        <f t="shared" si="932"/>
        <v>#VALUE!</v>
      </c>
      <c r="Z1597" s="116" t="e">
        <f t="shared" si="932"/>
        <v>#VALUE!</v>
      </c>
      <c r="AA1597" s="116" t="e">
        <f t="shared" si="932"/>
        <v>#VALUE!</v>
      </c>
      <c r="AB1597" s="116" t="e">
        <f t="shared" si="932"/>
        <v>#VALUE!</v>
      </c>
      <c r="AC1597" s="116" t="e">
        <f t="shared" si="932"/>
        <v>#VALUE!</v>
      </c>
      <c r="AD1597" s="117" t="e">
        <f t="shared" si="933"/>
        <v>#VALUE!</v>
      </c>
      <c r="AE1597" s="117" t="e">
        <f t="shared" si="934"/>
        <v>#VALUE!</v>
      </c>
      <c r="AF1597" s="117" t="e">
        <f t="shared" si="935"/>
        <v>#VALUE!</v>
      </c>
      <c r="AG1597" s="117" t="e">
        <f t="shared" si="936"/>
        <v>#VALUE!</v>
      </c>
      <c r="AH1597" s="116"/>
      <c r="AI1597">
        <f t="shared" si="905"/>
        <v>396</v>
      </c>
      <c r="AJ1597" t="str">
        <f t="shared" si="887"/>
        <v>SE</v>
      </c>
      <c r="AK1597" t="str">
        <f>IF(ISERROR(MATCH(AI1597&amp;"."&amp;AJ1597,AK$91:AK1596,0)),AI1597&amp;"."&amp;AJ1597,AI1597&amp;"."&amp;AJ1597&amp;COUNTIFS(AI$91:AI1596,AI1597,AJ$91:AJ1596,AJ1597))</f>
        <v>396.SE</v>
      </c>
    </row>
    <row r="1598" spans="1:37" ht="15" hidden="1">
      <c r="A1598" s="120">
        <f>ROW()</f>
        <v>1598</v>
      </c>
      <c r="B1598" s="120"/>
      <c r="E1598" s="121" t="s">
        <v>15</v>
      </c>
      <c r="F1598" s="138" t="str">
        <f>INDEX(FuncAllocOptions,ROW(A1598)-ROW($A$92)+1,[4]Inputs!$S$11)</f>
        <v>G-SG</v>
      </c>
      <c r="G1598" s="117" t="e">
        <f t="shared" si="922"/>
        <v>#VALUE!</v>
      </c>
      <c r="H1598" s="116" t="e">
        <f t="shared" si="923"/>
        <v>#VALUE!</v>
      </c>
      <c r="I1598" s="116" t="e">
        <f t="shared" si="923"/>
        <v>#VALUE!</v>
      </c>
      <c r="J1598" s="116" t="e">
        <f t="shared" si="923"/>
        <v>#VALUE!</v>
      </c>
      <c r="K1598" s="116" t="e">
        <f t="shared" si="923"/>
        <v>#VALUE!</v>
      </c>
      <c r="L1598" s="116" t="e">
        <f t="shared" si="923"/>
        <v>#VALUE!</v>
      </c>
      <c r="N1598" s="108">
        <v>0.75</v>
      </c>
      <c r="O1598" s="116" t="e">
        <f t="shared" si="924"/>
        <v>#VALUE!</v>
      </c>
      <c r="P1598" s="116" t="e">
        <f t="shared" si="925"/>
        <v>#VALUE!</v>
      </c>
      <c r="Q1598" s="116" t="e">
        <f t="shared" si="926"/>
        <v>#VALUE!</v>
      </c>
      <c r="R1598" s="116" t="e">
        <f t="shared" si="927"/>
        <v>#VALUE!</v>
      </c>
      <c r="S1598" s="108">
        <v>0.75</v>
      </c>
      <c r="T1598" s="116" t="e">
        <f t="shared" si="928"/>
        <v>#VALUE!</v>
      </c>
      <c r="U1598" s="116" t="e">
        <f t="shared" si="929"/>
        <v>#VALUE!</v>
      </c>
      <c r="V1598" s="116" t="e">
        <f t="shared" si="930"/>
        <v>#VALUE!</v>
      </c>
      <c r="W1598" s="116" t="e">
        <f t="shared" si="931"/>
        <v>#VALUE!</v>
      </c>
      <c r="X1598" s="3" t="str">
        <f>INDEX(DistFuncAllocOptions,ROW(A1598)-ROW($A$92)+1,[4]Inputs!$S$11)</f>
        <v>PLNT</v>
      </c>
      <c r="Y1598" s="116" t="e">
        <f t="shared" si="932"/>
        <v>#VALUE!</v>
      </c>
      <c r="Z1598" s="116" t="e">
        <f t="shared" si="932"/>
        <v>#VALUE!</v>
      </c>
      <c r="AA1598" s="116" t="e">
        <f t="shared" si="932"/>
        <v>#VALUE!</v>
      </c>
      <c r="AB1598" s="116" t="e">
        <f t="shared" si="932"/>
        <v>#VALUE!</v>
      </c>
      <c r="AC1598" s="116" t="e">
        <f t="shared" si="932"/>
        <v>#VALUE!</v>
      </c>
      <c r="AD1598" s="117" t="e">
        <f t="shared" si="933"/>
        <v>#VALUE!</v>
      </c>
      <c r="AE1598" s="117" t="e">
        <f t="shared" si="934"/>
        <v>#VALUE!</v>
      </c>
      <c r="AF1598" s="117" t="e">
        <f t="shared" si="935"/>
        <v>#VALUE!</v>
      </c>
      <c r="AG1598" s="117" t="e">
        <f t="shared" si="936"/>
        <v>#VALUE!</v>
      </c>
      <c r="AH1598" s="116"/>
      <c r="AI1598">
        <f t="shared" si="905"/>
        <v>396</v>
      </c>
      <c r="AJ1598" t="str">
        <f t="shared" si="887"/>
        <v>SG</v>
      </c>
      <c r="AK1598" t="str">
        <f>IF(ISERROR(MATCH(AI1598&amp;"."&amp;AJ1598,AK$91:AK1597,0)),AI1598&amp;"."&amp;AJ1598,AI1598&amp;"."&amp;AJ1598&amp;COUNTIFS(AI$91:AI1597,AI1598,AJ$91:AJ1597,AJ1598))</f>
        <v>396.SG3</v>
      </c>
    </row>
    <row r="1599" spans="1:37" ht="15" hidden="1">
      <c r="A1599" s="120">
        <f>ROW()</f>
        <v>1599</v>
      </c>
      <c r="B1599" s="120"/>
      <c r="E1599" s="121" t="s">
        <v>15</v>
      </c>
      <c r="F1599" s="138" t="str">
        <f>INDEX(FuncAllocOptions,ROW(A1599)-ROW($A$92)+1,[4]Inputs!$S$11)</f>
        <v>G-SG</v>
      </c>
      <c r="G1599" s="133" t="e">
        <f t="shared" si="922"/>
        <v>#VALUE!</v>
      </c>
      <c r="H1599" s="139" t="e">
        <f t="shared" si="923"/>
        <v>#VALUE!</v>
      </c>
      <c r="I1599" s="139" t="e">
        <f t="shared" si="923"/>
        <v>#VALUE!</v>
      </c>
      <c r="J1599" s="139" t="e">
        <f t="shared" si="923"/>
        <v>#VALUE!</v>
      </c>
      <c r="K1599" s="139" t="e">
        <f t="shared" si="923"/>
        <v>#VALUE!</v>
      </c>
      <c r="L1599" s="139" t="e">
        <f t="shared" si="923"/>
        <v>#VALUE!</v>
      </c>
      <c r="N1599" s="108">
        <v>0.75</v>
      </c>
      <c r="O1599" s="116" t="e">
        <f t="shared" si="924"/>
        <v>#VALUE!</v>
      </c>
      <c r="P1599" s="116" t="e">
        <f t="shared" si="925"/>
        <v>#VALUE!</v>
      </c>
      <c r="Q1599" s="116" t="e">
        <f t="shared" si="926"/>
        <v>#VALUE!</v>
      </c>
      <c r="R1599" s="116" t="e">
        <f t="shared" si="927"/>
        <v>#VALUE!</v>
      </c>
      <c r="S1599" s="108">
        <v>0.75</v>
      </c>
      <c r="T1599" s="116" t="e">
        <f t="shared" si="928"/>
        <v>#VALUE!</v>
      </c>
      <c r="U1599" s="116" t="e">
        <f t="shared" si="929"/>
        <v>#VALUE!</v>
      </c>
      <c r="V1599" s="116" t="e">
        <f t="shared" si="930"/>
        <v>#VALUE!</v>
      </c>
      <c r="W1599" s="116" t="e">
        <f t="shared" si="931"/>
        <v>#VALUE!</v>
      </c>
      <c r="X1599" s="3" t="str">
        <f>INDEX(DistFuncAllocOptions,ROW(A1599)-ROW($A$92)+1,[4]Inputs!$S$11)</f>
        <v>PLNT</v>
      </c>
      <c r="Y1599" s="116" t="e">
        <f t="shared" si="932"/>
        <v>#VALUE!</v>
      </c>
      <c r="Z1599" s="116" t="e">
        <f t="shared" si="932"/>
        <v>#VALUE!</v>
      </c>
      <c r="AA1599" s="116" t="e">
        <f t="shared" si="932"/>
        <v>#VALUE!</v>
      </c>
      <c r="AB1599" s="116" t="e">
        <f t="shared" si="932"/>
        <v>#VALUE!</v>
      </c>
      <c r="AC1599" s="116" t="e">
        <f t="shared" si="932"/>
        <v>#VALUE!</v>
      </c>
      <c r="AD1599" s="117" t="e">
        <f t="shared" si="933"/>
        <v>#VALUE!</v>
      </c>
      <c r="AE1599" s="117" t="e">
        <f t="shared" si="934"/>
        <v>#VALUE!</v>
      </c>
      <c r="AF1599" s="117" t="e">
        <f t="shared" si="935"/>
        <v>#VALUE!</v>
      </c>
      <c r="AG1599" s="117" t="e">
        <f t="shared" si="936"/>
        <v>#VALUE!</v>
      </c>
      <c r="AH1599" s="116"/>
      <c r="AI1599">
        <f t="shared" si="905"/>
        <v>396</v>
      </c>
      <c r="AJ1599" t="str">
        <f t="shared" si="887"/>
        <v>SG</v>
      </c>
      <c r="AK1599" t="str">
        <f>IF(ISERROR(MATCH(AI1599&amp;"."&amp;AJ1599,AK$91:AK1598,0)),AI1599&amp;"."&amp;AJ1599,AI1599&amp;"."&amp;AJ1599&amp;COUNTIFS(AI$91:AI1598,AI1599,AJ$91:AJ1598,AJ1599))</f>
        <v>396.SG4</v>
      </c>
    </row>
    <row r="1600" spans="1:37" ht="15" hidden="1">
      <c r="A1600" s="120">
        <f>ROW()</f>
        <v>1600</v>
      </c>
      <c r="B1600" s="120"/>
      <c r="E1600" s="121"/>
      <c r="F1600" s="138"/>
      <c r="G1600" s="117" t="e">
        <f t="shared" ref="G1600:L1600" si="937">SUM(G1592:G1599)</f>
        <v>#VALUE!</v>
      </c>
      <c r="H1600" s="116" t="e">
        <f t="shared" si="937"/>
        <v>#VALUE!</v>
      </c>
      <c r="I1600" s="116" t="e">
        <f t="shared" si="937"/>
        <v>#VALUE!</v>
      </c>
      <c r="J1600" s="116" t="e">
        <f t="shared" si="937"/>
        <v>#VALUE!</v>
      </c>
      <c r="K1600" s="116" t="e">
        <f t="shared" si="937"/>
        <v>#VALUE!</v>
      </c>
      <c r="L1600" s="116" t="e">
        <f t="shared" si="937"/>
        <v>#VALUE!</v>
      </c>
      <c r="O1600" s="116" t="e">
        <f>SUM(O1592:O1599)</f>
        <v>#VALUE!</v>
      </c>
      <c r="P1600" s="116" t="e">
        <f>SUM(P1592:P1599)</f>
        <v>#VALUE!</v>
      </c>
      <c r="Q1600" s="116" t="e">
        <f>SUM(Q1592:Q1599)</f>
        <v>#VALUE!</v>
      </c>
      <c r="R1600" s="116" t="e">
        <f>SUM(R1592:R1599)</f>
        <v>#VALUE!</v>
      </c>
      <c r="T1600" s="116" t="e">
        <f>SUM(T1592:T1599)</f>
        <v>#VALUE!</v>
      </c>
      <c r="U1600" s="116" t="e">
        <f>SUM(U1592:U1599)</f>
        <v>#VALUE!</v>
      </c>
      <c r="V1600" s="116" t="e">
        <f>SUM(V1592:V1599)</f>
        <v>#VALUE!</v>
      </c>
      <c r="W1600" s="116" t="e">
        <f>SUM(W1592:W1599)</f>
        <v>#VALUE!</v>
      </c>
      <c r="X1600" s="3"/>
      <c r="Y1600" s="116" t="e">
        <f>SUM(Y1592:Y1599)</f>
        <v>#VALUE!</v>
      </c>
      <c r="Z1600" s="116" t="e">
        <f>SUM(Z1592:Z1599)</f>
        <v>#VALUE!</v>
      </c>
      <c r="AA1600" s="116" t="e">
        <f>SUM(AA1592:AA1599)</f>
        <v>#VALUE!</v>
      </c>
      <c r="AB1600" s="116" t="e">
        <f>SUM(AB1592:AB1599)</f>
        <v>#VALUE!</v>
      </c>
      <c r="AC1600" s="116" t="e">
        <f>SUM(AC1592:AC1599)</f>
        <v>#VALUE!</v>
      </c>
      <c r="AD1600" s="117" t="e">
        <f t="shared" si="933"/>
        <v>#VALUE!</v>
      </c>
      <c r="AE1600" s="117" t="e">
        <f t="shared" si="934"/>
        <v>#VALUE!</v>
      </c>
      <c r="AF1600" s="117" t="e">
        <f t="shared" si="935"/>
        <v>#VALUE!</v>
      </c>
      <c r="AG1600" s="117" t="e">
        <f t="shared" si="936"/>
        <v>#VALUE!</v>
      </c>
      <c r="AH1600" s="116"/>
      <c r="AI1600">
        <f t="shared" si="905"/>
        <v>396</v>
      </c>
      <c r="AJ1600" t="str">
        <f t="shared" si="887"/>
        <v>NA</v>
      </c>
      <c r="AK1600" t="str">
        <f>IF(ISERROR(MATCH(AI1600&amp;"."&amp;AJ1600,AK$91:AK1599,0)),AI1600&amp;"."&amp;AJ1600,AI1600&amp;"."&amp;AJ1600&amp;COUNTIFS(AI$91:AI1599,AI1600,AJ$91:AJ1599,AJ1600))</f>
        <v>396.NA1</v>
      </c>
    </row>
    <row r="1601" spans="1:37" ht="15" hidden="1">
      <c r="A1601" s="120">
        <f>ROW()</f>
        <v>1601</v>
      </c>
      <c r="B1601" s="120"/>
      <c r="E1601" s="121"/>
      <c r="F1601" s="138"/>
      <c r="G1601" s="119"/>
      <c r="X1601" s="3"/>
      <c r="AD1601" s="119"/>
      <c r="AE1601" s="119"/>
      <c r="AF1601" s="119"/>
      <c r="AG1601" s="119"/>
      <c r="AI1601">
        <f t="shared" si="905"/>
        <v>396</v>
      </c>
      <c r="AJ1601" t="str">
        <f t="shared" si="887"/>
        <v>NA</v>
      </c>
      <c r="AK1601" t="str">
        <f>IF(ISERROR(MATCH(AI1601&amp;"."&amp;AJ1601,AK$91:AK1600,0)),AI1601&amp;"."&amp;AJ1601,AI1601&amp;"."&amp;AJ1601&amp;COUNTIFS(AI$91:AI1600,AI1601,AJ$91:AJ1600,AJ1601))</f>
        <v>396.NA2</v>
      </c>
    </row>
    <row r="1602" spans="1:37" ht="15" hidden="1">
      <c r="A1602" s="120">
        <f>ROW()</f>
        <v>1602</v>
      </c>
      <c r="B1602" s="120"/>
      <c r="C1602" s="1">
        <v>397</v>
      </c>
      <c r="D1602" s="2" t="s">
        <v>565</v>
      </c>
      <c r="E1602" s="121"/>
      <c r="F1602" s="138"/>
      <c r="G1602" s="119"/>
      <c r="X1602" s="3"/>
      <c r="AD1602" s="119"/>
      <c r="AE1602" s="119"/>
      <c r="AF1602" s="119"/>
      <c r="AG1602" s="119"/>
      <c r="AI1602">
        <f t="shared" si="905"/>
        <v>397</v>
      </c>
      <c r="AJ1602" t="str">
        <f t="shared" si="887"/>
        <v>NA</v>
      </c>
      <c r="AK1602" t="str">
        <f>IF(ISERROR(MATCH(AI1602&amp;"."&amp;AJ1602,AK$91:AK1601,0)),AI1602&amp;"."&amp;AJ1602,AI1602&amp;"."&amp;AJ1602&amp;COUNTIFS(AI$91:AI1601,AI1602,AJ$91:AJ1601,AJ1602))</f>
        <v>397.NA</v>
      </c>
    </row>
    <row r="1603" spans="1:37" ht="15" hidden="1">
      <c r="A1603" s="120">
        <f>ROW()</f>
        <v>1603</v>
      </c>
      <c r="B1603" s="120"/>
      <c r="C1603" s="1"/>
      <c r="E1603" s="121" t="s">
        <v>12</v>
      </c>
      <c r="F1603" s="138" t="str">
        <f>INDEX(FuncAllocOptions,ROW(A1603)-ROW($A$92)+1,[4]Inputs!$S$11)</f>
        <v>G-SITUS</v>
      </c>
      <c r="G1603" s="117" t="e">
        <f t="shared" ref="G1603:G1611" si="938">SUMIF(FERCJAMFactor,AK1603,JAMValue)</f>
        <v>#VALUE!</v>
      </c>
      <c r="H1603" s="116" t="e">
        <f t="shared" ref="H1603:L1611" si="939">INDEX(FuncFactorTbl,MATCH($F1603,FuncFactors,0),MATCH(H$8,Functions,0))*$G1603</f>
        <v>#VALUE!</v>
      </c>
      <c r="I1603" s="116" t="e">
        <f t="shared" si="939"/>
        <v>#VALUE!</v>
      </c>
      <c r="J1603" s="116" t="e">
        <f t="shared" si="939"/>
        <v>#VALUE!</v>
      </c>
      <c r="K1603" s="116" t="e">
        <f t="shared" si="939"/>
        <v>#VALUE!</v>
      </c>
      <c r="L1603" s="116" t="e">
        <f t="shared" si="939"/>
        <v>#VALUE!</v>
      </c>
      <c r="N1603" s="108">
        <v>0.75</v>
      </c>
      <c r="O1603" s="116" t="e">
        <f t="shared" ref="O1603:O1611" si="940">$H1603*$N1603*$M1603</f>
        <v>#VALUE!</v>
      </c>
      <c r="P1603" s="116" t="e">
        <f t="shared" ref="P1603:P1611" si="941">$H1603*(1-$N1603)*$M1603</f>
        <v>#VALUE!</v>
      </c>
      <c r="Q1603" s="116" t="e">
        <f t="shared" ref="Q1603:Q1611" si="942">$H1603*$N1603*(1-$M1603)</f>
        <v>#VALUE!</v>
      </c>
      <c r="R1603" s="116" t="e">
        <f t="shared" ref="R1603:R1611" si="943">$H1603*(1-$N1603)*(1-$M1603)</f>
        <v>#VALUE!</v>
      </c>
      <c r="S1603" s="108">
        <v>0.75</v>
      </c>
      <c r="T1603" s="116" t="e">
        <f t="shared" ref="T1603:T1611" si="944">$I1603*$S1603*$M1603</f>
        <v>#VALUE!</v>
      </c>
      <c r="U1603" s="116" t="e">
        <f t="shared" ref="U1603:U1611" si="945">$I1603*(1-$S1603)*$M1603</f>
        <v>#VALUE!</v>
      </c>
      <c r="V1603" s="116" t="e">
        <f t="shared" ref="V1603:V1611" si="946">$I1603*$S1603*(1-$M1603)</f>
        <v>#VALUE!</v>
      </c>
      <c r="W1603" s="116" t="e">
        <f t="shared" ref="W1603:W1611" si="947">$I1603*(1-$S1603)*(1-$M1603)</f>
        <v>#VALUE!</v>
      </c>
      <c r="X1603" s="3" t="str">
        <f>INDEX(DistFuncAllocOptions,ROW(A1603)-ROW($A$92)+1,[4]Inputs!$S$11)</f>
        <v>PLNT</v>
      </c>
      <c r="Y1603" s="116" t="e">
        <f t="shared" ref="Y1603:AC1611" si="948">INDEX(DistFuncFactorTbl,MATCH($X1603,DistFuncFactors,0),MATCH(Y$91,DistFunctions,0))*$J1603</f>
        <v>#VALUE!</v>
      </c>
      <c r="Z1603" s="116" t="e">
        <f t="shared" si="948"/>
        <v>#VALUE!</v>
      </c>
      <c r="AA1603" s="116" t="e">
        <f t="shared" si="948"/>
        <v>#VALUE!</v>
      </c>
      <c r="AB1603" s="116" t="e">
        <f t="shared" si="948"/>
        <v>#VALUE!</v>
      </c>
      <c r="AC1603" s="116" t="e">
        <f t="shared" si="948"/>
        <v>#VALUE!</v>
      </c>
      <c r="AD1603" s="117" t="e">
        <f t="shared" ref="AD1603:AD1612" si="949">ROUND(SUM(-G1603,H1603:L1603),0)</f>
        <v>#VALUE!</v>
      </c>
      <c r="AE1603" s="117" t="e">
        <f t="shared" ref="AE1603:AE1612" si="950">ROUND(H1603-O1603-P1603-Q1603-R1603,0)</f>
        <v>#VALUE!</v>
      </c>
      <c r="AF1603" s="117" t="e">
        <f t="shared" ref="AF1603:AF1612" si="951">ROUND(I1603-T1603-U1603-V1603-W1603,0)</f>
        <v>#VALUE!</v>
      </c>
      <c r="AG1603" s="117" t="e">
        <f t="shared" ref="AG1603:AG1612" si="952">ROUND(J1603-Y1603-Z1603-AA1603-AC1603-AB1603,0)</f>
        <v>#VALUE!</v>
      </c>
      <c r="AH1603" s="116"/>
      <c r="AI1603">
        <f t="shared" si="905"/>
        <v>397</v>
      </c>
      <c r="AJ1603" t="str">
        <f t="shared" si="887"/>
        <v>S</v>
      </c>
      <c r="AK1603" t="str">
        <f>IF(ISERROR(MATCH(AI1603&amp;"."&amp;AJ1603,AK$91:AK1602,0)),AI1603&amp;"."&amp;AJ1603,AI1603&amp;"."&amp;AJ1603&amp;COUNTIFS(AI$91:AI1602,AI1603,AJ$91:AJ1602,AJ1603))</f>
        <v>397.S</v>
      </c>
    </row>
    <row r="1604" spans="1:37" ht="15" hidden="1">
      <c r="A1604" s="120">
        <f>ROW()</f>
        <v>1604</v>
      </c>
      <c r="B1604" s="120"/>
      <c r="C1604" s="1"/>
      <c r="E1604" s="121" t="s">
        <v>15</v>
      </c>
      <c r="F1604" s="138" t="str">
        <f>INDEX(FuncAllocOptions,ROW(A1604)-ROW($A$92)+1,[4]Inputs!$S$11)</f>
        <v>G-DGP</v>
      </c>
      <c r="G1604" s="117" t="e">
        <f t="shared" si="938"/>
        <v>#VALUE!</v>
      </c>
      <c r="H1604" s="160" t="e">
        <f t="shared" si="939"/>
        <v>#VALUE!</v>
      </c>
      <c r="I1604" s="116" t="e">
        <f t="shared" si="939"/>
        <v>#VALUE!</v>
      </c>
      <c r="J1604" s="116" t="e">
        <f t="shared" si="939"/>
        <v>#VALUE!</v>
      </c>
      <c r="K1604" s="116" t="e">
        <f t="shared" si="939"/>
        <v>#VALUE!</v>
      </c>
      <c r="L1604" s="116" t="e">
        <f t="shared" si="939"/>
        <v>#VALUE!</v>
      </c>
      <c r="N1604" s="108">
        <v>0.75</v>
      </c>
      <c r="O1604" s="116" t="e">
        <f t="shared" si="940"/>
        <v>#VALUE!</v>
      </c>
      <c r="P1604" s="116" t="e">
        <f t="shared" si="941"/>
        <v>#VALUE!</v>
      </c>
      <c r="Q1604" s="116" t="e">
        <f t="shared" si="942"/>
        <v>#VALUE!</v>
      </c>
      <c r="R1604" s="116" t="e">
        <f t="shared" si="943"/>
        <v>#VALUE!</v>
      </c>
      <c r="S1604" s="108">
        <v>0.75</v>
      </c>
      <c r="T1604" s="116" t="e">
        <f t="shared" si="944"/>
        <v>#VALUE!</v>
      </c>
      <c r="U1604" s="116" t="e">
        <f t="shared" si="945"/>
        <v>#VALUE!</v>
      </c>
      <c r="V1604" s="116" t="e">
        <f t="shared" si="946"/>
        <v>#VALUE!</v>
      </c>
      <c r="W1604" s="116" t="e">
        <f t="shared" si="947"/>
        <v>#VALUE!</v>
      </c>
      <c r="X1604" s="3" t="str">
        <f>INDEX(DistFuncAllocOptions,ROW(A1604)-ROW($A$92)+1,[4]Inputs!$S$11)</f>
        <v>PLNT</v>
      </c>
      <c r="Y1604" s="116" t="e">
        <f t="shared" si="948"/>
        <v>#VALUE!</v>
      </c>
      <c r="Z1604" s="116" t="e">
        <f t="shared" si="948"/>
        <v>#VALUE!</v>
      </c>
      <c r="AA1604" s="116" t="e">
        <f t="shared" si="948"/>
        <v>#VALUE!</v>
      </c>
      <c r="AB1604" s="116" t="e">
        <f t="shared" si="948"/>
        <v>#VALUE!</v>
      </c>
      <c r="AC1604" s="116" t="e">
        <f t="shared" si="948"/>
        <v>#VALUE!</v>
      </c>
      <c r="AD1604" s="117" t="e">
        <f t="shared" si="949"/>
        <v>#VALUE!</v>
      </c>
      <c r="AE1604" s="117" t="e">
        <f t="shared" si="950"/>
        <v>#VALUE!</v>
      </c>
      <c r="AF1604" s="117" t="e">
        <f t="shared" si="951"/>
        <v>#VALUE!</v>
      </c>
      <c r="AG1604" s="117" t="e">
        <f t="shared" si="952"/>
        <v>#VALUE!</v>
      </c>
      <c r="AH1604" s="116"/>
      <c r="AI1604">
        <f t="shared" si="905"/>
        <v>397</v>
      </c>
      <c r="AJ1604" t="str">
        <f t="shared" si="887"/>
        <v>SG</v>
      </c>
      <c r="AK1604" t="str">
        <f>IF(ISERROR(MATCH(AI1604&amp;"."&amp;AJ1604,AK$91:AK1603,0)),AI1604&amp;"."&amp;AJ1604,AI1604&amp;"."&amp;AJ1604&amp;COUNTIFS(AI$91:AI1603,AI1604,AJ$91:AJ1603,AJ1604))</f>
        <v>397.SG</v>
      </c>
    </row>
    <row r="1605" spans="1:37" ht="15" hidden="1">
      <c r="A1605" s="120">
        <f>ROW()</f>
        <v>1605</v>
      </c>
      <c r="B1605" s="120"/>
      <c r="C1605" s="1"/>
      <c r="E1605" s="121" t="s">
        <v>15</v>
      </c>
      <c r="F1605" s="138" t="str">
        <f>INDEX(FuncAllocOptions,ROW(A1605)-ROW($A$92)+1,[4]Inputs!$S$11)</f>
        <v>G-DGU</v>
      </c>
      <c r="G1605" s="117" t="e">
        <f t="shared" si="938"/>
        <v>#VALUE!</v>
      </c>
      <c r="H1605" s="116" t="e">
        <f t="shared" si="939"/>
        <v>#VALUE!</v>
      </c>
      <c r="I1605" s="116" t="e">
        <f t="shared" si="939"/>
        <v>#VALUE!</v>
      </c>
      <c r="J1605" s="116" t="e">
        <f t="shared" si="939"/>
        <v>#VALUE!</v>
      </c>
      <c r="K1605" s="116" t="e">
        <f t="shared" si="939"/>
        <v>#VALUE!</v>
      </c>
      <c r="L1605" s="116" t="e">
        <f t="shared" si="939"/>
        <v>#VALUE!</v>
      </c>
      <c r="N1605" s="108">
        <v>0.75</v>
      </c>
      <c r="O1605" s="116" t="e">
        <f t="shared" si="940"/>
        <v>#VALUE!</v>
      </c>
      <c r="P1605" s="116" t="e">
        <f t="shared" si="941"/>
        <v>#VALUE!</v>
      </c>
      <c r="Q1605" s="116" t="e">
        <f t="shared" si="942"/>
        <v>#VALUE!</v>
      </c>
      <c r="R1605" s="116" t="e">
        <f t="shared" si="943"/>
        <v>#VALUE!</v>
      </c>
      <c r="S1605" s="108">
        <v>0.75</v>
      </c>
      <c r="T1605" s="116" t="e">
        <f t="shared" si="944"/>
        <v>#VALUE!</v>
      </c>
      <c r="U1605" s="116" t="e">
        <f t="shared" si="945"/>
        <v>#VALUE!</v>
      </c>
      <c r="V1605" s="116" t="e">
        <f t="shared" si="946"/>
        <v>#VALUE!</v>
      </c>
      <c r="W1605" s="116" t="e">
        <f t="shared" si="947"/>
        <v>#VALUE!</v>
      </c>
      <c r="X1605" s="3" t="str">
        <f>INDEX(DistFuncAllocOptions,ROW(A1605)-ROW($A$92)+1,[4]Inputs!$S$11)</f>
        <v>PLNT</v>
      </c>
      <c r="Y1605" s="116" t="e">
        <f t="shared" si="948"/>
        <v>#VALUE!</v>
      </c>
      <c r="Z1605" s="116" t="e">
        <f t="shared" si="948"/>
        <v>#VALUE!</v>
      </c>
      <c r="AA1605" s="116" t="e">
        <f t="shared" si="948"/>
        <v>#VALUE!</v>
      </c>
      <c r="AB1605" s="116" t="e">
        <f t="shared" si="948"/>
        <v>#VALUE!</v>
      </c>
      <c r="AC1605" s="116" t="e">
        <f t="shared" si="948"/>
        <v>#VALUE!</v>
      </c>
      <c r="AD1605" s="117" t="e">
        <f t="shared" si="949"/>
        <v>#VALUE!</v>
      </c>
      <c r="AE1605" s="117" t="e">
        <f t="shared" si="950"/>
        <v>#VALUE!</v>
      </c>
      <c r="AF1605" s="117" t="e">
        <f t="shared" si="951"/>
        <v>#VALUE!</v>
      </c>
      <c r="AG1605" s="117" t="e">
        <f t="shared" si="952"/>
        <v>#VALUE!</v>
      </c>
      <c r="AH1605" s="116"/>
      <c r="AI1605">
        <f t="shared" si="905"/>
        <v>397</v>
      </c>
      <c r="AJ1605" t="str">
        <f t="shared" si="887"/>
        <v>SG</v>
      </c>
      <c r="AK1605" t="str">
        <f>IF(ISERROR(MATCH(AI1605&amp;"."&amp;AJ1605,AK$91:AK1604,0)),AI1605&amp;"."&amp;AJ1605,AI1605&amp;"."&amp;AJ1605&amp;COUNTIFS(AI$91:AI1604,AI1605,AJ$91:AJ1604,AJ1605))</f>
        <v>397.SG1</v>
      </c>
    </row>
    <row r="1606" spans="1:37" ht="15" hidden="1">
      <c r="A1606" s="120">
        <f>ROW()</f>
        <v>1606</v>
      </c>
      <c r="B1606" s="120"/>
      <c r="C1606" s="1"/>
      <c r="E1606" s="121" t="s">
        <v>136</v>
      </c>
      <c r="F1606" s="138" t="str">
        <f>INDEX(FuncAllocOptions,ROW(A1606)-ROW($A$92)+1,[4]Inputs!$S$11)</f>
        <v>PTD</v>
      </c>
      <c r="G1606" s="117" t="e">
        <f t="shared" si="938"/>
        <v>#VALUE!</v>
      </c>
      <c r="H1606" s="116" t="e">
        <f t="shared" si="939"/>
        <v>#VALUE!</v>
      </c>
      <c r="I1606" s="116" t="e">
        <f t="shared" si="939"/>
        <v>#VALUE!</v>
      </c>
      <c r="J1606" s="116" t="e">
        <f t="shared" si="939"/>
        <v>#VALUE!</v>
      </c>
      <c r="K1606" s="116" t="e">
        <f t="shared" si="939"/>
        <v>#VALUE!</v>
      </c>
      <c r="L1606" s="116" t="e">
        <f t="shared" si="939"/>
        <v>#VALUE!</v>
      </c>
      <c r="N1606" s="108">
        <v>0.75</v>
      </c>
      <c r="O1606" s="116" t="e">
        <f t="shared" si="940"/>
        <v>#VALUE!</v>
      </c>
      <c r="P1606" s="116" t="e">
        <f t="shared" si="941"/>
        <v>#VALUE!</v>
      </c>
      <c r="Q1606" s="116" t="e">
        <f t="shared" si="942"/>
        <v>#VALUE!</v>
      </c>
      <c r="R1606" s="116" t="e">
        <f t="shared" si="943"/>
        <v>#VALUE!</v>
      </c>
      <c r="S1606" s="108">
        <v>0.75</v>
      </c>
      <c r="T1606" s="116" t="e">
        <f t="shared" si="944"/>
        <v>#VALUE!</v>
      </c>
      <c r="U1606" s="116" t="e">
        <f t="shared" si="945"/>
        <v>#VALUE!</v>
      </c>
      <c r="V1606" s="116" t="e">
        <f t="shared" si="946"/>
        <v>#VALUE!</v>
      </c>
      <c r="W1606" s="116" t="e">
        <f t="shared" si="947"/>
        <v>#VALUE!</v>
      </c>
      <c r="X1606" s="3" t="str">
        <f>INDEX(DistFuncAllocOptions,ROW(A1606)-ROW($A$92)+1,[4]Inputs!$S$11)</f>
        <v>PLNT</v>
      </c>
      <c r="Y1606" s="116" t="e">
        <f t="shared" si="948"/>
        <v>#VALUE!</v>
      </c>
      <c r="Z1606" s="116" t="e">
        <f t="shared" si="948"/>
        <v>#VALUE!</v>
      </c>
      <c r="AA1606" s="116" t="e">
        <f t="shared" si="948"/>
        <v>#VALUE!</v>
      </c>
      <c r="AB1606" s="116" t="e">
        <f t="shared" si="948"/>
        <v>#VALUE!</v>
      </c>
      <c r="AC1606" s="116" t="e">
        <f t="shared" si="948"/>
        <v>#VALUE!</v>
      </c>
      <c r="AD1606" s="117" t="e">
        <f t="shared" si="949"/>
        <v>#VALUE!</v>
      </c>
      <c r="AE1606" s="117" t="e">
        <f t="shared" si="950"/>
        <v>#VALUE!</v>
      </c>
      <c r="AF1606" s="117" t="e">
        <f t="shared" si="951"/>
        <v>#VALUE!</v>
      </c>
      <c r="AG1606" s="117" t="e">
        <f t="shared" si="952"/>
        <v>#VALUE!</v>
      </c>
      <c r="AH1606" s="116"/>
      <c r="AI1606">
        <f t="shared" si="905"/>
        <v>397</v>
      </c>
      <c r="AJ1606" t="str">
        <f t="shared" si="887"/>
        <v>SO</v>
      </c>
      <c r="AK1606" t="str">
        <f>IF(ISERROR(MATCH(AI1606&amp;"."&amp;AJ1606,AK$91:AK1605,0)),AI1606&amp;"."&amp;AJ1606,AI1606&amp;"."&amp;AJ1606&amp;COUNTIFS(AI$91:AI1605,AI1606,AJ$91:AJ1605,AJ1606))</f>
        <v>397.SO</v>
      </c>
    </row>
    <row r="1607" spans="1:37" ht="15" hidden="1">
      <c r="A1607" s="120">
        <f>ROW()</f>
        <v>1607</v>
      </c>
      <c r="B1607" s="120"/>
      <c r="C1607" s="1"/>
      <c r="E1607" s="121" t="s">
        <v>155</v>
      </c>
      <c r="F1607" s="138" t="str">
        <f>INDEX(FuncAllocOptions,ROW(A1607)-ROW($A$92)+1,[4]Inputs!$S$11)</f>
        <v>CUST</v>
      </c>
      <c r="G1607" s="117" t="e">
        <f t="shared" si="938"/>
        <v>#VALUE!</v>
      </c>
      <c r="H1607" s="116" t="e">
        <f t="shared" si="939"/>
        <v>#VALUE!</v>
      </c>
      <c r="I1607" s="116" t="e">
        <f t="shared" si="939"/>
        <v>#VALUE!</v>
      </c>
      <c r="J1607" s="116" t="e">
        <f t="shared" si="939"/>
        <v>#VALUE!</v>
      </c>
      <c r="K1607" s="116" t="e">
        <f t="shared" si="939"/>
        <v>#VALUE!</v>
      </c>
      <c r="L1607" s="116" t="e">
        <f t="shared" si="939"/>
        <v>#VALUE!</v>
      </c>
      <c r="N1607" s="108">
        <v>0.75</v>
      </c>
      <c r="O1607" s="116" t="e">
        <f t="shared" si="940"/>
        <v>#VALUE!</v>
      </c>
      <c r="P1607" s="116" t="e">
        <f t="shared" si="941"/>
        <v>#VALUE!</v>
      </c>
      <c r="Q1607" s="116" t="e">
        <f t="shared" si="942"/>
        <v>#VALUE!</v>
      </c>
      <c r="R1607" s="116" t="e">
        <f t="shared" si="943"/>
        <v>#VALUE!</v>
      </c>
      <c r="S1607" s="108">
        <v>0.75</v>
      </c>
      <c r="T1607" s="116" t="e">
        <f t="shared" si="944"/>
        <v>#VALUE!</v>
      </c>
      <c r="U1607" s="116" t="e">
        <f t="shared" si="945"/>
        <v>#VALUE!</v>
      </c>
      <c r="V1607" s="116" t="e">
        <f t="shared" si="946"/>
        <v>#VALUE!</v>
      </c>
      <c r="W1607" s="116" t="e">
        <f t="shared" si="947"/>
        <v>#VALUE!</v>
      </c>
      <c r="X1607" s="3" t="str">
        <f>INDEX(DistFuncAllocOptions,ROW(A1607)-ROW($A$92)+1,[4]Inputs!$S$11)</f>
        <v>PLNT</v>
      </c>
      <c r="Y1607" s="116" t="e">
        <f t="shared" si="948"/>
        <v>#VALUE!</v>
      </c>
      <c r="Z1607" s="116" t="e">
        <f t="shared" si="948"/>
        <v>#VALUE!</v>
      </c>
      <c r="AA1607" s="116" t="e">
        <f t="shared" si="948"/>
        <v>#VALUE!</v>
      </c>
      <c r="AB1607" s="116" t="e">
        <f t="shared" si="948"/>
        <v>#VALUE!</v>
      </c>
      <c r="AC1607" s="116" t="e">
        <f t="shared" si="948"/>
        <v>#VALUE!</v>
      </c>
      <c r="AD1607" s="117" t="e">
        <f t="shared" si="949"/>
        <v>#VALUE!</v>
      </c>
      <c r="AE1607" s="117" t="e">
        <f t="shared" si="950"/>
        <v>#VALUE!</v>
      </c>
      <c r="AF1607" s="117" t="e">
        <f t="shared" si="951"/>
        <v>#VALUE!</v>
      </c>
      <c r="AG1607" s="117" t="e">
        <f t="shared" si="952"/>
        <v>#VALUE!</v>
      </c>
      <c r="AH1607" s="116"/>
      <c r="AI1607">
        <f t="shared" si="905"/>
        <v>397</v>
      </c>
      <c r="AJ1607" t="str">
        <f t="shared" si="887"/>
        <v>CN</v>
      </c>
      <c r="AK1607" t="str">
        <f>IF(ISERROR(MATCH(AI1607&amp;"."&amp;AJ1607,AK$91:AK1606,0)),AI1607&amp;"."&amp;AJ1607,AI1607&amp;"."&amp;AJ1607&amp;COUNTIFS(AI$91:AI1606,AI1607,AJ$91:AJ1606,AJ1607))</f>
        <v>397.CN</v>
      </c>
    </row>
    <row r="1608" spans="1:37" ht="15" hidden="1">
      <c r="A1608" s="120">
        <f>ROW()</f>
        <v>1608</v>
      </c>
      <c r="B1608" s="120"/>
      <c r="C1608" s="1"/>
      <c r="E1608" s="121" t="s">
        <v>15</v>
      </c>
      <c r="F1608" s="138" t="str">
        <f>INDEX(FuncAllocOptions,ROW(A1608)-ROW($A$92)+1,[4]Inputs!$S$11)</f>
        <v>G-SG</v>
      </c>
      <c r="G1608" s="117" t="e">
        <f t="shared" si="938"/>
        <v>#VALUE!</v>
      </c>
      <c r="H1608" s="116" t="e">
        <f t="shared" si="939"/>
        <v>#VALUE!</v>
      </c>
      <c r="I1608" s="116" t="e">
        <f t="shared" si="939"/>
        <v>#VALUE!</v>
      </c>
      <c r="J1608" s="116" t="e">
        <f t="shared" si="939"/>
        <v>#VALUE!</v>
      </c>
      <c r="K1608" s="116" t="e">
        <f t="shared" si="939"/>
        <v>#VALUE!</v>
      </c>
      <c r="L1608" s="116" t="e">
        <f t="shared" si="939"/>
        <v>#VALUE!</v>
      </c>
      <c r="N1608" s="108">
        <v>0.75</v>
      </c>
      <c r="O1608" s="116" t="e">
        <f t="shared" si="940"/>
        <v>#VALUE!</v>
      </c>
      <c r="P1608" s="116" t="e">
        <f t="shared" si="941"/>
        <v>#VALUE!</v>
      </c>
      <c r="Q1608" s="116" t="e">
        <f t="shared" si="942"/>
        <v>#VALUE!</v>
      </c>
      <c r="R1608" s="116" t="e">
        <f t="shared" si="943"/>
        <v>#VALUE!</v>
      </c>
      <c r="S1608" s="108">
        <v>0.75</v>
      </c>
      <c r="T1608" s="116" t="e">
        <f t="shared" si="944"/>
        <v>#VALUE!</v>
      </c>
      <c r="U1608" s="116" t="e">
        <f t="shared" si="945"/>
        <v>#VALUE!</v>
      </c>
      <c r="V1608" s="116" t="e">
        <f t="shared" si="946"/>
        <v>#VALUE!</v>
      </c>
      <c r="W1608" s="116" t="e">
        <f t="shared" si="947"/>
        <v>#VALUE!</v>
      </c>
      <c r="X1608" s="3" t="str">
        <f>INDEX(DistFuncAllocOptions,ROW(A1608)-ROW($A$92)+1,[4]Inputs!$S$11)</f>
        <v>PLNT</v>
      </c>
      <c r="Y1608" s="116" t="e">
        <f t="shared" si="948"/>
        <v>#VALUE!</v>
      </c>
      <c r="Z1608" s="116" t="e">
        <f t="shared" si="948"/>
        <v>#VALUE!</v>
      </c>
      <c r="AA1608" s="116" t="e">
        <f t="shared" si="948"/>
        <v>#VALUE!</v>
      </c>
      <c r="AB1608" s="116" t="e">
        <f t="shared" si="948"/>
        <v>#VALUE!</v>
      </c>
      <c r="AC1608" s="116" t="e">
        <f t="shared" si="948"/>
        <v>#VALUE!</v>
      </c>
      <c r="AD1608" s="117" t="e">
        <f t="shared" si="949"/>
        <v>#VALUE!</v>
      </c>
      <c r="AE1608" s="117" t="e">
        <f t="shared" si="950"/>
        <v>#VALUE!</v>
      </c>
      <c r="AF1608" s="117" t="e">
        <f t="shared" si="951"/>
        <v>#VALUE!</v>
      </c>
      <c r="AG1608" s="117" t="e">
        <f t="shared" si="952"/>
        <v>#VALUE!</v>
      </c>
      <c r="AH1608" s="116"/>
      <c r="AI1608">
        <f t="shared" si="905"/>
        <v>397</v>
      </c>
      <c r="AJ1608" t="str">
        <f t="shared" si="887"/>
        <v>SG</v>
      </c>
      <c r="AK1608" t="str">
        <f>IF(ISERROR(MATCH(AI1608&amp;"."&amp;AJ1608,AK$91:AK1607,0)),AI1608&amp;"."&amp;AJ1608,AI1608&amp;"."&amp;AJ1608&amp;COUNTIFS(AI$91:AI1607,AI1608,AJ$91:AJ1607,AJ1608))</f>
        <v>397.SG2</v>
      </c>
    </row>
    <row r="1609" spans="1:37" ht="15" hidden="1">
      <c r="A1609" s="120">
        <f>ROW()</f>
        <v>1609</v>
      </c>
      <c r="B1609" s="120"/>
      <c r="C1609" s="1"/>
      <c r="E1609" s="121" t="s">
        <v>16</v>
      </c>
      <c r="F1609" s="138" t="str">
        <f>INDEX(FuncAllocOptions,ROW(A1609)-ROW($A$92)+1,[4]Inputs!$S$11)</f>
        <v>P</v>
      </c>
      <c r="G1609" s="117" t="e">
        <f t="shared" si="938"/>
        <v>#VALUE!</v>
      </c>
      <c r="H1609" s="116" t="e">
        <f t="shared" si="939"/>
        <v>#VALUE!</v>
      </c>
      <c r="I1609" s="116" t="e">
        <f t="shared" si="939"/>
        <v>#VALUE!</v>
      </c>
      <c r="J1609" s="116" t="e">
        <f t="shared" si="939"/>
        <v>#VALUE!</v>
      </c>
      <c r="K1609" s="116" t="e">
        <f t="shared" si="939"/>
        <v>#VALUE!</v>
      </c>
      <c r="L1609" s="116" t="e">
        <f t="shared" si="939"/>
        <v>#VALUE!</v>
      </c>
      <c r="N1609" s="108">
        <v>0</v>
      </c>
      <c r="O1609" s="116" t="e">
        <f t="shared" si="940"/>
        <v>#VALUE!</v>
      </c>
      <c r="P1609" s="116" t="e">
        <f t="shared" si="941"/>
        <v>#VALUE!</v>
      </c>
      <c r="Q1609" s="116" t="e">
        <f t="shared" si="942"/>
        <v>#VALUE!</v>
      </c>
      <c r="R1609" s="116" t="e">
        <f t="shared" si="943"/>
        <v>#VALUE!</v>
      </c>
      <c r="S1609" s="108">
        <v>0</v>
      </c>
      <c r="T1609" s="116" t="e">
        <f t="shared" si="944"/>
        <v>#VALUE!</v>
      </c>
      <c r="U1609" s="116" t="e">
        <f t="shared" si="945"/>
        <v>#VALUE!</v>
      </c>
      <c r="V1609" s="116" t="e">
        <f t="shared" si="946"/>
        <v>#VALUE!</v>
      </c>
      <c r="W1609" s="116" t="e">
        <f t="shared" si="947"/>
        <v>#VALUE!</v>
      </c>
      <c r="X1609" s="3" t="str">
        <f>INDEX(DistFuncAllocOptions,ROW(A1609)-ROW($A$92)+1,[4]Inputs!$S$11)</f>
        <v>PLNT</v>
      </c>
      <c r="Y1609" s="116" t="e">
        <f t="shared" si="948"/>
        <v>#VALUE!</v>
      </c>
      <c r="Z1609" s="116" t="e">
        <f t="shared" si="948"/>
        <v>#VALUE!</v>
      </c>
      <c r="AA1609" s="116" t="e">
        <f t="shared" si="948"/>
        <v>#VALUE!</v>
      </c>
      <c r="AB1609" s="116" t="e">
        <f t="shared" si="948"/>
        <v>#VALUE!</v>
      </c>
      <c r="AC1609" s="116" t="e">
        <f t="shared" si="948"/>
        <v>#VALUE!</v>
      </c>
      <c r="AD1609" s="117" t="e">
        <f t="shared" si="949"/>
        <v>#VALUE!</v>
      </c>
      <c r="AE1609" s="117" t="e">
        <f t="shared" si="950"/>
        <v>#VALUE!</v>
      </c>
      <c r="AF1609" s="117" t="e">
        <f t="shared" si="951"/>
        <v>#VALUE!</v>
      </c>
      <c r="AG1609" s="117" t="e">
        <f t="shared" si="952"/>
        <v>#VALUE!</v>
      </c>
      <c r="AH1609" s="116"/>
      <c r="AI1609">
        <f t="shared" si="905"/>
        <v>397</v>
      </c>
      <c r="AJ1609" t="str">
        <f t="shared" si="887"/>
        <v>SE</v>
      </c>
      <c r="AK1609" t="str">
        <f>IF(ISERROR(MATCH(AI1609&amp;"."&amp;AJ1609,AK$91:AK1608,0)),AI1609&amp;"."&amp;AJ1609,AI1609&amp;"."&amp;AJ1609&amp;COUNTIFS(AI$91:AI1608,AI1609,AJ$91:AJ1608,AJ1609))</f>
        <v>397.SE</v>
      </c>
    </row>
    <row r="1610" spans="1:37" ht="15" hidden="1">
      <c r="A1610" s="120">
        <f>ROW()</f>
        <v>1610</v>
      </c>
      <c r="B1610" s="120"/>
      <c r="C1610" s="1"/>
      <c r="E1610" s="121" t="s">
        <v>15</v>
      </c>
      <c r="F1610" s="138" t="str">
        <f>INDEX(FuncAllocOptions,ROW(A1610)-ROW($A$92)+1,[4]Inputs!$S$11)</f>
        <v>G-SG</v>
      </c>
      <c r="G1610" s="117" t="e">
        <f t="shared" si="938"/>
        <v>#VALUE!</v>
      </c>
      <c r="H1610" s="116" t="e">
        <f t="shared" si="939"/>
        <v>#VALUE!</v>
      </c>
      <c r="I1610" s="116" t="e">
        <f t="shared" si="939"/>
        <v>#VALUE!</v>
      </c>
      <c r="J1610" s="116" t="e">
        <f t="shared" si="939"/>
        <v>#VALUE!</v>
      </c>
      <c r="K1610" s="116" t="e">
        <f t="shared" si="939"/>
        <v>#VALUE!</v>
      </c>
      <c r="L1610" s="116" t="e">
        <f t="shared" si="939"/>
        <v>#VALUE!</v>
      </c>
      <c r="N1610" s="108">
        <v>0.75</v>
      </c>
      <c r="O1610" s="116" t="e">
        <f t="shared" si="940"/>
        <v>#VALUE!</v>
      </c>
      <c r="P1610" s="116" t="e">
        <f t="shared" si="941"/>
        <v>#VALUE!</v>
      </c>
      <c r="Q1610" s="116" t="e">
        <f t="shared" si="942"/>
        <v>#VALUE!</v>
      </c>
      <c r="R1610" s="116" t="e">
        <f t="shared" si="943"/>
        <v>#VALUE!</v>
      </c>
      <c r="S1610" s="108">
        <v>0.75</v>
      </c>
      <c r="T1610" s="116" t="e">
        <f t="shared" si="944"/>
        <v>#VALUE!</v>
      </c>
      <c r="U1610" s="116" t="e">
        <f t="shared" si="945"/>
        <v>#VALUE!</v>
      </c>
      <c r="V1610" s="116" t="e">
        <f t="shared" si="946"/>
        <v>#VALUE!</v>
      </c>
      <c r="W1610" s="116" t="e">
        <f t="shared" si="947"/>
        <v>#VALUE!</v>
      </c>
      <c r="X1610" s="3" t="str">
        <f>INDEX(DistFuncAllocOptions,ROW(A1610)-ROW($A$92)+1,[4]Inputs!$S$11)</f>
        <v>PLNT</v>
      </c>
      <c r="Y1610" s="116" t="e">
        <f t="shared" si="948"/>
        <v>#VALUE!</v>
      </c>
      <c r="Z1610" s="116" t="e">
        <f t="shared" si="948"/>
        <v>#VALUE!</v>
      </c>
      <c r="AA1610" s="116" t="e">
        <f t="shared" si="948"/>
        <v>#VALUE!</v>
      </c>
      <c r="AB1610" s="116" t="e">
        <f t="shared" si="948"/>
        <v>#VALUE!</v>
      </c>
      <c r="AC1610" s="116" t="e">
        <f t="shared" si="948"/>
        <v>#VALUE!</v>
      </c>
      <c r="AD1610" s="117" t="e">
        <f t="shared" si="949"/>
        <v>#VALUE!</v>
      </c>
      <c r="AE1610" s="117" t="e">
        <f t="shared" si="950"/>
        <v>#VALUE!</v>
      </c>
      <c r="AF1610" s="117" t="e">
        <f t="shared" si="951"/>
        <v>#VALUE!</v>
      </c>
      <c r="AG1610" s="117" t="e">
        <f t="shared" si="952"/>
        <v>#VALUE!</v>
      </c>
      <c r="AH1610" s="116"/>
      <c r="AI1610">
        <f t="shared" si="905"/>
        <v>397</v>
      </c>
      <c r="AJ1610" t="str">
        <f t="shared" si="887"/>
        <v>SG</v>
      </c>
      <c r="AK1610" t="str">
        <f>IF(ISERROR(MATCH(AI1610&amp;"."&amp;AJ1610,AK$91:AK1609,0)),AI1610&amp;"."&amp;AJ1610,AI1610&amp;"."&amp;AJ1610&amp;COUNTIFS(AI$91:AI1609,AI1610,AJ$91:AJ1609,AJ1610))</f>
        <v>397.SG3</v>
      </c>
    </row>
    <row r="1611" spans="1:37" ht="15" hidden="1">
      <c r="A1611" s="120">
        <f>ROW()</f>
        <v>1611</v>
      </c>
      <c r="B1611" s="120"/>
      <c r="C1611" s="1"/>
      <c r="E1611" s="121" t="s">
        <v>15</v>
      </c>
      <c r="F1611" s="138" t="str">
        <f>INDEX(FuncAllocOptions,ROW(A1611)-ROW($A$92)+1,[4]Inputs!$S$11)</f>
        <v>G-SG</v>
      </c>
      <c r="G1611" s="133" t="e">
        <f t="shared" si="938"/>
        <v>#VALUE!</v>
      </c>
      <c r="H1611" s="139" t="e">
        <f t="shared" si="939"/>
        <v>#VALUE!</v>
      </c>
      <c r="I1611" s="139" t="e">
        <f t="shared" si="939"/>
        <v>#VALUE!</v>
      </c>
      <c r="J1611" s="139" t="e">
        <f t="shared" si="939"/>
        <v>#VALUE!</v>
      </c>
      <c r="K1611" s="139" t="e">
        <f t="shared" si="939"/>
        <v>#VALUE!</v>
      </c>
      <c r="L1611" s="139" t="e">
        <f t="shared" si="939"/>
        <v>#VALUE!</v>
      </c>
      <c r="N1611" s="108">
        <v>0.75</v>
      </c>
      <c r="O1611" s="116" t="e">
        <f t="shared" si="940"/>
        <v>#VALUE!</v>
      </c>
      <c r="P1611" s="116" t="e">
        <f t="shared" si="941"/>
        <v>#VALUE!</v>
      </c>
      <c r="Q1611" s="116" t="e">
        <f t="shared" si="942"/>
        <v>#VALUE!</v>
      </c>
      <c r="R1611" s="116" t="e">
        <f t="shared" si="943"/>
        <v>#VALUE!</v>
      </c>
      <c r="S1611" s="108">
        <v>0.75</v>
      </c>
      <c r="T1611" s="116" t="e">
        <f t="shared" si="944"/>
        <v>#VALUE!</v>
      </c>
      <c r="U1611" s="116" t="e">
        <f t="shared" si="945"/>
        <v>#VALUE!</v>
      </c>
      <c r="V1611" s="116" t="e">
        <f t="shared" si="946"/>
        <v>#VALUE!</v>
      </c>
      <c r="W1611" s="116" t="e">
        <f t="shared" si="947"/>
        <v>#VALUE!</v>
      </c>
      <c r="X1611" s="3" t="str">
        <f>INDEX(DistFuncAllocOptions,ROW(A1611)-ROW($A$92)+1,[4]Inputs!$S$11)</f>
        <v>PLNT</v>
      </c>
      <c r="Y1611" s="116" t="e">
        <f t="shared" si="948"/>
        <v>#VALUE!</v>
      </c>
      <c r="Z1611" s="116" t="e">
        <f t="shared" si="948"/>
        <v>#VALUE!</v>
      </c>
      <c r="AA1611" s="116" t="e">
        <f t="shared" si="948"/>
        <v>#VALUE!</v>
      </c>
      <c r="AB1611" s="116" t="e">
        <f t="shared" si="948"/>
        <v>#VALUE!</v>
      </c>
      <c r="AC1611" s="116" t="e">
        <f t="shared" si="948"/>
        <v>#VALUE!</v>
      </c>
      <c r="AD1611" s="117" t="e">
        <f t="shared" si="949"/>
        <v>#VALUE!</v>
      </c>
      <c r="AE1611" s="117" t="e">
        <f t="shared" si="950"/>
        <v>#VALUE!</v>
      </c>
      <c r="AF1611" s="117" t="e">
        <f t="shared" si="951"/>
        <v>#VALUE!</v>
      </c>
      <c r="AG1611" s="117" t="e">
        <f t="shared" si="952"/>
        <v>#VALUE!</v>
      </c>
      <c r="AH1611" s="116"/>
      <c r="AI1611">
        <f t="shared" si="905"/>
        <v>397</v>
      </c>
      <c r="AJ1611" t="str">
        <f t="shared" si="887"/>
        <v>SG</v>
      </c>
      <c r="AK1611" t="str">
        <f>IF(ISERROR(MATCH(AI1611&amp;"."&amp;AJ1611,AK$91:AK1610,0)),AI1611&amp;"."&amp;AJ1611,AI1611&amp;"."&amp;AJ1611&amp;COUNTIFS(AI$91:AI1610,AI1611,AJ$91:AJ1610,AJ1611))</f>
        <v>397.SG4</v>
      </c>
    </row>
    <row r="1612" spans="1:37" ht="15" hidden="1">
      <c r="A1612" s="120">
        <f>ROW()</f>
        <v>1612</v>
      </c>
      <c r="B1612" s="120"/>
      <c r="C1612" s="1"/>
      <c r="E1612" s="121"/>
      <c r="F1612" s="138"/>
      <c r="G1612" s="117" t="e">
        <f t="shared" ref="G1612:L1612" si="953">SUM(G1603:G1611)</f>
        <v>#VALUE!</v>
      </c>
      <c r="H1612" s="116" t="e">
        <f t="shared" si="953"/>
        <v>#VALUE!</v>
      </c>
      <c r="I1612" s="116" t="e">
        <f t="shared" si="953"/>
        <v>#VALUE!</v>
      </c>
      <c r="J1612" s="116" t="e">
        <f t="shared" si="953"/>
        <v>#VALUE!</v>
      </c>
      <c r="K1612" s="116" t="e">
        <f t="shared" si="953"/>
        <v>#VALUE!</v>
      </c>
      <c r="L1612" s="116" t="e">
        <f t="shared" si="953"/>
        <v>#VALUE!</v>
      </c>
      <c r="O1612" s="116" t="e">
        <f>SUM(O1603:O1611)</f>
        <v>#VALUE!</v>
      </c>
      <c r="P1612" s="116" t="e">
        <f>SUM(P1603:P1611)</f>
        <v>#VALUE!</v>
      </c>
      <c r="Q1612" s="116" t="e">
        <f>SUM(Q1603:Q1611)</f>
        <v>#VALUE!</v>
      </c>
      <c r="R1612" s="116" t="e">
        <f>SUM(R1603:R1611)</f>
        <v>#VALUE!</v>
      </c>
      <c r="T1612" s="116" t="e">
        <f>SUM(T1603:T1611)</f>
        <v>#VALUE!</v>
      </c>
      <c r="U1612" s="116" t="e">
        <f>SUM(U1603:U1611)</f>
        <v>#VALUE!</v>
      </c>
      <c r="V1612" s="116" t="e">
        <f>SUM(V1603:V1611)</f>
        <v>#VALUE!</v>
      </c>
      <c r="W1612" s="116" t="e">
        <f>SUM(W1603:W1611)</f>
        <v>#VALUE!</v>
      </c>
      <c r="X1612" s="3"/>
      <c r="Y1612" s="116" t="e">
        <f>SUM(Y1603:Y1611)</f>
        <v>#VALUE!</v>
      </c>
      <c r="Z1612" s="116" t="e">
        <f>SUM(Z1603:Z1611)</f>
        <v>#VALUE!</v>
      </c>
      <c r="AA1612" s="116" t="e">
        <f>SUM(AA1603:AA1611)</f>
        <v>#VALUE!</v>
      </c>
      <c r="AB1612" s="116" t="e">
        <f>SUM(AB1603:AB1611)</f>
        <v>#VALUE!</v>
      </c>
      <c r="AC1612" s="116" t="e">
        <f>SUM(AC1603:AC1611)</f>
        <v>#VALUE!</v>
      </c>
      <c r="AD1612" s="117" t="e">
        <f t="shared" si="949"/>
        <v>#VALUE!</v>
      </c>
      <c r="AE1612" s="117" t="e">
        <f t="shared" si="950"/>
        <v>#VALUE!</v>
      </c>
      <c r="AF1612" s="117" t="e">
        <f t="shared" si="951"/>
        <v>#VALUE!</v>
      </c>
      <c r="AG1612" s="117" t="e">
        <f t="shared" si="952"/>
        <v>#VALUE!</v>
      </c>
      <c r="AH1612" s="116"/>
      <c r="AI1612">
        <f t="shared" si="905"/>
        <v>397</v>
      </c>
      <c r="AJ1612" t="str">
        <f t="shared" si="887"/>
        <v>NA</v>
      </c>
      <c r="AK1612" t="str">
        <f>IF(ISERROR(MATCH(AI1612&amp;"."&amp;AJ1612,AK$91:AK1611,0)),AI1612&amp;"."&amp;AJ1612,AI1612&amp;"."&amp;AJ1612&amp;COUNTIFS(AI$91:AI1611,AI1612,AJ$91:AJ1611,AJ1612))</f>
        <v>397.NA1</v>
      </c>
    </row>
    <row r="1613" spans="1:37" ht="15" hidden="1">
      <c r="A1613" s="120">
        <f>ROW()</f>
        <v>1613</v>
      </c>
      <c r="B1613" s="120"/>
      <c r="C1613" s="1"/>
      <c r="E1613" s="121"/>
      <c r="F1613" s="138"/>
      <c r="G1613" s="119"/>
      <c r="X1613" s="3"/>
      <c r="AD1613" s="119"/>
      <c r="AE1613" s="119"/>
      <c r="AF1613" s="119"/>
      <c r="AG1613" s="119"/>
      <c r="AI1613">
        <f t="shared" si="905"/>
        <v>397</v>
      </c>
      <c r="AJ1613" t="str">
        <f t="shared" si="887"/>
        <v>NA</v>
      </c>
      <c r="AK1613" t="str">
        <f>IF(ISERROR(MATCH(AI1613&amp;"."&amp;AJ1613,AK$91:AK1612,0)),AI1613&amp;"."&amp;AJ1613,AI1613&amp;"."&amp;AJ1613&amp;COUNTIFS(AI$91:AI1612,AI1613,AJ$91:AJ1612,AJ1613))</f>
        <v>397.NA2</v>
      </c>
    </row>
    <row r="1614" spans="1:37" ht="15" hidden="1">
      <c r="A1614" s="120">
        <f>ROW()</f>
        <v>1614</v>
      </c>
      <c r="B1614" s="120"/>
      <c r="C1614" s="1">
        <v>398</v>
      </c>
      <c r="D1614" s="2" t="s">
        <v>566</v>
      </c>
      <c r="E1614" s="121"/>
      <c r="F1614" s="138"/>
      <c r="G1614" s="119"/>
      <c r="X1614" s="3"/>
      <c r="AD1614" s="119"/>
      <c r="AE1614" s="119"/>
      <c r="AF1614" s="119"/>
      <c r="AG1614" s="119"/>
      <c r="AI1614">
        <f t="shared" si="905"/>
        <v>398</v>
      </c>
      <c r="AJ1614" t="str">
        <f t="shared" si="887"/>
        <v>NA</v>
      </c>
      <c r="AK1614" t="str">
        <f>IF(ISERROR(MATCH(AI1614&amp;"."&amp;AJ1614,AK$91:AK1613,0)),AI1614&amp;"."&amp;AJ1614,AI1614&amp;"."&amp;AJ1614&amp;COUNTIFS(AI$91:AI1613,AI1614,AJ$91:AJ1613,AJ1614))</f>
        <v>398.NA</v>
      </c>
    </row>
    <row r="1615" spans="1:37" ht="15" hidden="1">
      <c r="A1615" s="120">
        <f>ROW()</f>
        <v>1615</v>
      </c>
      <c r="B1615" s="120"/>
      <c r="C1615" s="1"/>
      <c r="E1615" s="121" t="s">
        <v>12</v>
      </c>
      <c r="F1615" s="138" t="str">
        <f>INDEX(FuncAllocOptions,ROW(A1615)-ROW($A$92)+1,[4]Inputs!$S$11)</f>
        <v>G-SITUS</v>
      </c>
      <c r="G1615" s="117" t="e">
        <f t="shared" ref="G1615:G1622" si="954">SUMIF(FERCJAMFactor,AK1615,JAMValue)</f>
        <v>#VALUE!</v>
      </c>
      <c r="H1615" s="116" t="e">
        <f t="shared" ref="H1615:L1622" si="955">INDEX(FuncFactorTbl,MATCH($F1615,FuncFactors,0),MATCH(H$8,Functions,0))*$G1615</f>
        <v>#VALUE!</v>
      </c>
      <c r="I1615" s="116" t="e">
        <f t="shared" si="955"/>
        <v>#VALUE!</v>
      </c>
      <c r="J1615" s="116" t="e">
        <f t="shared" si="955"/>
        <v>#VALUE!</v>
      </c>
      <c r="K1615" s="116" t="e">
        <f t="shared" si="955"/>
        <v>#VALUE!</v>
      </c>
      <c r="L1615" s="116" t="e">
        <f t="shared" si="955"/>
        <v>#VALUE!</v>
      </c>
      <c r="N1615" s="108">
        <v>0.75</v>
      </c>
      <c r="O1615" s="116" t="e">
        <f t="shared" ref="O1615:O1622" si="956">$H1615*$N1615*$M1615</f>
        <v>#VALUE!</v>
      </c>
      <c r="P1615" s="116" t="e">
        <f t="shared" ref="P1615:P1622" si="957">$H1615*(1-$N1615)*$M1615</f>
        <v>#VALUE!</v>
      </c>
      <c r="Q1615" s="116" t="e">
        <f t="shared" ref="Q1615:Q1622" si="958">$H1615*$N1615*(1-$M1615)</f>
        <v>#VALUE!</v>
      </c>
      <c r="R1615" s="116" t="e">
        <f t="shared" ref="R1615:R1622" si="959">$H1615*(1-$N1615)*(1-$M1615)</f>
        <v>#VALUE!</v>
      </c>
      <c r="S1615" s="108">
        <v>0.75</v>
      </c>
      <c r="T1615" s="116" t="e">
        <f t="shared" ref="T1615:T1622" si="960">$I1615*$S1615*$M1615</f>
        <v>#VALUE!</v>
      </c>
      <c r="U1615" s="116" t="e">
        <f t="shared" ref="U1615:U1622" si="961">$I1615*(1-$S1615)*$M1615</f>
        <v>#VALUE!</v>
      </c>
      <c r="V1615" s="116" t="e">
        <f t="shared" ref="V1615:V1622" si="962">$I1615*$S1615*(1-$M1615)</f>
        <v>#VALUE!</v>
      </c>
      <c r="W1615" s="116" t="e">
        <f t="shared" ref="W1615:W1622" si="963">$I1615*(1-$S1615)*(1-$M1615)</f>
        <v>#VALUE!</v>
      </c>
      <c r="X1615" s="3" t="str">
        <f>INDEX(DistFuncAllocOptions,ROW(A1615)-ROW($A$92)+1,[4]Inputs!$S$11)</f>
        <v>PLNT</v>
      </c>
      <c r="Y1615" s="116" t="e">
        <f t="shared" ref="Y1615:AC1622" si="964">INDEX(DistFuncFactorTbl,MATCH($X1615,DistFuncFactors,0),MATCH(Y$91,DistFunctions,0))*$J1615</f>
        <v>#VALUE!</v>
      </c>
      <c r="Z1615" s="116" t="e">
        <f t="shared" si="964"/>
        <v>#VALUE!</v>
      </c>
      <c r="AA1615" s="116" t="e">
        <f t="shared" si="964"/>
        <v>#VALUE!</v>
      </c>
      <c r="AB1615" s="116" t="e">
        <f t="shared" si="964"/>
        <v>#VALUE!</v>
      </c>
      <c r="AC1615" s="116" t="e">
        <f t="shared" si="964"/>
        <v>#VALUE!</v>
      </c>
      <c r="AD1615" s="117" t="e">
        <f t="shared" ref="AD1615:AD1623" si="965">ROUND(SUM(-G1615,H1615:L1615),0)</f>
        <v>#VALUE!</v>
      </c>
      <c r="AE1615" s="117" t="e">
        <f t="shared" ref="AE1615:AE1623" si="966">ROUND(H1615-O1615-P1615-Q1615-R1615,0)</f>
        <v>#VALUE!</v>
      </c>
      <c r="AF1615" s="117" t="e">
        <f t="shared" ref="AF1615:AF1623" si="967">ROUND(I1615-T1615-U1615-V1615-W1615,0)</f>
        <v>#VALUE!</v>
      </c>
      <c r="AG1615" s="117" t="e">
        <f t="shared" ref="AG1615:AG1623" si="968">ROUND(J1615-Y1615-Z1615-AA1615-AC1615-AB1615,0)</f>
        <v>#VALUE!</v>
      </c>
      <c r="AH1615" s="116"/>
      <c r="AI1615">
        <f t="shared" si="905"/>
        <v>398</v>
      </c>
      <c r="AJ1615" t="str">
        <f t="shared" si="887"/>
        <v>S</v>
      </c>
      <c r="AK1615" t="str">
        <f>IF(ISERROR(MATCH(AI1615&amp;"."&amp;AJ1615,AK$91:AK1614,0)),AI1615&amp;"."&amp;AJ1615,AI1615&amp;"."&amp;AJ1615&amp;COUNTIFS(AI$91:AI1614,AI1615,AJ$91:AJ1614,AJ1615))</f>
        <v>398.S</v>
      </c>
    </row>
    <row r="1616" spans="1:37" ht="15" hidden="1">
      <c r="A1616" s="120">
        <f>ROW()</f>
        <v>1616</v>
      </c>
      <c r="B1616" s="120"/>
      <c r="C1616" s="1"/>
      <c r="E1616" s="121" t="s">
        <v>15</v>
      </c>
      <c r="F1616" s="138" t="str">
        <f>INDEX(FuncAllocOptions,ROW(A1616)-ROW($A$92)+1,[4]Inputs!$S$11)</f>
        <v>PT</v>
      </c>
      <c r="G1616" s="117" t="e">
        <f t="shared" si="954"/>
        <v>#VALUE!</v>
      </c>
      <c r="H1616" s="116" t="e">
        <f t="shared" si="955"/>
        <v>#VALUE!</v>
      </c>
      <c r="I1616" s="116" t="e">
        <f t="shared" si="955"/>
        <v>#VALUE!</v>
      </c>
      <c r="J1616" s="116" t="e">
        <f t="shared" si="955"/>
        <v>#VALUE!</v>
      </c>
      <c r="K1616" s="116" t="e">
        <f t="shared" si="955"/>
        <v>#VALUE!</v>
      </c>
      <c r="L1616" s="116" t="e">
        <f t="shared" si="955"/>
        <v>#VALUE!</v>
      </c>
      <c r="N1616" s="108">
        <v>0.75</v>
      </c>
      <c r="O1616" s="116" t="e">
        <f t="shared" si="956"/>
        <v>#VALUE!</v>
      </c>
      <c r="P1616" s="116" t="e">
        <f t="shared" si="957"/>
        <v>#VALUE!</v>
      </c>
      <c r="Q1616" s="116" t="e">
        <f t="shared" si="958"/>
        <v>#VALUE!</v>
      </c>
      <c r="R1616" s="116" t="e">
        <f t="shared" si="959"/>
        <v>#VALUE!</v>
      </c>
      <c r="S1616" s="108">
        <v>0.75</v>
      </c>
      <c r="T1616" s="116" t="e">
        <f t="shared" si="960"/>
        <v>#VALUE!</v>
      </c>
      <c r="U1616" s="116" t="e">
        <f t="shared" si="961"/>
        <v>#VALUE!</v>
      </c>
      <c r="V1616" s="116" t="e">
        <f t="shared" si="962"/>
        <v>#VALUE!</v>
      </c>
      <c r="W1616" s="116" t="e">
        <f t="shared" si="963"/>
        <v>#VALUE!</v>
      </c>
      <c r="X1616" s="3" t="str">
        <f>INDEX(DistFuncAllocOptions,ROW(A1616)-ROW($A$92)+1,[4]Inputs!$S$11)</f>
        <v>PLNT</v>
      </c>
      <c r="Y1616" s="116" t="e">
        <f t="shared" si="964"/>
        <v>#VALUE!</v>
      </c>
      <c r="Z1616" s="116" t="e">
        <f t="shared" si="964"/>
        <v>#VALUE!</v>
      </c>
      <c r="AA1616" s="116" t="e">
        <f t="shared" si="964"/>
        <v>#VALUE!</v>
      </c>
      <c r="AB1616" s="116" t="e">
        <f t="shared" si="964"/>
        <v>#VALUE!</v>
      </c>
      <c r="AC1616" s="116" t="e">
        <f t="shared" si="964"/>
        <v>#VALUE!</v>
      </c>
      <c r="AD1616" s="117" t="e">
        <f t="shared" si="965"/>
        <v>#VALUE!</v>
      </c>
      <c r="AE1616" s="117" t="e">
        <f t="shared" si="966"/>
        <v>#VALUE!</v>
      </c>
      <c r="AF1616" s="117" t="e">
        <f t="shared" si="967"/>
        <v>#VALUE!</v>
      </c>
      <c r="AG1616" s="117" t="e">
        <f t="shared" si="968"/>
        <v>#VALUE!</v>
      </c>
      <c r="AH1616" s="116"/>
      <c r="AI1616">
        <f t="shared" si="905"/>
        <v>398</v>
      </c>
      <c r="AJ1616" t="str">
        <f t="shared" si="887"/>
        <v>SG</v>
      </c>
      <c r="AK1616" t="str">
        <f>IF(ISERROR(MATCH(AI1616&amp;"."&amp;AJ1616,AK$91:AK1615,0)),AI1616&amp;"."&amp;AJ1616,AI1616&amp;"."&amp;AJ1616&amp;COUNTIFS(AI$91:AI1615,AI1616,AJ$91:AJ1615,AJ1616))</f>
        <v>398.SG</v>
      </c>
    </row>
    <row r="1617" spans="1:37" ht="15" hidden="1">
      <c r="A1617" s="120">
        <f>ROW()</f>
        <v>1617</v>
      </c>
      <c r="B1617" s="120"/>
      <c r="C1617" s="1"/>
      <c r="E1617" s="121" t="s">
        <v>15</v>
      </c>
      <c r="F1617" s="138" t="str">
        <f>INDEX(FuncAllocOptions,ROW(A1617)-ROW($A$92)+1,[4]Inputs!$S$11)</f>
        <v>PT</v>
      </c>
      <c r="G1617" s="117" t="e">
        <f t="shared" si="954"/>
        <v>#VALUE!</v>
      </c>
      <c r="H1617" s="116" t="e">
        <f t="shared" si="955"/>
        <v>#VALUE!</v>
      </c>
      <c r="I1617" s="116" t="e">
        <f t="shared" si="955"/>
        <v>#VALUE!</v>
      </c>
      <c r="J1617" s="116" t="e">
        <f t="shared" si="955"/>
        <v>#VALUE!</v>
      </c>
      <c r="K1617" s="116" t="e">
        <f t="shared" si="955"/>
        <v>#VALUE!</v>
      </c>
      <c r="L1617" s="116" t="e">
        <f t="shared" si="955"/>
        <v>#VALUE!</v>
      </c>
      <c r="N1617" s="108">
        <v>0.75</v>
      </c>
      <c r="O1617" s="116" t="e">
        <f t="shared" si="956"/>
        <v>#VALUE!</v>
      </c>
      <c r="P1617" s="116" t="e">
        <f t="shared" si="957"/>
        <v>#VALUE!</v>
      </c>
      <c r="Q1617" s="116" t="e">
        <f t="shared" si="958"/>
        <v>#VALUE!</v>
      </c>
      <c r="R1617" s="116" t="e">
        <f t="shared" si="959"/>
        <v>#VALUE!</v>
      </c>
      <c r="S1617" s="108">
        <v>0.75</v>
      </c>
      <c r="T1617" s="116" t="e">
        <f t="shared" si="960"/>
        <v>#VALUE!</v>
      </c>
      <c r="U1617" s="116" t="e">
        <f t="shared" si="961"/>
        <v>#VALUE!</v>
      </c>
      <c r="V1617" s="116" t="e">
        <f t="shared" si="962"/>
        <v>#VALUE!</v>
      </c>
      <c r="W1617" s="116" t="e">
        <f t="shared" si="963"/>
        <v>#VALUE!</v>
      </c>
      <c r="X1617" s="3" t="str">
        <f>INDEX(DistFuncAllocOptions,ROW(A1617)-ROW($A$92)+1,[4]Inputs!$S$11)</f>
        <v>PLNT</v>
      </c>
      <c r="Y1617" s="116" t="e">
        <f t="shared" si="964"/>
        <v>#VALUE!</v>
      </c>
      <c r="Z1617" s="116" t="e">
        <f t="shared" si="964"/>
        <v>#VALUE!</v>
      </c>
      <c r="AA1617" s="116" t="e">
        <f t="shared" si="964"/>
        <v>#VALUE!</v>
      </c>
      <c r="AB1617" s="116" t="e">
        <f t="shared" si="964"/>
        <v>#VALUE!</v>
      </c>
      <c r="AC1617" s="116" t="e">
        <f t="shared" si="964"/>
        <v>#VALUE!</v>
      </c>
      <c r="AD1617" s="117" t="e">
        <f t="shared" si="965"/>
        <v>#VALUE!</v>
      </c>
      <c r="AE1617" s="117" t="e">
        <f t="shared" si="966"/>
        <v>#VALUE!</v>
      </c>
      <c r="AF1617" s="117" t="e">
        <f t="shared" si="967"/>
        <v>#VALUE!</v>
      </c>
      <c r="AG1617" s="117" t="e">
        <f t="shared" si="968"/>
        <v>#VALUE!</v>
      </c>
      <c r="AH1617" s="116"/>
      <c r="AI1617">
        <f t="shared" si="905"/>
        <v>398</v>
      </c>
      <c r="AJ1617" t="str">
        <f t="shared" si="887"/>
        <v>SG</v>
      </c>
      <c r="AK1617" t="str">
        <f>IF(ISERROR(MATCH(AI1617&amp;"."&amp;AJ1617,AK$91:AK1616,0)),AI1617&amp;"."&amp;AJ1617,AI1617&amp;"."&amp;AJ1617&amp;COUNTIFS(AI$91:AI1616,AI1617,AJ$91:AJ1616,AJ1617))</f>
        <v>398.SG1</v>
      </c>
    </row>
    <row r="1618" spans="1:37" ht="15" hidden="1">
      <c r="A1618" s="120">
        <f>ROW()</f>
        <v>1618</v>
      </c>
      <c r="B1618" s="120"/>
      <c r="C1618" s="1"/>
      <c r="E1618" s="121" t="s">
        <v>155</v>
      </c>
      <c r="F1618" s="138" t="str">
        <f>INDEX(FuncAllocOptions,ROW(A1618)-ROW($A$92)+1,[4]Inputs!$S$11)</f>
        <v>CUST</v>
      </c>
      <c r="G1618" s="117" t="e">
        <f t="shared" si="954"/>
        <v>#VALUE!</v>
      </c>
      <c r="H1618" s="116" t="e">
        <f t="shared" si="955"/>
        <v>#VALUE!</v>
      </c>
      <c r="I1618" s="116" t="e">
        <f t="shared" si="955"/>
        <v>#VALUE!</v>
      </c>
      <c r="J1618" s="116" t="e">
        <f t="shared" si="955"/>
        <v>#VALUE!</v>
      </c>
      <c r="K1618" s="116" t="e">
        <f t="shared" si="955"/>
        <v>#VALUE!</v>
      </c>
      <c r="L1618" s="116" t="e">
        <f t="shared" si="955"/>
        <v>#VALUE!</v>
      </c>
      <c r="N1618" s="108">
        <v>0.75</v>
      </c>
      <c r="O1618" s="116" t="e">
        <f t="shared" si="956"/>
        <v>#VALUE!</v>
      </c>
      <c r="P1618" s="116" t="e">
        <f t="shared" si="957"/>
        <v>#VALUE!</v>
      </c>
      <c r="Q1618" s="116" t="e">
        <f t="shared" si="958"/>
        <v>#VALUE!</v>
      </c>
      <c r="R1618" s="116" t="e">
        <f t="shared" si="959"/>
        <v>#VALUE!</v>
      </c>
      <c r="S1618" s="108">
        <v>0.75</v>
      </c>
      <c r="T1618" s="116" t="e">
        <f t="shared" si="960"/>
        <v>#VALUE!</v>
      </c>
      <c r="U1618" s="116" t="e">
        <f t="shared" si="961"/>
        <v>#VALUE!</v>
      </c>
      <c r="V1618" s="116" t="e">
        <f t="shared" si="962"/>
        <v>#VALUE!</v>
      </c>
      <c r="W1618" s="116" t="e">
        <f t="shared" si="963"/>
        <v>#VALUE!</v>
      </c>
      <c r="X1618" s="3" t="str">
        <f>INDEX(DistFuncAllocOptions,ROW(A1618)-ROW($A$92)+1,[4]Inputs!$S$11)</f>
        <v>CUST</v>
      </c>
      <c r="Y1618" s="116" t="e">
        <f t="shared" si="964"/>
        <v>#VALUE!</v>
      </c>
      <c r="Z1618" s="116" t="e">
        <f t="shared" si="964"/>
        <v>#VALUE!</v>
      </c>
      <c r="AA1618" s="116" t="e">
        <f t="shared" si="964"/>
        <v>#VALUE!</v>
      </c>
      <c r="AB1618" s="116" t="e">
        <f t="shared" si="964"/>
        <v>#VALUE!</v>
      </c>
      <c r="AC1618" s="116" t="e">
        <f t="shared" si="964"/>
        <v>#VALUE!</v>
      </c>
      <c r="AD1618" s="117" t="e">
        <f t="shared" si="965"/>
        <v>#VALUE!</v>
      </c>
      <c r="AE1618" s="117" t="e">
        <f t="shared" si="966"/>
        <v>#VALUE!</v>
      </c>
      <c r="AF1618" s="117" t="e">
        <f t="shared" si="967"/>
        <v>#VALUE!</v>
      </c>
      <c r="AG1618" s="117" t="e">
        <f t="shared" si="968"/>
        <v>#VALUE!</v>
      </c>
      <c r="AH1618" s="116"/>
      <c r="AI1618">
        <f t="shared" si="905"/>
        <v>398</v>
      </c>
      <c r="AJ1618" t="str">
        <f t="shared" si="887"/>
        <v>CN</v>
      </c>
      <c r="AK1618" t="str">
        <f>IF(ISERROR(MATCH(AI1618&amp;"."&amp;AJ1618,AK$91:AK1617,0)),AI1618&amp;"."&amp;AJ1618,AI1618&amp;"."&amp;AJ1618&amp;COUNTIFS(AI$91:AI1617,AI1618,AJ$91:AJ1617,AJ1618))</f>
        <v>398.CN</v>
      </c>
    </row>
    <row r="1619" spans="1:37" ht="15" hidden="1">
      <c r="A1619" s="120">
        <f>ROW()</f>
        <v>1619</v>
      </c>
      <c r="B1619" s="120"/>
      <c r="C1619" s="1"/>
      <c r="E1619" s="121" t="s">
        <v>136</v>
      </c>
      <c r="F1619" s="138" t="str">
        <f>INDEX(FuncAllocOptions,ROW(A1619)-ROW($A$92)+1,[4]Inputs!$S$11)</f>
        <v>PTD</v>
      </c>
      <c r="G1619" s="117" t="e">
        <f t="shared" si="954"/>
        <v>#VALUE!</v>
      </c>
      <c r="H1619" s="116" t="e">
        <f t="shared" si="955"/>
        <v>#VALUE!</v>
      </c>
      <c r="I1619" s="116" t="e">
        <f t="shared" si="955"/>
        <v>#VALUE!</v>
      </c>
      <c r="J1619" s="116" t="e">
        <f t="shared" si="955"/>
        <v>#VALUE!</v>
      </c>
      <c r="K1619" s="116" t="e">
        <f t="shared" si="955"/>
        <v>#VALUE!</v>
      </c>
      <c r="L1619" s="116" t="e">
        <f t="shared" si="955"/>
        <v>#VALUE!</v>
      </c>
      <c r="N1619" s="108">
        <v>0.75</v>
      </c>
      <c r="O1619" s="116" t="e">
        <f t="shared" si="956"/>
        <v>#VALUE!</v>
      </c>
      <c r="P1619" s="116" t="e">
        <f t="shared" si="957"/>
        <v>#VALUE!</v>
      </c>
      <c r="Q1619" s="116" t="e">
        <f t="shared" si="958"/>
        <v>#VALUE!</v>
      </c>
      <c r="R1619" s="116" t="e">
        <f t="shared" si="959"/>
        <v>#VALUE!</v>
      </c>
      <c r="S1619" s="108">
        <v>0.75</v>
      </c>
      <c r="T1619" s="116" t="e">
        <f t="shared" si="960"/>
        <v>#VALUE!</v>
      </c>
      <c r="U1619" s="116" t="e">
        <f t="shared" si="961"/>
        <v>#VALUE!</v>
      </c>
      <c r="V1619" s="116" t="e">
        <f t="shared" si="962"/>
        <v>#VALUE!</v>
      </c>
      <c r="W1619" s="116" t="e">
        <f t="shared" si="963"/>
        <v>#VALUE!</v>
      </c>
      <c r="X1619" s="3" t="str">
        <f>INDEX(DistFuncAllocOptions,ROW(A1619)-ROW($A$92)+1,[4]Inputs!$S$11)</f>
        <v>PLNT</v>
      </c>
      <c r="Y1619" s="116" t="e">
        <f t="shared" si="964"/>
        <v>#VALUE!</v>
      </c>
      <c r="Z1619" s="116" t="e">
        <f t="shared" si="964"/>
        <v>#VALUE!</v>
      </c>
      <c r="AA1619" s="116" t="e">
        <f t="shared" si="964"/>
        <v>#VALUE!</v>
      </c>
      <c r="AB1619" s="116" t="e">
        <f t="shared" si="964"/>
        <v>#VALUE!</v>
      </c>
      <c r="AC1619" s="116" t="e">
        <f t="shared" si="964"/>
        <v>#VALUE!</v>
      </c>
      <c r="AD1619" s="117" t="e">
        <f t="shared" si="965"/>
        <v>#VALUE!</v>
      </c>
      <c r="AE1619" s="117" t="e">
        <f t="shared" si="966"/>
        <v>#VALUE!</v>
      </c>
      <c r="AF1619" s="117" t="e">
        <f t="shared" si="967"/>
        <v>#VALUE!</v>
      </c>
      <c r="AG1619" s="117" t="e">
        <f t="shared" si="968"/>
        <v>#VALUE!</v>
      </c>
      <c r="AH1619" s="116"/>
      <c r="AI1619">
        <f t="shared" si="905"/>
        <v>398</v>
      </c>
      <c r="AJ1619" t="str">
        <f t="shared" si="887"/>
        <v>SO</v>
      </c>
      <c r="AK1619" t="str">
        <f>IF(ISERROR(MATCH(AI1619&amp;"."&amp;AJ1619,AK$91:AK1618,0)),AI1619&amp;"."&amp;AJ1619,AI1619&amp;"."&amp;AJ1619&amp;COUNTIFS(AI$91:AI1618,AI1619,AJ$91:AJ1618,AJ1619))</f>
        <v>398.SO</v>
      </c>
    </row>
    <row r="1620" spans="1:37" ht="15" hidden="1">
      <c r="A1620" s="120">
        <f>ROW()</f>
        <v>1620</v>
      </c>
      <c r="B1620" s="120"/>
      <c r="C1620" s="1"/>
      <c r="E1620" s="121" t="s">
        <v>16</v>
      </c>
      <c r="F1620" s="138" t="str">
        <f>INDEX(FuncAllocOptions,ROW(A1620)-ROW($A$92)+1,[4]Inputs!$S$11)</f>
        <v>P</v>
      </c>
      <c r="G1620" s="117" t="e">
        <f t="shared" si="954"/>
        <v>#VALUE!</v>
      </c>
      <c r="H1620" s="116" t="e">
        <f t="shared" si="955"/>
        <v>#VALUE!</v>
      </c>
      <c r="I1620" s="116" t="e">
        <f t="shared" si="955"/>
        <v>#VALUE!</v>
      </c>
      <c r="J1620" s="116" t="e">
        <f t="shared" si="955"/>
        <v>#VALUE!</v>
      </c>
      <c r="K1620" s="116" t="e">
        <f t="shared" si="955"/>
        <v>#VALUE!</v>
      </c>
      <c r="L1620" s="116" t="e">
        <f t="shared" si="955"/>
        <v>#VALUE!</v>
      </c>
      <c r="N1620" s="108">
        <v>0</v>
      </c>
      <c r="O1620" s="116" t="e">
        <f t="shared" si="956"/>
        <v>#VALUE!</v>
      </c>
      <c r="P1620" s="116" t="e">
        <f t="shared" si="957"/>
        <v>#VALUE!</v>
      </c>
      <c r="Q1620" s="116" t="e">
        <f t="shared" si="958"/>
        <v>#VALUE!</v>
      </c>
      <c r="R1620" s="116" t="e">
        <f t="shared" si="959"/>
        <v>#VALUE!</v>
      </c>
      <c r="S1620" s="108">
        <v>0</v>
      </c>
      <c r="T1620" s="116" t="e">
        <f t="shared" si="960"/>
        <v>#VALUE!</v>
      </c>
      <c r="U1620" s="116" t="e">
        <f t="shared" si="961"/>
        <v>#VALUE!</v>
      </c>
      <c r="V1620" s="116" t="e">
        <f t="shared" si="962"/>
        <v>#VALUE!</v>
      </c>
      <c r="W1620" s="116" t="e">
        <f t="shared" si="963"/>
        <v>#VALUE!</v>
      </c>
      <c r="X1620" s="3" t="str">
        <f>INDEX(DistFuncAllocOptions,ROW(A1620)-ROW($A$92)+1,[4]Inputs!$S$11)</f>
        <v>PLNT</v>
      </c>
      <c r="Y1620" s="116" t="e">
        <f t="shared" si="964"/>
        <v>#VALUE!</v>
      </c>
      <c r="Z1620" s="116" t="e">
        <f t="shared" si="964"/>
        <v>#VALUE!</v>
      </c>
      <c r="AA1620" s="116" t="e">
        <f t="shared" si="964"/>
        <v>#VALUE!</v>
      </c>
      <c r="AB1620" s="116" t="e">
        <f t="shared" si="964"/>
        <v>#VALUE!</v>
      </c>
      <c r="AC1620" s="116" t="e">
        <f t="shared" si="964"/>
        <v>#VALUE!</v>
      </c>
      <c r="AD1620" s="117" t="e">
        <f t="shared" si="965"/>
        <v>#VALUE!</v>
      </c>
      <c r="AE1620" s="117" t="e">
        <f t="shared" si="966"/>
        <v>#VALUE!</v>
      </c>
      <c r="AF1620" s="117" t="e">
        <f t="shared" si="967"/>
        <v>#VALUE!</v>
      </c>
      <c r="AG1620" s="117" t="e">
        <f t="shared" si="968"/>
        <v>#VALUE!</v>
      </c>
      <c r="AH1620" s="116"/>
      <c r="AI1620">
        <f t="shared" si="905"/>
        <v>398</v>
      </c>
      <c r="AJ1620" t="str">
        <f t="shared" si="887"/>
        <v>SE</v>
      </c>
      <c r="AK1620" t="str">
        <f>IF(ISERROR(MATCH(AI1620&amp;"."&amp;AJ1620,AK$91:AK1619,0)),AI1620&amp;"."&amp;AJ1620,AI1620&amp;"."&amp;AJ1620&amp;COUNTIFS(AI$91:AI1619,AI1620,AJ$91:AJ1619,AJ1620))</f>
        <v>398.SE</v>
      </c>
    </row>
    <row r="1621" spans="1:37" ht="15" hidden="1">
      <c r="A1621" s="120">
        <f>ROW()</f>
        <v>1621</v>
      </c>
      <c r="B1621" s="120"/>
      <c r="C1621" s="1"/>
      <c r="E1621" s="121" t="s">
        <v>15</v>
      </c>
      <c r="F1621" s="138" t="str">
        <f>INDEX(FuncAllocOptions,ROW(A1621)-ROW($A$92)+1,[4]Inputs!$S$11)</f>
        <v>G-SG</v>
      </c>
      <c r="G1621" s="117" t="e">
        <f t="shared" si="954"/>
        <v>#VALUE!</v>
      </c>
      <c r="H1621" s="116" t="e">
        <f t="shared" si="955"/>
        <v>#VALUE!</v>
      </c>
      <c r="I1621" s="116" t="e">
        <f t="shared" si="955"/>
        <v>#VALUE!</v>
      </c>
      <c r="J1621" s="116" t="e">
        <f t="shared" si="955"/>
        <v>#VALUE!</v>
      </c>
      <c r="K1621" s="116" t="e">
        <f t="shared" si="955"/>
        <v>#VALUE!</v>
      </c>
      <c r="L1621" s="116" t="e">
        <f t="shared" si="955"/>
        <v>#VALUE!</v>
      </c>
      <c r="N1621" s="108">
        <v>0.75</v>
      </c>
      <c r="O1621" s="116" t="e">
        <f t="shared" si="956"/>
        <v>#VALUE!</v>
      </c>
      <c r="P1621" s="116" t="e">
        <f t="shared" si="957"/>
        <v>#VALUE!</v>
      </c>
      <c r="Q1621" s="116" t="e">
        <f t="shared" si="958"/>
        <v>#VALUE!</v>
      </c>
      <c r="R1621" s="116" t="e">
        <f t="shared" si="959"/>
        <v>#VALUE!</v>
      </c>
      <c r="S1621" s="108">
        <v>0.75</v>
      </c>
      <c r="T1621" s="116" t="e">
        <f t="shared" si="960"/>
        <v>#VALUE!</v>
      </c>
      <c r="U1621" s="116" t="e">
        <f t="shared" si="961"/>
        <v>#VALUE!</v>
      </c>
      <c r="V1621" s="116" t="e">
        <f t="shared" si="962"/>
        <v>#VALUE!</v>
      </c>
      <c r="W1621" s="116" t="e">
        <f t="shared" si="963"/>
        <v>#VALUE!</v>
      </c>
      <c r="X1621" s="3" t="str">
        <f>INDEX(DistFuncAllocOptions,ROW(A1621)-ROW($A$92)+1,[4]Inputs!$S$11)</f>
        <v>PLNT</v>
      </c>
      <c r="Y1621" s="116" t="e">
        <f t="shared" si="964"/>
        <v>#VALUE!</v>
      </c>
      <c r="Z1621" s="116" t="e">
        <f t="shared" si="964"/>
        <v>#VALUE!</v>
      </c>
      <c r="AA1621" s="116" t="e">
        <f t="shared" si="964"/>
        <v>#VALUE!</v>
      </c>
      <c r="AB1621" s="116" t="e">
        <f t="shared" si="964"/>
        <v>#VALUE!</v>
      </c>
      <c r="AC1621" s="116" t="e">
        <f t="shared" si="964"/>
        <v>#VALUE!</v>
      </c>
      <c r="AD1621" s="117" t="e">
        <f t="shared" si="965"/>
        <v>#VALUE!</v>
      </c>
      <c r="AE1621" s="117" t="e">
        <f t="shared" si="966"/>
        <v>#VALUE!</v>
      </c>
      <c r="AF1621" s="117" t="e">
        <f t="shared" si="967"/>
        <v>#VALUE!</v>
      </c>
      <c r="AG1621" s="117" t="e">
        <f t="shared" si="968"/>
        <v>#VALUE!</v>
      </c>
      <c r="AH1621" s="116"/>
      <c r="AI1621">
        <f t="shared" si="905"/>
        <v>398</v>
      </c>
      <c r="AJ1621" t="str">
        <f t="shared" si="887"/>
        <v>SG</v>
      </c>
      <c r="AK1621" t="str">
        <f>IF(ISERROR(MATCH(AI1621&amp;"."&amp;AJ1621,AK$91:AK1620,0)),AI1621&amp;"."&amp;AJ1621,AI1621&amp;"."&amp;AJ1621&amp;COUNTIFS(AI$91:AI1620,AI1621,AJ$91:AJ1620,AJ1621))</f>
        <v>398.SG2</v>
      </c>
    </row>
    <row r="1622" spans="1:37" ht="15" hidden="1">
      <c r="A1622" s="120">
        <f>ROW()</f>
        <v>1622</v>
      </c>
      <c r="B1622" s="120"/>
      <c r="C1622" s="1"/>
      <c r="E1622" s="121" t="s">
        <v>15</v>
      </c>
      <c r="F1622" s="138" t="str">
        <f>INDEX(FuncAllocOptions,ROW(A1622)-ROW($A$92)+1,[4]Inputs!$S$11)</f>
        <v>G-SG</v>
      </c>
      <c r="G1622" s="133" t="e">
        <f t="shared" si="954"/>
        <v>#VALUE!</v>
      </c>
      <c r="H1622" s="139" t="e">
        <f t="shared" si="955"/>
        <v>#VALUE!</v>
      </c>
      <c r="I1622" s="139" t="e">
        <f t="shared" si="955"/>
        <v>#VALUE!</v>
      </c>
      <c r="J1622" s="139" t="e">
        <f t="shared" si="955"/>
        <v>#VALUE!</v>
      </c>
      <c r="K1622" s="139" t="e">
        <f t="shared" si="955"/>
        <v>#VALUE!</v>
      </c>
      <c r="L1622" s="139" t="e">
        <f t="shared" si="955"/>
        <v>#VALUE!</v>
      </c>
      <c r="N1622" s="108">
        <v>0.75</v>
      </c>
      <c r="O1622" s="116" t="e">
        <f t="shared" si="956"/>
        <v>#VALUE!</v>
      </c>
      <c r="P1622" s="116" t="e">
        <f t="shared" si="957"/>
        <v>#VALUE!</v>
      </c>
      <c r="Q1622" s="116" t="e">
        <f t="shared" si="958"/>
        <v>#VALUE!</v>
      </c>
      <c r="R1622" s="116" t="e">
        <f t="shared" si="959"/>
        <v>#VALUE!</v>
      </c>
      <c r="S1622" s="108">
        <v>0.75</v>
      </c>
      <c r="T1622" s="116" t="e">
        <f t="shared" si="960"/>
        <v>#VALUE!</v>
      </c>
      <c r="U1622" s="116" t="e">
        <f t="shared" si="961"/>
        <v>#VALUE!</v>
      </c>
      <c r="V1622" s="116" t="e">
        <f t="shared" si="962"/>
        <v>#VALUE!</v>
      </c>
      <c r="W1622" s="116" t="e">
        <f t="shared" si="963"/>
        <v>#VALUE!</v>
      </c>
      <c r="X1622" s="3" t="str">
        <f>INDEX(DistFuncAllocOptions,ROW(A1622)-ROW($A$92)+1,[4]Inputs!$S$11)</f>
        <v>PLNT</v>
      </c>
      <c r="Y1622" s="116" t="e">
        <f t="shared" si="964"/>
        <v>#VALUE!</v>
      </c>
      <c r="Z1622" s="116" t="e">
        <f t="shared" si="964"/>
        <v>#VALUE!</v>
      </c>
      <c r="AA1622" s="116" t="e">
        <f t="shared" si="964"/>
        <v>#VALUE!</v>
      </c>
      <c r="AB1622" s="116" t="e">
        <f t="shared" si="964"/>
        <v>#VALUE!</v>
      </c>
      <c r="AC1622" s="116" t="e">
        <f t="shared" si="964"/>
        <v>#VALUE!</v>
      </c>
      <c r="AD1622" s="117" t="e">
        <f t="shared" si="965"/>
        <v>#VALUE!</v>
      </c>
      <c r="AE1622" s="117" t="e">
        <f t="shared" si="966"/>
        <v>#VALUE!</v>
      </c>
      <c r="AF1622" s="117" t="e">
        <f t="shared" si="967"/>
        <v>#VALUE!</v>
      </c>
      <c r="AG1622" s="117" t="e">
        <f t="shared" si="968"/>
        <v>#VALUE!</v>
      </c>
      <c r="AH1622" s="116"/>
      <c r="AI1622">
        <f t="shared" si="905"/>
        <v>398</v>
      </c>
      <c r="AJ1622" t="str">
        <f t="shared" si="887"/>
        <v>SG</v>
      </c>
      <c r="AK1622" t="str">
        <f>IF(ISERROR(MATCH(AI1622&amp;"."&amp;AJ1622,AK$91:AK1621,0)),AI1622&amp;"."&amp;AJ1622,AI1622&amp;"."&amp;AJ1622&amp;COUNTIFS(AI$91:AI1621,AI1622,AJ$91:AJ1621,AJ1622))</f>
        <v>398.SG3</v>
      </c>
    </row>
    <row r="1623" spans="1:37" ht="15" hidden="1">
      <c r="A1623" s="120">
        <f>ROW()</f>
        <v>1623</v>
      </c>
      <c r="B1623" s="120"/>
      <c r="C1623" s="1"/>
      <c r="E1623" s="121"/>
      <c r="F1623" s="138"/>
      <c r="G1623" s="117" t="e">
        <f t="shared" ref="G1623:L1623" si="969">SUM(G1615:G1622)</f>
        <v>#VALUE!</v>
      </c>
      <c r="H1623" s="116" t="e">
        <f t="shared" si="969"/>
        <v>#VALUE!</v>
      </c>
      <c r="I1623" s="116" t="e">
        <f t="shared" si="969"/>
        <v>#VALUE!</v>
      </c>
      <c r="J1623" s="116" t="e">
        <f t="shared" si="969"/>
        <v>#VALUE!</v>
      </c>
      <c r="K1623" s="116" t="e">
        <f t="shared" si="969"/>
        <v>#VALUE!</v>
      </c>
      <c r="L1623" s="116" t="e">
        <f t="shared" si="969"/>
        <v>#VALUE!</v>
      </c>
      <c r="O1623" s="116" t="e">
        <f>SUM(O1615:O1622)</f>
        <v>#VALUE!</v>
      </c>
      <c r="P1623" s="116" t="e">
        <f>SUM(P1615:P1622)</f>
        <v>#VALUE!</v>
      </c>
      <c r="Q1623" s="116" t="e">
        <f>SUM(Q1615:Q1622)</f>
        <v>#VALUE!</v>
      </c>
      <c r="R1623" s="116" t="e">
        <f>SUM(R1615:R1622)</f>
        <v>#VALUE!</v>
      </c>
      <c r="T1623" s="116" t="e">
        <f>SUM(T1615:T1622)</f>
        <v>#VALUE!</v>
      </c>
      <c r="U1623" s="116" t="e">
        <f>SUM(U1615:U1622)</f>
        <v>#VALUE!</v>
      </c>
      <c r="V1623" s="116" t="e">
        <f>SUM(V1615:V1622)</f>
        <v>#VALUE!</v>
      </c>
      <c r="W1623" s="116" t="e">
        <f>SUM(W1615:W1622)</f>
        <v>#VALUE!</v>
      </c>
      <c r="X1623" s="3"/>
      <c r="Y1623" s="116" t="e">
        <f>SUM(Y1615:Y1622)</f>
        <v>#VALUE!</v>
      </c>
      <c r="Z1623" s="116" t="e">
        <f>SUM(Z1615:Z1622)</f>
        <v>#VALUE!</v>
      </c>
      <c r="AA1623" s="116" t="e">
        <f>SUM(AA1615:AA1622)</f>
        <v>#VALUE!</v>
      </c>
      <c r="AB1623" s="116" t="e">
        <f>SUM(AB1615:AB1622)</f>
        <v>#VALUE!</v>
      </c>
      <c r="AC1623" s="116" t="e">
        <f>SUM(AC1615:AC1622)</f>
        <v>#VALUE!</v>
      </c>
      <c r="AD1623" s="117" t="e">
        <f t="shared" si="965"/>
        <v>#VALUE!</v>
      </c>
      <c r="AE1623" s="117" t="e">
        <f t="shared" si="966"/>
        <v>#VALUE!</v>
      </c>
      <c r="AF1623" s="117" t="e">
        <f t="shared" si="967"/>
        <v>#VALUE!</v>
      </c>
      <c r="AG1623" s="117" t="e">
        <f t="shared" si="968"/>
        <v>#VALUE!</v>
      </c>
      <c r="AH1623" s="116"/>
      <c r="AI1623">
        <f t="shared" si="905"/>
        <v>398</v>
      </c>
      <c r="AJ1623" t="str">
        <f t="shared" si="887"/>
        <v>NA</v>
      </c>
      <c r="AK1623" t="str">
        <f>IF(ISERROR(MATCH(AI1623&amp;"."&amp;AJ1623,AK$91:AK1622,0)),AI1623&amp;"."&amp;AJ1623,AI1623&amp;"."&amp;AJ1623&amp;COUNTIFS(AI$91:AI1622,AI1623,AJ$91:AJ1622,AJ1623))</f>
        <v>398.NA1</v>
      </c>
    </row>
    <row r="1624" spans="1:37" ht="15" hidden="1">
      <c r="A1624" s="120">
        <f>ROW()</f>
        <v>1624</v>
      </c>
      <c r="B1624" s="120"/>
      <c r="C1624" s="1"/>
      <c r="E1624" s="121"/>
      <c r="F1624" s="138"/>
      <c r="G1624" s="119"/>
      <c r="X1624" s="3"/>
      <c r="AD1624" s="119"/>
      <c r="AE1624" s="119"/>
      <c r="AF1624" s="119"/>
      <c r="AG1624" s="119"/>
      <c r="AI1624">
        <f t="shared" si="905"/>
        <v>398</v>
      </c>
      <c r="AJ1624" t="str">
        <f t="shared" si="887"/>
        <v>NA</v>
      </c>
      <c r="AK1624" t="str">
        <f>IF(ISERROR(MATCH(AI1624&amp;"."&amp;AJ1624,AK$91:AK1623,0)),AI1624&amp;"."&amp;AJ1624,AI1624&amp;"."&amp;AJ1624&amp;COUNTIFS(AI$91:AI1623,AI1624,AJ$91:AJ1623,AJ1624))</f>
        <v>398.NA2</v>
      </c>
    </row>
    <row r="1625" spans="1:37" ht="15" hidden="1">
      <c r="A1625" s="120">
        <f>ROW()</f>
        <v>1625</v>
      </c>
      <c r="B1625" s="120"/>
      <c r="C1625" s="1">
        <v>399</v>
      </c>
      <c r="D1625" s="2" t="s">
        <v>567</v>
      </c>
      <c r="E1625" s="121"/>
      <c r="F1625" s="138"/>
      <c r="G1625" s="119"/>
      <c r="X1625" s="3"/>
      <c r="AD1625" s="119"/>
      <c r="AE1625" s="119"/>
      <c r="AF1625" s="119"/>
      <c r="AG1625" s="119"/>
      <c r="AI1625">
        <f t="shared" si="905"/>
        <v>399</v>
      </c>
      <c r="AJ1625" t="str">
        <f t="shared" si="887"/>
        <v>NA</v>
      </c>
      <c r="AK1625" t="str">
        <f>IF(ISERROR(MATCH(AI1625&amp;"."&amp;AJ1625,AK$91:AK1624,0)),AI1625&amp;"."&amp;AJ1625,AI1625&amp;"."&amp;AJ1625&amp;COUNTIFS(AI$91:AI1624,AI1625,AJ$91:AJ1624,AJ1625))</f>
        <v>399.NA</v>
      </c>
    </row>
    <row r="1626" spans="1:37" ht="15" hidden="1">
      <c r="A1626" s="120">
        <f>ROW()</f>
        <v>1626</v>
      </c>
      <c r="B1626" s="120"/>
      <c r="C1626" s="1"/>
      <c r="E1626" s="121" t="s">
        <v>16</v>
      </c>
      <c r="F1626" s="138" t="str">
        <f>INDEX(FuncAllocOptions,ROW(A1626)-ROW($A$92)+1,[4]Inputs!$S$11)</f>
        <v>P</v>
      </c>
      <c r="G1626" s="117" t="e">
        <f>SUMIF(FERCJAMFactor,AK1626,JAMValue)</f>
        <v>#VALUE!</v>
      </c>
      <c r="H1626" s="116" t="e">
        <f t="shared" ref="H1626:L1627" si="970">INDEX(FuncFactorTbl,MATCH($F1626,FuncFactors,0),MATCH(H$8,Functions,0))*$G1626</f>
        <v>#VALUE!</v>
      </c>
      <c r="I1626" s="116" t="e">
        <f t="shared" si="970"/>
        <v>#VALUE!</v>
      </c>
      <c r="J1626" s="116" t="e">
        <f t="shared" si="970"/>
        <v>#VALUE!</v>
      </c>
      <c r="K1626" s="116" t="e">
        <f t="shared" si="970"/>
        <v>#VALUE!</v>
      </c>
      <c r="L1626" s="116" t="e">
        <f t="shared" si="970"/>
        <v>#VALUE!</v>
      </c>
      <c r="N1626" s="108">
        <v>0</v>
      </c>
      <c r="O1626" s="116" t="e">
        <f>$H1626*$N1626*$M1626</f>
        <v>#VALUE!</v>
      </c>
      <c r="P1626" s="116" t="e">
        <f>$H1626*(1-$N1626)*$M1626</f>
        <v>#VALUE!</v>
      </c>
      <c r="Q1626" s="116" t="e">
        <f>$H1626*$N1626*(1-$M1626)</f>
        <v>#VALUE!</v>
      </c>
      <c r="R1626" s="116" t="e">
        <f>$H1626*(1-$N1626)*(1-$M1626)</f>
        <v>#VALUE!</v>
      </c>
      <c r="S1626" s="108">
        <v>0</v>
      </c>
      <c r="T1626" s="116" t="e">
        <f>$I1626*$S1626*$M1626</f>
        <v>#VALUE!</v>
      </c>
      <c r="U1626" s="116" t="e">
        <f>$I1626*(1-$S1626)*$M1626</f>
        <v>#VALUE!</v>
      </c>
      <c r="V1626" s="116" t="e">
        <f>$I1626*$S1626*(1-$M1626)</f>
        <v>#VALUE!</v>
      </c>
      <c r="W1626" s="116" t="e">
        <f>$I1626*(1-$S1626)*(1-$M1626)</f>
        <v>#VALUE!</v>
      </c>
      <c r="X1626" s="3" t="str">
        <f>INDEX(DistFuncAllocOptions,ROW(A1626)-ROW($A$92)+1,[4]Inputs!$S$11)</f>
        <v>ZERO</v>
      </c>
      <c r="Y1626" s="116" t="e">
        <f t="shared" ref="Y1626:AC1627" si="971">INDEX(DistFuncFactorTbl,MATCH($X1626,DistFuncFactors,0),MATCH(Y$91,DistFunctions,0))*$J1626</f>
        <v>#VALUE!</v>
      </c>
      <c r="Z1626" s="116" t="e">
        <f t="shared" si="971"/>
        <v>#VALUE!</v>
      </c>
      <c r="AA1626" s="116" t="e">
        <f t="shared" si="971"/>
        <v>#VALUE!</v>
      </c>
      <c r="AB1626" s="116" t="e">
        <f t="shared" si="971"/>
        <v>#VALUE!</v>
      </c>
      <c r="AC1626" s="116" t="e">
        <f t="shared" si="971"/>
        <v>#VALUE!</v>
      </c>
      <c r="AD1626" s="117" t="e">
        <f>ROUND(SUM(-G1626,H1626:L1626),0)</f>
        <v>#VALUE!</v>
      </c>
      <c r="AE1626" s="117" t="e">
        <f>ROUND(H1626-O1626-P1626-Q1626-R1626,0)</f>
        <v>#VALUE!</v>
      </c>
      <c r="AF1626" s="117" t="e">
        <f>ROUND(I1626-T1626-U1626-V1626-W1626,0)</f>
        <v>#VALUE!</v>
      </c>
      <c r="AG1626" s="117" t="e">
        <f>ROUND(J1626-Y1626-Z1626-AA1626-AC1626-AB1626,0)</f>
        <v>#VALUE!</v>
      </c>
      <c r="AH1626" s="116"/>
      <c r="AI1626">
        <f t="shared" si="905"/>
        <v>399</v>
      </c>
      <c r="AJ1626" t="str">
        <f t="shared" si="887"/>
        <v>SE</v>
      </c>
      <c r="AK1626" t="str">
        <f>IF(ISERROR(MATCH(AI1626&amp;"."&amp;AJ1626,AK$91:AK1625,0)),AI1626&amp;"."&amp;AJ1626,AI1626&amp;"."&amp;AJ1626&amp;COUNTIFS(AI$91:AI1625,AI1626,AJ$91:AJ1625,AJ1626))</f>
        <v>399.SE</v>
      </c>
    </row>
    <row r="1627" spans="1:37" ht="15" hidden="1">
      <c r="A1627" s="120">
        <f>ROW()</f>
        <v>1627</v>
      </c>
      <c r="B1627" s="120"/>
      <c r="C1627" s="1"/>
      <c r="E1627" s="121" t="s">
        <v>16</v>
      </c>
      <c r="F1627" s="138" t="str">
        <f>INDEX(FuncAllocOptions,ROW(A1627)-ROW($A$92)+1,[4]Inputs!$S$11)</f>
        <v>P</v>
      </c>
      <c r="G1627" s="133" t="e">
        <f>SUMIF(FERCJAMFactor,AK1627,JAMValue)</f>
        <v>#VALUE!</v>
      </c>
      <c r="H1627" s="139" t="e">
        <f t="shared" si="970"/>
        <v>#VALUE!</v>
      </c>
      <c r="I1627" s="139" t="e">
        <f t="shared" si="970"/>
        <v>#VALUE!</v>
      </c>
      <c r="J1627" s="139" t="e">
        <f t="shared" si="970"/>
        <v>#VALUE!</v>
      </c>
      <c r="K1627" s="139" t="e">
        <f t="shared" si="970"/>
        <v>#VALUE!</v>
      </c>
      <c r="L1627" s="139" t="e">
        <f t="shared" si="970"/>
        <v>#VALUE!</v>
      </c>
      <c r="N1627" s="108">
        <v>0</v>
      </c>
      <c r="O1627" s="116" t="e">
        <f>$H1627*$N1627*$M1627</f>
        <v>#VALUE!</v>
      </c>
      <c r="P1627" s="116" t="e">
        <f>$H1627*(1-$N1627)*$M1627</f>
        <v>#VALUE!</v>
      </c>
      <c r="Q1627" s="116" t="e">
        <f>$H1627*$N1627*(1-$M1627)</f>
        <v>#VALUE!</v>
      </c>
      <c r="R1627" s="116" t="e">
        <f>$H1627*(1-$N1627)*(1-$M1627)</f>
        <v>#VALUE!</v>
      </c>
      <c r="S1627" s="108">
        <v>0</v>
      </c>
      <c r="T1627" s="116" t="e">
        <f>$I1627*$S1627*$M1627</f>
        <v>#VALUE!</v>
      </c>
      <c r="U1627" s="116" t="e">
        <f>$I1627*(1-$S1627)*$M1627</f>
        <v>#VALUE!</v>
      </c>
      <c r="V1627" s="116" t="e">
        <f>$I1627*$S1627*(1-$M1627)</f>
        <v>#VALUE!</v>
      </c>
      <c r="W1627" s="116" t="e">
        <f>$I1627*(1-$S1627)*(1-$M1627)</f>
        <v>#VALUE!</v>
      </c>
      <c r="X1627" s="3" t="str">
        <f>INDEX(DistFuncAllocOptions,ROW(A1627)-ROW($A$92)+1,[4]Inputs!$S$11)</f>
        <v>ZERO</v>
      </c>
      <c r="Y1627" s="116" t="e">
        <f t="shared" si="971"/>
        <v>#VALUE!</v>
      </c>
      <c r="Z1627" s="116" t="e">
        <f t="shared" si="971"/>
        <v>#VALUE!</v>
      </c>
      <c r="AA1627" s="116" t="e">
        <f t="shared" si="971"/>
        <v>#VALUE!</v>
      </c>
      <c r="AB1627" s="116" t="e">
        <f t="shared" si="971"/>
        <v>#VALUE!</v>
      </c>
      <c r="AC1627" s="116" t="e">
        <f t="shared" si="971"/>
        <v>#VALUE!</v>
      </c>
      <c r="AD1627" s="117" t="e">
        <f>ROUND(SUM(-G1627,H1627:L1627),0)</f>
        <v>#VALUE!</v>
      </c>
      <c r="AE1627" s="117" t="e">
        <f>ROUND(H1627-O1627-P1627-Q1627-R1627,0)</f>
        <v>#VALUE!</v>
      </c>
      <c r="AF1627" s="117" t="e">
        <f>ROUND(I1627-T1627-U1627-V1627-W1627,0)</f>
        <v>#VALUE!</v>
      </c>
      <c r="AG1627" s="117" t="e">
        <f>ROUND(J1627-Y1627-Z1627-AA1627-AC1627-AB1627,0)</f>
        <v>#VALUE!</v>
      </c>
      <c r="AH1627" s="116"/>
      <c r="AI1627">
        <f t="shared" si="905"/>
        <v>399</v>
      </c>
      <c r="AJ1627" t="str">
        <f t="shared" si="887"/>
        <v>SE</v>
      </c>
      <c r="AK1627" t="str">
        <f>IF(ISERROR(MATCH(AI1627&amp;"."&amp;AJ1627,AK$91:AK1626,0)),AI1627&amp;"."&amp;AJ1627,AI1627&amp;"."&amp;AJ1627&amp;COUNTIFS(AI$91:AI1626,AI1627,AJ$91:AJ1626,AJ1627))</f>
        <v>399.SE1</v>
      </c>
    </row>
    <row r="1628" spans="1:37" ht="15" hidden="1">
      <c r="A1628" s="120">
        <f>ROW()</f>
        <v>1628</v>
      </c>
      <c r="B1628" s="120"/>
      <c r="C1628" s="1"/>
      <c r="E1628" s="121"/>
      <c r="F1628" s="138"/>
      <c r="G1628" s="117"/>
      <c r="H1628" s="116"/>
      <c r="I1628" s="116"/>
      <c r="J1628" s="116"/>
      <c r="K1628" s="116"/>
      <c r="L1628" s="116"/>
      <c r="O1628" s="116"/>
      <c r="P1628" s="116"/>
      <c r="Q1628" s="116"/>
      <c r="R1628" s="116"/>
      <c r="T1628" s="116"/>
      <c r="U1628" s="116"/>
      <c r="V1628" s="116"/>
      <c r="W1628" s="116"/>
      <c r="X1628" s="3"/>
      <c r="Y1628" s="116"/>
      <c r="Z1628" s="116"/>
      <c r="AA1628" s="116"/>
      <c r="AB1628" s="116"/>
      <c r="AC1628" s="116"/>
      <c r="AD1628" s="117"/>
      <c r="AE1628" s="117"/>
      <c r="AF1628" s="117"/>
      <c r="AG1628" s="117"/>
      <c r="AH1628" s="116"/>
      <c r="AI1628">
        <f t="shared" si="905"/>
        <v>399</v>
      </c>
      <c r="AJ1628" t="str">
        <f t="shared" si="887"/>
        <v>NA</v>
      </c>
      <c r="AK1628" t="str">
        <f>IF(ISERROR(MATCH(AI1628&amp;"."&amp;AJ1628,AK$91:AK1627,0)),AI1628&amp;"."&amp;AJ1628,AI1628&amp;"."&amp;AJ1628&amp;COUNTIFS(AI$91:AI1627,AI1628,AJ$91:AJ1627,AJ1628))</f>
        <v>399.NA1</v>
      </c>
    </row>
    <row r="1629" spans="1:37" ht="15" hidden="1">
      <c r="A1629" s="120">
        <f>ROW()</f>
        <v>1629</v>
      </c>
      <c r="B1629" s="120"/>
      <c r="C1629" s="1"/>
      <c r="E1629" s="121"/>
      <c r="F1629" s="138"/>
      <c r="G1629" s="117" t="e">
        <f t="shared" ref="G1629:L1629" si="972">SUM(G1626:G1627)</f>
        <v>#VALUE!</v>
      </c>
      <c r="H1629" s="116" t="e">
        <f t="shared" si="972"/>
        <v>#VALUE!</v>
      </c>
      <c r="I1629" s="116" t="e">
        <f t="shared" si="972"/>
        <v>#VALUE!</v>
      </c>
      <c r="J1629" s="116" t="e">
        <f t="shared" si="972"/>
        <v>#VALUE!</v>
      </c>
      <c r="K1629" s="116" t="e">
        <f t="shared" si="972"/>
        <v>#VALUE!</v>
      </c>
      <c r="L1629" s="116" t="e">
        <f t="shared" si="972"/>
        <v>#VALUE!</v>
      </c>
      <c r="O1629" s="116" t="e">
        <f>SUM(O1626:O1627)</f>
        <v>#VALUE!</v>
      </c>
      <c r="P1629" s="116" t="e">
        <f>SUM(P1626:P1627)</f>
        <v>#VALUE!</v>
      </c>
      <c r="Q1629" s="116" t="e">
        <f>SUM(Q1626:Q1627)</f>
        <v>#VALUE!</v>
      </c>
      <c r="R1629" s="116" t="e">
        <f>SUM(R1626:R1627)</f>
        <v>#VALUE!</v>
      </c>
      <c r="T1629" s="116" t="e">
        <f>SUM(T1626:T1627)</f>
        <v>#VALUE!</v>
      </c>
      <c r="U1629" s="116" t="e">
        <f>SUM(U1626:U1627)</f>
        <v>#VALUE!</v>
      </c>
      <c r="V1629" s="116" t="e">
        <f>SUM(V1626:V1627)</f>
        <v>#VALUE!</v>
      </c>
      <c r="W1629" s="116" t="e">
        <f>SUM(W1626:W1627)</f>
        <v>#VALUE!</v>
      </c>
      <c r="X1629" s="3"/>
      <c r="Y1629" s="116" t="e">
        <f>SUM(Y1626:Y1627)</f>
        <v>#VALUE!</v>
      </c>
      <c r="Z1629" s="116" t="e">
        <f>SUM(Z1626:Z1627)</f>
        <v>#VALUE!</v>
      </c>
      <c r="AA1629" s="116" t="e">
        <f>SUM(AA1626:AA1627)</f>
        <v>#VALUE!</v>
      </c>
      <c r="AB1629" s="116" t="e">
        <f>SUM(AB1626:AB1627)</f>
        <v>#VALUE!</v>
      </c>
      <c r="AC1629" s="116" t="e">
        <f>SUM(AC1626:AC1627)</f>
        <v>#VALUE!</v>
      </c>
      <c r="AD1629" s="117" t="e">
        <f>ROUND(SUM(-G1629,H1629:L1629),0)</f>
        <v>#VALUE!</v>
      </c>
      <c r="AE1629" s="117" t="e">
        <f>ROUND(H1629-O1629-P1629-Q1629-R1629,0)</f>
        <v>#VALUE!</v>
      </c>
      <c r="AF1629" s="117" t="e">
        <f>ROUND(I1629-T1629-U1629-V1629-W1629,0)</f>
        <v>#VALUE!</v>
      </c>
      <c r="AG1629" s="117" t="e">
        <f>ROUND(J1629-Y1629-Z1629-AA1629-AC1629-AB1629,0)</f>
        <v>#VALUE!</v>
      </c>
      <c r="AH1629" s="116"/>
      <c r="AI1629">
        <f t="shared" si="905"/>
        <v>399</v>
      </c>
      <c r="AJ1629" t="str">
        <f t="shared" ref="AJ1629:AJ1692" si="973">IF(E1629="","NA",E1629)</f>
        <v>NA</v>
      </c>
      <c r="AK1629" t="str">
        <f>IF(ISERROR(MATCH(AI1629&amp;"."&amp;AJ1629,AK$91:AK1628,0)),AI1629&amp;"."&amp;AJ1629,AI1629&amp;"."&amp;AJ1629&amp;COUNTIFS(AI$91:AI1628,AI1629,AJ$91:AJ1628,AJ1629))</f>
        <v>399.NA2</v>
      </c>
    </row>
    <row r="1630" spans="1:37" ht="15" hidden="1">
      <c r="A1630" s="120">
        <f>ROW()</f>
        <v>1630</v>
      </c>
      <c r="B1630" s="120"/>
      <c r="C1630" s="1"/>
      <c r="E1630" s="121"/>
      <c r="F1630" s="138"/>
      <c r="G1630" s="119"/>
      <c r="X1630" s="3"/>
      <c r="AD1630" s="119"/>
      <c r="AE1630" s="119"/>
      <c r="AF1630" s="119"/>
      <c r="AG1630" s="119"/>
      <c r="AI1630">
        <f t="shared" si="905"/>
        <v>399</v>
      </c>
      <c r="AJ1630" t="str">
        <f t="shared" si="973"/>
        <v>NA</v>
      </c>
      <c r="AK1630" t="str">
        <f>IF(ISERROR(MATCH(AI1630&amp;"."&amp;AJ1630,AK$91:AK1629,0)),AI1630&amp;"."&amp;AJ1630,AI1630&amp;"."&amp;AJ1630&amp;COUNTIFS(AI$91:AI1629,AI1630,AJ$91:AJ1629,AJ1630))</f>
        <v>399.NA3</v>
      </c>
    </row>
    <row r="1631" spans="1:37" ht="15" hidden="1">
      <c r="A1631" s="120">
        <f>ROW()</f>
        <v>1631</v>
      </c>
      <c r="B1631" s="120"/>
      <c r="C1631" s="1" t="s">
        <v>222</v>
      </c>
      <c r="D1631" s="2" t="s">
        <v>568</v>
      </c>
      <c r="E1631" s="121"/>
      <c r="F1631" s="138"/>
      <c r="G1631" s="119"/>
      <c r="X1631" s="3"/>
      <c r="AD1631" s="119"/>
      <c r="AE1631" s="119"/>
      <c r="AF1631" s="119"/>
      <c r="AG1631" s="119"/>
      <c r="AI1631" t="str">
        <f t="shared" si="905"/>
        <v>399L</v>
      </c>
      <c r="AJ1631" t="str">
        <f t="shared" si="973"/>
        <v>NA</v>
      </c>
      <c r="AK1631" t="str">
        <f>IF(ISERROR(MATCH(AI1631&amp;"."&amp;AJ1631,AK$91:AK1630,0)),AI1631&amp;"."&amp;AJ1631,AI1631&amp;"."&amp;AJ1631&amp;COUNTIFS(AI$91:AI1630,AI1631,AJ$91:AJ1630,AJ1631))</f>
        <v>399L.NA</v>
      </c>
    </row>
    <row r="1632" spans="1:37" ht="15" hidden="1">
      <c r="A1632" s="120">
        <f>ROW()</f>
        <v>1632</v>
      </c>
      <c r="B1632" s="120"/>
      <c r="C1632" s="1"/>
      <c r="E1632" s="121" t="s">
        <v>16</v>
      </c>
      <c r="F1632" s="138" t="str">
        <f>INDEX(FuncAllocOptions,ROW(A1632)-ROW($A$92)+1,[4]Inputs!$S$11)</f>
        <v>P</v>
      </c>
      <c r="G1632" s="133" t="e">
        <f>SUMIF(FERCJAMFactor,AK1632,JAMValue)</f>
        <v>#VALUE!</v>
      </c>
      <c r="H1632" s="139" t="e">
        <f>INDEX(FuncFactorTbl,MATCH($F1632,FuncFactors,0),MATCH(H$8,Functions,0))*$G1632</f>
        <v>#VALUE!</v>
      </c>
      <c r="I1632" s="139" t="e">
        <f>INDEX(FuncFactorTbl,MATCH($F1632,FuncFactors,0),MATCH(I$8,Functions,0))*$G1632</f>
        <v>#VALUE!</v>
      </c>
      <c r="J1632" s="139" t="e">
        <f>INDEX(FuncFactorTbl,MATCH($F1632,FuncFactors,0),MATCH(J$8,Functions,0))*$G1632</f>
        <v>#VALUE!</v>
      </c>
      <c r="K1632" s="139" t="e">
        <f>INDEX(FuncFactorTbl,MATCH($F1632,FuncFactors,0),MATCH(K$8,Functions,0))*$G1632</f>
        <v>#VALUE!</v>
      </c>
      <c r="L1632" s="139" t="e">
        <f>INDEX(FuncFactorTbl,MATCH($F1632,FuncFactors,0),MATCH(L$8,Functions,0))*$G1632</f>
        <v>#VALUE!</v>
      </c>
      <c r="N1632" s="108">
        <v>0</v>
      </c>
      <c r="O1632" s="116" t="e">
        <f>$H1632*$N1632*$M1632</f>
        <v>#VALUE!</v>
      </c>
      <c r="P1632" s="116" t="e">
        <f>$H1632*(1-$N1632)*$M1632</f>
        <v>#VALUE!</v>
      </c>
      <c r="Q1632" s="116" t="e">
        <f>$H1632*$N1632*(1-$M1632)</f>
        <v>#VALUE!</v>
      </c>
      <c r="R1632" s="116" t="e">
        <f>$H1632*(1-$N1632)*(1-$M1632)</f>
        <v>#VALUE!</v>
      </c>
      <c r="S1632" s="108">
        <v>0</v>
      </c>
      <c r="T1632" s="116" t="e">
        <f>$I1632*$S1632*$M1632</f>
        <v>#VALUE!</v>
      </c>
      <c r="U1632" s="116" t="e">
        <f>$I1632*(1-$S1632)*$M1632</f>
        <v>#VALUE!</v>
      </c>
      <c r="V1632" s="116" t="e">
        <f>$I1632*$S1632*(1-$M1632)</f>
        <v>#VALUE!</v>
      </c>
      <c r="W1632" s="116" t="e">
        <f>$I1632*(1-$S1632)*(1-$M1632)</f>
        <v>#VALUE!</v>
      </c>
      <c r="X1632" s="3" t="str">
        <f>INDEX(DistFuncAllocOptions,ROW(A1632)-ROW($A$92)+1,[4]Inputs!$S$11)</f>
        <v>PLNT</v>
      </c>
      <c r="Y1632" s="116" t="e">
        <f>INDEX(DistFuncFactorTbl,MATCH($X1632,DistFuncFactors,0),MATCH(Y$91,DistFunctions,0))*$J1632</f>
        <v>#VALUE!</v>
      </c>
      <c r="Z1632" s="116" t="e">
        <f>INDEX(DistFuncFactorTbl,MATCH($X1632,DistFuncFactors,0),MATCH(Z$91,DistFunctions,0))*$J1632</f>
        <v>#VALUE!</v>
      </c>
      <c r="AA1632" s="116" t="e">
        <f>INDEX(DistFuncFactorTbl,MATCH($X1632,DistFuncFactors,0),MATCH(AA$91,DistFunctions,0))*$J1632</f>
        <v>#VALUE!</v>
      </c>
      <c r="AB1632" s="116" t="e">
        <f>INDEX(DistFuncFactorTbl,MATCH($X1632,DistFuncFactors,0),MATCH(AB$91,DistFunctions,0))*$J1632</f>
        <v>#VALUE!</v>
      </c>
      <c r="AC1632" s="116" t="e">
        <f>INDEX(DistFuncFactorTbl,MATCH($X1632,DistFuncFactors,0),MATCH(AC$91,DistFunctions,0))*$J1632</f>
        <v>#VALUE!</v>
      </c>
      <c r="AD1632" s="117" t="e">
        <f>ROUND(SUM(-G1632,H1632:L1632),0)</f>
        <v>#VALUE!</v>
      </c>
      <c r="AE1632" s="117" t="e">
        <f>ROUND(H1632-O1632-P1632-Q1632-R1632,0)</f>
        <v>#VALUE!</v>
      </c>
      <c r="AF1632" s="117" t="e">
        <f>ROUND(I1632-T1632-U1632-V1632-W1632,0)</f>
        <v>#VALUE!</v>
      </c>
      <c r="AG1632" s="117" t="e">
        <f>ROUND(J1632-Y1632-Z1632-AA1632-AC1632-AB1632,0)</f>
        <v>#VALUE!</v>
      </c>
      <c r="AH1632" s="116"/>
      <c r="AI1632" t="str">
        <f t="shared" si="905"/>
        <v>399L</v>
      </c>
      <c r="AJ1632" t="str">
        <f t="shared" si="973"/>
        <v>SE</v>
      </c>
      <c r="AK1632" t="str">
        <f>IF(ISERROR(MATCH(AI1632&amp;"."&amp;AJ1632,AK$91:AK1631,0)),AI1632&amp;"."&amp;AJ1632,AI1632&amp;"."&amp;AJ1632&amp;COUNTIFS(AI$91:AI1631,AI1632,AJ$91:AJ1631,AJ1632))</f>
        <v>399L.SE</v>
      </c>
    </row>
    <row r="1633" spans="1:37" ht="15" hidden="1">
      <c r="A1633" s="120">
        <f>ROW()</f>
        <v>1633</v>
      </c>
      <c r="B1633" s="120"/>
      <c r="C1633" s="1"/>
      <c r="E1633" s="121"/>
      <c r="F1633" s="138"/>
      <c r="G1633" s="117" t="e">
        <f t="shared" ref="G1633:L1633" si="974">SUM(G1632)</f>
        <v>#VALUE!</v>
      </c>
      <c r="H1633" s="116" t="e">
        <f t="shared" si="974"/>
        <v>#VALUE!</v>
      </c>
      <c r="I1633" s="116" t="e">
        <f t="shared" si="974"/>
        <v>#VALUE!</v>
      </c>
      <c r="J1633" s="116" t="e">
        <f t="shared" si="974"/>
        <v>#VALUE!</v>
      </c>
      <c r="K1633" s="116" t="e">
        <f t="shared" si="974"/>
        <v>#VALUE!</v>
      </c>
      <c r="L1633" s="116" t="e">
        <f t="shared" si="974"/>
        <v>#VALUE!</v>
      </c>
      <c r="O1633" s="116" t="e">
        <f>SUM(O1632)</f>
        <v>#VALUE!</v>
      </c>
      <c r="P1633" s="116" t="e">
        <f>SUM(P1632)</f>
        <v>#VALUE!</v>
      </c>
      <c r="Q1633" s="116" t="e">
        <f>SUM(Q1632)</f>
        <v>#VALUE!</v>
      </c>
      <c r="R1633" s="116" t="e">
        <f>SUM(R1632)</f>
        <v>#VALUE!</v>
      </c>
      <c r="T1633" s="116" t="e">
        <f>SUM(T1632)</f>
        <v>#VALUE!</v>
      </c>
      <c r="U1633" s="116" t="e">
        <f>SUM(U1632)</f>
        <v>#VALUE!</v>
      </c>
      <c r="V1633" s="116" t="e">
        <f>SUM(V1632)</f>
        <v>#VALUE!</v>
      </c>
      <c r="W1633" s="116" t="e">
        <f>SUM(W1632)</f>
        <v>#VALUE!</v>
      </c>
      <c r="X1633" s="3"/>
      <c r="Y1633" s="116" t="e">
        <f>SUM(Y1632)</f>
        <v>#VALUE!</v>
      </c>
      <c r="Z1633" s="116" t="e">
        <f>SUM(Z1632)</f>
        <v>#VALUE!</v>
      </c>
      <c r="AA1633" s="116" t="e">
        <f>SUM(AA1632)</f>
        <v>#VALUE!</v>
      </c>
      <c r="AB1633" s="116" t="e">
        <f>SUM(AB1632)</f>
        <v>#VALUE!</v>
      </c>
      <c r="AC1633" s="116" t="e">
        <f>SUM(AC1632)</f>
        <v>#VALUE!</v>
      </c>
      <c r="AD1633" s="117" t="e">
        <f>ROUND(SUM(-G1633,H1633:L1633),0)</f>
        <v>#VALUE!</v>
      </c>
      <c r="AE1633" s="117" t="e">
        <f>ROUND(H1633-O1633-P1633-Q1633-R1633,0)</f>
        <v>#VALUE!</v>
      </c>
      <c r="AF1633" s="117" t="e">
        <f>ROUND(I1633-T1633-U1633-V1633-W1633,0)</f>
        <v>#VALUE!</v>
      </c>
      <c r="AG1633" s="117" t="e">
        <f>ROUND(J1633-Y1633-Z1633-AA1633-AC1633-AB1633,0)</f>
        <v>#VALUE!</v>
      </c>
      <c r="AH1633" s="116"/>
      <c r="AI1633" t="str">
        <f t="shared" si="905"/>
        <v>399L</v>
      </c>
      <c r="AJ1633" t="str">
        <f t="shared" si="973"/>
        <v>NA</v>
      </c>
      <c r="AK1633" t="str">
        <f>IF(ISERROR(MATCH(AI1633&amp;"."&amp;AJ1633,AK$91:AK1632,0)),AI1633&amp;"."&amp;AJ1633,AI1633&amp;"."&amp;AJ1633&amp;COUNTIFS(AI$91:AI1632,AI1633,AJ$91:AJ1632,AJ1633))</f>
        <v>399L.NA1</v>
      </c>
    </row>
    <row r="1634" spans="1:37" ht="15" hidden="1">
      <c r="A1634" s="120">
        <f>ROW()</f>
        <v>1634</v>
      </c>
      <c r="B1634" s="120"/>
      <c r="C1634" s="1"/>
      <c r="E1634" s="121"/>
      <c r="F1634" s="138"/>
      <c r="G1634" s="119"/>
      <c r="X1634" s="3"/>
      <c r="AD1634" s="119"/>
      <c r="AE1634" s="119"/>
      <c r="AF1634" s="119"/>
      <c r="AG1634" s="119"/>
      <c r="AI1634" t="str">
        <f t="shared" si="905"/>
        <v>399L</v>
      </c>
      <c r="AJ1634" t="str">
        <f t="shared" si="973"/>
        <v>NA</v>
      </c>
      <c r="AK1634" t="str">
        <f>IF(ISERROR(MATCH(AI1634&amp;"."&amp;AJ1634,AK$91:AK1633,0)),AI1634&amp;"."&amp;AJ1634,AI1634&amp;"."&amp;AJ1634&amp;COUNTIFS(AI$91:AI1633,AI1634,AJ$91:AJ1633,AJ1634))</f>
        <v>399L.NA2</v>
      </c>
    </row>
    <row r="1635" spans="1:37" ht="15" hidden="1">
      <c r="A1635" s="120">
        <f>ROW()</f>
        <v>1635</v>
      </c>
      <c r="B1635" s="120"/>
      <c r="C1635" s="1"/>
      <c r="D1635" s="2" t="s">
        <v>736</v>
      </c>
      <c r="E1635" s="121"/>
      <c r="F1635" s="138" t="str">
        <f>INDEX(FuncAllocOptions,ROW(A1635)-ROW($A$92)+1,[4]Inputs!$S$11)</f>
        <v>P</v>
      </c>
      <c r="G1635" s="133" t="e">
        <f>SUMIF(FERCJAMFactor,AK1635,JAMValue)</f>
        <v>#VALUE!</v>
      </c>
      <c r="H1635" s="139" t="e">
        <f>INDEX(FuncFactorTbl,MATCH($F1635,FuncFactors,0),MATCH(H$8,Functions,0))*$G1635</f>
        <v>#VALUE!</v>
      </c>
      <c r="I1635" s="139" t="e">
        <f>INDEX(FuncFactorTbl,MATCH($F1635,FuncFactors,0),MATCH(I$8,Functions,0))*$G1635</f>
        <v>#VALUE!</v>
      </c>
      <c r="J1635" s="139" t="e">
        <f>INDEX(FuncFactorTbl,MATCH($F1635,FuncFactors,0),MATCH(J$8,Functions,0))*$G1635</f>
        <v>#VALUE!</v>
      </c>
      <c r="K1635" s="139" t="e">
        <f>INDEX(FuncFactorTbl,MATCH($F1635,FuncFactors,0),MATCH(K$8,Functions,0))*$G1635</f>
        <v>#VALUE!</v>
      </c>
      <c r="L1635" s="139" t="e">
        <f>INDEX(FuncFactorTbl,MATCH($F1635,FuncFactors,0),MATCH(L$8,Functions,0))*$G1635</f>
        <v>#VALUE!</v>
      </c>
      <c r="N1635" s="108">
        <v>0</v>
      </c>
      <c r="O1635" s="116" t="e">
        <f>$H1635*$N1635*$M1635</f>
        <v>#VALUE!</v>
      </c>
      <c r="P1635" s="116" t="e">
        <f>$H1635*(1-$N1635)*$M1635</f>
        <v>#VALUE!</v>
      </c>
      <c r="Q1635" s="116" t="e">
        <f>$H1635*$N1635*(1-$M1635)</f>
        <v>#VALUE!</v>
      </c>
      <c r="R1635" s="116" t="e">
        <f>$H1635*(1-$N1635)*(1-$M1635)</f>
        <v>#VALUE!</v>
      </c>
      <c r="S1635" s="108">
        <v>0</v>
      </c>
      <c r="T1635" s="116" t="e">
        <f>$I1635*$S1635*$M1635</f>
        <v>#VALUE!</v>
      </c>
      <c r="U1635" s="116" t="e">
        <f>$I1635*(1-$S1635)*$M1635</f>
        <v>#VALUE!</v>
      </c>
      <c r="V1635" s="116" t="e">
        <f>$I1635*$S1635*(1-$M1635)</f>
        <v>#VALUE!</v>
      </c>
      <c r="W1635" s="116" t="e">
        <f>$I1635*(1-$S1635)*(1-$M1635)</f>
        <v>#VALUE!</v>
      </c>
      <c r="X1635" s="3" t="str">
        <f>INDEX(DistFuncAllocOptions,ROW(A1635)-ROW($A$92)+1,[4]Inputs!$S$11)</f>
        <v>PLNT</v>
      </c>
      <c r="Y1635" s="116" t="e">
        <f>INDEX(DistFuncFactorTbl,MATCH($X1635,DistFuncFactors,0),MATCH(Y$91,DistFunctions,0))*$J1635</f>
        <v>#VALUE!</v>
      </c>
      <c r="Z1635" s="116" t="e">
        <f>INDEX(DistFuncFactorTbl,MATCH($X1635,DistFuncFactors,0),MATCH(Z$91,DistFunctions,0))*$J1635</f>
        <v>#VALUE!</v>
      </c>
      <c r="AA1635" s="116" t="e">
        <f>INDEX(DistFuncFactorTbl,MATCH($X1635,DistFuncFactors,0),MATCH(AA$91,DistFunctions,0))*$J1635</f>
        <v>#VALUE!</v>
      </c>
      <c r="AB1635" s="116" t="e">
        <f>INDEX(DistFuncFactorTbl,MATCH($X1635,DistFuncFactors,0),MATCH(AB$91,DistFunctions,0))*$J1635</f>
        <v>#VALUE!</v>
      </c>
      <c r="AC1635" s="116" t="e">
        <f>INDEX(DistFuncFactorTbl,MATCH($X1635,DistFuncFactors,0),MATCH(AC$91,DistFunctions,0))*$J1635</f>
        <v>#VALUE!</v>
      </c>
      <c r="AD1635" s="117" t="e">
        <f>ROUND(SUM(-G1635,H1635:L1635),0)</f>
        <v>#VALUE!</v>
      </c>
      <c r="AE1635" s="117" t="e">
        <f>ROUND(H1635-O1635-P1635-Q1635-R1635,0)</f>
        <v>#VALUE!</v>
      </c>
      <c r="AF1635" s="117" t="e">
        <f>ROUND(I1635-T1635-U1635-V1635-W1635,0)</f>
        <v>#VALUE!</v>
      </c>
      <c r="AG1635" s="117" t="e">
        <f>ROUND(J1635-Y1635-Z1635-AA1635-AC1635-AB1635,0)</f>
        <v>#VALUE!</v>
      </c>
      <c r="AH1635" s="116"/>
      <c r="AI1635" t="str">
        <f t="shared" si="905"/>
        <v>399L</v>
      </c>
      <c r="AJ1635" t="str">
        <f t="shared" si="973"/>
        <v>NA</v>
      </c>
      <c r="AK1635" t="str">
        <f>IF(ISERROR(MATCH(AI1635&amp;"."&amp;AJ1635,AK$91:AK1634,0)),AI1635&amp;"."&amp;AJ1635,AI1635&amp;"."&amp;AJ1635&amp;COUNTIFS(AI$91:AI1634,AI1635,AJ$91:AJ1634,AJ1635))</f>
        <v>399L.NA3</v>
      </c>
    </row>
    <row r="1636" spans="1:37" ht="15" hidden="1">
      <c r="A1636" s="120">
        <f>ROW()</f>
        <v>1636</v>
      </c>
      <c r="B1636" s="120"/>
      <c r="C1636" s="1"/>
      <c r="E1636" s="121"/>
      <c r="F1636" s="138"/>
      <c r="G1636" s="117" t="e">
        <f t="shared" ref="G1636:L1636" si="975">SUM(G1635)</f>
        <v>#VALUE!</v>
      </c>
      <c r="H1636" s="116" t="e">
        <f t="shared" si="975"/>
        <v>#VALUE!</v>
      </c>
      <c r="I1636" s="116" t="e">
        <f t="shared" si="975"/>
        <v>#VALUE!</v>
      </c>
      <c r="J1636" s="116" t="e">
        <f t="shared" si="975"/>
        <v>#VALUE!</v>
      </c>
      <c r="K1636" s="116" t="e">
        <f t="shared" si="975"/>
        <v>#VALUE!</v>
      </c>
      <c r="L1636" s="116" t="e">
        <f t="shared" si="975"/>
        <v>#VALUE!</v>
      </c>
      <c r="O1636" s="116" t="e">
        <f>SUM(O1635)</f>
        <v>#VALUE!</v>
      </c>
      <c r="P1636" s="116" t="e">
        <f>SUM(P1635)</f>
        <v>#VALUE!</v>
      </c>
      <c r="Q1636" s="116" t="e">
        <f>SUM(Q1635)</f>
        <v>#VALUE!</v>
      </c>
      <c r="R1636" s="116" t="e">
        <f>SUM(R1635)</f>
        <v>#VALUE!</v>
      </c>
      <c r="T1636" s="116" t="e">
        <f>SUM(T1635)</f>
        <v>#VALUE!</v>
      </c>
      <c r="U1636" s="116" t="e">
        <f>SUM(U1635)</f>
        <v>#VALUE!</v>
      </c>
      <c r="V1636" s="116" t="e">
        <f>SUM(V1635)</f>
        <v>#VALUE!</v>
      </c>
      <c r="W1636" s="116" t="e">
        <f>SUM(W1635)</f>
        <v>#VALUE!</v>
      </c>
      <c r="X1636" s="3"/>
      <c r="Y1636" s="116" t="e">
        <f>SUM(Y1635)</f>
        <v>#VALUE!</v>
      </c>
      <c r="Z1636" s="116" t="e">
        <f>SUM(Z1635)</f>
        <v>#VALUE!</v>
      </c>
      <c r="AA1636" s="116" t="e">
        <f>SUM(AA1635)</f>
        <v>#VALUE!</v>
      </c>
      <c r="AB1636" s="116" t="e">
        <f>SUM(AB1635)</f>
        <v>#VALUE!</v>
      </c>
      <c r="AC1636" s="116" t="e">
        <f>SUM(AC1635)</f>
        <v>#VALUE!</v>
      </c>
      <c r="AD1636" s="117" t="e">
        <f>ROUND(SUM(-G1636,H1636:L1636),0)</f>
        <v>#VALUE!</v>
      </c>
      <c r="AE1636" s="117" t="e">
        <f>ROUND(H1636-O1636-P1636-Q1636-R1636,0)</f>
        <v>#VALUE!</v>
      </c>
      <c r="AF1636" s="117" t="e">
        <f>ROUND(I1636-T1636-U1636-V1636-W1636,0)</f>
        <v>#VALUE!</v>
      </c>
      <c r="AG1636" s="117" t="e">
        <f>ROUND(J1636-Y1636-Z1636-AA1636-AC1636-AB1636,0)</f>
        <v>#VALUE!</v>
      </c>
      <c r="AH1636" s="116"/>
      <c r="AI1636" t="str">
        <f t="shared" si="905"/>
        <v>399L</v>
      </c>
      <c r="AJ1636" t="str">
        <f t="shared" si="973"/>
        <v>NA</v>
      </c>
      <c r="AK1636" t="str">
        <f>IF(ISERROR(MATCH(AI1636&amp;"."&amp;AJ1636,AK$91:AK1635,0)),AI1636&amp;"."&amp;AJ1636,AI1636&amp;"."&amp;AJ1636&amp;COUNTIFS(AI$91:AI1635,AI1636,AJ$91:AJ1635,AJ1636))</f>
        <v>399L.NA4</v>
      </c>
    </row>
    <row r="1637" spans="1:37" ht="15" hidden="1">
      <c r="A1637" s="120">
        <f>ROW()</f>
        <v>1637</v>
      </c>
      <c r="B1637" s="120"/>
      <c r="C1637" s="1"/>
      <c r="E1637" s="121"/>
      <c r="F1637" s="138"/>
      <c r="G1637" s="119"/>
      <c r="X1637" s="3"/>
      <c r="AD1637" s="119"/>
      <c r="AE1637" s="119"/>
      <c r="AF1637" s="119"/>
      <c r="AG1637" s="119"/>
      <c r="AI1637" t="str">
        <f t="shared" si="905"/>
        <v>399L</v>
      </c>
      <c r="AJ1637" t="str">
        <f t="shared" si="973"/>
        <v>NA</v>
      </c>
      <c r="AK1637" t="str">
        <f>IF(ISERROR(MATCH(AI1637&amp;"."&amp;AJ1637,AK$91:AK1636,0)),AI1637&amp;"."&amp;AJ1637,AI1637&amp;"."&amp;AJ1637&amp;COUNTIFS(AI$91:AI1636,AI1637,AJ$91:AJ1636,AJ1637))</f>
        <v>399L.NA5</v>
      </c>
    </row>
    <row r="1638" spans="1:37" ht="15" hidden="1">
      <c r="A1638" s="120">
        <f>ROW()</f>
        <v>1638</v>
      </c>
      <c r="B1638" s="120"/>
      <c r="C1638" s="1">
        <v>1011390</v>
      </c>
      <c r="D1638" s="2" t="s">
        <v>570</v>
      </c>
      <c r="E1638" s="121"/>
      <c r="F1638" s="138"/>
      <c r="G1638" s="119"/>
      <c r="X1638" s="3"/>
      <c r="AD1638" s="119"/>
      <c r="AE1638" s="119"/>
      <c r="AF1638" s="119"/>
      <c r="AG1638" s="119"/>
      <c r="AI1638">
        <f t="shared" si="905"/>
        <v>1011390</v>
      </c>
      <c r="AJ1638" t="str">
        <f t="shared" si="973"/>
        <v>NA</v>
      </c>
      <c r="AK1638" t="str">
        <f>IF(ISERROR(MATCH(AI1638&amp;"."&amp;AJ1638,AK$91:AK1637,0)),AI1638&amp;"."&amp;AJ1638,AI1638&amp;"."&amp;AJ1638&amp;COUNTIFS(AI$91:AI1637,AI1638,AJ$91:AJ1637,AJ1638))</f>
        <v>1011390.NA</v>
      </c>
    </row>
    <row r="1639" spans="1:37" ht="15" hidden="1">
      <c r="A1639" s="120">
        <f>ROW()</f>
        <v>1639</v>
      </c>
      <c r="B1639" s="120"/>
      <c r="C1639" s="1"/>
      <c r="E1639" s="121"/>
      <c r="F1639" s="138"/>
      <c r="G1639" s="119"/>
      <c r="X1639" s="3"/>
      <c r="AD1639" s="119"/>
      <c r="AE1639" s="119"/>
      <c r="AF1639" s="119"/>
      <c r="AG1639" s="119"/>
      <c r="AI1639">
        <f t="shared" si="905"/>
        <v>1011390</v>
      </c>
      <c r="AJ1639" t="str">
        <f t="shared" si="973"/>
        <v>NA</v>
      </c>
      <c r="AK1639" t="str">
        <f>IF(ISERROR(MATCH(AI1639&amp;"."&amp;AJ1639,AK$91:AK1638,0)),AI1639&amp;"."&amp;AJ1639,AI1639&amp;"."&amp;AJ1639&amp;COUNTIFS(AI$91:AI1638,AI1639,AJ$91:AJ1638,AJ1639))</f>
        <v>1011390.NA1</v>
      </c>
    </row>
    <row r="1640" spans="1:37" ht="15" hidden="1">
      <c r="A1640" s="120">
        <f>ROW()</f>
        <v>1640</v>
      </c>
      <c r="B1640" s="120"/>
      <c r="C1640" s="1"/>
      <c r="E1640" s="121" t="s">
        <v>12</v>
      </c>
      <c r="F1640" s="138" t="str">
        <f>INDEX(FuncAllocOptions,ROW(A1640)-ROW($A$92)+1,[4]Inputs!$S$11)</f>
        <v>G-SITUS</v>
      </c>
      <c r="G1640" s="117" t="e">
        <f>SUMIF(FERCJAMFactor,AK1640,JAMValue)</f>
        <v>#VALUE!</v>
      </c>
      <c r="H1640" s="116" t="e">
        <f t="shared" ref="H1640:L1642" si="976">INDEX(FuncFactorTbl,MATCH($F1640,FuncFactors,0),MATCH(H$8,Functions,0))*$G1640</f>
        <v>#VALUE!</v>
      </c>
      <c r="I1640" s="116" t="e">
        <f t="shared" si="976"/>
        <v>#VALUE!</v>
      </c>
      <c r="J1640" s="116" t="e">
        <f t="shared" si="976"/>
        <v>#VALUE!</v>
      </c>
      <c r="K1640" s="116" t="e">
        <f t="shared" si="976"/>
        <v>#VALUE!</v>
      </c>
      <c r="L1640" s="116" t="e">
        <f t="shared" si="976"/>
        <v>#VALUE!</v>
      </c>
      <c r="N1640" s="108">
        <v>0</v>
      </c>
      <c r="O1640" s="116" t="e">
        <f>$H1640*$N1640*$M1640</f>
        <v>#VALUE!</v>
      </c>
      <c r="P1640" s="116" t="e">
        <f>$H1640*(1-$N1640)*$M1640</f>
        <v>#VALUE!</v>
      </c>
      <c r="Q1640" s="116" t="e">
        <f>$H1640*$N1640*(1-$M1640)</f>
        <v>#VALUE!</v>
      </c>
      <c r="R1640" s="116" t="e">
        <f>$H1640*(1-$N1640)*(1-$M1640)</f>
        <v>#VALUE!</v>
      </c>
      <c r="S1640" s="108">
        <v>0</v>
      </c>
      <c r="T1640" s="116" t="e">
        <f>$I1640*$S1640*$M1640</f>
        <v>#VALUE!</v>
      </c>
      <c r="U1640" s="116" t="e">
        <f>$I1640*(1-$S1640)*$M1640</f>
        <v>#VALUE!</v>
      </c>
      <c r="V1640" s="116" t="e">
        <f>$I1640*$S1640*(1-$M1640)</f>
        <v>#VALUE!</v>
      </c>
      <c r="W1640" s="116" t="e">
        <f>$I1640*(1-$S1640)*(1-$M1640)</f>
        <v>#VALUE!</v>
      </c>
      <c r="X1640" s="3" t="str">
        <f>INDEX(DistFuncAllocOptions,ROW(A1640)-ROW($A$92)+1,[4]Inputs!$S$11)</f>
        <v>PLNT</v>
      </c>
      <c r="Y1640" s="116" t="e">
        <f t="shared" ref="Y1640:AC1642" si="977">INDEX(DistFuncFactorTbl,MATCH($X1640,DistFuncFactors,0),MATCH(Y$91,DistFunctions,0))*$J1640</f>
        <v>#VALUE!</v>
      </c>
      <c r="Z1640" s="116" t="e">
        <f t="shared" si="977"/>
        <v>#VALUE!</v>
      </c>
      <c r="AA1640" s="116" t="e">
        <f t="shared" si="977"/>
        <v>#VALUE!</v>
      </c>
      <c r="AB1640" s="116" t="e">
        <f t="shared" si="977"/>
        <v>#VALUE!</v>
      </c>
      <c r="AC1640" s="116" t="e">
        <f t="shared" si="977"/>
        <v>#VALUE!</v>
      </c>
      <c r="AD1640" s="117" t="e">
        <f>ROUND(SUM(-G1640,H1640:L1640),0)</f>
        <v>#VALUE!</v>
      </c>
      <c r="AE1640" s="117" t="e">
        <f>ROUND(H1640-O1640-P1640-Q1640-R1640,0)</f>
        <v>#VALUE!</v>
      </c>
      <c r="AF1640" s="117" t="e">
        <f>ROUND(I1640-T1640-U1640-V1640-W1640,0)</f>
        <v>#VALUE!</v>
      </c>
      <c r="AG1640" s="117" t="e">
        <f>ROUND(J1640-Y1640-Z1640-AA1640-AC1640-AB1640,0)</f>
        <v>#VALUE!</v>
      </c>
      <c r="AH1640" s="116"/>
      <c r="AI1640">
        <f t="shared" si="905"/>
        <v>1011390</v>
      </c>
      <c r="AJ1640" t="str">
        <f t="shared" si="973"/>
        <v>S</v>
      </c>
      <c r="AK1640" t="str">
        <f>IF(ISERROR(MATCH(AI1640&amp;"."&amp;AJ1640,AK$91:AK1639,0)),AI1640&amp;"."&amp;AJ1640,AI1640&amp;"."&amp;AJ1640&amp;COUNTIFS(AI$91:AI1639,AI1640,AJ$91:AJ1639,AJ1640))</f>
        <v>1011390.S</v>
      </c>
    </row>
    <row r="1641" spans="1:37" ht="15" hidden="1">
      <c r="A1641" s="120">
        <f>ROW()</f>
        <v>1641</v>
      </c>
      <c r="B1641" s="120"/>
      <c r="C1641" s="1"/>
      <c r="E1641" s="121" t="s">
        <v>15</v>
      </c>
      <c r="F1641" s="138" t="str">
        <f>INDEX(FuncAllocOptions,ROW(A1641)-ROW($A$92)+1,[4]Inputs!$S$11)</f>
        <v>P</v>
      </c>
      <c r="G1641" s="117" t="e">
        <f>SUMIF(FERCJAMFactor,AK1641,JAMValue)</f>
        <v>#VALUE!</v>
      </c>
      <c r="H1641" s="116" t="e">
        <f t="shared" si="976"/>
        <v>#VALUE!</v>
      </c>
      <c r="I1641" s="116" t="e">
        <f t="shared" si="976"/>
        <v>#VALUE!</v>
      </c>
      <c r="J1641" s="116" t="e">
        <f t="shared" si="976"/>
        <v>#VALUE!</v>
      </c>
      <c r="K1641" s="116" t="e">
        <f t="shared" si="976"/>
        <v>#VALUE!</v>
      </c>
      <c r="L1641" s="116" t="e">
        <f t="shared" si="976"/>
        <v>#VALUE!</v>
      </c>
      <c r="N1641" s="108">
        <v>0</v>
      </c>
      <c r="O1641" s="116" t="e">
        <f>$H1641*$N1641*$M1641</f>
        <v>#VALUE!</v>
      </c>
      <c r="P1641" s="116" t="e">
        <f>$H1641*(1-$N1641)*$M1641</f>
        <v>#VALUE!</v>
      </c>
      <c r="Q1641" s="116" t="e">
        <f>$H1641*$N1641*(1-$M1641)</f>
        <v>#VALUE!</v>
      </c>
      <c r="R1641" s="116" t="e">
        <f>$H1641*(1-$N1641)*(1-$M1641)</f>
        <v>#VALUE!</v>
      </c>
      <c r="S1641" s="108">
        <v>0</v>
      </c>
      <c r="T1641" s="116" t="e">
        <f>$I1641*$S1641*$M1641</f>
        <v>#VALUE!</v>
      </c>
      <c r="U1641" s="116" t="e">
        <f>$I1641*(1-$S1641)*$M1641</f>
        <v>#VALUE!</v>
      </c>
      <c r="V1641" s="116" t="e">
        <f>$I1641*$S1641*(1-$M1641)</f>
        <v>#VALUE!</v>
      </c>
      <c r="W1641" s="116" t="e">
        <f>$I1641*(1-$S1641)*(1-$M1641)</f>
        <v>#VALUE!</v>
      </c>
      <c r="X1641" s="3" t="str">
        <f>INDEX(DistFuncAllocOptions,ROW(A1641)-ROW($A$92)+1,[4]Inputs!$S$11)</f>
        <v>PLNT</v>
      </c>
      <c r="Y1641" s="116" t="e">
        <f t="shared" si="977"/>
        <v>#VALUE!</v>
      </c>
      <c r="Z1641" s="116" t="e">
        <f t="shared" si="977"/>
        <v>#VALUE!</v>
      </c>
      <c r="AA1641" s="116" t="e">
        <f t="shared" si="977"/>
        <v>#VALUE!</v>
      </c>
      <c r="AB1641" s="116" t="e">
        <f t="shared" si="977"/>
        <v>#VALUE!</v>
      </c>
      <c r="AC1641" s="116" t="e">
        <f t="shared" si="977"/>
        <v>#VALUE!</v>
      </c>
      <c r="AD1641" s="117" t="e">
        <f>ROUND(SUM(-G1641,H1641:L1641),0)</f>
        <v>#VALUE!</v>
      </c>
      <c r="AE1641" s="117" t="e">
        <f>ROUND(H1641-O1641-P1641-Q1641-R1641,0)</f>
        <v>#VALUE!</v>
      </c>
      <c r="AF1641" s="117" t="e">
        <f>ROUND(I1641-T1641-U1641-V1641-W1641,0)</f>
        <v>#VALUE!</v>
      </c>
      <c r="AG1641" s="117" t="e">
        <f>ROUND(J1641-Y1641-Z1641-AA1641-AC1641-AB1641,0)</f>
        <v>#VALUE!</v>
      </c>
      <c r="AH1641" s="116"/>
      <c r="AI1641">
        <f t="shared" si="905"/>
        <v>1011390</v>
      </c>
      <c r="AJ1641" t="str">
        <f t="shared" si="973"/>
        <v>SG</v>
      </c>
      <c r="AK1641" t="str">
        <f>IF(ISERROR(MATCH(AI1641&amp;"."&amp;AJ1641,AK$91:AK1640,0)),AI1641&amp;"."&amp;AJ1641,AI1641&amp;"."&amp;AJ1641&amp;COUNTIFS(AI$91:AI1640,AI1641,AJ$91:AJ1640,AJ1641))</f>
        <v>1011390.SG</v>
      </c>
    </row>
    <row r="1642" spans="1:37" ht="15" hidden="1">
      <c r="A1642" s="120">
        <f>ROW()</f>
        <v>1642</v>
      </c>
      <c r="B1642" s="120"/>
      <c r="C1642" s="1"/>
      <c r="E1642" s="121" t="s">
        <v>136</v>
      </c>
      <c r="F1642" s="138" t="str">
        <f>INDEX(FuncAllocOptions,ROW(A1642)-ROW($A$92)+1,[4]Inputs!$S$11)</f>
        <v>PTD</v>
      </c>
      <c r="G1642" s="133" t="e">
        <f>SUMIF(FERCJAMFactor,AK1642,JAMValue)</f>
        <v>#VALUE!</v>
      </c>
      <c r="H1642" s="139" t="e">
        <f t="shared" si="976"/>
        <v>#VALUE!</v>
      </c>
      <c r="I1642" s="139" t="e">
        <f t="shared" si="976"/>
        <v>#VALUE!</v>
      </c>
      <c r="J1642" s="139" t="e">
        <f t="shared" si="976"/>
        <v>#VALUE!</v>
      </c>
      <c r="K1642" s="139" t="e">
        <f t="shared" si="976"/>
        <v>#VALUE!</v>
      </c>
      <c r="L1642" s="139" t="e">
        <f t="shared" si="976"/>
        <v>#VALUE!</v>
      </c>
      <c r="N1642" s="108">
        <v>0</v>
      </c>
      <c r="O1642" s="116" t="e">
        <f>$H1642*$N1642*$M1642</f>
        <v>#VALUE!</v>
      </c>
      <c r="P1642" s="116" t="e">
        <f>$H1642*(1-$N1642)*$M1642</f>
        <v>#VALUE!</v>
      </c>
      <c r="Q1642" s="116" t="e">
        <f>$H1642*$N1642*(1-$M1642)</f>
        <v>#VALUE!</v>
      </c>
      <c r="R1642" s="116" t="e">
        <f>$H1642*(1-$N1642)*(1-$M1642)</f>
        <v>#VALUE!</v>
      </c>
      <c r="S1642" s="108">
        <v>0</v>
      </c>
      <c r="T1642" s="116" t="e">
        <f>$I1642*$S1642*$M1642</f>
        <v>#VALUE!</v>
      </c>
      <c r="U1642" s="116" t="e">
        <f>$I1642*(1-$S1642)*$M1642</f>
        <v>#VALUE!</v>
      </c>
      <c r="V1642" s="116" t="e">
        <f>$I1642*$S1642*(1-$M1642)</f>
        <v>#VALUE!</v>
      </c>
      <c r="W1642" s="116" t="e">
        <f>$I1642*(1-$S1642)*(1-$M1642)</f>
        <v>#VALUE!</v>
      </c>
      <c r="X1642" s="3" t="str">
        <f>INDEX(DistFuncAllocOptions,ROW(A1642)-ROW($A$92)+1,[4]Inputs!$S$11)</f>
        <v>PLNT</v>
      </c>
      <c r="Y1642" s="116" t="e">
        <f t="shared" si="977"/>
        <v>#VALUE!</v>
      </c>
      <c r="Z1642" s="116" t="e">
        <f t="shared" si="977"/>
        <v>#VALUE!</v>
      </c>
      <c r="AA1642" s="116" t="e">
        <f t="shared" si="977"/>
        <v>#VALUE!</v>
      </c>
      <c r="AB1642" s="116" t="e">
        <f t="shared" si="977"/>
        <v>#VALUE!</v>
      </c>
      <c r="AC1642" s="116" t="e">
        <f t="shared" si="977"/>
        <v>#VALUE!</v>
      </c>
      <c r="AD1642" s="117" t="e">
        <f>ROUND(SUM(-G1642,H1642:L1642),0)</f>
        <v>#VALUE!</v>
      </c>
      <c r="AE1642" s="117" t="e">
        <f>ROUND(H1642-O1642-P1642-Q1642-R1642,0)</f>
        <v>#VALUE!</v>
      </c>
      <c r="AF1642" s="117" t="e">
        <f>ROUND(I1642-T1642-U1642-V1642-W1642,0)</f>
        <v>#VALUE!</v>
      </c>
      <c r="AG1642" s="117" t="e">
        <f>ROUND(J1642-Y1642-Z1642-AA1642-AC1642-AB1642,0)</f>
        <v>#VALUE!</v>
      </c>
      <c r="AH1642" s="116"/>
      <c r="AI1642">
        <f t="shared" si="905"/>
        <v>1011390</v>
      </c>
      <c r="AJ1642" t="str">
        <f t="shared" si="973"/>
        <v>SO</v>
      </c>
      <c r="AK1642" t="str">
        <f>IF(ISERROR(MATCH(AI1642&amp;"."&amp;AJ1642,AK$91:AK1641,0)),AI1642&amp;"."&amp;AJ1642,AI1642&amp;"."&amp;AJ1642&amp;COUNTIFS(AI$91:AI1641,AI1642,AJ$91:AJ1641,AJ1642))</f>
        <v>1011390.SO</v>
      </c>
    </row>
    <row r="1643" spans="1:37" ht="15" hidden="1">
      <c r="A1643" s="120">
        <f>ROW()</f>
        <v>1643</v>
      </c>
      <c r="B1643" s="120"/>
      <c r="C1643" s="1"/>
      <c r="E1643" s="121"/>
      <c r="F1643" s="138"/>
      <c r="G1643" s="117" t="e">
        <f t="shared" ref="G1643:L1643" si="978">SUM(G1640:G1642)</f>
        <v>#VALUE!</v>
      </c>
      <c r="H1643" s="116" t="e">
        <f t="shared" si="978"/>
        <v>#VALUE!</v>
      </c>
      <c r="I1643" s="116" t="e">
        <f t="shared" si="978"/>
        <v>#VALUE!</v>
      </c>
      <c r="J1643" s="116" t="e">
        <f t="shared" si="978"/>
        <v>#VALUE!</v>
      </c>
      <c r="K1643" s="116" t="e">
        <f t="shared" si="978"/>
        <v>#VALUE!</v>
      </c>
      <c r="L1643" s="116" t="e">
        <f t="shared" si="978"/>
        <v>#VALUE!</v>
      </c>
      <c r="O1643" s="116" t="e">
        <f>SUM(O1640:O1642)</f>
        <v>#VALUE!</v>
      </c>
      <c r="P1643" s="116" t="e">
        <f>SUM(P1640:P1642)</f>
        <v>#VALUE!</v>
      </c>
      <c r="Q1643" s="116" t="e">
        <f>SUM(Q1640:Q1642)</f>
        <v>#VALUE!</v>
      </c>
      <c r="R1643" s="116" t="e">
        <f>SUM(R1640:R1642)</f>
        <v>#VALUE!</v>
      </c>
      <c r="T1643" s="116" t="e">
        <f>SUM(T1640:T1642)</f>
        <v>#VALUE!</v>
      </c>
      <c r="U1643" s="116" t="e">
        <f>SUM(U1640:U1642)</f>
        <v>#VALUE!</v>
      </c>
      <c r="V1643" s="116" t="e">
        <f>SUM(V1640:V1642)</f>
        <v>#VALUE!</v>
      </c>
      <c r="W1643" s="116" t="e">
        <f>SUM(W1640:W1642)</f>
        <v>#VALUE!</v>
      </c>
      <c r="X1643" s="3"/>
      <c r="Y1643" s="116" t="e">
        <f>SUM(Y1640:Y1642)</f>
        <v>#VALUE!</v>
      </c>
      <c r="Z1643" s="116" t="e">
        <f>SUM(Z1640:Z1642)</f>
        <v>#VALUE!</v>
      </c>
      <c r="AA1643" s="116" t="e">
        <f>SUM(AA1640:AA1642)</f>
        <v>#VALUE!</v>
      </c>
      <c r="AB1643" s="116" t="e">
        <f>SUM(AB1640:AB1642)</f>
        <v>#VALUE!</v>
      </c>
      <c r="AC1643" s="116" t="e">
        <f>SUM(AC1640:AC1642)</f>
        <v>#VALUE!</v>
      </c>
      <c r="AD1643" s="117" t="e">
        <f>ROUND(SUM(-G1643,H1643:L1643),0)</f>
        <v>#VALUE!</v>
      </c>
      <c r="AE1643" s="117" t="e">
        <f>ROUND(H1643-O1643-P1643-Q1643-R1643,0)</f>
        <v>#VALUE!</v>
      </c>
      <c r="AF1643" s="117" t="e">
        <f>ROUND(I1643-T1643-U1643-V1643-W1643,0)</f>
        <v>#VALUE!</v>
      </c>
      <c r="AG1643" s="117" t="e">
        <f>ROUND(J1643-Y1643-Z1643-AA1643-AC1643-AB1643,0)</f>
        <v>#VALUE!</v>
      </c>
      <c r="AH1643" s="116"/>
      <c r="AI1643">
        <f t="shared" si="905"/>
        <v>1011390</v>
      </c>
      <c r="AJ1643" t="str">
        <f t="shared" si="973"/>
        <v>NA</v>
      </c>
      <c r="AK1643" t="str">
        <f>IF(ISERROR(MATCH(AI1643&amp;"."&amp;AJ1643,AK$91:AK1642,0)),AI1643&amp;"."&amp;AJ1643,AI1643&amp;"."&amp;AJ1643&amp;COUNTIFS(AI$91:AI1642,AI1643,AJ$91:AJ1642,AJ1643))</f>
        <v>1011390.NA2</v>
      </c>
    </row>
    <row r="1644" spans="1:37" ht="15" hidden="1">
      <c r="A1644" s="120">
        <f>ROW()</f>
        <v>1644</v>
      </c>
      <c r="B1644" s="120"/>
      <c r="C1644" s="1"/>
      <c r="E1644" s="121"/>
      <c r="F1644" s="138"/>
      <c r="G1644" s="119"/>
      <c r="X1644" s="3"/>
      <c r="AD1644" s="119"/>
      <c r="AE1644" s="119"/>
      <c r="AF1644" s="119"/>
      <c r="AG1644" s="119"/>
      <c r="AI1644">
        <f t="shared" ref="AI1644:AI1707" si="979">IF(OR(C1644="",C1644=" ",C1644="  ",C1644="   "),AI1643,C1644)</f>
        <v>1011390</v>
      </c>
      <c r="AJ1644" t="str">
        <f t="shared" si="973"/>
        <v>NA</v>
      </c>
      <c r="AK1644" t="str">
        <f>IF(ISERROR(MATCH(AI1644&amp;"."&amp;AJ1644,AK$91:AK1643,0)),AI1644&amp;"."&amp;AJ1644,AI1644&amp;"."&amp;AJ1644&amp;COUNTIFS(AI$91:AI1643,AI1644,AJ$91:AJ1643,AJ1644))</f>
        <v>1011390.NA3</v>
      </c>
    </row>
    <row r="1645" spans="1:37" ht="15" hidden="1">
      <c r="A1645" s="120">
        <f>ROW()</f>
        <v>1645</v>
      </c>
      <c r="B1645" s="120"/>
      <c r="C1645" s="1"/>
      <c r="D1645" s="2" t="s">
        <v>569</v>
      </c>
      <c r="E1645" s="121"/>
      <c r="F1645" s="138"/>
      <c r="G1645" s="117" t="e">
        <f t="shared" ref="G1645:L1645" si="980">-G1643</f>
        <v>#VALUE!</v>
      </c>
      <c r="H1645" s="116" t="e">
        <f t="shared" si="980"/>
        <v>#VALUE!</v>
      </c>
      <c r="I1645" s="116" t="e">
        <f t="shared" si="980"/>
        <v>#VALUE!</v>
      </c>
      <c r="J1645" s="116" t="e">
        <f t="shared" si="980"/>
        <v>#VALUE!</v>
      </c>
      <c r="K1645" s="116" t="e">
        <f t="shared" si="980"/>
        <v>#VALUE!</v>
      </c>
      <c r="L1645" s="116" t="e">
        <f t="shared" si="980"/>
        <v>#VALUE!</v>
      </c>
      <c r="N1645" s="108">
        <v>0</v>
      </c>
      <c r="O1645" s="116" t="e">
        <f>$H1645*$N1645*$M1645</f>
        <v>#VALUE!</v>
      </c>
      <c r="P1645" s="116" t="e">
        <f>$H1645*(1-$N1645)*$M1645</f>
        <v>#VALUE!</v>
      </c>
      <c r="Q1645" s="116" t="e">
        <f>$H1645*$N1645*(1-$M1645)</f>
        <v>#VALUE!</v>
      </c>
      <c r="R1645" s="116" t="e">
        <f>$H1645*(1-$N1645)*(1-$M1645)</f>
        <v>#VALUE!</v>
      </c>
      <c r="S1645" s="108">
        <v>0</v>
      </c>
      <c r="T1645" s="116" t="e">
        <f>$I1645*$S1645*$M1645</f>
        <v>#VALUE!</v>
      </c>
      <c r="U1645" s="116" t="e">
        <f>$I1645*(1-$S1645)*$M1645</f>
        <v>#VALUE!</v>
      </c>
      <c r="V1645" s="116" t="e">
        <f>$I1645*$S1645*(1-$M1645)</f>
        <v>#VALUE!</v>
      </c>
      <c r="W1645" s="116" t="e">
        <f>$I1645*(1-$S1645)*(1-$M1645)</f>
        <v>#VALUE!</v>
      </c>
      <c r="X1645" s="3"/>
      <c r="Y1645" s="116" t="e">
        <f>-Y1643</f>
        <v>#VALUE!</v>
      </c>
      <c r="Z1645" s="116" t="e">
        <f>-Z1643</f>
        <v>#VALUE!</v>
      </c>
      <c r="AA1645" s="116" t="e">
        <f>-AA1643</f>
        <v>#VALUE!</v>
      </c>
      <c r="AB1645" s="116" t="e">
        <f>-AB1643</f>
        <v>#VALUE!</v>
      </c>
      <c r="AC1645" s="116" t="e">
        <f>-AC1643</f>
        <v>#VALUE!</v>
      </c>
      <c r="AD1645" s="117" t="e">
        <f>ROUND(SUM(-G1645,H1645:L1645),0)</f>
        <v>#VALUE!</v>
      </c>
      <c r="AE1645" s="117" t="e">
        <f>ROUND(H1645-O1645-P1645-Q1645-R1645,0)</f>
        <v>#VALUE!</v>
      </c>
      <c r="AF1645" s="117" t="e">
        <f>ROUND(I1645-T1645-U1645-V1645-W1645,0)</f>
        <v>#VALUE!</v>
      </c>
      <c r="AG1645" s="117" t="e">
        <f>ROUND(J1645-Y1645-Z1645-AA1645-AC1645-AB1645,0)</f>
        <v>#VALUE!</v>
      </c>
      <c r="AH1645" s="116"/>
      <c r="AI1645">
        <f t="shared" si="979"/>
        <v>1011390</v>
      </c>
      <c r="AJ1645" t="str">
        <f t="shared" si="973"/>
        <v>NA</v>
      </c>
      <c r="AK1645" t="str">
        <f>IF(ISERROR(MATCH(AI1645&amp;"."&amp;AJ1645,AK$91:AK1644,0)),AI1645&amp;"."&amp;AJ1645,AI1645&amp;"."&amp;AJ1645&amp;COUNTIFS(AI$91:AI1644,AI1645,AJ$91:AJ1644,AJ1645))</f>
        <v>1011390.NA4</v>
      </c>
    </row>
    <row r="1646" spans="1:37" ht="15" hidden="1">
      <c r="A1646" s="120">
        <f>ROW()</f>
        <v>1646</v>
      </c>
      <c r="B1646" s="120"/>
      <c r="C1646" s="1"/>
      <c r="E1646" s="121"/>
      <c r="F1646" s="138"/>
      <c r="G1646" s="117" t="s">
        <v>141</v>
      </c>
      <c r="H1646" s="116"/>
      <c r="I1646" s="116"/>
      <c r="J1646" s="116"/>
      <c r="K1646" s="116"/>
      <c r="L1646" s="116"/>
      <c r="O1646" s="116"/>
      <c r="P1646" s="116"/>
      <c r="Q1646" s="116"/>
      <c r="R1646" s="116"/>
      <c r="T1646" s="116"/>
      <c r="U1646" s="116"/>
      <c r="V1646" s="116"/>
      <c r="W1646" s="116"/>
      <c r="X1646" s="3"/>
      <c r="Y1646" s="116"/>
      <c r="Z1646" s="116"/>
      <c r="AA1646" s="116"/>
      <c r="AB1646" s="116"/>
      <c r="AC1646" s="116"/>
      <c r="AD1646" s="117"/>
      <c r="AE1646" s="117"/>
      <c r="AF1646" s="117"/>
      <c r="AG1646" s="117"/>
      <c r="AH1646" s="116"/>
      <c r="AI1646">
        <f t="shared" si="979"/>
        <v>1011390</v>
      </c>
      <c r="AJ1646" t="str">
        <f t="shared" si="973"/>
        <v>NA</v>
      </c>
      <c r="AK1646" t="str">
        <f>IF(ISERROR(MATCH(AI1646&amp;"."&amp;AJ1646,AK$91:AK1645,0)),AI1646&amp;"."&amp;AJ1646,AI1646&amp;"."&amp;AJ1646&amp;COUNTIFS(AI$91:AI1645,AI1646,AJ$91:AJ1645,AJ1646))</f>
        <v>1011390.NA5</v>
      </c>
    </row>
    <row r="1647" spans="1:37" ht="15" hidden="1">
      <c r="A1647" s="120">
        <f>ROW()</f>
        <v>1647</v>
      </c>
      <c r="B1647" s="120"/>
      <c r="C1647" s="1"/>
      <c r="E1647" s="121"/>
      <c r="F1647" s="138"/>
      <c r="G1647" s="119"/>
      <c r="X1647" s="3"/>
      <c r="AD1647" s="119"/>
      <c r="AE1647" s="119"/>
      <c r="AF1647" s="119"/>
      <c r="AG1647" s="119"/>
      <c r="AI1647">
        <f t="shared" si="979"/>
        <v>1011390</v>
      </c>
      <c r="AJ1647" t="str">
        <f t="shared" si="973"/>
        <v>NA</v>
      </c>
      <c r="AK1647" t="str">
        <f>IF(ISERROR(MATCH(AI1647&amp;"."&amp;AJ1647,AK$91:AK1646,0)),AI1647&amp;"."&amp;AJ1647,AI1647&amp;"."&amp;AJ1647&amp;COUNTIFS(AI$91:AI1646,AI1647,AJ$91:AJ1646,AJ1647))</f>
        <v>1011390.NA6</v>
      </c>
    </row>
    <row r="1648" spans="1:37" ht="15" hidden="1">
      <c r="A1648" s="120">
        <f>ROW()</f>
        <v>1648</v>
      </c>
      <c r="B1648" s="120"/>
      <c r="C1648" s="1" t="s">
        <v>735</v>
      </c>
      <c r="D1648" s="2" t="s">
        <v>734</v>
      </c>
      <c r="E1648" s="121"/>
      <c r="F1648" s="138"/>
      <c r="G1648" s="119"/>
      <c r="X1648" s="3"/>
      <c r="AD1648" s="119"/>
      <c r="AE1648" s="119"/>
      <c r="AF1648" s="119"/>
      <c r="AG1648" s="119"/>
      <c r="AI1648" t="str">
        <f t="shared" si="979"/>
        <v>392L</v>
      </c>
      <c r="AJ1648" t="str">
        <f t="shared" si="973"/>
        <v>NA</v>
      </c>
      <c r="AK1648" t="str">
        <f>IF(ISERROR(MATCH(AI1648&amp;"."&amp;AJ1648,AK$91:AK1647,0)),AI1648&amp;"."&amp;AJ1648,AI1648&amp;"."&amp;AJ1648&amp;COUNTIFS(AI$91:AI1647,AI1648,AJ$91:AJ1647,AJ1648))</f>
        <v>392L.NA</v>
      </c>
    </row>
    <row r="1649" spans="1:37" ht="15" hidden="1">
      <c r="A1649" s="120">
        <f>ROW()</f>
        <v>1649</v>
      </c>
      <c r="B1649" s="120"/>
      <c r="C1649" s="1"/>
      <c r="E1649" s="121" t="s">
        <v>136</v>
      </c>
      <c r="F1649" s="138" t="str">
        <f>INDEX(FuncAllocOptions,ROW(A1649)-ROW($A$92)+1,[4]Inputs!$S$11)</f>
        <v>LABOR</v>
      </c>
      <c r="G1649" s="133" t="e">
        <f>SUMIF(FERCJAMFactor,AK1649,JAMValue)</f>
        <v>#VALUE!</v>
      </c>
      <c r="H1649" s="139" t="e">
        <f>INDEX(FuncFactorTbl,MATCH($F1649,FuncFactors,0),MATCH(H$8,Functions,0))*$G1649</f>
        <v>#VALUE!</v>
      </c>
      <c r="I1649" s="139" t="e">
        <f>INDEX(FuncFactorTbl,MATCH($F1649,FuncFactors,0),MATCH(I$8,Functions,0))*$G1649</f>
        <v>#VALUE!</v>
      </c>
      <c r="J1649" s="139" t="e">
        <f>INDEX(FuncFactorTbl,MATCH($F1649,FuncFactors,0),MATCH(J$8,Functions,0))*$G1649</f>
        <v>#VALUE!</v>
      </c>
      <c r="K1649" s="139" t="e">
        <f>INDEX(FuncFactorTbl,MATCH($F1649,FuncFactors,0),MATCH(K$8,Functions,0))*$G1649</f>
        <v>#VALUE!</v>
      </c>
      <c r="L1649" s="139" t="e">
        <f>INDEX(FuncFactorTbl,MATCH($F1649,FuncFactors,0),MATCH(L$8,Functions,0))*$G1649</f>
        <v>#VALUE!</v>
      </c>
      <c r="N1649" s="108">
        <v>0</v>
      </c>
      <c r="O1649" s="116" t="e">
        <f>$H1649*$N1649*$M1649</f>
        <v>#VALUE!</v>
      </c>
      <c r="P1649" s="116" t="e">
        <f>$H1649*(1-$N1649)*$M1649</f>
        <v>#VALUE!</v>
      </c>
      <c r="Q1649" s="116" t="e">
        <f>$H1649*$N1649*(1-$M1649)</f>
        <v>#VALUE!</v>
      </c>
      <c r="R1649" s="116" t="e">
        <f>$H1649*(1-$N1649)*(1-$M1649)</f>
        <v>#VALUE!</v>
      </c>
      <c r="S1649" s="108">
        <v>0</v>
      </c>
      <c r="T1649" s="116" t="e">
        <f>$I1649*$S1649*$M1649</f>
        <v>#VALUE!</v>
      </c>
      <c r="U1649" s="116" t="e">
        <f>$I1649*(1-$S1649)*$M1649</f>
        <v>#VALUE!</v>
      </c>
      <c r="V1649" s="116" t="e">
        <f>$I1649*$S1649*(1-$M1649)</f>
        <v>#VALUE!</v>
      </c>
      <c r="W1649" s="116" t="e">
        <f>$I1649*(1-$S1649)*(1-$M1649)</f>
        <v>#VALUE!</v>
      </c>
      <c r="X1649" s="3" t="str">
        <f>INDEX(DistFuncAllocOptions,ROW(A1649)-ROW($A$92)+1,[4]Inputs!$S$11)</f>
        <v>PLNT</v>
      </c>
      <c r="Y1649" s="116" t="e">
        <f>INDEX(DistFuncFactorTbl,MATCH($X1649,DistFuncFactors,0),MATCH(Y$91,DistFunctions,0))*$J1649</f>
        <v>#VALUE!</v>
      </c>
      <c r="Z1649" s="116" t="e">
        <f>INDEX(DistFuncFactorTbl,MATCH($X1649,DistFuncFactors,0),MATCH(Z$91,DistFunctions,0))*$J1649</f>
        <v>#VALUE!</v>
      </c>
      <c r="AA1649" s="116" t="e">
        <f>INDEX(DistFuncFactorTbl,MATCH($X1649,DistFuncFactors,0),MATCH(AA$91,DistFunctions,0))*$J1649</f>
        <v>#VALUE!</v>
      </c>
      <c r="AB1649" s="116" t="e">
        <f>INDEX(DistFuncFactorTbl,MATCH($X1649,DistFuncFactors,0),MATCH(AB$91,DistFunctions,0))*$J1649</f>
        <v>#VALUE!</v>
      </c>
      <c r="AC1649" s="116" t="e">
        <f>INDEX(DistFuncFactorTbl,MATCH($X1649,DistFuncFactors,0),MATCH(AC$91,DistFunctions,0))*$J1649</f>
        <v>#VALUE!</v>
      </c>
      <c r="AD1649" s="117" t="e">
        <f>ROUND(SUM(-G1649,H1649:L1649),0)</f>
        <v>#VALUE!</v>
      </c>
      <c r="AE1649" s="117" t="e">
        <f>ROUND(H1649-O1649-P1649-Q1649-R1649,0)</f>
        <v>#VALUE!</v>
      </c>
      <c r="AF1649" s="117" t="e">
        <f>ROUND(I1649-T1649-U1649-V1649-W1649,0)</f>
        <v>#VALUE!</v>
      </c>
      <c r="AG1649" s="117" t="e">
        <f>ROUND(J1649-Y1649-Z1649-AA1649-AC1649-AB1649,0)</f>
        <v>#VALUE!</v>
      </c>
      <c r="AH1649" s="116"/>
      <c r="AI1649" t="str">
        <f t="shared" si="979"/>
        <v>392L</v>
      </c>
      <c r="AJ1649" t="str">
        <f t="shared" si="973"/>
        <v>SO</v>
      </c>
      <c r="AK1649" t="str">
        <f>IF(ISERROR(MATCH(AI1649&amp;"."&amp;AJ1649,AK$91:AK1648,0)),AI1649&amp;"."&amp;AJ1649,AI1649&amp;"."&amp;AJ1649&amp;COUNTIFS(AI$91:AI1648,AI1649,AJ$91:AJ1648,AJ1649))</f>
        <v>392L.SO</v>
      </c>
    </row>
    <row r="1650" spans="1:37" ht="15" hidden="1">
      <c r="A1650" s="120">
        <f>ROW()</f>
        <v>1650</v>
      </c>
      <c r="B1650" s="120"/>
      <c r="C1650" s="1"/>
      <c r="E1650" s="121"/>
      <c r="F1650" s="138"/>
      <c r="G1650" s="117" t="e">
        <f t="shared" ref="G1650:L1650" si="981">SUM(G1649)</f>
        <v>#VALUE!</v>
      </c>
      <c r="H1650" s="116" t="e">
        <f t="shared" si="981"/>
        <v>#VALUE!</v>
      </c>
      <c r="I1650" s="116" t="e">
        <f t="shared" si="981"/>
        <v>#VALUE!</v>
      </c>
      <c r="J1650" s="116" t="e">
        <f t="shared" si="981"/>
        <v>#VALUE!</v>
      </c>
      <c r="K1650" s="116" t="e">
        <f t="shared" si="981"/>
        <v>#VALUE!</v>
      </c>
      <c r="L1650" s="116" t="e">
        <f t="shared" si="981"/>
        <v>#VALUE!</v>
      </c>
      <c r="O1650" s="116" t="e">
        <f>SUM(O1649)</f>
        <v>#VALUE!</v>
      </c>
      <c r="P1650" s="116" t="e">
        <f>SUM(P1649)</f>
        <v>#VALUE!</v>
      </c>
      <c r="Q1650" s="116" t="e">
        <f>SUM(Q1649)</f>
        <v>#VALUE!</v>
      </c>
      <c r="R1650" s="116" t="e">
        <f>SUM(R1649)</f>
        <v>#VALUE!</v>
      </c>
      <c r="T1650" s="116" t="e">
        <f>SUM(T1649)</f>
        <v>#VALUE!</v>
      </c>
      <c r="U1650" s="116" t="e">
        <f>SUM(U1649)</f>
        <v>#VALUE!</v>
      </c>
      <c r="V1650" s="116" t="e">
        <f>SUM(V1649)</f>
        <v>#VALUE!</v>
      </c>
      <c r="W1650" s="116" t="e">
        <f>SUM(W1649)</f>
        <v>#VALUE!</v>
      </c>
      <c r="X1650" s="3"/>
      <c r="Y1650" s="116" t="e">
        <f>SUM(Y1649)</f>
        <v>#VALUE!</v>
      </c>
      <c r="Z1650" s="116" t="e">
        <f>SUM(Z1649)</f>
        <v>#VALUE!</v>
      </c>
      <c r="AA1650" s="116" t="e">
        <f>SUM(AA1649)</f>
        <v>#VALUE!</v>
      </c>
      <c r="AB1650" s="116" t="e">
        <f>SUM(AB1649)</f>
        <v>#VALUE!</v>
      </c>
      <c r="AC1650" s="116" t="e">
        <f>SUM(AC1649)</f>
        <v>#VALUE!</v>
      </c>
      <c r="AD1650" s="117" t="e">
        <f>ROUND(SUM(-G1650,H1650:L1650),0)</f>
        <v>#VALUE!</v>
      </c>
      <c r="AE1650" s="117" t="e">
        <f>ROUND(H1650-O1650-P1650-Q1650-R1650,0)</f>
        <v>#VALUE!</v>
      </c>
      <c r="AF1650" s="117" t="e">
        <f>ROUND(I1650-T1650-U1650-V1650-W1650,0)</f>
        <v>#VALUE!</v>
      </c>
      <c r="AG1650" s="117" t="e">
        <f>ROUND(J1650-Y1650-Z1650-AA1650-AC1650-AB1650,0)</f>
        <v>#VALUE!</v>
      </c>
      <c r="AH1650" s="116"/>
      <c r="AI1650" t="str">
        <f t="shared" si="979"/>
        <v>392L</v>
      </c>
      <c r="AJ1650" t="str">
        <f t="shared" si="973"/>
        <v>NA</v>
      </c>
      <c r="AK1650" t="str">
        <f>IF(ISERROR(MATCH(AI1650&amp;"."&amp;AJ1650,AK$91:AK1649,0)),AI1650&amp;"."&amp;AJ1650,AI1650&amp;"."&amp;AJ1650&amp;COUNTIFS(AI$91:AI1649,AI1650,AJ$91:AJ1649,AJ1650))</f>
        <v>392L.NA1</v>
      </c>
    </row>
    <row r="1651" spans="1:37" ht="15" hidden="1">
      <c r="A1651" s="120">
        <f>ROW()</f>
        <v>1651</v>
      </c>
      <c r="B1651" s="120"/>
      <c r="C1651" s="1"/>
      <c r="E1651" s="121"/>
      <c r="F1651" s="138"/>
      <c r="G1651" s="119"/>
      <c r="X1651" s="3"/>
      <c r="AD1651" s="119"/>
      <c r="AE1651" s="119"/>
      <c r="AF1651" s="119"/>
      <c r="AG1651" s="119"/>
      <c r="AI1651" t="str">
        <f t="shared" si="979"/>
        <v>392L</v>
      </c>
      <c r="AJ1651" t="str">
        <f t="shared" si="973"/>
        <v>NA</v>
      </c>
      <c r="AK1651" t="str">
        <f>IF(ISERROR(MATCH(AI1651&amp;"."&amp;AJ1651,AK$91:AK1650,0)),AI1651&amp;"."&amp;AJ1651,AI1651&amp;"."&amp;AJ1651&amp;COUNTIFS(AI$91:AI1650,AI1651,AJ$91:AJ1650,AJ1651))</f>
        <v>392L.NA2</v>
      </c>
    </row>
    <row r="1652" spans="1:37" ht="15" hidden="1">
      <c r="A1652" s="120">
        <f>ROW()</f>
        <v>1652</v>
      </c>
      <c r="B1652" s="120"/>
      <c r="C1652" s="1"/>
      <c r="D1652" s="2" t="s">
        <v>569</v>
      </c>
      <c r="E1652" s="121"/>
      <c r="F1652" s="138" t="str">
        <f>INDEX(FuncAllocOptions,ROW(A1652)-ROW($A$92)+1,[4]Inputs!$S$11)</f>
        <v>PTD</v>
      </c>
      <c r="G1652" s="133" t="e">
        <f>SUMIF(FERCJAMFactor,AK1652,JAMValue)</f>
        <v>#VALUE!</v>
      </c>
      <c r="H1652" s="139" t="e">
        <f>INDEX(FuncFactorTbl,MATCH($F1652,FuncFactors,0),MATCH(H$8,Functions,0))*$G1652</f>
        <v>#VALUE!</v>
      </c>
      <c r="I1652" s="139" t="e">
        <f>INDEX(FuncFactorTbl,MATCH($F1652,FuncFactors,0),MATCH(I$8,Functions,0))*$G1652</f>
        <v>#VALUE!</v>
      </c>
      <c r="J1652" s="139" t="e">
        <f>INDEX(FuncFactorTbl,MATCH($F1652,FuncFactors,0),MATCH(J$8,Functions,0))*$G1652</f>
        <v>#VALUE!</v>
      </c>
      <c r="K1652" s="139" t="e">
        <f>INDEX(FuncFactorTbl,MATCH($F1652,FuncFactors,0),MATCH(K$8,Functions,0))*$G1652</f>
        <v>#VALUE!</v>
      </c>
      <c r="L1652" s="139" t="e">
        <f>INDEX(FuncFactorTbl,MATCH($F1652,FuncFactors,0),MATCH(L$8,Functions,0))*$G1652</f>
        <v>#VALUE!</v>
      </c>
      <c r="N1652" s="108">
        <v>0</v>
      </c>
      <c r="O1652" s="116" t="e">
        <f>$H1652*$N1652*$M1652</f>
        <v>#VALUE!</v>
      </c>
      <c r="P1652" s="116" t="e">
        <f>$H1652*(1-$N1652)*$M1652</f>
        <v>#VALUE!</v>
      </c>
      <c r="Q1652" s="116" t="e">
        <f>$H1652*$N1652*(1-$M1652)</f>
        <v>#VALUE!</v>
      </c>
      <c r="R1652" s="116" t="e">
        <f>$H1652*(1-$N1652)*(1-$M1652)</f>
        <v>#VALUE!</v>
      </c>
      <c r="S1652" s="108">
        <v>0</v>
      </c>
      <c r="T1652" s="116" t="e">
        <f>$I1652*$S1652*$M1652</f>
        <v>#VALUE!</v>
      </c>
      <c r="U1652" s="116" t="e">
        <f>$I1652*(1-$S1652)*$M1652</f>
        <v>#VALUE!</v>
      </c>
      <c r="V1652" s="116" t="e">
        <f>$I1652*$S1652*(1-$M1652)</f>
        <v>#VALUE!</v>
      </c>
      <c r="W1652" s="116" t="e">
        <f>$I1652*(1-$S1652)*(1-$M1652)</f>
        <v>#VALUE!</v>
      </c>
      <c r="X1652" s="3" t="str">
        <f>INDEX(DistFuncAllocOptions,ROW(A1652)-ROW($A$92)+1,[4]Inputs!$S$11)</f>
        <v>PLNT</v>
      </c>
      <c r="Y1652" s="116" t="e">
        <f>INDEX(DistFuncFactorTbl,MATCH($X1652,DistFuncFactors,0),MATCH(Y$91,DistFunctions,0))*$J1652</f>
        <v>#VALUE!</v>
      </c>
      <c r="Z1652" s="116" t="e">
        <f>INDEX(DistFuncFactorTbl,MATCH($X1652,DistFuncFactors,0),MATCH(Z$91,DistFunctions,0))*$J1652</f>
        <v>#VALUE!</v>
      </c>
      <c r="AA1652" s="116" t="e">
        <f>INDEX(DistFuncFactorTbl,MATCH($X1652,DistFuncFactors,0),MATCH(AA$91,DistFunctions,0))*$J1652</f>
        <v>#VALUE!</v>
      </c>
      <c r="AB1652" s="116" t="e">
        <f>INDEX(DistFuncFactorTbl,MATCH($X1652,DistFuncFactors,0),MATCH(AB$91,DistFunctions,0))*$J1652</f>
        <v>#VALUE!</v>
      </c>
      <c r="AC1652" s="116" t="e">
        <f>INDEX(DistFuncFactorTbl,MATCH($X1652,DistFuncFactors,0),MATCH(AC$91,DistFunctions,0))*$J1652</f>
        <v>#VALUE!</v>
      </c>
      <c r="AD1652" s="117" t="e">
        <f>ROUND(SUM(-G1652,H1652:L1652),0)</f>
        <v>#VALUE!</v>
      </c>
      <c r="AE1652" s="117" t="e">
        <f>ROUND(H1652-O1652-P1652-Q1652-R1652,0)</f>
        <v>#VALUE!</v>
      </c>
      <c r="AF1652" s="117" t="e">
        <f>ROUND(I1652-T1652-U1652-V1652-W1652,0)</f>
        <v>#VALUE!</v>
      </c>
      <c r="AG1652" s="117" t="e">
        <f>ROUND(J1652-Y1652-Z1652-AA1652-AC1652-AB1652,0)</f>
        <v>#VALUE!</v>
      </c>
      <c r="AH1652" s="116"/>
      <c r="AI1652" t="str">
        <f t="shared" si="979"/>
        <v>392L</v>
      </c>
      <c r="AJ1652" t="str">
        <f t="shared" si="973"/>
        <v>NA</v>
      </c>
      <c r="AK1652" t="str">
        <f>IF(ISERROR(MATCH(AI1652&amp;"."&amp;AJ1652,AK$91:AK1651,0)),AI1652&amp;"."&amp;AJ1652,AI1652&amp;"."&amp;AJ1652&amp;COUNTIFS(AI$91:AI1651,AI1652,AJ$91:AJ1651,AJ1652))</f>
        <v>392L.NA3</v>
      </c>
    </row>
    <row r="1653" spans="1:37" ht="15" hidden="1">
      <c r="A1653" s="120">
        <f>ROW()</f>
        <v>1653</v>
      </c>
      <c r="B1653" s="120"/>
      <c r="C1653" s="1"/>
      <c r="E1653" s="121"/>
      <c r="F1653" s="138"/>
      <c r="G1653" s="117" t="e">
        <f t="shared" ref="G1653:L1653" si="982">SUM(G1652)</f>
        <v>#VALUE!</v>
      </c>
      <c r="H1653" s="116" t="e">
        <f t="shared" si="982"/>
        <v>#VALUE!</v>
      </c>
      <c r="I1653" s="116" t="e">
        <f t="shared" si="982"/>
        <v>#VALUE!</v>
      </c>
      <c r="J1653" s="116" t="e">
        <f t="shared" si="982"/>
        <v>#VALUE!</v>
      </c>
      <c r="K1653" s="116" t="e">
        <f t="shared" si="982"/>
        <v>#VALUE!</v>
      </c>
      <c r="L1653" s="116" t="e">
        <f t="shared" si="982"/>
        <v>#VALUE!</v>
      </c>
      <c r="O1653" s="116" t="e">
        <f>SUM(O1652)</f>
        <v>#VALUE!</v>
      </c>
      <c r="P1653" s="116" t="e">
        <f>SUM(P1652)</f>
        <v>#VALUE!</v>
      </c>
      <c r="Q1653" s="116" t="e">
        <f>SUM(Q1652)</f>
        <v>#VALUE!</v>
      </c>
      <c r="R1653" s="116" t="e">
        <f>SUM(R1652)</f>
        <v>#VALUE!</v>
      </c>
      <c r="T1653" s="116" t="e">
        <f>SUM(T1652)</f>
        <v>#VALUE!</v>
      </c>
      <c r="U1653" s="116" t="e">
        <f>SUM(U1652)</f>
        <v>#VALUE!</v>
      </c>
      <c r="V1653" s="116" t="e">
        <f>SUM(V1652)</f>
        <v>#VALUE!</v>
      </c>
      <c r="W1653" s="116" t="e">
        <f>SUM(W1652)</f>
        <v>#VALUE!</v>
      </c>
      <c r="X1653" s="3"/>
      <c r="Y1653" s="116" t="e">
        <f>SUM(Y1652)</f>
        <v>#VALUE!</v>
      </c>
      <c r="Z1653" s="116" t="e">
        <f>SUM(Z1652)</f>
        <v>#VALUE!</v>
      </c>
      <c r="AA1653" s="116" t="e">
        <f>SUM(AA1652)</f>
        <v>#VALUE!</v>
      </c>
      <c r="AB1653" s="116" t="e">
        <f>SUM(AB1652)</f>
        <v>#VALUE!</v>
      </c>
      <c r="AC1653" s="116" t="e">
        <f>SUM(AC1652)</f>
        <v>#VALUE!</v>
      </c>
      <c r="AD1653" s="117" t="e">
        <f>ROUND(SUM(-G1653,H1653:L1653),0)</f>
        <v>#VALUE!</v>
      </c>
      <c r="AE1653" s="117" t="e">
        <f>ROUND(H1653-O1653-P1653-Q1653-R1653,0)</f>
        <v>#VALUE!</v>
      </c>
      <c r="AF1653" s="117" t="e">
        <f>ROUND(I1653-T1653-U1653-V1653-W1653,0)</f>
        <v>#VALUE!</v>
      </c>
      <c r="AG1653" s="117" t="e">
        <f>ROUND(J1653-Y1653-Z1653-AA1653-AC1653-AB1653,0)</f>
        <v>#VALUE!</v>
      </c>
      <c r="AH1653" s="116"/>
      <c r="AI1653" t="str">
        <f t="shared" si="979"/>
        <v>392L</v>
      </c>
      <c r="AJ1653" t="str">
        <f t="shared" si="973"/>
        <v>NA</v>
      </c>
      <c r="AK1653" t="str">
        <f>IF(ISERROR(MATCH(AI1653&amp;"."&amp;AJ1653,AK$91:AK1652,0)),AI1653&amp;"."&amp;AJ1653,AI1653&amp;"."&amp;AJ1653&amp;COUNTIFS(AI$91:AI1652,AI1653,AJ$91:AJ1652,AJ1653))</f>
        <v>392L.NA4</v>
      </c>
    </row>
    <row r="1654" spans="1:37" ht="15" hidden="1">
      <c r="A1654" s="120">
        <f>ROW()</f>
        <v>1654</v>
      </c>
      <c r="B1654" s="120"/>
      <c r="C1654" s="1"/>
      <c r="E1654" s="121"/>
      <c r="F1654" s="138"/>
      <c r="G1654" s="119"/>
      <c r="X1654" s="3"/>
      <c r="AD1654" s="119"/>
      <c r="AE1654" s="119"/>
      <c r="AF1654" s="119"/>
      <c r="AG1654" s="119"/>
      <c r="AI1654" t="str">
        <f t="shared" si="979"/>
        <v>392L</v>
      </c>
      <c r="AJ1654" t="str">
        <f t="shared" si="973"/>
        <v>NA</v>
      </c>
      <c r="AK1654" t="str">
        <f>IF(ISERROR(MATCH(AI1654&amp;"."&amp;AJ1654,AK$91:AK1653,0)),AI1654&amp;"."&amp;AJ1654,AI1654&amp;"."&amp;AJ1654&amp;COUNTIFS(AI$91:AI1653,AI1654,AJ$91:AJ1653,AJ1654))</f>
        <v>392L.NA5</v>
      </c>
    </row>
    <row r="1655" spans="1:37" ht="15" hidden="1">
      <c r="A1655" s="120">
        <f>ROW()</f>
        <v>1655</v>
      </c>
      <c r="B1655" s="120"/>
      <c r="C1655" s="1" t="s">
        <v>140</v>
      </c>
      <c r="D1655" s="2" t="s">
        <v>573</v>
      </c>
      <c r="E1655" s="121"/>
      <c r="F1655" s="138"/>
      <c r="G1655" s="119"/>
      <c r="X1655" s="3"/>
      <c r="AD1655" s="119"/>
      <c r="AE1655" s="119"/>
      <c r="AF1655" s="119"/>
      <c r="AG1655" s="119"/>
      <c r="AI1655" t="str">
        <f t="shared" si="979"/>
        <v>GP</v>
      </c>
      <c r="AJ1655" t="str">
        <f t="shared" si="973"/>
        <v>NA</v>
      </c>
      <c r="AK1655" t="str">
        <f>IF(ISERROR(MATCH(AI1655&amp;"."&amp;AJ1655,AK$91:AK1654,0)),AI1655&amp;"."&amp;AJ1655,AI1655&amp;"."&amp;AJ1655&amp;COUNTIFS(AI$91:AI1654,AI1655,AJ$91:AJ1654,AJ1655))</f>
        <v>GP.NA</v>
      </c>
    </row>
    <row r="1656" spans="1:37" ht="15" hidden="1">
      <c r="A1656" s="120">
        <f>ROW()</f>
        <v>1656</v>
      </c>
      <c r="B1656" s="120"/>
      <c r="C1656" s="1"/>
      <c r="E1656" s="121" t="s">
        <v>12</v>
      </c>
      <c r="F1656" s="138" t="str">
        <f>INDEX(FuncAllocOptions,ROW(A1656)-ROW($A$92)+1,[4]Inputs!$S$11)</f>
        <v>G-SITUS</v>
      </c>
      <c r="G1656" s="117" t="e">
        <f t="shared" ref="G1656:G1661" si="983">SUMIF(FERCJAMFactor,AK1656,JAMValue)</f>
        <v>#VALUE!</v>
      </c>
      <c r="H1656" s="116" t="e">
        <f t="shared" ref="H1656:L1661" si="984">INDEX(FuncFactorTbl,MATCH($F1656,FuncFactors,0),MATCH(H$8,Functions,0))*$G1656</f>
        <v>#VALUE!</v>
      </c>
      <c r="I1656" s="116" t="e">
        <f t="shared" si="984"/>
        <v>#VALUE!</v>
      </c>
      <c r="J1656" s="116" t="e">
        <f t="shared" si="984"/>
        <v>#VALUE!</v>
      </c>
      <c r="K1656" s="116" t="e">
        <f t="shared" si="984"/>
        <v>#VALUE!</v>
      </c>
      <c r="L1656" s="116" t="e">
        <f t="shared" si="984"/>
        <v>#VALUE!</v>
      </c>
      <c r="N1656" s="108">
        <v>0.75</v>
      </c>
      <c r="O1656" s="116" t="e">
        <f t="shared" ref="O1656:O1661" si="985">$H1656*$N1656*$M1656</f>
        <v>#VALUE!</v>
      </c>
      <c r="P1656" s="116" t="e">
        <f t="shared" ref="P1656:P1661" si="986">$H1656*(1-$N1656)*$M1656</f>
        <v>#VALUE!</v>
      </c>
      <c r="Q1656" s="116" t="e">
        <f t="shared" ref="Q1656:Q1661" si="987">$H1656*$N1656*(1-$M1656)</f>
        <v>#VALUE!</v>
      </c>
      <c r="R1656" s="116" t="e">
        <f t="shared" ref="R1656:R1661" si="988">$H1656*(1-$N1656)*(1-$M1656)</f>
        <v>#VALUE!</v>
      </c>
      <c r="S1656" s="108">
        <v>0.75</v>
      </c>
      <c r="T1656" s="116" t="e">
        <f t="shared" ref="T1656:T1661" si="989">$I1656*$S1656*$M1656</f>
        <v>#VALUE!</v>
      </c>
      <c r="U1656" s="116" t="e">
        <f t="shared" ref="U1656:U1661" si="990">$I1656*(1-$S1656)*$M1656</f>
        <v>#VALUE!</v>
      </c>
      <c r="V1656" s="116" t="e">
        <f t="shared" ref="V1656:V1661" si="991">$I1656*$S1656*(1-$M1656)</f>
        <v>#VALUE!</v>
      </c>
      <c r="W1656" s="116" t="e">
        <f t="shared" ref="W1656:W1661" si="992">$I1656*(1-$S1656)*(1-$M1656)</f>
        <v>#VALUE!</v>
      </c>
      <c r="X1656" s="3" t="str">
        <f>INDEX(DistFuncAllocOptions,ROW(A1656)-ROW($A$92)+1,[4]Inputs!$S$11)</f>
        <v>PLNT</v>
      </c>
      <c r="Y1656" s="116" t="e">
        <f t="shared" ref="Y1656:AC1661" si="993">INDEX(DistFuncFactorTbl,MATCH($X1656,DistFuncFactors,0),MATCH(Y$91,DistFunctions,0))*$J1656</f>
        <v>#VALUE!</v>
      </c>
      <c r="Z1656" s="116" t="e">
        <f t="shared" si="993"/>
        <v>#VALUE!</v>
      </c>
      <c r="AA1656" s="116" t="e">
        <f t="shared" si="993"/>
        <v>#VALUE!</v>
      </c>
      <c r="AB1656" s="116" t="e">
        <f t="shared" si="993"/>
        <v>#VALUE!</v>
      </c>
      <c r="AC1656" s="116" t="e">
        <f t="shared" si="993"/>
        <v>#VALUE!</v>
      </c>
      <c r="AD1656" s="117" t="e">
        <f t="shared" ref="AD1656:AD1662" si="994">ROUND(SUM(-G1656,H1656:L1656),0)</f>
        <v>#VALUE!</v>
      </c>
      <c r="AE1656" s="117" t="e">
        <f t="shared" ref="AE1656:AE1662" si="995">ROUND(H1656-O1656-P1656-Q1656-R1656,0)</f>
        <v>#VALUE!</v>
      </c>
      <c r="AF1656" s="117" t="e">
        <f t="shared" ref="AF1656:AF1662" si="996">ROUND(I1656-T1656-U1656-V1656-W1656,0)</f>
        <v>#VALUE!</v>
      </c>
      <c r="AG1656" s="117" t="e">
        <f t="shared" ref="AG1656:AG1662" si="997">ROUND(J1656-Y1656-Z1656-AA1656-AC1656-AB1656,0)</f>
        <v>#VALUE!</v>
      </c>
      <c r="AH1656" s="116"/>
      <c r="AI1656" t="str">
        <f t="shared" si="979"/>
        <v>GP</v>
      </c>
      <c r="AJ1656" t="str">
        <f t="shared" si="973"/>
        <v>S</v>
      </c>
      <c r="AK1656" t="str">
        <f>IF(ISERROR(MATCH(AI1656&amp;"."&amp;AJ1656,AK$91:AK1655,0)),AI1656&amp;"."&amp;AJ1656,AI1656&amp;"."&amp;AJ1656&amp;COUNTIFS(AI$91:AI1655,AI1656,AJ$91:AJ1655,AJ1656))</f>
        <v>GP.S</v>
      </c>
    </row>
    <row r="1657" spans="1:37" ht="15" hidden="1">
      <c r="A1657" s="120">
        <f>ROW()</f>
        <v>1657</v>
      </c>
      <c r="B1657" s="120"/>
      <c r="C1657" s="1"/>
      <c r="E1657" s="121" t="s">
        <v>136</v>
      </c>
      <c r="F1657" s="138" t="str">
        <f>INDEX(FuncAllocOptions,ROW(A1657)-ROW($A$92)+1,[4]Inputs!$S$11)</f>
        <v>PTD</v>
      </c>
      <c r="G1657" s="117" t="e">
        <f t="shared" si="983"/>
        <v>#VALUE!</v>
      </c>
      <c r="H1657" s="116" t="e">
        <f t="shared" si="984"/>
        <v>#VALUE!</v>
      </c>
      <c r="I1657" s="116" t="e">
        <f t="shared" si="984"/>
        <v>#VALUE!</v>
      </c>
      <c r="J1657" s="116" t="e">
        <f t="shared" si="984"/>
        <v>#VALUE!</v>
      </c>
      <c r="K1657" s="116" t="e">
        <f t="shared" si="984"/>
        <v>#VALUE!</v>
      </c>
      <c r="L1657" s="116" t="e">
        <f t="shared" si="984"/>
        <v>#VALUE!</v>
      </c>
      <c r="N1657" s="108">
        <v>0.75</v>
      </c>
      <c r="O1657" s="116" t="e">
        <f t="shared" si="985"/>
        <v>#VALUE!</v>
      </c>
      <c r="P1657" s="116" t="e">
        <f t="shared" si="986"/>
        <v>#VALUE!</v>
      </c>
      <c r="Q1657" s="116" t="e">
        <f t="shared" si="987"/>
        <v>#VALUE!</v>
      </c>
      <c r="R1657" s="116" t="e">
        <f t="shared" si="988"/>
        <v>#VALUE!</v>
      </c>
      <c r="S1657" s="108">
        <v>0.75</v>
      </c>
      <c r="T1657" s="116" t="e">
        <f t="shared" si="989"/>
        <v>#VALUE!</v>
      </c>
      <c r="U1657" s="116" t="e">
        <f t="shared" si="990"/>
        <v>#VALUE!</v>
      </c>
      <c r="V1657" s="116" t="e">
        <f t="shared" si="991"/>
        <v>#VALUE!</v>
      </c>
      <c r="W1657" s="116" t="e">
        <f t="shared" si="992"/>
        <v>#VALUE!</v>
      </c>
      <c r="X1657" s="3" t="str">
        <f>INDEX(DistFuncAllocOptions,ROW(A1657)-ROW($A$92)+1,[4]Inputs!$S$11)</f>
        <v>PLNT</v>
      </c>
      <c r="Y1657" s="116" t="e">
        <f t="shared" si="993"/>
        <v>#VALUE!</v>
      </c>
      <c r="Z1657" s="116" t="e">
        <f t="shared" si="993"/>
        <v>#VALUE!</v>
      </c>
      <c r="AA1657" s="116" t="e">
        <f t="shared" si="993"/>
        <v>#VALUE!</v>
      </c>
      <c r="AB1657" s="116" t="e">
        <f t="shared" si="993"/>
        <v>#VALUE!</v>
      </c>
      <c r="AC1657" s="116" t="e">
        <f t="shared" si="993"/>
        <v>#VALUE!</v>
      </c>
      <c r="AD1657" s="117" t="e">
        <f t="shared" si="994"/>
        <v>#VALUE!</v>
      </c>
      <c r="AE1657" s="117" t="e">
        <f t="shared" si="995"/>
        <v>#VALUE!</v>
      </c>
      <c r="AF1657" s="117" t="e">
        <f t="shared" si="996"/>
        <v>#VALUE!</v>
      </c>
      <c r="AG1657" s="117" t="e">
        <f t="shared" si="997"/>
        <v>#VALUE!</v>
      </c>
      <c r="AH1657" s="116"/>
      <c r="AI1657" t="str">
        <f t="shared" si="979"/>
        <v>GP</v>
      </c>
      <c r="AJ1657" t="str">
        <f t="shared" si="973"/>
        <v>SO</v>
      </c>
      <c r="AK1657" t="str">
        <f>IF(ISERROR(MATCH(AI1657&amp;"."&amp;AJ1657,AK$91:AK1656,0)),AI1657&amp;"."&amp;AJ1657,AI1657&amp;"."&amp;AJ1657&amp;COUNTIFS(AI$91:AI1656,AI1657,AJ$91:AJ1656,AJ1657))</f>
        <v>GP.SO</v>
      </c>
    </row>
    <row r="1658" spans="1:37" ht="15" hidden="1">
      <c r="A1658" s="120">
        <f>ROW()</f>
        <v>1658</v>
      </c>
      <c r="B1658" s="120"/>
      <c r="C1658" s="1"/>
      <c r="E1658" s="121" t="s">
        <v>155</v>
      </c>
      <c r="F1658" s="138" t="str">
        <f>INDEX(FuncAllocOptions,ROW(A1658)-ROW($A$92)+1,[4]Inputs!$S$11)</f>
        <v>CUST</v>
      </c>
      <c r="G1658" s="117" t="e">
        <f t="shared" si="983"/>
        <v>#VALUE!</v>
      </c>
      <c r="H1658" s="116" t="e">
        <f t="shared" si="984"/>
        <v>#VALUE!</v>
      </c>
      <c r="I1658" s="116" t="e">
        <f t="shared" si="984"/>
        <v>#VALUE!</v>
      </c>
      <c r="J1658" s="116" t="e">
        <f t="shared" si="984"/>
        <v>#VALUE!</v>
      </c>
      <c r="K1658" s="116" t="e">
        <f t="shared" si="984"/>
        <v>#VALUE!</v>
      </c>
      <c r="L1658" s="116" t="e">
        <f t="shared" si="984"/>
        <v>#VALUE!</v>
      </c>
      <c r="N1658" s="108">
        <v>0.75</v>
      </c>
      <c r="O1658" s="116" t="e">
        <f t="shared" si="985"/>
        <v>#VALUE!</v>
      </c>
      <c r="P1658" s="116" t="e">
        <f t="shared" si="986"/>
        <v>#VALUE!</v>
      </c>
      <c r="Q1658" s="116" t="e">
        <f t="shared" si="987"/>
        <v>#VALUE!</v>
      </c>
      <c r="R1658" s="116" t="e">
        <f t="shared" si="988"/>
        <v>#VALUE!</v>
      </c>
      <c r="S1658" s="108">
        <v>0.75</v>
      </c>
      <c r="T1658" s="116" t="e">
        <f t="shared" si="989"/>
        <v>#VALUE!</v>
      </c>
      <c r="U1658" s="116" t="e">
        <f t="shared" si="990"/>
        <v>#VALUE!</v>
      </c>
      <c r="V1658" s="116" t="e">
        <f t="shared" si="991"/>
        <v>#VALUE!</v>
      </c>
      <c r="W1658" s="116" t="e">
        <f t="shared" si="992"/>
        <v>#VALUE!</v>
      </c>
      <c r="X1658" s="3" t="str">
        <f>INDEX(DistFuncAllocOptions,ROW(A1658)-ROW($A$92)+1,[4]Inputs!$S$11)</f>
        <v>CUST</v>
      </c>
      <c r="Y1658" s="116" t="e">
        <f t="shared" si="993"/>
        <v>#VALUE!</v>
      </c>
      <c r="Z1658" s="116" t="e">
        <f t="shared" si="993"/>
        <v>#VALUE!</v>
      </c>
      <c r="AA1658" s="116" t="e">
        <f t="shared" si="993"/>
        <v>#VALUE!</v>
      </c>
      <c r="AB1658" s="116" t="e">
        <f t="shared" si="993"/>
        <v>#VALUE!</v>
      </c>
      <c r="AC1658" s="116" t="e">
        <f t="shared" si="993"/>
        <v>#VALUE!</v>
      </c>
      <c r="AD1658" s="117" t="e">
        <f t="shared" si="994"/>
        <v>#VALUE!</v>
      </c>
      <c r="AE1658" s="117" t="e">
        <f t="shared" si="995"/>
        <v>#VALUE!</v>
      </c>
      <c r="AF1658" s="117" t="e">
        <f t="shared" si="996"/>
        <v>#VALUE!</v>
      </c>
      <c r="AG1658" s="117" t="e">
        <f t="shared" si="997"/>
        <v>#VALUE!</v>
      </c>
      <c r="AH1658" s="116"/>
      <c r="AI1658" t="str">
        <f t="shared" si="979"/>
        <v>GP</v>
      </c>
      <c r="AJ1658" t="str">
        <f t="shared" si="973"/>
        <v>CN</v>
      </c>
      <c r="AK1658" t="str">
        <f>IF(ISERROR(MATCH(AI1658&amp;"."&amp;AJ1658,AK$91:AK1657,0)),AI1658&amp;"."&amp;AJ1658,AI1658&amp;"."&amp;AJ1658&amp;COUNTIFS(AI$91:AI1657,AI1658,AJ$91:AJ1657,AJ1658))</f>
        <v>GP.CN</v>
      </c>
    </row>
    <row r="1659" spans="1:37" ht="15" hidden="1">
      <c r="A1659" s="120">
        <f>ROW()</f>
        <v>1659</v>
      </c>
      <c r="B1659" s="120"/>
      <c r="C1659" s="1"/>
      <c r="E1659" s="121" t="s">
        <v>15</v>
      </c>
      <c r="F1659" s="138" t="str">
        <f>INDEX(FuncAllocOptions,ROW(A1659)-ROW($A$92)+1,[4]Inputs!$S$11)</f>
        <v>G-SG</v>
      </c>
      <c r="G1659" s="117" t="e">
        <f t="shared" si="983"/>
        <v>#VALUE!</v>
      </c>
      <c r="H1659" s="116" t="e">
        <f t="shared" si="984"/>
        <v>#VALUE!</v>
      </c>
      <c r="I1659" s="116" t="e">
        <f t="shared" si="984"/>
        <v>#VALUE!</v>
      </c>
      <c r="J1659" s="116" t="e">
        <f t="shared" si="984"/>
        <v>#VALUE!</v>
      </c>
      <c r="K1659" s="116" t="e">
        <f t="shared" si="984"/>
        <v>#VALUE!</v>
      </c>
      <c r="L1659" s="116" t="e">
        <f t="shared" si="984"/>
        <v>#VALUE!</v>
      </c>
      <c r="N1659" s="108">
        <v>0.75</v>
      </c>
      <c r="O1659" s="116" t="e">
        <f t="shared" si="985"/>
        <v>#VALUE!</v>
      </c>
      <c r="P1659" s="116" t="e">
        <f t="shared" si="986"/>
        <v>#VALUE!</v>
      </c>
      <c r="Q1659" s="116" t="e">
        <f t="shared" si="987"/>
        <v>#VALUE!</v>
      </c>
      <c r="R1659" s="116" t="e">
        <f t="shared" si="988"/>
        <v>#VALUE!</v>
      </c>
      <c r="S1659" s="108">
        <v>0.75</v>
      </c>
      <c r="T1659" s="116" t="e">
        <f t="shared" si="989"/>
        <v>#VALUE!</v>
      </c>
      <c r="U1659" s="116" t="e">
        <f t="shared" si="990"/>
        <v>#VALUE!</v>
      </c>
      <c r="V1659" s="116" t="e">
        <f t="shared" si="991"/>
        <v>#VALUE!</v>
      </c>
      <c r="W1659" s="116" t="e">
        <f t="shared" si="992"/>
        <v>#VALUE!</v>
      </c>
      <c r="X1659" s="3" t="str">
        <f>INDEX(DistFuncAllocOptions,ROW(A1659)-ROW($A$92)+1,[4]Inputs!$S$11)</f>
        <v>PLNT</v>
      </c>
      <c r="Y1659" s="116" t="e">
        <f t="shared" si="993"/>
        <v>#VALUE!</v>
      </c>
      <c r="Z1659" s="116" t="e">
        <f t="shared" si="993"/>
        <v>#VALUE!</v>
      </c>
      <c r="AA1659" s="116" t="e">
        <f t="shared" si="993"/>
        <v>#VALUE!</v>
      </c>
      <c r="AB1659" s="116" t="e">
        <f t="shared" si="993"/>
        <v>#VALUE!</v>
      </c>
      <c r="AC1659" s="116" t="e">
        <f t="shared" si="993"/>
        <v>#VALUE!</v>
      </c>
      <c r="AD1659" s="117" t="e">
        <f t="shared" si="994"/>
        <v>#VALUE!</v>
      </c>
      <c r="AE1659" s="117" t="e">
        <f t="shared" si="995"/>
        <v>#VALUE!</v>
      </c>
      <c r="AF1659" s="117" t="e">
        <f t="shared" si="996"/>
        <v>#VALUE!</v>
      </c>
      <c r="AG1659" s="117" t="e">
        <f t="shared" si="997"/>
        <v>#VALUE!</v>
      </c>
      <c r="AH1659" s="116"/>
      <c r="AI1659" t="str">
        <f t="shared" si="979"/>
        <v>GP</v>
      </c>
      <c r="AJ1659" t="str">
        <f t="shared" si="973"/>
        <v>SG</v>
      </c>
      <c r="AK1659" t="str">
        <f>IF(ISERROR(MATCH(AI1659&amp;"."&amp;AJ1659,AK$91:AK1658,0)),AI1659&amp;"."&amp;AJ1659,AI1659&amp;"."&amp;AJ1659&amp;COUNTIFS(AI$91:AI1658,AI1659,AJ$91:AJ1658,AJ1659))</f>
        <v>GP.SG</v>
      </c>
    </row>
    <row r="1660" spans="1:37" ht="15" hidden="1">
      <c r="A1660" s="120">
        <f>ROW()</f>
        <v>1660</v>
      </c>
      <c r="B1660" s="120"/>
      <c r="C1660" s="1"/>
      <c r="E1660" s="121" t="s">
        <v>15</v>
      </c>
      <c r="F1660" s="138" t="str">
        <f>INDEX(FuncAllocOptions,ROW(A1660)-ROW($A$92)+1,[4]Inputs!$S$11)</f>
        <v>PT</v>
      </c>
      <c r="G1660" s="117" t="e">
        <f t="shared" si="983"/>
        <v>#VALUE!</v>
      </c>
      <c r="H1660" s="116" t="e">
        <f t="shared" si="984"/>
        <v>#VALUE!</v>
      </c>
      <c r="I1660" s="116" t="e">
        <f t="shared" si="984"/>
        <v>#VALUE!</v>
      </c>
      <c r="J1660" s="116" t="e">
        <f t="shared" si="984"/>
        <v>#VALUE!</v>
      </c>
      <c r="K1660" s="116" t="e">
        <f t="shared" si="984"/>
        <v>#VALUE!</v>
      </c>
      <c r="L1660" s="116" t="e">
        <f t="shared" si="984"/>
        <v>#VALUE!</v>
      </c>
      <c r="N1660" s="108">
        <v>0.75</v>
      </c>
      <c r="O1660" s="116" t="e">
        <f t="shared" si="985"/>
        <v>#VALUE!</v>
      </c>
      <c r="P1660" s="116" t="e">
        <f t="shared" si="986"/>
        <v>#VALUE!</v>
      </c>
      <c r="Q1660" s="116" t="e">
        <f t="shared" si="987"/>
        <v>#VALUE!</v>
      </c>
      <c r="R1660" s="116" t="e">
        <f t="shared" si="988"/>
        <v>#VALUE!</v>
      </c>
      <c r="S1660" s="108">
        <v>0.75</v>
      </c>
      <c r="T1660" s="116" t="e">
        <f t="shared" si="989"/>
        <v>#VALUE!</v>
      </c>
      <c r="U1660" s="116" t="e">
        <f t="shared" si="990"/>
        <v>#VALUE!</v>
      </c>
      <c r="V1660" s="116" t="e">
        <f t="shared" si="991"/>
        <v>#VALUE!</v>
      </c>
      <c r="W1660" s="116" t="e">
        <f t="shared" si="992"/>
        <v>#VALUE!</v>
      </c>
      <c r="X1660" s="3" t="str">
        <f>INDEX(DistFuncAllocOptions,ROW(A1660)-ROW($A$92)+1,[4]Inputs!$S$11)</f>
        <v>PLNT</v>
      </c>
      <c r="Y1660" s="116" t="e">
        <f t="shared" si="993"/>
        <v>#VALUE!</v>
      </c>
      <c r="Z1660" s="116" t="e">
        <f t="shared" si="993"/>
        <v>#VALUE!</v>
      </c>
      <c r="AA1660" s="116" t="e">
        <f t="shared" si="993"/>
        <v>#VALUE!</v>
      </c>
      <c r="AB1660" s="116" t="e">
        <f t="shared" si="993"/>
        <v>#VALUE!</v>
      </c>
      <c r="AC1660" s="116" t="e">
        <f t="shared" si="993"/>
        <v>#VALUE!</v>
      </c>
      <c r="AD1660" s="117" t="e">
        <f t="shared" si="994"/>
        <v>#VALUE!</v>
      </c>
      <c r="AE1660" s="117" t="e">
        <f t="shared" si="995"/>
        <v>#VALUE!</v>
      </c>
      <c r="AF1660" s="117" t="e">
        <f t="shared" si="996"/>
        <v>#VALUE!</v>
      </c>
      <c r="AG1660" s="117" t="e">
        <f t="shared" si="997"/>
        <v>#VALUE!</v>
      </c>
      <c r="AH1660" s="116"/>
      <c r="AI1660" t="str">
        <f t="shared" si="979"/>
        <v>GP</v>
      </c>
      <c r="AJ1660" t="str">
        <f t="shared" si="973"/>
        <v>SG</v>
      </c>
      <c r="AK1660" t="str">
        <f>IF(ISERROR(MATCH(AI1660&amp;"."&amp;AJ1660,AK$91:AK1659,0)),AI1660&amp;"."&amp;AJ1660,AI1660&amp;"."&amp;AJ1660&amp;COUNTIFS(AI$91:AI1659,AI1660,AJ$91:AJ1659,AJ1660))</f>
        <v>GP.SG1</v>
      </c>
    </row>
    <row r="1661" spans="1:37" ht="15" hidden="1">
      <c r="A1661" s="120">
        <f>ROW()</f>
        <v>1661</v>
      </c>
      <c r="B1661" s="120"/>
      <c r="C1661" s="1"/>
      <c r="E1661" s="121" t="s">
        <v>15</v>
      </c>
      <c r="F1661" s="138" t="str">
        <f>INDEX(FuncAllocOptions,ROW(A1661)-ROW($A$92)+1,[4]Inputs!$S$11)</f>
        <v>PT</v>
      </c>
      <c r="G1661" s="133" t="e">
        <f t="shared" si="983"/>
        <v>#VALUE!</v>
      </c>
      <c r="H1661" s="139" t="e">
        <f t="shared" si="984"/>
        <v>#VALUE!</v>
      </c>
      <c r="I1661" s="139" t="e">
        <f t="shared" si="984"/>
        <v>#VALUE!</v>
      </c>
      <c r="J1661" s="139" t="e">
        <f t="shared" si="984"/>
        <v>#VALUE!</v>
      </c>
      <c r="K1661" s="139" t="e">
        <f t="shared" si="984"/>
        <v>#VALUE!</v>
      </c>
      <c r="L1661" s="139" t="e">
        <f t="shared" si="984"/>
        <v>#VALUE!</v>
      </c>
      <c r="N1661" s="108">
        <v>0.75</v>
      </c>
      <c r="O1661" s="116" t="e">
        <f t="shared" si="985"/>
        <v>#VALUE!</v>
      </c>
      <c r="P1661" s="116" t="e">
        <f t="shared" si="986"/>
        <v>#VALUE!</v>
      </c>
      <c r="Q1661" s="116" t="e">
        <f t="shared" si="987"/>
        <v>#VALUE!</v>
      </c>
      <c r="R1661" s="116" t="e">
        <f t="shared" si="988"/>
        <v>#VALUE!</v>
      </c>
      <c r="S1661" s="108">
        <v>0.75</v>
      </c>
      <c r="T1661" s="116" t="e">
        <f t="shared" si="989"/>
        <v>#VALUE!</v>
      </c>
      <c r="U1661" s="116" t="e">
        <f t="shared" si="990"/>
        <v>#VALUE!</v>
      </c>
      <c r="V1661" s="116" t="e">
        <f t="shared" si="991"/>
        <v>#VALUE!</v>
      </c>
      <c r="W1661" s="116" t="e">
        <f t="shared" si="992"/>
        <v>#VALUE!</v>
      </c>
      <c r="X1661" s="3" t="str">
        <f>INDEX(DistFuncAllocOptions,ROW(A1661)-ROW($A$92)+1,[4]Inputs!$S$11)</f>
        <v>PLNT</v>
      </c>
      <c r="Y1661" s="116" t="e">
        <f t="shared" si="993"/>
        <v>#VALUE!</v>
      </c>
      <c r="Z1661" s="116" t="e">
        <f t="shared" si="993"/>
        <v>#VALUE!</v>
      </c>
      <c r="AA1661" s="116" t="e">
        <f t="shared" si="993"/>
        <v>#VALUE!</v>
      </c>
      <c r="AB1661" s="116" t="e">
        <f t="shared" si="993"/>
        <v>#VALUE!</v>
      </c>
      <c r="AC1661" s="116" t="e">
        <f t="shared" si="993"/>
        <v>#VALUE!</v>
      </c>
      <c r="AD1661" s="117" t="e">
        <f t="shared" si="994"/>
        <v>#VALUE!</v>
      </c>
      <c r="AE1661" s="117" t="e">
        <f t="shared" si="995"/>
        <v>#VALUE!</v>
      </c>
      <c r="AF1661" s="117" t="e">
        <f t="shared" si="996"/>
        <v>#VALUE!</v>
      </c>
      <c r="AG1661" s="117" t="e">
        <f t="shared" si="997"/>
        <v>#VALUE!</v>
      </c>
      <c r="AH1661" s="116"/>
      <c r="AI1661" t="str">
        <f t="shared" si="979"/>
        <v>GP</v>
      </c>
      <c r="AJ1661" t="str">
        <f t="shared" si="973"/>
        <v>SG</v>
      </c>
      <c r="AK1661" t="str">
        <f>IF(ISERROR(MATCH(AI1661&amp;"."&amp;AJ1661,AK$91:AK1660,0)),AI1661&amp;"."&amp;AJ1661,AI1661&amp;"."&amp;AJ1661&amp;COUNTIFS(AI$91:AI1660,AI1661,AJ$91:AJ1660,AJ1661))</f>
        <v>GP.SG2</v>
      </c>
    </row>
    <row r="1662" spans="1:37" ht="15" hidden="1">
      <c r="A1662" s="120">
        <f>ROW()</f>
        <v>1662</v>
      </c>
      <c r="B1662" s="120"/>
      <c r="C1662" s="1"/>
      <c r="E1662" s="121"/>
      <c r="F1662" s="138"/>
      <c r="G1662" s="117" t="e">
        <f t="shared" ref="G1662:L1662" si="998">SUM(G1656:G1661)</f>
        <v>#VALUE!</v>
      </c>
      <c r="H1662" s="116" t="e">
        <f t="shared" si="998"/>
        <v>#VALUE!</v>
      </c>
      <c r="I1662" s="116" t="e">
        <f t="shared" si="998"/>
        <v>#VALUE!</v>
      </c>
      <c r="J1662" s="116" t="e">
        <f t="shared" si="998"/>
        <v>#VALUE!</v>
      </c>
      <c r="K1662" s="116" t="e">
        <f t="shared" si="998"/>
        <v>#VALUE!</v>
      </c>
      <c r="L1662" s="116" t="e">
        <f t="shared" si="998"/>
        <v>#VALUE!</v>
      </c>
      <c r="O1662" s="116" t="e">
        <f>SUM(O1656:O1661)</f>
        <v>#VALUE!</v>
      </c>
      <c r="P1662" s="116" t="e">
        <f>SUM(P1656:P1661)</f>
        <v>#VALUE!</v>
      </c>
      <c r="Q1662" s="116" t="e">
        <f>SUM(Q1656:Q1661)</f>
        <v>#VALUE!</v>
      </c>
      <c r="R1662" s="116" t="e">
        <f>SUM(R1656:R1661)</f>
        <v>#VALUE!</v>
      </c>
      <c r="T1662" s="116" t="e">
        <f>SUM(T1656:T1661)</f>
        <v>#VALUE!</v>
      </c>
      <c r="U1662" s="116" t="e">
        <f>SUM(U1656:U1661)</f>
        <v>#VALUE!</v>
      </c>
      <c r="V1662" s="116" t="e">
        <f>SUM(V1656:V1661)</f>
        <v>#VALUE!</v>
      </c>
      <c r="W1662" s="116" t="e">
        <f>SUM(W1656:W1661)</f>
        <v>#VALUE!</v>
      </c>
      <c r="X1662" s="3"/>
      <c r="Y1662" s="116" t="e">
        <f>SUM(Y1656:Y1661)</f>
        <v>#VALUE!</v>
      </c>
      <c r="Z1662" s="116" t="e">
        <f>SUM(Z1656:Z1661)</f>
        <v>#VALUE!</v>
      </c>
      <c r="AA1662" s="116" t="e">
        <f>SUM(AA1656:AA1661)</f>
        <v>#VALUE!</v>
      </c>
      <c r="AB1662" s="116" t="e">
        <f>SUM(AB1656:AB1661)</f>
        <v>#VALUE!</v>
      </c>
      <c r="AC1662" s="116" t="e">
        <f>SUM(AC1656:AC1661)</f>
        <v>#VALUE!</v>
      </c>
      <c r="AD1662" s="117" t="e">
        <f t="shared" si="994"/>
        <v>#VALUE!</v>
      </c>
      <c r="AE1662" s="117" t="e">
        <f t="shared" si="995"/>
        <v>#VALUE!</v>
      </c>
      <c r="AF1662" s="117" t="e">
        <f t="shared" si="996"/>
        <v>#VALUE!</v>
      </c>
      <c r="AG1662" s="117" t="e">
        <f t="shared" si="997"/>
        <v>#VALUE!</v>
      </c>
      <c r="AH1662" s="116"/>
      <c r="AI1662" t="str">
        <f t="shared" si="979"/>
        <v>GP</v>
      </c>
      <c r="AJ1662" t="str">
        <f t="shared" si="973"/>
        <v>NA</v>
      </c>
      <c r="AK1662" t="str">
        <f>IF(ISERROR(MATCH(AI1662&amp;"."&amp;AJ1662,AK$91:AK1661,0)),AI1662&amp;"."&amp;AJ1662,AI1662&amp;"."&amp;AJ1662&amp;COUNTIFS(AI$91:AI1661,AI1662,AJ$91:AJ1661,AJ1662))</f>
        <v>GP.NA1</v>
      </c>
    </row>
    <row r="1663" spans="1:37" ht="15" hidden="1">
      <c r="A1663" s="120">
        <f>ROW()</f>
        <v>1663</v>
      </c>
      <c r="B1663" s="120"/>
      <c r="C1663" s="1"/>
      <c r="E1663" s="121"/>
      <c r="F1663" s="138"/>
      <c r="G1663" s="119"/>
      <c r="X1663" s="3"/>
      <c r="AD1663" s="119"/>
      <c r="AE1663" s="119"/>
      <c r="AF1663" s="119"/>
      <c r="AG1663" s="119"/>
      <c r="AI1663" t="str">
        <f t="shared" si="979"/>
        <v>GP</v>
      </c>
      <c r="AJ1663" t="str">
        <f t="shared" si="973"/>
        <v>NA</v>
      </c>
      <c r="AK1663" t="str">
        <f>IF(ISERROR(MATCH(AI1663&amp;"."&amp;AJ1663,AK$91:AK1662,0)),AI1663&amp;"."&amp;AJ1663,AI1663&amp;"."&amp;AJ1663&amp;COUNTIFS(AI$91:AI1662,AI1663,AJ$91:AJ1662,AJ1663))</f>
        <v>GP.NA2</v>
      </c>
    </row>
    <row r="1664" spans="1:37" ht="15" hidden="1">
      <c r="A1664" s="120">
        <f>ROW()</f>
        <v>1664</v>
      </c>
      <c r="B1664" s="120"/>
      <c r="C1664" s="1" t="s">
        <v>221</v>
      </c>
      <c r="D1664" s="2" t="s">
        <v>573</v>
      </c>
      <c r="E1664" s="121"/>
      <c r="F1664" s="138"/>
      <c r="G1664" s="119"/>
      <c r="X1664" s="3"/>
      <c r="AD1664" s="119"/>
      <c r="AE1664" s="119"/>
      <c r="AF1664" s="119"/>
      <c r="AG1664" s="119"/>
      <c r="AI1664" t="str">
        <f t="shared" si="979"/>
        <v>399G</v>
      </c>
      <c r="AJ1664" t="str">
        <f t="shared" si="973"/>
        <v>NA</v>
      </c>
      <c r="AK1664" t="str">
        <f>IF(ISERROR(MATCH(AI1664&amp;"."&amp;AJ1664,AK$91:AK1663,0)),AI1664&amp;"."&amp;AJ1664,AI1664&amp;"."&amp;AJ1664&amp;COUNTIFS(AI$91:AI1663,AI1664,AJ$91:AJ1663,AJ1664))</f>
        <v>399G.NA</v>
      </c>
    </row>
    <row r="1665" spans="1:37" ht="15" hidden="1">
      <c r="A1665" s="120">
        <f>ROW()</f>
        <v>1665</v>
      </c>
      <c r="B1665" s="120"/>
      <c r="E1665" s="121" t="s">
        <v>12</v>
      </c>
      <c r="F1665" s="138" t="str">
        <f>INDEX(FuncAllocOptions,ROW(A1665)-ROW($A$92)+1,[4]Inputs!$S$11)</f>
        <v>G-SITUS</v>
      </c>
      <c r="G1665" s="117" t="e">
        <f>SUMIF(FERCJAMFactor,AK1665,JAMValue)</f>
        <v>#VALUE!</v>
      </c>
      <c r="H1665" s="116" t="e">
        <f t="shared" ref="H1665:L1669" si="999">INDEX(FuncFactorTbl,MATCH($F1665,FuncFactors,0),MATCH(H$8,Functions,0))*$G1665</f>
        <v>#VALUE!</v>
      </c>
      <c r="I1665" s="116" t="e">
        <f t="shared" si="999"/>
        <v>#VALUE!</v>
      </c>
      <c r="J1665" s="116" t="e">
        <f t="shared" si="999"/>
        <v>#VALUE!</v>
      </c>
      <c r="K1665" s="116" t="e">
        <f t="shared" si="999"/>
        <v>#VALUE!</v>
      </c>
      <c r="L1665" s="116" t="e">
        <f t="shared" si="999"/>
        <v>#VALUE!</v>
      </c>
      <c r="N1665" s="108">
        <v>0.75</v>
      </c>
      <c r="O1665" s="116" t="e">
        <f>$H1665*$N1665*$M1665</f>
        <v>#VALUE!</v>
      </c>
      <c r="P1665" s="116" t="e">
        <f>$H1665*(1-$N1665)*$M1665</f>
        <v>#VALUE!</v>
      </c>
      <c r="Q1665" s="116" t="e">
        <f>$H1665*$N1665*(1-$M1665)</f>
        <v>#VALUE!</v>
      </c>
      <c r="R1665" s="116" t="e">
        <f>$H1665*(1-$N1665)*(1-$M1665)</f>
        <v>#VALUE!</v>
      </c>
      <c r="S1665" s="108">
        <v>0.75</v>
      </c>
      <c r="T1665" s="116" t="e">
        <f>$I1665*$S1665*$M1665</f>
        <v>#VALUE!</v>
      </c>
      <c r="U1665" s="116" t="e">
        <f>$I1665*(1-$S1665)*$M1665</f>
        <v>#VALUE!</v>
      </c>
      <c r="V1665" s="116" t="e">
        <f>$I1665*$S1665*(1-$M1665)</f>
        <v>#VALUE!</v>
      </c>
      <c r="W1665" s="116" t="e">
        <f>$I1665*(1-$S1665)*(1-$M1665)</f>
        <v>#VALUE!</v>
      </c>
      <c r="X1665" s="3" t="str">
        <f>INDEX(DistFuncAllocOptions,ROW(A1665)-ROW($A$92)+1,[4]Inputs!$S$11)</f>
        <v>PLNT</v>
      </c>
      <c r="Y1665" s="116" t="e">
        <f t="shared" ref="Y1665:AC1669" si="1000">INDEX(DistFuncFactorTbl,MATCH($X1665,DistFuncFactors,0),MATCH(Y$91,DistFunctions,0))*$J1665</f>
        <v>#VALUE!</v>
      </c>
      <c r="Z1665" s="116" t="e">
        <f t="shared" si="1000"/>
        <v>#VALUE!</v>
      </c>
      <c r="AA1665" s="116" t="e">
        <f t="shared" si="1000"/>
        <v>#VALUE!</v>
      </c>
      <c r="AB1665" s="116" t="e">
        <f t="shared" si="1000"/>
        <v>#VALUE!</v>
      </c>
      <c r="AC1665" s="116" t="e">
        <f t="shared" si="1000"/>
        <v>#VALUE!</v>
      </c>
      <c r="AD1665" s="117" t="e">
        <f t="shared" ref="AD1665:AD1670" si="1001">ROUND(SUM(-G1665,H1665:L1665),0)</f>
        <v>#VALUE!</v>
      </c>
      <c r="AE1665" s="117" t="e">
        <f t="shared" ref="AE1665:AE1670" si="1002">ROUND(H1665-O1665-P1665-Q1665-R1665,0)</f>
        <v>#VALUE!</v>
      </c>
      <c r="AF1665" s="117" t="e">
        <f t="shared" ref="AF1665:AF1670" si="1003">ROUND(I1665-T1665-U1665-V1665-W1665,0)</f>
        <v>#VALUE!</v>
      </c>
      <c r="AG1665" s="117" t="e">
        <f t="shared" ref="AG1665:AG1670" si="1004">ROUND(J1665-Y1665-Z1665-AA1665-AC1665-AB1665,0)</f>
        <v>#VALUE!</v>
      </c>
      <c r="AH1665" s="116"/>
      <c r="AI1665" t="str">
        <f t="shared" si="979"/>
        <v>399G</v>
      </c>
      <c r="AJ1665" t="str">
        <f t="shared" si="973"/>
        <v>S</v>
      </c>
      <c r="AK1665" t="str">
        <f>IF(ISERROR(MATCH(AI1665&amp;"."&amp;AJ1665,AK$91:AK1664,0)),AI1665&amp;"."&amp;AJ1665,AI1665&amp;"."&amp;AJ1665&amp;COUNTIFS(AI$91:AI1664,AI1665,AJ$91:AJ1664,AJ1665))</f>
        <v>399G.S</v>
      </c>
    </row>
    <row r="1666" spans="1:37" ht="15" hidden="1">
      <c r="A1666" s="120">
        <f>ROW()</f>
        <v>1666</v>
      </c>
      <c r="B1666" s="120"/>
      <c r="E1666" s="121" t="s">
        <v>136</v>
      </c>
      <c r="F1666" s="138" t="str">
        <f>INDEX(FuncAllocOptions,ROW(A1666)-ROW($A$92)+1,[4]Inputs!$S$11)</f>
        <v>PTD</v>
      </c>
      <c r="G1666" s="117" t="e">
        <f>SUMIF(FERCJAMFactor,AK1666,JAMValue)</f>
        <v>#VALUE!</v>
      </c>
      <c r="H1666" s="116" t="e">
        <f t="shared" si="999"/>
        <v>#VALUE!</v>
      </c>
      <c r="I1666" s="116" t="e">
        <f t="shared" si="999"/>
        <v>#VALUE!</v>
      </c>
      <c r="J1666" s="116" t="e">
        <f t="shared" si="999"/>
        <v>#VALUE!</v>
      </c>
      <c r="K1666" s="116" t="e">
        <f t="shared" si="999"/>
        <v>#VALUE!</v>
      </c>
      <c r="L1666" s="116" t="e">
        <f t="shared" si="999"/>
        <v>#VALUE!</v>
      </c>
      <c r="N1666" s="108">
        <v>0.75</v>
      </c>
      <c r="O1666" s="116" t="e">
        <f>$H1666*$N1666*$M1666</f>
        <v>#VALUE!</v>
      </c>
      <c r="P1666" s="116" t="e">
        <f>$H1666*(1-$N1666)*$M1666</f>
        <v>#VALUE!</v>
      </c>
      <c r="Q1666" s="116" t="e">
        <f>$H1666*$N1666*(1-$M1666)</f>
        <v>#VALUE!</v>
      </c>
      <c r="R1666" s="116" t="e">
        <f>$H1666*(1-$N1666)*(1-$M1666)</f>
        <v>#VALUE!</v>
      </c>
      <c r="S1666" s="108">
        <v>0.75</v>
      </c>
      <c r="T1666" s="116" t="e">
        <f>$I1666*$S1666*$M1666</f>
        <v>#VALUE!</v>
      </c>
      <c r="U1666" s="116" t="e">
        <f>$I1666*(1-$S1666)*$M1666</f>
        <v>#VALUE!</v>
      </c>
      <c r="V1666" s="116" t="e">
        <f>$I1666*$S1666*(1-$M1666)</f>
        <v>#VALUE!</v>
      </c>
      <c r="W1666" s="116" t="e">
        <f>$I1666*(1-$S1666)*(1-$M1666)</f>
        <v>#VALUE!</v>
      </c>
      <c r="X1666" s="3" t="str">
        <f>INDEX(DistFuncAllocOptions,ROW(A1666)-ROW($A$92)+1,[4]Inputs!$S$11)</f>
        <v>PLNT</v>
      </c>
      <c r="Y1666" s="116" t="e">
        <f t="shared" si="1000"/>
        <v>#VALUE!</v>
      </c>
      <c r="Z1666" s="116" t="e">
        <f t="shared" si="1000"/>
        <v>#VALUE!</v>
      </c>
      <c r="AA1666" s="116" t="e">
        <f t="shared" si="1000"/>
        <v>#VALUE!</v>
      </c>
      <c r="AB1666" s="116" t="e">
        <f t="shared" si="1000"/>
        <v>#VALUE!</v>
      </c>
      <c r="AC1666" s="116" t="e">
        <f t="shared" si="1000"/>
        <v>#VALUE!</v>
      </c>
      <c r="AD1666" s="117" t="e">
        <f t="shared" si="1001"/>
        <v>#VALUE!</v>
      </c>
      <c r="AE1666" s="117" t="e">
        <f t="shared" si="1002"/>
        <v>#VALUE!</v>
      </c>
      <c r="AF1666" s="117" t="e">
        <f t="shared" si="1003"/>
        <v>#VALUE!</v>
      </c>
      <c r="AG1666" s="117" t="e">
        <f t="shared" si="1004"/>
        <v>#VALUE!</v>
      </c>
      <c r="AH1666" s="116"/>
      <c r="AI1666" t="str">
        <f t="shared" si="979"/>
        <v>399G</v>
      </c>
      <c r="AJ1666" t="str">
        <f t="shared" si="973"/>
        <v>SO</v>
      </c>
      <c r="AK1666" t="str">
        <f>IF(ISERROR(MATCH(AI1666&amp;"."&amp;AJ1666,AK$91:AK1665,0)),AI1666&amp;"."&amp;AJ1666,AI1666&amp;"."&amp;AJ1666&amp;COUNTIFS(AI$91:AI1665,AI1666,AJ$91:AJ1665,AJ1666))</f>
        <v>399G.SO</v>
      </c>
    </row>
    <row r="1667" spans="1:37" ht="15" hidden="1">
      <c r="A1667" s="120">
        <f>ROW()</f>
        <v>1667</v>
      </c>
      <c r="B1667" s="120"/>
      <c r="E1667" s="121" t="s">
        <v>15</v>
      </c>
      <c r="F1667" s="138" t="str">
        <f>INDEX(FuncAllocOptions,ROW(A1667)-ROW($A$92)+1,[4]Inputs!$S$11)</f>
        <v>G-SG</v>
      </c>
      <c r="G1667" s="117" t="e">
        <f>SUMIF(FERCJAMFactor,AK1667,JAMValue)</f>
        <v>#VALUE!</v>
      </c>
      <c r="H1667" s="116" t="e">
        <f t="shared" si="999"/>
        <v>#VALUE!</v>
      </c>
      <c r="I1667" s="116" t="e">
        <f t="shared" si="999"/>
        <v>#VALUE!</v>
      </c>
      <c r="J1667" s="116" t="e">
        <f t="shared" si="999"/>
        <v>#VALUE!</v>
      </c>
      <c r="K1667" s="116" t="e">
        <f t="shared" si="999"/>
        <v>#VALUE!</v>
      </c>
      <c r="L1667" s="116" t="e">
        <f t="shared" si="999"/>
        <v>#VALUE!</v>
      </c>
      <c r="N1667" s="108">
        <v>0.75</v>
      </c>
      <c r="O1667" s="116" t="e">
        <f>$H1667*$N1667*$M1667</f>
        <v>#VALUE!</v>
      </c>
      <c r="P1667" s="116" t="e">
        <f>$H1667*(1-$N1667)*$M1667</f>
        <v>#VALUE!</v>
      </c>
      <c r="Q1667" s="116" t="e">
        <f>$H1667*$N1667*(1-$M1667)</f>
        <v>#VALUE!</v>
      </c>
      <c r="R1667" s="116" t="e">
        <f>$H1667*(1-$N1667)*(1-$M1667)</f>
        <v>#VALUE!</v>
      </c>
      <c r="S1667" s="108">
        <v>0.75</v>
      </c>
      <c r="T1667" s="116" t="e">
        <f>$I1667*$S1667*$M1667</f>
        <v>#VALUE!</v>
      </c>
      <c r="U1667" s="116" t="e">
        <f>$I1667*(1-$S1667)*$M1667</f>
        <v>#VALUE!</v>
      </c>
      <c r="V1667" s="116" t="e">
        <f>$I1667*$S1667*(1-$M1667)</f>
        <v>#VALUE!</v>
      </c>
      <c r="W1667" s="116" t="e">
        <f>$I1667*(1-$S1667)*(1-$M1667)</f>
        <v>#VALUE!</v>
      </c>
      <c r="X1667" s="3" t="str">
        <f>INDEX(DistFuncAllocOptions,ROW(A1667)-ROW($A$92)+1,[4]Inputs!$S$11)</f>
        <v>PLNT</v>
      </c>
      <c r="Y1667" s="116" t="e">
        <f t="shared" si="1000"/>
        <v>#VALUE!</v>
      </c>
      <c r="Z1667" s="116" t="e">
        <f t="shared" si="1000"/>
        <v>#VALUE!</v>
      </c>
      <c r="AA1667" s="116" t="e">
        <f t="shared" si="1000"/>
        <v>#VALUE!</v>
      </c>
      <c r="AB1667" s="116" t="e">
        <f t="shared" si="1000"/>
        <v>#VALUE!</v>
      </c>
      <c r="AC1667" s="116" t="e">
        <f t="shared" si="1000"/>
        <v>#VALUE!</v>
      </c>
      <c r="AD1667" s="117" t="e">
        <f t="shared" si="1001"/>
        <v>#VALUE!</v>
      </c>
      <c r="AE1667" s="117" t="e">
        <f t="shared" si="1002"/>
        <v>#VALUE!</v>
      </c>
      <c r="AF1667" s="117" t="e">
        <f t="shared" si="1003"/>
        <v>#VALUE!</v>
      </c>
      <c r="AG1667" s="117" t="e">
        <f t="shared" si="1004"/>
        <v>#VALUE!</v>
      </c>
      <c r="AH1667" s="116"/>
      <c r="AI1667" t="str">
        <f t="shared" si="979"/>
        <v>399G</v>
      </c>
      <c r="AJ1667" t="str">
        <f t="shared" si="973"/>
        <v>SG</v>
      </c>
      <c r="AK1667" t="str">
        <f>IF(ISERROR(MATCH(AI1667&amp;"."&amp;AJ1667,AK$91:AK1666,0)),AI1667&amp;"."&amp;AJ1667,AI1667&amp;"."&amp;AJ1667&amp;COUNTIFS(AI$91:AI1666,AI1667,AJ$91:AJ1666,AJ1667))</f>
        <v>399G.SG</v>
      </c>
    </row>
    <row r="1668" spans="1:37" ht="15" hidden="1">
      <c r="A1668" s="120">
        <f>ROW()</f>
        <v>1668</v>
      </c>
      <c r="B1668" s="120"/>
      <c r="E1668" s="121" t="s">
        <v>15</v>
      </c>
      <c r="F1668" s="138" t="str">
        <f>INDEX(FuncAllocOptions,ROW(A1668)-ROW($A$92)+1,[4]Inputs!$S$11)</f>
        <v>PT</v>
      </c>
      <c r="G1668" s="117" t="e">
        <f>SUMIF(FERCJAMFactor,AK1668,JAMValue)</f>
        <v>#VALUE!</v>
      </c>
      <c r="H1668" s="116" t="e">
        <f t="shared" si="999"/>
        <v>#VALUE!</v>
      </c>
      <c r="I1668" s="116" t="e">
        <f t="shared" si="999"/>
        <v>#VALUE!</v>
      </c>
      <c r="J1668" s="116" t="e">
        <f t="shared" si="999"/>
        <v>#VALUE!</v>
      </c>
      <c r="K1668" s="116" t="e">
        <f t="shared" si="999"/>
        <v>#VALUE!</v>
      </c>
      <c r="L1668" s="116" t="e">
        <f t="shared" si="999"/>
        <v>#VALUE!</v>
      </c>
      <c r="N1668" s="108">
        <v>0.75</v>
      </c>
      <c r="O1668" s="116" t="e">
        <f>$H1668*$N1668*$M1668</f>
        <v>#VALUE!</v>
      </c>
      <c r="P1668" s="116" t="e">
        <f>$H1668*(1-$N1668)*$M1668</f>
        <v>#VALUE!</v>
      </c>
      <c r="Q1668" s="116" t="e">
        <f>$H1668*$N1668*(1-$M1668)</f>
        <v>#VALUE!</v>
      </c>
      <c r="R1668" s="116" t="e">
        <f>$H1668*(1-$N1668)*(1-$M1668)</f>
        <v>#VALUE!</v>
      </c>
      <c r="S1668" s="108">
        <v>0.75</v>
      </c>
      <c r="T1668" s="116" t="e">
        <f>$I1668*$S1668*$M1668</f>
        <v>#VALUE!</v>
      </c>
      <c r="U1668" s="116" t="e">
        <f>$I1668*(1-$S1668)*$M1668</f>
        <v>#VALUE!</v>
      </c>
      <c r="V1668" s="116" t="e">
        <f>$I1668*$S1668*(1-$M1668)</f>
        <v>#VALUE!</v>
      </c>
      <c r="W1668" s="116" t="e">
        <f>$I1668*(1-$S1668)*(1-$M1668)</f>
        <v>#VALUE!</v>
      </c>
      <c r="X1668" s="3" t="str">
        <f>INDEX(DistFuncAllocOptions,ROW(A1668)-ROW($A$92)+1,[4]Inputs!$S$11)</f>
        <v>PLNT</v>
      </c>
      <c r="Y1668" s="116" t="e">
        <f t="shared" si="1000"/>
        <v>#VALUE!</v>
      </c>
      <c r="Z1668" s="116" t="e">
        <f t="shared" si="1000"/>
        <v>#VALUE!</v>
      </c>
      <c r="AA1668" s="116" t="e">
        <f t="shared" si="1000"/>
        <v>#VALUE!</v>
      </c>
      <c r="AB1668" s="116" t="e">
        <f t="shared" si="1000"/>
        <v>#VALUE!</v>
      </c>
      <c r="AC1668" s="116" t="e">
        <f t="shared" si="1000"/>
        <v>#VALUE!</v>
      </c>
      <c r="AD1668" s="117" t="e">
        <f t="shared" si="1001"/>
        <v>#VALUE!</v>
      </c>
      <c r="AE1668" s="117" t="e">
        <f t="shared" si="1002"/>
        <v>#VALUE!</v>
      </c>
      <c r="AF1668" s="117" t="e">
        <f t="shared" si="1003"/>
        <v>#VALUE!</v>
      </c>
      <c r="AG1668" s="117" t="e">
        <f t="shared" si="1004"/>
        <v>#VALUE!</v>
      </c>
      <c r="AH1668" s="116"/>
      <c r="AI1668" t="str">
        <f t="shared" si="979"/>
        <v>399G</v>
      </c>
      <c r="AJ1668" t="str">
        <f t="shared" si="973"/>
        <v>SG</v>
      </c>
      <c r="AK1668" t="str">
        <f>IF(ISERROR(MATCH(AI1668&amp;"."&amp;AJ1668,AK$91:AK1667,0)),AI1668&amp;"."&amp;AJ1668,AI1668&amp;"."&amp;AJ1668&amp;COUNTIFS(AI$91:AI1667,AI1668,AJ$91:AJ1667,AJ1668))</f>
        <v>399G.SG1</v>
      </c>
    </row>
    <row r="1669" spans="1:37" ht="15" hidden="1">
      <c r="A1669" s="120">
        <f>ROW()</f>
        <v>1669</v>
      </c>
      <c r="B1669" s="120"/>
      <c r="E1669" s="121" t="s">
        <v>15</v>
      </c>
      <c r="F1669" s="138" t="str">
        <f>INDEX(FuncAllocOptions,ROW(A1669)-ROW($A$92)+1,[4]Inputs!$S$11)</f>
        <v>PT</v>
      </c>
      <c r="G1669" s="133" t="e">
        <f>SUMIF(FERCJAMFactor,AK1669,JAMValue)</f>
        <v>#VALUE!</v>
      </c>
      <c r="H1669" s="139" t="e">
        <f t="shared" si="999"/>
        <v>#VALUE!</v>
      </c>
      <c r="I1669" s="139" t="e">
        <f t="shared" si="999"/>
        <v>#VALUE!</v>
      </c>
      <c r="J1669" s="139" t="e">
        <f t="shared" si="999"/>
        <v>#VALUE!</v>
      </c>
      <c r="K1669" s="139" t="e">
        <f t="shared" si="999"/>
        <v>#VALUE!</v>
      </c>
      <c r="L1669" s="139" t="e">
        <f t="shared" si="999"/>
        <v>#VALUE!</v>
      </c>
      <c r="N1669" s="108">
        <v>0.75</v>
      </c>
      <c r="O1669" s="116" t="e">
        <f>$H1669*$N1669*$M1669</f>
        <v>#VALUE!</v>
      </c>
      <c r="P1669" s="116" t="e">
        <f>$H1669*(1-$N1669)*$M1669</f>
        <v>#VALUE!</v>
      </c>
      <c r="Q1669" s="116" t="e">
        <f>$H1669*$N1669*(1-$M1669)</f>
        <v>#VALUE!</v>
      </c>
      <c r="R1669" s="116" t="e">
        <f>$H1669*(1-$N1669)*(1-$M1669)</f>
        <v>#VALUE!</v>
      </c>
      <c r="S1669" s="108">
        <v>0.75</v>
      </c>
      <c r="T1669" s="116" t="e">
        <f>$I1669*$S1669*$M1669</f>
        <v>#VALUE!</v>
      </c>
      <c r="U1669" s="116" t="e">
        <f>$I1669*(1-$S1669)*$M1669</f>
        <v>#VALUE!</v>
      </c>
      <c r="V1669" s="116" t="e">
        <f>$I1669*$S1669*(1-$M1669)</f>
        <v>#VALUE!</v>
      </c>
      <c r="W1669" s="116" t="e">
        <f>$I1669*(1-$S1669)*(1-$M1669)</f>
        <v>#VALUE!</v>
      </c>
      <c r="X1669" s="3" t="str">
        <f>INDEX(DistFuncAllocOptions,ROW(A1669)-ROW($A$92)+1,[4]Inputs!$S$11)</f>
        <v>PLNT</v>
      </c>
      <c r="Y1669" s="116" t="e">
        <f t="shared" si="1000"/>
        <v>#VALUE!</v>
      </c>
      <c r="Z1669" s="116" t="e">
        <f t="shared" si="1000"/>
        <v>#VALUE!</v>
      </c>
      <c r="AA1669" s="116" t="e">
        <f t="shared" si="1000"/>
        <v>#VALUE!</v>
      </c>
      <c r="AB1669" s="116" t="e">
        <f t="shared" si="1000"/>
        <v>#VALUE!</v>
      </c>
      <c r="AC1669" s="116" t="e">
        <f t="shared" si="1000"/>
        <v>#VALUE!</v>
      </c>
      <c r="AD1669" s="117" t="e">
        <f t="shared" si="1001"/>
        <v>#VALUE!</v>
      </c>
      <c r="AE1669" s="117" t="e">
        <f t="shared" si="1002"/>
        <v>#VALUE!</v>
      </c>
      <c r="AF1669" s="117" t="e">
        <f t="shared" si="1003"/>
        <v>#VALUE!</v>
      </c>
      <c r="AG1669" s="117" t="e">
        <f t="shared" si="1004"/>
        <v>#VALUE!</v>
      </c>
      <c r="AH1669" s="116"/>
      <c r="AI1669" t="str">
        <f t="shared" si="979"/>
        <v>399G</v>
      </c>
      <c r="AJ1669" t="str">
        <f t="shared" si="973"/>
        <v>SG</v>
      </c>
      <c r="AK1669" t="str">
        <f>IF(ISERROR(MATCH(AI1669&amp;"."&amp;AJ1669,AK$91:AK1668,0)),AI1669&amp;"."&amp;AJ1669,AI1669&amp;"."&amp;AJ1669&amp;COUNTIFS(AI$91:AI1668,AI1669,AJ$91:AJ1668,AJ1669))</f>
        <v>399G.SG2</v>
      </c>
    </row>
    <row r="1670" spans="1:37" ht="15" hidden="1">
      <c r="A1670" s="120">
        <f>ROW()</f>
        <v>1670</v>
      </c>
      <c r="B1670" s="120"/>
      <c r="E1670" s="121"/>
      <c r="F1670" s="138"/>
      <c r="G1670" s="117" t="e">
        <f t="shared" ref="G1670:L1670" si="1005">SUM(G1665:G1669)</f>
        <v>#VALUE!</v>
      </c>
      <c r="H1670" s="116" t="e">
        <f t="shared" si="1005"/>
        <v>#VALUE!</v>
      </c>
      <c r="I1670" s="116" t="e">
        <f t="shared" si="1005"/>
        <v>#VALUE!</v>
      </c>
      <c r="J1670" s="116" t="e">
        <f t="shared" si="1005"/>
        <v>#VALUE!</v>
      </c>
      <c r="K1670" s="116" t="e">
        <f t="shared" si="1005"/>
        <v>#VALUE!</v>
      </c>
      <c r="L1670" s="116" t="e">
        <f t="shared" si="1005"/>
        <v>#VALUE!</v>
      </c>
      <c r="O1670" s="116" t="e">
        <f>SUM(O1665:O1669)</f>
        <v>#VALUE!</v>
      </c>
      <c r="P1670" s="116" t="e">
        <f>SUM(P1665:P1669)</f>
        <v>#VALUE!</v>
      </c>
      <c r="Q1670" s="116" t="e">
        <f>SUM(Q1665:Q1669)</f>
        <v>#VALUE!</v>
      </c>
      <c r="R1670" s="116" t="e">
        <f>SUM(R1665:R1669)</f>
        <v>#VALUE!</v>
      </c>
      <c r="T1670" s="116" t="e">
        <f>SUM(T1665:T1669)</f>
        <v>#VALUE!</v>
      </c>
      <c r="U1670" s="116" t="e">
        <f>SUM(U1665:U1669)</f>
        <v>#VALUE!</v>
      </c>
      <c r="V1670" s="116" t="e">
        <f>SUM(V1665:V1669)</f>
        <v>#VALUE!</v>
      </c>
      <c r="W1670" s="116" t="e">
        <f>SUM(W1665:W1669)</f>
        <v>#VALUE!</v>
      </c>
      <c r="X1670" s="3"/>
      <c r="Y1670" s="116" t="e">
        <f>SUM(Y1665:Y1669)</f>
        <v>#VALUE!</v>
      </c>
      <c r="Z1670" s="116" t="e">
        <f>SUM(Z1665:Z1669)</f>
        <v>#VALUE!</v>
      </c>
      <c r="AA1670" s="116" t="e">
        <f>SUM(AA1665:AA1669)</f>
        <v>#VALUE!</v>
      </c>
      <c r="AB1670" s="116" t="e">
        <f>SUM(AB1665:AB1669)</f>
        <v>#VALUE!</v>
      </c>
      <c r="AC1670" s="116" t="e">
        <f>SUM(AC1665:AC1669)</f>
        <v>#VALUE!</v>
      </c>
      <c r="AD1670" s="117" t="e">
        <f t="shared" si="1001"/>
        <v>#VALUE!</v>
      </c>
      <c r="AE1670" s="117" t="e">
        <f t="shared" si="1002"/>
        <v>#VALUE!</v>
      </c>
      <c r="AF1670" s="117" t="e">
        <f t="shared" si="1003"/>
        <v>#VALUE!</v>
      </c>
      <c r="AG1670" s="117" t="e">
        <f t="shared" si="1004"/>
        <v>#VALUE!</v>
      </c>
      <c r="AH1670" s="116"/>
      <c r="AI1670" t="str">
        <f t="shared" si="979"/>
        <v>399G</v>
      </c>
      <c r="AJ1670" t="str">
        <f t="shared" si="973"/>
        <v>NA</v>
      </c>
      <c r="AK1670" t="str">
        <f>IF(ISERROR(MATCH(AI1670&amp;"."&amp;AJ1670,AK$91:AK1669,0)),AI1670&amp;"."&amp;AJ1670,AI1670&amp;"."&amp;AJ1670&amp;COUNTIFS(AI$91:AI1669,AI1670,AJ$91:AJ1669,AJ1670))</f>
        <v>399G.NA1</v>
      </c>
    </row>
    <row r="1671" spans="1:37" ht="15" hidden="1">
      <c r="A1671" s="120">
        <f>ROW()</f>
        <v>1671</v>
      </c>
      <c r="B1671" s="120"/>
      <c r="E1671" s="121"/>
      <c r="F1671" s="138"/>
      <c r="G1671" s="117"/>
      <c r="X1671" s="3"/>
      <c r="AD1671" s="119"/>
      <c r="AE1671" s="119"/>
      <c r="AF1671" s="119"/>
      <c r="AG1671" s="119"/>
      <c r="AI1671" t="str">
        <f t="shared" si="979"/>
        <v>399G</v>
      </c>
      <c r="AJ1671" t="str">
        <f t="shared" si="973"/>
        <v>NA</v>
      </c>
      <c r="AK1671" t="str">
        <f>IF(ISERROR(MATCH(AI1671&amp;"."&amp;AJ1671,AK$91:AK1670,0)),AI1671&amp;"."&amp;AJ1671,AI1671&amp;"."&amp;AJ1671&amp;COUNTIFS(AI$91:AI1670,AI1671,AJ$91:AJ1670,AJ1671))</f>
        <v>399G.NA2</v>
      </c>
    </row>
    <row r="1672" spans="1:37" ht="15.75" hidden="1" thickBot="1">
      <c r="A1672" s="120">
        <f>ROW()</f>
        <v>1672</v>
      </c>
      <c r="B1672" s="120"/>
      <c r="C1672" s="110" t="s">
        <v>733</v>
      </c>
      <c r="E1672" s="121"/>
      <c r="F1672" s="138"/>
      <c r="G1672" s="155" t="e">
        <f t="shared" ref="G1672:L1672" si="1006">G1524+G1534+G1546+G1558+G1567+G1578+G1589+G1600+G1612+G1623+G1629+G1633+G1636+G1643+G1645+G1662+G1670</f>
        <v>#VALUE!</v>
      </c>
      <c r="H1672" s="154" t="e">
        <f t="shared" si="1006"/>
        <v>#VALUE!</v>
      </c>
      <c r="I1672" s="154" t="e">
        <f t="shared" si="1006"/>
        <v>#VALUE!</v>
      </c>
      <c r="J1672" s="154" t="e">
        <f t="shared" si="1006"/>
        <v>#VALUE!</v>
      </c>
      <c r="K1672" s="154" t="e">
        <f t="shared" si="1006"/>
        <v>#VALUE!</v>
      </c>
      <c r="L1672" s="154" t="e">
        <f t="shared" si="1006"/>
        <v>#VALUE!</v>
      </c>
      <c r="N1672" s="108">
        <v>0</v>
      </c>
      <c r="O1672" s="116" t="e">
        <f>$H1672*$N1672*$M1672</f>
        <v>#VALUE!</v>
      </c>
      <c r="P1672" s="116" t="e">
        <f>$H1672*(1-$N1672)*$M1672</f>
        <v>#VALUE!</v>
      </c>
      <c r="Q1672" s="116" t="e">
        <f>$H1672*$N1672*(1-$M1672)</f>
        <v>#VALUE!</v>
      </c>
      <c r="R1672" s="116" t="e">
        <f>$H1672*(1-$N1672)*(1-$M1672)</f>
        <v>#VALUE!</v>
      </c>
      <c r="S1672" s="116"/>
      <c r="T1672" s="116" t="e">
        <f>T1524+T1534+T1546+T1558+T1567+T1578+T1589+T1600+T1612+T1623+T1629+T1633+T1636+T1643+T1645+T1662+T1670</f>
        <v>#VALUE!</v>
      </c>
      <c r="U1672" s="116" t="e">
        <f>U1524+U1534+U1546+U1558+U1567+U1578+U1589+U1600+U1612+U1623+U1629+U1633+U1636+U1643+U1645+U1662+U1670</f>
        <v>#VALUE!</v>
      </c>
      <c r="V1672" s="116" t="e">
        <f>V1524+V1534+V1546+V1558+V1567+V1578+V1589+V1600+V1612+V1623+V1629+V1633+V1636+V1643+V1645+V1662+V1670</f>
        <v>#VALUE!</v>
      </c>
      <c r="W1672" s="116" t="e">
        <f>W1524+W1534+W1546+W1558+W1567+W1578+W1589+W1600+W1612+W1623+W1629+W1633+W1636+W1643+W1645+W1662+W1670</f>
        <v>#VALUE!</v>
      </c>
      <c r="X1672" s="3"/>
      <c r="Y1672" s="116" t="e">
        <f>Y1524+Y1534+Y1546+Y1558+Y1567+Y1578+Y1589+Y1600+Y1612+Y1623+Y1629+Y1633+Y1636+Y1643+Y1645+Y1662+Y1670</f>
        <v>#VALUE!</v>
      </c>
      <c r="Z1672" s="116" t="e">
        <f>Z1524+Z1534+Z1546+Z1558+Z1567+Z1578+Z1589+Z1600+Z1612+Z1623+Z1629+Z1633+Z1636+Z1643+Z1645+Z1662+Z1670</f>
        <v>#VALUE!</v>
      </c>
      <c r="AA1672" s="116" t="e">
        <f>AA1524+AA1534+AA1546+AA1558+AA1567+AA1578+AA1589+AA1600+AA1612+AA1623+AA1629+AA1633+AA1636+AA1643+AA1645+AA1662+AA1670</f>
        <v>#VALUE!</v>
      </c>
      <c r="AB1672" s="116" t="e">
        <f>AB1524+AB1534+AB1546+AB1558+AB1567+AB1578+AB1589+AB1600+AB1612+AB1623+AB1629+AB1633+AB1636+AB1643+AB1645+AB1662+AB1670</f>
        <v>#VALUE!</v>
      </c>
      <c r="AC1672" s="116" t="e">
        <f>AC1524+AC1534+AC1546+AC1558+AC1567+AC1578+AC1589+AC1600+AC1612+AC1623+AC1629+AC1633+AC1636+AC1643+AC1645+AC1662+AC1670</f>
        <v>#VALUE!</v>
      </c>
      <c r="AD1672" s="117">
        <v>0</v>
      </c>
      <c r="AE1672" s="117" t="e">
        <f>ROUND(H1672-O1672-P1672-Q1672-R1672,0)</f>
        <v>#VALUE!</v>
      </c>
      <c r="AF1672" s="117" t="e">
        <f>ROUND(I1672-T1672-U1672-V1672-W1672,0)</f>
        <v>#VALUE!</v>
      </c>
      <c r="AG1672" s="117">
        <v>0</v>
      </c>
      <c r="AH1672" s="116"/>
      <c r="AI1672" t="str">
        <f t="shared" si="979"/>
        <v>TOTAL GENERAL PLANT</v>
      </c>
      <c r="AJ1672" t="str">
        <f t="shared" si="973"/>
        <v>NA</v>
      </c>
      <c r="AK1672" t="str">
        <f>IF(ISERROR(MATCH(AI1672&amp;"."&amp;AJ1672,AK$91:AK1671,0)),AI1672&amp;"."&amp;AJ1672,AI1672&amp;"."&amp;AJ1672&amp;COUNTIFS(AI$91:AI1671,AI1672,AJ$91:AJ1671,AJ1672))</f>
        <v>TOTAL GENERAL PLANT.NA</v>
      </c>
    </row>
    <row r="1673" spans="1:37" ht="15" hidden="1">
      <c r="A1673" s="120">
        <f>ROW()</f>
        <v>1673</v>
      </c>
      <c r="B1673" s="120"/>
      <c r="E1673" s="121"/>
      <c r="F1673" s="138"/>
      <c r="G1673" s="119"/>
      <c r="X1673" s="3"/>
      <c r="AD1673" s="119"/>
      <c r="AE1673" s="119"/>
      <c r="AF1673" s="119"/>
      <c r="AG1673" s="119"/>
      <c r="AI1673" t="str">
        <f t="shared" si="979"/>
        <v>TOTAL GENERAL PLANT</v>
      </c>
      <c r="AJ1673" t="str">
        <f t="shared" si="973"/>
        <v>NA</v>
      </c>
      <c r="AK1673" t="str">
        <f>IF(ISERROR(MATCH(AI1673&amp;"."&amp;AJ1673,AK$91:AK1672,0)),AI1673&amp;"."&amp;AJ1673,AI1673&amp;"."&amp;AJ1673&amp;COUNTIFS(AI$91:AI1672,AI1673,AJ$91:AJ1672,AJ1673))</f>
        <v>TOTAL GENERAL PLANT.NA1</v>
      </c>
    </row>
    <row r="1674" spans="1:37" ht="15" hidden="1">
      <c r="A1674" s="120">
        <f>ROW()</f>
        <v>1674</v>
      </c>
      <c r="B1674" s="120"/>
      <c r="C1674" s="1">
        <v>301</v>
      </c>
      <c r="D1674" s="2" t="s">
        <v>578</v>
      </c>
      <c r="E1674" s="121"/>
      <c r="F1674" s="138"/>
      <c r="G1674" s="119"/>
      <c r="X1674" s="3"/>
      <c r="AD1674" s="119"/>
      <c r="AE1674" s="119"/>
      <c r="AF1674" s="119"/>
      <c r="AG1674" s="119"/>
      <c r="AI1674">
        <f t="shared" si="979"/>
        <v>301</v>
      </c>
      <c r="AJ1674" t="str">
        <f t="shared" si="973"/>
        <v>NA</v>
      </c>
      <c r="AK1674" t="str">
        <f>IF(ISERROR(MATCH(AI1674&amp;"."&amp;AJ1674,AK$91:AK1673,0)),AI1674&amp;"."&amp;AJ1674,AI1674&amp;"."&amp;AJ1674&amp;COUNTIFS(AI$91:AI1673,AI1674,AJ$91:AJ1673,AJ1674))</f>
        <v>301.NA</v>
      </c>
    </row>
    <row r="1675" spans="1:37" ht="15" hidden="1">
      <c r="A1675" s="120">
        <f>ROW()</f>
        <v>1675</v>
      </c>
      <c r="B1675" s="120"/>
      <c r="C1675" s="1"/>
      <c r="E1675" s="121" t="s">
        <v>12</v>
      </c>
      <c r="F1675" s="138" t="str">
        <f>INDEX(FuncAllocOptions,ROW(A1675)-ROW($A$92)+1,[4]Inputs!$S$11)</f>
        <v>I-SITUS</v>
      </c>
      <c r="G1675" s="117" t="e">
        <f>SUMIF(FERCJAMFactor,AK1675,JAMValue)</f>
        <v>#VALUE!</v>
      </c>
      <c r="H1675" s="116" t="e">
        <f t="shared" ref="H1675:L1677" si="1007">INDEX(FuncFactorTbl,MATCH($F1675,FuncFactors,0),MATCH(H$8,Functions,0))*$G1675</f>
        <v>#VALUE!</v>
      </c>
      <c r="I1675" s="116" t="e">
        <f t="shared" si="1007"/>
        <v>#VALUE!</v>
      </c>
      <c r="J1675" s="116" t="e">
        <f t="shared" si="1007"/>
        <v>#VALUE!</v>
      </c>
      <c r="K1675" s="116" t="e">
        <f t="shared" si="1007"/>
        <v>#VALUE!</v>
      </c>
      <c r="L1675" s="116" t="e">
        <f t="shared" si="1007"/>
        <v>#VALUE!</v>
      </c>
      <c r="N1675" s="108">
        <v>0.75</v>
      </c>
      <c r="O1675" s="116" t="e">
        <f>$H1675*$N1675*$M1675</f>
        <v>#VALUE!</v>
      </c>
      <c r="P1675" s="116" t="e">
        <f>$H1675*(1-$N1675)*$M1675</f>
        <v>#VALUE!</v>
      </c>
      <c r="Q1675" s="116" t="e">
        <f>$H1675*$N1675*(1-$M1675)</f>
        <v>#VALUE!</v>
      </c>
      <c r="R1675" s="116" t="e">
        <f>$H1675*(1-$N1675)*(1-$M1675)</f>
        <v>#VALUE!</v>
      </c>
      <c r="S1675" s="108">
        <v>0.75</v>
      </c>
      <c r="T1675" s="116" t="e">
        <f>$I1675*$S1675*$M1675</f>
        <v>#VALUE!</v>
      </c>
      <c r="U1675" s="116" t="e">
        <f>$I1675*(1-$S1675)*$M1675</f>
        <v>#VALUE!</v>
      </c>
      <c r="V1675" s="116" t="e">
        <f>$I1675*$S1675*(1-$M1675)</f>
        <v>#VALUE!</v>
      </c>
      <c r="W1675" s="116" t="e">
        <f>$I1675*(1-$S1675)*(1-$M1675)</f>
        <v>#VALUE!</v>
      </c>
      <c r="X1675" s="3" t="str">
        <f>INDEX(DistFuncAllocOptions,ROW(A1675)-ROW($A$92)+1,[4]Inputs!$S$11)</f>
        <v>PLNT</v>
      </c>
      <c r="Y1675" s="116" t="e">
        <f t="shared" ref="Y1675:AC1677" si="1008">INDEX(DistFuncFactorTbl,MATCH($X1675,DistFuncFactors,0),MATCH(Y$91,DistFunctions,0))*$J1675</f>
        <v>#VALUE!</v>
      </c>
      <c r="Z1675" s="116" t="e">
        <f t="shared" si="1008"/>
        <v>#VALUE!</v>
      </c>
      <c r="AA1675" s="116" t="e">
        <f t="shared" si="1008"/>
        <v>#VALUE!</v>
      </c>
      <c r="AB1675" s="116" t="e">
        <f t="shared" si="1008"/>
        <v>#VALUE!</v>
      </c>
      <c r="AC1675" s="116" t="e">
        <f t="shared" si="1008"/>
        <v>#VALUE!</v>
      </c>
      <c r="AD1675" s="117" t="e">
        <f>ROUND(SUM(-G1675,H1675:L1675),0)</f>
        <v>#VALUE!</v>
      </c>
      <c r="AE1675" s="117" t="e">
        <f>ROUND(H1675-O1675-P1675-Q1675-R1675,0)</f>
        <v>#VALUE!</v>
      </c>
      <c r="AF1675" s="117" t="e">
        <f>ROUND(I1675-T1675-U1675-V1675-W1675,0)</f>
        <v>#VALUE!</v>
      </c>
      <c r="AG1675" s="117" t="e">
        <f>ROUND(J1675-Y1675-Z1675-AA1675-AC1675-AB1675,0)</f>
        <v>#VALUE!</v>
      </c>
      <c r="AH1675" s="116"/>
      <c r="AI1675">
        <f t="shared" si="979"/>
        <v>301</v>
      </c>
      <c r="AJ1675" t="str">
        <f t="shared" si="973"/>
        <v>S</v>
      </c>
      <c r="AK1675" t="str">
        <f>IF(ISERROR(MATCH(AI1675&amp;"."&amp;AJ1675,AK$91:AK1674,0)),AI1675&amp;"."&amp;AJ1675,AI1675&amp;"."&amp;AJ1675&amp;COUNTIFS(AI$91:AI1674,AI1675,AJ$91:AJ1674,AJ1675))</f>
        <v>301.S</v>
      </c>
    </row>
    <row r="1676" spans="1:37" ht="15" hidden="1">
      <c r="A1676" s="120">
        <f>ROW()</f>
        <v>1676</v>
      </c>
      <c r="B1676" s="120"/>
      <c r="C1676" s="1"/>
      <c r="E1676" s="121" t="s">
        <v>136</v>
      </c>
      <c r="F1676" s="138" t="str">
        <f>INDEX(FuncAllocOptions,ROW(A1676)-ROW($A$92)+1,[4]Inputs!$S$11)</f>
        <v>PTD</v>
      </c>
      <c r="G1676" s="117" t="e">
        <f>SUMIF(FERCJAMFactor,AK1676,JAMValue)</f>
        <v>#VALUE!</v>
      </c>
      <c r="H1676" s="116" t="e">
        <f t="shared" si="1007"/>
        <v>#VALUE!</v>
      </c>
      <c r="I1676" s="116" t="e">
        <f t="shared" si="1007"/>
        <v>#VALUE!</v>
      </c>
      <c r="J1676" s="116" t="e">
        <f t="shared" si="1007"/>
        <v>#VALUE!</v>
      </c>
      <c r="K1676" s="116" t="e">
        <f t="shared" si="1007"/>
        <v>#VALUE!</v>
      </c>
      <c r="L1676" s="116" t="e">
        <f t="shared" si="1007"/>
        <v>#VALUE!</v>
      </c>
      <c r="N1676" s="108">
        <v>0.75</v>
      </c>
      <c r="O1676" s="116" t="e">
        <f>$H1676*$N1676*$M1676</f>
        <v>#VALUE!</v>
      </c>
      <c r="P1676" s="116" t="e">
        <f>$H1676*(1-$N1676)*$M1676</f>
        <v>#VALUE!</v>
      </c>
      <c r="Q1676" s="116" t="e">
        <f>$H1676*$N1676*(1-$M1676)</f>
        <v>#VALUE!</v>
      </c>
      <c r="R1676" s="116" t="e">
        <f>$H1676*(1-$N1676)*(1-$M1676)</f>
        <v>#VALUE!</v>
      </c>
      <c r="S1676" s="108">
        <v>0.75</v>
      </c>
      <c r="T1676" s="116" t="e">
        <f>$I1676*$S1676*$M1676</f>
        <v>#VALUE!</v>
      </c>
      <c r="U1676" s="116" t="e">
        <f>$I1676*(1-$S1676)*$M1676</f>
        <v>#VALUE!</v>
      </c>
      <c r="V1676" s="116" t="e">
        <f>$I1676*$S1676*(1-$M1676)</f>
        <v>#VALUE!</v>
      </c>
      <c r="W1676" s="116" t="e">
        <f>$I1676*(1-$S1676)*(1-$M1676)</f>
        <v>#VALUE!</v>
      </c>
      <c r="X1676" s="3" t="str">
        <f>INDEX(DistFuncAllocOptions,ROW(A1676)-ROW($A$92)+1,[4]Inputs!$S$11)</f>
        <v>PLNT</v>
      </c>
      <c r="Y1676" s="116" t="e">
        <f t="shared" si="1008"/>
        <v>#VALUE!</v>
      </c>
      <c r="Z1676" s="116" t="e">
        <f t="shared" si="1008"/>
        <v>#VALUE!</v>
      </c>
      <c r="AA1676" s="116" t="e">
        <f t="shared" si="1008"/>
        <v>#VALUE!</v>
      </c>
      <c r="AB1676" s="116" t="e">
        <f t="shared" si="1008"/>
        <v>#VALUE!</v>
      </c>
      <c r="AC1676" s="116" t="e">
        <f t="shared" si="1008"/>
        <v>#VALUE!</v>
      </c>
      <c r="AD1676" s="117" t="e">
        <f>ROUND(SUM(-G1676,H1676:L1676),0)</f>
        <v>#VALUE!</v>
      </c>
      <c r="AE1676" s="117" t="e">
        <f>ROUND(H1676-O1676-P1676-Q1676-R1676,0)</f>
        <v>#VALUE!</v>
      </c>
      <c r="AF1676" s="117" t="e">
        <f>ROUND(I1676-T1676-U1676-V1676-W1676,0)</f>
        <v>#VALUE!</v>
      </c>
      <c r="AG1676" s="117" t="e">
        <f>ROUND(J1676-Y1676-Z1676-AA1676-AC1676-AB1676,0)</f>
        <v>#VALUE!</v>
      </c>
      <c r="AH1676" s="116"/>
      <c r="AI1676">
        <f t="shared" si="979"/>
        <v>301</v>
      </c>
      <c r="AJ1676" t="str">
        <f t="shared" si="973"/>
        <v>SO</v>
      </c>
      <c r="AK1676" t="str">
        <f>IF(ISERROR(MATCH(AI1676&amp;"."&amp;AJ1676,AK$91:AK1675,0)),AI1676&amp;"."&amp;AJ1676,AI1676&amp;"."&amp;AJ1676&amp;COUNTIFS(AI$91:AI1675,AI1676,AJ$91:AJ1675,AJ1676))</f>
        <v>301.SO</v>
      </c>
    </row>
    <row r="1677" spans="1:37" ht="15" hidden="1">
      <c r="A1677" s="120">
        <f>ROW()</f>
        <v>1677</v>
      </c>
      <c r="B1677" s="120"/>
      <c r="C1677" s="1"/>
      <c r="E1677" s="121" t="s">
        <v>15</v>
      </c>
      <c r="F1677" s="138" t="str">
        <f>INDEX(FuncAllocOptions,ROW(A1677)-ROW($A$92)+1,[4]Inputs!$S$11)</f>
        <v>I-SG</v>
      </c>
      <c r="G1677" s="133" t="e">
        <f>SUMIF(FERCJAMFactor,AK1677,JAMValue)</f>
        <v>#VALUE!</v>
      </c>
      <c r="H1677" s="139" t="e">
        <f t="shared" si="1007"/>
        <v>#VALUE!</v>
      </c>
      <c r="I1677" s="139" t="e">
        <f t="shared" si="1007"/>
        <v>#VALUE!</v>
      </c>
      <c r="J1677" s="139" t="e">
        <f t="shared" si="1007"/>
        <v>#VALUE!</v>
      </c>
      <c r="K1677" s="139" t="e">
        <f t="shared" si="1007"/>
        <v>#VALUE!</v>
      </c>
      <c r="L1677" s="139" t="e">
        <f t="shared" si="1007"/>
        <v>#VALUE!</v>
      </c>
      <c r="N1677" s="108">
        <v>0.75</v>
      </c>
      <c r="O1677" s="116" t="e">
        <f>$H1677*$N1677*$M1677</f>
        <v>#VALUE!</v>
      </c>
      <c r="P1677" s="116" t="e">
        <f>$H1677*(1-$N1677)*$M1677</f>
        <v>#VALUE!</v>
      </c>
      <c r="Q1677" s="116" t="e">
        <f>$H1677*$N1677*(1-$M1677)</f>
        <v>#VALUE!</v>
      </c>
      <c r="R1677" s="116" t="e">
        <f>$H1677*(1-$N1677)*(1-$M1677)</f>
        <v>#VALUE!</v>
      </c>
      <c r="S1677" s="108">
        <v>0.75</v>
      </c>
      <c r="T1677" s="116" t="e">
        <f>$I1677*$S1677*$M1677</f>
        <v>#VALUE!</v>
      </c>
      <c r="U1677" s="116" t="e">
        <f>$I1677*(1-$S1677)*$M1677</f>
        <v>#VALUE!</v>
      </c>
      <c r="V1677" s="116" t="e">
        <f>$I1677*$S1677*(1-$M1677)</f>
        <v>#VALUE!</v>
      </c>
      <c r="W1677" s="116" t="e">
        <f>$I1677*(1-$S1677)*(1-$M1677)</f>
        <v>#VALUE!</v>
      </c>
      <c r="X1677" s="3" t="str">
        <f>INDEX(DistFuncAllocOptions,ROW(A1677)-ROW($A$92)+1,[4]Inputs!$S$11)</f>
        <v>PLNT</v>
      </c>
      <c r="Y1677" s="116" t="e">
        <f t="shared" si="1008"/>
        <v>#VALUE!</v>
      </c>
      <c r="Z1677" s="116" t="e">
        <f t="shared" si="1008"/>
        <v>#VALUE!</v>
      </c>
      <c r="AA1677" s="116" t="e">
        <f t="shared" si="1008"/>
        <v>#VALUE!</v>
      </c>
      <c r="AB1677" s="116" t="e">
        <f t="shared" si="1008"/>
        <v>#VALUE!</v>
      </c>
      <c r="AC1677" s="116" t="e">
        <f t="shared" si="1008"/>
        <v>#VALUE!</v>
      </c>
      <c r="AD1677" s="117" t="e">
        <f>ROUND(SUM(-G1677,H1677:L1677),0)</f>
        <v>#VALUE!</v>
      </c>
      <c r="AE1677" s="117" t="e">
        <f>ROUND(H1677-O1677-P1677-Q1677-R1677,0)</f>
        <v>#VALUE!</v>
      </c>
      <c r="AF1677" s="117" t="e">
        <f>ROUND(I1677-T1677-U1677-V1677-W1677,0)</f>
        <v>#VALUE!</v>
      </c>
      <c r="AG1677" s="117" t="e">
        <f>ROUND(J1677-Y1677-Z1677-AA1677-AC1677-AB1677,0)</f>
        <v>#VALUE!</v>
      </c>
      <c r="AH1677" s="116"/>
      <c r="AI1677">
        <f t="shared" si="979"/>
        <v>301</v>
      </c>
      <c r="AJ1677" t="str">
        <f t="shared" si="973"/>
        <v>SG</v>
      </c>
      <c r="AK1677" t="str">
        <f>IF(ISERROR(MATCH(AI1677&amp;"."&amp;AJ1677,AK$91:AK1676,0)),AI1677&amp;"."&amp;AJ1677,AI1677&amp;"."&amp;AJ1677&amp;COUNTIFS(AI$91:AI1676,AI1677,AJ$91:AJ1676,AJ1677))</f>
        <v>301.SG</v>
      </c>
    </row>
    <row r="1678" spans="1:37" ht="15" hidden="1">
      <c r="A1678" s="120">
        <f>ROW()</f>
        <v>1678</v>
      </c>
      <c r="B1678" s="120"/>
      <c r="C1678" s="1"/>
      <c r="E1678" s="121"/>
      <c r="F1678" s="138"/>
      <c r="G1678" s="117" t="e">
        <f t="shared" ref="G1678:L1678" si="1009">SUM(G1675:G1677)</f>
        <v>#VALUE!</v>
      </c>
      <c r="H1678" s="116" t="e">
        <f t="shared" si="1009"/>
        <v>#VALUE!</v>
      </c>
      <c r="I1678" s="116" t="e">
        <f t="shared" si="1009"/>
        <v>#VALUE!</v>
      </c>
      <c r="J1678" s="116" t="e">
        <f t="shared" si="1009"/>
        <v>#VALUE!</v>
      </c>
      <c r="K1678" s="116" t="e">
        <f t="shared" si="1009"/>
        <v>#VALUE!</v>
      </c>
      <c r="L1678" s="116" t="e">
        <f t="shared" si="1009"/>
        <v>#VALUE!</v>
      </c>
      <c r="O1678" s="116" t="e">
        <f>SUM(O1675:O1677)</f>
        <v>#VALUE!</v>
      </c>
      <c r="P1678" s="116" t="e">
        <f>SUM(P1675:P1677)</f>
        <v>#VALUE!</v>
      </c>
      <c r="Q1678" s="116" t="e">
        <f>SUM(Q1675:Q1677)</f>
        <v>#VALUE!</v>
      </c>
      <c r="R1678" s="116" t="e">
        <f>SUM(R1675:R1677)</f>
        <v>#VALUE!</v>
      </c>
      <c r="T1678" s="116" t="e">
        <f>SUM(T1675:T1677)</f>
        <v>#VALUE!</v>
      </c>
      <c r="U1678" s="116" t="e">
        <f>SUM(U1675:U1677)</f>
        <v>#VALUE!</v>
      </c>
      <c r="V1678" s="116" t="e">
        <f>SUM(V1675:V1677)</f>
        <v>#VALUE!</v>
      </c>
      <c r="W1678" s="116" t="e">
        <f>SUM(W1675:W1677)</f>
        <v>#VALUE!</v>
      </c>
      <c r="X1678" s="3"/>
      <c r="Y1678" s="116" t="e">
        <f>SUM(Y1675:Y1677)</f>
        <v>#VALUE!</v>
      </c>
      <c r="Z1678" s="116" t="e">
        <f>SUM(Z1675:Z1677)</f>
        <v>#VALUE!</v>
      </c>
      <c r="AA1678" s="116" t="e">
        <f>SUM(AA1675:AA1677)</f>
        <v>#VALUE!</v>
      </c>
      <c r="AB1678" s="116" t="e">
        <f>SUM(AB1675:AB1677)</f>
        <v>#VALUE!</v>
      </c>
      <c r="AC1678" s="116" t="e">
        <f>SUM(AC1675:AC1677)</f>
        <v>#VALUE!</v>
      </c>
      <c r="AD1678" s="117" t="e">
        <f>ROUND(SUM(-G1678,H1678:L1678),0)</f>
        <v>#VALUE!</v>
      </c>
      <c r="AE1678" s="117" t="e">
        <f>ROUND(H1678-O1678-P1678-Q1678-R1678,0)</f>
        <v>#VALUE!</v>
      </c>
      <c r="AF1678" s="117" t="e">
        <f>ROUND(I1678-T1678-U1678-V1678-W1678,0)</f>
        <v>#VALUE!</v>
      </c>
      <c r="AG1678" s="117" t="e">
        <f>ROUND(J1678-Y1678-Z1678-AA1678-AC1678-AB1678,0)</f>
        <v>#VALUE!</v>
      </c>
      <c r="AH1678" s="116"/>
      <c r="AI1678">
        <f t="shared" si="979"/>
        <v>301</v>
      </c>
      <c r="AJ1678" t="str">
        <f t="shared" si="973"/>
        <v>NA</v>
      </c>
      <c r="AK1678" t="str">
        <f>IF(ISERROR(MATCH(AI1678&amp;"."&amp;AJ1678,AK$91:AK1677,0)),AI1678&amp;"."&amp;AJ1678,AI1678&amp;"."&amp;AJ1678&amp;COUNTIFS(AI$91:AI1677,AI1678,AJ$91:AJ1677,AJ1678))</f>
        <v>301.NA1</v>
      </c>
    </row>
    <row r="1679" spans="1:37" ht="15" hidden="1">
      <c r="A1679" s="120">
        <f>ROW()</f>
        <v>1679</v>
      </c>
      <c r="B1679" s="120"/>
      <c r="C1679" s="1">
        <v>302</v>
      </c>
      <c r="D1679" s="2" t="s">
        <v>579</v>
      </c>
      <c r="E1679" s="121"/>
      <c r="F1679" s="138"/>
      <c r="G1679" s="119"/>
      <c r="X1679" s="3"/>
      <c r="AD1679" s="119"/>
      <c r="AE1679" s="119"/>
      <c r="AF1679" s="119"/>
      <c r="AG1679" s="119"/>
      <c r="AI1679">
        <f t="shared" si="979"/>
        <v>302</v>
      </c>
      <c r="AJ1679" t="str">
        <f t="shared" si="973"/>
        <v>NA</v>
      </c>
      <c r="AK1679" t="str">
        <f>IF(ISERROR(MATCH(AI1679&amp;"."&amp;AJ1679,AK$91:AK1678,0)),AI1679&amp;"."&amp;AJ1679,AI1679&amp;"."&amp;AJ1679&amp;COUNTIFS(AI$91:AI1678,AI1679,AJ$91:AJ1678,AJ1679))</f>
        <v>302.NA</v>
      </c>
    </row>
    <row r="1680" spans="1:37" ht="15" hidden="1">
      <c r="A1680" s="120">
        <f>ROW()</f>
        <v>1680</v>
      </c>
      <c r="B1680" s="120"/>
      <c r="C1680" s="1"/>
      <c r="E1680" s="121" t="s">
        <v>12</v>
      </c>
      <c r="F1680" s="138" t="str">
        <f>INDEX(FuncAllocOptions,ROW(A1680)-ROW($A$92)+1,[4]Inputs!$S$11)</f>
        <v>I-SITUS</v>
      </c>
      <c r="G1680" s="117" t="e">
        <f t="shared" ref="G1680:G1685" si="1010">SUMIF(FERCJAMFactor,AK1680,JAMValue)</f>
        <v>#VALUE!</v>
      </c>
      <c r="H1680" s="116" t="e">
        <f t="shared" ref="H1680:L1685" si="1011">INDEX(FuncFactorTbl,MATCH($F1680,FuncFactors,0),MATCH(H$8,Functions,0))*$G1680</f>
        <v>#VALUE!</v>
      </c>
      <c r="I1680" s="116" t="e">
        <f t="shared" si="1011"/>
        <v>#VALUE!</v>
      </c>
      <c r="J1680" s="116" t="e">
        <f t="shared" si="1011"/>
        <v>#VALUE!</v>
      </c>
      <c r="K1680" s="116" t="e">
        <f t="shared" si="1011"/>
        <v>#VALUE!</v>
      </c>
      <c r="L1680" s="116" t="e">
        <f t="shared" si="1011"/>
        <v>#VALUE!</v>
      </c>
      <c r="N1680" s="108">
        <v>0.75</v>
      </c>
      <c r="O1680" s="116" t="e">
        <f t="shared" ref="O1680:O1685" si="1012">$H1680*$N1680*$M1680</f>
        <v>#VALUE!</v>
      </c>
      <c r="P1680" s="116" t="e">
        <f t="shared" ref="P1680:P1685" si="1013">$H1680*(1-$N1680)*$M1680</f>
        <v>#VALUE!</v>
      </c>
      <c r="Q1680" s="116" t="e">
        <f t="shared" ref="Q1680:Q1685" si="1014">$H1680*$N1680*(1-$M1680)</f>
        <v>#VALUE!</v>
      </c>
      <c r="R1680" s="116" t="e">
        <f t="shared" ref="R1680:R1685" si="1015">$H1680*(1-$N1680)*(1-$M1680)</f>
        <v>#VALUE!</v>
      </c>
      <c r="S1680" s="108">
        <v>0.75</v>
      </c>
      <c r="T1680" s="116" t="e">
        <f t="shared" ref="T1680:T1685" si="1016">$I1680*$S1680*$M1680</f>
        <v>#VALUE!</v>
      </c>
      <c r="U1680" s="116" t="e">
        <f t="shared" ref="U1680:U1685" si="1017">$I1680*(1-$S1680)*$M1680</f>
        <v>#VALUE!</v>
      </c>
      <c r="V1680" s="116" t="e">
        <f t="shared" ref="V1680:V1685" si="1018">$I1680*$S1680*(1-$M1680)</f>
        <v>#VALUE!</v>
      </c>
      <c r="W1680" s="116" t="e">
        <f t="shared" ref="W1680:W1685" si="1019">$I1680*(1-$S1680)*(1-$M1680)</f>
        <v>#VALUE!</v>
      </c>
      <c r="X1680" s="3" t="str">
        <f>INDEX(DistFuncAllocOptions,ROW(A1680)-ROW($A$92)+1,[4]Inputs!$S$11)</f>
        <v>PLNT</v>
      </c>
      <c r="Y1680" s="116" t="e">
        <f t="shared" ref="Y1680:AC1685" si="1020">INDEX(DistFuncFactorTbl,MATCH($X1680,DistFuncFactors,0),MATCH(Y$91,DistFunctions,0))*$J1680</f>
        <v>#VALUE!</v>
      </c>
      <c r="Z1680" s="116" t="e">
        <f t="shared" si="1020"/>
        <v>#VALUE!</v>
      </c>
      <c r="AA1680" s="116" t="e">
        <f t="shared" si="1020"/>
        <v>#VALUE!</v>
      </c>
      <c r="AB1680" s="116" t="e">
        <f t="shared" si="1020"/>
        <v>#VALUE!</v>
      </c>
      <c r="AC1680" s="116" t="e">
        <f t="shared" si="1020"/>
        <v>#VALUE!</v>
      </c>
      <c r="AD1680" s="117" t="e">
        <f t="shared" ref="AD1680:AD1686" si="1021">ROUND(SUM(-G1680,H1680:L1680),0)</f>
        <v>#VALUE!</v>
      </c>
      <c r="AE1680" s="117" t="e">
        <f t="shared" ref="AE1680:AE1686" si="1022">ROUND(H1680-O1680-P1680-Q1680-R1680,0)</f>
        <v>#VALUE!</v>
      </c>
      <c r="AF1680" s="117" t="e">
        <f t="shared" ref="AF1680:AF1686" si="1023">ROUND(I1680-T1680-U1680-V1680-W1680,0)</f>
        <v>#VALUE!</v>
      </c>
      <c r="AG1680" s="117" t="e">
        <f t="shared" ref="AG1680:AG1686" si="1024">ROUND(J1680-Y1680-Z1680-AA1680-AC1680-AB1680,0)</f>
        <v>#VALUE!</v>
      </c>
      <c r="AH1680" s="116"/>
      <c r="AI1680">
        <f t="shared" si="979"/>
        <v>302</v>
      </c>
      <c r="AJ1680" t="str">
        <f t="shared" si="973"/>
        <v>S</v>
      </c>
      <c r="AK1680" t="str">
        <f>IF(ISERROR(MATCH(AI1680&amp;"."&amp;AJ1680,AK$91:AK1679,0)),AI1680&amp;"."&amp;AJ1680,AI1680&amp;"."&amp;AJ1680&amp;COUNTIFS(AI$91:AI1679,AI1680,AJ$91:AJ1679,AJ1680))</f>
        <v>302.S</v>
      </c>
    </row>
    <row r="1681" spans="1:37" ht="15" hidden="1">
      <c r="A1681" s="120">
        <f>ROW()</f>
        <v>1681</v>
      </c>
      <c r="B1681" s="120"/>
      <c r="C1681" s="1"/>
      <c r="E1681" s="121" t="s">
        <v>15</v>
      </c>
      <c r="F1681" s="138" t="str">
        <f>INDEX(FuncAllocOptions,ROW(A1681)-ROW($A$92)+1,[4]Inputs!$S$11)</f>
        <v>I-SG</v>
      </c>
      <c r="G1681" s="117" t="e">
        <f t="shared" si="1010"/>
        <v>#VALUE!</v>
      </c>
      <c r="H1681" s="116" t="e">
        <f t="shared" si="1011"/>
        <v>#VALUE!</v>
      </c>
      <c r="I1681" s="116" t="e">
        <f t="shared" si="1011"/>
        <v>#VALUE!</v>
      </c>
      <c r="J1681" s="116" t="e">
        <f t="shared" si="1011"/>
        <v>#VALUE!</v>
      </c>
      <c r="K1681" s="116" t="e">
        <f t="shared" si="1011"/>
        <v>#VALUE!</v>
      </c>
      <c r="L1681" s="116" t="e">
        <f t="shared" si="1011"/>
        <v>#VALUE!</v>
      </c>
      <c r="N1681" s="108">
        <v>0.75</v>
      </c>
      <c r="O1681" s="116" t="e">
        <f t="shared" si="1012"/>
        <v>#VALUE!</v>
      </c>
      <c r="P1681" s="116" t="e">
        <f t="shared" si="1013"/>
        <v>#VALUE!</v>
      </c>
      <c r="Q1681" s="116" t="e">
        <f t="shared" si="1014"/>
        <v>#VALUE!</v>
      </c>
      <c r="R1681" s="116" t="e">
        <f t="shared" si="1015"/>
        <v>#VALUE!</v>
      </c>
      <c r="S1681" s="108">
        <v>0.75</v>
      </c>
      <c r="T1681" s="116" t="e">
        <f t="shared" si="1016"/>
        <v>#VALUE!</v>
      </c>
      <c r="U1681" s="116" t="e">
        <f t="shared" si="1017"/>
        <v>#VALUE!</v>
      </c>
      <c r="V1681" s="116" t="e">
        <f t="shared" si="1018"/>
        <v>#VALUE!</v>
      </c>
      <c r="W1681" s="116" t="e">
        <f t="shared" si="1019"/>
        <v>#VALUE!</v>
      </c>
      <c r="X1681" s="3" t="str">
        <f>INDEX(DistFuncAllocOptions,ROW(A1681)-ROW($A$92)+1,[4]Inputs!$S$11)</f>
        <v>PLNT</v>
      </c>
      <c r="Y1681" s="116" t="e">
        <f t="shared" si="1020"/>
        <v>#VALUE!</v>
      </c>
      <c r="Z1681" s="116" t="e">
        <f t="shared" si="1020"/>
        <v>#VALUE!</v>
      </c>
      <c r="AA1681" s="116" t="e">
        <f t="shared" si="1020"/>
        <v>#VALUE!</v>
      </c>
      <c r="AB1681" s="116" t="e">
        <f t="shared" si="1020"/>
        <v>#VALUE!</v>
      </c>
      <c r="AC1681" s="116" t="e">
        <f t="shared" si="1020"/>
        <v>#VALUE!</v>
      </c>
      <c r="AD1681" s="117" t="e">
        <f t="shared" si="1021"/>
        <v>#VALUE!</v>
      </c>
      <c r="AE1681" s="117" t="e">
        <f t="shared" si="1022"/>
        <v>#VALUE!</v>
      </c>
      <c r="AF1681" s="117" t="e">
        <f t="shared" si="1023"/>
        <v>#VALUE!</v>
      </c>
      <c r="AG1681" s="117" t="e">
        <f t="shared" si="1024"/>
        <v>#VALUE!</v>
      </c>
      <c r="AH1681" s="116"/>
      <c r="AI1681">
        <f t="shared" si="979"/>
        <v>302</v>
      </c>
      <c r="AJ1681" t="str">
        <f t="shared" si="973"/>
        <v>SG</v>
      </c>
      <c r="AK1681" t="str">
        <f>IF(ISERROR(MATCH(AI1681&amp;"."&amp;AJ1681,AK$91:AK1680,0)),AI1681&amp;"."&amp;AJ1681,AI1681&amp;"."&amp;AJ1681&amp;COUNTIFS(AI$91:AI1680,AI1681,AJ$91:AJ1680,AJ1681))</f>
        <v>302.SG</v>
      </c>
    </row>
    <row r="1682" spans="1:37" ht="15" hidden="1">
      <c r="A1682" s="120">
        <f>ROW()</f>
        <v>1682</v>
      </c>
      <c r="B1682" s="120"/>
      <c r="C1682" s="1"/>
      <c r="E1682" s="121" t="s">
        <v>15</v>
      </c>
      <c r="F1682" s="138" t="str">
        <f>INDEX(FuncAllocOptions,ROW(A1682)-ROW($A$92)+1,[4]Inputs!$S$11)</f>
        <v>I-SG</v>
      </c>
      <c r="G1682" s="117" t="e">
        <f t="shared" si="1010"/>
        <v>#VALUE!</v>
      </c>
      <c r="H1682" s="116" t="e">
        <f t="shared" si="1011"/>
        <v>#VALUE!</v>
      </c>
      <c r="I1682" s="116" t="e">
        <f t="shared" si="1011"/>
        <v>#VALUE!</v>
      </c>
      <c r="J1682" s="116" t="e">
        <f t="shared" si="1011"/>
        <v>#VALUE!</v>
      </c>
      <c r="K1682" s="116" t="e">
        <f t="shared" si="1011"/>
        <v>#VALUE!</v>
      </c>
      <c r="L1682" s="116" t="e">
        <f t="shared" si="1011"/>
        <v>#VALUE!</v>
      </c>
      <c r="N1682" s="108">
        <v>0.75</v>
      </c>
      <c r="O1682" s="116" t="e">
        <f t="shared" si="1012"/>
        <v>#VALUE!</v>
      </c>
      <c r="P1682" s="116" t="e">
        <f t="shared" si="1013"/>
        <v>#VALUE!</v>
      </c>
      <c r="Q1682" s="116" t="e">
        <f t="shared" si="1014"/>
        <v>#VALUE!</v>
      </c>
      <c r="R1682" s="116" t="e">
        <f t="shared" si="1015"/>
        <v>#VALUE!</v>
      </c>
      <c r="S1682" s="108">
        <v>0.75</v>
      </c>
      <c r="T1682" s="116" t="e">
        <f t="shared" si="1016"/>
        <v>#VALUE!</v>
      </c>
      <c r="U1682" s="116" t="e">
        <f t="shared" si="1017"/>
        <v>#VALUE!</v>
      </c>
      <c r="V1682" s="116" t="e">
        <f t="shared" si="1018"/>
        <v>#VALUE!</v>
      </c>
      <c r="W1682" s="116" t="e">
        <f t="shared" si="1019"/>
        <v>#VALUE!</v>
      </c>
      <c r="X1682" s="3" t="str">
        <f>INDEX(DistFuncAllocOptions,ROW(A1682)-ROW($A$92)+1,[4]Inputs!$S$11)</f>
        <v>PLNT</v>
      </c>
      <c r="Y1682" s="116" t="e">
        <f t="shared" si="1020"/>
        <v>#VALUE!</v>
      </c>
      <c r="Z1682" s="116" t="e">
        <f t="shared" si="1020"/>
        <v>#VALUE!</v>
      </c>
      <c r="AA1682" s="116" t="e">
        <f t="shared" si="1020"/>
        <v>#VALUE!</v>
      </c>
      <c r="AB1682" s="116" t="e">
        <f t="shared" si="1020"/>
        <v>#VALUE!</v>
      </c>
      <c r="AC1682" s="116" t="e">
        <f t="shared" si="1020"/>
        <v>#VALUE!</v>
      </c>
      <c r="AD1682" s="117" t="e">
        <f t="shared" si="1021"/>
        <v>#VALUE!</v>
      </c>
      <c r="AE1682" s="117" t="e">
        <f t="shared" si="1022"/>
        <v>#VALUE!</v>
      </c>
      <c r="AF1682" s="117" t="e">
        <f t="shared" si="1023"/>
        <v>#VALUE!</v>
      </c>
      <c r="AG1682" s="117" t="e">
        <f t="shared" si="1024"/>
        <v>#VALUE!</v>
      </c>
      <c r="AH1682" s="116"/>
      <c r="AI1682">
        <f t="shared" si="979"/>
        <v>302</v>
      </c>
      <c r="AJ1682" t="str">
        <f t="shared" si="973"/>
        <v>SG</v>
      </c>
      <c r="AK1682" t="str">
        <f>IF(ISERROR(MATCH(AI1682&amp;"."&amp;AJ1682,AK$91:AK1681,0)),AI1682&amp;"."&amp;AJ1682,AI1682&amp;"."&amp;AJ1682&amp;COUNTIFS(AI$91:AI1681,AI1682,AJ$91:AJ1681,AJ1682))</f>
        <v>302.SG1</v>
      </c>
    </row>
    <row r="1683" spans="1:37" ht="15" hidden="1">
      <c r="A1683" s="120">
        <f>ROW()</f>
        <v>1683</v>
      </c>
      <c r="B1683" s="120"/>
      <c r="C1683" s="1"/>
      <c r="E1683" s="121" t="s">
        <v>15</v>
      </c>
      <c r="F1683" s="138" t="str">
        <f>INDEX(FuncAllocOptions,ROW(A1683)-ROW($A$92)+1,[4]Inputs!$S$11)</f>
        <v>I-SG</v>
      </c>
      <c r="G1683" s="117" t="e">
        <f t="shared" si="1010"/>
        <v>#VALUE!</v>
      </c>
      <c r="H1683" s="116" t="e">
        <f t="shared" si="1011"/>
        <v>#VALUE!</v>
      </c>
      <c r="I1683" s="116" t="e">
        <f t="shared" si="1011"/>
        <v>#VALUE!</v>
      </c>
      <c r="J1683" s="116" t="e">
        <f t="shared" si="1011"/>
        <v>#VALUE!</v>
      </c>
      <c r="K1683" s="116" t="e">
        <f t="shared" si="1011"/>
        <v>#VALUE!</v>
      </c>
      <c r="L1683" s="116" t="e">
        <f t="shared" si="1011"/>
        <v>#VALUE!</v>
      </c>
      <c r="N1683" s="108">
        <v>0.75</v>
      </c>
      <c r="O1683" s="116" t="e">
        <f t="shared" si="1012"/>
        <v>#VALUE!</v>
      </c>
      <c r="P1683" s="116" t="e">
        <f t="shared" si="1013"/>
        <v>#VALUE!</v>
      </c>
      <c r="Q1683" s="116" t="e">
        <f t="shared" si="1014"/>
        <v>#VALUE!</v>
      </c>
      <c r="R1683" s="116" t="e">
        <f t="shared" si="1015"/>
        <v>#VALUE!</v>
      </c>
      <c r="S1683" s="108">
        <v>0.75</v>
      </c>
      <c r="T1683" s="116" t="e">
        <f t="shared" si="1016"/>
        <v>#VALUE!</v>
      </c>
      <c r="U1683" s="116" t="e">
        <f t="shared" si="1017"/>
        <v>#VALUE!</v>
      </c>
      <c r="V1683" s="116" t="e">
        <f t="shared" si="1018"/>
        <v>#VALUE!</v>
      </c>
      <c r="W1683" s="116" t="e">
        <f t="shared" si="1019"/>
        <v>#VALUE!</v>
      </c>
      <c r="X1683" s="3" t="str">
        <f>INDEX(DistFuncAllocOptions,ROW(A1683)-ROW($A$92)+1,[4]Inputs!$S$11)</f>
        <v>PLNT</v>
      </c>
      <c r="Y1683" s="116" t="e">
        <f t="shared" si="1020"/>
        <v>#VALUE!</v>
      </c>
      <c r="Z1683" s="116" t="e">
        <f t="shared" si="1020"/>
        <v>#VALUE!</v>
      </c>
      <c r="AA1683" s="116" t="e">
        <f t="shared" si="1020"/>
        <v>#VALUE!</v>
      </c>
      <c r="AB1683" s="116" t="e">
        <f t="shared" si="1020"/>
        <v>#VALUE!</v>
      </c>
      <c r="AC1683" s="116" t="e">
        <f t="shared" si="1020"/>
        <v>#VALUE!</v>
      </c>
      <c r="AD1683" s="117" t="e">
        <f t="shared" si="1021"/>
        <v>#VALUE!</v>
      </c>
      <c r="AE1683" s="117" t="e">
        <f t="shared" si="1022"/>
        <v>#VALUE!</v>
      </c>
      <c r="AF1683" s="117" t="e">
        <f t="shared" si="1023"/>
        <v>#VALUE!</v>
      </c>
      <c r="AG1683" s="117" t="e">
        <f t="shared" si="1024"/>
        <v>#VALUE!</v>
      </c>
      <c r="AH1683" s="116"/>
      <c r="AI1683">
        <f t="shared" si="979"/>
        <v>302</v>
      </c>
      <c r="AJ1683" t="str">
        <f t="shared" si="973"/>
        <v>SG</v>
      </c>
      <c r="AK1683" t="str">
        <f>IF(ISERROR(MATCH(AI1683&amp;"."&amp;AJ1683,AK$91:AK1682,0)),AI1683&amp;"."&amp;AJ1683,AI1683&amp;"."&amp;AJ1683&amp;COUNTIFS(AI$91:AI1682,AI1683,AJ$91:AJ1682,AJ1683))</f>
        <v>302.SG2</v>
      </c>
    </row>
    <row r="1684" spans="1:37" ht="15" hidden="1">
      <c r="A1684" s="120">
        <f>ROW()</f>
        <v>1684</v>
      </c>
      <c r="B1684" s="120"/>
      <c r="C1684" s="1"/>
      <c r="E1684" s="121" t="s">
        <v>15</v>
      </c>
      <c r="F1684" s="138" t="str">
        <f>INDEX(FuncAllocOptions,ROW(A1684)-ROW($A$92)+1,[4]Inputs!$S$11)</f>
        <v>P</v>
      </c>
      <c r="G1684" s="117" t="e">
        <f t="shared" si="1010"/>
        <v>#VALUE!</v>
      </c>
      <c r="H1684" s="116" t="e">
        <f t="shared" si="1011"/>
        <v>#VALUE!</v>
      </c>
      <c r="I1684" s="116" t="e">
        <f t="shared" si="1011"/>
        <v>#VALUE!</v>
      </c>
      <c r="J1684" s="116" t="e">
        <f t="shared" si="1011"/>
        <v>#VALUE!</v>
      </c>
      <c r="K1684" s="116" t="e">
        <f t="shared" si="1011"/>
        <v>#VALUE!</v>
      </c>
      <c r="L1684" s="116" t="e">
        <f t="shared" si="1011"/>
        <v>#VALUE!</v>
      </c>
      <c r="N1684" s="108">
        <v>0.75</v>
      </c>
      <c r="O1684" s="116" t="e">
        <f t="shared" si="1012"/>
        <v>#VALUE!</v>
      </c>
      <c r="P1684" s="116" t="e">
        <f t="shared" si="1013"/>
        <v>#VALUE!</v>
      </c>
      <c r="Q1684" s="116" t="e">
        <f t="shared" si="1014"/>
        <v>#VALUE!</v>
      </c>
      <c r="R1684" s="116" t="e">
        <f t="shared" si="1015"/>
        <v>#VALUE!</v>
      </c>
      <c r="S1684" s="108">
        <v>0.75</v>
      </c>
      <c r="T1684" s="116" t="e">
        <f t="shared" si="1016"/>
        <v>#VALUE!</v>
      </c>
      <c r="U1684" s="116" t="e">
        <f t="shared" si="1017"/>
        <v>#VALUE!</v>
      </c>
      <c r="V1684" s="116" t="e">
        <f t="shared" si="1018"/>
        <v>#VALUE!</v>
      </c>
      <c r="W1684" s="116" t="e">
        <f t="shared" si="1019"/>
        <v>#VALUE!</v>
      </c>
      <c r="X1684" s="3" t="str">
        <f>INDEX(DistFuncAllocOptions,ROW(A1684)-ROW($A$92)+1,[4]Inputs!$S$11)</f>
        <v>PLNT</v>
      </c>
      <c r="Y1684" s="116" t="e">
        <f t="shared" si="1020"/>
        <v>#VALUE!</v>
      </c>
      <c r="Z1684" s="116" t="e">
        <f t="shared" si="1020"/>
        <v>#VALUE!</v>
      </c>
      <c r="AA1684" s="116" t="e">
        <f t="shared" si="1020"/>
        <v>#VALUE!</v>
      </c>
      <c r="AB1684" s="116" t="e">
        <f t="shared" si="1020"/>
        <v>#VALUE!</v>
      </c>
      <c r="AC1684" s="116" t="e">
        <f t="shared" si="1020"/>
        <v>#VALUE!</v>
      </c>
      <c r="AD1684" s="117" t="e">
        <f t="shared" si="1021"/>
        <v>#VALUE!</v>
      </c>
      <c r="AE1684" s="117" t="e">
        <f t="shared" si="1022"/>
        <v>#VALUE!</v>
      </c>
      <c r="AF1684" s="117" t="e">
        <f t="shared" si="1023"/>
        <v>#VALUE!</v>
      </c>
      <c r="AG1684" s="117" t="e">
        <f t="shared" si="1024"/>
        <v>#VALUE!</v>
      </c>
      <c r="AH1684" s="116"/>
      <c r="AI1684">
        <f t="shared" si="979"/>
        <v>302</v>
      </c>
      <c r="AJ1684" t="str">
        <f t="shared" si="973"/>
        <v>SG</v>
      </c>
      <c r="AK1684" t="str">
        <f>IF(ISERROR(MATCH(AI1684&amp;"."&amp;AJ1684,AK$91:AK1683,0)),AI1684&amp;"."&amp;AJ1684,AI1684&amp;"."&amp;AJ1684&amp;COUNTIFS(AI$91:AI1683,AI1684,AJ$91:AJ1683,AJ1684))</f>
        <v>302.SG3</v>
      </c>
    </row>
    <row r="1685" spans="1:37" ht="15" hidden="1">
      <c r="A1685" s="120">
        <f>ROW()</f>
        <v>1685</v>
      </c>
      <c r="B1685" s="120"/>
      <c r="C1685" s="1"/>
      <c r="E1685" s="121" t="s">
        <v>15</v>
      </c>
      <c r="F1685" s="138" t="str">
        <f>INDEX(FuncAllocOptions,ROW(A1685)-ROW($A$92)+1,[4]Inputs!$S$11)</f>
        <v>P</v>
      </c>
      <c r="G1685" s="133" t="e">
        <f t="shared" si="1010"/>
        <v>#VALUE!</v>
      </c>
      <c r="H1685" s="139" t="e">
        <f t="shared" si="1011"/>
        <v>#VALUE!</v>
      </c>
      <c r="I1685" s="139" t="e">
        <f t="shared" si="1011"/>
        <v>#VALUE!</v>
      </c>
      <c r="J1685" s="139" t="e">
        <f t="shared" si="1011"/>
        <v>#VALUE!</v>
      </c>
      <c r="K1685" s="139" t="e">
        <f t="shared" si="1011"/>
        <v>#VALUE!</v>
      </c>
      <c r="L1685" s="139" t="e">
        <f t="shared" si="1011"/>
        <v>#VALUE!</v>
      </c>
      <c r="N1685" s="108">
        <v>0.75</v>
      </c>
      <c r="O1685" s="116" t="e">
        <f t="shared" si="1012"/>
        <v>#VALUE!</v>
      </c>
      <c r="P1685" s="116" t="e">
        <f t="shared" si="1013"/>
        <v>#VALUE!</v>
      </c>
      <c r="Q1685" s="116" t="e">
        <f t="shared" si="1014"/>
        <v>#VALUE!</v>
      </c>
      <c r="R1685" s="116" t="e">
        <f t="shared" si="1015"/>
        <v>#VALUE!</v>
      </c>
      <c r="S1685" s="108">
        <v>0.75</v>
      </c>
      <c r="T1685" s="116" t="e">
        <f t="shared" si="1016"/>
        <v>#VALUE!</v>
      </c>
      <c r="U1685" s="116" t="e">
        <f t="shared" si="1017"/>
        <v>#VALUE!</v>
      </c>
      <c r="V1685" s="116" t="e">
        <f t="shared" si="1018"/>
        <v>#VALUE!</v>
      </c>
      <c r="W1685" s="116" t="e">
        <f t="shared" si="1019"/>
        <v>#VALUE!</v>
      </c>
      <c r="X1685" s="3" t="str">
        <f>INDEX(DistFuncAllocOptions,ROW(A1685)-ROW($A$92)+1,[4]Inputs!$S$11)</f>
        <v>PLNT</v>
      </c>
      <c r="Y1685" s="116" t="e">
        <f t="shared" si="1020"/>
        <v>#VALUE!</v>
      </c>
      <c r="Z1685" s="116" t="e">
        <f t="shared" si="1020"/>
        <v>#VALUE!</v>
      </c>
      <c r="AA1685" s="116" t="e">
        <f t="shared" si="1020"/>
        <v>#VALUE!</v>
      </c>
      <c r="AB1685" s="116" t="e">
        <f t="shared" si="1020"/>
        <v>#VALUE!</v>
      </c>
      <c r="AC1685" s="116" t="e">
        <f t="shared" si="1020"/>
        <v>#VALUE!</v>
      </c>
      <c r="AD1685" s="117" t="e">
        <f t="shared" si="1021"/>
        <v>#VALUE!</v>
      </c>
      <c r="AE1685" s="117" t="e">
        <f t="shared" si="1022"/>
        <v>#VALUE!</v>
      </c>
      <c r="AF1685" s="117" t="e">
        <f t="shared" si="1023"/>
        <v>#VALUE!</v>
      </c>
      <c r="AG1685" s="117" t="e">
        <f t="shared" si="1024"/>
        <v>#VALUE!</v>
      </c>
      <c r="AH1685" s="116"/>
      <c r="AI1685">
        <f t="shared" si="979"/>
        <v>302</v>
      </c>
      <c r="AJ1685" t="str">
        <f t="shared" si="973"/>
        <v>SG</v>
      </c>
      <c r="AK1685" t="str">
        <f>IF(ISERROR(MATCH(AI1685&amp;"."&amp;AJ1685,AK$91:AK1684,0)),AI1685&amp;"."&amp;AJ1685,AI1685&amp;"."&amp;AJ1685&amp;COUNTIFS(AI$91:AI1684,AI1685,AJ$91:AJ1684,AJ1685))</f>
        <v>302.SG4</v>
      </c>
    </row>
    <row r="1686" spans="1:37" ht="15" hidden="1">
      <c r="A1686" s="120">
        <f>ROW()</f>
        <v>1686</v>
      </c>
      <c r="B1686" s="120"/>
      <c r="C1686" s="1"/>
      <c r="E1686" s="121"/>
      <c r="F1686" s="138"/>
      <c r="G1686" s="117" t="e">
        <f t="shared" ref="G1686:L1686" si="1025">SUM(G1680:G1685)</f>
        <v>#VALUE!</v>
      </c>
      <c r="H1686" s="116" t="e">
        <f t="shared" si="1025"/>
        <v>#VALUE!</v>
      </c>
      <c r="I1686" s="116" t="e">
        <f t="shared" si="1025"/>
        <v>#VALUE!</v>
      </c>
      <c r="J1686" s="116" t="e">
        <f t="shared" si="1025"/>
        <v>#VALUE!</v>
      </c>
      <c r="K1686" s="116" t="e">
        <f t="shared" si="1025"/>
        <v>#VALUE!</v>
      </c>
      <c r="L1686" s="116" t="e">
        <f t="shared" si="1025"/>
        <v>#VALUE!</v>
      </c>
      <c r="O1686" s="116" t="e">
        <f>SUM(O1680:O1685)</f>
        <v>#VALUE!</v>
      </c>
      <c r="P1686" s="116" t="e">
        <f>SUM(P1680:P1685)</f>
        <v>#VALUE!</v>
      </c>
      <c r="Q1686" s="116" t="e">
        <f>SUM(Q1680:Q1685)</f>
        <v>#VALUE!</v>
      </c>
      <c r="R1686" s="116" t="e">
        <f>SUM(R1680:R1685)</f>
        <v>#VALUE!</v>
      </c>
      <c r="T1686" s="116" t="e">
        <f>SUM(T1680:T1685)</f>
        <v>#VALUE!</v>
      </c>
      <c r="U1686" s="116" t="e">
        <f>SUM(U1680:U1685)</f>
        <v>#VALUE!</v>
      </c>
      <c r="V1686" s="116" t="e">
        <f>SUM(V1680:V1685)</f>
        <v>#VALUE!</v>
      </c>
      <c r="W1686" s="116" t="e">
        <f>SUM(W1680:W1685)</f>
        <v>#VALUE!</v>
      </c>
      <c r="X1686" s="3"/>
      <c r="Y1686" s="116" t="e">
        <f>SUM(Y1680:Y1685)</f>
        <v>#VALUE!</v>
      </c>
      <c r="Z1686" s="116" t="e">
        <f>SUM(Z1680:Z1685)</f>
        <v>#VALUE!</v>
      </c>
      <c r="AA1686" s="116" t="e">
        <f>SUM(AA1680:AA1685)</f>
        <v>#VALUE!</v>
      </c>
      <c r="AB1686" s="116" t="e">
        <f>SUM(AB1680:AB1685)</f>
        <v>#VALUE!</v>
      </c>
      <c r="AC1686" s="116" t="e">
        <f>SUM(AC1680:AC1685)</f>
        <v>#VALUE!</v>
      </c>
      <c r="AD1686" s="117" t="e">
        <f t="shared" si="1021"/>
        <v>#VALUE!</v>
      </c>
      <c r="AE1686" s="117" t="e">
        <f t="shared" si="1022"/>
        <v>#VALUE!</v>
      </c>
      <c r="AF1686" s="117" t="e">
        <f t="shared" si="1023"/>
        <v>#VALUE!</v>
      </c>
      <c r="AG1686" s="117" t="e">
        <f t="shared" si="1024"/>
        <v>#VALUE!</v>
      </c>
      <c r="AH1686" s="116"/>
      <c r="AI1686">
        <f t="shared" si="979"/>
        <v>302</v>
      </c>
      <c r="AJ1686" t="str">
        <f t="shared" si="973"/>
        <v>NA</v>
      </c>
      <c r="AK1686" t="str">
        <f>IF(ISERROR(MATCH(AI1686&amp;"."&amp;AJ1686,AK$91:AK1685,0)),AI1686&amp;"."&amp;AJ1686,AI1686&amp;"."&amp;AJ1686&amp;COUNTIFS(AI$91:AI1685,AI1686,AJ$91:AJ1685,AJ1686))</f>
        <v>302.NA1</v>
      </c>
    </row>
    <row r="1687" spans="1:37" ht="15" hidden="1">
      <c r="A1687" s="120">
        <f>ROW()</f>
        <v>1687</v>
      </c>
      <c r="B1687" s="120"/>
      <c r="C1687" s="1"/>
      <c r="E1687" s="121"/>
      <c r="F1687" s="138"/>
      <c r="G1687" s="119"/>
      <c r="X1687" s="3"/>
      <c r="AD1687" s="119"/>
      <c r="AE1687" s="119"/>
      <c r="AF1687" s="119"/>
      <c r="AG1687" s="119"/>
      <c r="AI1687">
        <f t="shared" si="979"/>
        <v>302</v>
      </c>
      <c r="AJ1687" t="str">
        <f t="shared" si="973"/>
        <v>NA</v>
      </c>
      <c r="AK1687" t="str">
        <f>IF(ISERROR(MATCH(AI1687&amp;"."&amp;AJ1687,AK$91:AK1686,0)),AI1687&amp;"."&amp;AJ1687,AI1687&amp;"."&amp;AJ1687&amp;COUNTIFS(AI$91:AI1686,AI1687,AJ$91:AJ1686,AJ1687))</f>
        <v>302.NA2</v>
      </c>
    </row>
    <row r="1688" spans="1:37" ht="15" hidden="1">
      <c r="A1688" s="120">
        <f>ROW()</f>
        <v>1688</v>
      </c>
      <c r="B1688" s="120"/>
      <c r="C1688" s="1">
        <v>303</v>
      </c>
      <c r="D1688" s="2" t="s">
        <v>580</v>
      </c>
      <c r="E1688" s="121"/>
      <c r="F1688" s="138"/>
      <c r="G1688" s="119"/>
      <c r="X1688" s="3"/>
      <c r="AD1688" s="119"/>
      <c r="AE1688" s="119"/>
      <c r="AF1688" s="119"/>
      <c r="AG1688" s="119"/>
      <c r="AI1688">
        <f t="shared" si="979"/>
        <v>303</v>
      </c>
      <c r="AJ1688" t="str">
        <f t="shared" si="973"/>
        <v>NA</v>
      </c>
      <c r="AK1688" t="str">
        <f>IF(ISERROR(MATCH(AI1688&amp;"."&amp;AJ1688,AK$91:AK1687,0)),AI1688&amp;"."&amp;AJ1688,AI1688&amp;"."&amp;AJ1688&amp;COUNTIFS(AI$91:AI1687,AI1688,AJ$91:AJ1687,AJ1688))</f>
        <v>303.NA</v>
      </c>
    </row>
    <row r="1689" spans="1:37" ht="15" hidden="1">
      <c r="A1689" s="120">
        <f>ROW()</f>
        <v>1689</v>
      </c>
      <c r="B1689" s="120"/>
      <c r="C1689" s="1"/>
      <c r="E1689" s="121" t="s">
        <v>12</v>
      </c>
      <c r="F1689" s="138" t="str">
        <f>INDEX(FuncAllocOptions,ROW(A1689)-ROW($A$92)+1,[4]Inputs!$S$11)</f>
        <v>I-SITUS</v>
      </c>
      <c r="G1689" s="117" t="e">
        <f t="shared" ref="G1689:G1695" si="1026">SUMIF(FERCJAMFactor,AK1689,JAMValue)</f>
        <v>#VALUE!</v>
      </c>
      <c r="H1689" s="116" t="e">
        <f t="shared" ref="H1689:L1695" si="1027">INDEX(FuncFactorTbl,MATCH($F1689,FuncFactors,0),MATCH(H$8,Functions,0))*$G1689</f>
        <v>#VALUE!</v>
      </c>
      <c r="I1689" s="116" t="e">
        <f t="shared" si="1027"/>
        <v>#VALUE!</v>
      </c>
      <c r="J1689" s="116" t="e">
        <f t="shared" si="1027"/>
        <v>#VALUE!</v>
      </c>
      <c r="K1689" s="116" t="e">
        <f t="shared" si="1027"/>
        <v>#VALUE!</v>
      </c>
      <c r="L1689" s="116" t="e">
        <f t="shared" si="1027"/>
        <v>#VALUE!</v>
      </c>
      <c r="N1689" s="108">
        <v>0.75</v>
      </c>
      <c r="O1689" s="116" t="e">
        <f t="shared" ref="O1689:O1695" si="1028">$H1689*$N1689*$M1689</f>
        <v>#VALUE!</v>
      </c>
      <c r="P1689" s="116" t="e">
        <f t="shared" ref="P1689:P1695" si="1029">$H1689*(1-$N1689)*$M1689</f>
        <v>#VALUE!</v>
      </c>
      <c r="Q1689" s="116" t="e">
        <f t="shared" ref="Q1689:Q1695" si="1030">$H1689*$N1689*(1-$M1689)</f>
        <v>#VALUE!</v>
      </c>
      <c r="R1689" s="116" t="e">
        <f t="shared" ref="R1689:R1695" si="1031">$H1689*(1-$N1689)*(1-$M1689)</f>
        <v>#VALUE!</v>
      </c>
      <c r="S1689" s="108">
        <v>0.75</v>
      </c>
      <c r="T1689" s="116" t="e">
        <f t="shared" ref="T1689:T1695" si="1032">$I1689*$S1689*$M1689</f>
        <v>#VALUE!</v>
      </c>
      <c r="U1689" s="116" t="e">
        <f t="shared" ref="U1689:U1695" si="1033">$I1689*(1-$S1689)*$M1689</f>
        <v>#VALUE!</v>
      </c>
      <c r="V1689" s="116" t="e">
        <f t="shared" ref="V1689:V1695" si="1034">$I1689*$S1689*(1-$M1689)</f>
        <v>#VALUE!</v>
      </c>
      <c r="W1689" s="116" t="e">
        <f t="shared" ref="W1689:W1695" si="1035">$I1689*(1-$S1689)*(1-$M1689)</f>
        <v>#VALUE!</v>
      </c>
      <c r="X1689" s="3" t="str">
        <f>INDEX(DistFuncAllocOptions,ROW(A1689)-ROW($A$92)+1,[4]Inputs!$S$11)</f>
        <v>PLNT</v>
      </c>
      <c r="Y1689" s="116" t="e">
        <f t="shared" ref="Y1689:AC1695" si="1036">INDEX(DistFuncFactorTbl,MATCH($X1689,DistFuncFactors,0),MATCH(Y$91,DistFunctions,0))*$J1689</f>
        <v>#VALUE!</v>
      </c>
      <c r="Z1689" s="116" t="e">
        <f t="shared" si="1036"/>
        <v>#VALUE!</v>
      </c>
      <c r="AA1689" s="116" t="e">
        <f t="shared" si="1036"/>
        <v>#VALUE!</v>
      </c>
      <c r="AB1689" s="116" t="e">
        <f t="shared" si="1036"/>
        <v>#VALUE!</v>
      </c>
      <c r="AC1689" s="116" t="e">
        <f t="shared" si="1036"/>
        <v>#VALUE!</v>
      </c>
      <c r="AD1689" s="117" t="e">
        <f t="shared" ref="AD1689:AD1696" si="1037">ROUND(SUM(-G1689,H1689:L1689),0)</f>
        <v>#VALUE!</v>
      </c>
      <c r="AE1689" s="117" t="e">
        <f t="shared" ref="AE1689:AE1696" si="1038">ROUND(H1689-O1689-P1689-Q1689-R1689,0)</f>
        <v>#VALUE!</v>
      </c>
      <c r="AF1689" s="117" t="e">
        <f t="shared" ref="AF1689:AF1696" si="1039">ROUND(I1689-T1689-U1689-V1689-W1689,0)</f>
        <v>#VALUE!</v>
      </c>
      <c r="AG1689" s="117" t="e">
        <f t="shared" ref="AG1689:AG1696" si="1040">ROUND(J1689-Y1689-Z1689-AA1689-AC1689-AB1689,0)</f>
        <v>#VALUE!</v>
      </c>
      <c r="AH1689" s="116"/>
      <c r="AI1689">
        <f t="shared" si="979"/>
        <v>303</v>
      </c>
      <c r="AJ1689" t="str">
        <f t="shared" si="973"/>
        <v>S</v>
      </c>
      <c r="AK1689" t="str">
        <f>IF(ISERROR(MATCH(AI1689&amp;"."&amp;AJ1689,AK$91:AK1688,0)),AI1689&amp;"."&amp;AJ1689,AI1689&amp;"."&amp;AJ1689&amp;COUNTIFS(AI$91:AI1688,AI1689,AJ$91:AJ1688,AJ1689))</f>
        <v>303.S</v>
      </c>
    </row>
    <row r="1690" spans="1:37" ht="15" hidden="1">
      <c r="A1690" s="120">
        <f>ROW()</f>
        <v>1690</v>
      </c>
      <c r="B1690" s="120"/>
      <c r="C1690" s="1"/>
      <c r="E1690" s="121" t="s">
        <v>15</v>
      </c>
      <c r="F1690" s="138" t="str">
        <f>INDEX(FuncAllocOptions,ROW(A1690)-ROW($A$92)+1,[4]Inputs!$S$11)</f>
        <v>I-SG</v>
      </c>
      <c r="G1690" s="117" t="e">
        <f t="shared" si="1026"/>
        <v>#VALUE!</v>
      </c>
      <c r="H1690" s="116" t="e">
        <f t="shared" si="1027"/>
        <v>#VALUE!</v>
      </c>
      <c r="I1690" s="116" t="e">
        <f t="shared" si="1027"/>
        <v>#VALUE!</v>
      </c>
      <c r="J1690" s="116" t="e">
        <f t="shared" si="1027"/>
        <v>#VALUE!</v>
      </c>
      <c r="K1690" s="116" t="e">
        <f t="shared" si="1027"/>
        <v>#VALUE!</v>
      </c>
      <c r="L1690" s="116" t="e">
        <f t="shared" si="1027"/>
        <v>#VALUE!</v>
      </c>
      <c r="N1690" s="108">
        <v>0.75</v>
      </c>
      <c r="O1690" s="116" t="e">
        <f t="shared" si="1028"/>
        <v>#VALUE!</v>
      </c>
      <c r="P1690" s="116" t="e">
        <f t="shared" si="1029"/>
        <v>#VALUE!</v>
      </c>
      <c r="Q1690" s="116" t="e">
        <f t="shared" si="1030"/>
        <v>#VALUE!</v>
      </c>
      <c r="R1690" s="116" t="e">
        <f t="shared" si="1031"/>
        <v>#VALUE!</v>
      </c>
      <c r="S1690" s="108">
        <v>0.75</v>
      </c>
      <c r="T1690" s="116" t="e">
        <f t="shared" si="1032"/>
        <v>#VALUE!</v>
      </c>
      <c r="U1690" s="116" t="e">
        <f t="shared" si="1033"/>
        <v>#VALUE!</v>
      </c>
      <c r="V1690" s="116" t="e">
        <f t="shared" si="1034"/>
        <v>#VALUE!</v>
      </c>
      <c r="W1690" s="116" t="e">
        <f t="shared" si="1035"/>
        <v>#VALUE!</v>
      </c>
      <c r="X1690" s="3" t="str">
        <f>INDEX(DistFuncAllocOptions,ROW(A1690)-ROW($A$92)+1,[4]Inputs!$S$11)</f>
        <v>PLNT</v>
      </c>
      <c r="Y1690" s="116" t="e">
        <f t="shared" si="1036"/>
        <v>#VALUE!</v>
      </c>
      <c r="Z1690" s="116" t="e">
        <f t="shared" si="1036"/>
        <v>#VALUE!</v>
      </c>
      <c r="AA1690" s="116" t="e">
        <f t="shared" si="1036"/>
        <v>#VALUE!</v>
      </c>
      <c r="AB1690" s="116" t="e">
        <f t="shared" si="1036"/>
        <v>#VALUE!</v>
      </c>
      <c r="AC1690" s="116" t="e">
        <f t="shared" si="1036"/>
        <v>#VALUE!</v>
      </c>
      <c r="AD1690" s="117" t="e">
        <f t="shared" si="1037"/>
        <v>#VALUE!</v>
      </c>
      <c r="AE1690" s="117" t="e">
        <f t="shared" si="1038"/>
        <v>#VALUE!</v>
      </c>
      <c r="AF1690" s="117" t="e">
        <f t="shared" si="1039"/>
        <v>#VALUE!</v>
      </c>
      <c r="AG1690" s="117" t="e">
        <f t="shared" si="1040"/>
        <v>#VALUE!</v>
      </c>
      <c r="AH1690" s="116"/>
      <c r="AI1690">
        <f t="shared" si="979"/>
        <v>303</v>
      </c>
      <c r="AJ1690" t="str">
        <f t="shared" si="973"/>
        <v>SG</v>
      </c>
      <c r="AK1690" t="str">
        <f>IF(ISERROR(MATCH(AI1690&amp;"."&amp;AJ1690,AK$91:AK1689,0)),AI1690&amp;"."&amp;AJ1690,AI1690&amp;"."&amp;AJ1690&amp;COUNTIFS(AI$91:AI1689,AI1690,AJ$91:AJ1689,AJ1690))</f>
        <v>303.SG</v>
      </c>
    </row>
    <row r="1691" spans="1:37" ht="15" hidden="1">
      <c r="A1691" s="120">
        <f>ROW()</f>
        <v>1691</v>
      </c>
      <c r="B1691" s="120"/>
      <c r="C1691" s="1"/>
      <c r="E1691" s="121" t="s">
        <v>136</v>
      </c>
      <c r="F1691" s="138" t="str">
        <f>INDEX(FuncAllocOptions,ROW(A1691)-ROW($A$92)+1,[4]Inputs!$S$11)</f>
        <v>PTD</v>
      </c>
      <c r="G1691" s="117" t="e">
        <f t="shared" si="1026"/>
        <v>#VALUE!</v>
      </c>
      <c r="H1691" s="116" t="e">
        <f t="shared" si="1027"/>
        <v>#VALUE!</v>
      </c>
      <c r="I1691" s="116" t="e">
        <f t="shared" si="1027"/>
        <v>#VALUE!</v>
      </c>
      <c r="J1691" s="116" t="e">
        <f t="shared" si="1027"/>
        <v>#VALUE!</v>
      </c>
      <c r="K1691" s="116" t="e">
        <f t="shared" si="1027"/>
        <v>#VALUE!</v>
      </c>
      <c r="L1691" s="116" t="e">
        <f t="shared" si="1027"/>
        <v>#VALUE!</v>
      </c>
      <c r="N1691" s="108">
        <v>0.75</v>
      </c>
      <c r="O1691" s="116" t="e">
        <f t="shared" si="1028"/>
        <v>#VALUE!</v>
      </c>
      <c r="P1691" s="116" t="e">
        <f t="shared" si="1029"/>
        <v>#VALUE!</v>
      </c>
      <c r="Q1691" s="116" t="e">
        <f t="shared" si="1030"/>
        <v>#VALUE!</v>
      </c>
      <c r="R1691" s="116" t="e">
        <f t="shared" si="1031"/>
        <v>#VALUE!</v>
      </c>
      <c r="S1691" s="108">
        <v>0.75</v>
      </c>
      <c r="T1691" s="116" t="e">
        <f t="shared" si="1032"/>
        <v>#VALUE!</v>
      </c>
      <c r="U1691" s="116" t="e">
        <f t="shared" si="1033"/>
        <v>#VALUE!</v>
      </c>
      <c r="V1691" s="116" t="e">
        <f t="shared" si="1034"/>
        <v>#VALUE!</v>
      </c>
      <c r="W1691" s="116" t="e">
        <f t="shared" si="1035"/>
        <v>#VALUE!</v>
      </c>
      <c r="X1691" s="3" t="str">
        <f>INDEX(DistFuncAllocOptions,ROW(A1691)-ROW($A$92)+1,[4]Inputs!$S$11)</f>
        <v>PLNT</v>
      </c>
      <c r="Y1691" s="116" t="e">
        <f t="shared" si="1036"/>
        <v>#VALUE!</v>
      </c>
      <c r="Z1691" s="116" t="e">
        <f t="shared" si="1036"/>
        <v>#VALUE!</v>
      </c>
      <c r="AA1691" s="116" t="e">
        <f t="shared" si="1036"/>
        <v>#VALUE!</v>
      </c>
      <c r="AB1691" s="116" t="e">
        <f t="shared" si="1036"/>
        <v>#VALUE!</v>
      </c>
      <c r="AC1691" s="116" t="e">
        <f t="shared" si="1036"/>
        <v>#VALUE!</v>
      </c>
      <c r="AD1691" s="117" t="e">
        <f t="shared" si="1037"/>
        <v>#VALUE!</v>
      </c>
      <c r="AE1691" s="117" t="e">
        <f t="shared" si="1038"/>
        <v>#VALUE!</v>
      </c>
      <c r="AF1691" s="117" t="e">
        <f t="shared" si="1039"/>
        <v>#VALUE!</v>
      </c>
      <c r="AG1691" s="117" t="e">
        <f t="shared" si="1040"/>
        <v>#VALUE!</v>
      </c>
      <c r="AH1691" s="116"/>
      <c r="AI1691">
        <f t="shared" si="979"/>
        <v>303</v>
      </c>
      <c r="AJ1691" t="str">
        <f t="shared" si="973"/>
        <v>SO</v>
      </c>
      <c r="AK1691" t="str">
        <f>IF(ISERROR(MATCH(AI1691&amp;"."&amp;AJ1691,AK$91:AK1690,0)),AI1691&amp;"."&amp;AJ1691,AI1691&amp;"."&amp;AJ1691&amp;COUNTIFS(AI$91:AI1690,AI1691,AJ$91:AJ1690,AJ1691))</f>
        <v>303.SO</v>
      </c>
    </row>
    <row r="1692" spans="1:37" ht="15" hidden="1">
      <c r="A1692" s="120">
        <f>ROW()</f>
        <v>1692</v>
      </c>
      <c r="B1692" s="120"/>
      <c r="C1692" s="1"/>
      <c r="E1692" s="121" t="s">
        <v>16</v>
      </c>
      <c r="F1692" s="138" t="str">
        <f>INDEX(FuncAllocOptions,ROW(A1692)-ROW($A$92)+1,[4]Inputs!$S$11)</f>
        <v>P</v>
      </c>
      <c r="G1692" s="117" t="e">
        <f t="shared" si="1026"/>
        <v>#VALUE!</v>
      </c>
      <c r="H1692" s="116" t="e">
        <f t="shared" si="1027"/>
        <v>#VALUE!</v>
      </c>
      <c r="I1692" s="116" t="e">
        <f t="shared" si="1027"/>
        <v>#VALUE!</v>
      </c>
      <c r="J1692" s="116" t="e">
        <f t="shared" si="1027"/>
        <v>#VALUE!</v>
      </c>
      <c r="K1692" s="116" t="e">
        <f t="shared" si="1027"/>
        <v>#VALUE!</v>
      </c>
      <c r="L1692" s="116" t="e">
        <f t="shared" si="1027"/>
        <v>#VALUE!</v>
      </c>
      <c r="N1692" s="108">
        <v>0</v>
      </c>
      <c r="O1692" s="116" t="e">
        <f t="shared" si="1028"/>
        <v>#VALUE!</v>
      </c>
      <c r="P1692" s="116" t="e">
        <f t="shared" si="1029"/>
        <v>#VALUE!</v>
      </c>
      <c r="Q1692" s="116" t="e">
        <f t="shared" si="1030"/>
        <v>#VALUE!</v>
      </c>
      <c r="R1692" s="116" t="e">
        <f t="shared" si="1031"/>
        <v>#VALUE!</v>
      </c>
      <c r="S1692" s="108">
        <v>0</v>
      </c>
      <c r="T1692" s="116" t="e">
        <f t="shared" si="1032"/>
        <v>#VALUE!</v>
      </c>
      <c r="U1692" s="116" t="e">
        <f t="shared" si="1033"/>
        <v>#VALUE!</v>
      </c>
      <c r="V1692" s="116" t="e">
        <f t="shared" si="1034"/>
        <v>#VALUE!</v>
      </c>
      <c r="W1692" s="116" t="e">
        <f t="shared" si="1035"/>
        <v>#VALUE!</v>
      </c>
      <c r="X1692" s="3" t="str">
        <f>INDEX(DistFuncAllocOptions,ROW(A1692)-ROW($A$92)+1,[4]Inputs!$S$11)</f>
        <v>PLNT</v>
      </c>
      <c r="Y1692" s="116" t="e">
        <f t="shared" si="1036"/>
        <v>#VALUE!</v>
      </c>
      <c r="Z1692" s="116" t="e">
        <f t="shared" si="1036"/>
        <v>#VALUE!</v>
      </c>
      <c r="AA1692" s="116" t="e">
        <f t="shared" si="1036"/>
        <v>#VALUE!</v>
      </c>
      <c r="AB1692" s="116" t="e">
        <f t="shared" si="1036"/>
        <v>#VALUE!</v>
      </c>
      <c r="AC1692" s="116" t="e">
        <f t="shared" si="1036"/>
        <v>#VALUE!</v>
      </c>
      <c r="AD1692" s="117" t="e">
        <f t="shared" si="1037"/>
        <v>#VALUE!</v>
      </c>
      <c r="AE1692" s="117" t="e">
        <f t="shared" si="1038"/>
        <v>#VALUE!</v>
      </c>
      <c r="AF1692" s="117" t="e">
        <f t="shared" si="1039"/>
        <v>#VALUE!</v>
      </c>
      <c r="AG1692" s="117" t="e">
        <f t="shared" si="1040"/>
        <v>#VALUE!</v>
      </c>
      <c r="AH1692" s="116"/>
      <c r="AI1692">
        <f t="shared" si="979"/>
        <v>303</v>
      </c>
      <c r="AJ1692" t="str">
        <f t="shared" si="973"/>
        <v>SE</v>
      </c>
      <c r="AK1692" t="str">
        <f>IF(ISERROR(MATCH(AI1692&amp;"."&amp;AJ1692,AK$91:AK1691,0)),AI1692&amp;"."&amp;AJ1692,AI1692&amp;"."&amp;AJ1692&amp;COUNTIFS(AI$91:AI1691,AI1692,AJ$91:AJ1691,AJ1692))</f>
        <v>303.SE</v>
      </c>
    </row>
    <row r="1693" spans="1:37" ht="15" hidden="1">
      <c r="A1693" s="120">
        <f>ROW()</f>
        <v>1693</v>
      </c>
      <c r="B1693" s="120"/>
      <c r="C1693" s="1"/>
      <c r="E1693" s="121" t="s">
        <v>155</v>
      </c>
      <c r="F1693" s="138" t="str">
        <f>INDEX(FuncAllocOptions,ROW(A1693)-ROW($A$92)+1,[4]Inputs!$S$11)</f>
        <v>CUST</v>
      </c>
      <c r="G1693" s="117" t="e">
        <f t="shared" si="1026"/>
        <v>#VALUE!</v>
      </c>
      <c r="H1693" s="116" t="e">
        <f t="shared" si="1027"/>
        <v>#VALUE!</v>
      </c>
      <c r="I1693" s="116" t="e">
        <f t="shared" si="1027"/>
        <v>#VALUE!</v>
      </c>
      <c r="J1693" s="116" t="e">
        <f t="shared" si="1027"/>
        <v>#VALUE!</v>
      </c>
      <c r="K1693" s="116" t="e">
        <f t="shared" si="1027"/>
        <v>#VALUE!</v>
      </c>
      <c r="L1693" s="116" t="e">
        <f t="shared" si="1027"/>
        <v>#VALUE!</v>
      </c>
      <c r="N1693" s="108">
        <v>0.75</v>
      </c>
      <c r="O1693" s="116" t="e">
        <f t="shared" si="1028"/>
        <v>#VALUE!</v>
      </c>
      <c r="P1693" s="116" t="e">
        <f t="shared" si="1029"/>
        <v>#VALUE!</v>
      </c>
      <c r="Q1693" s="116" t="e">
        <f t="shared" si="1030"/>
        <v>#VALUE!</v>
      </c>
      <c r="R1693" s="116" t="e">
        <f t="shared" si="1031"/>
        <v>#VALUE!</v>
      </c>
      <c r="S1693" s="108">
        <v>0.75</v>
      </c>
      <c r="T1693" s="116" t="e">
        <f t="shared" si="1032"/>
        <v>#VALUE!</v>
      </c>
      <c r="U1693" s="116" t="e">
        <f t="shared" si="1033"/>
        <v>#VALUE!</v>
      </c>
      <c r="V1693" s="116" t="e">
        <f t="shared" si="1034"/>
        <v>#VALUE!</v>
      </c>
      <c r="W1693" s="116" t="e">
        <f t="shared" si="1035"/>
        <v>#VALUE!</v>
      </c>
      <c r="X1693" s="3" t="str">
        <f>INDEX(DistFuncAllocOptions,ROW(A1693)-ROW($A$92)+1,[4]Inputs!$S$11)</f>
        <v>CUST</v>
      </c>
      <c r="Y1693" s="116" t="e">
        <f t="shared" si="1036"/>
        <v>#VALUE!</v>
      </c>
      <c r="Z1693" s="116" t="e">
        <f t="shared" si="1036"/>
        <v>#VALUE!</v>
      </c>
      <c r="AA1693" s="116" t="e">
        <f t="shared" si="1036"/>
        <v>#VALUE!</v>
      </c>
      <c r="AB1693" s="116" t="e">
        <f t="shared" si="1036"/>
        <v>#VALUE!</v>
      </c>
      <c r="AC1693" s="116" t="e">
        <f t="shared" si="1036"/>
        <v>#VALUE!</v>
      </c>
      <c r="AD1693" s="117" t="e">
        <f t="shared" si="1037"/>
        <v>#VALUE!</v>
      </c>
      <c r="AE1693" s="117" t="e">
        <f t="shared" si="1038"/>
        <v>#VALUE!</v>
      </c>
      <c r="AF1693" s="117" t="e">
        <f t="shared" si="1039"/>
        <v>#VALUE!</v>
      </c>
      <c r="AG1693" s="117" t="e">
        <f t="shared" si="1040"/>
        <v>#VALUE!</v>
      </c>
      <c r="AH1693" s="116"/>
      <c r="AI1693">
        <f t="shared" si="979"/>
        <v>303</v>
      </c>
      <c r="AJ1693" t="str">
        <f t="shared" ref="AJ1693:AJ1756" si="1041">IF(E1693="","NA",E1693)</f>
        <v>CN</v>
      </c>
      <c r="AK1693" t="str">
        <f>IF(ISERROR(MATCH(AI1693&amp;"."&amp;AJ1693,AK$91:AK1692,0)),AI1693&amp;"."&amp;AJ1693,AI1693&amp;"."&amp;AJ1693&amp;COUNTIFS(AI$91:AI1692,AI1693,AJ$91:AJ1692,AJ1693))</f>
        <v>303.CN</v>
      </c>
    </row>
    <row r="1694" spans="1:37" ht="15" hidden="1">
      <c r="A1694" s="120">
        <f>ROW()</f>
        <v>1694</v>
      </c>
      <c r="B1694" s="120"/>
      <c r="C1694" s="1"/>
      <c r="E1694" s="121" t="s">
        <v>15</v>
      </c>
      <c r="F1694" s="138" t="str">
        <f>INDEX(FuncAllocOptions,ROW(A1694)-ROW($A$92)+1,[4]Inputs!$S$11)</f>
        <v>P</v>
      </c>
      <c r="G1694" s="117" t="e">
        <f t="shared" si="1026"/>
        <v>#VALUE!</v>
      </c>
      <c r="H1694" s="116" t="e">
        <f t="shared" si="1027"/>
        <v>#VALUE!</v>
      </c>
      <c r="I1694" s="116" t="e">
        <f t="shared" si="1027"/>
        <v>#VALUE!</v>
      </c>
      <c r="J1694" s="116" t="e">
        <f t="shared" si="1027"/>
        <v>#VALUE!</v>
      </c>
      <c r="K1694" s="116" t="e">
        <f t="shared" si="1027"/>
        <v>#VALUE!</v>
      </c>
      <c r="L1694" s="116" t="e">
        <f t="shared" si="1027"/>
        <v>#VALUE!</v>
      </c>
      <c r="N1694" s="108">
        <v>0.75</v>
      </c>
      <c r="O1694" s="116" t="e">
        <f t="shared" si="1028"/>
        <v>#VALUE!</v>
      </c>
      <c r="P1694" s="116" t="e">
        <f t="shared" si="1029"/>
        <v>#VALUE!</v>
      </c>
      <c r="Q1694" s="116" t="e">
        <f t="shared" si="1030"/>
        <v>#VALUE!</v>
      </c>
      <c r="R1694" s="116" t="e">
        <f t="shared" si="1031"/>
        <v>#VALUE!</v>
      </c>
      <c r="S1694" s="108">
        <v>0.75</v>
      </c>
      <c r="T1694" s="116" t="e">
        <f t="shared" si="1032"/>
        <v>#VALUE!</v>
      </c>
      <c r="U1694" s="116" t="e">
        <f t="shared" si="1033"/>
        <v>#VALUE!</v>
      </c>
      <c r="V1694" s="116" t="e">
        <f t="shared" si="1034"/>
        <v>#VALUE!</v>
      </c>
      <c r="W1694" s="116" t="e">
        <f t="shared" si="1035"/>
        <v>#VALUE!</v>
      </c>
      <c r="X1694" s="3" t="str">
        <f>INDEX(DistFuncAllocOptions,ROW(A1694)-ROW($A$92)+1,[4]Inputs!$S$11)</f>
        <v>PLNT</v>
      </c>
      <c r="Y1694" s="116" t="e">
        <f t="shared" si="1036"/>
        <v>#VALUE!</v>
      </c>
      <c r="Z1694" s="116" t="e">
        <f t="shared" si="1036"/>
        <v>#VALUE!</v>
      </c>
      <c r="AA1694" s="116" t="e">
        <f t="shared" si="1036"/>
        <v>#VALUE!</v>
      </c>
      <c r="AB1694" s="116" t="e">
        <f t="shared" si="1036"/>
        <v>#VALUE!</v>
      </c>
      <c r="AC1694" s="116" t="e">
        <f t="shared" si="1036"/>
        <v>#VALUE!</v>
      </c>
      <c r="AD1694" s="117" t="e">
        <f t="shared" si="1037"/>
        <v>#VALUE!</v>
      </c>
      <c r="AE1694" s="117" t="e">
        <f t="shared" si="1038"/>
        <v>#VALUE!</v>
      </c>
      <c r="AF1694" s="117" t="e">
        <f t="shared" si="1039"/>
        <v>#VALUE!</v>
      </c>
      <c r="AG1694" s="117" t="e">
        <f t="shared" si="1040"/>
        <v>#VALUE!</v>
      </c>
      <c r="AH1694" s="116"/>
      <c r="AI1694">
        <f t="shared" si="979"/>
        <v>303</v>
      </c>
      <c r="AJ1694" t="str">
        <f t="shared" si="1041"/>
        <v>SG</v>
      </c>
      <c r="AK1694" t="str">
        <f>IF(ISERROR(MATCH(AI1694&amp;"."&amp;AJ1694,AK$91:AK1693,0)),AI1694&amp;"."&amp;AJ1694,AI1694&amp;"."&amp;AJ1694&amp;COUNTIFS(AI$91:AI1693,AI1694,AJ$91:AJ1693,AJ1694))</f>
        <v>303.SG1</v>
      </c>
    </row>
    <row r="1695" spans="1:37" ht="15" hidden="1">
      <c r="A1695" s="120">
        <f>ROW()</f>
        <v>1695</v>
      </c>
      <c r="B1695" s="120"/>
      <c r="C1695" s="1"/>
      <c r="E1695" s="121" t="s">
        <v>15</v>
      </c>
      <c r="F1695" s="138" t="str">
        <f>INDEX(FuncAllocOptions,ROW(A1695)-ROW($A$92)+1,[4]Inputs!$S$11)</f>
        <v>I-DGP</v>
      </c>
      <c r="G1695" s="133" t="e">
        <f t="shared" si="1026"/>
        <v>#VALUE!</v>
      </c>
      <c r="H1695" s="139" t="e">
        <f t="shared" si="1027"/>
        <v>#VALUE!</v>
      </c>
      <c r="I1695" s="139" t="e">
        <f t="shared" si="1027"/>
        <v>#VALUE!</v>
      </c>
      <c r="J1695" s="139" t="e">
        <f t="shared" si="1027"/>
        <v>#VALUE!</v>
      </c>
      <c r="K1695" s="139" t="e">
        <f t="shared" si="1027"/>
        <v>#VALUE!</v>
      </c>
      <c r="L1695" s="139" t="e">
        <f t="shared" si="1027"/>
        <v>#VALUE!</v>
      </c>
      <c r="N1695" s="108">
        <v>0.75</v>
      </c>
      <c r="O1695" s="116" t="e">
        <f t="shared" si="1028"/>
        <v>#VALUE!</v>
      </c>
      <c r="P1695" s="116" t="e">
        <f t="shared" si="1029"/>
        <v>#VALUE!</v>
      </c>
      <c r="Q1695" s="116" t="e">
        <f t="shared" si="1030"/>
        <v>#VALUE!</v>
      </c>
      <c r="R1695" s="116" t="e">
        <f t="shared" si="1031"/>
        <v>#VALUE!</v>
      </c>
      <c r="S1695" s="108">
        <v>0.75</v>
      </c>
      <c r="T1695" s="116" t="e">
        <f t="shared" si="1032"/>
        <v>#VALUE!</v>
      </c>
      <c r="U1695" s="116" t="e">
        <f t="shared" si="1033"/>
        <v>#VALUE!</v>
      </c>
      <c r="V1695" s="116" t="e">
        <f t="shared" si="1034"/>
        <v>#VALUE!</v>
      </c>
      <c r="W1695" s="116" t="e">
        <f t="shared" si="1035"/>
        <v>#VALUE!</v>
      </c>
      <c r="X1695" s="3" t="str">
        <f>INDEX(DistFuncAllocOptions,ROW(A1695)-ROW($A$92)+1,[4]Inputs!$S$11)</f>
        <v>PLNT</v>
      </c>
      <c r="Y1695" s="116" t="e">
        <f t="shared" si="1036"/>
        <v>#VALUE!</v>
      </c>
      <c r="Z1695" s="116" t="e">
        <f t="shared" si="1036"/>
        <v>#VALUE!</v>
      </c>
      <c r="AA1695" s="116" t="e">
        <f t="shared" si="1036"/>
        <v>#VALUE!</v>
      </c>
      <c r="AB1695" s="116" t="e">
        <f t="shared" si="1036"/>
        <v>#VALUE!</v>
      </c>
      <c r="AC1695" s="116" t="e">
        <f t="shared" si="1036"/>
        <v>#VALUE!</v>
      </c>
      <c r="AD1695" s="117" t="e">
        <f t="shared" si="1037"/>
        <v>#VALUE!</v>
      </c>
      <c r="AE1695" s="117" t="e">
        <f t="shared" si="1038"/>
        <v>#VALUE!</v>
      </c>
      <c r="AF1695" s="117" t="e">
        <f t="shared" si="1039"/>
        <v>#VALUE!</v>
      </c>
      <c r="AG1695" s="117" t="e">
        <f t="shared" si="1040"/>
        <v>#VALUE!</v>
      </c>
      <c r="AH1695" s="116"/>
      <c r="AI1695">
        <f t="shared" si="979"/>
        <v>303</v>
      </c>
      <c r="AJ1695" t="str">
        <f t="shared" si="1041"/>
        <v>SG</v>
      </c>
      <c r="AK1695" t="str">
        <f>IF(ISERROR(MATCH(AI1695&amp;"."&amp;AJ1695,AK$91:AK1694,0)),AI1695&amp;"."&amp;AJ1695,AI1695&amp;"."&amp;AJ1695&amp;COUNTIFS(AI$91:AI1694,AI1695,AJ$91:AJ1694,AJ1695))</f>
        <v>303.SG2</v>
      </c>
    </row>
    <row r="1696" spans="1:37" ht="15" hidden="1">
      <c r="A1696" s="120">
        <f>ROW()</f>
        <v>1696</v>
      </c>
      <c r="B1696" s="120"/>
      <c r="C1696" s="1"/>
      <c r="E1696" s="121"/>
      <c r="F1696" s="138"/>
      <c r="G1696" s="117" t="e">
        <f t="shared" ref="G1696:L1696" si="1042">SUM(G1689:G1695)</f>
        <v>#VALUE!</v>
      </c>
      <c r="H1696" s="116" t="e">
        <f t="shared" si="1042"/>
        <v>#VALUE!</v>
      </c>
      <c r="I1696" s="116" t="e">
        <f t="shared" si="1042"/>
        <v>#VALUE!</v>
      </c>
      <c r="J1696" s="116" t="e">
        <f t="shared" si="1042"/>
        <v>#VALUE!</v>
      </c>
      <c r="K1696" s="116" t="e">
        <f t="shared" si="1042"/>
        <v>#VALUE!</v>
      </c>
      <c r="L1696" s="116" t="e">
        <f t="shared" si="1042"/>
        <v>#VALUE!</v>
      </c>
      <c r="O1696" s="116" t="e">
        <f>SUM(O1689:O1695)</f>
        <v>#VALUE!</v>
      </c>
      <c r="P1696" s="116" t="e">
        <f>SUM(P1689:P1695)</f>
        <v>#VALUE!</v>
      </c>
      <c r="Q1696" s="116" t="e">
        <f>SUM(Q1689:Q1695)</f>
        <v>#VALUE!</v>
      </c>
      <c r="R1696" s="116" t="e">
        <f>SUM(R1689:R1695)</f>
        <v>#VALUE!</v>
      </c>
      <c r="T1696" s="116" t="e">
        <f>SUM(T1689:T1695)</f>
        <v>#VALUE!</v>
      </c>
      <c r="U1696" s="116" t="e">
        <f>SUM(U1689:U1695)</f>
        <v>#VALUE!</v>
      </c>
      <c r="V1696" s="116" t="e">
        <f>SUM(V1689:V1695)</f>
        <v>#VALUE!</v>
      </c>
      <c r="W1696" s="116" t="e">
        <f>SUM(W1689:W1695)</f>
        <v>#VALUE!</v>
      </c>
      <c r="X1696" s="3"/>
      <c r="Y1696" s="116" t="e">
        <f>SUM(Y1689:Y1695)</f>
        <v>#VALUE!</v>
      </c>
      <c r="Z1696" s="116" t="e">
        <f>SUM(Z1689:Z1695)</f>
        <v>#VALUE!</v>
      </c>
      <c r="AA1696" s="116" t="e">
        <f>SUM(AA1689:AA1695)</f>
        <v>#VALUE!</v>
      </c>
      <c r="AB1696" s="116" t="e">
        <f>SUM(AB1689:AB1695)</f>
        <v>#VALUE!</v>
      </c>
      <c r="AC1696" s="116" t="e">
        <f>SUM(AC1689:AC1695)</f>
        <v>#VALUE!</v>
      </c>
      <c r="AD1696" s="117" t="e">
        <f t="shared" si="1037"/>
        <v>#VALUE!</v>
      </c>
      <c r="AE1696" s="117" t="e">
        <f t="shared" si="1038"/>
        <v>#VALUE!</v>
      </c>
      <c r="AF1696" s="117" t="e">
        <f t="shared" si="1039"/>
        <v>#VALUE!</v>
      </c>
      <c r="AG1696" s="117" t="e">
        <f t="shared" si="1040"/>
        <v>#VALUE!</v>
      </c>
      <c r="AH1696" s="116"/>
      <c r="AI1696">
        <f t="shared" si="979"/>
        <v>303</v>
      </c>
      <c r="AJ1696" t="str">
        <f t="shared" si="1041"/>
        <v>NA</v>
      </c>
      <c r="AK1696" t="str">
        <f>IF(ISERROR(MATCH(AI1696&amp;"."&amp;AJ1696,AK$91:AK1695,0)),AI1696&amp;"."&amp;AJ1696,AI1696&amp;"."&amp;AJ1696&amp;COUNTIFS(AI$91:AI1695,AI1696,AJ$91:AJ1695,AJ1696))</f>
        <v>303.NA1</v>
      </c>
    </row>
    <row r="1697" spans="1:37" ht="15" hidden="1">
      <c r="A1697" s="120">
        <f>ROW()</f>
        <v>1697</v>
      </c>
      <c r="B1697" s="120"/>
      <c r="C1697" s="1">
        <v>303</v>
      </c>
      <c r="D1697" s="2" t="s">
        <v>709</v>
      </c>
      <c r="E1697" s="121"/>
      <c r="F1697" s="138"/>
      <c r="G1697" s="119"/>
      <c r="X1697" s="3"/>
      <c r="AD1697" s="119"/>
      <c r="AE1697" s="117"/>
      <c r="AF1697" s="117"/>
      <c r="AG1697" s="119"/>
      <c r="AI1697">
        <f t="shared" si="979"/>
        <v>303</v>
      </c>
      <c r="AJ1697" t="str">
        <f t="shared" si="1041"/>
        <v>NA</v>
      </c>
      <c r="AK1697" t="str">
        <f>IF(ISERROR(MATCH(AI1697&amp;"."&amp;AJ1697,AK$91:AK1696,0)),AI1697&amp;"."&amp;AJ1697,AI1697&amp;"."&amp;AJ1697&amp;COUNTIFS(AI$91:AI1696,AI1697,AJ$91:AJ1696,AJ1697))</f>
        <v>303.NA2</v>
      </c>
    </row>
    <row r="1698" spans="1:37" ht="15" hidden="1">
      <c r="A1698" s="120">
        <f>ROW()</f>
        <v>1698</v>
      </c>
      <c r="B1698" s="120"/>
      <c r="C1698" s="1"/>
      <c r="E1698" s="121" t="s">
        <v>12</v>
      </c>
      <c r="F1698" s="138" t="str">
        <f>INDEX(FuncAllocOptions,ROW(A1698)-ROW($A$92)+1,[4]Inputs!$S$11)</f>
        <v>I-SITUS</v>
      </c>
      <c r="G1698" s="133" t="e">
        <f>SUMIF(FERCJAMFactor,AK1698,JAMValue)</f>
        <v>#VALUE!</v>
      </c>
      <c r="H1698" s="139">
        <v>0</v>
      </c>
      <c r="I1698" s="139">
        <v>0</v>
      </c>
      <c r="J1698" s="139">
        <v>0</v>
      </c>
      <c r="K1698" s="139">
        <v>0</v>
      </c>
      <c r="L1698" s="139">
        <v>0</v>
      </c>
      <c r="N1698" s="108">
        <v>0.75</v>
      </c>
      <c r="O1698" s="116">
        <f>$H1698*$N1698*$M1698</f>
        <v>0</v>
      </c>
      <c r="P1698" s="116">
        <f>$H1698*(1-$N1698)*$M1698</f>
        <v>0</v>
      </c>
      <c r="Q1698" s="116">
        <f>$H1698*$N1698*(1-$M1698)</f>
        <v>0</v>
      </c>
      <c r="R1698" s="116">
        <f>$H1698*(1-$N1698)*(1-$M1698)</f>
        <v>0</v>
      </c>
      <c r="S1698" s="108">
        <v>0.75</v>
      </c>
      <c r="T1698" s="116">
        <f>$I1698*$S1698*$M1698</f>
        <v>0</v>
      </c>
      <c r="U1698" s="116">
        <f>$I1698*(1-$S1698)*$M1698</f>
        <v>0</v>
      </c>
      <c r="V1698" s="116">
        <f>$I1698*$S1698*(1-$M1698)</f>
        <v>0</v>
      </c>
      <c r="W1698" s="116">
        <f>$I1698*(1-$S1698)*(1-$M1698)</f>
        <v>0</v>
      </c>
      <c r="X1698" s="3" t="str">
        <f>INDEX(DistFuncAllocOptions,ROW(A1698)-ROW($A$92)+1,[4]Inputs!$S$11)</f>
        <v>PLNT</v>
      </c>
      <c r="Y1698" s="116">
        <f>INDEX(DistFuncFactorTbl,MATCH($X1698,DistFuncFactors,0),MATCH(Y$91,DistFunctions,0))*$J1698</f>
        <v>0</v>
      </c>
      <c r="Z1698" s="116">
        <f>INDEX(DistFuncFactorTbl,MATCH($X1698,DistFuncFactors,0),MATCH(Z$91,DistFunctions,0))*$J1698</f>
        <v>0</v>
      </c>
      <c r="AA1698" s="116">
        <f>INDEX(DistFuncFactorTbl,MATCH($X1698,DistFuncFactors,0),MATCH(AA$91,DistFunctions,0))*$J1698</f>
        <v>0</v>
      </c>
      <c r="AB1698" s="116">
        <f>INDEX(DistFuncFactorTbl,MATCH($X1698,DistFuncFactors,0),MATCH(AB$91,DistFunctions,0))*$J1698</f>
        <v>0</v>
      </c>
      <c r="AC1698" s="116">
        <f>INDEX(DistFuncFactorTbl,MATCH($X1698,DistFuncFactors,0),MATCH(AC$91,DistFunctions,0))*$J1698</f>
        <v>0</v>
      </c>
      <c r="AD1698" s="117" t="e">
        <f>ROUND(SUM(-G1698,H1698:L1698),0)</f>
        <v>#VALUE!</v>
      </c>
      <c r="AE1698" s="117">
        <f>ROUND(H1698-O1698-P1698-Q1698-R1698,0)</f>
        <v>0</v>
      </c>
      <c r="AF1698" s="117">
        <f>ROUND(I1698-T1698-U1698-V1698-W1698,0)</f>
        <v>0</v>
      </c>
      <c r="AG1698" s="117">
        <f>ROUND(J1698-Y1698-Z1698-AA1698-AC1698-AB1698,0)</f>
        <v>0</v>
      </c>
      <c r="AH1698" s="116"/>
      <c r="AI1698">
        <f t="shared" si="979"/>
        <v>303</v>
      </c>
      <c r="AJ1698" t="str">
        <f t="shared" si="1041"/>
        <v>S</v>
      </c>
      <c r="AK1698" t="str">
        <f>IF(ISERROR(MATCH(AI1698&amp;"."&amp;AJ1698,AK$91:AK1697,0)),AI1698&amp;"."&amp;AJ1698,AI1698&amp;"."&amp;AJ1698&amp;COUNTIFS(AI$91:AI1697,AI1698,AJ$91:AJ1697,AJ1698))</f>
        <v>303.S1</v>
      </c>
    </row>
    <row r="1699" spans="1:37" ht="15" hidden="1">
      <c r="A1699" s="120">
        <f>ROW()</f>
        <v>1699</v>
      </c>
      <c r="B1699" s="120"/>
      <c r="C1699" s="1"/>
      <c r="E1699" s="121"/>
      <c r="F1699" s="138"/>
      <c r="G1699" s="117" t="e">
        <f t="shared" ref="G1699:L1699" si="1043">SUM(G1698)</f>
        <v>#VALUE!</v>
      </c>
      <c r="H1699" s="116">
        <f t="shared" si="1043"/>
        <v>0</v>
      </c>
      <c r="I1699" s="116">
        <f t="shared" si="1043"/>
        <v>0</v>
      </c>
      <c r="J1699" s="116">
        <f t="shared" si="1043"/>
        <v>0</v>
      </c>
      <c r="K1699" s="116">
        <f t="shared" si="1043"/>
        <v>0</v>
      </c>
      <c r="L1699" s="116">
        <f t="shared" si="1043"/>
        <v>0</v>
      </c>
      <c r="O1699" s="116">
        <f>SUM(O1698)</f>
        <v>0</v>
      </c>
      <c r="P1699" s="116">
        <f>SUM(P1698)</f>
        <v>0</v>
      </c>
      <c r="Q1699" s="116">
        <f>SUM(Q1698)</f>
        <v>0</v>
      </c>
      <c r="R1699" s="116">
        <f>SUM(R1698)</f>
        <v>0</v>
      </c>
      <c r="T1699" s="116">
        <f>SUM(T1698)</f>
        <v>0</v>
      </c>
      <c r="U1699" s="116">
        <f>SUM(U1698)</f>
        <v>0</v>
      </c>
      <c r="V1699" s="116">
        <f>SUM(V1698)</f>
        <v>0</v>
      </c>
      <c r="W1699" s="116">
        <f>SUM(W1698)</f>
        <v>0</v>
      </c>
      <c r="X1699" s="3"/>
      <c r="Y1699" s="116">
        <f>SUM(Y1698)</f>
        <v>0</v>
      </c>
      <c r="Z1699" s="116">
        <f>SUM(Z1698)</f>
        <v>0</v>
      </c>
      <c r="AA1699" s="116">
        <f>SUM(AA1698)</f>
        <v>0</v>
      </c>
      <c r="AB1699" s="116">
        <f>SUM(AB1698)</f>
        <v>0</v>
      </c>
      <c r="AC1699" s="116">
        <f>SUM(AC1698)</f>
        <v>0</v>
      </c>
      <c r="AD1699" s="117" t="e">
        <f>ROUND(SUM(-G1699,H1699:L1699),0)</f>
        <v>#VALUE!</v>
      </c>
      <c r="AE1699" s="117">
        <f>ROUND(H1699-O1699-P1699-Q1699-R1699,0)</f>
        <v>0</v>
      </c>
      <c r="AF1699" s="117">
        <f>ROUND(I1699-T1699-U1699-V1699-W1699,0)</f>
        <v>0</v>
      </c>
      <c r="AG1699" s="117">
        <f>ROUND(J1699-Y1699-Z1699-AA1699-AC1699-AB1699,0)</f>
        <v>0</v>
      </c>
      <c r="AH1699" s="116"/>
      <c r="AI1699">
        <f t="shared" si="979"/>
        <v>303</v>
      </c>
      <c r="AJ1699" t="str">
        <f t="shared" si="1041"/>
        <v>NA</v>
      </c>
      <c r="AK1699" t="str">
        <f>IF(ISERROR(MATCH(AI1699&amp;"."&amp;AJ1699,AK$91:AK1698,0)),AI1699&amp;"."&amp;AJ1699,AI1699&amp;"."&amp;AJ1699&amp;COUNTIFS(AI$91:AI1698,AI1699,AJ$91:AJ1698,AJ1699))</f>
        <v>303.NA3</v>
      </c>
    </row>
    <row r="1700" spans="1:37" ht="15" hidden="1">
      <c r="A1700" s="120">
        <f>ROW()</f>
        <v>1700</v>
      </c>
      <c r="B1700" s="120"/>
      <c r="C1700" s="1"/>
      <c r="E1700" s="121"/>
      <c r="F1700" s="138"/>
      <c r="G1700" s="117"/>
      <c r="H1700" s="116"/>
      <c r="I1700" s="116"/>
      <c r="J1700" s="116"/>
      <c r="K1700" s="116"/>
      <c r="L1700" s="116"/>
      <c r="O1700" s="116"/>
      <c r="P1700" s="116"/>
      <c r="Q1700" s="116"/>
      <c r="R1700" s="116"/>
      <c r="T1700" s="116"/>
      <c r="U1700" s="116"/>
      <c r="V1700" s="116"/>
      <c r="W1700" s="116"/>
      <c r="X1700" s="3"/>
      <c r="Y1700" s="116"/>
      <c r="Z1700" s="116"/>
      <c r="AA1700" s="116"/>
      <c r="AB1700" s="116"/>
      <c r="AC1700" s="116"/>
      <c r="AD1700" s="117"/>
      <c r="AE1700" s="117"/>
      <c r="AF1700" s="117"/>
      <c r="AG1700" s="117"/>
      <c r="AH1700" s="116"/>
      <c r="AI1700">
        <f t="shared" si="979"/>
        <v>303</v>
      </c>
      <c r="AJ1700" t="str">
        <f t="shared" si="1041"/>
        <v>NA</v>
      </c>
      <c r="AK1700" t="str">
        <f>IF(ISERROR(MATCH(AI1700&amp;"."&amp;AJ1700,AK$91:AK1699,0)),AI1700&amp;"."&amp;AJ1700,AI1700&amp;"."&amp;AJ1700&amp;COUNTIFS(AI$91:AI1699,AI1700,AJ$91:AJ1699,AJ1700))</f>
        <v>303.NA4</v>
      </c>
    </row>
    <row r="1701" spans="1:37" ht="15" hidden="1">
      <c r="A1701" s="120">
        <f>ROW()</f>
        <v>1701</v>
      </c>
      <c r="B1701" s="120"/>
      <c r="C1701" s="1" t="s">
        <v>250</v>
      </c>
      <c r="D1701" s="2" t="s">
        <v>582</v>
      </c>
      <c r="E1701" s="121"/>
      <c r="F1701" s="138"/>
      <c r="G1701" s="119"/>
      <c r="X1701" s="3"/>
      <c r="AD1701" s="119"/>
      <c r="AE1701" s="119"/>
      <c r="AF1701" s="119"/>
      <c r="AG1701" s="119"/>
      <c r="AI1701" t="str">
        <f t="shared" si="979"/>
        <v>IP</v>
      </c>
      <c r="AJ1701" t="str">
        <f t="shared" si="1041"/>
        <v>NA</v>
      </c>
      <c r="AK1701" t="str">
        <f>IF(ISERROR(MATCH(AI1701&amp;"."&amp;AJ1701,AK$91:AK1700,0)),AI1701&amp;"."&amp;AJ1701,AI1701&amp;"."&amp;AJ1701&amp;COUNTIFS(AI$91:AI1700,AI1701,AJ$91:AJ1700,AJ1701))</f>
        <v>IP.NA</v>
      </c>
    </row>
    <row r="1702" spans="1:37" ht="15" hidden="1">
      <c r="A1702" s="120">
        <f>ROW()</f>
        <v>1702</v>
      </c>
      <c r="B1702" s="120"/>
      <c r="E1702" s="121" t="s">
        <v>12</v>
      </c>
      <c r="F1702" s="138" t="str">
        <f>INDEX(FuncAllocOptions,ROW(A1702)-ROW($A$92)+1,[4]Inputs!$S$11)</f>
        <v>I-SITUS</v>
      </c>
      <c r="G1702" s="117" t="e">
        <f>SUMIF(FERCJAMFactor,AK1702,JAMValue)</f>
        <v>#VALUE!</v>
      </c>
      <c r="H1702" s="116" t="e">
        <f t="shared" ref="H1702:L1705" si="1044">INDEX(FuncFactorTbl,MATCH($F1702,FuncFactors,0),MATCH(H$8,Functions,0))*$G1702</f>
        <v>#VALUE!</v>
      </c>
      <c r="I1702" s="116" t="e">
        <f t="shared" si="1044"/>
        <v>#VALUE!</v>
      </c>
      <c r="J1702" s="116" t="e">
        <f t="shared" si="1044"/>
        <v>#VALUE!</v>
      </c>
      <c r="K1702" s="116" t="e">
        <f t="shared" si="1044"/>
        <v>#VALUE!</v>
      </c>
      <c r="L1702" s="116" t="e">
        <f t="shared" si="1044"/>
        <v>#VALUE!</v>
      </c>
      <c r="N1702" s="108">
        <v>0.75</v>
      </c>
      <c r="O1702" s="116" t="e">
        <f>$H1702*$N1702*$M1702</f>
        <v>#VALUE!</v>
      </c>
      <c r="P1702" s="116" t="e">
        <f>$H1702*(1-$N1702)*$M1702</f>
        <v>#VALUE!</v>
      </c>
      <c r="Q1702" s="116" t="e">
        <f>$H1702*$N1702*(1-$M1702)</f>
        <v>#VALUE!</v>
      </c>
      <c r="R1702" s="116" t="e">
        <f>$H1702*(1-$N1702)*(1-$M1702)</f>
        <v>#VALUE!</v>
      </c>
      <c r="S1702" s="108">
        <v>0.75</v>
      </c>
      <c r="T1702" s="116" t="e">
        <f>$I1702*$S1702*$M1702</f>
        <v>#VALUE!</v>
      </c>
      <c r="U1702" s="116" t="e">
        <f>$I1702*(1-$S1702)*$M1702</f>
        <v>#VALUE!</v>
      </c>
      <c r="V1702" s="116" t="e">
        <f>$I1702*$S1702*(1-$M1702)</f>
        <v>#VALUE!</v>
      </c>
      <c r="W1702" s="116" t="e">
        <f>$I1702*(1-$S1702)*(1-$M1702)</f>
        <v>#VALUE!</v>
      </c>
      <c r="X1702" s="3" t="str">
        <f>INDEX(DistFuncAllocOptions,ROW(A1702)-ROW($A$92)+1,[4]Inputs!$S$11)</f>
        <v>PLNT</v>
      </c>
      <c r="Y1702" s="116" t="e">
        <f t="shared" ref="Y1702:AC1705" si="1045">INDEX(DistFuncFactorTbl,MATCH($X1702,DistFuncFactors,0),MATCH(Y$91,DistFunctions,0))*$J1702</f>
        <v>#VALUE!</v>
      </c>
      <c r="Z1702" s="116" t="e">
        <f t="shared" si="1045"/>
        <v>#VALUE!</v>
      </c>
      <c r="AA1702" s="116" t="e">
        <f t="shared" si="1045"/>
        <v>#VALUE!</v>
      </c>
      <c r="AB1702" s="116" t="e">
        <f t="shared" si="1045"/>
        <v>#VALUE!</v>
      </c>
      <c r="AC1702" s="116" t="e">
        <f t="shared" si="1045"/>
        <v>#VALUE!</v>
      </c>
      <c r="AD1702" s="117" t="e">
        <f>ROUND(SUM(-G1702,H1702:L1702),0)</f>
        <v>#VALUE!</v>
      </c>
      <c r="AE1702" s="117" t="e">
        <f>ROUND(H1702-O1702-P1702-Q1702-R1702,0)</f>
        <v>#VALUE!</v>
      </c>
      <c r="AF1702" s="117" t="e">
        <f>ROUND(I1702-T1702-U1702-V1702-W1702,0)</f>
        <v>#VALUE!</v>
      </c>
      <c r="AG1702" s="117" t="e">
        <f>ROUND(J1702-Y1702-Z1702-AA1702-AC1702-AB1702,0)</f>
        <v>#VALUE!</v>
      </c>
      <c r="AH1702" s="116"/>
      <c r="AI1702" t="str">
        <f t="shared" si="979"/>
        <v>IP</v>
      </c>
      <c r="AJ1702" t="str">
        <f t="shared" si="1041"/>
        <v>S</v>
      </c>
      <c r="AK1702" t="str">
        <f>IF(ISERROR(MATCH(AI1702&amp;"."&amp;AJ1702,AK$91:AK1701,0)),AI1702&amp;"."&amp;AJ1702,AI1702&amp;"."&amp;AJ1702&amp;COUNTIFS(AI$91:AI1701,AI1702,AJ$91:AJ1701,AJ1702))</f>
        <v>IP.S</v>
      </c>
    </row>
    <row r="1703" spans="1:37" ht="15" hidden="1">
      <c r="A1703" s="120">
        <f>ROW()</f>
        <v>1703</v>
      </c>
      <c r="B1703" s="120"/>
      <c r="E1703" s="121" t="s">
        <v>15</v>
      </c>
      <c r="F1703" s="138" t="str">
        <f>INDEX(FuncAllocOptions,ROW(A1703)-ROW($A$92)+1,[4]Inputs!$S$11)</f>
        <v>I-SG</v>
      </c>
      <c r="G1703" s="117" t="e">
        <f>SUMIF(FERCJAMFactor,AK1703,JAMValue)</f>
        <v>#VALUE!</v>
      </c>
      <c r="H1703" s="116" t="e">
        <f t="shared" si="1044"/>
        <v>#VALUE!</v>
      </c>
      <c r="I1703" s="116" t="e">
        <f t="shared" si="1044"/>
        <v>#VALUE!</v>
      </c>
      <c r="J1703" s="116" t="e">
        <f t="shared" si="1044"/>
        <v>#VALUE!</v>
      </c>
      <c r="K1703" s="116" t="e">
        <f t="shared" si="1044"/>
        <v>#VALUE!</v>
      </c>
      <c r="L1703" s="116" t="e">
        <f t="shared" si="1044"/>
        <v>#VALUE!</v>
      </c>
      <c r="N1703" s="108">
        <v>0.75</v>
      </c>
      <c r="O1703" s="116" t="e">
        <f>$H1703*$N1703*$M1703</f>
        <v>#VALUE!</v>
      </c>
      <c r="P1703" s="116" t="e">
        <f>$H1703*(1-$N1703)*$M1703</f>
        <v>#VALUE!</v>
      </c>
      <c r="Q1703" s="116" t="e">
        <f>$H1703*$N1703*(1-$M1703)</f>
        <v>#VALUE!</v>
      </c>
      <c r="R1703" s="116" t="e">
        <f>$H1703*(1-$N1703)*(1-$M1703)</f>
        <v>#VALUE!</v>
      </c>
      <c r="S1703" s="108">
        <v>0.75</v>
      </c>
      <c r="T1703" s="116" t="e">
        <f>$I1703*$S1703*$M1703</f>
        <v>#VALUE!</v>
      </c>
      <c r="U1703" s="116" t="e">
        <f>$I1703*(1-$S1703)*$M1703</f>
        <v>#VALUE!</v>
      </c>
      <c r="V1703" s="116" t="e">
        <f>$I1703*$S1703*(1-$M1703)</f>
        <v>#VALUE!</v>
      </c>
      <c r="W1703" s="116" t="e">
        <f>$I1703*(1-$S1703)*(1-$M1703)</f>
        <v>#VALUE!</v>
      </c>
      <c r="X1703" s="3" t="str">
        <f>INDEX(DistFuncAllocOptions,ROW(A1703)-ROW($A$92)+1,[4]Inputs!$S$11)</f>
        <v>PLNT</v>
      </c>
      <c r="Y1703" s="116" t="e">
        <f t="shared" si="1045"/>
        <v>#VALUE!</v>
      </c>
      <c r="Z1703" s="116" t="e">
        <f t="shared" si="1045"/>
        <v>#VALUE!</v>
      </c>
      <c r="AA1703" s="116" t="e">
        <f t="shared" si="1045"/>
        <v>#VALUE!</v>
      </c>
      <c r="AB1703" s="116" t="e">
        <f t="shared" si="1045"/>
        <v>#VALUE!</v>
      </c>
      <c r="AC1703" s="116" t="e">
        <f t="shared" si="1045"/>
        <v>#VALUE!</v>
      </c>
      <c r="AD1703" s="117" t="e">
        <f>ROUND(SUM(-G1703,H1703:L1703),0)</f>
        <v>#VALUE!</v>
      </c>
      <c r="AE1703" s="117" t="e">
        <f>ROUND(H1703-O1703-P1703-Q1703-R1703,0)</f>
        <v>#VALUE!</v>
      </c>
      <c r="AF1703" s="117" t="e">
        <f>ROUND(I1703-T1703-U1703-V1703-W1703,0)</f>
        <v>#VALUE!</v>
      </c>
      <c r="AG1703" s="117" t="e">
        <f>ROUND(J1703-Y1703-Z1703-AA1703-AC1703-AB1703,0)</f>
        <v>#VALUE!</v>
      </c>
      <c r="AH1703" s="116"/>
      <c r="AI1703" t="str">
        <f t="shared" si="979"/>
        <v>IP</v>
      </c>
      <c r="AJ1703" t="str">
        <f t="shared" si="1041"/>
        <v>SG</v>
      </c>
      <c r="AK1703" t="str">
        <f>IF(ISERROR(MATCH(AI1703&amp;"."&amp;AJ1703,AK$91:AK1702,0)),AI1703&amp;"."&amp;AJ1703,AI1703&amp;"."&amp;AJ1703&amp;COUNTIFS(AI$91:AI1702,AI1703,AJ$91:AJ1702,AJ1703))</f>
        <v>IP.SG</v>
      </c>
    </row>
    <row r="1704" spans="1:37" ht="15" hidden="1">
      <c r="A1704" s="120">
        <f>ROW()</f>
        <v>1704</v>
      </c>
      <c r="B1704" s="120"/>
      <c r="E1704" s="121" t="s">
        <v>15</v>
      </c>
      <c r="F1704" s="138" t="str">
        <f>INDEX(FuncAllocOptions,ROW(A1704)-ROW($A$92)+1,[4]Inputs!$S$11)</f>
        <v>P</v>
      </c>
      <c r="G1704" s="117" t="e">
        <f>SUMIF(FERCJAMFactor,AK1704,JAMValue)</f>
        <v>#VALUE!</v>
      </c>
      <c r="H1704" s="116" t="e">
        <f t="shared" si="1044"/>
        <v>#VALUE!</v>
      </c>
      <c r="I1704" s="116" t="e">
        <f t="shared" si="1044"/>
        <v>#VALUE!</v>
      </c>
      <c r="J1704" s="116" t="e">
        <f t="shared" si="1044"/>
        <v>#VALUE!</v>
      </c>
      <c r="K1704" s="116" t="e">
        <f t="shared" si="1044"/>
        <v>#VALUE!</v>
      </c>
      <c r="L1704" s="116" t="e">
        <f t="shared" si="1044"/>
        <v>#VALUE!</v>
      </c>
      <c r="N1704" s="108">
        <v>0.75</v>
      </c>
      <c r="O1704" s="116" t="e">
        <f>$H1704*$N1704*$M1704</f>
        <v>#VALUE!</v>
      </c>
      <c r="P1704" s="116" t="e">
        <f>$H1704*(1-$N1704)*$M1704</f>
        <v>#VALUE!</v>
      </c>
      <c r="Q1704" s="116" t="e">
        <f>$H1704*$N1704*(1-$M1704)</f>
        <v>#VALUE!</v>
      </c>
      <c r="R1704" s="116" t="e">
        <f>$H1704*(1-$N1704)*(1-$M1704)</f>
        <v>#VALUE!</v>
      </c>
      <c r="S1704" s="108">
        <v>0.75</v>
      </c>
      <c r="T1704" s="116" t="e">
        <f>$I1704*$S1704*$M1704</f>
        <v>#VALUE!</v>
      </c>
      <c r="U1704" s="116" t="e">
        <f>$I1704*(1-$S1704)*$M1704</f>
        <v>#VALUE!</v>
      </c>
      <c r="V1704" s="116" t="e">
        <f>$I1704*$S1704*(1-$M1704)</f>
        <v>#VALUE!</v>
      </c>
      <c r="W1704" s="116" t="e">
        <f>$I1704*(1-$S1704)*(1-$M1704)</f>
        <v>#VALUE!</v>
      </c>
      <c r="X1704" s="3" t="str">
        <f>INDEX(DistFuncAllocOptions,ROW(A1704)-ROW($A$92)+1,[4]Inputs!$S$11)</f>
        <v>PLNT</v>
      </c>
      <c r="Y1704" s="116" t="e">
        <f t="shared" si="1045"/>
        <v>#VALUE!</v>
      </c>
      <c r="Z1704" s="116" t="e">
        <f t="shared" si="1045"/>
        <v>#VALUE!</v>
      </c>
      <c r="AA1704" s="116" t="e">
        <f t="shared" si="1045"/>
        <v>#VALUE!</v>
      </c>
      <c r="AB1704" s="116" t="e">
        <f t="shared" si="1045"/>
        <v>#VALUE!</v>
      </c>
      <c r="AC1704" s="116" t="e">
        <f t="shared" si="1045"/>
        <v>#VALUE!</v>
      </c>
      <c r="AD1704" s="117" t="e">
        <f>ROUND(SUM(-G1704,H1704:L1704),0)</f>
        <v>#VALUE!</v>
      </c>
      <c r="AE1704" s="117" t="e">
        <f>ROUND(H1704-O1704-P1704-Q1704-R1704,0)</f>
        <v>#VALUE!</v>
      </c>
      <c r="AF1704" s="117" t="e">
        <f>ROUND(I1704-T1704-U1704-V1704-W1704,0)</f>
        <v>#VALUE!</v>
      </c>
      <c r="AG1704" s="117" t="e">
        <f>ROUND(J1704-Y1704-Z1704-AA1704-AC1704-AB1704,0)</f>
        <v>#VALUE!</v>
      </c>
      <c r="AH1704" s="116"/>
      <c r="AI1704" t="str">
        <f t="shared" si="979"/>
        <v>IP</v>
      </c>
      <c r="AJ1704" t="str">
        <f t="shared" si="1041"/>
        <v>SG</v>
      </c>
      <c r="AK1704" t="str">
        <f>IF(ISERROR(MATCH(AI1704&amp;"."&amp;AJ1704,AK$91:AK1703,0)),AI1704&amp;"."&amp;AJ1704,AI1704&amp;"."&amp;AJ1704&amp;COUNTIFS(AI$91:AI1703,AI1704,AJ$91:AJ1703,AJ1704))</f>
        <v>IP.SG1</v>
      </c>
    </row>
    <row r="1705" spans="1:37" ht="15" hidden="1">
      <c r="A1705" s="120">
        <f>ROW()</f>
        <v>1705</v>
      </c>
      <c r="B1705" s="120"/>
      <c r="E1705" s="121" t="s">
        <v>136</v>
      </c>
      <c r="F1705" s="138" t="str">
        <f>INDEX(FuncAllocOptions,ROW(A1705)-ROW($A$92)+1,[4]Inputs!$S$11)</f>
        <v>PTD</v>
      </c>
      <c r="G1705" s="133" t="e">
        <f>SUMIF(FERCJAMFactor,AK1705,JAMValue)</f>
        <v>#VALUE!</v>
      </c>
      <c r="H1705" s="139" t="e">
        <f t="shared" si="1044"/>
        <v>#VALUE!</v>
      </c>
      <c r="I1705" s="139" t="e">
        <f t="shared" si="1044"/>
        <v>#VALUE!</v>
      </c>
      <c r="J1705" s="139" t="e">
        <f t="shared" si="1044"/>
        <v>#VALUE!</v>
      </c>
      <c r="K1705" s="139" t="e">
        <f t="shared" si="1044"/>
        <v>#VALUE!</v>
      </c>
      <c r="L1705" s="139" t="e">
        <f t="shared" si="1044"/>
        <v>#VALUE!</v>
      </c>
      <c r="N1705" s="108">
        <v>0.75</v>
      </c>
      <c r="O1705" s="116" t="e">
        <f>$H1705*$N1705*$M1705</f>
        <v>#VALUE!</v>
      </c>
      <c r="P1705" s="116" t="e">
        <f>$H1705*(1-$N1705)*$M1705</f>
        <v>#VALUE!</v>
      </c>
      <c r="Q1705" s="116" t="e">
        <f>$H1705*$N1705*(1-$M1705)</f>
        <v>#VALUE!</v>
      </c>
      <c r="R1705" s="116" t="e">
        <f>$H1705*(1-$N1705)*(1-$M1705)</f>
        <v>#VALUE!</v>
      </c>
      <c r="S1705" s="108">
        <v>0.75</v>
      </c>
      <c r="T1705" s="116" t="e">
        <f>$I1705*$S1705*$M1705</f>
        <v>#VALUE!</v>
      </c>
      <c r="U1705" s="116" t="e">
        <f>$I1705*(1-$S1705)*$M1705</f>
        <v>#VALUE!</v>
      </c>
      <c r="V1705" s="116" t="e">
        <f>$I1705*$S1705*(1-$M1705)</f>
        <v>#VALUE!</v>
      </c>
      <c r="W1705" s="116" t="e">
        <f>$I1705*(1-$S1705)*(1-$M1705)</f>
        <v>#VALUE!</v>
      </c>
      <c r="X1705" s="3" t="str">
        <f>INDEX(DistFuncAllocOptions,ROW(A1705)-ROW($A$92)+1,[4]Inputs!$S$11)</f>
        <v>PLNT</v>
      </c>
      <c r="Y1705" s="116" t="e">
        <f t="shared" si="1045"/>
        <v>#VALUE!</v>
      </c>
      <c r="Z1705" s="116" t="e">
        <f t="shared" si="1045"/>
        <v>#VALUE!</v>
      </c>
      <c r="AA1705" s="116" t="e">
        <f t="shared" si="1045"/>
        <v>#VALUE!</v>
      </c>
      <c r="AB1705" s="116" t="e">
        <f t="shared" si="1045"/>
        <v>#VALUE!</v>
      </c>
      <c r="AC1705" s="116" t="e">
        <f t="shared" si="1045"/>
        <v>#VALUE!</v>
      </c>
      <c r="AD1705" s="117" t="e">
        <f>ROUND(SUM(-G1705,H1705:L1705),0)</f>
        <v>#VALUE!</v>
      </c>
      <c r="AE1705" s="117" t="e">
        <f>ROUND(H1705-O1705-P1705-Q1705-R1705,0)</f>
        <v>#VALUE!</v>
      </c>
      <c r="AF1705" s="117" t="e">
        <f>ROUND(I1705-T1705-U1705-V1705-W1705,0)</f>
        <v>#VALUE!</v>
      </c>
      <c r="AG1705" s="117" t="e">
        <f>ROUND(J1705-Y1705-Z1705-AA1705-AC1705-AB1705,0)</f>
        <v>#VALUE!</v>
      </c>
      <c r="AH1705" s="116"/>
      <c r="AI1705" t="str">
        <f t="shared" si="979"/>
        <v>IP</v>
      </c>
      <c r="AJ1705" t="str">
        <f t="shared" si="1041"/>
        <v>SO</v>
      </c>
      <c r="AK1705" t="str">
        <f>IF(ISERROR(MATCH(AI1705&amp;"."&amp;AJ1705,AK$91:AK1704,0)),AI1705&amp;"."&amp;AJ1705,AI1705&amp;"."&amp;AJ1705&amp;COUNTIFS(AI$91:AI1704,AI1705,AJ$91:AJ1704,AJ1705))</f>
        <v>IP.SO</v>
      </c>
    </row>
    <row r="1706" spans="1:37" ht="15" hidden="1">
      <c r="A1706" s="120">
        <f>ROW()</f>
        <v>1706</v>
      </c>
      <c r="B1706" s="120"/>
      <c r="E1706" s="121"/>
      <c r="F1706" s="138"/>
      <c r="G1706" s="117" t="e">
        <f t="shared" ref="G1706:L1706" si="1046">SUM(G1702:G1705)</f>
        <v>#VALUE!</v>
      </c>
      <c r="H1706" s="116" t="e">
        <f t="shared" si="1046"/>
        <v>#VALUE!</v>
      </c>
      <c r="I1706" s="116" t="e">
        <f t="shared" si="1046"/>
        <v>#VALUE!</v>
      </c>
      <c r="J1706" s="116" t="e">
        <f t="shared" si="1046"/>
        <v>#VALUE!</v>
      </c>
      <c r="K1706" s="116" t="e">
        <f t="shared" si="1046"/>
        <v>#VALUE!</v>
      </c>
      <c r="L1706" s="116" t="e">
        <f t="shared" si="1046"/>
        <v>#VALUE!</v>
      </c>
      <c r="O1706" s="116" t="e">
        <f>SUM(O1702:O1705)</f>
        <v>#VALUE!</v>
      </c>
      <c r="P1706" s="116" t="e">
        <f>SUM(P1702:P1705)</f>
        <v>#VALUE!</v>
      </c>
      <c r="Q1706" s="116" t="e">
        <f>SUM(Q1702:Q1705)</f>
        <v>#VALUE!</v>
      </c>
      <c r="R1706" s="116" t="e">
        <f>SUM(R1702:R1705)</f>
        <v>#VALUE!</v>
      </c>
      <c r="T1706" s="116" t="e">
        <f>SUM(T1702:T1705)</f>
        <v>#VALUE!</v>
      </c>
      <c r="U1706" s="116" t="e">
        <f>SUM(U1702:U1705)</f>
        <v>#VALUE!</v>
      </c>
      <c r="V1706" s="116" t="e">
        <f>SUM(V1702:V1705)</f>
        <v>#VALUE!</v>
      </c>
      <c r="W1706" s="116" t="e">
        <f>SUM(W1702:W1705)</f>
        <v>#VALUE!</v>
      </c>
      <c r="X1706" s="3"/>
      <c r="Y1706" s="116" t="e">
        <f>SUM(Y1702:Y1705)</f>
        <v>#VALUE!</v>
      </c>
      <c r="Z1706" s="116" t="e">
        <f>SUM(Z1702:Z1705)</f>
        <v>#VALUE!</v>
      </c>
      <c r="AA1706" s="116" t="e">
        <f>SUM(AA1702:AA1705)</f>
        <v>#VALUE!</v>
      </c>
      <c r="AB1706" s="116" t="e">
        <f>SUM(AB1702:AB1705)</f>
        <v>#VALUE!</v>
      </c>
      <c r="AC1706" s="116" t="e">
        <f>SUM(AC1702:AC1705)</f>
        <v>#VALUE!</v>
      </c>
      <c r="AD1706" s="117" t="e">
        <f>ROUND(SUM(-G1706,H1706:L1706),0)</f>
        <v>#VALUE!</v>
      </c>
      <c r="AE1706" s="117" t="e">
        <f>ROUND(H1706-O1706-P1706-Q1706-R1706,0)</f>
        <v>#VALUE!</v>
      </c>
      <c r="AF1706" s="117" t="e">
        <f>ROUND(I1706-T1706-U1706-V1706-W1706,0)</f>
        <v>#VALUE!</v>
      </c>
      <c r="AG1706" s="117" t="e">
        <f>ROUND(J1706-Y1706-Z1706-AA1706-AC1706-AB1706,0)</f>
        <v>#VALUE!</v>
      </c>
      <c r="AH1706" s="116"/>
      <c r="AI1706" t="str">
        <f t="shared" si="979"/>
        <v>IP</v>
      </c>
      <c r="AJ1706" t="str">
        <f t="shared" si="1041"/>
        <v>NA</v>
      </c>
      <c r="AK1706" t="str">
        <f>IF(ISERROR(MATCH(AI1706&amp;"."&amp;AJ1706,AK$91:AK1705,0)),AI1706&amp;"."&amp;AJ1706,AI1706&amp;"."&amp;AJ1706&amp;COUNTIFS(AI$91:AI1705,AI1706,AJ$91:AJ1705,AJ1706))</f>
        <v>IP.NA1</v>
      </c>
    </row>
    <row r="1707" spans="1:37" ht="15" hidden="1">
      <c r="A1707" s="120">
        <f>ROW()</f>
        <v>1707</v>
      </c>
      <c r="B1707" s="120"/>
      <c r="E1707" s="121"/>
      <c r="F1707" s="138"/>
      <c r="G1707" s="119"/>
      <c r="X1707" s="3"/>
      <c r="AD1707" s="119"/>
      <c r="AE1707" s="119"/>
      <c r="AF1707" s="119"/>
      <c r="AG1707" s="119"/>
      <c r="AI1707" t="str">
        <f t="shared" si="979"/>
        <v>IP</v>
      </c>
      <c r="AJ1707" t="str">
        <f t="shared" si="1041"/>
        <v>NA</v>
      </c>
      <c r="AK1707" t="str">
        <f>IF(ISERROR(MATCH(AI1707&amp;"."&amp;AJ1707,AK$91:AK1706,0)),AI1707&amp;"."&amp;AJ1707,AI1707&amp;"."&amp;AJ1707&amp;COUNTIFS(AI$91:AI1706,AI1707,AJ$91:AJ1706,AJ1707))</f>
        <v>IP.NA2</v>
      </c>
    </row>
    <row r="1708" spans="1:37" ht="15.75" hidden="1" thickBot="1">
      <c r="A1708" s="120">
        <f>ROW()</f>
        <v>1708</v>
      </c>
      <c r="B1708" s="120"/>
      <c r="C1708" s="110" t="s">
        <v>732</v>
      </c>
      <c r="E1708" s="121"/>
      <c r="F1708" s="121"/>
      <c r="G1708" s="155" t="e">
        <f t="shared" ref="G1708:L1708" si="1047">G1678+G1686+G1696+G1699+G1706</f>
        <v>#VALUE!</v>
      </c>
      <c r="H1708" s="154" t="e">
        <f t="shared" si="1047"/>
        <v>#VALUE!</v>
      </c>
      <c r="I1708" s="154" t="e">
        <f t="shared" si="1047"/>
        <v>#VALUE!</v>
      </c>
      <c r="J1708" s="154" t="e">
        <f t="shared" si="1047"/>
        <v>#VALUE!</v>
      </c>
      <c r="K1708" s="154" t="e">
        <f t="shared" si="1047"/>
        <v>#VALUE!</v>
      </c>
      <c r="L1708" s="154" t="e">
        <f t="shared" si="1047"/>
        <v>#VALUE!</v>
      </c>
      <c r="O1708" s="116" t="e">
        <f>O1678+O1686+O1696+O1699+O1706</f>
        <v>#VALUE!</v>
      </c>
      <c r="P1708" s="116" t="e">
        <f>P1678+P1686+P1696+P1699+P1706</f>
        <v>#VALUE!</v>
      </c>
      <c r="Q1708" s="116" t="e">
        <f>Q1678+Q1686+Q1696+Q1699+Q1706</f>
        <v>#VALUE!</v>
      </c>
      <c r="R1708" s="116" t="e">
        <f>R1678+R1686+R1696+R1699+R1706</f>
        <v>#VALUE!</v>
      </c>
      <c r="S1708" s="116"/>
      <c r="T1708" s="116" t="e">
        <f>T1678+T1686+T1696+T1699+T1706</f>
        <v>#VALUE!</v>
      </c>
      <c r="U1708" s="116" t="e">
        <f>U1678+U1686+U1696+U1699+U1706</f>
        <v>#VALUE!</v>
      </c>
      <c r="V1708" s="116" t="e">
        <f>V1678+V1686+V1696+V1699+V1706</f>
        <v>#VALUE!</v>
      </c>
      <c r="W1708" s="116" t="e">
        <f>W1678+W1686+W1696+W1699+W1706</f>
        <v>#VALUE!</v>
      </c>
      <c r="X1708" s="3"/>
      <c r="Y1708" s="116" t="e">
        <f>Y1678+Y1686+Y1696+Y1699+Y1706</f>
        <v>#VALUE!</v>
      </c>
      <c r="Z1708" s="116" t="e">
        <f>Z1678+Z1686+Z1696+Z1699+Z1706</f>
        <v>#VALUE!</v>
      </c>
      <c r="AA1708" s="116" t="e">
        <f>AA1678+AA1686+AA1696+AA1699+AA1706</f>
        <v>#VALUE!</v>
      </c>
      <c r="AB1708" s="116" t="e">
        <f>AB1678+AB1686+AB1696+AB1699+AB1706</f>
        <v>#VALUE!</v>
      </c>
      <c r="AC1708" s="116" t="e">
        <f>AC1678+AC1686+AC1696+AC1699+AC1706</f>
        <v>#VALUE!</v>
      </c>
      <c r="AD1708" s="117" t="e">
        <f>ROUND(SUM(-G1708,H1708:L1708),0)</f>
        <v>#VALUE!</v>
      </c>
      <c r="AE1708" s="117" t="e">
        <f>ROUND(H1708-O1708-P1708-Q1708-R1708,0)</f>
        <v>#VALUE!</v>
      </c>
      <c r="AF1708" s="117" t="e">
        <f>ROUND(I1708-T1708-U1708-V1708-W1708,0)</f>
        <v>#VALUE!</v>
      </c>
      <c r="AG1708" s="117" t="e">
        <f>ROUND(J1708-Y1708-Z1708-AA1708-AC1708-AB1708,0)</f>
        <v>#VALUE!</v>
      </c>
      <c r="AH1708" s="116"/>
      <c r="AI1708" t="str">
        <f t="shared" ref="AI1708:AI1771" si="1048">IF(OR(C1708="",C1708=" ",C1708="  ",C1708="   "),AI1707,C1708)</f>
        <v>TOTAL INTANGIBLE PLANT</v>
      </c>
      <c r="AJ1708" t="str">
        <f t="shared" si="1041"/>
        <v>NA</v>
      </c>
      <c r="AK1708" t="str">
        <f>IF(ISERROR(MATCH(AI1708&amp;"."&amp;AJ1708,AK$91:AK1707,0)),AI1708&amp;"."&amp;AJ1708,AI1708&amp;"."&amp;AJ1708&amp;COUNTIFS(AI$91:AI1707,AI1708,AJ$91:AJ1707,AJ1708))</f>
        <v>TOTAL INTANGIBLE PLANT.NA</v>
      </c>
    </row>
    <row r="1709" spans="1:37" ht="15" hidden="1">
      <c r="A1709" s="120">
        <f>ROW()</f>
        <v>1709</v>
      </c>
      <c r="B1709" s="120"/>
      <c r="E1709" s="121"/>
      <c r="F1709" s="138"/>
      <c r="G1709" s="119"/>
      <c r="X1709" s="3"/>
      <c r="AD1709" s="119"/>
      <c r="AE1709" s="119"/>
      <c r="AF1709" s="119"/>
      <c r="AG1709" s="119"/>
      <c r="AI1709" t="str">
        <f t="shared" si="1048"/>
        <v>TOTAL INTANGIBLE PLANT</v>
      </c>
      <c r="AJ1709" t="str">
        <f t="shared" si="1041"/>
        <v>NA</v>
      </c>
      <c r="AK1709" t="str">
        <f>IF(ISERROR(MATCH(AI1709&amp;"."&amp;AJ1709,AK$91:AK1708,0)),AI1709&amp;"."&amp;AJ1709,AI1709&amp;"."&amp;AJ1709&amp;COUNTIFS(AI$91:AI1708,AI1709,AJ$91:AJ1708,AJ1709))</f>
        <v>TOTAL INTANGIBLE PLANT.NA1</v>
      </c>
    </row>
    <row r="1710" spans="1:37" ht="15" hidden="1">
      <c r="A1710" s="120">
        <f>ROW()</f>
        <v>1710</v>
      </c>
      <c r="B1710" s="120"/>
      <c r="E1710" s="121"/>
      <c r="F1710" s="138"/>
      <c r="G1710" s="119"/>
      <c r="X1710" s="3"/>
      <c r="AD1710" s="119"/>
      <c r="AE1710" s="119"/>
      <c r="AF1710" s="119"/>
      <c r="AG1710" s="119"/>
      <c r="AI1710" t="str">
        <f t="shared" si="1048"/>
        <v>TOTAL INTANGIBLE PLANT</v>
      </c>
      <c r="AJ1710" t="str">
        <f t="shared" si="1041"/>
        <v>NA</v>
      </c>
      <c r="AK1710" t="str">
        <f>IF(ISERROR(MATCH(AI1710&amp;"."&amp;AJ1710,AK$91:AK1709,0)),AI1710&amp;"."&amp;AJ1710,AI1710&amp;"."&amp;AJ1710&amp;COUNTIFS(AI$91:AI1709,AI1710,AJ$91:AJ1709,AJ1710))</f>
        <v>TOTAL INTANGIBLE PLANT.NA2</v>
      </c>
    </row>
    <row r="1711" spans="1:37" ht="15.75" hidden="1" thickBot="1">
      <c r="A1711" s="120">
        <f>ROW()</f>
        <v>1711</v>
      </c>
      <c r="B1711" s="120"/>
      <c r="C1711" s="110" t="s">
        <v>731</v>
      </c>
      <c r="E1711" s="121"/>
      <c r="F1711" s="138"/>
      <c r="G1711" s="153" t="e">
        <f t="shared" ref="G1711:L1711" si="1049">G1708+G1672+G1516+G1453+G1388</f>
        <v>#VALUE!</v>
      </c>
      <c r="H1711" s="152" t="e">
        <f t="shared" si="1049"/>
        <v>#VALUE!</v>
      </c>
      <c r="I1711" s="152" t="e">
        <f t="shared" si="1049"/>
        <v>#VALUE!</v>
      </c>
      <c r="J1711" s="152" t="e">
        <f t="shared" si="1049"/>
        <v>#VALUE!</v>
      </c>
      <c r="K1711" s="152" t="e">
        <f t="shared" si="1049"/>
        <v>#VALUE!</v>
      </c>
      <c r="L1711" s="152" t="e">
        <f t="shared" si="1049"/>
        <v>#VALUE!</v>
      </c>
      <c r="O1711" s="116" t="e">
        <f>O1708+O1672+O1516+O1453+O1388</f>
        <v>#VALUE!</v>
      </c>
      <c r="P1711" s="116" t="e">
        <f>P1708+P1672+P1516+P1453+P1388</f>
        <v>#VALUE!</v>
      </c>
      <c r="Q1711" s="116" t="e">
        <f>Q1708+Q1672+Q1516+Q1453+Q1388</f>
        <v>#VALUE!</v>
      </c>
      <c r="R1711" s="116" t="e">
        <f>R1708+R1672+R1516+R1453+R1388</f>
        <v>#VALUE!</v>
      </c>
      <c r="S1711" s="116"/>
      <c r="T1711" s="116" t="e">
        <f>T1708+T1672+T1516+T1453+T1388</f>
        <v>#VALUE!</v>
      </c>
      <c r="U1711" s="116" t="e">
        <f>U1708+U1672+U1516+U1453+U1388</f>
        <v>#VALUE!</v>
      </c>
      <c r="V1711" s="116" t="e">
        <f>V1708+V1672+V1516+V1453+V1388</f>
        <v>#VALUE!</v>
      </c>
      <c r="W1711" s="116" t="e">
        <f>W1708+W1672+W1516+W1453+W1388</f>
        <v>#VALUE!</v>
      </c>
      <c r="X1711" s="3"/>
      <c r="Y1711" s="116" t="e">
        <f>Y1708+Y1672+Y1516+Y1453+Y1388</f>
        <v>#VALUE!</v>
      </c>
      <c r="Z1711" s="116" t="e">
        <f>Z1708+Z1672+Z1516+Z1453+Z1388</f>
        <v>#VALUE!</v>
      </c>
      <c r="AA1711" s="116" t="e">
        <f>AA1708+AA1672+AA1516+AA1453+AA1388</f>
        <v>#VALUE!</v>
      </c>
      <c r="AB1711" s="116" t="e">
        <f>AB1708+AB1672+AB1516+AB1453+AB1388</f>
        <v>#VALUE!</v>
      </c>
      <c r="AC1711" s="116" t="e">
        <f>AC1708+AC1672+AC1516+AC1453+AC1388</f>
        <v>#VALUE!</v>
      </c>
      <c r="AD1711" s="117" t="e">
        <f>ROUND(SUM(-G1711,H1711:L1711),0)</f>
        <v>#VALUE!</v>
      </c>
      <c r="AE1711" s="117" t="e">
        <f>ROUND(H1711-O1711-P1711-Q1711-R1711,0)</f>
        <v>#VALUE!</v>
      </c>
      <c r="AF1711" s="117" t="e">
        <f>ROUND(I1711-T1711-U1711-V1711-W1711,0)</f>
        <v>#VALUE!</v>
      </c>
      <c r="AG1711" s="117" t="e">
        <f>ROUND(J1711-Y1711-Z1711-AA1711-AC1711-AB1711,0)</f>
        <v>#VALUE!</v>
      </c>
      <c r="AH1711" s="116"/>
      <c r="AI1711" t="str">
        <f t="shared" si="1048"/>
        <v>TOTAL ELECTRIC PLANT IN SERVICE</v>
      </c>
      <c r="AJ1711" t="str">
        <f t="shared" si="1041"/>
        <v>NA</v>
      </c>
      <c r="AK1711" t="str">
        <f>IF(ISERROR(MATCH(AI1711&amp;"."&amp;AJ1711,AK$91:AK1710,0)),AI1711&amp;"."&amp;AJ1711,AI1711&amp;"."&amp;AJ1711&amp;COUNTIFS(AI$91:AI1710,AI1711,AJ$91:AJ1710,AJ1711))</f>
        <v>TOTAL ELECTRIC PLANT IN SERVICE.NA</v>
      </c>
    </row>
    <row r="1712" spans="1:37" ht="15" hidden="1">
      <c r="A1712" s="120">
        <f>ROW()</f>
        <v>1712</v>
      </c>
      <c r="B1712" s="120"/>
      <c r="E1712" s="121"/>
      <c r="F1712" s="138"/>
      <c r="G1712" s="119"/>
      <c r="X1712" s="3"/>
      <c r="AD1712" s="119"/>
      <c r="AE1712" s="119"/>
      <c r="AF1712" s="119"/>
      <c r="AG1712" s="119"/>
      <c r="AI1712" t="str">
        <f t="shared" si="1048"/>
        <v>TOTAL ELECTRIC PLANT IN SERVICE</v>
      </c>
      <c r="AJ1712" t="str">
        <f t="shared" si="1041"/>
        <v>NA</v>
      </c>
      <c r="AK1712" t="str">
        <f>IF(ISERROR(MATCH(AI1712&amp;"."&amp;AJ1712,AK$91:AK1711,0)),AI1712&amp;"."&amp;AJ1712,AI1712&amp;"."&amp;AJ1712&amp;COUNTIFS(AI$91:AI1711,AI1712,AJ$91:AJ1711,AJ1712))</f>
        <v>TOTAL ELECTRIC PLANT IN SERVICE.NA1</v>
      </c>
    </row>
    <row r="1713" spans="1:37" ht="15" hidden="1">
      <c r="A1713" s="120">
        <f>ROW()</f>
        <v>1713</v>
      </c>
      <c r="B1713" s="120"/>
      <c r="C1713" s="1">
        <v>105</v>
      </c>
      <c r="D1713" s="2" t="s">
        <v>590</v>
      </c>
      <c r="E1713" s="121"/>
      <c r="F1713" s="138"/>
      <c r="G1713" s="119"/>
      <c r="X1713" s="3"/>
      <c r="AD1713" s="119"/>
      <c r="AE1713" s="119"/>
      <c r="AF1713" s="119"/>
      <c r="AG1713" s="119"/>
      <c r="AI1713">
        <f t="shared" si="1048"/>
        <v>105</v>
      </c>
      <c r="AJ1713" t="str">
        <f t="shared" si="1041"/>
        <v>NA</v>
      </c>
      <c r="AK1713" t="str">
        <f>IF(ISERROR(MATCH(AI1713&amp;"."&amp;AJ1713,AK$91:AK1712,0)),AI1713&amp;"."&amp;AJ1713,AI1713&amp;"."&amp;AJ1713&amp;COUNTIFS(AI$91:AI1712,AI1713,AJ$91:AJ1712,AJ1713))</f>
        <v>105.NA</v>
      </c>
    </row>
    <row r="1714" spans="1:37" ht="15" hidden="1">
      <c r="A1714" s="120">
        <f>ROW()</f>
        <v>1714</v>
      </c>
      <c r="B1714" s="120"/>
      <c r="C1714" s="1"/>
      <c r="E1714" s="121" t="s">
        <v>12</v>
      </c>
      <c r="F1714" s="138" t="str">
        <f>INDEX(FuncAllocOptions,ROW(A1714)-ROW($A$92)+1,[4]Inputs!$S$11)</f>
        <v>DPW</v>
      </c>
      <c r="G1714" s="117" t="e">
        <f t="shared" ref="G1714:G1719" si="1050">SUMIF(FERCJAMFactor,AK1714,JAMValue)</f>
        <v>#VALUE!</v>
      </c>
      <c r="H1714" s="116" t="e">
        <f t="shared" ref="H1714:L1719" si="1051">INDEX(FuncFactorTbl,MATCH($F1714,FuncFactors,0),MATCH(H$8,Functions,0))*$G1714</f>
        <v>#VALUE!</v>
      </c>
      <c r="I1714" s="116" t="e">
        <f t="shared" si="1051"/>
        <v>#VALUE!</v>
      </c>
      <c r="J1714" s="116" t="e">
        <f t="shared" si="1051"/>
        <v>#VALUE!</v>
      </c>
      <c r="K1714" s="116" t="e">
        <f t="shared" si="1051"/>
        <v>#VALUE!</v>
      </c>
      <c r="L1714" s="116" t="e">
        <f t="shared" si="1051"/>
        <v>#VALUE!</v>
      </c>
      <c r="N1714" s="108">
        <v>0.75</v>
      </c>
      <c r="O1714" s="116" t="e">
        <f t="shared" ref="O1714:O1719" si="1052">$H1714*$N1714*$M1714</f>
        <v>#VALUE!</v>
      </c>
      <c r="P1714" s="116" t="e">
        <f t="shared" ref="P1714:P1719" si="1053">$H1714*(1-$N1714)*$M1714</f>
        <v>#VALUE!</v>
      </c>
      <c r="Q1714" s="116" t="e">
        <f t="shared" ref="Q1714:Q1719" si="1054">$H1714*$N1714*(1-$M1714)</f>
        <v>#VALUE!</v>
      </c>
      <c r="R1714" s="116" t="e">
        <f t="shared" ref="R1714:R1719" si="1055">$H1714*(1-$N1714)*(1-$M1714)</f>
        <v>#VALUE!</v>
      </c>
      <c r="S1714" s="108">
        <v>0.75</v>
      </c>
      <c r="T1714" s="116" t="e">
        <f t="shared" ref="T1714:T1719" si="1056">$I1714*$S1714*$M1714</f>
        <v>#VALUE!</v>
      </c>
      <c r="U1714" s="116" t="e">
        <f t="shared" ref="U1714:U1719" si="1057">$I1714*(1-$S1714)*$M1714</f>
        <v>#VALUE!</v>
      </c>
      <c r="V1714" s="116" t="e">
        <f t="shared" ref="V1714:V1719" si="1058">$I1714*$S1714*(1-$M1714)</f>
        <v>#VALUE!</v>
      </c>
      <c r="W1714" s="116" t="e">
        <f t="shared" ref="W1714:W1719" si="1059">$I1714*(1-$S1714)*(1-$M1714)</f>
        <v>#VALUE!</v>
      </c>
      <c r="X1714" s="3" t="str">
        <f>INDEX(DistFuncAllocOptions,ROW(A1714)-ROW($A$92)+1,[4]Inputs!$S$11)</f>
        <v>PLNT</v>
      </c>
      <c r="Y1714" s="116" t="e">
        <f t="shared" ref="Y1714:AC1719" si="1060">INDEX(DistFuncFactorTbl,MATCH($X1714,DistFuncFactors,0),MATCH(Y$91,DistFunctions,0))*$J1714</f>
        <v>#VALUE!</v>
      </c>
      <c r="Z1714" s="116" t="e">
        <f t="shared" si="1060"/>
        <v>#VALUE!</v>
      </c>
      <c r="AA1714" s="116" t="e">
        <f t="shared" si="1060"/>
        <v>#VALUE!</v>
      </c>
      <c r="AB1714" s="116" t="e">
        <f t="shared" si="1060"/>
        <v>#VALUE!</v>
      </c>
      <c r="AC1714" s="116" t="e">
        <f t="shared" si="1060"/>
        <v>#VALUE!</v>
      </c>
      <c r="AD1714" s="117" t="e">
        <f t="shared" ref="AD1714:AD1720" si="1061">ROUND(SUM(-G1714,H1714:L1714),0)</f>
        <v>#VALUE!</v>
      </c>
      <c r="AE1714" s="117" t="e">
        <f t="shared" ref="AE1714:AE1720" si="1062">ROUND(H1714-O1714-P1714-Q1714-R1714,0)</f>
        <v>#VALUE!</v>
      </c>
      <c r="AF1714" s="117" t="e">
        <f t="shared" ref="AF1714:AF1720" si="1063">ROUND(I1714-T1714-U1714-V1714-W1714,0)</f>
        <v>#VALUE!</v>
      </c>
      <c r="AG1714" s="117" t="e">
        <f t="shared" ref="AG1714:AG1720" si="1064">ROUND(J1714-Y1714-Z1714-AA1714-AC1714-AB1714,0)</f>
        <v>#VALUE!</v>
      </c>
      <c r="AH1714" s="116"/>
      <c r="AI1714">
        <f t="shared" si="1048"/>
        <v>105</v>
      </c>
      <c r="AJ1714" t="str">
        <f t="shared" si="1041"/>
        <v>S</v>
      </c>
      <c r="AK1714" t="str">
        <f>IF(ISERROR(MATCH(AI1714&amp;"."&amp;AJ1714,AK$91:AK1713,0)),AI1714&amp;"."&amp;AJ1714,AI1714&amp;"."&amp;AJ1714&amp;COUNTIFS(AI$91:AI1713,AI1714,AJ$91:AJ1713,AJ1714))</f>
        <v>105.S</v>
      </c>
    </row>
    <row r="1715" spans="1:37" ht="15" hidden="1">
      <c r="A1715" s="120">
        <f>ROW()</f>
        <v>1715</v>
      </c>
      <c r="B1715" s="120"/>
      <c r="C1715" s="1"/>
      <c r="E1715" s="121" t="s">
        <v>15</v>
      </c>
      <c r="F1715" s="138" t="str">
        <f>INDEX(FuncAllocOptions,ROW(A1715)-ROW($A$92)+1,[4]Inputs!$S$11)</f>
        <v>P</v>
      </c>
      <c r="G1715" s="117" t="e">
        <f t="shared" si="1050"/>
        <v>#VALUE!</v>
      </c>
      <c r="H1715" s="116" t="e">
        <f t="shared" si="1051"/>
        <v>#VALUE!</v>
      </c>
      <c r="I1715" s="116" t="e">
        <f t="shared" si="1051"/>
        <v>#VALUE!</v>
      </c>
      <c r="J1715" s="116" t="e">
        <f t="shared" si="1051"/>
        <v>#VALUE!</v>
      </c>
      <c r="K1715" s="116" t="e">
        <f t="shared" si="1051"/>
        <v>#VALUE!</v>
      </c>
      <c r="L1715" s="116" t="e">
        <f t="shared" si="1051"/>
        <v>#VALUE!</v>
      </c>
      <c r="N1715" s="108">
        <v>0.75</v>
      </c>
      <c r="O1715" s="116" t="e">
        <f t="shared" si="1052"/>
        <v>#VALUE!</v>
      </c>
      <c r="P1715" s="116" t="e">
        <f t="shared" si="1053"/>
        <v>#VALUE!</v>
      </c>
      <c r="Q1715" s="116" t="e">
        <f t="shared" si="1054"/>
        <v>#VALUE!</v>
      </c>
      <c r="R1715" s="116" t="e">
        <f t="shared" si="1055"/>
        <v>#VALUE!</v>
      </c>
      <c r="S1715" s="108">
        <v>0.75</v>
      </c>
      <c r="T1715" s="116" t="e">
        <f t="shared" si="1056"/>
        <v>#VALUE!</v>
      </c>
      <c r="U1715" s="116" t="e">
        <f t="shared" si="1057"/>
        <v>#VALUE!</v>
      </c>
      <c r="V1715" s="116" t="e">
        <f t="shared" si="1058"/>
        <v>#VALUE!</v>
      </c>
      <c r="W1715" s="116" t="e">
        <f t="shared" si="1059"/>
        <v>#VALUE!</v>
      </c>
      <c r="X1715" s="3" t="str">
        <f>INDEX(DistFuncAllocOptions,ROW(A1715)-ROW($A$92)+1,[4]Inputs!$S$11)</f>
        <v>PLNT</v>
      </c>
      <c r="Y1715" s="116" t="e">
        <f t="shared" si="1060"/>
        <v>#VALUE!</v>
      </c>
      <c r="Z1715" s="116" t="e">
        <f t="shared" si="1060"/>
        <v>#VALUE!</v>
      </c>
      <c r="AA1715" s="116" t="e">
        <f t="shared" si="1060"/>
        <v>#VALUE!</v>
      </c>
      <c r="AB1715" s="116" t="e">
        <f t="shared" si="1060"/>
        <v>#VALUE!</v>
      </c>
      <c r="AC1715" s="116" t="e">
        <f t="shared" si="1060"/>
        <v>#VALUE!</v>
      </c>
      <c r="AD1715" s="117" t="e">
        <f t="shared" si="1061"/>
        <v>#VALUE!</v>
      </c>
      <c r="AE1715" s="117" t="e">
        <f t="shared" si="1062"/>
        <v>#VALUE!</v>
      </c>
      <c r="AF1715" s="117" t="e">
        <f t="shared" si="1063"/>
        <v>#VALUE!</v>
      </c>
      <c r="AG1715" s="117" t="e">
        <f t="shared" si="1064"/>
        <v>#VALUE!</v>
      </c>
      <c r="AH1715" s="116"/>
      <c r="AI1715">
        <f t="shared" si="1048"/>
        <v>105</v>
      </c>
      <c r="AJ1715" t="str">
        <f t="shared" si="1041"/>
        <v>SG</v>
      </c>
      <c r="AK1715" t="str">
        <f>IF(ISERROR(MATCH(AI1715&amp;"."&amp;AJ1715,AK$91:AK1714,0)),AI1715&amp;"."&amp;AJ1715,AI1715&amp;"."&amp;AJ1715&amp;COUNTIFS(AI$91:AI1714,AI1715,AJ$91:AJ1714,AJ1715))</f>
        <v>105.SG</v>
      </c>
    </row>
    <row r="1716" spans="1:37" ht="15" hidden="1">
      <c r="A1716" s="120">
        <f>ROW()</f>
        <v>1716</v>
      </c>
      <c r="B1716" s="120"/>
      <c r="C1716" s="1"/>
      <c r="E1716" s="121" t="s">
        <v>15</v>
      </c>
      <c r="F1716" s="138" t="str">
        <f>INDEX(FuncAllocOptions,ROW(A1716)-ROW($A$92)+1,[4]Inputs!$S$11)</f>
        <v>T</v>
      </c>
      <c r="G1716" s="117" t="e">
        <f t="shared" si="1050"/>
        <v>#VALUE!</v>
      </c>
      <c r="H1716" s="116" t="e">
        <f t="shared" si="1051"/>
        <v>#VALUE!</v>
      </c>
      <c r="I1716" s="116" t="e">
        <f t="shared" si="1051"/>
        <v>#VALUE!</v>
      </c>
      <c r="J1716" s="116" t="e">
        <f t="shared" si="1051"/>
        <v>#VALUE!</v>
      </c>
      <c r="K1716" s="116" t="e">
        <f t="shared" si="1051"/>
        <v>#VALUE!</v>
      </c>
      <c r="L1716" s="116" t="e">
        <f t="shared" si="1051"/>
        <v>#VALUE!</v>
      </c>
      <c r="N1716" s="108">
        <v>0.75</v>
      </c>
      <c r="O1716" s="116" t="e">
        <f t="shared" si="1052"/>
        <v>#VALUE!</v>
      </c>
      <c r="P1716" s="116" t="e">
        <f t="shared" si="1053"/>
        <v>#VALUE!</v>
      </c>
      <c r="Q1716" s="116" t="e">
        <f t="shared" si="1054"/>
        <v>#VALUE!</v>
      </c>
      <c r="R1716" s="116" t="e">
        <f t="shared" si="1055"/>
        <v>#VALUE!</v>
      </c>
      <c r="S1716" s="108">
        <v>0.75</v>
      </c>
      <c r="T1716" s="116" t="e">
        <f t="shared" si="1056"/>
        <v>#VALUE!</v>
      </c>
      <c r="U1716" s="116" t="e">
        <f t="shared" si="1057"/>
        <v>#VALUE!</v>
      </c>
      <c r="V1716" s="116" t="e">
        <f t="shared" si="1058"/>
        <v>#VALUE!</v>
      </c>
      <c r="W1716" s="116" t="e">
        <f t="shared" si="1059"/>
        <v>#VALUE!</v>
      </c>
      <c r="X1716" s="3" t="str">
        <f>INDEX(DistFuncAllocOptions,ROW(A1716)-ROW($A$92)+1,[4]Inputs!$S$11)</f>
        <v>PLNT</v>
      </c>
      <c r="Y1716" s="116" t="e">
        <f t="shared" si="1060"/>
        <v>#VALUE!</v>
      </c>
      <c r="Z1716" s="116" t="e">
        <f t="shared" si="1060"/>
        <v>#VALUE!</v>
      </c>
      <c r="AA1716" s="116" t="e">
        <f t="shared" si="1060"/>
        <v>#VALUE!</v>
      </c>
      <c r="AB1716" s="116" t="e">
        <f t="shared" si="1060"/>
        <v>#VALUE!</v>
      </c>
      <c r="AC1716" s="116" t="e">
        <f t="shared" si="1060"/>
        <v>#VALUE!</v>
      </c>
      <c r="AD1716" s="117" t="e">
        <f t="shared" si="1061"/>
        <v>#VALUE!</v>
      </c>
      <c r="AE1716" s="117" t="e">
        <f t="shared" si="1062"/>
        <v>#VALUE!</v>
      </c>
      <c r="AF1716" s="117" t="e">
        <f t="shared" si="1063"/>
        <v>#VALUE!</v>
      </c>
      <c r="AG1716" s="117" t="e">
        <f t="shared" si="1064"/>
        <v>#VALUE!</v>
      </c>
      <c r="AH1716" s="116"/>
      <c r="AI1716">
        <f t="shared" si="1048"/>
        <v>105</v>
      </c>
      <c r="AJ1716" t="str">
        <f t="shared" si="1041"/>
        <v>SG</v>
      </c>
      <c r="AK1716" t="str">
        <f>IF(ISERROR(MATCH(AI1716&amp;"."&amp;AJ1716,AK$91:AK1715,0)),AI1716&amp;"."&amp;AJ1716,AI1716&amp;"."&amp;AJ1716&amp;COUNTIFS(AI$91:AI1715,AI1716,AJ$91:AJ1715,AJ1716))</f>
        <v>105.SG1</v>
      </c>
    </row>
    <row r="1717" spans="1:37" ht="15" hidden="1">
      <c r="A1717" s="120">
        <f>ROW()</f>
        <v>1717</v>
      </c>
      <c r="B1717" s="120"/>
      <c r="C1717" s="1"/>
      <c r="E1717" s="121" t="s">
        <v>15</v>
      </c>
      <c r="F1717" s="138" t="str">
        <f>INDEX(FuncAllocOptions,ROW(A1717)-ROW($A$92)+1,[4]Inputs!$S$11)</f>
        <v>P</v>
      </c>
      <c r="G1717" s="117" t="e">
        <f t="shared" si="1050"/>
        <v>#VALUE!</v>
      </c>
      <c r="H1717" s="116" t="e">
        <f t="shared" si="1051"/>
        <v>#VALUE!</v>
      </c>
      <c r="I1717" s="116" t="e">
        <f t="shared" si="1051"/>
        <v>#VALUE!</v>
      </c>
      <c r="J1717" s="116" t="e">
        <f t="shared" si="1051"/>
        <v>#VALUE!</v>
      </c>
      <c r="K1717" s="116" t="e">
        <f t="shared" si="1051"/>
        <v>#VALUE!</v>
      </c>
      <c r="L1717" s="116" t="e">
        <f t="shared" si="1051"/>
        <v>#VALUE!</v>
      </c>
      <c r="N1717" s="108">
        <v>0.75</v>
      </c>
      <c r="O1717" s="116" t="e">
        <f t="shared" si="1052"/>
        <v>#VALUE!</v>
      </c>
      <c r="P1717" s="116" t="e">
        <f t="shared" si="1053"/>
        <v>#VALUE!</v>
      </c>
      <c r="Q1717" s="116" t="e">
        <f t="shared" si="1054"/>
        <v>#VALUE!</v>
      </c>
      <c r="R1717" s="116" t="e">
        <f t="shared" si="1055"/>
        <v>#VALUE!</v>
      </c>
      <c r="S1717" s="108">
        <v>0.75</v>
      </c>
      <c r="T1717" s="116" t="e">
        <f t="shared" si="1056"/>
        <v>#VALUE!</v>
      </c>
      <c r="U1717" s="116" t="e">
        <f t="shared" si="1057"/>
        <v>#VALUE!</v>
      </c>
      <c r="V1717" s="116" t="e">
        <f t="shared" si="1058"/>
        <v>#VALUE!</v>
      </c>
      <c r="W1717" s="116" t="e">
        <f t="shared" si="1059"/>
        <v>#VALUE!</v>
      </c>
      <c r="X1717" s="3" t="str">
        <f>INDEX(DistFuncAllocOptions,ROW(A1717)-ROW($A$92)+1,[4]Inputs!$S$11)</f>
        <v>PLNT</v>
      </c>
      <c r="Y1717" s="116" t="e">
        <f t="shared" si="1060"/>
        <v>#VALUE!</v>
      </c>
      <c r="Z1717" s="116" t="e">
        <f t="shared" si="1060"/>
        <v>#VALUE!</v>
      </c>
      <c r="AA1717" s="116" t="e">
        <f t="shared" si="1060"/>
        <v>#VALUE!</v>
      </c>
      <c r="AB1717" s="116" t="e">
        <f t="shared" si="1060"/>
        <v>#VALUE!</v>
      </c>
      <c r="AC1717" s="116" t="e">
        <f t="shared" si="1060"/>
        <v>#VALUE!</v>
      </c>
      <c r="AD1717" s="117" t="e">
        <f t="shared" si="1061"/>
        <v>#VALUE!</v>
      </c>
      <c r="AE1717" s="117" t="e">
        <f t="shared" si="1062"/>
        <v>#VALUE!</v>
      </c>
      <c r="AF1717" s="117" t="e">
        <f t="shared" si="1063"/>
        <v>#VALUE!</v>
      </c>
      <c r="AG1717" s="117" t="e">
        <f t="shared" si="1064"/>
        <v>#VALUE!</v>
      </c>
      <c r="AH1717" s="116"/>
      <c r="AI1717">
        <f t="shared" si="1048"/>
        <v>105</v>
      </c>
      <c r="AJ1717" t="str">
        <f t="shared" si="1041"/>
        <v>SG</v>
      </c>
      <c r="AK1717" t="str">
        <f>IF(ISERROR(MATCH(AI1717&amp;"."&amp;AJ1717,AK$91:AK1716,0)),AI1717&amp;"."&amp;AJ1717,AI1717&amp;"."&amp;AJ1717&amp;COUNTIFS(AI$91:AI1716,AI1717,AJ$91:AJ1716,AJ1717))</f>
        <v>105.SG2</v>
      </c>
    </row>
    <row r="1718" spans="1:37" ht="15" hidden="1">
      <c r="A1718" s="120">
        <f>ROW()</f>
        <v>1718</v>
      </c>
      <c r="B1718" s="120"/>
      <c r="C1718" s="1"/>
      <c r="E1718" s="121" t="s">
        <v>16</v>
      </c>
      <c r="F1718" s="138" t="str">
        <f>INDEX(FuncAllocOptions,ROW(A1718)-ROW($A$92)+1,[4]Inputs!$S$11)</f>
        <v>P</v>
      </c>
      <c r="G1718" s="117" t="e">
        <f t="shared" si="1050"/>
        <v>#VALUE!</v>
      </c>
      <c r="H1718" s="116" t="e">
        <f t="shared" si="1051"/>
        <v>#VALUE!</v>
      </c>
      <c r="I1718" s="116" t="e">
        <f t="shared" si="1051"/>
        <v>#VALUE!</v>
      </c>
      <c r="J1718" s="116" t="e">
        <f t="shared" si="1051"/>
        <v>#VALUE!</v>
      </c>
      <c r="K1718" s="116" t="e">
        <f t="shared" si="1051"/>
        <v>#VALUE!</v>
      </c>
      <c r="L1718" s="116" t="e">
        <f t="shared" si="1051"/>
        <v>#VALUE!</v>
      </c>
      <c r="N1718" s="108">
        <v>0</v>
      </c>
      <c r="O1718" s="116" t="e">
        <f t="shared" si="1052"/>
        <v>#VALUE!</v>
      </c>
      <c r="P1718" s="116" t="e">
        <f t="shared" si="1053"/>
        <v>#VALUE!</v>
      </c>
      <c r="Q1718" s="116" t="e">
        <f t="shared" si="1054"/>
        <v>#VALUE!</v>
      </c>
      <c r="R1718" s="116" t="e">
        <f t="shared" si="1055"/>
        <v>#VALUE!</v>
      </c>
      <c r="S1718" s="108">
        <v>0</v>
      </c>
      <c r="T1718" s="116" t="e">
        <f t="shared" si="1056"/>
        <v>#VALUE!</v>
      </c>
      <c r="U1718" s="116" t="e">
        <f t="shared" si="1057"/>
        <v>#VALUE!</v>
      </c>
      <c r="V1718" s="116" t="e">
        <f t="shared" si="1058"/>
        <v>#VALUE!</v>
      </c>
      <c r="W1718" s="116" t="e">
        <f t="shared" si="1059"/>
        <v>#VALUE!</v>
      </c>
      <c r="X1718" s="3" t="str">
        <f>INDEX(DistFuncAllocOptions,ROW(A1718)-ROW($A$92)+1,[4]Inputs!$S$11)</f>
        <v>PLNT</v>
      </c>
      <c r="Y1718" s="116" t="e">
        <f t="shared" si="1060"/>
        <v>#VALUE!</v>
      </c>
      <c r="Z1718" s="116" t="e">
        <f t="shared" si="1060"/>
        <v>#VALUE!</v>
      </c>
      <c r="AA1718" s="116" t="e">
        <f t="shared" si="1060"/>
        <v>#VALUE!</v>
      </c>
      <c r="AB1718" s="116" t="e">
        <f t="shared" si="1060"/>
        <v>#VALUE!</v>
      </c>
      <c r="AC1718" s="116" t="e">
        <f t="shared" si="1060"/>
        <v>#VALUE!</v>
      </c>
      <c r="AD1718" s="117" t="e">
        <f t="shared" si="1061"/>
        <v>#VALUE!</v>
      </c>
      <c r="AE1718" s="117" t="e">
        <f t="shared" si="1062"/>
        <v>#VALUE!</v>
      </c>
      <c r="AF1718" s="117" t="e">
        <f t="shared" si="1063"/>
        <v>#VALUE!</v>
      </c>
      <c r="AG1718" s="117" t="e">
        <f t="shared" si="1064"/>
        <v>#VALUE!</v>
      </c>
      <c r="AH1718" s="116"/>
      <c r="AI1718">
        <f t="shared" si="1048"/>
        <v>105</v>
      </c>
      <c r="AJ1718" t="str">
        <f t="shared" si="1041"/>
        <v>SE</v>
      </c>
      <c r="AK1718" t="str">
        <f>IF(ISERROR(MATCH(AI1718&amp;"."&amp;AJ1718,AK$91:AK1717,0)),AI1718&amp;"."&amp;AJ1718,AI1718&amp;"."&amp;AJ1718&amp;COUNTIFS(AI$91:AI1717,AI1718,AJ$91:AJ1717,AJ1718))</f>
        <v>105.SE</v>
      </c>
    </row>
    <row r="1719" spans="1:37" ht="15" hidden="1">
      <c r="A1719" s="120">
        <f>ROW()</f>
        <v>1719</v>
      </c>
      <c r="B1719" s="120"/>
      <c r="C1719" s="1"/>
      <c r="E1719" s="121" t="s">
        <v>15</v>
      </c>
      <c r="F1719" s="138" t="str">
        <f>INDEX(FuncAllocOptions,ROW(A1719)-ROW($A$92)+1,[4]Inputs!$S$11)</f>
        <v>G</v>
      </c>
      <c r="G1719" s="133" t="e">
        <f t="shared" si="1050"/>
        <v>#VALUE!</v>
      </c>
      <c r="H1719" s="139" t="e">
        <f t="shared" si="1051"/>
        <v>#VALUE!</v>
      </c>
      <c r="I1719" s="139" t="e">
        <f t="shared" si="1051"/>
        <v>#VALUE!</v>
      </c>
      <c r="J1719" s="139" t="e">
        <f t="shared" si="1051"/>
        <v>#VALUE!</v>
      </c>
      <c r="K1719" s="139" t="e">
        <f t="shared" si="1051"/>
        <v>#VALUE!</v>
      </c>
      <c r="L1719" s="139" t="e">
        <f t="shared" si="1051"/>
        <v>#VALUE!</v>
      </c>
      <c r="N1719" s="108">
        <v>0.75</v>
      </c>
      <c r="O1719" s="116" t="e">
        <f t="shared" si="1052"/>
        <v>#VALUE!</v>
      </c>
      <c r="P1719" s="116" t="e">
        <f t="shared" si="1053"/>
        <v>#VALUE!</v>
      </c>
      <c r="Q1719" s="116" t="e">
        <f t="shared" si="1054"/>
        <v>#VALUE!</v>
      </c>
      <c r="R1719" s="116" t="e">
        <f t="shared" si="1055"/>
        <v>#VALUE!</v>
      </c>
      <c r="S1719" s="108">
        <v>0.75</v>
      </c>
      <c r="T1719" s="116" t="e">
        <f t="shared" si="1056"/>
        <v>#VALUE!</v>
      </c>
      <c r="U1719" s="116" t="e">
        <f t="shared" si="1057"/>
        <v>#VALUE!</v>
      </c>
      <c r="V1719" s="116" t="e">
        <f t="shared" si="1058"/>
        <v>#VALUE!</v>
      </c>
      <c r="W1719" s="116" t="e">
        <f t="shared" si="1059"/>
        <v>#VALUE!</v>
      </c>
      <c r="X1719" s="3" t="str">
        <f>INDEX(DistFuncAllocOptions,ROW(A1719)-ROW($A$92)+1,[4]Inputs!$S$11)</f>
        <v>PLNT</v>
      </c>
      <c r="Y1719" s="116" t="e">
        <f t="shared" si="1060"/>
        <v>#VALUE!</v>
      </c>
      <c r="Z1719" s="116" t="e">
        <f t="shared" si="1060"/>
        <v>#VALUE!</v>
      </c>
      <c r="AA1719" s="116" t="e">
        <f t="shared" si="1060"/>
        <v>#VALUE!</v>
      </c>
      <c r="AB1719" s="116" t="e">
        <f t="shared" si="1060"/>
        <v>#VALUE!</v>
      </c>
      <c r="AC1719" s="116" t="e">
        <f t="shared" si="1060"/>
        <v>#VALUE!</v>
      </c>
      <c r="AD1719" s="117" t="e">
        <f t="shared" si="1061"/>
        <v>#VALUE!</v>
      </c>
      <c r="AE1719" s="117" t="e">
        <f t="shared" si="1062"/>
        <v>#VALUE!</v>
      </c>
      <c r="AF1719" s="117" t="e">
        <f t="shared" si="1063"/>
        <v>#VALUE!</v>
      </c>
      <c r="AG1719" s="117" t="e">
        <f t="shared" si="1064"/>
        <v>#VALUE!</v>
      </c>
      <c r="AH1719" s="116"/>
      <c r="AI1719">
        <f t="shared" si="1048"/>
        <v>105</v>
      </c>
      <c r="AJ1719" t="str">
        <f t="shared" si="1041"/>
        <v>SG</v>
      </c>
      <c r="AK1719" t="str">
        <f>IF(ISERROR(MATCH(AI1719&amp;"."&amp;AJ1719,AK$91:AK1718,0)),AI1719&amp;"."&amp;AJ1719,AI1719&amp;"."&amp;AJ1719&amp;COUNTIFS(AI$91:AI1718,AI1719,AJ$91:AJ1718,AJ1719))</f>
        <v>105.SG3</v>
      </c>
    </row>
    <row r="1720" spans="1:37" ht="15" hidden="1">
      <c r="A1720" s="120">
        <f>ROW()</f>
        <v>1720</v>
      </c>
      <c r="B1720" s="120"/>
      <c r="C1720" s="1"/>
      <c r="E1720" s="121"/>
      <c r="F1720" s="138"/>
      <c r="G1720" s="117" t="e">
        <f t="shared" ref="G1720:L1720" si="1065">SUM(G1714:G1719)</f>
        <v>#VALUE!</v>
      </c>
      <c r="H1720" s="116" t="e">
        <f t="shared" si="1065"/>
        <v>#VALUE!</v>
      </c>
      <c r="I1720" s="116" t="e">
        <f t="shared" si="1065"/>
        <v>#VALUE!</v>
      </c>
      <c r="J1720" s="116" t="e">
        <f t="shared" si="1065"/>
        <v>#VALUE!</v>
      </c>
      <c r="K1720" s="116" t="e">
        <f t="shared" si="1065"/>
        <v>#VALUE!</v>
      </c>
      <c r="L1720" s="116" t="e">
        <f t="shared" si="1065"/>
        <v>#VALUE!</v>
      </c>
      <c r="O1720" s="116" t="e">
        <f>SUM(O1714:O1719)</f>
        <v>#VALUE!</v>
      </c>
      <c r="P1720" s="116" t="e">
        <f>SUM(P1714:P1719)</f>
        <v>#VALUE!</v>
      </c>
      <c r="Q1720" s="116" t="e">
        <f>SUM(Q1714:Q1719)</f>
        <v>#VALUE!</v>
      </c>
      <c r="R1720" s="116" t="e">
        <f>SUM(R1714:R1719)</f>
        <v>#VALUE!</v>
      </c>
      <c r="T1720" s="116" t="e">
        <f>SUM(T1714:T1719)</f>
        <v>#VALUE!</v>
      </c>
      <c r="U1720" s="116" t="e">
        <f>SUM(U1714:U1719)</f>
        <v>#VALUE!</v>
      </c>
      <c r="V1720" s="116" t="e">
        <f>SUM(V1714:V1719)</f>
        <v>#VALUE!</v>
      </c>
      <c r="W1720" s="116" t="e">
        <f>SUM(W1714:W1719)</f>
        <v>#VALUE!</v>
      </c>
      <c r="X1720" s="3"/>
      <c r="Y1720" s="116" t="e">
        <f>SUM(Y1714:Y1719)</f>
        <v>#VALUE!</v>
      </c>
      <c r="Z1720" s="116" t="e">
        <f>SUM(Z1714:Z1719)</f>
        <v>#VALUE!</v>
      </c>
      <c r="AA1720" s="116" t="e">
        <f>SUM(AA1714:AA1719)</f>
        <v>#VALUE!</v>
      </c>
      <c r="AB1720" s="116" t="e">
        <f>SUM(AB1714:AB1719)</f>
        <v>#VALUE!</v>
      </c>
      <c r="AC1720" s="116" t="e">
        <f>SUM(AC1714:AC1719)</f>
        <v>#VALUE!</v>
      </c>
      <c r="AD1720" s="117" t="e">
        <f t="shared" si="1061"/>
        <v>#VALUE!</v>
      </c>
      <c r="AE1720" s="117" t="e">
        <f t="shared" si="1062"/>
        <v>#VALUE!</v>
      </c>
      <c r="AF1720" s="117" t="e">
        <f t="shared" si="1063"/>
        <v>#VALUE!</v>
      </c>
      <c r="AG1720" s="117" t="e">
        <f t="shared" si="1064"/>
        <v>#VALUE!</v>
      </c>
      <c r="AH1720" s="116"/>
      <c r="AI1720">
        <f t="shared" si="1048"/>
        <v>105</v>
      </c>
      <c r="AJ1720" t="str">
        <f t="shared" si="1041"/>
        <v>NA</v>
      </c>
      <c r="AK1720" t="str">
        <f>IF(ISERROR(MATCH(AI1720&amp;"."&amp;AJ1720,AK$91:AK1719,0)),AI1720&amp;"."&amp;AJ1720,AI1720&amp;"."&amp;AJ1720&amp;COUNTIFS(AI$91:AI1719,AI1720,AJ$91:AJ1719,AJ1720))</f>
        <v>105.NA1</v>
      </c>
    </row>
    <row r="1721" spans="1:37" ht="15" hidden="1">
      <c r="A1721" s="120">
        <f>ROW()</f>
        <v>1721</v>
      </c>
      <c r="B1721" s="120"/>
      <c r="C1721" s="1"/>
      <c r="E1721" s="121"/>
      <c r="F1721" s="138"/>
      <c r="G1721" s="119"/>
      <c r="X1721" s="3"/>
      <c r="AD1721" s="119"/>
      <c r="AE1721" s="119"/>
      <c r="AF1721" s="119"/>
      <c r="AG1721" s="119"/>
      <c r="AI1721">
        <f t="shared" si="1048"/>
        <v>105</v>
      </c>
      <c r="AJ1721" t="str">
        <f t="shared" si="1041"/>
        <v>NA</v>
      </c>
      <c r="AK1721" t="str">
        <f>IF(ISERROR(MATCH(AI1721&amp;"."&amp;AJ1721,AK$91:AK1720,0)),AI1721&amp;"."&amp;AJ1721,AI1721&amp;"."&amp;AJ1721&amp;COUNTIFS(AI$91:AI1720,AI1721,AJ$91:AJ1720,AJ1721))</f>
        <v>105.NA2</v>
      </c>
    </row>
    <row r="1722" spans="1:37" ht="15" hidden="1">
      <c r="A1722" s="120">
        <f>ROW()</f>
        <v>1722</v>
      </c>
      <c r="B1722" s="120"/>
      <c r="C1722" s="1">
        <v>114</v>
      </c>
      <c r="D1722" s="2" t="s">
        <v>593</v>
      </c>
      <c r="E1722" s="121"/>
      <c r="F1722" s="138"/>
      <c r="G1722" s="119"/>
      <c r="X1722" s="3"/>
      <c r="AD1722" s="119"/>
      <c r="AE1722" s="119"/>
      <c r="AF1722" s="119"/>
      <c r="AG1722" s="119"/>
      <c r="AI1722">
        <f t="shared" si="1048"/>
        <v>114</v>
      </c>
      <c r="AJ1722" t="str">
        <f t="shared" si="1041"/>
        <v>NA</v>
      </c>
      <c r="AK1722" t="str">
        <f>IF(ISERROR(MATCH(AI1722&amp;"."&amp;AJ1722,AK$91:AK1721,0)),AI1722&amp;"."&amp;AJ1722,AI1722&amp;"."&amp;AJ1722&amp;COUNTIFS(AI$91:AI1721,AI1722,AJ$91:AJ1721,AJ1722))</f>
        <v>114.NA</v>
      </c>
    </row>
    <row r="1723" spans="1:37" ht="15" hidden="1">
      <c r="A1723" s="120">
        <f>ROW()</f>
        <v>1723</v>
      </c>
      <c r="B1723" s="120"/>
      <c r="C1723" s="1"/>
      <c r="E1723" s="121" t="s">
        <v>12</v>
      </c>
      <c r="F1723" s="138" t="str">
        <f>INDEX(FuncAllocOptions,ROW(A1723)-ROW($A$92)+1,[4]Inputs!$S$11)</f>
        <v>P</v>
      </c>
      <c r="G1723" s="117" t="e">
        <f>SUMIF(FERCJAMFactor,AK1723,JAMValue)</f>
        <v>#VALUE!</v>
      </c>
      <c r="H1723" s="116" t="e">
        <f t="shared" ref="H1723:L1725" si="1066">INDEX(FuncFactorTbl,MATCH($F1723,FuncFactors,0),MATCH(H$8,Functions,0))*$G1723</f>
        <v>#VALUE!</v>
      </c>
      <c r="I1723" s="116" t="e">
        <f t="shared" si="1066"/>
        <v>#VALUE!</v>
      </c>
      <c r="J1723" s="116" t="e">
        <f t="shared" si="1066"/>
        <v>#VALUE!</v>
      </c>
      <c r="K1723" s="116" t="e">
        <f t="shared" si="1066"/>
        <v>#VALUE!</v>
      </c>
      <c r="L1723" s="116" t="e">
        <f t="shared" si="1066"/>
        <v>#VALUE!</v>
      </c>
      <c r="N1723" s="108">
        <v>0.75</v>
      </c>
      <c r="O1723" s="116" t="e">
        <f>$H1723*$N1723*$M1723</f>
        <v>#VALUE!</v>
      </c>
      <c r="P1723" s="116" t="e">
        <f>$H1723*(1-$N1723)*$M1723</f>
        <v>#VALUE!</v>
      </c>
      <c r="Q1723" s="116" t="e">
        <f>$H1723*$N1723*(1-$M1723)</f>
        <v>#VALUE!</v>
      </c>
      <c r="R1723" s="116" t="e">
        <f>$H1723*(1-$N1723)*(1-$M1723)</f>
        <v>#VALUE!</v>
      </c>
      <c r="S1723" s="108">
        <v>0.75</v>
      </c>
      <c r="T1723" s="116" t="e">
        <f>$I1723*$S1723*$M1723</f>
        <v>#VALUE!</v>
      </c>
      <c r="U1723" s="116" t="e">
        <f>$I1723*(1-$S1723)*$M1723</f>
        <v>#VALUE!</v>
      </c>
      <c r="V1723" s="116" t="e">
        <f>$I1723*$S1723*(1-$M1723)</f>
        <v>#VALUE!</v>
      </c>
      <c r="W1723" s="116" t="e">
        <f>$I1723*(1-$S1723)*(1-$M1723)</f>
        <v>#VALUE!</v>
      </c>
      <c r="X1723" s="3" t="str">
        <f>INDEX(DistFuncAllocOptions,ROW(A1723)-ROW($A$92)+1,[4]Inputs!$S$11)</f>
        <v>PLNT</v>
      </c>
      <c r="Y1723" s="116" t="e">
        <f t="shared" ref="Y1723:AC1725" si="1067">INDEX(DistFuncFactorTbl,MATCH($X1723,DistFuncFactors,0),MATCH(Y$91,DistFunctions,0))*$J1723</f>
        <v>#VALUE!</v>
      </c>
      <c r="Z1723" s="116" t="e">
        <f t="shared" si="1067"/>
        <v>#VALUE!</v>
      </c>
      <c r="AA1723" s="116" t="e">
        <f t="shared" si="1067"/>
        <v>#VALUE!</v>
      </c>
      <c r="AB1723" s="116" t="e">
        <f t="shared" si="1067"/>
        <v>#VALUE!</v>
      </c>
      <c r="AC1723" s="116" t="e">
        <f t="shared" si="1067"/>
        <v>#VALUE!</v>
      </c>
      <c r="AD1723" s="117" t="e">
        <f>ROUND(SUM(-G1723,H1723:L1723),0)</f>
        <v>#VALUE!</v>
      </c>
      <c r="AE1723" s="117" t="e">
        <f>ROUND(H1723-O1723-P1723-Q1723-R1723,0)</f>
        <v>#VALUE!</v>
      </c>
      <c r="AF1723" s="117" t="e">
        <f>ROUND(I1723-T1723-U1723-V1723-W1723,0)</f>
        <v>#VALUE!</v>
      </c>
      <c r="AG1723" s="117" t="e">
        <f>ROUND(J1723-Y1723-Z1723-AA1723-AC1723-AB1723,0)</f>
        <v>#VALUE!</v>
      </c>
      <c r="AH1723" s="116"/>
      <c r="AI1723">
        <f t="shared" si="1048"/>
        <v>114</v>
      </c>
      <c r="AJ1723" t="str">
        <f t="shared" si="1041"/>
        <v>S</v>
      </c>
      <c r="AK1723" t="str">
        <f>IF(ISERROR(MATCH(AI1723&amp;"."&amp;AJ1723,AK$91:AK1722,0)),AI1723&amp;"."&amp;AJ1723,AI1723&amp;"."&amp;AJ1723&amp;COUNTIFS(AI$91:AI1722,AI1723,AJ$91:AJ1722,AJ1723))</f>
        <v>114.S</v>
      </c>
    </row>
    <row r="1724" spans="1:37" ht="15" hidden="1">
      <c r="A1724" s="120">
        <f>ROW()</f>
        <v>1724</v>
      </c>
      <c r="B1724" s="120"/>
      <c r="C1724" s="1"/>
      <c r="E1724" s="121" t="s">
        <v>15</v>
      </c>
      <c r="F1724" s="138" t="str">
        <f>INDEX(FuncAllocOptions,ROW(A1724)-ROW($A$92)+1,[4]Inputs!$S$11)</f>
        <v>P</v>
      </c>
      <c r="G1724" s="117" t="e">
        <f>SUMIF(FERCJAMFactor,AK1724,JAMValue)</f>
        <v>#VALUE!</v>
      </c>
      <c r="H1724" s="116" t="e">
        <f t="shared" si="1066"/>
        <v>#VALUE!</v>
      </c>
      <c r="I1724" s="116" t="e">
        <f t="shared" si="1066"/>
        <v>#VALUE!</v>
      </c>
      <c r="J1724" s="116" t="e">
        <f t="shared" si="1066"/>
        <v>#VALUE!</v>
      </c>
      <c r="K1724" s="116" t="e">
        <f t="shared" si="1066"/>
        <v>#VALUE!</v>
      </c>
      <c r="L1724" s="116" t="e">
        <f t="shared" si="1066"/>
        <v>#VALUE!</v>
      </c>
      <c r="N1724" s="108">
        <v>0.75</v>
      </c>
      <c r="O1724" s="116" t="e">
        <f>$H1724*$N1724*$M1724</f>
        <v>#VALUE!</v>
      </c>
      <c r="P1724" s="116" t="e">
        <f>$H1724*(1-$N1724)*$M1724</f>
        <v>#VALUE!</v>
      </c>
      <c r="Q1724" s="116" t="e">
        <f>$H1724*$N1724*(1-$M1724)</f>
        <v>#VALUE!</v>
      </c>
      <c r="R1724" s="116" t="e">
        <f>$H1724*(1-$N1724)*(1-$M1724)</f>
        <v>#VALUE!</v>
      </c>
      <c r="S1724" s="108">
        <v>0.75</v>
      </c>
      <c r="T1724" s="116" t="e">
        <f>$I1724*$S1724*$M1724</f>
        <v>#VALUE!</v>
      </c>
      <c r="U1724" s="116" t="e">
        <f>$I1724*(1-$S1724)*$M1724</f>
        <v>#VALUE!</v>
      </c>
      <c r="V1724" s="116" t="e">
        <f>$I1724*$S1724*(1-$M1724)</f>
        <v>#VALUE!</v>
      </c>
      <c r="W1724" s="116" t="e">
        <f>$I1724*(1-$S1724)*(1-$M1724)</f>
        <v>#VALUE!</v>
      </c>
      <c r="X1724" s="3" t="str">
        <f>INDEX(DistFuncAllocOptions,ROW(A1724)-ROW($A$92)+1,[4]Inputs!$S$11)</f>
        <v>PLNT</v>
      </c>
      <c r="Y1724" s="116" t="e">
        <f t="shared" si="1067"/>
        <v>#VALUE!</v>
      </c>
      <c r="Z1724" s="116" t="e">
        <f t="shared" si="1067"/>
        <v>#VALUE!</v>
      </c>
      <c r="AA1724" s="116" t="e">
        <f t="shared" si="1067"/>
        <v>#VALUE!</v>
      </c>
      <c r="AB1724" s="116" t="e">
        <f t="shared" si="1067"/>
        <v>#VALUE!</v>
      </c>
      <c r="AC1724" s="116" t="e">
        <f t="shared" si="1067"/>
        <v>#VALUE!</v>
      </c>
      <c r="AD1724" s="117" t="e">
        <f>ROUND(SUM(-G1724,H1724:L1724),0)</f>
        <v>#VALUE!</v>
      </c>
      <c r="AE1724" s="117" t="e">
        <f>ROUND(H1724-O1724-P1724-Q1724-R1724,0)</f>
        <v>#VALUE!</v>
      </c>
      <c r="AF1724" s="117" t="e">
        <f>ROUND(I1724-T1724-U1724-V1724-W1724,0)</f>
        <v>#VALUE!</v>
      </c>
      <c r="AG1724" s="117" t="e">
        <f>ROUND(J1724-Y1724-Z1724-AA1724-AC1724-AB1724,0)</f>
        <v>#VALUE!</v>
      </c>
      <c r="AH1724" s="116"/>
      <c r="AI1724">
        <f t="shared" si="1048"/>
        <v>114</v>
      </c>
      <c r="AJ1724" t="str">
        <f t="shared" si="1041"/>
        <v>SG</v>
      </c>
      <c r="AK1724" t="str">
        <f>IF(ISERROR(MATCH(AI1724&amp;"."&amp;AJ1724,AK$91:AK1723,0)),AI1724&amp;"."&amp;AJ1724,AI1724&amp;"."&amp;AJ1724&amp;COUNTIFS(AI$91:AI1723,AI1724,AJ$91:AJ1723,AJ1724))</f>
        <v>114.SG</v>
      </c>
    </row>
    <row r="1725" spans="1:37" ht="15" hidden="1">
      <c r="A1725" s="120">
        <f>ROW()</f>
        <v>1725</v>
      </c>
      <c r="B1725" s="120"/>
      <c r="C1725" s="1"/>
      <c r="E1725" s="121" t="s">
        <v>15</v>
      </c>
      <c r="F1725" s="138" t="str">
        <f>INDEX(FuncAllocOptions,ROW(A1725)-ROW($A$92)+1,[4]Inputs!$S$11)</f>
        <v>P</v>
      </c>
      <c r="G1725" s="133" t="e">
        <f>SUMIF(FERCJAMFactor,AK1725,JAMValue)</f>
        <v>#VALUE!</v>
      </c>
      <c r="H1725" s="139" t="e">
        <f t="shared" si="1066"/>
        <v>#VALUE!</v>
      </c>
      <c r="I1725" s="139" t="e">
        <f t="shared" si="1066"/>
        <v>#VALUE!</v>
      </c>
      <c r="J1725" s="139" t="e">
        <f t="shared" si="1066"/>
        <v>#VALUE!</v>
      </c>
      <c r="K1725" s="139" t="e">
        <f t="shared" si="1066"/>
        <v>#VALUE!</v>
      </c>
      <c r="L1725" s="139" t="e">
        <f t="shared" si="1066"/>
        <v>#VALUE!</v>
      </c>
      <c r="N1725" s="108">
        <v>0.75</v>
      </c>
      <c r="O1725" s="116" t="e">
        <f>$H1725*$N1725*$M1725</f>
        <v>#VALUE!</v>
      </c>
      <c r="P1725" s="116" t="e">
        <f>$H1725*(1-$N1725)*$M1725</f>
        <v>#VALUE!</v>
      </c>
      <c r="Q1725" s="116" t="e">
        <f>$H1725*$N1725*(1-$M1725)</f>
        <v>#VALUE!</v>
      </c>
      <c r="R1725" s="116" t="e">
        <f>$H1725*(1-$N1725)*(1-$M1725)</f>
        <v>#VALUE!</v>
      </c>
      <c r="S1725" s="108">
        <v>0.75</v>
      </c>
      <c r="T1725" s="116" t="e">
        <f>$I1725*$S1725*$M1725</f>
        <v>#VALUE!</v>
      </c>
      <c r="U1725" s="116" t="e">
        <f>$I1725*(1-$S1725)*$M1725</f>
        <v>#VALUE!</v>
      </c>
      <c r="V1725" s="116" t="e">
        <f>$I1725*$S1725*(1-$M1725)</f>
        <v>#VALUE!</v>
      </c>
      <c r="W1725" s="116" t="e">
        <f>$I1725*(1-$S1725)*(1-$M1725)</f>
        <v>#VALUE!</v>
      </c>
      <c r="X1725" s="3" t="str">
        <f>INDEX(DistFuncAllocOptions,ROW(A1725)-ROW($A$92)+1,[4]Inputs!$S$11)</f>
        <v>PLNT</v>
      </c>
      <c r="Y1725" s="116" t="e">
        <f t="shared" si="1067"/>
        <v>#VALUE!</v>
      </c>
      <c r="Z1725" s="116" t="e">
        <f t="shared" si="1067"/>
        <v>#VALUE!</v>
      </c>
      <c r="AA1725" s="116" t="e">
        <f t="shared" si="1067"/>
        <v>#VALUE!</v>
      </c>
      <c r="AB1725" s="116" t="e">
        <f t="shared" si="1067"/>
        <v>#VALUE!</v>
      </c>
      <c r="AC1725" s="116" t="e">
        <f t="shared" si="1067"/>
        <v>#VALUE!</v>
      </c>
      <c r="AD1725" s="117" t="e">
        <f>ROUND(SUM(-G1725,H1725:L1725),0)</f>
        <v>#VALUE!</v>
      </c>
      <c r="AE1725" s="117" t="e">
        <f>ROUND(H1725-O1725-P1725-Q1725-R1725,0)</f>
        <v>#VALUE!</v>
      </c>
      <c r="AF1725" s="117" t="e">
        <f>ROUND(I1725-T1725-U1725-V1725-W1725,0)</f>
        <v>#VALUE!</v>
      </c>
      <c r="AG1725" s="117" t="e">
        <f>ROUND(J1725-Y1725-Z1725-AA1725-AC1725-AB1725,0)</f>
        <v>#VALUE!</v>
      </c>
      <c r="AH1725" s="116"/>
      <c r="AI1725">
        <f t="shared" si="1048"/>
        <v>114</v>
      </c>
      <c r="AJ1725" t="str">
        <f t="shared" si="1041"/>
        <v>SG</v>
      </c>
      <c r="AK1725" t="str">
        <f>IF(ISERROR(MATCH(AI1725&amp;"."&amp;AJ1725,AK$91:AK1724,0)),AI1725&amp;"."&amp;AJ1725,AI1725&amp;"."&amp;AJ1725&amp;COUNTIFS(AI$91:AI1724,AI1725,AJ$91:AJ1724,AJ1725))</f>
        <v>114.SG1</v>
      </c>
    </row>
    <row r="1726" spans="1:37" ht="15" hidden="1">
      <c r="A1726" s="120">
        <f>ROW()</f>
        <v>1726</v>
      </c>
      <c r="B1726" s="120"/>
      <c r="C1726" s="1"/>
      <c r="E1726" s="121"/>
      <c r="F1726" s="138"/>
      <c r="G1726" s="117" t="e">
        <f t="shared" ref="G1726:L1726" si="1068">SUM(G1723:G1725)</f>
        <v>#VALUE!</v>
      </c>
      <c r="H1726" s="116" t="e">
        <f t="shared" si="1068"/>
        <v>#VALUE!</v>
      </c>
      <c r="I1726" s="116" t="e">
        <f t="shared" si="1068"/>
        <v>#VALUE!</v>
      </c>
      <c r="J1726" s="116" t="e">
        <f t="shared" si="1068"/>
        <v>#VALUE!</v>
      </c>
      <c r="K1726" s="116" t="e">
        <f t="shared" si="1068"/>
        <v>#VALUE!</v>
      </c>
      <c r="L1726" s="116" t="e">
        <f t="shared" si="1068"/>
        <v>#VALUE!</v>
      </c>
      <c r="O1726" s="116" t="e">
        <f>SUM(O1723:O1725)</f>
        <v>#VALUE!</v>
      </c>
      <c r="P1726" s="116" t="e">
        <f>SUM(P1723:P1725)</f>
        <v>#VALUE!</v>
      </c>
      <c r="Q1726" s="116" t="e">
        <f>SUM(Q1723:Q1725)</f>
        <v>#VALUE!</v>
      </c>
      <c r="R1726" s="116" t="e">
        <f>SUM(R1723:R1725)</f>
        <v>#VALUE!</v>
      </c>
      <c r="T1726" s="116" t="e">
        <f>SUM(T1723:T1725)</f>
        <v>#VALUE!</v>
      </c>
      <c r="U1726" s="116" t="e">
        <f>SUM(U1723:U1725)</f>
        <v>#VALUE!</v>
      </c>
      <c r="V1726" s="116" t="e">
        <f>SUM(V1723:V1725)</f>
        <v>#VALUE!</v>
      </c>
      <c r="W1726" s="116" t="e">
        <f>SUM(W1723:W1725)</f>
        <v>#VALUE!</v>
      </c>
      <c r="X1726" s="3"/>
      <c r="Y1726" s="116" t="e">
        <f>SUM(Y1723:Y1725)</f>
        <v>#VALUE!</v>
      </c>
      <c r="Z1726" s="116" t="e">
        <f>SUM(Z1723:Z1725)</f>
        <v>#VALUE!</v>
      </c>
      <c r="AA1726" s="116" t="e">
        <f>SUM(AA1723:AA1725)</f>
        <v>#VALUE!</v>
      </c>
      <c r="AB1726" s="116" t="e">
        <f>SUM(AB1723:AB1725)</f>
        <v>#VALUE!</v>
      </c>
      <c r="AC1726" s="116" t="e">
        <f>SUM(AC1723:AC1725)</f>
        <v>#VALUE!</v>
      </c>
      <c r="AD1726" s="117" t="e">
        <f>ROUND(SUM(-G1726,H1726:L1726),0)</f>
        <v>#VALUE!</v>
      </c>
      <c r="AE1726" s="117" t="e">
        <f>ROUND(H1726-O1726-P1726-Q1726-R1726,0)</f>
        <v>#VALUE!</v>
      </c>
      <c r="AF1726" s="117" t="e">
        <f>ROUND(I1726-T1726-U1726-V1726-W1726,0)</f>
        <v>#VALUE!</v>
      </c>
      <c r="AG1726" s="117" t="e">
        <f>ROUND(J1726-Y1726-Z1726-AA1726-AC1726-AB1726,0)</f>
        <v>#VALUE!</v>
      </c>
      <c r="AH1726" s="116"/>
      <c r="AI1726">
        <f t="shared" si="1048"/>
        <v>114</v>
      </c>
      <c r="AJ1726" t="str">
        <f t="shared" si="1041"/>
        <v>NA</v>
      </c>
      <c r="AK1726" t="str">
        <f>IF(ISERROR(MATCH(AI1726&amp;"."&amp;AJ1726,AK$91:AK1725,0)),AI1726&amp;"."&amp;AJ1726,AI1726&amp;"."&amp;AJ1726&amp;COUNTIFS(AI$91:AI1725,AI1726,AJ$91:AJ1725,AJ1726))</f>
        <v>114.NA1</v>
      </c>
    </row>
    <row r="1727" spans="1:37" ht="15" hidden="1">
      <c r="A1727" s="120">
        <f>ROW()</f>
        <v>1727</v>
      </c>
      <c r="B1727" s="120"/>
      <c r="C1727" s="1"/>
      <c r="E1727" s="121"/>
      <c r="F1727" s="138"/>
      <c r="G1727" s="119"/>
      <c r="X1727" s="3"/>
      <c r="AD1727" s="119"/>
      <c r="AE1727" s="119"/>
      <c r="AF1727" s="119"/>
      <c r="AG1727" s="119"/>
      <c r="AI1727">
        <f t="shared" si="1048"/>
        <v>114</v>
      </c>
      <c r="AJ1727" t="str">
        <f t="shared" si="1041"/>
        <v>NA</v>
      </c>
      <c r="AK1727" t="str">
        <f>IF(ISERROR(MATCH(AI1727&amp;"."&amp;AJ1727,AK$91:AK1726,0)),AI1727&amp;"."&amp;AJ1727,AI1727&amp;"."&amp;AJ1727&amp;COUNTIFS(AI$91:AI1726,AI1727,AJ$91:AJ1726,AJ1727))</f>
        <v>114.NA2</v>
      </c>
    </row>
    <row r="1728" spans="1:37" ht="15" hidden="1">
      <c r="A1728" s="120">
        <f>ROW()</f>
        <v>1728</v>
      </c>
      <c r="B1728" s="120"/>
      <c r="C1728" s="1">
        <v>115</v>
      </c>
      <c r="D1728" s="2" t="s">
        <v>596</v>
      </c>
      <c r="E1728" s="121"/>
      <c r="F1728" s="138"/>
      <c r="G1728" s="119"/>
      <c r="X1728" s="3"/>
      <c r="AD1728" s="119"/>
      <c r="AE1728" s="119"/>
      <c r="AF1728" s="119"/>
      <c r="AG1728" s="119"/>
      <c r="AI1728">
        <f t="shared" si="1048"/>
        <v>115</v>
      </c>
      <c r="AJ1728" t="str">
        <f t="shared" si="1041"/>
        <v>NA</v>
      </c>
      <c r="AK1728" t="str">
        <f>IF(ISERROR(MATCH(AI1728&amp;"."&amp;AJ1728,AK$91:AK1727,0)),AI1728&amp;"."&amp;AJ1728,AI1728&amp;"."&amp;AJ1728&amp;COUNTIFS(AI$91:AI1727,AI1728,AJ$91:AJ1727,AJ1728))</f>
        <v>115.NA</v>
      </c>
    </row>
    <row r="1729" spans="1:37" ht="15" hidden="1">
      <c r="A1729" s="120">
        <f>ROW()</f>
        <v>1729</v>
      </c>
      <c r="B1729" s="120"/>
      <c r="C1729" s="1"/>
      <c r="E1729" s="121" t="s">
        <v>12</v>
      </c>
      <c r="F1729" s="138" t="str">
        <f>INDEX(FuncAllocOptions,ROW(A1729)-ROW($A$92)+1,[4]Inputs!$S$11)</f>
        <v>P</v>
      </c>
      <c r="G1729" s="117" t="e">
        <f>SUMIF(FERCJAMFactor,AK1729,JAMValue)</f>
        <v>#VALUE!</v>
      </c>
      <c r="H1729" s="116" t="e">
        <f t="shared" ref="H1729:L1731" si="1069">INDEX(FuncFactorTbl,MATCH($F1729,FuncFactors,0),MATCH(H$8,Functions,0))*$G1729</f>
        <v>#VALUE!</v>
      </c>
      <c r="I1729" s="116" t="e">
        <f t="shared" si="1069"/>
        <v>#VALUE!</v>
      </c>
      <c r="J1729" s="116" t="e">
        <f t="shared" si="1069"/>
        <v>#VALUE!</v>
      </c>
      <c r="K1729" s="116" t="e">
        <f t="shared" si="1069"/>
        <v>#VALUE!</v>
      </c>
      <c r="L1729" s="116" t="e">
        <f t="shared" si="1069"/>
        <v>#VALUE!</v>
      </c>
      <c r="N1729" s="108">
        <v>0.75</v>
      </c>
      <c r="O1729" s="116" t="e">
        <f>$H1729*$N1729*$M1729</f>
        <v>#VALUE!</v>
      </c>
      <c r="P1729" s="116" t="e">
        <f>$H1729*(1-$N1729)*$M1729</f>
        <v>#VALUE!</v>
      </c>
      <c r="Q1729" s="116" t="e">
        <f>$H1729*$N1729*(1-$M1729)</f>
        <v>#VALUE!</v>
      </c>
      <c r="R1729" s="116" t="e">
        <f>$H1729*(1-$N1729)*(1-$M1729)</f>
        <v>#VALUE!</v>
      </c>
      <c r="S1729" s="108">
        <v>0.75</v>
      </c>
      <c r="T1729" s="116" t="e">
        <f>$I1729*$S1729*$M1729</f>
        <v>#VALUE!</v>
      </c>
      <c r="U1729" s="116" t="e">
        <f>$I1729*(1-$S1729)*$M1729</f>
        <v>#VALUE!</v>
      </c>
      <c r="V1729" s="116" t="e">
        <f>$I1729*$S1729*(1-$M1729)</f>
        <v>#VALUE!</v>
      </c>
      <c r="W1729" s="116" t="e">
        <f>$I1729*(1-$S1729)*(1-$M1729)</f>
        <v>#VALUE!</v>
      </c>
      <c r="X1729" s="3" t="str">
        <f>INDEX(DistFuncAllocOptions,ROW(A1729)-ROW($A$92)+1,[4]Inputs!$S$11)</f>
        <v>PLNT</v>
      </c>
      <c r="Y1729" s="116" t="e">
        <f t="shared" ref="Y1729:AC1731" si="1070">INDEX(DistFuncFactorTbl,MATCH($X1729,DistFuncFactors,0),MATCH(Y$91,DistFunctions,0))*$J1729</f>
        <v>#VALUE!</v>
      </c>
      <c r="Z1729" s="116" t="e">
        <f t="shared" si="1070"/>
        <v>#VALUE!</v>
      </c>
      <c r="AA1729" s="116" t="e">
        <f t="shared" si="1070"/>
        <v>#VALUE!</v>
      </c>
      <c r="AB1729" s="116" t="e">
        <f t="shared" si="1070"/>
        <v>#VALUE!</v>
      </c>
      <c r="AC1729" s="116" t="e">
        <f t="shared" si="1070"/>
        <v>#VALUE!</v>
      </c>
      <c r="AD1729" s="117" t="e">
        <f>ROUND(SUM(-G1729,H1729:L1729),0)</f>
        <v>#VALUE!</v>
      </c>
      <c r="AE1729" s="117" t="e">
        <f>ROUND(H1729-O1729-P1729-Q1729-R1729,0)</f>
        <v>#VALUE!</v>
      </c>
      <c r="AF1729" s="117" t="e">
        <f>ROUND(I1729-T1729-U1729-V1729-W1729,0)</f>
        <v>#VALUE!</v>
      </c>
      <c r="AG1729" s="117" t="e">
        <f>ROUND(J1729-Y1729-Z1729-AA1729-AC1729-AB1729,0)</f>
        <v>#VALUE!</v>
      </c>
      <c r="AH1729" s="116"/>
      <c r="AI1729">
        <f t="shared" si="1048"/>
        <v>115</v>
      </c>
      <c r="AJ1729" t="str">
        <f t="shared" si="1041"/>
        <v>S</v>
      </c>
      <c r="AK1729" t="str">
        <f>IF(ISERROR(MATCH(AI1729&amp;"."&amp;AJ1729,AK$91:AK1728,0)),AI1729&amp;"."&amp;AJ1729,AI1729&amp;"."&amp;AJ1729&amp;COUNTIFS(AI$91:AI1728,AI1729,AJ$91:AJ1728,AJ1729))</f>
        <v>115.S</v>
      </c>
    </row>
    <row r="1730" spans="1:37" ht="15" hidden="1">
      <c r="A1730" s="120">
        <f>ROW()</f>
        <v>1730</v>
      </c>
      <c r="B1730" s="120"/>
      <c r="C1730" s="1"/>
      <c r="E1730" s="121" t="s">
        <v>15</v>
      </c>
      <c r="F1730" s="138" t="str">
        <f>INDEX(FuncAllocOptions,ROW(A1730)-ROW($A$92)+1,[4]Inputs!$S$11)</f>
        <v>P</v>
      </c>
      <c r="G1730" s="117" t="e">
        <f>SUMIF(FERCJAMFactor,AK1730,JAMValue)</f>
        <v>#VALUE!</v>
      </c>
      <c r="H1730" s="116" t="e">
        <f t="shared" si="1069"/>
        <v>#VALUE!</v>
      </c>
      <c r="I1730" s="116" t="e">
        <f t="shared" si="1069"/>
        <v>#VALUE!</v>
      </c>
      <c r="J1730" s="116" t="e">
        <f t="shared" si="1069"/>
        <v>#VALUE!</v>
      </c>
      <c r="K1730" s="116" t="e">
        <f t="shared" si="1069"/>
        <v>#VALUE!</v>
      </c>
      <c r="L1730" s="116" t="e">
        <f t="shared" si="1069"/>
        <v>#VALUE!</v>
      </c>
      <c r="N1730" s="108">
        <v>0.75</v>
      </c>
      <c r="O1730" s="116" t="e">
        <f>$H1730*$N1730*$M1730</f>
        <v>#VALUE!</v>
      </c>
      <c r="P1730" s="116" t="e">
        <f>$H1730*(1-$N1730)*$M1730</f>
        <v>#VALUE!</v>
      </c>
      <c r="Q1730" s="116" t="e">
        <f>$H1730*$N1730*(1-$M1730)</f>
        <v>#VALUE!</v>
      </c>
      <c r="R1730" s="116" t="e">
        <f>$H1730*(1-$N1730)*(1-$M1730)</f>
        <v>#VALUE!</v>
      </c>
      <c r="S1730" s="108">
        <v>0.75</v>
      </c>
      <c r="T1730" s="116" t="e">
        <f>$I1730*$S1730*$M1730</f>
        <v>#VALUE!</v>
      </c>
      <c r="U1730" s="116" t="e">
        <f>$I1730*(1-$S1730)*$M1730</f>
        <v>#VALUE!</v>
      </c>
      <c r="V1730" s="116" t="e">
        <f>$I1730*$S1730*(1-$M1730)</f>
        <v>#VALUE!</v>
      </c>
      <c r="W1730" s="116" t="e">
        <f>$I1730*(1-$S1730)*(1-$M1730)</f>
        <v>#VALUE!</v>
      </c>
      <c r="X1730" s="3" t="str">
        <f>INDEX(DistFuncAllocOptions,ROW(A1730)-ROW($A$92)+1,[4]Inputs!$S$11)</f>
        <v>PLNT</v>
      </c>
      <c r="Y1730" s="116" t="e">
        <f t="shared" si="1070"/>
        <v>#VALUE!</v>
      </c>
      <c r="Z1730" s="116" t="e">
        <f t="shared" si="1070"/>
        <v>#VALUE!</v>
      </c>
      <c r="AA1730" s="116" t="e">
        <f t="shared" si="1070"/>
        <v>#VALUE!</v>
      </c>
      <c r="AB1730" s="116" t="e">
        <f t="shared" si="1070"/>
        <v>#VALUE!</v>
      </c>
      <c r="AC1730" s="116" t="e">
        <f t="shared" si="1070"/>
        <v>#VALUE!</v>
      </c>
      <c r="AD1730" s="117" t="e">
        <f>ROUND(SUM(-G1730,H1730:L1730),0)</f>
        <v>#VALUE!</v>
      </c>
      <c r="AE1730" s="117" t="e">
        <f>ROUND(H1730-O1730-P1730-Q1730-R1730,0)</f>
        <v>#VALUE!</v>
      </c>
      <c r="AF1730" s="117" t="e">
        <f>ROUND(I1730-T1730-U1730-V1730-W1730,0)</f>
        <v>#VALUE!</v>
      </c>
      <c r="AG1730" s="117" t="e">
        <f>ROUND(J1730-Y1730-Z1730-AA1730-AC1730-AB1730,0)</f>
        <v>#VALUE!</v>
      </c>
      <c r="AH1730" s="116"/>
      <c r="AI1730">
        <f t="shared" si="1048"/>
        <v>115</v>
      </c>
      <c r="AJ1730" t="str">
        <f t="shared" si="1041"/>
        <v>SG</v>
      </c>
      <c r="AK1730" t="str">
        <f>IF(ISERROR(MATCH(AI1730&amp;"."&amp;AJ1730,AK$91:AK1729,0)),AI1730&amp;"."&amp;AJ1730,AI1730&amp;"."&amp;AJ1730&amp;COUNTIFS(AI$91:AI1729,AI1730,AJ$91:AJ1729,AJ1730))</f>
        <v>115.SG</v>
      </c>
    </row>
    <row r="1731" spans="1:37" ht="15" hidden="1">
      <c r="A1731" s="120">
        <f>ROW()</f>
        <v>1731</v>
      </c>
      <c r="B1731" s="120"/>
      <c r="C1731" s="1"/>
      <c r="E1731" s="121" t="s">
        <v>15</v>
      </c>
      <c r="F1731" s="138" t="str">
        <f>INDEX(FuncAllocOptions,ROW(A1731)-ROW($A$92)+1,[4]Inputs!$S$11)</f>
        <v>P</v>
      </c>
      <c r="G1731" s="133" t="e">
        <f>SUMIF(FERCJAMFactor,AK1731,JAMValue)</f>
        <v>#VALUE!</v>
      </c>
      <c r="H1731" s="139" t="e">
        <f t="shared" si="1069"/>
        <v>#VALUE!</v>
      </c>
      <c r="I1731" s="139" t="e">
        <f t="shared" si="1069"/>
        <v>#VALUE!</v>
      </c>
      <c r="J1731" s="139" t="e">
        <f t="shared" si="1069"/>
        <v>#VALUE!</v>
      </c>
      <c r="K1731" s="139" t="e">
        <f t="shared" si="1069"/>
        <v>#VALUE!</v>
      </c>
      <c r="L1731" s="139" t="e">
        <f t="shared" si="1069"/>
        <v>#VALUE!</v>
      </c>
      <c r="N1731" s="108">
        <v>0.75</v>
      </c>
      <c r="O1731" s="116" t="e">
        <f>$H1731*$N1731*$M1731</f>
        <v>#VALUE!</v>
      </c>
      <c r="P1731" s="116" t="e">
        <f>$H1731*(1-$N1731)*$M1731</f>
        <v>#VALUE!</v>
      </c>
      <c r="Q1731" s="116" t="e">
        <f>$H1731*$N1731*(1-$M1731)</f>
        <v>#VALUE!</v>
      </c>
      <c r="R1731" s="116" t="e">
        <f>$H1731*(1-$N1731)*(1-$M1731)</f>
        <v>#VALUE!</v>
      </c>
      <c r="S1731" s="108">
        <v>0.75</v>
      </c>
      <c r="T1731" s="116" t="e">
        <f>$I1731*$S1731*$M1731</f>
        <v>#VALUE!</v>
      </c>
      <c r="U1731" s="116" t="e">
        <f>$I1731*(1-$S1731)*$M1731</f>
        <v>#VALUE!</v>
      </c>
      <c r="V1731" s="116" t="e">
        <f>$I1731*$S1731*(1-$M1731)</f>
        <v>#VALUE!</v>
      </c>
      <c r="W1731" s="116" t="e">
        <f>$I1731*(1-$S1731)*(1-$M1731)</f>
        <v>#VALUE!</v>
      </c>
      <c r="X1731" s="3" t="str">
        <f>INDEX(DistFuncAllocOptions,ROW(A1731)-ROW($A$92)+1,[4]Inputs!$S$11)</f>
        <v>PLNT</v>
      </c>
      <c r="Y1731" s="116" t="e">
        <f t="shared" si="1070"/>
        <v>#VALUE!</v>
      </c>
      <c r="Z1731" s="116" t="e">
        <f t="shared" si="1070"/>
        <v>#VALUE!</v>
      </c>
      <c r="AA1731" s="116" t="e">
        <f t="shared" si="1070"/>
        <v>#VALUE!</v>
      </c>
      <c r="AB1731" s="116" t="e">
        <f t="shared" si="1070"/>
        <v>#VALUE!</v>
      </c>
      <c r="AC1731" s="116" t="e">
        <f t="shared" si="1070"/>
        <v>#VALUE!</v>
      </c>
      <c r="AD1731" s="117" t="e">
        <f>ROUND(SUM(-G1731,H1731:L1731),0)</f>
        <v>#VALUE!</v>
      </c>
      <c r="AE1731" s="117" t="e">
        <f>ROUND(H1731-O1731-P1731-Q1731-R1731,0)</f>
        <v>#VALUE!</v>
      </c>
      <c r="AF1731" s="117" t="e">
        <f>ROUND(I1731-T1731-U1731-V1731-W1731,0)</f>
        <v>#VALUE!</v>
      </c>
      <c r="AG1731" s="117" t="e">
        <f>ROUND(J1731-Y1731-Z1731-AA1731-AC1731-AB1731,0)</f>
        <v>#VALUE!</v>
      </c>
      <c r="AH1731" s="116"/>
      <c r="AI1731">
        <f t="shared" si="1048"/>
        <v>115</v>
      </c>
      <c r="AJ1731" t="str">
        <f t="shared" si="1041"/>
        <v>SG</v>
      </c>
      <c r="AK1731" t="str">
        <f>IF(ISERROR(MATCH(AI1731&amp;"."&amp;AJ1731,AK$91:AK1730,0)),AI1731&amp;"."&amp;AJ1731,AI1731&amp;"."&amp;AJ1731&amp;COUNTIFS(AI$91:AI1730,AI1731,AJ$91:AJ1730,AJ1731))</f>
        <v>115.SG1</v>
      </c>
    </row>
    <row r="1732" spans="1:37" ht="15" hidden="1">
      <c r="A1732" s="120">
        <f>ROW()</f>
        <v>1732</v>
      </c>
      <c r="B1732" s="120"/>
      <c r="C1732" s="1"/>
      <c r="E1732" s="121"/>
      <c r="F1732" s="138"/>
      <c r="G1732" s="117" t="e">
        <f t="shared" ref="G1732:L1732" si="1071">SUM(G1729:G1731)</f>
        <v>#VALUE!</v>
      </c>
      <c r="H1732" s="116" t="e">
        <f t="shared" si="1071"/>
        <v>#VALUE!</v>
      </c>
      <c r="I1732" s="116" t="e">
        <f t="shared" si="1071"/>
        <v>#VALUE!</v>
      </c>
      <c r="J1732" s="116" t="e">
        <f t="shared" si="1071"/>
        <v>#VALUE!</v>
      </c>
      <c r="K1732" s="116" t="e">
        <f t="shared" si="1071"/>
        <v>#VALUE!</v>
      </c>
      <c r="L1732" s="116" t="e">
        <f t="shared" si="1071"/>
        <v>#VALUE!</v>
      </c>
      <c r="O1732" s="116" t="e">
        <f>SUM(O1729:O1731)</f>
        <v>#VALUE!</v>
      </c>
      <c r="P1732" s="116" t="e">
        <f>SUM(P1729:P1731)</f>
        <v>#VALUE!</v>
      </c>
      <c r="Q1732" s="116" t="e">
        <f>SUM(Q1729:Q1731)</f>
        <v>#VALUE!</v>
      </c>
      <c r="R1732" s="116" t="e">
        <f>SUM(R1729:R1731)</f>
        <v>#VALUE!</v>
      </c>
      <c r="T1732" s="116" t="e">
        <f>SUM(T1729:T1731)</f>
        <v>#VALUE!</v>
      </c>
      <c r="U1732" s="116" t="e">
        <f>SUM(U1729:U1731)</f>
        <v>#VALUE!</v>
      </c>
      <c r="V1732" s="116" t="e">
        <f>SUM(V1729:V1731)</f>
        <v>#VALUE!</v>
      </c>
      <c r="W1732" s="116" t="e">
        <f>SUM(W1729:W1731)</f>
        <v>#VALUE!</v>
      </c>
      <c r="X1732" s="3"/>
      <c r="Y1732" s="116" t="e">
        <f>SUM(Y1729:Y1731)</f>
        <v>#VALUE!</v>
      </c>
      <c r="Z1732" s="116" t="e">
        <f>SUM(Z1729:Z1731)</f>
        <v>#VALUE!</v>
      </c>
      <c r="AA1732" s="116" t="e">
        <f>SUM(AA1729:AA1731)</f>
        <v>#VALUE!</v>
      </c>
      <c r="AB1732" s="116" t="e">
        <f>SUM(AB1729:AB1731)</f>
        <v>#VALUE!</v>
      </c>
      <c r="AC1732" s="116" t="e">
        <f>SUM(AC1729:AC1731)</f>
        <v>#VALUE!</v>
      </c>
      <c r="AD1732" s="117" t="e">
        <f>ROUND(SUM(-G1732,H1732:L1732),0)</f>
        <v>#VALUE!</v>
      </c>
      <c r="AE1732" s="117" t="e">
        <f>ROUND(H1732-O1732-P1732-Q1732-R1732,0)</f>
        <v>#VALUE!</v>
      </c>
      <c r="AF1732" s="117" t="e">
        <f>ROUND(I1732-T1732-U1732-V1732-W1732,0)</f>
        <v>#VALUE!</v>
      </c>
      <c r="AG1732" s="117" t="e">
        <f>ROUND(J1732-Y1732-Z1732-AA1732-AC1732-AB1732,0)</f>
        <v>#VALUE!</v>
      </c>
      <c r="AH1732" s="116"/>
      <c r="AI1732">
        <f t="shared" si="1048"/>
        <v>115</v>
      </c>
      <c r="AJ1732" t="str">
        <f t="shared" si="1041"/>
        <v>NA</v>
      </c>
      <c r="AK1732" t="str">
        <f>IF(ISERROR(MATCH(AI1732&amp;"."&amp;AJ1732,AK$91:AK1731,0)),AI1732&amp;"."&amp;AJ1732,AI1732&amp;"."&amp;AJ1732&amp;COUNTIFS(AI$91:AI1731,AI1732,AJ$91:AJ1731,AJ1732))</f>
        <v>115.NA1</v>
      </c>
    </row>
    <row r="1733" spans="1:37" ht="15" hidden="1">
      <c r="A1733" s="120">
        <f>ROW()</f>
        <v>1733</v>
      </c>
      <c r="B1733" s="120"/>
      <c r="C1733" s="1"/>
      <c r="E1733" s="121"/>
      <c r="F1733" s="138"/>
      <c r="G1733" s="119"/>
      <c r="X1733" s="3"/>
      <c r="AD1733" s="119"/>
      <c r="AE1733" s="119"/>
      <c r="AF1733" s="119"/>
      <c r="AG1733" s="119"/>
      <c r="AI1733">
        <f t="shared" si="1048"/>
        <v>115</v>
      </c>
      <c r="AJ1733" t="str">
        <f t="shared" si="1041"/>
        <v>NA</v>
      </c>
      <c r="AK1733" t="str">
        <f>IF(ISERROR(MATCH(AI1733&amp;"."&amp;AJ1733,AK$91:AK1732,0)),AI1733&amp;"."&amp;AJ1733,AI1733&amp;"."&amp;AJ1733&amp;COUNTIFS(AI$91:AI1732,AI1733,AJ$91:AJ1732,AJ1733))</f>
        <v>115.NA2</v>
      </c>
    </row>
    <row r="1734" spans="1:37" ht="15" hidden="1">
      <c r="A1734" s="120">
        <f>ROW()</f>
        <v>1734</v>
      </c>
      <c r="B1734" s="120"/>
      <c r="C1734" s="1">
        <v>128</v>
      </c>
      <c r="D1734" s="2" t="s">
        <v>597</v>
      </c>
      <c r="E1734" s="121" t="s">
        <v>136</v>
      </c>
      <c r="F1734" s="138" t="str">
        <f>INDEX(FuncAllocOptions,ROW(A1734)-ROW($A$92)+1,[4]Inputs!$S$11)</f>
        <v>LABOR</v>
      </c>
      <c r="G1734" s="133" t="e">
        <f>SUMIF(FERCJAMFactor,AK1734,JAMValue)</f>
        <v>#VALUE!</v>
      </c>
      <c r="H1734" s="139" t="e">
        <f>INDEX(FuncFactorTbl,MATCH($F1734,FuncFactors,0),MATCH(H$8,Functions,0))*$G1734</f>
        <v>#VALUE!</v>
      </c>
      <c r="I1734" s="139" t="e">
        <f>INDEX(FuncFactorTbl,MATCH($F1734,FuncFactors,0),MATCH(I$8,Functions,0))*$G1734</f>
        <v>#VALUE!</v>
      </c>
      <c r="J1734" s="139" t="e">
        <f>INDEX(FuncFactorTbl,MATCH($F1734,FuncFactors,0),MATCH(J$8,Functions,0))*$G1734</f>
        <v>#VALUE!</v>
      </c>
      <c r="K1734" s="139" t="e">
        <f>INDEX(FuncFactorTbl,MATCH($F1734,FuncFactors,0),MATCH(K$8,Functions,0))*$G1734</f>
        <v>#VALUE!</v>
      </c>
      <c r="L1734" s="139" t="e">
        <f>INDEX(FuncFactorTbl,MATCH($F1734,FuncFactors,0),MATCH(L$8,Functions,0))*$G1734</f>
        <v>#VALUE!</v>
      </c>
      <c r="N1734" s="108">
        <v>0</v>
      </c>
      <c r="O1734" s="116" t="e">
        <f>$H1734*$N1734*$M1734</f>
        <v>#VALUE!</v>
      </c>
      <c r="P1734" s="116" t="e">
        <f>$H1734*(1-$N1734)*$M1734</f>
        <v>#VALUE!</v>
      </c>
      <c r="Q1734" s="116" t="e">
        <f>$H1734*$N1734*(1-$M1734)</f>
        <v>#VALUE!</v>
      </c>
      <c r="R1734" s="116" t="e">
        <f>$H1734*(1-$N1734)*(1-$M1734)</f>
        <v>#VALUE!</v>
      </c>
      <c r="S1734" s="108">
        <v>0</v>
      </c>
      <c r="T1734" s="116" t="e">
        <f>$I1734*$S1734*$M1734</f>
        <v>#VALUE!</v>
      </c>
      <c r="U1734" s="116" t="e">
        <f>$I1734*(1-$S1734)*$M1734</f>
        <v>#VALUE!</v>
      </c>
      <c r="V1734" s="116" t="e">
        <f>$I1734*$S1734*(1-$M1734)</f>
        <v>#VALUE!</v>
      </c>
      <c r="W1734" s="116" t="e">
        <f>$I1734*(1-$S1734)*(1-$M1734)</f>
        <v>#VALUE!</v>
      </c>
      <c r="X1734" s="3" t="str">
        <f>INDEX(DistFuncAllocOptions,ROW(A1734)-ROW($A$92)+1,[4]Inputs!$S$11)</f>
        <v>PLNT</v>
      </c>
      <c r="Y1734" s="116" t="e">
        <f>INDEX(DistFuncFactorTbl,MATCH($X1734,DistFuncFactors,0),MATCH(Y$91,DistFunctions,0))*$J1734</f>
        <v>#VALUE!</v>
      </c>
      <c r="Z1734" s="116" t="e">
        <f>INDEX(DistFuncFactorTbl,MATCH($X1734,DistFuncFactors,0),MATCH(Z$91,DistFunctions,0))*$J1734</f>
        <v>#VALUE!</v>
      </c>
      <c r="AA1734" s="116" t="e">
        <f>INDEX(DistFuncFactorTbl,MATCH($X1734,DistFuncFactors,0),MATCH(AA$91,DistFunctions,0))*$J1734</f>
        <v>#VALUE!</v>
      </c>
      <c r="AB1734" s="116" t="e">
        <f>INDEX(DistFuncFactorTbl,MATCH($X1734,DistFuncFactors,0),MATCH(AB$91,DistFunctions,0))*$J1734</f>
        <v>#VALUE!</v>
      </c>
      <c r="AC1734" s="116" t="e">
        <f>INDEX(DistFuncFactorTbl,MATCH($X1734,DistFuncFactors,0),MATCH(AC$91,DistFunctions,0))*$J1734</f>
        <v>#VALUE!</v>
      </c>
      <c r="AD1734" s="117" t="e">
        <f>ROUND(SUM(-G1734,H1734:L1734),0)</f>
        <v>#VALUE!</v>
      </c>
      <c r="AE1734" s="117" t="e">
        <f>ROUND(H1734-O1734-P1734-Q1734-R1734,0)</f>
        <v>#VALUE!</v>
      </c>
      <c r="AF1734" s="117" t="e">
        <f>ROUND(I1734-T1734-U1734-V1734-W1734,0)</f>
        <v>#VALUE!</v>
      </c>
      <c r="AG1734" s="117" t="e">
        <f>ROUND(J1734-Y1734-Z1734-AA1734-AC1734-AB1734,0)</f>
        <v>#VALUE!</v>
      </c>
      <c r="AH1734" s="116"/>
      <c r="AI1734">
        <f t="shared" si="1048"/>
        <v>128</v>
      </c>
      <c r="AJ1734" t="str">
        <f t="shared" si="1041"/>
        <v>SO</v>
      </c>
      <c r="AK1734" t="str">
        <f>IF(ISERROR(MATCH(AI1734&amp;"."&amp;AJ1734,AK$91:AK1733,0)),AI1734&amp;"."&amp;AJ1734,AI1734&amp;"."&amp;AJ1734&amp;COUNTIFS(AI$91:AI1733,AI1734,AJ$91:AJ1733,AJ1734))</f>
        <v>128.SO</v>
      </c>
    </row>
    <row r="1735" spans="1:37" ht="15" hidden="1">
      <c r="A1735" s="120">
        <f>ROW()</f>
        <v>1735</v>
      </c>
      <c r="B1735" s="120"/>
      <c r="C1735" s="1"/>
      <c r="E1735" s="121"/>
      <c r="F1735" s="138"/>
      <c r="G1735" s="117" t="e">
        <f t="shared" ref="G1735:L1735" si="1072">SUM(G1734)</f>
        <v>#VALUE!</v>
      </c>
      <c r="H1735" s="116" t="e">
        <f t="shared" si="1072"/>
        <v>#VALUE!</v>
      </c>
      <c r="I1735" s="116" t="e">
        <f t="shared" si="1072"/>
        <v>#VALUE!</v>
      </c>
      <c r="J1735" s="116" t="e">
        <f t="shared" si="1072"/>
        <v>#VALUE!</v>
      </c>
      <c r="K1735" s="116" t="e">
        <f t="shared" si="1072"/>
        <v>#VALUE!</v>
      </c>
      <c r="L1735" s="116" t="e">
        <f t="shared" si="1072"/>
        <v>#VALUE!</v>
      </c>
      <c r="O1735" s="116" t="e">
        <f>SUM(O1734)</f>
        <v>#VALUE!</v>
      </c>
      <c r="P1735" s="116" t="e">
        <f>SUM(P1734)</f>
        <v>#VALUE!</v>
      </c>
      <c r="Q1735" s="116" t="e">
        <f>SUM(Q1734)</f>
        <v>#VALUE!</v>
      </c>
      <c r="R1735" s="116" t="e">
        <f>SUM(R1734)</f>
        <v>#VALUE!</v>
      </c>
      <c r="T1735" s="116" t="e">
        <f>SUM(T1734)</f>
        <v>#VALUE!</v>
      </c>
      <c r="U1735" s="116" t="e">
        <f>SUM(U1734)</f>
        <v>#VALUE!</v>
      </c>
      <c r="V1735" s="116" t="e">
        <f>SUM(V1734)</f>
        <v>#VALUE!</v>
      </c>
      <c r="W1735" s="116" t="e">
        <f>SUM(W1734)</f>
        <v>#VALUE!</v>
      </c>
      <c r="X1735" s="3"/>
      <c r="Y1735" s="116" t="e">
        <f>SUM(Y1734)</f>
        <v>#VALUE!</v>
      </c>
      <c r="Z1735" s="116" t="e">
        <f>SUM(Z1734)</f>
        <v>#VALUE!</v>
      </c>
      <c r="AA1735" s="116" t="e">
        <f>SUM(AA1734)</f>
        <v>#VALUE!</v>
      </c>
      <c r="AB1735" s="116" t="e">
        <f>SUM(AB1734)</f>
        <v>#VALUE!</v>
      </c>
      <c r="AC1735" s="116" t="e">
        <f>SUM(AC1734)</f>
        <v>#VALUE!</v>
      </c>
      <c r="AD1735" s="117" t="e">
        <f>ROUND(SUM(-G1735,H1735:L1735),0)</f>
        <v>#VALUE!</v>
      </c>
      <c r="AE1735" s="117" t="e">
        <f>ROUND(H1735-O1735-P1735-Q1735-R1735,0)</f>
        <v>#VALUE!</v>
      </c>
      <c r="AF1735" s="117" t="e">
        <f>ROUND(I1735-T1735-U1735-V1735-W1735,0)</f>
        <v>#VALUE!</v>
      </c>
      <c r="AG1735" s="117" t="e">
        <f>ROUND(J1735-Y1735-Z1735-AA1735-AC1735-AB1735,0)</f>
        <v>#VALUE!</v>
      </c>
      <c r="AH1735" s="116"/>
      <c r="AI1735">
        <f t="shared" si="1048"/>
        <v>128</v>
      </c>
      <c r="AJ1735" t="str">
        <f t="shared" si="1041"/>
        <v>NA</v>
      </c>
      <c r="AK1735" t="str">
        <f>IF(ISERROR(MATCH(AI1735&amp;"."&amp;AJ1735,AK$91:AK1734,0)),AI1735&amp;"."&amp;AJ1735,AI1735&amp;"."&amp;AJ1735&amp;COUNTIFS(AI$91:AI1734,AI1735,AJ$91:AJ1734,AJ1735))</f>
        <v>128.NA</v>
      </c>
    </row>
    <row r="1736" spans="1:37" ht="15" hidden="1">
      <c r="A1736" s="120">
        <f>ROW()</f>
        <v>1736</v>
      </c>
      <c r="B1736" s="120"/>
      <c r="C1736" s="1"/>
      <c r="E1736" s="121"/>
      <c r="F1736" s="138"/>
      <c r="G1736" s="119"/>
      <c r="X1736" s="3"/>
      <c r="AD1736" s="119"/>
      <c r="AE1736" s="119"/>
      <c r="AF1736" s="119"/>
      <c r="AG1736" s="119"/>
      <c r="AI1736">
        <f t="shared" si="1048"/>
        <v>128</v>
      </c>
      <c r="AJ1736" t="str">
        <f t="shared" si="1041"/>
        <v>NA</v>
      </c>
      <c r="AK1736" t="str">
        <f>IF(ISERROR(MATCH(AI1736&amp;"."&amp;AJ1736,AK$91:AK1735,0)),AI1736&amp;"."&amp;AJ1736,AI1736&amp;"."&amp;AJ1736&amp;COUNTIFS(AI$91:AI1735,AI1736,AJ$91:AJ1735,AJ1736))</f>
        <v>128.NA1</v>
      </c>
    </row>
    <row r="1737" spans="1:37" ht="15" hidden="1">
      <c r="A1737" s="120">
        <f>ROW()</f>
        <v>1737</v>
      </c>
      <c r="B1737" s="120"/>
      <c r="C1737" s="1">
        <v>124</v>
      </c>
      <c r="D1737" s="2" t="s">
        <v>599</v>
      </c>
      <c r="E1737" s="121"/>
      <c r="F1737" s="138"/>
      <c r="G1737" s="119"/>
      <c r="X1737" s="3"/>
      <c r="AD1737" s="119"/>
      <c r="AE1737" s="119"/>
      <c r="AF1737" s="119"/>
      <c r="AG1737" s="119"/>
      <c r="AI1737">
        <f t="shared" si="1048"/>
        <v>124</v>
      </c>
      <c r="AJ1737" t="str">
        <f t="shared" si="1041"/>
        <v>NA</v>
      </c>
      <c r="AK1737" t="str">
        <f>IF(ISERROR(MATCH(AI1737&amp;"."&amp;AJ1737,AK$91:AK1736,0)),AI1737&amp;"."&amp;AJ1737,AI1737&amp;"."&amp;AJ1737&amp;COUNTIFS(AI$91:AI1736,AI1737,AJ$91:AJ1736,AJ1737))</f>
        <v>124.NA</v>
      </c>
    </row>
    <row r="1738" spans="1:37" ht="15" hidden="1">
      <c r="A1738" s="120">
        <f>ROW()</f>
        <v>1738</v>
      </c>
      <c r="B1738" s="120"/>
      <c r="C1738" s="1"/>
      <c r="E1738" s="121" t="s">
        <v>12</v>
      </c>
      <c r="F1738" s="138" t="str">
        <f>INDEX(FuncAllocOptions,ROW(A1738)-ROW($A$92)+1,[4]Inputs!$S$11)</f>
        <v>DMSC</v>
      </c>
      <c r="G1738" s="117" t="e">
        <f>SUMIF(FERCJAMFactor,AK1738,JAMValue)</f>
        <v>#VALUE!</v>
      </c>
      <c r="H1738" s="116" t="e">
        <f t="shared" ref="H1738:L1739" si="1073">INDEX(FuncFactorTbl,MATCH($F1738,FuncFactors,0),MATCH(H$8,Functions,0))*$G1738</f>
        <v>#VALUE!</v>
      </c>
      <c r="I1738" s="116" t="e">
        <f t="shared" si="1073"/>
        <v>#VALUE!</v>
      </c>
      <c r="J1738" s="116" t="e">
        <f t="shared" si="1073"/>
        <v>#VALUE!</v>
      </c>
      <c r="K1738" s="116" t="e">
        <f t="shared" si="1073"/>
        <v>#VALUE!</v>
      </c>
      <c r="L1738" s="116" t="e">
        <f t="shared" si="1073"/>
        <v>#VALUE!</v>
      </c>
      <c r="N1738" s="156">
        <v>0.5</v>
      </c>
      <c r="O1738" s="116" t="e">
        <f>$H1738*$N1738*$M1738</f>
        <v>#VALUE!</v>
      </c>
      <c r="P1738" s="116" t="e">
        <f>$H1738*(1-$N1738)*$M1738</f>
        <v>#VALUE!</v>
      </c>
      <c r="Q1738" s="116" t="e">
        <f>$H1738*$N1738*(1-$M1738)</f>
        <v>#VALUE!</v>
      </c>
      <c r="R1738" s="116" t="e">
        <f>$H1738*(1-$N1738)*(1-$M1738)</f>
        <v>#VALUE!</v>
      </c>
      <c r="S1738" s="156">
        <v>0.5</v>
      </c>
      <c r="T1738" s="116" t="e">
        <f>$I1738*$S1738*$M1738</f>
        <v>#VALUE!</v>
      </c>
      <c r="U1738" s="116" t="e">
        <f>$I1738*(1-$S1738)*$M1738</f>
        <v>#VALUE!</v>
      </c>
      <c r="V1738" s="116" t="e">
        <f>$I1738*$S1738*(1-$M1738)</f>
        <v>#VALUE!</v>
      </c>
      <c r="W1738" s="116" t="e">
        <f>$I1738*(1-$S1738)*(1-$M1738)</f>
        <v>#VALUE!</v>
      </c>
      <c r="X1738" s="3" t="str">
        <f>INDEX(DistFuncAllocOptions,ROW(A1738)-ROW($A$92)+1,[4]Inputs!$S$11)</f>
        <v>MISC</v>
      </c>
      <c r="Y1738" s="116" t="e">
        <f t="shared" ref="Y1738:AC1739" si="1074">INDEX(DistFuncFactorTbl,MATCH($X1738,DistFuncFactors,0),MATCH(Y$91,DistFunctions,0))*$J1738</f>
        <v>#VALUE!</v>
      </c>
      <c r="Z1738" s="116" t="e">
        <f t="shared" si="1074"/>
        <v>#VALUE!</v>
      </c>
      <c r="AA1738" s="116" t="e">
        <f t="shared" si="1074"/>
        <v>#VALUE!</v>
      </c>
      <c r="AB1738" s="116" t="e">
        <f t="shared" si="1074"/>
        <v>#VALUE!</v>
      </c>
      <c r="AC1738" s="116" t="e">
        <f t="shared" si="1074"/>
        <v>#VALUE!</v>
      </c>
      <c r="AD1738" s="117" t="e">
        <f>ROUND(SUM(-G1738,H1738:L1738),0)</f>
        <v>#VALUE!</v>
      </c>
      <c r="AE1738" s="117" t="e">
        <f>ROUND(H1738-O1738-P1738-Q1738-R1738,0)</f>
        <v>#VALUE!</v>
      </c>
      <c r="AF1738" s="117" t="e">
        <f>ROUND(I1738-T1738-U1738-V1738-W1738,0)</f>
        <v>#VALUE!</v>
      </c>
      <c r="AG1738" s="117" t="e">
        <f>ROUND(J1738-Y1738-Z1738-AA1738-AC1738-AB1738,0)</f>
        <v>#VALUE!</v>
      </c>
      <c r="AH1738" s="116"/>
      <c r="AI1738">
        <f t="shared" si="1048"/>
        <v>124</v>
      </c>
      <c r="AJ1738" t="str">
        <f t="shared" si="1041"/>
        <v>S</v>
      </c>
      <c r="AK1738" t="str">
        <f>IF(ISERROR(MATCH(AI1738&amp;"."&amp;AJ1738,AK$91:AK1737,0)),AI1738&amp;"."&amp;AJ1738,AI1738&amp;"."&amp;AJ1738&amp;COUNTIFS(AI$91:AI1737,AI1738,AJ$91:AJ1737,AJ1738))</f>
        <v>124.S</v>
      </c>
    </row>
    <row r="1739" spans="1:37" ht="15" hidden="1">
      <c r="A1739" s="120">
        <f>ROW()</f>
        <v>1739</v>
      </c>
      <c r="B1739" s="120"/>
      <c r="C1739" s="1"/>
      <c r="E1739" s="121" t="s">
        <v>136</v>
      </c>
      <c r="F1739" s="138" t="str">
        <f>INDEX(FuncAllocOptions,ROW(A1739)-ROW($A$92)+1,[4]Inputs!$S$11)</f>
        <v>DMSC</v>
      </c>
      <c r="G1739" s="133" t="e">
        <f>SUMIF(FERCJAMFactor,AK1739,JAMValue)</f>
        <v>#VALUE!</v>
      </c>
      <c r="H1739" s="139" t="e">
        <f t="shared" si="1073"/>
        <v>#VALUE!</v>
      </c>
      <c r="I1739" s="139" t="e">
        <f t="shared" si="1073"/>
        <v>#VALUE!</v>
      </c>
      <c r="J1739" s="139" t="e">
        <f t="shared" si="1073"/>
        <v>#VALUE!</v>
      </c>
      <c r="K1739" s="139" t="e">
        <f t="shared" si="1073"/>
        <v>#VALUE!</v>
      </c>
      <c r="L1739" s="139" t="e">
        <f t="shared" si="1073"/>
        <v>#VALUE!</v>
      </c>
      <c r="N1739" s="156">
        <v>0.5</v>
      </c>
      <c r="O1739" s="116" t="e">
        <f>$H1739*$N1739*$M1739</f>
        <v>#VALUE!</v>
      </c>
      <c r="P1739" s="116" t="e">
        <f>$H1739*(1-$N1739)*$M1739</f>
        <v>#VALUE!</v>
      </c>
      <c r="Q1739" s="116" t="e">
        <f>$H1739*$N1739*(1-$M1739)</f>
        <v>#VALUE!</v>
      </c>
      <c r="R1739" s="116" t="e">
        <f>$H1739*(1-$N1739)*(1-$M1739)</f>
        <v>#VALUE!</v>
      </c>
      <c r="S1739" s="156">
        <v>0.5</v>
      </c>
      <c r="T1739" s="116" t="e">
        <f>$I1739*$S1739*$M1739</f>
        <v>#VALUE!</v>
      </c>
      <c r="U1739" s="116" t="e">
        <f>$I1739*(1-$S1739)*$M1739</f>
        <v>#VALUE!</v>
      </c>
      <c r="V1739" s="116" t="e">
        <f>$I1739*$S1739*(1-$M1739)</f>
        <v>#VALUE!</v>
      </c>
      <c r="W1739" s="116" t="e">
        <f>$I1739*(1-$S1739)*(1-$M1739)</f>
        <v>#VALUE!</v>
      </c>
      <c r="X1739" s="3" t="str">
        <f>INDEX(DistFuncAllocOptions,ROW(A1739)-ROW($A$92)+1,[4]Inputs!$S$11)</f>
        <v>MISC</v>
      </c>
      <c r="Y1739" s="116" t="e">
        <f t="shared" si="1074"/>
        <v>#VALUE!</v>
      </c>
      <c r="Z1739" s="116" t="e">
        <f t="shared" si="1074"/>
        <v>#VALUE!</v>
      </c>
      <c r="AA1739" s="116" t="e">
        <f t="shared" si="1074"/>
        <v>#VALUE!</v>
      </c>
      <c r="AB1739" s="116" t="e">
        <f t="shared" si="1074"/>
        <v>#VALUE!</v>
      </c>
      <c r="AC1739" s="116" t="e">
        <f t="shared" si="1074"/>
        <v>#VALUE!</v>
      </c>
      <c r="AD1739" s="117" t="e">
        <f>ROUND(SUM(-G1739,H1739:L1739),0)</f>
        <v>#VALUE!</v>
      </c>
      <c r="AE1739" s="117" t="e">
        <f>ROUND(H1739-O1739-P1739-Q1739-R1739,0)</f>
        <v>#VALUE!</v>
      </c>
      <c r="AF1739" s="117" t="e">
        <f>ROUND(I1739-T1739-U1739-V1739-W1739,0)</f>
        <v>#VALUE!</v>
      </c>
      <c r="AG1739" s="117" t="e">
        <f>ROUND(J1739-Y1739-Z1739-AA1739-AC1739-AB1739,0)</f>
        <v>#VALUE!</v>
      </c>
      <c r="AH1739" s="116"/>
      <c r="AI1739">
        <f t="shared" si="1048"/>
        <v>124</v>
      </c>
      <c r="AJ1739" t="str">
        <f t="shared" si="1041"/>
        <v>SO</v>
      </c>
      <c r="AK1739" t="str">
        <f>IF(ISERROR(MATCH(AI1739&amp;"."&amp;AJ1739,AK$91:AK1738,0)),AI1739&amp;"."&amp;AJ1739,AI1739&amp;"."&amp;AJ1739&amp;COUNTIFS(AI$91:AI1738,AI1739,AJ$91:AJ1738,AJ1739))</f>
        <v>124.SO</v>
      </c>
    </row>
    <row r="1740" spans="1:37" ht="15" hidden="1">
      <c r="A1740" s="120">
        <f>ROW()</f>
        <v>1740</v>
      </c>
      <c r="B1740" s="120"/>
      <c r="C1740" s="1"/>
      <c r="E1740" s="121"/>
      <c r="F1740" s="138"/>
      <c r="G1740" s="117" t="e">
        <f t="shared" ref="G1740:L1740" si="1075">SUM(G1738:G1739)</f>
        <v>#VALUE!</v>
      </c>
      <c r="H1740" s="116" t="e">
        <f t="shared" si="1075"/>
        <v>#VALUE!</v>
      </c>
      <c r="I1740" s="116" t="e">
        <f t="shared" si="1075"/>
        <v>#VALUE!</v>
      </c>
      <c r="J1740" s="116" t="e">
        <f t="shared" si="1075"/>
        <v>#VALUE!</v>
      </c>
      <c r="K1740" s="116" t="e">
        <f t="shared" si="1075"/>
        <v>#VALUE!</v>
      </c>
      <c r="L1740" s="116" t="e">
        <f t="shared" si="1075"/>
        <v>#VALUE!</v>
      </c>
      <c r="N1740" s="156"/>
      <c r="O1740" s="116" t="e">
        <f>SUM(O1738:O1739)</f>
        <v>#VALUE!</v>
      </c>
      <c r="P1740" s="116" t="e">
        <f>SUM(P1738:P1739)</f>
        <v>#VALUE!</v>
      </c>
      <c r="Q1740" s="116" t="e">
        <f>SUM(Q1738:Q1739)</f>
        <v>#VALUE!</v>
      </c>
      <c r="R1740" s="116" t="e">
        <f>SUM(R1738:R1739)</f>
        <v>#VALUE!</v>
      </c>
      <c r="S1740" s="156"/>
      <c r="T1740" s="116" t="e">
        <f>SUM(T1738:T1739)</f>
        <v>#VALUE!</v>
      </c>
      <c r="U1740" s="116" t="e">
        <f>SUM(U1738:U1739)</f>
        <v>#VALUE!</v>
      </c>
      <c r="V1740" s="116" t="e">
        <f>SUM(V1738:V1739)</f>
        <v>#VALUE!</v>
      </c>
      <c r="W1740" s="116" t="e">
        <f>SUM(W1738:W1739)</f>
        <v>#VALUE!</v>
      </c>
      <c r="X1740" s="3"/>
      <c r="Y1740" s="116" t="e">
        <f>SUM(Y1738:Y1739)</f>
        <v>#VALUE!</v>
      </c>
      <c r="Z1740" s="116" t="e">
        <f>SUM(Z1738:Z1739)</f>
        <v>#VALUE!</v>
      </c>
      <c r="AA1740" s="116" t="e">
        <f>SUM(AA1738:AA1739)</f>
        <v>#VALUE!</v>
      </c>
      <c r="AB1740" s="116" t="e">
        <f>SUM(AB1738:AB1739)</f>
        <v>#VALUE!</v>
      </c>
      <c r="AC1740" s="116" t="e">
        <f>SUM(AC1738:AC1739)</f>
        <v>#VALUE!</v>
      </c>
      <c r="AD1740" s="117" t="e">
        <f>ROUND(SUM(-G1740,H1740:L1740),0)</f>
        <v>#VALUE!</v>
      </c>
      <c r="AE1740" s="117" t="e">
        <f>ROUND(H1740-O1740-P1740-Q1740-R1740,0)</f>
        <v>#VALUE!</v>
      </c>
      <c r="AF1740" s="117" t="e">
        <f>ROUND(I1740-T1740-U1740-V1740-W1740,0)</f>
        <v>#VALUE!</v>
      </c>
      <c r="AG1740" s="117" t="e">
        <f>ROUND(J1740-Y1740-Z1740-AA1740-AC1740-AB1740,0)</f>
        <v>#VALUE!</v>
      </c>
      <c r="AH1740" s="116"/>
      <c r="AI1740">
        <f t="shared" si="1048"/>
        <v>124</v>
      </c>
      <c r="AJ1740" t="str">
        <f t="shared" si="1041"/>
        <v>NA</v>
      </c>
      <c r="AK1740" t="str">
        <f>IF(ISERROR(MATCH(AI1740&amp;"."&amp;AJ1740,AK$91:AK1739,0)),AI1740&amp;"."&amp;AJ1740,AI1740&amp;"."&amp;AJ1740&amp;COUNTIFS(AI$91:AI1739,AI1740,AJ$91:AJ1739,AJ1740))</f>
        <v>124.NA1</v>
      </c>
    </row>
    <row r="1741" spans="1:37" ht="15" hidden="1">
      <c r="A1741" s="120">
        <f>ROW()</f>
        <v>1741</v>
      </c>
      <c r="B1741" s="120"/>
      <c r="C1741" s="1"/>
      <c r="E1741" s="121"/>
      <c r="F1741" s="138"/>
      <c r="G1741" s="119"/>
      <c r="N1741" s="156"/>
      <c r="S1741" s="156"/>
      <c r="X1741" s="3"/>
      <c r="AD1741" s="119"/>
      <c r="AE1741" s="119"/>
      <c r="AF1741" s="119"/>
      <c r="AG1741" s="119"/>
      <c r="AI1741">
        <f t="shared" si="1048"/>
        <v>124</v>
      </c>
      <c r="AJ1741" t="str">
        <f t="shared" si="1041"/>
        <v>NA</v>
      </c>
      <c r="AK1741" t="str">
        <f>IF(ISERROR(MATCH(AI1741&amp;"."&amp;AJ1741,AK$91:AK1740,0)),AI1741&amp;"."&amp;AJ1741,AI1741&amp;"."&amp;AJ1741&amp;COUNTIFS(AI$91:AI1740,AI1741,AJ$91:AJ1740,AJ1741))</f>
        <v>124.NA2</v>
      </c>
    </row>
    <row r="1742" spans="1:37" ht="15" hidden="1">
      <c r="A1742" s="120">
        <f>ROW()</f>
        <v>1742</v>
      </c>
      <c r="B1742" s="120"/>
      <c r="C1742" s="1" t="s">
        <v>218</v>
      </c>
      <c r="D1742" s="2" t="s">
        <v>599</v>
      </c>
      <c r="E1742" s="121"/>
      <c r="F1742" s="138"/>
      <c r="G1742" s="119"/>
      <c r="N1742" s="156"/>
      <c r="S1742" s="156"/>
      <c r="X1742" s="3"/>
      <c r="AD1742" s="119"/>
      <c r="AE1742" s="119"/>
      <c r="AF1742" s="119"/>
      <c r="AG1742" s="119"/>
      <c r="AI1742" t="str">
        <f t="shared" si="1048"/>
        <v>182W</v>
      </c>
      <c r="AJ1742" t="str">
        <f t="shared" si="1041"/>
        <v>NA</v>
      </c>
      <c r="AK1742" t="str">
        <f>IF(ISERROR(MATCH(AI1742&amp;"."&amp;AJ1742,AK$91:AK1741,0)),AI1742&amp;"."&amp;AJ1742,AI1742&amp;"."&amp;AJ1742&amp;COUNTIFS(AI$91:AI1741,AI1742,AJ$91:AJ1741,AJ1742))</f>
        <v>182W.NA</v>
      </c>
    </row>
    <row r="1743" spans="1:37" ht="15" hidden="1">
      <c r="A1743" s="120">
        <f>ROW()</f>
        <v>1743</v>
      </c>
      <c r="B1743" s="120"/>
      <c r="C1743" s="1"/>
      <c r="E1743" s="121" t="s">
        <v>12</v>
      </c>
      <c r="F1743" s="138" t="str">
        <f>INDEX(FuncAllocOptions,ROW(A1743)-ROW($A$92)+1,[4]Inputs!$S$11)</f>
        <v>DMSC</v>
      </c>
      <c r="G1743" s="117" t="e">
        <f>SUMIF(FERCJAMFactor,AK1743,JAMValue)</f>
        <v>#VALUE!</v>
      </c>
      <c r="H1743" s="116" t="e">
        <f t="shared" ref="H1743:L1746" si="1076">INDEX(FuncFactorTbl,MATCH($F1743,FuncFactors,0),MATCH(H$8,Functions,0))*$G1743</f>
        <v>#VALUE!</v>
      </c>
      <c r="I1743" s="116" t="e">
        <f t="shared" si="1076"/>
        <v>#VALUE!</v>
      </c>
      <c r="J1743" s="116" t="e">
        <f t="shared" si="1076"/>
        <v>#VALUE!</v>
      </c>
      <c r="K1743" s="116" t="e">
        <f t="shared" si="1076"/>
        <v>#VALUE!</v>
      </c>
      <c r="L1743" s="116" t="e">
        <f t="shared" si="1076"/>
        <v>#VALUE!</v>
      </c>
      <c r="N1743" s="156">
        <v>0.5</v>
      </c>
      <c r="O1743" s="116" t="e">
        <f>$H1743*$N1743*$M1743</f>
        <v>#VALUE!</v>
      </c>
      <c r="P1743" s="116" t="e">
        <f>$H1743*(1-$N1743)*$M1743</f>
        <v>#VALUE!</v>
      </c>
      <c r="Q1743" s="116" t="e">
        <f>$H1743*$N1743*(1-$M1743)</f>
        <v>#VALUE!</v>
      </c>
      <c r="R1743" s="116" t="e">
        <f>$H1743*(1-$N1743)*(1-$M1743)</f>
        <v>#VALUE!</v>
      </c>
      <c r="S1743" s="156">
        <v>0.5</v>
      </c>
      <c r="T1743" s="116" t="e">
        <f>$I1743*$S1743*$M1743</f>
        <v>#VALUE!</v>
      </c>
      <c r="U1743" s="116" t="e">
        <f>$I1743*(1-$S1743)*$M1743</f>
        <v>#VALUE!</v>
      </c>
      <c r="V1743" s="116" t="e">
        <f>$I1743*$S1743*(1-$M1743)</f>
        <v>#VALUE!</v>
      </c>
      <c r="W1743" s="116" t="e">
        <f>$I1743*(1-$S1743)*(1-$M1743)</f>
        <v>#VALUE!</v>
      </c>
      <c r="X1743" s="3" t="str">
        <f>INDEX(DistFuncAllocOptions,ROW(A1743)-ROW($A$92)+1,[4]Inputs!$S$11)</f>
        <v>MISC</v>
      </c>
      <c r="Y1743" s="116" t="e">
        <f t="shared" ref="Y1743:AC1746" si="1077">INDEX(DistFuncFactorTbl,MATCH($X1743,DistFuncFactors,0),MATCH(Y$91,DistFunctions,0))*$J1743</f>
        <v>#VALUE!</v>
      </c>
      <c r="Z1743" s="116" t="e">
        <f t="shared" si="1077"/>
        <v>#VALUE!</v>
      </c>
      <c r="AA1743" s="116" t="e">
        <f t="shared" si="1077"/>
        <v>#VALUE!</v>
      </c>
      <c r="AB1743" s="116" t="e">
        <f t="shared" si="1077"/>
        <v>#VALUE!</v>
      </c>
      <c r="AC1743" s="116" t="e">
        <f t="shared" si="1077"/>
        <v>#VALUE!</v>
      </c>
      <c r="AD1743" s="117" t="e">
        <f>ROUND(SUM(-G1743,H1743:L1743),0)</f>
        <v>#VALUE!</v>
      </c>
      <c r="AE1743" s="117" t="e">
        <f>ROUND(H1743-O1743-P1743-Q1743-R1743,0)</f>
        <v>#VALUE!</v>
      </c>
      <c r="AF1743" s="117" t="e">
        <f>ROUND(I1743-T1743-U1743-V1743-W1743,0)</f>
        <v>#VALUE!</v>
      </c>
      <c r="AG1743" s="117" t="e">
        <f>ROUND(J1743-Y1743-Z1743-AA1743-AC1743-AB1743,0)</f>
        <v>#VALUE!</v>
      </c>
      <c r="AH1743" s="116"/>
      <c r="AI1743" t="str">
        <f t="shared" si="1048"/>
        <v>182W</v>
      </c>
      <c r="AJ1743" t="str">
        <f t="shared" si="1041"/>
        <v>S</v>
      </c>
      <c r="AK1743" t="str">
        <f>IF(ISERROR(MATCH(AI1743&amp;"."&amp;AJ1743,AK$91:AK1742,0)),AI1743&amp;"."&amp;AJ1743,AI1743&amp;"."&amp;AJ1743&amp;COUNTIFS(AI$91:AI1742,AI1743,AJ$91:AJ1742,AJ1743))</f>
        <v>182W.S</v>
      </c>
    </row>
    <row r="1744" spans="1:37" ht="15" hidden="1">
      <c r="A1744" s="120">
        <f>ROW()</f>
        <v>1744</v>
      </c>
      <c r="B1744" s="120"/>
      <c r="C1744" s="1"/>
      <c r="E1744" s="121" t="s">
        <v>15</v>
      </c>
      <c r="F1744" s="138" t="str">
        <f>INDEX(FuncAllocOptions,ROW(A1744)-ROW($A$92)+1,[4]Inputs!$S$11)</f>
        <v>DMSC</v>
      </c>
      <c r="G1744" s="117" t="e">
        <f>SUMIF(FERCJAMFactor,AK1744,JAMValue)</f>
        <v>#VALUE!</v>
      </c>
      <c r="H1744" s="116" t="e">
        <f t="shared" si="1076"/>
        <v>#VALUE!</v>
      </c>
      <c r="I1744" s="116" t="e">
        <f t="shared" si="1076"/>
        <v>#VALUE!</v>
      </c>
      <c r="J1744" s="116" t="e">
        <f t="shared" si="1076"/>
        <v>#VALUE!</v>
      </c>
      <c r="K1744" s="116" t="e">
        <f t="shared" si="1076"/>
        <v>#VALUE!</v>
      </c>
      <c r="L1744" s="116" t="e">
        <f t="shared" si="1076"/>
        <v>#VALUE!</v>
      </c>
      <c r="N1744" s="156">
        <v>0.5</v>
      </c>
      <c r="O1744" s="116" t="e">
        <f>$H1744*$N1744*$M1744</f>
        <v>#VALUE!</v>
      </c>
      <c r="P1744" s="116" t="e">
        <f>$H1744*(1-$N1744)*$M1744</f>
        <v>#VALUE!</v>
      </c>
      <c r="Q1744" s="116" t="e">
        <f>$H1744*$N1744*(1-$M1744)</f>
        <v>#VALUE!</v>
      </c>
      <c r="R1744" s="116" t="e">
        <f>$H1744*(1-$N1744)*(1-$M1744)</f>
        <v>#VALUE!</v>
      </c>
      <c r="S1744" s="156">
        <v>0.5</v>
      </c>
      <c r="T1744" s="116" t="e">
        <f>$I1744*$S1744*$M1744</f>
        <v>#VALUE!</v>
      </c>
      <c r="U1744" s="116" t="e">
        <f>$I1744*(1-$S1744)*$M1744</f>
        <v>#VALUE!</v>
      </c>
      <c r="V1744" s="116" t="e">
        <f>$I1744*$S1744*(1-$M1744)</f>
        <v>#VALUE!</v>
      </c>
      <c r="W1744" s="116" t="e">
        <f>$I1744*(1-$S1744)*(1-$M1744)</f>
        <v>#VALUE!</v>
      </c>
      <c r="X1744" s="3" t="str">
        <f>INDEX(DistFuncAllocOptions,ROW(A1744)-ROW($A$92)+1,[4]Inputs!$S$11)</f>
        <v>MISC</v>
      </c>
      <c r="Y1744" s="116" t="e">
        <f t="shared" si="1077"/>
        <v>#VALUE!</v>
      </c>
      <c r="Z1744" s="116" t="e">
        <f t="shared" si="1077"/>
        <v>#VALUE!</v>
      </c>
      <c r="AA1744" s="116" t="e">
        <f t="shared" si="1077"/>
        <v>#VALUE!</v>
      </c>
      <c r="AB1744" s="116" t="e">
        <f t="shared" si="1077"/>
        <v>#VALUE!</v>
      </c>
      <c r="AC1744" s="116" t="e">
        <f t="shared" si="1077"/>
        <v>#VALUE!</v>
      </c>
      <c r="AD1744" s="117" t="e">
        <f>ROUND(SUM(-G1744,H1744:L1744),0)</f>
        <v>#VALUE!</v>
      </c>
      <c r="AE1744" s="117" t="e">
        <f>ROUND(H1744-O1744-P1744-Q1744-R1744,0)</f>
        <v>#VALUE!</v>
      </c>
      <c r="AF1744" s="117" t="e">
        <f>ROUND(I1744-T1744-U1744-V1744-W1744,0)</f>
        <v>#VALUE!</v>
      </c>
      <c r="AG1744" s="117" t="e">
        <f>ROUND(J1744-Y1744-Z1744-AA1744-AC1744-AB1744,0)</f>
        <v>#VALUE!</v>
      </c>
      <c r="AH1744" s="116"/>
      <c r="AI1744" t="str">
        <f t="shared" si="1048"/>
        <v>182W</v>
      </c>
      <c r="AJ1744" t="str">
        <f t="shared" si="1041"/>
        <v>SG</v>
      </c>
      <c r="AK1744" t="str">
        <f>IF(ISERROR(MATCH(AI1744&amp;"."&amp;AJ1744,AK$91:AK1743,0)),AI1744&amp;"."&amp;AJ1744,AI1744&amp;"."&amp;AJ1744&amp;COUNTIFS(AI$91:AI1743,AI1744,AJ$91:AJ1743,AJ1744))</f>
        <v>182W.SG</v>
      </c>
    </row>
    <row r="1745" spans="1:37" ht="15" hidden="1">
      <c r="A1745" s="120">
        <f>ROW()</f>
        <v>1745</v>
      </c>
      <c r="B1745" s="120"/>
      <c r="C1745" s="1"/>
      <c r="E1745" s="121" t="s">
        <v>283</v>
      </c>
      <c r="F1745" s="138" t="str">
        <f>INDEX(FuncAllocOptions,ROW(A1745)-ROW($A$92)+1,[4]Inputs!$S$11)</f>
        <v>DMSC</v>
      </c>
      <c r="G1745" s="117" t="e">
        <f>SUMIF(FERCJAMFactor,AK1745,JAMValue)</f>
        <v>#VALUE!</v>
      </c>
      <c r="H1745" s="116" t="e">
        <f t="shared" si="1076"/>
        <v>#VALUE!</v>
      </c>
      <c r="I1745" s="116" t="e">
        <f t="shared" si="1076"/>
        <v>#VALUE!</v>
      </c>
      <c r="J1745" s="116" t="e">
        <f t="shared" si="1076"/>
        <v>#VALUE!</v>
      </c>
      <c r="K1745" s="116" t="e">
        <f t="shared" si="1076"/>
        <v>#VALUE!</v>
      </c>
      <c r="L1745" s="116" t="e">
        <f t="shared" si="1076"/>
        <v>#VALUE!</v>
      </c>
      <c r="N1745" s="156">
        <v>0.5</v>
      </c>
      <c r="O1745" s="116" t="e">
        <f>$H1745*$N1745*$M1745</f>
        <v>#VALUE!</v>
      </c>
      <c r="P1745" s="116" t="e">
        <f>$H1745*(1-$N1745)*$M1745</f>
        <v>#VALUE!</v>
      </c>
      <c r="Q1745" s="116" t="e">
        <f>$H1745*$N1745*(1-$M1745)</f>
        <v>#VALUE!</v>
      </c>
      <c r="R1745" s="116" t="e">
        <f>$H1745*(1-$N1745)*(1-$M1745)</f>
        <v>#VALUE!</v>
      </c>
      <c r="S1745" s="156">
        <v>0.5</v>
      </c>
      <c r="T1745" s="116" t="e">
        <f>$I1745*$S1745*$M1745</f>
        <v>#VALUE!</v>
      </c>
      <c r="U1745" s="116" t="e">
        <f>$I1745*(1-$S1745)*$M1745</f>
        <v>#VALUE!</v>
      </c>
      <c r="V1745" s="116" t="e">
        <f>$I1745*$S1745*(1-$M1745)</f>
        <v>#VALUE!</v>
      </c>
      <c r="W1745" s="116" t="e">
        <f>$I1745*(1-$S1745)*(1-$M1745)</f>
        <v>#VALUE!</v>
      </c>
      <c r="X1745" s="3" t="str">
        <f>INDEX(DistFuncAllocOptions,ROW(A1745)-ROW($A$92)+1,[4]Inputs!$S$11)</f>
        <v>MISC</v>
      </c>
      <c r="Y1745" s="116" t="e">
        <f t="shared" si="1077"/>
        <v>#VALUE!</v>
      </c>
      <c r="Z1745" s="116" t="e">
        <f t="shared" si="1077"/>
        <v>#VALUE!</v>
      </c>
      <c r="AA1745" s="116" t="e">
        <f t="shared" si="1077"/>
        <v>#VALUE!</v>
      </c>
      <c r="AB1745" s="116" t="e">
        <f t="shared" si="1077"/>
        <v>#VALUE!</v>
      </c>
      <c r="AC1745" s="116" t="e">
        <f t="shared" si="1077"/>
        <v>#VALUE!</v>
      </c>
      <c r="AD1745" s="117" t="e">
        <f>ROUND(SUM(-G1745,H1745:L1745),0)</f>
        <v>#VALUE!</v>
      </c>
      <c r="AE1745" s="117" t="e">
        <f>ROUND(H1745-O1745-P1745-Q1745-R1745,0)</f>
        <v>#VALUE!</v>
      </c>
      <c r="AF1745" s="117" t="e">
        <f>ROUND(I1745-T1745-U1745-V1745-W1745,0)</f>
        <v>#VALUE!</v>
      </c>
      <c r="AG1745" s="117" t="e">
        <f>ROUND(J1745-Y1745-Z1745-AA1745-AC1745-AB1745,0)</f>
        <v>#VALUE!</v>
      </c>
      <c r="AH1745" s="116"/>
      <c r="AI1745" t="str">
        <f t="shared" si="1048"/>
        <v>182W</v>
      </c>
      <c r="AJ1745" t="str">
        <f t="shared" si="1041"/>
        <v>SGCT</v>
      </c>
      <c r="AK1745" t="str">
        <f>IF(ISERROR(MATCH(AI1745&amp;"."&amp;AJ1745,AK$91:AK1744,0)),AI1745&amp;"."&amp;AJ1745,AI1745&amp;"."&amp;AJ1745&amp;COUNTIFS(AI$91:AI1744,AI1745,AJ$91:AJ1744,AJ1745))</f>
        <v>182W.SGCT</v>
      </c>
    </row>
    <row r="1746" spans="1:37" ht="15" hidden="1">
      <c r="A1746" s="120">
        <f>ROW()</f>
        <v>1746</v>
      </c>
      <c r="B1746" s="120"/>
      <c r="C1746" s="1"/>
      <c r="E1746" s="121" t="s">
        <v>136</v>
      </c>
      <c r="F1746" s="138" t="str">
        <f>INDEX(FuncAllocOptions,ROW(A1746)-ROW($A$92)+1,[4]Inputs!$S$11)</f>
        <v>DMSC</v>
      </c>
      <c r="G1746" s="133" t="e">
        <f>SUMIF(FERCJAMFactor,AK1746,JAMValue)</f>
        <v>#VALUE!</v>
      </c>
      <c r="H1746" s="139" t="e">
        <f t="shared" si="1076"/>
        <v>#VALUE!</v>
      </c>
      <c r="I1746" s="139" t="e">
        <f t="shared" si="1076"/>
        <v>#VALUE!</v>
      </c>
      <c r="J1746" s="139" t="e">
        <f t="shared" si="1076"/>
        <v>#VALUE!</v>
      </c>
      <c r="K1746" s="139" t="e">
        <f t="shared" si="1076"/>
        <v>#VALUE!</v>
      </c>
      <c r="L1746" s="139" t="e">
        <f t="shared" si="1076"/>
        <v>#VALUE!</v>
      </c>
      <c r="N1746" s="156">
        <v>0.5</v>
      </c>
      <c r="O1746" s="116" t="e">
        <f>$H1746*$N1746*$M1746</f>
        <v>#VALUE!</v>
      </c>
      <c r="P1746" s="116" t="e">
        <f>$H1746*(1-$N1746)*$M1746</f>
        <v>#VALUE!</v>
      </c>
      <c r="Q1746" s="116" t="e">
        <f>$H1746*$N1746*(1-$M1746)</f>
        <v>#VALUE!</v>
      </c>
      <c r="R1746" s="116" t="e">
        <f>$H1746*(1-$N1746)*(1-$M1746)</f>
        <v>#VALUE!</v>
      </c>
      <c r="S1746" s="156">
        <v>0.5</v>
      </c>
      <c r="T1746" s="116" t="e">
        <f>$I1746*$S1746*$M1746</f>
        <v>#VALUE!</v>
      </c>
      <c r="U1746" s="116" t="e">
        <f>$I1746*(1-$S1746)*$M1746</f>
        <v>#VALUE!</v>
      </c>
      <c r="V1746" s="116" t="e">
        <f>$I1746*$S1746*(1-$M1746)</f>
        <v>#VALUE!</v>
      </c>
      <c r="W1746" s="116" t="e">
        <f>$I1746*(1-$S1746)*(1-$M1746)</f>
        <v>#VALUE!</v>
      </c>
      <c r="X1746" s="3" t="str">
        <f>INDEX(DistFuncAllocOptions,ROW(A1746)-ROW($A$92)+1,[4]Inputs!$S$11)</f>
        <v>MISC</v>
      </c>
      <c r="Y1746" s="116" t="e">
        <f t="shared" si="1077"/>
        <v>#VALUE!</v>
      </c>
      <c r="Z1746" s="116" t="e">
        <f t="shared" si="1077"/>
        <v>#VALUE!</v>
      </c>
      <c r="AA1746" s="116" t="e">
        <f t="shared" si="1077"/>
        <v>#VALUE!</v>
      </c>
      <c r="AB1746" s="116" t="e">
        <f t="shared" si="1077"/>
        <v>#VALUE!</v>
      </c>
      <c r="AC1746" s="116" t="e">
        <f t="shared" si="1077"/>
        <v>#VALUE!</v>
      </c>
      <c r="AD1746" s="117" t="e">
        <f>ROUND(SUM(-G1746,H1746:L1746),0)</f>
        <v>#VALUE!</v>
      </c>
      <c r="AE1746" s="117" t="e">
        <f>ROUND(H1746-O1746-P1746-Q1746-R1746,0)</f>
        <v>#VALUE!</v>
      </c>
      <c r="AF1746" s="117" t="e">
        <f>ROUND(I1746-T1746-U1746-V1746-W1746,0)</f>
        <v>#VALUE!</v>
      </c>
      <c r="AG1746" s="117" t="e">
        <f>ROUND(J1746-Y1746-Z1746-AA1746-AC1746-AB1746,0)</f>
        <v>#VALUE!</v>
      </c>
      <c r="AH1746" s="116"/>
      <c r="AI1746" t="str">
        <f t="shared" si="1048"/>
        <v>182W</v>
      </c>
      <c r="AJ1746" t="str">
        <f t="shared" si="1041"/>
        <v>SO</v>
      </c>
      <c r="AK1746" t="str">
        <f>IF(ISERROR(MATCH(AI1746&amp;"."&amp;AJ1746,AK$91:AK1745,0)),AI1746&amp;"."&amp;AJ1746,AI1746&amp;"."&amp;AJ1746&amp;COUNTIFS(AI$91:AI1745,AI1746,AJ$91:AJ1745,AJ1746))</f>
        <v>182W.SO</v>
      </c>
    </row>
    <row r="1747" spans="1:37" ht="15" hidden="1">
      <c r="A1747" s="120">
        <f>ROW()</f>
        <v>1747</v>
      </c>
      <c r="B1747" s="120"/>
      <c r="C1747" s="1"/>
      <c r="E1747" s="121"/>
      <c r="F1747" s="138"/>
      <c r="G1747" s="117" t="e">
        <f t="shared" ref="G1747:L1747" si="1078">SUM(G1743:G1746)</f>
        <v>#VALUE!</v>
      </c>
      <c r="H1747" s="116" t="e">
        <f t="shared" si="1078"/>
        <v>#VALUE!</v>
      </c>
      <c r="I1747" s="116" t="e">
        <f t="shared" si="1078"/>
        <v>#VALUE!</v>
      </c>
      <c r="J1747" s="116" t="e">
        <f t="shared" si="1078"/>
        <v>#VALUE!</v>
      </c>
      <c r="K1747" s="116" t="e">
        <f t="shared" si="1078"/>
        <v>#VALUE!</v>
      </c>
      <c r="L1747" s="116" t="e">
        <f t="shared" si="1078"/>
        <v>#VALUE!</v>
      </c>
      <c r="O1747" s="116" t="e">
        <f>SUM(O1743:O1746)</f>
        <v>#VALUE!</v>
      </c>
      <c r="P1747" s="116" t="e">
        <f>SUM(P1743:P1746)</f>
        <v>#VALUE!</v>
      </c>
      <c r="Q1747" s="116" t="e">
        <f>SUM(Q1743:Q1746)</f>
        <v>#VALUE!</v>
      </c>
      <c r="R1747" s="116" t="e">
        <f>SUM(R1743:R1746)</f>
        <v>#VALUE!</v>
      </c>
      <c r="T1747" s="116" t="e">
        <f>SUM(T1743:T1746)</f>
        <v>#VALUE!</v>
      </c>
      <c r="U1747" s="116" t="e">
        <f>SUM(U1743:U1746)</f>
        <v>#VALUE!</v>
      </c>
      <c r="V1747" s="116" t="e">
        <f>SUM(V1743:V1746)</f>
        <v>#VALUE!</v>
      </c>
      <c r="W1747" s="116" t="e">
        <f>SUM(W1743:W1746)</f>
        <v>#VALUE!</v>
      </c>
      <c r="X1747" s="3"/>
      <c r="Y1747" s="116" t="e">
        <f>SUM(Y1743:Y1746)</f>
        <v>#VALUE!</v>
      </c>
      <c r="Z1747" s="116" t="e">
        <f>SUM(Z1743:Z1746)</f>
        <v>#VALUE!</v>
      </c>
      <c r="AA1747" s="116" t="e">
        <f>SUM(AA1743:AA1746)</f>
        <v>#VALUE!</v>
      </c>
      <c r="AB1747" s="116" t="e">
        <f>SUM(AB1743:AB1746)</f>
        <v>#VALUE!</v>
      </c>
      <c r="AC1747" s="116" t="e">
        <f>SUM(AC1743:AC1746)</f>
        <v>#VALUE!</v>
      </c>
      <c r="AD1747" s="117" t="e">
        <f>ROUND(SUM(-G1747,H1747:L1747),0)</f>
        <v>#VALUE!</v>
      </c>
      <c r="AE1747" s="117" t="e">
        <f>ROUND(H1747-O1747-P1747-Q1747-R1747,0)</f>
        <v>#VALUE!</v>
      </c>
      <c r="AF1747" s="117" t="e">
        <f>ROUND(I1747-T1747-U1747-V1747-W1747,0)</f>
        <v>#VALUE!</v>
      </c>
      <c r="AG1747" s="117" t="e">
        <f>ROUND(J1747-Y1747-Z1747-AA1747-AC1747-AB1747,0)</f>
        <v>#VALUE!</v>
      </c>
      <c r="AH1747" s="116"/>
      <c r="AI1747" t="str">
        <f t="shared" si="1048"/>
        <v>182W</v>
      </c>
      <c r="AJ1747" t="str">
        <f t="shared" si="1041"/>
        <v>NA</v>
      </c>
      <c r="AK1747" t="str">
        <f>IF(ISERROR(MATCH(AI1747&amp;"."&amp;AJ1747,AK$91:AK1746,0)),AI1747&amp;"."&amp;AJ1747,AI1747&amp;"."&amp;AJ1747&amp;COUNTIFS(AI$91:AI1746,AI1747,AJ$91:AJ1746,AJ1747))</f>
        <v>182W.NA1</v>
      </c>
    </row>
    <row r="1748" spans="1:37" ht="15" hidden="1">
      <c r="A1748" s="120">
        <f>ROW()</f>
        <v>1748</v>
      </c>
      <c r="B1748" s="120"/>
      <c r="C1748" s="1"/>
      <c r="E1748" s="121"/>
      <c r="F1748" s="138"/>
      <c r="G1748" s="119"/>
      <c r="X1748" s="3"/>
      <c r="AD1748" s="119"/>
      <c r="AE1748" s="119"/>
      <c r="AF1748" s="119"/>
      <c r="AG1748" s="119"/>
      <c r="AI1748" t="str">
        <f t="shared" si="1048"/>
        <v>182W</v>
      </c>
      <c r="AJ1748" t="str">
        <f t="shared" si="1041"/>
        <v>NA</v>
      </c>
      <c r="AK1748" t="str">
        <f>IF(ISERROR(MATCH(AI1748&amp;"."&amp;AJ1748,AK$91:AK1747,0)),AI1748&amp;"."&amp;AJ1748,AI1748&amp;"."&amp;AJ1748&amp;COUNTIFS(AI$91:AI1747,AI1748,AJ$91:AJ1747,AJ1748))</f>
        <v>182W.NA2</v>
      </c>
    </row>
    <row r="1749" spans="1:37" ht="15" hidden="1">
      <c r="A1749" s="120">
        <f>ROW()</f>
        <v>1749</v>
      </c>
      <c r="B1749" s="120"/>
      <c r="C1749" s="1">
        <v>186</v>
      </c>
      <c r="D1749" s="2" t="s">
        <v>599</v>
      </c>
      <c r="E1749" s="121"/>
      <c r="F1749" s="138"/>
      <c r="G1749" s="119"/>
      <c r="X1749" s="3"/>
      <c r="AD1749" s="119"/>
      <c r="AE1749" s="119"/>
      <c r="AF1749" s="119"/>
      <c r="AG1749" s="119"/>
      <c r="AI1749">
        <f t="shared" si="1048"/>
        <v>186</v>
      </c>
      <c r="AJ1749" t="str">
        <f t="shared" si="1041"/>
        <v>NA</v>
      </c>
      <c r="AK1749" t="str">
        <f>IF(ISERROR(MATCH(AI1749&amp;"."&amp;AJ1749,AK$91:AK1748,0)),AI1749&amp;"."&amp;AJ1749,AI1749&amp;"."&amp;AJ1749&amp;COUNTIFS(AI$91:AI1748,AI1749,AJ$91:AJ1748,AJ1749))</f>
        <v>186.NA</v>
      </c>
    </row>
    <row r="1750" spans="1:37" ht="15" hidden="1">
      <c r="A1750" s="120">
        <f>ROW()</f>
        <v>1750</v>
      </c>
      <c r="B1750" s="120"/>
      <c r="C1750" s="1"/>
      <c r="E1750" s="121" t="s">
        <v>12</v>
      </c>
      <c r="F1750" s="138" t="str">
        <f>INDEX(FuncAllocOptions,ROW(A1750)-ROW($A$92)+1,[4]Inputs!$S$11)</f>
        <v>DMSC</v>
      </c>
      <c r="G1750" s="117" t="e">
        <f>SUMIF(FERCJAMFactor,AK1750,JAMValue)</f>
        <v>#VALUE!</v>
      </c>
      <c r="H1750" s="116" t="e">
        <f t="shared" ref="H1750:L1754" si="1079">INDEX(FuncFactorTbl,MATCH($F1750,FuncFactors,0),MATCH(H$8,Functions,0))*$G1750</f>
        <v>#VALUE!</v>
      </c>
      <c r="I1750" s="116" t="e">
        <f t="shared" si="1079"/>
        <v>#VALUE!</v>
      </c>
      <c r="J1750" s="116" t="e">
        <f t="shared" si="1079"/>
        <v>#VALUE!</v>
      </c>
      <c r="K1750" s="116" t="e">
        <f t="shared" si="1079"/>
        <v>#VALUE!</v>
      </c>
      <c r="L1750" s="116" t="e">
        <f t="shared" si="1079"/>
        <v>#VALUE!</v>
      </c>
      <c r="N1750" s="156">
        <v>0.5</v>
      </c>
      <c r="O1750" s="116" t="e">
        <f>$H1750*$N1750*$M1750</f>
        <v>#VALUE!</v>
      </c>
      <c r="P1750" s="116" t="e">
        <f>$H1750*(1-$N1750)*$M1750</f>
        <v>#VALUE!</v>
      </c>
      <c r="Q1750" s="116" t="e">
        <f>$H1750*$N1750*(1-$M1750)</f>
        <v>#VALUE!</v>
      </c>
      <c r="R1750" s="116" t="e">
        <f>$H1750*(1-$N1750)*(1-$M1750)</f>
        <v>#VALUE!</v>
      </c>
      <c r="S1750" s="156">
        <v>0.5</v>
      </c>
      <c r="T1750" s="116" t="e">
        <f>$I1750*$S1750*$M1750</f>
        <v>#VALUE!</v>
      </c>
      <c r="U1750" s="116" t="e">
        <f>$I1750*(1-$S1750)*$M1750</f>
        <v>#VALUE!</v>
      </c>
      <c r="V1750" s="116" t="e">
        <f>$I1750*$S1750*(1-$M1750)</f>
        <v>#VALUE!</v>
      </c>
      <c r="W1750" s="116" t="e">
        <f>$I1750*(1-$S1750)*(1-$M1750)</f>
        <v>#VALUE!</v>
      </c>
      <c r="X1750" s="3" t="str">
        <f>INDEX(DistFuncAllocOptions,ROW(A1750)-ROW($A$92)+1,[4]Inputs!$S$11)</f>
        <v>MISC</v>
      </c>
      <c r="Y1750" s="116" t="e">
        <f t="shared" ref="Y1750:AC1754" si="1080">INDEX(DistFuncFactorTbl,MATCH($X1750,DistFuncFactors,0),MATCH(Y$91,DistFunctions,0))*$J1750</f>
        <v>#VALUE!</v>
      </c>
      <c r="Z1750" s="116" t="e">
        <f t="shared" si="1080"/>
        <v>#VALUE!</v>
      </c>
      <c r="AA1750" s="116" t="e">
        <f t="shared" si="1080"/>
        <v>#VALUE!</v>
      </c>
      <c r="AB1750" s="116" t="e">
        <f t="shared" si="1080"/>
        <v>#VALUE!</v>
      </c>
      <c r="AC1750" s="116" t="e">
        <f t="shared" si="1080"/>
        <v>#VALUE!</v>
      </c>
      <c r="AD1750" s="117" t="e">
        <f t="shared" ref="AD1750:AD1755" si="1081">ROUND(SUM(-G1750,H1750:L1750),0)</f>
        <v>#VALUE!</v>
      </c>
      <c r="AE1750" s="117" t="e">
        <f t="shared" ref="AE1750:AE1755" si="1082">ROUND(H1750-O1750-P1750-Q1750-R1750,0)</f>
        <v>#VALUE!</v>
      </c>
      <c r="AF1750" s="117" t="e">
        <f t="shared" ref="AF1750:AF1755" si="1083">ROUND(I1750-T1750-U1750-V1750-W1750,0)</f>
        <v>#VALUE!</v>
      </c>
      <c r="AG1750" s="117" t="e">
        <f t="shared" ref="AG1750:AG1755" si="1084">ROUND(J1750-Y1750-Z1750-AA1750-AC1750-AB1750,0)</f>
        <v>#VALUE!</v>
      </c>
      <c r="AH1750" s="116"/>
      <c r="AI1750">
        <f t="shared" si="1048"/>
        <v>186</v>
      </c>
      <c r="AJ1750" t="str">
        <f t="shared" si="1041"/>
        <v>S</v>
      </c>
      <c r="AK1750" t="str">
        <f>IF(ISERROR(MATCH(AI1750&amp;"."&amp;AJ1750,AK$91:AK1749,0)),AI1750&amp;"."&amp;AJ1750,AI1750&amp;"."&amp;AJ1750&amp;COUNTIFS(AI$91:AI1749,AI1750,AJ$91:AJ1749,AJ1750))</f>
        <v>186.S</v>
      </c>
    </row>
    <row r="1751" spans="1:37" ht="15" hidden="1">
      <c r="A1751" s="120">
        <f>ROW()</f>
        <v>1751</v>
      </c>
      <c r="B1751" s="120"/>
      <c r="C1751" s="1"/>
      <c r="E1751" s="121" t="s">
        <v>155</v>
      </c>
      <c r="F1751" s="138" t="str">
        <f>INDEX(FuncAllocOptions,ROW(A1751)-ROW($A$92)+1,[4]Inputs!$S$11)</f>
        <v>CUST</v>
      </c>
      <c r="G1751" s="117" t="e">
        <f>SUMIF(FERCJAMFactor,AK1751,JAMValue)</f>
        <v>#VALUE!</v>
      </c>
      <c r="H1751" s="116" t="e">
        <f t="shared" si="1079"/>
        <v>#VALUE!</v>
      </c>
      <c r="I1751" s="116" t="e">
        <f t="shared" si="1079"/>
        <v>#VALUE!</v>
      </c>
      <c r="J1751" s="116" t="e">
        <f t="shared" si="1079"/>
        <v>#VALUE!</v>
      </c>
      <c r="K1751" s="116" t="e">
        <f t="shared" si="1079"/>
        <v>#VALUE!</v>
      </c>
      <c r="L1751" s="116" t="e">
        <f t="shared" si="1079"/>
        <v>#VALUE!</v>
      </c>
      <c r="N1751" s="156">
        <v>0.75</v>
      </c>
      <c r="O1751" s="116" t="e">
        <f>$H1751*$N1751*$M1751</f>
        <v>#VALUE!</v>
      </c>
      <c r="P1751" s="116" t="e">
        <f>$H1751*(1-$N1751)*$M1751</f>
        <v>#VALUE!</v>
      </c>
      <c r="Q1751" s="116" t="e">
        <f>$H1751*$N1751*(1-$M1751)</f>
        <v>#VALUE!</v>
      </c>
      <c r="R1751" s="116" t="e">
        <f>$H1751*(1-$N1751)*(1-$M1751)</f>
        <v>#VALUE!</v>
      </c>
      <c r="S1751" s="156">
        <v>0.75</v>
      </c>
      <c r="T1751" s="116" t="e">
        <f>$I1751*$S1751*$M1751</f>
        <v>#VALUE!</v>
      </c>
      <c r="U1751" s="116" t="e">
        <f>$I1751*(1-$S1751)*$M1751</f>
        <v>#VALUE!</v>
      </c>
      <c r="V1751" s="116" t="e">
        <f>$I1751*$S1751*(1-$M1751)</f>
        <v>#VALUE!</v>
      </c>
      <c r="W1751" s="116" t="e">
        <f>$I1751*(1-$S1751)*(1-$M1751)</f>
        <v>#VALUE!</v>
      </c>
      <c r="X1751" s="3" t="str">
        <f>INDEX(DistFuncAllocOptions,ROW(A1751)-ROW($A$92)+1,[4]Inputs!$S$11)</f>
        <v>CUST</v>
      </c>
      <c r="Y1751" s="116" t="e">
        <f t="shared" si="1080"/>
        <v>#VALUE!</v>
      </c>
      <c r="Z1751" s="116" t="e">
        <f t="shared" si="1080"/>
        <v>#VALUE!</v>
      </c>
      <c r="AA1751" s="116" t="e">
        <f t="shared" si="1080"/>
        <v>#VALUE!</v>
      </c>
      <c r="AB1751" s="116" t="e">
        <f t="shared" si="1080"/>
        <v>#VALUE!</v>
      </c>
      <c r="AC1751" s="116" t="e">
        <f t="shared" si="1080"/>
        <v>#VALUE!</v>
      </c>
      <c r="AD1751" s="117" t="e">
        <f t="shared" si="1081"/>
        <v>#VALUE!</v>
      </c>
      <c r="AE1751" s="117" t="e">
        <f t="shared" si="1082"/>
        <v>#VALUE!</v>
      </c>
      <c r="AF1751" s="117" t="e">
        <f t="shared" si="1083"/>
        <v>#VALUE!</v>
      </c>
      <c r="AG1751" s="117" t="e">
        <f t="shared" si="1084"/>
        <v>#VALUE!</v>
      </c>
      <c r="AH1751" s="116"/>
      <c r="AI1751">
        <f t="shared" si="1048"/>
        <v>186</v>
      </c>
      <c r="AJ1751" t="str">
        <f t="shared" si="1041"/>
        <v>CN</v>
      </c>
      <c r="AK1751" t="str">
        <f>IF(ISERROR(MATCH(AI1751&amp;"."&amp;AJ1751,AK$91:AK1750,0)),AI1751&amp;"."&amp;AJ1751,AI1751&amp;"."&amp;AJ1751&amp;COUNTIFS(AI$91:AI1750,AI1751,AJ$91:AJ1750,AJ1751))</f>
        <v>186.CN</v>
      </c>
    </row>
    <row r="1752" spans="1:37" ht="15" hidden="1">
      <c r="A1752" s="120">
        <f>ROW()</f>
        <v>1752</v>
      </c>
      <c r="B1752" s="120"/>
      <c r="C1752" s="1"/>
      <c r="E1752" s="121" t="s">
        <v>601</v>
      </c>
      <c r="F1752" s="138" t="str">
        <f>INDEX(FuncAllocOptions,ROW(A1752)-ROW($A$92)+1,[4]Inputs!$S$11)</f>
        <v>CUST</v>
      </c>
      <c r="G1752" s="117" t="e">
        <f>SUMIF(FERCJAMFactor,AK1752,JAMValue)</f>
        <v>#VALUE!</v>
      </c>
      <c r="H1752" s="116" t="e">
        <f t="shared" si="1079"/>
        <v>#VALUE!</v>
      </c>
      <c r="I1752" s="116" t="e">
        <f t="shared" si="1079"/>
        <v>#VALUE!</v>
      </c>
      <c r="J1752" s="116" t="e">
        <f t="shared" si="1079"/>
        <v>#VALUE!</v>
      </c>
      <c r="K1752" s="116" t="e">
        <f t="shared" si="1079"/>
        <v>#VALUE!</v>
      </c>
      <c r="L1752" s="116" t="e">
        <f t="shared" si="1079"/>
        <v>#VALUE!</v>
      </c>
      <c r="N1752" s="156">
        <v>0.75</v>
      </c>
      <c r="O1752" s="116" t="e">
        <f>$H1752*$N1752*$M1752</f>
        <v>#VALUE!</v>
      </c>
      <c r="P1752" s="116" t="e">
        <f>$H1752*(1-$N1752)*$M1752</f>
        <v>#VALUE!</v>
      </c>
      <c r="Q1752" s="116" t="e">
        <f>$H1752*$N1752*(1-$M1752)</f>
        <v>#VALUE!</v>
      </c>
      <c r="R1752" s="116" t="e">
        <f>$H1752*(1-$N1752)*(1-$M1752)</f>
        <v>#VALUE!</v>
      </c>
      <c r="S1752" s="156">
        <v>0.75</v>
      </c>
      <c r="T1752" s="116" t="e">
        <f>$I1752*$S1752*$M1752</f>
        <v>#VALUE!</v>
      </c>
      <c r="U1752" s="116" t="e">
        <f>$I1752*(1-$S1752)*$M1752</f>
        <v>#VALUE!</v>
      </c>
      <c r="V1752" s="116" t="e">
        <f>$I1752*$S1752*(1-$M1752)</f>
        <v>#VALUE!</v>
      </c>
      <c r="W1752" s="116" t="e">
        <f>$I1752*(1-$S1752)*(1-$M1752)</f>
        <v>#VALUE!</v>
      </c>
      <c r="X1752" s="3" t="str">
        <f>INDEX(DistFuncAllocOptions,ROW(A1752)-ROW($A$92)+1,[4]Inputs!$S$11)</f>
        <v>CUST</v>
      </c>
      <c r="Y1752" s="116" t="e">
        <f t="shared" si="1080"/>
        <v>#VALUE!</v>
      </c>
      <c r="Z1752" s="116" t="e">
        <f t="shared" si="1080"/>
        <v>#VALUE!</v>
      </c>
      <c r="AA1752" s="116" t="e">
        <f t="shared" si="1080"/>
        <v>#VALUE!</v>
      </c>
      <c r="AB1752" s="116" t="e">
        <f t="shared" si="1080"/>
        <v>#VALUE!</v>
      </c>
      <c r="AC1752" s="116" t="e">
        <f t="shared" si="1080"/>
        <v>#VALUE!</v>
      </c>
      <c r="AD1752" s="117" t="e">
        <f t="shared" si="1081"/>
        <v>#VALUE!</v>
      </c>
      <c r="AE1752" s="117" t="e">
        <f t="shared" si="1082"/>
        <v>#VALUE!</v>
      </c>
      <c r="AF1752" s="117" t="e">
        <f t="shared" si="1083"/>
        <v>#VALUE!</v>
      </c>
      <c r="AG1752" s="117" t="e">
        <f t="shared" si="1084"/>
        <v>#VALUE!</v>
      </c>
      <c r="AH1752" s="116"/>
      <c r="AI1752">
        <f t="shared" si="1048"/>
        <v>186</v>
      </c>
      <c r="AJ1752" t="str">
        <f t="shared" si="1041"/>
        <v>CNP</v>
      </c>
      <c r="AK1752" t="str">
        <f>IF(ISERROR(MATCH(AI1752&amp;"."&amp;AJ1752,AK$91:AK1751,0)),AI1752&amp;"."&amp;AJ1752,AI1752&amp;"."&amp;AJ1752&amp;COUNTIFS(AI$91:AI1751,AI1752,AJ$91:AJ1751,AJ1752))</f>
        <v>186.CNP</v>
      </c>
    </row>
    <row r="1753" spans="1:37" ht="15" hidden="1">
      <c r="A1753" s="120">
        <f>ROW()</f>
        <v>1753</v>
      </c>
      <c r="B1753" s="120"/>
      <c r="C1753" s="1"/>
      <c r="E1753" s="121" t="s">
        <v>15</v>
      </c>
      <c r="F1753" s="138" t="str">
        <f>INDEX(FuncAllocOptions,ROW(A1753)-ROW($A$92)+1,[4]Inputs!$S$11)</f>
        <v>DMSC</v>
      </c>
      <c r="G1753" s="117" t="e">
        <f>SUMIF(FERCJAMFactor,AK1753,JAMValue)</f>
        <v>#VALUE!</v>
      </c>
      <c r="H1753" s="116" t="e">
        <f t="shared" si="1079"/>
        <v>#VALUE!</v>
      </c>
      <c r="I1753" s="116" t="e">
        <f t="shared" si="1079"/>
        <v>#VALUE!</v>
      </c>
      <c r="J1753" s="116" t="e">
        <f t="shared" si="1079"/>
        <v>#VALUE!</v>
      </c>
      <c r="K1753" s="116" t="e">
        <f t="shared" si="1079"/>
        <v>#VALUE!</v>
      </c>
      <c r="L1753" s="116" t="e">
        <f t="shared" si="1079"/>
        <v>#VALUE!</v>
      </c>
      <c r="N1753" s="156">
        <v>0.5</v>
      </c>
      <c r="O1753" s="116" t="e">
        <f>$H1753*$N1753*$M1753</f>
        <v>#VALUE!</v>
      </c>
      <c r="P1753" s="116" t="e">
        <f>$H1753*(1-$N1753)*$M1753</f>
        <v>#VALUE!</v>
      </c>
      <c r="Q1753" s="116" t="e">
        <f>$H1753*$N1753*(1-$M1753)</f>
        <v>#VALUE!</v>
      </c>
      <c r="R1753" s="116" t="e">
        <f>$H1753*(1-$N1753)*(1-$M1753)</f>
        <v>#VALUE!</v>
      </c>
      <c r="S1753" s="156">
        <v>0.5</v>
      </c>
      <c r="T1753" s="116" t="e">
        <f>$I1753*$S1753*$M1753</f>
        <v>#VALUE!</v>
      </c>
      <c r="U1753" s="116" t="e">
        <f>$I1753*(1-$S1753)*$M1753</f>
        <v>#VALUE!</v>
      </c>
      <c r="V1753" s="116" t="e">
        <f>$I1753*$S1753*(1-$M1753)</f>
        <v>#VALUE!</v>
      </c>
      <c r="W1753" s="116" t="e">
        <f>$I1753*(1-$S1753)*(1-$M1753)</f>
        <v>#VALUE!</v>
      </c>
      <c r="X1753" s="3" t="str">
        <f>INDEX(DistFuncAllocOptions,ROW(A1753)-ROW($A$92)+1,[4]Inputs!$S$11)</f>
        <v>MISC</v>
      </c>
      <c r="Y1753" s="116" t="e">
        <f t="shared" si="1080"/>
        <v>#VALUE!</v>
      </c>
      <c r="Z1753" s="116" t="e">
        <f t="shared" si="1080"/>
        <v>#VALUE!</v>
      </c>
      <c r="AA1753" s="116" t="e">
        <f t="shared" si="1080"/>
        <v>#VALUE!</v>
      </c>
      <c r="AB1753" s="116" t="e">
        <f t="shared" si="1080"/>
        <v>#VALUE!</v>
      </c>
      <c r="AC1753" s="116" t="e">
        <f t="shared" si="1080"/>
        <v>#VALUE!</v>
      </c>
      <c r="AD1753" s="117" t="e">
        <f t="shared" si="1081"/>
        <v>#VALUE!</v>
      </c>
      <c r="AE1753" s="117" t="e">
        <f t="shared" si="1082"/>
        <v>#VALUE!</v>
      </c>
      <c r="AF1753" s="117" t="e">
        <f t="shared" si="1083"/>
        <v>#VALUE!</v>
      </c>
      <c r="AG1753" s="117" t="e">
        <f t="shared" si="1084"/>
        <v>#VALUE!</v>
      </c>
      <c r="AH1753" s="116"/>
      <c r="AI1753">
        <f t="shared" si="1048"/>
        <v>186</v>
      </c>
      <c r="AJ1753" t="str">
        <f t="shared" si="1041"/>
        <v>SG</v>
      </c>
      <c r="AK1753" t="str">
        <f>IF(ISERROR(MATCH(AI1753&amp;"."&amp;AJ1753,AK$91:AK1752,0)),AI1753&amp;"."&amp;AJ1753,AI1753&amp;"."&amp;AJ1753&amp;COUNTIFS(AI$91:AI1752,AI1753,AJ$91:AJ1752,AJ1753))</f>
        <v>186.SG</v>
      </c>
    </row>
    <row r="1754" spans="1:37" ht="15" hidden="1">
      <c r="A1754" s="120">
        <f>ROW()</f>
        <v>1754</v>
      </c>
      <c r="B1754" s="120"/>
      <c r="C1754" s="1"/>
      <c r="E1754" s="121" t="s">
        <v>136</v>
      </c>
      <c r="F1754" s="138" t="str">
        <f>INDEX(FuncAllocOptions,ROW(A1754)-ROW($A$92)+1,[4]Inputs!$S$11)</f>
        <v>DMSC</v>
      </c>
      <c r="G1754" s="133" t="e">
        <f>SUMIF(FERCJAMFactor,AK1754,JAMValue)</f>
        <v>#VALUE!</v>
      </c>
      <c r="H1754" s="139" t="e">
        <f t="shared" si="1079"/>
        <v>#VALUE!</v>
      </c>
      <c r="I1754" s="139" t="e">
        <f t="shared" si="1079"/>
        <v>#VALUE!</v>
      </c>
      <c r="J1754" s="139" t="e">
        <f t="shared" si="1079"/>
        <v>#VALUE!</v>
      </c>
      <c r="K1754" s="139" t="e">
        <f t="shared" si="1079"/>
        <v>#VALUE!</v>
      </c>
      <c r="L1754" s="139" t="e">
        <f t="shared" si="1079"/>
        <v>#VALUE!</v>
      </c>
      <c r="N1754" s="156">
        <v>0.5</v>
      </c>
      <c r="O1754" s="116" t="e">
        <f>$H1754*$N1754*$M1754</f>
        <v>#VALUE!</v>
      </c>
      <c r="P1754" s="116" t="e">
        <f>$H1754*(1-$N1754)*$M1754</f>
        <v>#VALUE!</v>
      </c>
      <c r="Q1754" s="116" t="e">
        <f>$H1754*$N1754*(1-$M1754)</f>
        <v>#VALUE!</v>
      </c>
      <c r="R1754" s="116" t="e">
        <f>$H1754*(1-$N1754)*(1-$M1754)</f>
        <v>#VALUE!</v>
      </c>
      <c r="S1754" s="156">
        <v>0.5</v>
      </c>
      <c r="T1754" s="116" t="e">
        <f>$I1754*$S1754*$M1754</f>
        <v>#VALUE!</v>
      </c>
      <c r="U1754" s="116" t="e">
        <f>$I1754*(1-$S1754)*$M1754</f>
        <v>#VALUE!</v>
      </c>
      <c r="V1754" s="116" t="e">
        <f>$I1754*$S1754*(1-$M1754)</f>
        <v>#VALUE!</v>
      </c>
      <c r="W1754" s="116" t="e">
        <f>$I1754*(1-$S1754)*(1-$M1754)</f>
        <v>#VALUE!</v>
      </c>
      <c r="X1754" s="3" t="str">
        <f>INDEX(DistFuncAllocOptions,ROW(A1754)-ROW($A$92)+1,[4]Inputs!$S$11)</f>
        <v>MISC</v>
      </c>
      <c r="Y1754" s="116" t="e">
        <f t="shared" si="1080"/>
        <v>#VALUE!</v>
      </c>
      <c r="Z1754" s="116" t="e">
        <f t="shared" si="1080"/>
        <v>#VALUE!</v>
      </c>
      <c r="AA1754" s="116" t="e">
        <f t="shared" si="1080"/>
        <v>#VALUE!</v>
      </c>
      <c r="AB1754" s="116" t="e">
        <f t="shared" si="1080"/>
        <v>#VALUE!</v>
      </c>
      <c r="AC1754" s="116" t="e">
        <f t="shared" si="1080"/>
        <v>#VALUE!</v>
      </c>
      <c r="AD1754" s="117" t="e">
        <f t="shared" si="1081"/>
        <v>#VALUE!</v>
      </c>
      <c r="AE1754" s="117" t="e">
        <f t="shared" si="1082"/>
        <v>#VALUE!</v>
      </c>
      <c r="AF1754" s="117" t="e">
        <f t="shared" si="1083"/>
        <v>#VALUE!</v>
      </c>
      <c r="AG1754" s="117" t="e">
        <f t="shared" si="1084"/>
        <v>#VALUE!</v>
      </c>
      <c r="AH1754" s="116"/>
      <c r="AI1754">
        <f t="shared" si="1048"/>
        <v>186</v>
      </c>
      <c r="AJ1754" t="str">
        <f t="shared" si="1041"/>
        <v>SO</v>
      </c>
      <c r="AK1754" t="str">
        <f>IF(ISERROR(MATCH(AI1754&amp;"."&amp;AJ1754,AK$91:AK1753,0)),AI1754&amp;"."&amp;AJ1754,AI1754&amp;"."&amp;AJ1754&amp;COUNTIFS(AI$91:AI1753,AI1754,AJ$91:AJ1753,AJ1754))</f>
        <v>186.SO</v>
      </c>
    </row>
    <row r="1755" spans="1:37" ht="15" hidden="1">
      <c r="A1755" s="120">
        <f>ROW()</f>
        <v>1755</v>
      </c>
      <c r="B1755" s="120"/>
      <c r="C1755" s="1"/>
      <c r="E1755" s="121"/>
      <c r="F1755" s="138"/>
      <c r="G1755" s="117" t="e">
        <f t="shared" ref="G1755:L1755" si="1085">SUM(G1750:G1754)</f>
        <v>#VALUE!</v>
      </c>
      <c r="H1755" s="116" t="e">
        <f t="shared" si="1085"/>
        <v>#VALUE!</v>
      </c>
      <c r="I1755" s="116" t="e">
        <f t="shared" si="1085"/>
        <v>#VALUE!</v>
      </c>
      <c r="J1755" s="116" t="e">
        <f t="shared" si="1085"/>
        <v>#VALUE!</v>
      </c>
      <c r="K1755" s="116" t="e">
        <f t="shared" si="1085"/>
        <v>#VALUE!</v>
      </c>
      <c r="L1755" s="116" t="e">
        <f t="shared" si="1085"/>
        <v>#VALUE!</v>
      </c>
      <c r="O1755" s="116" t="e">
        <f>SUM(O1750:O1754)</f>
        <v>#VALUE!</v>
      </c>
      <c r="P1755" s="116" t="e">
        <f>SUM(P1750:P1754)</f>
        <v>#VALUE!</v>
      </c>
      <c r="Q1755" s="116" t="e">
        <f>SUM(Q1750:Q1754)</f>
        <v>#VALUE!</v>
      </c>
      <c r="R1755" s="116" t="e">
        <f>SUM(R1750:R1754)</f>
        <v>#VALUE!</v>
      </c>
      <c r="T1755" s="116" t="e">
        <f>SUM(T1750:T1754)</f>
        <v>#VALUE!</v>
      </c>
      <c r="U1755" s="116" t="e">
        <f>SUM(U1750:U1754)</f>
        <v>#VALUE!</v>
      </c>
      <c r="V1755" s="116" t="e">
        <f>SUM(V1750:V1754)</f>
        <v>#VALUE!</v>
      </c>
      <c r="W1755" s="116" t="e">
        <f>SUM(W1750:W1754)</f>
        <v>#VALUE!</v>
      </c>
      <c r="X1755" s="3"/>
      <c r="Y1755" s="116" t="e">
        <f>SUM(Y1750:Y1754)</f>
        <v>#VALUE!</v>
      </c>
      <c r="Z1755" s="116" t="e">
        <f>SUM(Z1750:Z1754)</f>
        <v>#VALUE!</v>
      </c>
      <c r="AA1755" s="116" t="e">
        <f>SUM(AA1750:AA1754)</f>
        <v>#VALUE!</v>
      </c>
      <c r="AB1755" s="116" t="e">
        <f>SUM(AB1750:AB1754)</f>
        <v>#VALUE!</v>
      </c>
      <c r="AC1755" s="116" t="e">
        <f>SUM(AC1750:AC1754)</f>
        <v>#VALUE!</v>
      </c>
      <c r="AD1755" s="117" t="e">
        <f t="shared" si="1081"/>
        <v>#VALUE!</v>
      </c>
      <c r="AE1755" s="117" t="e">
        <f t="shared" si="1082"/>
        <v>#VALUE!</v>
      </c>
      <c r="AF1755" s="117" t="e">
        <f t="shared" si="1083"/>
        <v>#VALUE!</v>
      </c>
      <c r="AG1755" s="117" t="e">
        <f t="shared" si="1084"/>
        <v>#VALUE!</v>
      </c>
      <c r="AH1755" s="116"/>
      <c r="AI1755">
        <f t="shared" si="1048"/>
        <v>186</v>
      </c>
      <c r="AJ1755" t="str">
        <f t="shared" si="1041"/>
        <v>NA</v>
      </c>
      <c r="AK1755" t="str">
        <f>IF(ISERROR(MATCH(AI1755&amp;"."&amp;AJ1755,AK$91:AK1754,0)),AI1755&amp;"."&amp;AJ1755,AI1755&amp;"."&amp;AJ1755&amp;COUNTIFS(AI$91:AI1754,AI1755,AJ$91:AJ1754,AJ1755))</f>
        <v>186.NA1</v>
      </c>
    </row>
    <row r="1756" spans="1:37" ht="15" hidden="1">
      <c r="A1756" s="120">
        <f>ROW()</f>
        <v>1756</v>
      </c>
      <c r="B1756" s="120"/>
      <c r="C1756" s="1"/>
      <c r="E1756" s="121"/>
      <c r="F1756" s="138"/>
      <c r="G1756" s="119"/>
      <c r="X1756" s="3"/>
      <c r="AD1756" s="119"/>
      <c r="AE1756" s="119"/>
      <c r="AF1756" s="119"/>
      <c r="AG1756" s="119"/>
      <c r="AI1756">
        <f t="shared" si="1048"/>
        <v>186</v>
      </c>
      <c r="AJ1756" t="str">
        <f t="shared" si="1041"/>
        <v>NA</v>
      </c>
      <c r="AK1756" t="str">
        <f>IF(ISERROR(MATCH(AI1756&amp;"."&amp;AJ1756,AK$91:AK1755,0)),AI1756&amp;"."&amp;AJ1756,AI1756&amp;"."&amp;AJ1756&amp;COUNTIFS(AI$91:AI1755,AI1756,AJ$91:AJ1755,AJ1756))</f>
        <v>186.NA2</v>
      </c>
    </row>
    <row r="1757" spans="1:37" ht="15.75" hidden="1" thickBot="1">
      <c r="A1757" s="120">
        <f>ROW()</f>
        <v>1757</v>
      </c>
      <c r="B1757" s="120"/>
      <c r="C1757" s="1"/>
      <c r="D1757" s="2" t="s">
        <v>602</v>
      </c>
      <c r="E1757" s="121"/>
      <c r="F1757" s="138"/>
      <c r="G1757" s="155" t="e">
        <f t="shared" ref="G1757:L1757" si="1086">G1740+G1747+G1755</f>
        <v>#VALUE!</v>
      </c>
      <c r="H1757" s="154" t="e">
        <f t="shared" si="1086"/>
        <v>#VALUE!</v>
      </c>
      <c r="I1757" s="154" t="e">
        <f t="shared" si="1086"/>
        <v>#VALUE!</v>
      </c>
      <c r="J1757" s="154" t="e">
        <f t="shared" si="1086"/>
        <v>#VALUE!</v>
      </c>
      <c r="K1757" s="154" t="e">
        <f t="shared" si="1086"/>
        <v>#VALUE!</v>
      </c>
      <c r="L1757" s="154" t="e">
        <f t="shared" si="1086"/>
        <v>#VALUE!</v>
      </c>
      <c r="N1757" s="116"/>
      <c r="O1757" s="116" t="e">
        <f>O1740+O1747+O1755</f>
        <v>#VALUE!</v>
      </c>
      <c r="P1757" s="116" t="e">
        <f>P1740+P1747+P1755</f>
        <v>#VALUE!</v>
      </c>
      <c r="Q1757" s="116" t="e">
        <f>Q1740+Q1747+Q1755</f>
        <v>#VALUE!</v>
      </c>
      <c r="R1757" s="116" t="e">
        <f>R1740+R1747+R1755</f>
        <v>#VALUE!</v>
      </c>
      <c r="S1757" s="116"/>
      <c r="T1757" s="116" t="e">
        <f>T1740+T1747+T1755</f>
        <v>#VALUE!</v>
      </c>
      <c r="U1757" s="116" t="e">
        <f>U1740+U1747+U1755</f>
        <v>#VALUE!</v>
      </c>
      <c r="V1757" s="116" t="e">
        <f>V1740+V1747+V1755</f>
        <v>#VALUE!</v>
      </c>
      <c r="W1757" s="116" t="e">
        <f>W1740+W1747+W1755</f>
        <v>#VALUE!</v>
      </c>
      <c r="X1757" s="3"/>
      <c r="Y1757" s="116" t="e">
        <f>Y1740+Y1747+Y1755</f>
        <v>#VALUE!</v>
      </c>
      <c r="Z1757" s="116" t="e">
        <f>Z1740+Z1747+Z1755</f>
        <v>#VALUE!</v>
      </c>
      <c r="AA1757" s="116" t="e">
        <f>AA1740+AA1747+AA1755</f>
        <v>#VALUE!</v>
      </c>
      <c r="AB1757" s="116" t="e">
        <f>AB1740+AB1747+AB1755</f>
        <v>#VALUE!</v>
      </c>
      <c r="AC1757" s="116" t="e">
        <f>AC1740+AC1747+AC1755</f>
        <v>#VALUE!</v>
      </c>
      <c r="AD1757" s="117" t="e">
        <f>ROUND(SUM(-G1757,H1757:L1757),0)</f>
        <v>#VALUE!</v>
      </c>
      <c r="AE1757" s="117" t="e">
        <f>ROUND(H1757-O1757-P1757-Q1757-R1757,0)</f>
        <v>#VALUE!</v>
      </c>
      <c r="AF1757" s="117" t="e">
        <f>ROUND(I1757-T1757-U1757-V1757-W1757,0)</f>
        <v>#VALUE!</v>
      </c>
      <c r="AG1757" s="117" t="e">
        <f>ROUND(J1757-Y1757-Z1757-AA1757-AC1757-AB1757,0)</f>
        <v>#VALUE!</v>
      </c>
      <c r="AH1757" s="116"/>
      <c r="AI1757">
        <f t="shared" si="1048"/>
        <v>186</v>
      </c>
      <c r="AJ1757" t="str">
        <f t="shared" ref="AJ1757:AJ1820" si="1087">IF(E1757="","NA",E1757)</f>
        <v>NA</v>
      </c>
      <c r="AK1757" t="str">
        <f>IF(ISERROR(MATCH(AI1757&amp;"."&amp;AJ1757,AK$91:AK1756,0)),AI1757&amp;"."&amp;AJ1757,AI1757&amp;"."&amp;AJ1757&amp;COUNTIFS(AI$91:AI1756,AI1757,AJ$91:AJ1756,AJ1757))</f>
        <v>186.NA3</v>
      </c>
    </row>
    <row r="1758" spans="1:37" ht="15" hidden="1">
      <c r="A1758" s="120">
        <f>ROW()</f>
        <v>1758</v>
      </c>
      <c r="B1758" s="120"/>
      <c r="C1758" s="1"/>
      <c r="E1758" s="121"/>
      <c r="F1758" s="138"/>
      <c r="G1758" s="119"/>
      <c r="X1758" s="3"/>
      <c r="AD1758" s="119"/>
      <c r="AE1758" s="119"/>
      <c r="AF1758" s="119"/>
      <c r="AG1758" s="119"/>
      <c r="AI1758">
        <f t="shared" si="1048"/>
        <v>186</v>
      </c>
      <c r="AJ1758" t="str">
        <f t="shared" si="1087"/>
        <v>NA</v>
      </c>
      <c r="AK1758" t="str">
        <f>IF(ISERROR(MATCH(AI1758&amp;"."&amp;AJ1758,AK$91:AK1757,0)),AI1758&amp;"."&amp;AJ1758,AI1758&amp;"."&amp;AJ1758&amp;COUNTIFS(AI$91:AI1757,AI1758,AJ$91:AJ1757,AJ1758))</f>
        <v>186.NA4</v>
      </c>
    </row>
    <row r="1759" spans="1:37" ht="15" hidden="1">
      <c r="A1759" s="120">
        <f>ROW()</f>
        <v>1759</v>
      </c>
      <c r="B1759" s="120"/>
      <c r="C1759" s="1">
        <v>151</v>
      </c>
      <c r="D1759" s="2" t="s">
        <v>603</v>
      </c>
      <c r="E1759" s="121"/>
      <c r="F1759" s="138"/>
      <c r="G1759" s="119"/>
      <c r="X1759" s="3"/>
      <c r="AD1759" s="119"/>
      <c r="AE1759" s="119"/>
      <c r="AF1759" s="119"/>
      <c r="AG1759" s="119"/>
      <c r="AI1759">
        <f t="shared" si="1048"/>
        <v>151</v>
      </c>
      <c r="AJ1759" t="str">
        <f t="shared" si="1087"/>
        <v>NA</v>
      </c>
      <c r="AK1759" t="str">
        <f>IF(ISERROR(MATCH(AI1759&amp;"."&amp;AJ1759,AK$91:AK1758,0)),AI1759&amp;"."&amp;AJ1759,AI1759&amp;"."&amp;AJ1759&amp;COUNTIFS(AI$91:AI1758,AI1759,AJ$91:AJ1758,AJ1759))</f>
        <v>151.NA</v>
      </c>
    </row>
    <row r="1760" spans="1:37" ht="15" hidden="1">
      <c r="A1760" s="120">
        <f>ROW()</f>
        <v>1760</v>
      </c>
      <c r="B1760" s="120"/>
      <c r="C1760" s="1"/>
      <c r="E1760" s="121" t="s">
        <v>16</v>
      </c>
      <c r="F1760" s="138" t="str">
        <f>INDEX(FuncAllocOptions,ROW(A1760)-ROW($A$92)+1,[4]Inputs!$S$11)</f>
        <v>P</v>
      </c>
      <c r="G1760" s="117" t="e">
        <f>SUMIF(FERCJAMFactor,AK1760,JAMValue)</f>
        <v>#VALUE!</v>
      </c>
      <c r="H1760" s="116" t="e">
        <f t="shared" ref="H1760:L1762" si="1088">INDEX(FuncFactorTbl,MATCH($F1760,FuncFactors,0),MATCH(H$8,Functions,0))*$G1760</f>
        <v>#VALUE!</v>
      </c>
      <c r="I1760" s="116" t="e">
        <f t="shared" si="1088"/>
        <v>#VALUE!</v>
      </c>
      <c r="J1760" s="116" t="e">
        <f t="shared" si="1088"/>
        <v>#VALUE!</v>
      </c>
      <c r="K1760" s="116" t="e">
        <f t="shared" si="1088"/>
        <v>#VALUE!</v>
      </c>
      <c r="L1760" s="116" t="e">
        <f t="shared" si="1088"/>
        <v>#VALUE!</v>
      </c>
      <c r="N1760" s="108">
        <v>0</v>
      </c>
      <c r="O1760" s="116" t="e">
        <f>$H1760*$N1760*$M1760</f>
        <v>#VALUE!</v>
      </c>
      <c r="P1760" s="116" t="e">
        <f>$H1760*(1-$N1760)*$M1760</f>
        <v>#VALUE!</v>
      </c>
      <c r="Q1760" s="116" t="e">
        <f>$H1760*$N1760*(1-$M1760)</f>
        <v>#VALUE!</v>
      </c>
      <c r="R1760" s="116" t="e">
        <f>$H1760*(1-$N1760)*(1-$M1760)</f>
        <v>#VALUE!</v>
      </c>
      <c r="S1760" s="108">
        <v>0</v>
      </c>
      <c r="T1760" s="116" t="e">
        <f>$I1760*$S1760*$M1760</f>
        <v>#VALUE!</v>
      </c>
      <c r="U1760" s="116" t="e">
        <f>$I1760*(1-$S1760)*$M1760</f>
        <v>#VALUE!</v>
      </c>
      <c r="V1760" s="116" t="e">
        <f>$I1760*$S1760*(1-$M1760)</f>
        <v>#VALUE!</v>
      </c>
      <c r="W1760" s="116" t="e">
        <f>$I1760*(1-$S1760)*(1-$M1760)</f>
        <v>#VALUE!</v>
      </c>
      <c r="X1760" s="3" t="str">
        <f>INDEX(DistFuncAllocOptions,ROW(A1760)-ROW($A$92)+1,[4]Inputs!$S$11)</f>
        <v>PLNT</v>
      </c>
      <c r="Y1760" s="116" t="e">
        <f t="shared" ref="Y1760:AC1762" si="1089">INDEX(DistFuncFactorTbl,MATCH($X1760,DistFuncFactors,0),MATCH(Y$91,DistFunctions,0))*$J1760</f>
        <v>#VALUE!</v>
      </c>
      <c r="Z1760" s="116" t="e">
        <f t="shared" si="1089"/>
        <v>#VALUE!</v>
      </c>
      <c r="AA1760" s="116" t="e">
        <f t="shared" si="1089"/>
        <v>#VALUE!</v>
      </c>
      <c r="AB1760" s="116" t="e">
        <f t="shared" si="1089"/>
        <v>#VALUE!</v>
      </c>
      <c r="AC1760" s="116" t="e">
        <f t="shared" si="1089"/>
        <v>#VALUE!</v>
      </c>
      <c r="AD1760" s="117" t="e">
        <f>ROUND(SUM(-G1760,H1760:L1760),0)</f>
        <v>#VALUE!</v>
      </c>
      <c r="AE1760" s="117" t="e">
        <f>ROUND(H1760-O1760-P1760-Q1760-R1760,0)</f>
        <v>#VALUE!</v>
      </c>
      <c r="AF1760" s="117" t="e">
        <f>ROUND(I1760-T1760-U1760-V1760-W1760,0)</f>
        <v>#VALUE!</v>
      </c>
      <c r="AG1760" s="117" t="e">
        <f>ROUND(J1760-Y1760-Z1760-AA1760-AC1760-AB1760,0)</f>
        <v>#VALUE!</v>
      </c>
      <c r="AH1760" s="116"/>
      <c r="AI1760">
        <f t="shared" si="1048"/>
        <v>151</v>
      </c>
      <c r="AJ1760" t="str">
        <f t="shared" si="1087"/>
        <v>SE</v>
      </c>
      <c r="AK1760" t="str">
        <f>IF(ISERROR(MATCH(AI1760&amp;"."&amp;AJ1760,AK$91:AK1759,0)),AI1760&amp;"."&amp;AJ1760,AI1760&amp;"."&amp;AJ1760&amp;COUNTIFS(AI$91:AI1759,AI1760,AJ$91:AJ1759,AJ1760))</f>
        <v>151.SE</v>
      </c>
    </row>
    <row r="1761" spans="1:37" ht="15" hidden="1">
      <c r="A1761" s="120">
        <f>ROW()</f>
        <v>1761</v>
      </c>
      <c r="B1761" s="120"/>
      <c r="C1761" s="1"/>
      <c r="E1761" s="121" t="s">
        <v>16</v>
      </c>
      <c r="F1761" s="138" t="str">
        <f>INDEX(FuncAllocOptions,ROW(A1761)-ROW($A$92)+1,[4]Inputs!$S$11)</f>
        <v>P</v>
      </c>
      <c r="G1761" s="117" t="e">
        <f>SUMIF(FERCJAMFactor,AK1761,JAMValue)</f>
        <v>#VALUE!</v>
      </c>
      <c r="H1761" s="116" t="e">
        <f t="shared" si="1088"/>
        <v>#VALUE!</v>
      </c>
      <c r="I1761" s="116" t="e">
        <f t="shared" si="1088"/>
        <v>#VALUE!</v>
      </c>
      <c r="J1761" s="116" t="e">
        <f t="shared" si="1088"/>
        <v>#VALUE!</v>
      </c>
      <c r="K1761" s="116" t="e">
        <f t="shared" si="1088"/>
        <v>#VALUE!</v>
      </c>
      <c r="L1761" s="116" t="e">
        <f t="shared" si="1088"/>
        <v>#VALUE!</v>
      </c>
      <c r="N1761" s="108">
        <v>0</v>
      </c>
      <c r="O1761" s="116" t="e">
        <f>$H1761*$N1761*$M1761</f>
        <v>#VALUE!</v>
      </c>
      <c r="P1761" s="116" t="e">
        <f>$H1761*(1-$N1761)*$M1761</f>
        <v>#VALUE!</v>
      </c>
      <c r="Q1761" s="116" t="e">
        <f>$H1761*$N1761*(1-$M1761)</f>
        <v>#VALUE!</v>
      </c>
      <c r="R1761" s="116" t="e">
        <f>$H1761*(1-$N1761)*(1-$M1761)</f>
        <v>#VALUE!</v>
      </c>
      <c r="S1761" s="108">
        <v>0</v>
      </c>
      <c r="T1761" s="116" t="e">
        <f>$I1761*$S1761*$M1761</f>
        <v>#VALUE!</v>
      </c>
      <c r="U1761" s="116" t="e">
        <f>$I1761*(1-$S1761)*$M1761</f>
        <v>#VALUE!</v>
      </c>
      <c r="V1761" s="116" t="e">
        <f>$I1761*$S1761*(1-$M1761)</f>
        <v>#VALUE!</v>
      </c>
      <c r="W1761" s="116" t="e">
        <f>$I1761*(1-$S1761)*(1-$M1761)</f>
        <v>#VALUE!</v>
      </c>
      <c r="X1761" s="3" t="str">
        <f>INDEX(DistFuncAllocOptions,ROW(A1761)-ROW($A$92)+1,[4]Inputs!$S$11)</f>
        <v>PLNT</v>
      </c>
      <c r="Y1761" s="116" t="e">
        <f t="shared" si="1089"/>
        <v>#VALUE!</v>
      </c>
      <c r="Z1761" s="116" t="e">
        <f t="shared" si="1089"/>
        <v>#VALUE!</v>
      </c>
      <c r="AA1761" s="116" t="e">
        <f t="shared" si="1089"/>
        <v>#VALUE!</v>
      </c>
      <c r="AB1761" s="116" t="e">
        <f t="shared" si="1089"/>
        <v>#VALUE!</v>
      </c>
      <c r="AC1761" s="116" t="e">
        <f t="shared" si="1089"/>
        <v>#VALUE!</v>
      </c>
      <c r="AD1761" s="117" t="e">
        <f>ROUND(SUM(-G1761,H1761:L1761),0)</f>
        <v>#VALUE!</v>
      </c>
      <c r="AE1761" s="117" t="e">
        <f>ROUND(H1761-O1761-P1761-Q1761-R1761,0)</f>
        <v>#VALUE!</v>
      </c>
      <c r="AF1761" s="117" t="e">
        <f>ROUND(I1761-T1761-U1761-V1761-W1761,0)</f>
        <v>#VALUE!</v>
      </c>
      <c r="AG1761" s="117" t="e">
        <f>ROUND(J1761-Y1761-Z1761-AA1761-AC1761-AB1761,0)</f>
        <v>#VALUE!</v>
      </c>
      <c r="AH1761" s="116"/>
      <c r="AI1761">
        <f t="shared" si="1048"/>
        <v>151</v>
      </c>
      <c r="AJ1761" t="str">
        <f t="shared" si="1087"/>
        <v>SE</v>
      </c>
      <c r="AK1761" t="str">
        <f>IF(ISERROR(MATCH(AI1761&amp;"."&amp;AJ1761,AK$91:AK1760,0)),AI1761&amp;"."&amp;AJ1761,AI1761&amp;"."&amp;AJ1761&amp;COUNTIFS(AI$91:AI1760,AI1761,AJ$91:AJ1760,AJ1761))</f>
        <v>151.SE1</v>
      </c>
    </row>
    <row r="1762" spans="1:37" ht="15" hidden="1">
      <c r="A1762" s="120">
        <f>ROW()</f>
        <v>1762</v>
      </c>
      <c r="B1762" s="120"/>
      <c r="C1762" s="1"/>
      <c r="E1762" s="121" t="s">
        <v>16</v>
      </c>
      <c r="F1762" s="138" t="str">
        <f>INDEX(FuncAllocOptions,ROW(A1762)-ROW($A$92)+1,[4]Inputs!$S$11)</f>
        <v>P</v>
      </c>
      <c r="G1762" s="133" t="e">
        <f>SUMIF(FERCJAMFactor,AK1762,JAMValue)</f>
        <v>#VALUE!</v>
      </c>
      <c r="H1762" s="139" t="e">
        <f t="shared" si="1088"/>
        <v>#VALUE!</v>
      </c>
      <c r="I1762" s="139" t="e">
        <f t="shared" si="1088"/>
        <v>#VALUE!</v>
      </c>
      <c r="J1762" s="139" t="e">
        <f t="shared" si="1088"/>
        <v>#VALUE!</v>
      </c>
      <c r="K1762" s="139" t="e">
        <f t="shared" si="1088"/>
        <v>#VALUE!</v>
      </c>
      <c r="L1762" s="139" t="e">
        <f t="shared" si="1088"/>
        <v>#VALUE!</v>
      </c>
      <c r="N1762" s="108">
        <v>0</v>
      </c>
      <c r="O1762" s="116" t="e">
        <f>$H1762*$N1762*$M1762</f>
        <v>#VALUE!</v>
      </c>
      <c r="P1762" s="116" t="e">
        <f>$H1762*(1-$N1762)*$M1762</f>
        <v>#VALUE!</v>
      </c>
      <c r="Q1762" s="116" t="e">
        <f>$H1762*$N1762*(1-$M1762)</f>
        <v>#VALUE!</v>
      </c>
      <c r="R1762" s="116" t="e">
        <f>$H1762*(1-$N1762)*(1-$M1762)</f>
        <v>#VALUE!</v>
      </c>
      <c r="S1762" s="108">
        <v>0</v>
      </c>
      <c r="T1762" s="116" t="e">
        <f>$I1762*$S1762*$M1762</f>
        <v>#VALUE!</v>
      </c>
      <c r="U1762" s="116" t="e">
        <f>$I1762*(1-$S1762)*$M1762</f>
        <v>#VALUE!</v>
      </c>
      <c r="V1762" s="116" t="e">
        <f>$I1762*$S1762*(1-$M1762)</f>
        <v>#VALUE!</v>
      </c>
      <c r="W1762" s="116" t="e">
        <f>$I1762*(1-$S1762)*(1-$M1762)</f>
        <v>#VALUE!</v>
      </c>
      <c r="X1762" s="3" t="str">
        <f>INDEX(DistFuncAllocOptions,ROW(A1762)-ROW($A$92)+1,[4]Inputs!$S$11)</f>
        <v>PLNT</v>
      </c>
      <c r="Y1762" s="116" t="e">
        <f t="shared" si="1089"/>
        <v>#VALUE!</v>
      </c>
      <c r="Z1762" s="116" t="e">
        <f t="shared" si="1089"/>
        <v>#VALUE!</v>
      </c>
      <c r="AA1762" s="116" t="e">
        <f t="shared" si="1089"/>
        <v>#VALUE!</v>
      </c>
      <c r="AB1762" s="116" t="e">
        <f t="shared" si="1089"/>
        <v>#VALUE!</v>
      </c>
      <c r="AC1762" s="116" t="e">
        <f t="shared" si="1089"/>
        <v>#VALUE!</v>
      </c>
      <c r="AD1762" s="117" t="e">
        <f>ROUND(SUM(-G1762,H1762:L1762),0)</f>
        <v>#VALUE!</v>
      </c>
      <c r="AE1762" s="117" t="e">
        <f>ROUND(H1762-O1762-P1762-Q1762-R1762,0)</f>
        <v>#VALUE!</v>
      </c>
      <c r="AF1762" s="117" t="e">
        <f>ROUND(I1762-T1762-U1762-V1762-W1762,0)</f>
        <v>#VALUE!</v>
      </c>
      <c r="AG1762" s="117" t="e">
        <f>ROUND(J1762-Y1762-Z1762-AA1762-AC1762-AB1762,0)</f>
        <v>#VALUE!</v>
      </c>
      <c r="AH1762" s="116"/>
      <c r="AI1762">
        <f t="shared" si="1048"/>
        <v>151</v>
      </c>
      <c r="AJ1762" t="str">
        <f t="shared" si="1087"/>
        <v>SE</v>
      </c>
      <c r="AK1762" t="str">
        <f>IF(ISERROR(MATCH(AI1762&amp;"."&amp;AJ1762,AK$91:AK1761,0)),AI1762&amp;"."&amp;AJ1762,AI1762&amp;"."&amp;AJ1762&amp;COUNTIFS(AI$91:AI1761,AI1762,AJ$91:AJ1761,AJ1762))</f>
        <v>151.SE2</v>
      </c>
    </row>
    <row r="1763" spans="1:37" ht="15" hidden="1">
      <c r="A1763" s="120">
        <f>ROW()</f>
        <v>1763</v>
      </c>
      <c r="B1763" s="120"/>
      <c r="C1763" s="1"/>
      <c r="E1763" s="121"/>
      <c r="F1763" s="138"/>
      <c r="G1763" s="117" t="e">
        <f t="shared" ref="G1763:L1763" si="1090">SUM(G1760:G1762)</f>
        <v>#VALUE!</v>
      </c>
      <c r="H1763" s="116" t="e">
        <f t="shared" si="1090"/>
        <v>#VALUE!</v>
      </c>
      <c r="I1763" s="116" t="e">
        <f t="shared" si="1090"/>
        <v>#VALUE!</v>
      </c>
      <c r="J1763" s="116" t="e">
        <f t="shared" si="1090"/>
        <v>#VALUE!</v>
      </c>
      <c r="K1763" s="116" t="e">
        <f t="shared" si="1090"/>
        <v>#VALUE!</v>
      </c>
      <c r="L1763" s="116" t="e">
        <f t="shared" si="1090"/>
        <v>#VALUE!</v>
      </c>
      <c r="O1763" s="116" t="e">
        <f>SUM(O1760:O1762)</f>
        <v>#VALUE!</v>
      </c>
      <c r="P1763" s="116" t="e">
        <f>SUM(P1760:P1762)</f>
        <v>#VALUE!</v>
      </c>
      <c r="Q1763" s="116" t="e">
        <f>SUM(Q1760:Q1762)</f>
        <v>#VALUE!</v>
      </c>
      <c r="R1763" s="116" t="e">
        <f>SUM(R1760:R1762)</f>
        <v>#VALUE!</v>
      </c>
      <c r="T1763" s="116" t="e">
        <f>SUM(T1760:T1762)</f>
        <v>#VALUE!</v>
      </c>
      <c r="U1763" s="116" t="e">
        <f>SUM(U1760:U1762)</f>
        <v>#VALUE!</v>
      </c>
      <c r="V1763" s="116" t="e">
        <f>SUM(V1760:V1762)</f>
        <v>#VALUE!</v>
      </c>
      <c r="W1763" s="116" t="e">
        <f>SUM(W1760:W1762)</f>
        <v>#VALUE!</v>
      </c>
      <c r="X1763" s="3"/>
      <c r="Y1763" s="116" t="e">
        <f>SUM(Y1760:Y1762)</f>
        <v>#VALUE!</v>
      </c>
      <c r="Z1763" s="116" t="e">
        <f>SUM(Z1760:Z1762)</f>
        <v>#VALUE!</v>
      </c>
      <c r="AA1763" s="116" t="e">
        <f>SUM(AA1760:AA1762)</f>
        <v>#VALUE!</v>
      </c>
      <c r="AB1763" s="116" t="e">
        <f>SUM(AB1760:AB1762)</f>
        <v>#VALUE!</v>
      </c>
      <c r="AC1763" s="116" t="e">
        <f>SUM(AC1760:AC1762)</f>
        <v>#VALUE!</v>
      </c>
      <c r="AD1763" s="117" t="e">
        <f>ROUND(SUM(-G1763,H1763:L1763),0)</f>
        <v>#VALUE!</v>
      </c>
      <c r="AE1763" s="117" t="e">
        <f>ROUND(H1763-O1763-P1763-Q1763-R1763,0)</f>
        <v>#VALUE!</v>
      </c>
      <c r="AF1763" s="117" t="e">
        <f>ROUND(I1763-T1763-U1763-V1763-W1763,0)</f>
        <v>#VALUE!</v>
      </c>
      <c r="AG1763" s="117" t="e">
        <f>ROUND(J1763-Y1763-Z1763-AA1763-AC1763-AB1763,0)</f>
        <v>#VALUE!</v>
      </c>
      <c r="AH1763" s="116"/>
      <c r="AI1763">
        <f t="shared" si="1048"/>
        <v>151</v>
      </c>
      <c r="AJ1763" t="str">
        <f t="shared" si="1087"/>
        <v>NA</v>
      </c>
      <c r="AK1763" t="str">
        <f>IF(ISERROR(MATCH(AI1763&amp;"."&amp;AJ1763,AK$91:AK1762,0)),AI1763&amp;"."&amp;AJ1763,AI1763&amp;"."&amp;AJ1763&amp;COUNTIFS(AI$91:AI1762,AI1763,AJ$91:AJ1762,AJ1763))</f>
        <v>151.NA1</v>
      </c>
    </row>
    <row r="1764" spans="1:37" ht="15" hidden="1">
      <c r="A1764" s="120">
        <f>ROW()</f>
        <v>1764</v>
      </c>
      <c r="B1764" s="120"/>
      <c r="C1764" s="1"/>
      <c r="E1764" s="121"/>
      <c r="F1764" s="138"/>
      <c r="G1764" s="119"/>
      <c r="X1764" s="3"/>
      <c r="AD1764" s="119"/>
      <c r="AE1764" s="119"/>
      <c r="AF1764" s="119"/>
      <c r="AG1764" s="119"/>
      <c r="AI1764">
        <f t="shared" si="1048"/>
        <v>151</v>
      </c>
      <c r="AJ1764" t="str">
        <f t="shared" si="1087"/>
        <v>NA</v>
      </c>
      <c r="AK1764" t="str">
        <f>IF(ISERROR(MATCH(AI1764&amp;"."&amp;AJ1764,AK$91:AK1763,0)),AI1764&amp;"."&amp;AJ1764,AI1764&amp;"."&amp;AJ1764&amp;COUNTIFS(AI$91:AI1763,AI1764,AJ$91:AJ1763,AJ1764))</f>
        <v>151.NA2</v>
      </c>
    </row>
    <row r="1765" spans="1:37" ht="15" hidden="1">
      <c r="A1765" s="120">
        <f>ROW()</f>
        <v>1765</v>
      </c>
      <c r="B1765" s="120"/>
      <c r="C1765" s="1">
        <v>152</v>
      </c>
      <c r="D1765" s="2" t="s">
        <v>605</v>
      </c>
      <c r="E1765" s="121"/>
      <c r="F1765" s="138"/>
      <c r="G1765" s="119"/>
      <c r="X1765" s="3"/>
      <c r="AD1765" s="119"/>
      <c r="AE1765" s="119"/>
      <c r="AF1765" s="119"/>
      <c r="AG1765" s="119"/>
      <c r="AI1765">
        <f t="shared" si="1048"/>
        <v>152</v>
      </c>
      <c r="AJ1765" t="str">
        <f t="shared" si="1087"/>
        <v>NA</v>
      </c>
      <c r="AK1765" t="str">
        <f>IF(ISERROR(MATCH(AI1765&amp;"."&amp;AJ1765,AK$91:AK1764,0)),AI1765&amp;"."&amp;AJ1765,AI1765&amp;"."&amp;AJ1765&amp;COUNTIFS(AI$91:AI1764,AI1765,AJ$91:AJ1764,AJ1765))</f>
        <v>152.NA</v>
      </c>
    </row>
    <row r="1766" spans="1:37" ht="15" hidden="1">
      <c r="A1766" s="120">
        <f>ROW()</f>
        <v>1766</v>
      </c>
      <c r="B1766" s="120"/>
      <c r="C1766" s="1"/>
      <c r="E1766" s="121" t="s">
        <v>16</v>
      </c>
      <c r="F1766" s="138" t="str">
        <f>INDEX(FuncAllocOptions,ROW(A1766)-ROW($A$92)+1,[4]Inputs!$S$11)</f>
        <v>P</v>
      </c>
      <c r="G1766" s="133" t="e">
        <f>SUMIF(FERCJAMFactor,AK1766,JAMValue)</f>
        <v>#VALUE!</v>
      </c>
      <c r="H1766" s="139" t="e">
        <f>INDEX(FuncFactorTbl,MATCH($F1766,FuncFactors,0),MATCH(H$8,Functions,0))*$G1766</f>
        <v>#VALUE!</v>
      </c>
      <c r="I1766" s="139" t="e">
        <f>INDEX(FuncFactorTbl,MATCH($F1766,FuncFactors,0),MATCH(I$8,Functions,0))*$G1766</f>
        <v>#VALUE!</v>
      </c>
      <c r="J1766" s="139" t="e">
        <f>INDEX(FuncFactorTbl,MATCH($F1766,FuncFactors,0),MATCH(J$8,Functions,0))*$G1766</f>
        <v>#VALUE!</v>
      </c>
      <c r="K1766" s="139" t="e">
        <f>INDEX(FuncFactorTbl,MATCH($F1766,FuncFactors,0),MATCH(K$8,Functions,0))*$G1766</f>
        <v>#VALUE!</v>
      </c>
      <c r="L1766" s="139" t="e">
        <f>INDEX(FuncFactorTbl,MATCH($F1766,FuncFactors,0),MATCH(L$8,Functions,0))*$G1766</f>
        <v>#VALUE!</v>
      </c>
      <c r="N1766" s="108">
        <v>0</v>
      </c>
      <c r="O1766" s="116" t="e">
        <f>$H1766*$N1766*$M1766</f>
        <v>#VALUE!</v>
      </c>
      <c r="P1766" s="116" t="e">
        <f>$H1766*(1-$N1766)*$M1766</f>
        <v>#VALUE!</v>
      </c>
      <c r="Q1766" s="116" t="e">
        <f>$H1766*$N1766*(1-$M1766)</f>
        <v>#VALUE!</v>
      </c>
      <c r="R1766" s="116" t="e">
        <f>$H1766*(1-$N1766)*(1-$M1766)</f>
        <v>#VALUE!</v>
      </c>
      <c r="S1766" s="108">
        <v>0</v>
      </c>
      <c r="T1766" s="116" t="e">
        <f>$I1766*$S1766*$M1766</f>
        <v>#VALUE!</v>
      </c>
      <c r="U1766" s="116" t="e">
        <f>$I1766*(1-$S1766)*$M1766</f>
        <v>#VALUE!</v>
      </c>
      <c r="V1766" s="116" t="e">
        <f>$I1766*$S1766*(1-$M1766)</f>
        <v>#VALUE!</v>
      </c>
      <c r="W1766" s="116" t="e">
        <f>$I1766*(1-$S1766)*(1-$M1766)</f>
        <v>#VALUE!</v>
      </c>
      <c r="X1766" s="3" t="str">
        <f>INDEX(DistFuncAllocOptions,ROW(A1766)-ROW($A$92)+1,[4]Inputs!$S$11)</f>
        <v>PLNT</v>
      </c>
      <c r="Y1766" s="116" t="e">
        <f>INDEX(DistFuncFactorTbl,MATCH($X1766,DistFuncFactors,0),MATCH(Y$91,DistFunctions,0))*$J1766</f>
        <v>#VALUE!</v>
      </c>
      <c r="Z1766" s="116" t="e">
        <f>INDEX(DistFuncFactorTbl,MATCH($X1766,DistFuncFactors,0),MATCH(Z$91,DistFunctions,0))*$J1766</f>
        <v>#VALUE!</v>
      </c>
      <c r="AA1766" s="116" t="e">
        <f>INDEX(DistFuncFactorTbl,MATCH($X1766,DistFuncFactors,0),MATCH(AA$91,DistFunctions,0))*$J1766</f>
        <v>#VALUE!</v>
      </c>
      <c r="AB1766" s="116" t="e">
        <f>INDEX(DistFuncFactorTbl,MATCH($X1766,DistFuncFactors,0),MATCH(AB$91,DistFunctions,0))*$J1766</f>
        <v>#VALUE!</v>
      </c>
      <c r="AC1766" s="116" t="e">
        <f>INDEX(DistFuncFactorTbl,MATCH($X1766,DistFuncFactors,0),MATCH(AC$91,DistFunctions,0))*$J1766</f>
        <v>#VALUE!</v>
      </c>
      <c r="AD1766" s="117" t="e">
        <f>ROUND(SUM(-G1766,H1766:L1766),0)</f>
        <v>#VALUE!</v>
      </c>
      <c r="AE1766" s="117" t="e">
        <f>ROUND(H1766-O1766-P1766-Q1766-R1766,0)</f>
        <v>#VALUE!</v>
      </c>
      <c r="AF1766" s="117" t="e">
        <f>ROUND(I1766-T1766-U1766-V1766-W1766,0)</f>
        <v>#VALUE!</v>
      </c>
      <c r="AG1766" s="117" t="e">
        <f>ROUND(J1766-Y1766-Z1766-AA1766-AC1766-AB1766,0)</f>
        <v>#VALUE!</v>
      </c>
      <c r="AH1766" s="116"/>
      <c r="AI1766">
        <f t="shared" si="1048"/>
        <v>152</v>
      </c>
      <c r="AJ1766" t="str">
        <f t="shared" si="1087"/>
        <v>SE</v>
      </c>
      <c r="AK1766" t="str">
        <f>IF(ISERROR(MATCH(AI1766&amp;"."&amp;AJ1766,AK$91:AK1765,0)),AI1766&amp;"."&amp;AJ1766,AI1766&amp;"."&amp;AJ1766&amp;COUNTIFS(AI$91:AI1765,AI1766,AJ$91:AJ1765,AJ1766))</f>
        <v>152.SE</v>
      </c>
    </row>
    <row r="1767" spans="1:37" ht="15" hidden="1">
      <c r="A1767" s="120">
        <f>ROW()</f>
        <v>1767</v>
      </c>
      <c r="B1767" s="120"/>
      <c r="C1767" s="1"/>
      <c r="E1767" s="121"/>
      <c r="F1767" s="138"/>
      <c r="G1767" s="117" t="e">
        <f t="shared" ref="G1767:L1767" si="1091">SUM(G1766)</f>
        <v>#VALUE!</v>
      </c>
      <c r="H1767" s="116" t="e">
        <f t="shared" si="1091"/>
        <v>#VALUE!</v>
      </c>
      <c r="I1767" s="116" t="e">
        <f t="shared" si="1091"/>
        <v>#VALUE!</v>
      </c>
      <c r="J1767" s="116" t="e">
        <f t="shared" si="1091"/>
        <v>#VALUE!</v>
      </c>
      <c r="K1767" s="116" t="e">
        <f t="shared" si="1091"/>
        <v>#VALUE!</v>
      </c>
      <c r="L1767" s="116" t="e">
        <f t="shared" si="1091"/>
        <v>#VALUE!</v>
      </c>
      <c r="O1767" s="116" t="e">
        <f>SUM(O1766)</f>
        <v>#VALUE!</v>
      </c>
      <c r="P1767" s="116" t="e">
        <f>SUM(P1766)</f>
        <v>#VALUE!</v>
      </c>
      <c r="Q1767" s="116" t="e">
        <f>SUM(Q1766)</f>
        <v>#VALUE!</v>
      </c>
      <c r="R1767" s="116" t="e">
        <f>SUM(R1766)</f>
        <v>#VALUE!</v>
      </c>
      <c r="T1767" s="116" t="e">
        <f>SUM(T1766)</f>
        <v>#VALUE!</v>
      </c>
      <c r="U1767" s="116" t="e">
        <f>SUM(U1766)</f>
        <v>#VALUE!</v>
      </c>
      <c r="V1767" s="116" t="e">
        <f>SUM(V1766)</f>
        <v>#VALUE!</v>
      </c>
      <c r="W1767" s="116" t="e">
        <f>SUM(W1766)</f>
        <v>#VALUE!</v>
      </c>
      <c r="X1767" s="3"/>
      <c r="Y1767" s="116" t="e">
        <f>SUM(Y1766)</f>
        <v>#VALUE!</v>
      </c>
      <c r="Z1767" s="116" t="e">
        <f>SUM(Z1766)</f>
        <v>#VALUE!</v>
      </c>
      <c r="AA1767" s="116" t="e">
        <f>SUM(AA1766)</f>
        <v>#VALUE!</v>
      </c>
      <c r="AB1767" s="116" t="e">
        <f>SUM(AB1766)</f>
        <v>#VALUE!</v>
      </c>
      <c r="AC1767" s="116" t="e">
        <f>SUM(AC1766)</f>
        <v>#VALUE!</v>
      </c>
      <c r="AD1767" s="117" t="e">
        <f>ROUND(SUM(-G1767,H1767:L1767),0)</f>
        <v>#VALUE!</v>
      </c>
      <c r="AE1767" s="117" t="e">
        <f>ROUND(H1767-O1767-P1767-Q1767-R1767,0)</f>
        <v>#VALUE!</v>
      </c>
      <c r="AF1767" s="117" t="e">
        <f>ROUND(I1767-T1767-U1767-V1767-W1767,0)</f>
        <v>#VALUE!</v>
      </c>
      <c r="AG1767" s="117" t="e">
        <f>ROUND(J1767-Y1767-Z1767-AA1767-AC1767-AB1767,0)</f>
        <v>#VALUE!</v>
      </c>
      <c r="AH1767" s="116"/>
      <c r="AI1767">
        <f t="shared" si="1048"/>
        <v>152</v>
      </c>
      <c r="AJ1767" t="str">
        <f t="shared" si="1087"/>
        <v>NA</v>
      </c>
      <c r="AK1767" t="str">
        <f>IF(ISERROR(MATCH(AI1767&amp;"."&amp;AJ1767,AK$91:AK1766,0)),AI1767&amp;"."&amp;AJ1767,AI1767&amp;"."&amp;AJ1767&amp;COUNTIFS(AI$91:AI1766,AI1767,AJ$91:AJ1766,AJ1767))</f>
        <v>152.NA1</v>
      </c>
    </row>
    <row r="1768" spans="1:37" ht="15" hidden="1">
      <c r="A1768" s="120">
        <f>ROW()</f>
        <v>1768</v>
      </c>
      <c r="B1768" s="120"/>
      <c r="C1768" s="1"/>
      <c r="E1768" s="121"/>
      <c r="F1768" s="138"/>
      <c r="G1768" s="119"/>
      <c r="X1768" s="3"/>
      <c r="AD1768" s="119"/>
      <c r="AE1768" s="119"/>
      <c r="AF1768" s="119"/>
      <c r="AG1768" s="119"/>
      <c r="AI1768">
        <f t="shared" si="1048"/>
        <v>152</v>
      </c>
      <c r="AJ1768" t="str">
        <f t="shared" si="1087"/>
        <v>NA</v>
      </c>
      <c r="AK1768" t="str">
        <f>IF(ISERROR(MATCH(AI1768&amp;"."&amp;AJ1768,AK$91:AK1767,0)),AI1768&amp;"."&amp;AJ1768,AI1768&amp;"."&amp;AJ1768&amp;COUNTIFS(AI$91:AI1767,AI1768,AJ$91:AJ1767,AJ1768))</f>
        <v>152.NA2</v>
      </c>
    </row>
    <row r="1769" spans="1:37" ht="15" hidden="1">
      <c r="A1769" s="120">
        <f>ROW()</f>
        <v>1769</v>
      </c>
      <c r="B1769" s="120"/>
      <c r="C1769" s="1">
        <v>25316</v>
      </c>
      <c r="D1769" s="2" t="s">
        <v>607</v>
      </c>
      <c r="E1769" s="121"/>
      <c r="F1769" s="138"/>
      <c r="G1769" s="119"/>
      <c r="X1769" s="3"/>
      <c r="AD1769" s="119"/>
      <c r="AE1769" s="119"/>
      <c r="AF1769" s="119"/>
      <c r="AG1769" s="119"/>
      <c r="AI1769">
        <f t="shared" si="1048"/>
        <v>25316</v>
      </c>
      <c r="AJ1769" t="str">
        <f t="shared" si="1087"/>
        <v>NA</v>
      </c>
      <c r="AK1769" t="str">
        <f>IF(ISERROR(MATCH(AI1769&amp;"."&amp;AJ1769,AK$91:AK1768,0)),AI1769&amp;"."&amp;AJ1769,AI1769&amp;"."&amp;AJ1769&amp;COUNTIFS(AI$91:AI1768,AI1769,AJ$91:AJ1768,AJ1769))</f>
        <v>25316.NA</v>
      </c>
    </row>
    <row r="1770" spans="1:37" ht="15" hidden="1">
      <c r="A1770" s="120">
        <f>ROW()</f>
        <v>1770</v>
      </c>
      <c r="B1770" s="120"/>
      <c r="C1770" s="1"/>
      <c r="E1770" s="121" t="s">
        <v>16</v>
      </c>
      <c r="F1770" s="138" t="str">
        <f>INDEX(FuncAllocOptions,ROW(A1770)-ROW($A$92)+1,[4]Inputs!$S$11)</f>
        <v>P</v>
      </c>
      <c r="G1770" s="133" t="e">
        <f>SUMIF(FERCJAMFactor,AK1770,JAMValue)</f>
        <v>#VALUE!</v>
      </c>
      <c r="H1770" s="139" t="e">
        <f>INDEX(FuncFactorTbl,MATCH($F1770,FuncFactors,0),MATCH(H$8,Functions,0))*$G1770</f>
        <v>#VALUE!</v>
      </c>
      <c r="I1770" s="139" t="e">
        <f>INDEX(FuncFactorTbl,MATCH($F1770,FuncFactors,0),MATCH(I$8,Functions,0))*$G1770</f>
        <v>#VALUE!</v>
      </c>
      <c r="J1770" s="139" t="e">
        <f>INDEX(FuncFactorTbl,MATCH($F1770,FuncFactors,0),MATCH(J$8,Functions,0))*$G1770</f>
        <v>#VALUE!</v>
      </c>
      <c r="K1770" s="139" t="e">
        <f>INDEX(FuncFactorTbl,MATCH($F1770,FuncFactors,0),MATCH(K$8,Functions,0))*$G1770</f>
        <v>#VALUE!</v>
      </c>
      <c r="L1770" s="139" t="e">
        <f>INDEX(FuncFactorTbl,MATCH($F1770,FuncFactors,0),MATCH(L$8,Functions,0))*$G1770</f>
        <v>#VALUE!</v>
      </c>
      <c r="N1770" s="108">
        <v>0</v>
      </c>
      <c r="O1770" s="116" t="e">
        <f>$H1770*$N1770*$M1770</f>
        <v>#VALUE!</v>
      </c>
      <c r="P1770" s="116" t="e">
        <f>$H1770*(1-$N1770)*$M1770</f>
        <v>#VALUE!</v>
      </c>
      <c r="Q1770" s="116" t="e">
        <f>$H1770*$N1770*(1-$M1770)</f>
        <v>#VALUE!</v>
      </c>
      <c r="R1770" s="116" t="e">
        <f>$H1770*(1-$N1770)*(1-$M1770)</f>
        <v>#VALUE!</v>
      </c>
      <c r="T1770" s="116">
        <v>0</v>
      </c>
      <c r="U1770" s="116">
        <v>0</v>
      </c>
      <c r="V1770" s="116">
        <v>0</v>
      </c>
      <c r="W1770" s="116">
        <v>0</v>
      </c>
      <c r="X1770" s="3" t="str">
        <f>INDEX(DistFuncAllocOptions,ROW(A1770)-ROW($A$92)+1,[4]Inputs!$S$11)</f>
        <v>PLNT</v>
      </c>
      <c r="Y1770" s="116" t="e">
        <f>INDEX(DistFuncFactorTbl,MATCH($X1770,DistFuncFactors,0),MATCH(Y$91,DistFunctions,0))*$J1770</f>
        <v>#VALUE!</v>
      </c>
      <c r="Z1770" s="116" t="e">
        <f>INDEX(DistFuncFactorTbl,MATCH($X1770,DistFuncFactors,0),MATCH(Z$91,DistFunctions,0))*$J1770</f>
        <v>#VALUE!</v>
      </c>
      <c r="AA1770" s="116" t="e">
        <f>INDEX(DistFuncFactorTbl,MATCH($X1770,DistFuncFactors,0),MATCH(AA$91,DistFunctions,0))*$J1770</f>
        <v>#VALUE!</v>
      </c>
      <c r="AB1770" s="116" t="e">
        <f>INDEX(DistFuncFactorTbl,MATCH($X1770,DistFuncFactors,0),MATCH(AB$91,DistFunctions,0))*$J1770</f>
        <v>#VALUE!</v>
      </c>
      <c r="AC1770" s="116" t="e">
        <f>INDEX(DistFuncFactorTbl,MATCH($X1770,DistFuncFactors,0),MATCH(AC$91,DistFunctions,0))*$J1770</f>
        <v>#VALUE!</v>
      </c>
      <c r="AD1770" s="117" t="e">
        <f>ROUND(SUM(-G1770,H1770:L1770),0)</f>
        <v>#VALUE!</v>
      </c>
      <c r="AE1770" s="117" t="e">
        <f>ROUND(H1770-O1770-P1770-Q1770-R1770,0)</f>
        <v>#VALUE!</v>
      </c>
      <c r="AF1770" s="117" t="e">
        <f>ROUND(I1770-T1770-U1770-V1770-W1770,0)</f>
        <v>#VALUE!</v>
      </c>
      <c r="AG1770" s="117" t="e">
        <f>ROUND(J1770-Y1770-Z1770-AA1770-AC1770-AB1770,0)</f>
        <v>#VALUE!</v>
      </c>
      <c r="AH1770" s="116"/>
      <c r="AI1770">
        <f t="shared" si="1048"/>
        <v>25316</v>
      </c>
      <c r="AJ1770" t="str">
        <f t="shared" si="1087"/>
        <v>SE</v>
      </c>
      <c r="AK1770" t="str">
        <f>IF(ISERROR(MATCH(AI1770&amp;"."&amp;AJ1770,AK$91:AK1769,0)),AI1770&amp;"."&amp;AJ1770,AI1770&amp;"."&amp;AJ1770&amp;COUNTIFS(AI$91:AI1769,AI1770,AJ$91:AJ1769,AJ1770))</f>
        <v>25316.SE</v>
      </c>
    </row>
    <row r="1771" spans="1:37" ht="15" hidden="1">
      <c r="A1771" s="120">
        <f>ROW()</f>
        <v>1771</v>
      </c>
      <c r="B1771" s="120"/>
      <c r="C1771" s="1"/>
      <c r="E1771" s="121"/>
      <c r="F1771" s="138"/>
      <c r="G1771" s="117" t="e">
        <f t="shared" ref="G1771:L1771" si="1092">SUM(G1770)</f>
        <v>#VALUE!</v>
      </c>
      <c r="H1771" s="116" t="e">
        <f t="shared" si="1092"/>
        <v>#VALUE!</v>
      </c>
      <c r="I1771" s="116" t="e">
        <f t="shared" si="1092"/>
        <v>#VALUE!</v>
      </c>
      <c r="J1771" s="116" t="e">
        <f t="shared" si="1092"/>
        <v>#VALUE!</v>
      </c>
      <c r="K1771" s="116" t="e">
        <f t="shared" si="1092"/>
        <v>#VALUE!</v>
      </c>
      <c r="L1771" s="116" t="e">
        <f t="shared" si="1092"/>
        <v>#VALUE!</v>
      </c>
      <c r="O1771" s="116" t="e">
        <f>SUM(O1770)</f>
        <v>#VALUE!</v>
      </c>
      <c r="P1771" s="116" t="e">
        <f>SUM(P1770)</f>
        <v>#VALUE!</v>
      </c>
      <c r="Q1771" s="116" t="e">
        <f>SUM(Q1770)</f>
        <v>#VALUE!</v>
      </c>
      <c r="R1771" s="116" t="e">
        <f>SUM(R1770)</f>
        <v>#VALUE!</v>
      </c>
      <c r="T1771" s="116">
        <f>SUM(T1770)</f>
        <v>0</v>
      </c>
      <c r="U1771" s="116">
        <f>SUM(U1770)</f>
        <v>0</v>
      </c>
      <c r="V1771" s="116">
        <f>SUM(V1770)</f>
        <v>0</v>
      </c>
      <c r="W1771" s="116">
        <f>SUM(W1770)</f>
        <v>0</v>
      </c>
      <c r="X1771" s="3"/>
      <c r="Y1771" s="116" t="e">
        <f>SUM(Y1770)</f>
        <v>#VALUE!</v>
      </c>
      <c r="Z1771" s="116" t="e">
        <f>SUM(Z1770)</f>
        <v>#VALUE!</v>
      </c>
      <c r="AA1771" s="116" t="e">
        <f>SUM(AA1770)</f>
        <v>#VALUE!</v>
      </c>
      <c r="AB1771" s="116" t="e">
        <f>SUM(AB1770)</f>
        <v>#VALUE!</v>
      </c>
      <c r="AC1771" s="116" t="e">
        <f>SUM(AC1770)</f>
        <v>#VALUE!</v>
      </c>
      <c r="AD1771" s="117" t="e">
        <f>ROUND(SUM(-G1771,H1771:L1771),0)</f>
        <v>#VALUE!</v>
      </c>
      <c r="AE1771" s="117" t="e">
        <f>ROUND(H1771-O1771-P1771-Q1771-R1771,0)</f>
        <v>#VALUE!</v>
      </c>
      <c r="AF1771" s="117" t="e">
        <f>ROUND(I1771-T1771-U1771-V1771-W1771,0)</f>
        <v>#VALUE!</v>
      </c>
      <c r="AG1771" s="117" t="e">
        <f>ROUND(J1771-Y1771-Z1771-AA1771-AC1771-AB1771,0)</f>
        <v>#VALUE!</v>
      </c>
      <c r="AH1771" s="116"/>
      <c r="AI1771">
        <f t="shared" si="1048"/>
        <v>25316</v>
      </c>
      <c r="AJ1771" t="str">
        <f t="shared" si="1087"/>
        <v>NA</v>
      </c>
      <c r="AK1771" t="str">
        <f>IF(ISERROR(MATCH(AI1771&amp;"."&amp;AJ1771,AK$91:AK1770,0)),AI1771&amp;"."&amp;AJ1771,AI1771&amp;"."&amp;AJ1771&amp;COUNTIFS(AI$91:AI1770,AI1771,AJ$91:AJ1770,AJ1771))</f>
        <v>25316.NA1</v>
      </c>
    </row>
    <row r="1772" spans="1:37" ht="15" hidden="1">
      <c r="A1772" s="120">
        <f>ROW()</f>
        <v>1772</v>
      </c>
      <c r="B1772" s="120"/>
      <c r="C1772" s="1"/>
      <c r="E1772" s="121"/>
      <c r="F1772" s="138"/>
      <c r="G1772" s="119"/>
      <c r="X1772" s="3"/>
      <c r="AD1772" s="119"/>
      <c r="AE1772" s="119"/>
      <c r="AF1772" s="119"/>
      <c r="AG1772" s="119"/>
      <c r="AI1772">
        <f t="shared" ref="AI1772:AI1835" si="1093">IF(OR(C1772="",C1772=" ",C1772="  ",C1772="   "),AI1771,C1772)</f>
        <v>25316</v>
      </c>
      <c r="AJ1772" t="str">
        <f t="shared" si="1087"/>
        <v>NA</v>
      </c>
      <c r="AK1772" t="str">
        <f>IF(ISERROR(MATCH(AI1772&amp;"."&amp;AJ1772,AK$91:AK1771,0)),AI1772&amp;"."&amp;AJ1772,AI1772&amp;"."&amp;AJ1772&amp;COUNTIFS(AI$91:AI1771,AI1772,AJ$91:AJ1771,AJ1772))</f>
        <v>25316.NA2</v>
      </c>
    </row>
    <row r="1773" spans="1:37" ht="15" hidden="1">
      <c r="A1773" s="120">
        <f>ROW()</f>
        <v>1773</v>
      </c>
      <c r="B1773" s="120"/>
      <c r="C1773" s="1">
        <v>25317</v>
      </c>
      <c r="D1773" s="2" t="s">
        <v>607</v>
      </c>
      <c r="E1773" s="121"/>
      <c r="F1773" s="138"/>
      <c r="G1773" s="119"/>
      <c r="X1773" s="3"/>
      <c r="AD1773" s="119"/>
      <c r="AE1773" s="119"/>
      <c r="AF1773" s="119"/>
      <c r="AG1773" s="119"/>
      <c r="AI1773">
        <f t="shared" si="1093"/>
        <v>25317</v>
      </c>
      <c r="AJ1773" t="str">
        <f t="shared" si="1087"/>
        <v>NA</v>
      </c>
      <c r="AK1773" t="str">
        <f>IF(ISERROR(MATCH(AI1773&amp;"."&amp;AJ1773,AK$91:AK1772,0)),AI1773&amp;"."&amp;AJ1773,AI1773&amp;"."&amp;AJ1773&amp;COUNTIFS(AI$91:AI1772,AI1773,AJ$91:AJ1772,AJ1773))</f>
        <v>25317.NA</v>
      </c>
    </row>
    <row r="1774" spans="1:37" ht="15" hidden="1">
      <c r="A1774" s="120">
        <f>ROW()</f>
        <v>1774</v>
      </c>
      <c r="B1774" s="120"/>
      <c r="C1774" s="1"/>
      <c r="E1774" s="121" t="s">
        <v>16</v>
      </c>
      <c r="F1774" s="138" t="str">
        <f>INDEX(FuncAllocOptions,ROW(A1774)-ROW($A$92)+1,[4]Inputs!$S$11)</f>
        <v>P</v>
      </c>
      <c r="G1774" s="133" t="e">
        <f>SUMIF(FERCJAMFactor,AK1774,JAMValue)</f>
        <v>#VALUE!</v>
      </c>
      <c r="H1774" s="139" t="e">
        <f>INDEX(FuncFactorTbl,MATCH($F1774,FuncFactors,0),MATCH(H$8,Functions,0))*$G1774</f>
        <v>#VALUE!</v>
      </c>
      <c r="I1774" s="139" t="e">
        <f>INDEX(FuncFactorTbl,MATCH($F1774,FuncFactors,0),MATCH(I$8,Functions,0))*$G1774</f>
        <v>#VALUE!</v>
      </c>
      <c r="J1774" s="139" t="e">
        <f>INDEX(FuncFactorTbl,MATCH($F1774,FuncFactors,0),MATCH(J$8,Functions,0))*$G1774</f>
        <v>#VALUE!</v>
      </c>
      <c r="K1774" s="139" t="e">
        <f>INDEX(FuncFactorTbl,MATCH($F1774,FuncFactors,0),MATCH(K$8,Functions,0))*$G1774</f>
        <v>#VALUE!</v>
      </c>
      <c r="L1774" s="139" t="e">
        <f>INDEX(FuncFactorTbl,MATCH($F1774,FuncFactors,0),MATCH(L$8,Functions,0))*$G1774</f>
        <v>#VALUE!</v>
      </c>
      <c r="N1774" s="108">
        <v>0</v>
      </c>
      <c r="O1774" s="116" t="e">
        <f>$H1774*$N1774*$M1774</f>
        <v>#VALUE!</v>
      </c>
      <c r="P1774" s="116" t="e">
        <f>$H1774*(1-$N1774)*$M1774</f>
        <v>#VALUE!</v>
      </c>
      <c r="Q1774" s="116" t="e">
        <f>$H1774*$N1774*(1-$M1774)</f>
        <v>#VALUE!</v>
      </c>
      <c r="R1774" s="116" t="e">
        <f>$H1774*(1-$N1774)*(1-$M1774)</f>
        <v>#VALUE!</v>
      </c>
      <c r="S1774" s="108">
        <v>0</v>
      </c>
      <c r="T1774" s="116" t="e">
        <f>$I1774*$S1774*$M1774</f>
        <v>#VALUE!</v>
      </c>
      <c r="U1774" s="116" t="e">
        <f>$I1774*(1-$S1774)*$M1774</f>
        <v>#VALUE!</v>
      </c>
      <c r="V1774" s="116" t="e">
        <f>$I1774*$S1774*(1-$M1774)</f>
        <v>#VALUE!</v>
      </c>
      <c r="W1774" s="116" t="e">
        <f>$I1774*(1-$S1774)*(1-$M1774)</f>
        <v>#VALUE!</v>
      </c>
      <c r="X1774" s="3" t="str">
        <f>INDEX(DistFuncAllocOptions,ROW(A1774)-ROW($A$92)+1,[4]Inputs!$S$11)</f>
        <v>PLNT</v>
      </c>
      <c r="Y1774" s="116" t="e">
        <f>INDEX(DistFuncFactorTbl,MATCH($X1774,DistFuncFactors,0),MATCH(Y$91,DistFunctions,0))*$J1774</f>
        <v>#VALUE!</v>
      </c>
      <c r="Z1774" s="116" t="e">
        <f>INDEX(DistFuncFactorTbl,MATCH($X1774,DistFuncFactors,0),MATCH(Z$91,DistFunctions,0))*$J1774</f>
        <v>#VALUE!</v>
      </c>
      <c r="AA1774" s="116" t="e">
        <f>INDEX(DistFuncFactorTbl,MATCH($X1774,DistFuncFactors,0),MATCH(AA$91,DistFunctions,0))*$J1774</f>
        <v>#VALUE!</v>
      </c>
      <c r="AB1774" s="116" t="e">
        <f>INDEX(DistFuncFactorTbl,MATCH($X1774,DistFuncFactors,0),MATCH(AB$91,DistFunctions,0))*$J1774</f>
        <v>#VALUE!</v>
      </c>
      <c r="AC1774" s="116" t="e">
        <f>INDEX(DistFuncFactorTbl,MATCH($X1774,DistFuncFactors,0),MATCH(AC$91,DistFunctions,0))*$J1774</f>
        <v>#VALUE!</v>
      </c>
      <c r="AD1774" s="117" t="e">
        <f>ROUND(SUM(-G1774,H1774:L1774),0)</f>
        <v>#VALUE!</v>
      </c>
      <c r="AE1774" s="117" t="e">
        <f>ROUND(H1774-O1774-P1774-Q1774-R1774,0)</f>
        <v>#VALUE!</v>
      </c>
      <c r="AF1774" s="117" t="e">
        <f>ROUND(I1774-T1774-U1774-V1774-W1774,0)</f>
        <v>#VALUE!</v>
      </c>
      <c r="AG1774" s="117" t="e">
        <f>ROUND(J1774-Y1774-Z1774-AA1774-AC1774-AB1774,0)</f>
        <v>#VALUE!</v>
      </c>
      <c r="AH1774" s="116"/>
      <c r="AI1774">
        <f t="shared" si="1093"/>
        <v>25317</v>
      </c>
      <c r="AJ1774" t="str">
        <f t="shared" si="1087"/>
        <v>SE</v>
      </c>
      <c r="AK1774" t="str">
        <f>IF(ISERROR(MATCH(AI1774&amp;"."&amp;AJ1774,AK$91:AK1773,0)),AI1774&amp;"."&amp;AJ1774,AI1774&amp;"."&amp;AJ1774&amp;COUNTIFS(AI$91:AI1773,AI1774,AJ$91:AJ1773,AJ1774))</f>
        <v>25317.SE</v>
      </c>
    </row>
    <row r="1775" spans="1:37" ht="15" hidden="1">
      <c r="A1775" s="120">
        <f>ROW()</f>
        <v>1775</v>
      </c>
      <c r="B1775" s="120"/>
      <c r="C1775" s="1"/>
      <c r="E1775" s="121"/>
      <c r="F1775" s="138"/>
      <c r="G1775" s="117" t="e">
        <f t="shared" ref="G1775:L1775" si="1094">SUM(G1774)</f>
        <v>#VALUE!</v>
      </c>
      <c r="H1775" s="116" t="e">
        <f t="shared" si="1094"/>
        <v>#VALUE!</v>
      </c>
      <c r="I1775" s="116" t="e">
        <f t="shared" si="1094"/>
        <v>#VALUE!</v>
      </c>
      <c r="J1775" s="116" t="e">
        <f t="shared" si="1094"/>
        <v>#VALUE!</v>
      </c>
      <c r="K1775" s="116" t="e">
        <f t="shared" si="1094"/>
        <v>#VALUE!</v>
      </c>
      <c r="L1775" s="116" t="e">
        <f t="shared" si="1094"/>
        <v>#VALUE!</v>
      </c>
      <c r="O1775" s="116" t="e">
        <f>SUM(O1774)</f>
        <v>#VALUE!</v>
      </c>
      <c r="P1775" s="116" t="e">
        <f>SUM(P1774)</f>
        <v>#VALUE!</v>
      </c>
      <c r="Q1775" s="116" t="e">
        <f>SUM(Q1774)</f>
        <v>#VALUE!</v>
      </c>
      <c r="R1775" s="116" t="e">
        <f>SUM(R1774)</f>
        <v>#VALUE!</v>
      </c>
      <c r="T1775" s="116" t="e">
        <f>SUM(T1774)</f>
        <v>#VALUE!</v>
      </c>
      <c r="U1775" s="116" t="e">
        <f>SUM(U1774)</f>
        <v>#VALUE!</v>
      </c>
      <c r="V1775" s="116" t="e">
        <f>SUM(V1774)</f>
        <v>#VALUE!</v>
      </c>
      <c r="W1775" s="116" t="e">
        <f>SUM(W1774)</f>
        <v>#VALUE!</v>
      </c>
      <c r="X1775" s="3"/>
      <c r="Y1775" s="116" t="e">
        <f>SUM(Y1774)</f>
        <v>#VALUE!</v>
      </c>
      <c r="Z1775" s="116" t="e">
        <f>SUM(Z1774)</f>
        <v>#VALUE!</v>
      </c>
      <c r="AA1775" s="116" t="e">
        <f>SUM(AA1774)</f>
        <v>#VALUE!</v>
      </c>
      <c r="AB1775" s="116" t="e">
        <f>SUM(AB1774)</f>
        <v>#VALUE!</v>
      </c>
      <c r="AC1775" s="116" t="e">
        <f>SUM(AC1774)</f>
        <v>#VALUE!</v>
      </c>
      <c r="AD1775" s="117" t="e">
        <f>ROUND(SUM(-G1775,H1775:L1775),0)</f>
        <v>#VALUE!</v>
      </c>
      <c r="AE1775" s="117" t="e">
        <f>ROUND(H1775-O1775-P1775-Q1775-R1775,0)</f>
        <v>#VALUE!</v>
      </c>
      <c r="AF1775" s="117" t="e">
        <f>ROUND(I1775-T1775-U1775-V1775-W1775,0)</f>
        <v>#VALUE!</v>
      </c>
      <c r="AG1775" s="117" t="e">
        <f>ROUND(J1775-Y1775-Z1775-AA1775-AC1775-AB1775,0)</f>
        <v>#VALUE!</v>
      </c>
      <c r="AH1775" s="116"/>
      <c r="AI1775">
        <f t="shared" si="1093"/>
        <v>25317</v>
      </c>
      <c r="AJ1775" t="str">
        <f t="shared" si="1087"/>
        <v>NA</v>
      </c>
      <c r="AK1775" t="str">
        <f>IF(ISERROR(MATCH(AI1775&amp;"."&amp;AJ1775,AK$91:AK1774,0)),AI1775&amp;"."&amp;AJ1775,AI1775&amp;"."&amp;AJ1775&amp;COUNTIFS(AI$91:AI1774,AI1775,AJ$91:AJ1774,AJ1775))</f>
        <v>25317.NA1</v>
      </c>
    </row>
    <row r="1776" spans="1:37" ht="15" hidden="1">
      <c r="A1776" s="120">
        <f>ROW()</f>
        <v>1776</v>
      </c>
      <c r="B1776" s="120"/>
      <c r="C1776" s="1"/>
      <c r="E1776" s="121"/>
      <c r="F1776" s="138"/>
      <c r="G1776" s="119"/>
      <c r="X1776" s="3"/>
      <c r="AD1776" s="119"/>
      <c r="AE1776" s="119"/>
      <c r="AF1776" s="119"/>
      <c r="AG1776" s="119"/>
      <c r="AI1776">
        <f t="shared" si="1093"/>
        <v>25317</v>
      </c>
      <c r="AJ1776" t="str">
        <f t="shared" si="1087"/>
        <v>NA</v>
      </c>
      <c r="AK1776" t="str">
        <f>IF(ISERROR(MATCH(AI1776&amp;"."&amp;AJ1776,AK$91:AK1775,0)),AI1776&amp;"."&amp;AJ1776,AI1776&amp;"."&amp;AJ1776&amp;COUNTIFS(AI$91:AI1775,AI1776,AJ$91:AJ1775,AJ1776))</f>
        <v>25317.NA2</v>
      </c>
    </row>
    <row r="1777" spans="1:37" ht="15" hidden="1">
      <c r="A1777" s="120">
        <f>ROW()</f>
        <v>1777</v>
      </c>
      <c r="B1777" s="120"/>
      <c r="C1777" s="1">
        <v>25319</v>
      </c>
      <c r="D1777" s="2" t="s">
        <v>608</v>
      </c>
      <c r="E1777" s="121"/>
      <c r="F1777" s="138"/>
      <c r="G1777" s="119"/>
      <c r="X1777" s="3"/>
      <c r="AD1777" s="119"/>
      <c r="AE1777" s="119"/>
      <c r="AF1777" s="119"/>
      <c r="AG1777" s="119"/>
      <c r="AI1777">
        <f t="shared" si="1093"/>
        <v>25319</v>
      </c>
      <c r="AJ1777" t="str">
        <f t="shared" si="1087"/>
        <v>NA</v>
      </c>
      <c r="AK1777" t="str">
        <f>IF(ISERROR(MATCH(AI1777&amp;"."&amp;AJ1777,AK$91:AK1776,0)),AI1777&amp;"."&amp;AJ1777,AI1777&amp;"."&amp;AJ1777&amp;COUNTIFS(AI$91:AI1776,AI1777,AJ$91:AJ1776,AJ1777))</f>
        <v>25319.NA</v>
      </c>
    </row>
    <row r="1778" spans="1:37" ht="15" hidden="1">
      <c r="A1778" s="120">
        <f>ROW()</f>
        <v>1778</v>
      </c>
      <c r="B1778" s="120"/>
      <c r="C1778" s="1"/>
      <c r="E1778" s="121" t="s">
        <v>16</v>
      </c>
      <c r="F1778" s="138" t="str">
        <f>INDEX(FuncAllocOptions,ROW(A1778)-ROW($A$92)+1,[4]Inputs!$S$11)</f>
        <v>P</v>
      </c>
      <c r="G1778" s="133" t="e">
        <f>SUMIF(FERCJAMFactor,AK1778,JAMValue)</f>
        <v>#VALUE!</v>
      </c>
      <c r="H1778" s="139" t="e">
        <f>INDEX(FuncFactorTbl,MATCH($F1778,FuncFactors,0),MATCH(H$8,Functions,0))*$G1778</f>
        <v>#VALUE!</v>
      </c>
      <c r="I1778" s="139" t="e">
        <f>INDEX(FuncFactorTbl,MATCH($F1778,FuncFactors,0),MATCH(I$8,Functions,0))*$G1778</f>
        <v>#VALUE!</v>
      </c>
      <c r="J1778" s="139" t="e">
        <f>INDEX(FuncFactorTbl,MATCH($F1778,FuncFactors,0),MATCH(J$8,Functions,0))*$G1778</f>
        <v>#VALUE!</v>
      </c>
      <c r="K1778" s="139" t="e">
        <f>INDEX(FuncFactorTbl,MATCH($F1778,FuncFactors,0),MATCH(K$8,Functions,0))*$G1778</f>
        <v>#VALUE!</v>
      </c>
      <c r="L1778" s="139" t="e">
        <f>INDEX(FuncFactorTbl,MATCH($F1778,FuncFactors,0),MATCH(L$8,Functions,0))*$G1778</f>
        <v>#VALUE!</v>
      </c>
      <c r="N1778" s="108">
        <v>0</v>
      </c>
      <c r="O1778" s="116" t="e">
        <f>$H1778*$N1778*$M1778</f>
        <v>#VALUE!</v>
      </c>
      <c r="P1778" s="116" t="e">
        <f>$H1778*(1-$N1778)*$M1778</f>
        <v>#VALUE!</v>
      </c>
      <c r="Q1778" s="116" t="e">
        <f>$H1778*$N1778*(1-$M1778)</f>
        <v>#VALUE!</v>
      </c>
      <c r="R1778" s="116" t="e">
        <f>$H1778*(1-$N1778)*(1-$M1778)</f>
        <v>#VALUE!</v>
      </c>
      <c r="S1778" s="108">
        <v>0</v>
      </c>
      <c r="T1778" s="116" t="e">
        <f>$I1778*$S1778*$M1778</f>
        <v>#VALUE!</v>
      </c>
      <c r="U1778" s="116" t="e">
        <f>$I1778*(1-$S1778)*$M1778</f>
        <v>#VALUE!</v>
      </c>
      <c r="V1778" s="116" t="e">
        <f>$I1778*$S1778*(1-$M1778)</f>
        <v>#VALUE!</v>
      </c>
      <c r="W1778" s="116" t="e">
        <f>$I1778*(1-$S1778)*(1-$M1778)</f>
        <v>#VALUE!</v>
      </c>
      <c r="X1778" s="3" t="str">
        <f>INDEX(DistFuncAllocOptions,ROW(A1778)-ROW($A$92)+1,[4]Inputs!$S$11)</f>
        <v>PLNT</v>
      </c>
      <c r="Y1778" s="116" t="e">
        <f>INDEX(DistFuncFactorTbl,MATCH($X1778,DistFuncFactors,0),MATCH(Y$91,DistFunctions,0))*$J1778</f>
        <v>#VALUE!</v>
      </c>
      <c r="Z1778" s="116" t="e">
        <f>INDEX(DistFuncFactorTbl,MATCH($X1778,DistFuncFactors,0),MATCH(Z$91,DistFunctions,0))*$J1778</f>
        <v>#VALUE!</v>
      </c>
      <c r="AA1778" s="116" t="e">
        <f>INDEX(DistFuncFactorTbl,MATCH($X1778,DistFuncFactors,0),MATCH(AA$91,DistFunctions,0))*$J1778</f>
        <v>#VALUE!</v>
      </c>
      <c r="AB1778" s="116" t="e">
        <f>INDEX(DistFuncFactorTbl,MATCH($X1778,DistFuncFactors,0),MATCH(AB$91,DistFunctions,0))*$J1778</f>
        <v>#VALUE!</v>
      </c>
      <c r="AC1778" s="116" t="e">
        <f>INDEX(DistFuncFactorTbl,MATCH($X1778,DistFuncFactors,0),MATCH(AC$91,DistFunctions,0))*$J1778</f>
        <v>#VALUE!</v>
      </c>
      <c r="AD1778" s="117" t="e">
        <f>ROUND(SUM(-G1778,H1778:L1778),0)</f>
        <v>#VALUE!</v>
      </c>
      <c r="AE1778" s="117" t="e">
        <f>ROUND(H1778-O1778-P1778-Q1778-R1778,0)</f>
        <v>#VALUE!</v>
      </c>
      <c r="AF1778" s="117" t="e">
        <f>ROUND(I1778-T1778-U1778-V1778-W1778,0)</f>
        <v>#VALUE!</v>
      </c>
      <c r="AG1778" s="117" t="e">
        <f>ROUND(J1778-Y1778-Z1778-AA1778-AC1778-AB1778,0)</f>
        <v>#VALUE!</v>
      </c>
      <c r="AH1778" s="116"/>
      <c r="AI1778">
        <f t="shared" si="1093"/>
        <v>25319</v>
      </c>
      <c r="AJ1778" t="str">
        <f t="shared" si="1087"/>
        <v>SE</v>
      </c>
      <c r="AK1778" t="str">
        <f>IF(ISERROR(MATCH(AI1778&amp;"."&amp;AJ1778,AK$91:AK1777,0)),AI1778&amp;"."&amp;AJ1778,AI1778&amp;"."&amp;AJ1778&amp;COUNTIFS(AI$91:AI1777,AI1778,AJ$91:AJ1777,AJ1778))</f>
        <v>25319.SE</v>
      </c>
    </row>
    <row r="1779" spans="1:37" ht="15" hidden="1">
      <c r="A1779" s="120">
        <f>ROW()</f>
        <v>1779</v>
      </c>
      <c r="B1779" s="120"/>
      <c r="C1779" s="1"/>
      <c r="E1779" s="121"/>
      <c r="F1779" s="138"/>
      <c r="G1779" s="117" t="e">
        <f t="shared" ref="G1779:L1779" si="1095">SUM(G1778)</f>
        <v>#VALUE!</v>
      </c>
      <c r="H1779" s="116" t="e">
        <f t="shared" si="1095"/>
        <v>#VALUE!</v>
      </c>
      <c r="I1779" s="116" t="e">
        <f t="shared" si="1095"/>
        <v>#VALUE!</v>
      </c>
      <c r="J1779" s="116" t="e">
        <f t="shared" si="1095"/>
        <v>#VALUE!</v>
      </c>
      <c r="K1779" s="116" t="e">
        <f t="shared" si="1095"/>
        <v>#VALUE!</v>
      </c>
      <c r="L1779" s="116" t="e">
        <f t="shared" si="1095"/>
        <v>#VALUE!</v>
      </c>
      <c r="O1779" s="116" t="e">
        <f>SUM(O1778)</f>
        <v>#VALUE!</v>
      </c>
      <c r="P1779" s="116" t="e">
        <f>SUM(P1778)</f>
        <v>#VALUE!</v>
      </c>
      <c r="Q1779" s="116" t="e">
        <f>SUM(Q1778)</f>
        <v>#VALUE!</v>
      </c>
      <c r="R1779" s="116" t="e">
        <f>SUM(R1778)</f>
        <v>#VALUE!</v>
      </c>
      <c r="T1779" s="116" t="e">
        <f>SUM(T1778)</f>
        <v>#VALUE!</v>
      </c>
      <c r="U1779" s="116" t="e">
        <f>SUM(U1778)</f>
        <v>#VALUE!</v>
      </c>
      <c r="V1779" s="116" t="e">
        <f>SUM(V1778)</f>
        <v>#VALUE!</v>
      </c>
      <c r="W1779" s="116" t="e">
        <f>SUM(W1778)</f>
        <v>#VALUE!</v>
      </c>
      <c r="X1779" s="3"/>
      <c r="Y1779" s="116" t="e">
        <f>SUM(Y1778)</f>
        <v>#VALUE!</v>
      </c>
      <c r="Z1779" s="116" t="e">
        <f>SUM(Z1778)</f>
        <v>#VALUE!</v>
      </c>
      <c r="AA1779" s="116" t="e">
        <f>SUM(AA1778)</f>
        <v>#VALUE!</v>
      </c>
      <c r="AB1779" s="116" t="e">
        <f>SUM(AB1778)</f>
        <v>#VALUE!</v>
      </c>
      <c r="AC1779" s="116" t="e">
        <f>SUM(AC1778)</f>
        <v>#VALUE!</v>
      </c>
      <c r="AD1779" s="117" t="e">
        <f>ROUND(SUM(-G1779,H1779:L1779),0)</f>
        <v>#VALUE!</v>
      </c>
      <c r="AE1779" s="117" t="e">
        <f>ROUND(H1779-O1779-P1779-Q1779-R1779,0)</f>
        <v>#VALUE!</v>
      </c>
      <c r="AF1779" s="117" t="e">
        <f>ROUND(I1779-T1779-U1779-V1779-W1779,0)</f>
        <v>#VALUE!</v>
      </c>
      <c r="AG1779" s="117" t="e">
        <f>ROUND(J1779-Y1779-Z1779-AA1779-AC1779-AB1779,0)</f>
        <v>#VALUE!</v>
      </c>
      <c r="AH1779" s="116"/>
      <c r="AI1779">
        <f t="shared" si="1093"/>
        <v>25319</v>
      </c>
      <c r="AJ1779" t="str">
        <f t="shared" si="1087"/>
        <v>NA</v>
      </c>
      <c r="AK1779" t="str">
        <f>IF(ISERROR(MATCH(AI1779&amp;"."&amp;AJ1779,AK$91:AK1778,0)),AI1779&amp;"."&amp;AJ1779,AI1779&amp;"."&amp;AJ1779&amp;COUNTIFS(AI$91:AI1778,AI1779,AJ$91:AJ1778,AJ1779))</f>
        <v>25319.NA1</v>
      </c>
    </row>
    <row r="1780" spans="1:37" ht="15" hidden="1">
      <c r="A1780" s="120">
        <f>ROW()</f>
        <v>1780</v>
      </c>
      <c r="B1780" s="120"/>
      <c r="C1780" s="1"/>
      <c r="E1780" s="121"/>
      <c r="F1780" s="138"/>
      <c r="G1780" s="119"/>
      <c r="X1780" s="3"/>
      <c r="AD1780" s="119"/>
      <c r="AE1780" s="119"/>
      <c r="AF1780" s="119"/>
      <c r="AG1780" s="119"/>
      <c r="AI1780">
        <f t="shared" si="1093"/>
        <v>25319</v>
      </c>
      <c r="AJ1780" t="str">
        <f t="shared" si="1087"/>
        <v>NA</v>
      </c>
      <c r="AK1780" t="str">
        <f>IF(ISERROR(MATCH(AI1780&amp;"."&amp;AJ1780,AK$91:AK1779,0)),AI1780&amp;"."&amp;AJ1780,AI1780&amp;"."&amp;AJ1780&amp;COUNTIFS(AI$91:AI1779,AI1780,AJ$91:AJ1779,AJ1780))</f>
        <v>25319.NA2</v>
      </c>
    </row>
    <row r="1781" spans="1:37" ht="15.75" hidden="1" thickBot="1">
      <c r="A1781" s="120">
        <f>ROW()</f>
        <v>1781</v>
      </c>
      <c r="B1781" s="120"/>
      <c r="C1781" s="1"/>
      <c r="D1781" s="2" t="s">
        <v>609</v>
      </c>
      <c r="E1781" s="121"/>
      <c r="F1781" s="138"/>
      <c r="G1781" s="155" t="e">
        <f t="shared" ref="G1781:L1781" si="1096">G1763+G1767+G1771+G1775+G1779</f>
        <v>#VALUE!</v>
      </c>
      <c r="H1781" s="154" t="e">
        <f t="shared" si="1096"/>
        <v>#VALUE!</v>
      </c>
      <c r="I1781" s="154" t="e">
        <f t="shared" si="1096"/>
        <v>#VALUE!</v>
      </c>
      <c r="J1781" s="154" t="e">
        <f t="shared" si="1096"/>
        <v>#VALUE!</v>
      </c>
      <c r="K1781" s="154" t="e">
        <f t="shared" si="1096"/>
        <v>#VALUE!</v>
      </c>
      <c r="L1781" s="154" t="e">
        <f t="shared" si="1096"/>
        <v>#VALUE!</v>
      </c>
      <c r="N1781" s="108">
        <v>0</v>
      </c>
      <c r="O1781" s="116" t="e">
        <f>O1763+O1767+O1771+O1775+O1779</f>
        <v>#VALUE!</v>
      </c>
      <c r="P1781" s="116" t="e">
        <f>P1763+P1767+P1771+P1775+P1779</f>
        <v>#VALUE!</v>
      </c>
      <c r="Q1781" s="116" t="e">
        <f>Q1763+Q1767+Q1771+Q1775+Q1779</f>
        <v>#VALUE!</v>
      </c>
      <c r="R1781" s="116" t="e">
        <f>R1763+R1767+R1771+R1775+R1779</f>
        <v>#VALUE!</v>
      </c>
      <c r="S1781" s="108">
        <v>0</v>
      </c>
      <c r="T1781" s="116" t="e">
        <f>$I1781*$S1781*$M1781</f>
        <v>#VALUE!</v>
      </c>
      <c r="U1781" s="116" t="e">
        <f>$I1781*(1-$S1781)*$M1781</f>
        <v>#VALUE!</v>
      </c>
      <c r="V1781" s="116" t="e">
        <f>$I1781*$S1781*(1-$M1781)</f>
        <v>#VALUE!</v>
      </c>
      <c r="W1781" s="116" t="e">
        <f>$I1781*(1-$S1781)*(1-$M1781)</f>
        <v>#VALUE!</v>
      </c>
      <c r="X1781" s="3"/>
      <c r="Y1781" s="116" t="e">
        <f>Y1763+Y1767+Y1771+Y1775+Y1779</f>
        <v>#VALUE!</v>
      </c>
      <c r="Z1781" s="116" t="e">
        <f>Z1763+Z1767+Z1771+Z1775+Z1779</f>
        <v>#VALUE!</v>
      </c>
      <c r="AA1781" s="116" t="e">
        <f>AA1763+AA1767+AA1771+AA1775+AA1779</f>
        <v>#VALUE!</v>
      </c>
      <c r="AB1781" s="116" t="e">
        <f>AB1763+AB1767+AB1771+AB1775+AB1779</f>
        <v>#VALUE!</v>
      </c>
      <c r="AC1781" s="116" t="e">
        <f>AC1763+AC1767+AC1771+AC1775+AC1779</f>
        <v>#VALUE!</v>
      </c>
      <c r="AD1781" s="117" t="e">
        <f>ROUND(SUM(-G1781,H1781:L1781),0)</f>
        <v>#VALUE!</v>
      </c>
      <c r="AE1781" s="117" t="e">
        <f>ROUND(H1781-O1781-P1781-Q1781-R1781,0)</f>
        <v>#VALUE!</v>
      </c>
      <c r="AF1781" s="117" t="e">
        <f>ROUND(I1781-T1781-U1781-V1781-W1781,0)</f>
        <v>#VALUE!</v>
      </c>
      <c r="AG1781" s="117" t="e">
        <f>ROUND(J1781-Y1781-Z1781-AA1781-AC1781-AB1781,0)</f>
        <v>#VALUE!</v>
      </c>
      <c r="AH1781" s="116"/>
      <c r="AI1781">
        <f t="shared" si="1093"/>
        <v>25319</v>
      </c>
      <c r="AJ1781" t="str">
        <f t="shared" si="1087"/>
        <v>NA</v>
      </c>
      <c r="AK1781" t="str">
        <f>IF(ISERROR(MATCH(AI1781&amp;"."&amp;AJ1781,AK$91:AK1780,0)),AI1781&amp;"."&amp;AJ1781,AI1781&amp;"."&amp;AJ1781&amp;COUNTIFS(AI$91:AI1780,AI1781,AJ$91:AJ1780,AJ1781))</f>
        <v>25319.NA3</v>
      </c>
    </row>
    <row r="1782" spans="1:37" ht="15" hidden="1">
      <c r="A1782" s="120">
        <f>ROW()</f>
        <v>1782</v>
      </c>
      <c r="B1782" s="120"/>
      <c r="C1782" s="1"/>
      <c r="E1782" s="121"/>
      <c r="F1782" s="138"/>
      <c r="G1782" s="119"/>
      <c r="X1782" s="3"/>
      <c r="AD1782" s="119"/>
      <c r="AE1782" s="119"/>
      <c r="AF1782" s="119"/>
      <c r="AG1782" s="119"/>
      <c r="AI1782">
        <f t="shared" si="1093"/>
        <v>25319</v>
      </c>
      <c r="AJ1782" t="str">
        <f t="shared" si="1087"/>
        <v>NA</v>
      </c>
      <c r="AK1782" t="str">
        <f>IF(ISERROR(MATCH(AI1782&amp;"."&amp;AJ1782,AK$91:AK1781,0)),AI1782&amp;"."&amp;AJ1782,AI1782&amp;"."&amp;AJ1782&amp;COUNTIFS(AI$91:AI1781,AI1782,AJ$91:AJ1781,AJ1782))</f>
        <v>25319.NA4</v>
      </c>
    </row>
    <row r="1783" spans="1:37" ht="15" hidden="1">
      <c r="A1783" s="120">
        <f>ROW()</f>
        <v>1783</v>
      </c>
      <c r="B1783" s="120"/>
      <c r="C1783" s="1">
        <v>154</v>
      </c>
      <c r="D1783" s="2" t="s">
        <v>610</v>
      </c>
      <c r="E1783" s="121"/>
      <c r="F1783" s="138"/>
      <c r="G1783" s="119"/>
      <c r="X1783" s="3"/>
      <c r="AD1783" s="119"/>
      <c r="AE1783" s="119"/>
      <c r="AF1783" s="119"/>
      <c r="AG1783" s="119"/>
      <c r="AI1783">
        <f t="shared" si="1093"/>
        <v>154</v>
      </c>
      <c r="AJ1783" t="str">
        <f t="shared" si="1087"/>
        <v>NA</v>
      </c>
      <c r="AK1783" t="str">
        <f>IF(ISERROR(MATCH(AI1783&amp;"."&amp;AJ1783,AK$91:AK1782,0)),AI1783&amp;"."&amp;AJ1783,AI1783&amp;"."&amp;AJ1783&amp;COUNTIFS(AI$91:AI1782,AI1783,AJ$91:AJ1782,AJ1783))</f>
        <v>154.NA</v>
      </c>
    </row>
    <row r="1784" spans="1:37" ht="15" hidden="1">
      <c r="A1784" s="120">
        <f>ROW()</f>
        <v>1784</v>
      </c>
      <c r="B1784" s="120"/>
      <c r="E1784" s="121" t="s">
        <v>12</v>
      </c>
      <c r="F1784" s="138" t="str">
        <f>INDEX(FuncAllocOptions,ROW(A1784)-ROW($A$92)+1,[4]Inputs!$S$11)</f>
        <v>MSS</v>
      </c>
      <c r="G1784" s="117" t="e">
        <f t="shared" ref="G1784:G1796" si="1097">SUMIF(FERCJAMFactor,AK1784,JAMValue)</f>
        <v>#VALUE!</v>
      </c>
      <c r="H1784" s="116" t="e">
        <f t="shared" ref="H1784:L1796" si="1098">INDEX(FuncFactorTbl,MATCH($F1784,FuncFactors,0),MATCH(H$8,Functions,0))*$G1784</f>
        <v>#VALUE!</v>
      </c>
      <c r="I1784" s="116" t="e">
        <f t="shared" si="1098"/>
        <v>#VALUE!</v>
      </c>
      <c r="J1784" s="116" t="e">
        <f t="shared" si="1098"/>
        <v>#VALUE!</v>
      </c>
      <c r="K1784" s="116" t="e">
        <f t="shared" si="1098"/>
        <v>#VALUE!</v>
      </c>
      <c r="L1784" s="116" t="e">
        <f t="shared" si="1098"/>
        <v>#VALUE!</v>
      </c>
      <c r="N1784" s="108">
        <v>0.75</v>
      </c>
      <c r="O1784" s="116" t="e">
        <f t="shared" ref="O1784:O1796" si="1099">$H1784*$N1784*$M1784</f>
        <v>#VALUE!</v>
      </c>
      <c r="P1784" s="116" t="e">
        <f t="shared" ref="P1784:P1796" si="1100">$H1784*(1-$N1784)*$M1784</f>
        <v>#VALUE!</v>
      </c>
      <c r="Q1784" s="116" t="e">
        <f t="shared" ref="Q1784:Q1796" si="1101">$H1784*$N1784*(1-$M1784)</f>
        <v>#VALUE!</v>
      </c>
      <c r="R1784" s="116" t="e">
        <f t="shared" ref="R1784:R1796" si="1102">$H1784*(1-$N1784)*(1-$M1784)</f>
        <v>#VALUE!</v>
      </c>
      <c r="S1784" s="108">
        <v>0.75</v>
      </c>
      <c r="T1784" s="116" t="e">
        <f t="shared" ref="T1784:T1796" si="1103">$I1784*$S1784*$M1784</f>
        <v>#VALUE!</v>
      </c>
      <c r="U1784" s="116" t="e">
        <f t="shared" ref="U1784:U1796" si="1104">$I1784*(1-$S1784)*$M1784</f>
        <v>#VALUE!</v>
      </c>
      <c r="V1784" s="116" t="e">
        <f t="shared" ref="V1784:V1796" si="1105">$I1784*$S1784*(1-$M1784)</f>
        <v>#VALUE!</v>
      </c>
      <c r="W1784" s="116" t="e">
        <f t="shared" ref="W1784:W1796" si="1106">$I1784*(1-$S1784)*(1-$M1784)</f>
        <v>#VALUE!</v>
      </c>
      <c r="X1784" s="3" t="str">
        <f>INDEX(DistFuncAllocOptions,ROW(A1784)-ROW($A$92)+1,[4]Inputs!$S$11)</f>
        <v>PLNT</v>
      </c>
      <c r="Y1784" s="116" t="e">
        <f t="shared" ref="Y1784:AC1796" si="1107">INDEX(DistFuncFactorTbl,MATCH($X1784,DistFuncFactors,0),MATCH(Y$91,DistFunctions,0))*$J1784</f>
        <v>#VALUE!</v>
      </c>
      <c r="Z1784" s="116" t="e">
        <f t="shared" si="1107"/>
        <v>#VALUE!</v>
      </c>
      <c r="AA1784" s="116" t="e">
        <f t="shared" si="1107"/>
        <v>#VALUE!</v>
      </c>
      <c r="AB1784" s="116" t="e">
        <f t="shared" si="1107"/>
        <v>#VALUE!</v>
      </c>
      <c r="AC1784" s="116" t="e">
        <f t="shared" si="1107"/>
        <v>#VALUE!</v>
      </c>
      <c r="AD1784" s="117" t="e">
        <f t="shared" ref="AD1784:AD1797" si="1108">ROUND(SUM(-G1784,H1784:L1784),0)</f>
        <v>#VALUE!</v>
      </c>
      <c r="AE1784" s="117" t="e">
        <f t="shared" ref="AE1784:AE1797" si="1109">ROUND(H1784-O1784-P1784-Q1784-R1784,0)</f>
        <v>#VALUE!</v>
      </c>
      <c r="AF1784" s="117" t="e">
        <f t="shared" ref="AF1784:AF1797" si="1110">ROUND(I1784-T1784-U1784-V1784-W1784,0)</f>
        <v>#VALUE!</v>
      </c>
      <c r="AG1784" s="117" t="e">
        <f t="shared" ref="AG1784:AG1797" si="1111">ROUND(J1784-Y1784-Z1784-AA1784-AC1784-AB1784,0)</f>
        <v>#VALUE!</v>
      </c>
      <c r="AH1784" s="116"/>
      <c r="AI1784">
        <f t="shared" si="1093"/>
        <v>154</v>
      </c>
      <c r="AJ1784" t="str">
        <f t="shared" si="1087"/>
        <v>S</v>
      </c>
      <c r="AK1784" t="str">
        <f>IF(ISERROR(MATCH(AI1784&amp;"."&amp;AJ1784,AK$91:AK1783,0)),AI1784&amp;"."&amp;AJ1784,AI1784&amp;"."&amp;AJ1784&amp;COUNTIFS(AI$91:AI1783,AI1784,AJ$91:AJ1783,AJ1784))</f>
        <v>154.S</v>
      </c>
    </row>
    <row r="1785" spans="1:37" ht="15" hidden="1">
      <c r="A1785" s="120">
        <f>ROW()</f>
        <v>1785</v>
      </c>
      <c r="B1785" s="120"/>
      <c r="E1785" s="121" t="s">
        <v>15</v>
      </c>
      <c r="F1785" s="138" t="str">
        <f>INDEX(FuncAllocOptions,ROW(A1785)-ROW($A$92)+1,[4]Inputs!$S$11)</f>
        <v>MSS</v>
      </c>
      <c r="G1785" s="117" t="e">
        <f t="shared" si="1097"/>
        <v>#VALUE!</v>
      </c>
      <c r="H1785" s="116" t="e">
        <f t="shared" si="1098"/>
        <v>#VALUE!</v>
      </c>
      <c r="I1785" s="116" t="e">
        <f t="shared" si="1098"/>
        <v>#VALUE!</v>
      </c>
      <c r="J1785" s="116" t="e">
        <f t="shared" si="1098"/>
        <v>#VALUE!</v>
      </c>
      <c r="K1785" s="116" t="e">
        <f t="shared" si="1098"/>
        <v>#VALUE!</v>
      </c>
      <c r="L1785" s="116" t="e">
        <f t="shared" si="1098"/>
        <v>#VALUE!</v>
      </c>
      <c r="N1785" s="108">
        <v>0.75</v>
      </c>
      <c r="O1785" s="116" t="e">
        <f t="shared" si="1099"/>
        <v>#VALUE!</v>
      </c>
      <c r="P1785" s="116" t="e">
        <f t="shared" si="1100"/>
        <v>#VALUE!</v>
      </c>
      <c r="Q1785" s="116" t="e">
        <f t="shared" si="1101"/>
        <v>#VALUE!</v>
      </c>
      <c r="R1785" s="116" t="e">
        <f t="shared" si="1102"/>
        <v>#VALUE!</v>
      </c>
      <c r="S1785" s="108">
        <v>0.75</v>
      </c>
      <c r="T1785" s="116" t="e">
        <f t="shared" si="1103"/>
        <v>#VALUE!</v>
      </c>
      <c r="U1785" s="116" t="e">
        <f t="shared" si="1104"/>
        <v>#VALUE!</v>
      </c>
      <c r="V1785" s="116" t="e">
        <f t="shared" si="1105"/>
        <v>#VALUE!</v>
      </c>
      <c r="W1785" s="116" t="e">
        <f t="shared" si="1106"/>
        <v>#VALUE!</v>
      </c>
      <c r="X1785" s="3" t="str">
        <f>INDEX(DistFuncAllocOptions,ROW(A1785)-ROW($A$92)+1,[4]Inputs!$S$11)</f>
        <v>PLNT</v>
      </c>
      <c r="Y1785" s="116" t="e">
        <f t="shared" si="1107"/>
        <v>#VALUE!</v>
      </c>
      <c r="Z1785" s="116" t="e">
        <f t="shared" si="1107"/>
        <v>#VALUE!</v>
      </c>
      <c r="AA1785" s="116" t="e">
        <f t="shared" si="1107"/>
        <v>#VALUE!</v>
      </c>
      <c r="AB1785" s="116" t="e">
        <f t="shared" si="1107"/>
        <v>#VALUE!</v>
      </c>
      <c r="AC1785" s="116" t="e">
        <f t="shared" si="1107"/>
        <v>#VALUE!</v>
      </c>
      <c r="AD1785" s="117" t="e">
        <f t="shared" si="1108"/>
        <v>#VALUE!</v>
      </c>
      <c r="AE1785" s="117" t="e">
        <f t="shared" si="1109"/>
        <v>#VALUE!</v>
      </c>
      <c r="AF1785" s="117" t="e">
        <f t="shared" si="1110"/>
        <v>#VALUE!</v>
      </c>
      <c r="AG1785" s="117" t="e">
        <f t="shared" si="1111"/>
        <v>#VALUE!</v>
      </c>
      <c r="AH1785" s="116"/>
      <c r="AI1785">
        <f t="shared" si="1093"/>
        <v>154</v>
      </c>
      <c r="AJ1785" t="str">
        <f t="shared" si="1087"/>
        <v>SG</v>
      </c>
      <c r="AK1785" t="str">
        <f>IF(ISERROR(MATCH(AI1785&amp;"."&amp;AJ1785,AK$91:AK1784,0)),AI1785&amp;"."&amp;AJ1785,AI1785&amp;"."&amp;AJ1785&amp;COUNTIFS(AI$91:AI1784,AI1785,AJ$91:AJ1784,AJ1785))</f>
        <v>154.SG</v>
      </c>
    </row>
    <row r="1786" spans="1:37" ht="15" hidden="1">
      <c r="A1786" s="120">
        <f>ROW()</f>
        <v>1786</v>
      </c>
      <c r="B1786" s="120"/>
      <c r="E1786" s="121" t="s">
        <v>16</v>
      </c>
      <c r="F1786" s="138" t="str">
        <f>INDEX(FuncAllocOptions,ROW(A1786)-ROW($A$92)+1,[4]Inputs!$S$11)</f>
        <v>MSS</v>
      </c>
      <c r="G1786" s="117" t="e">
        <f t="shared" si="1097"/>
        <v>#VALUE!</v>
      </c>
      <c r="H1786" s="116" t="e">
        <f t="shared" si="1098"/>
        <v>#VALUE!</v>
      </c>
      <c r="I1786" s="116" t="e">
        <f t="shared" si="1098"/>
        <v>#VALUE!</v>
      </c>
      <c r="J1786" s="116" t="e">
        <f t="shared" si="1098"/>
        <v>#VALUE!</v>
      </c>
      <c r="K1786" s="116" t="e">
        <f t="shared" si="1098"/>
        <v>#VALUE!</v>
      </c>
      <c r="L1786" s="116" t="e">
        <f t="shared" si="1098"/>
        <v>#VALUE!</v>
      </c>
      <c r="N1786" s="108">
        <v>0.75</v>
      </c>
      <c r="O1786" s="116" t="e">
        <f t="shared" si="1099"/>
        <v>#VALUE!</v>
      </c>
      <c r="P1786" s="116" t="e">
        <f t="shared" si="1100"/>
        <v>#VALUE!</v>
      </c>
      <c r="Q1786" s="116" t="e">
        <f t="shared" si="1101"/>
        <v>#VALUE!</v>
      </c>
      <c r="R1786" s="116" t="e">
        <f t="shared" si="1102"/>
        <v>#VALUE!</v>
      </c>
      <c r="S1786" s="108">
        <v>0.75</v>
      </c>
      <c r="T1786" s="116" t="e">
        <f t="shared" si="1103"/>
        <v>#VALUE!</v>
      </c>
      <c r="U1786" s="116" t="e">
        <f t="shared" si="1104"/>
        <v>#VALUE!</v>
      </c>
      <c r="V1786" s="116" t="e">
        <f t="shared" si="1105"/>
        <v>#VALUE!</v>
      </c>
      <c r="W1786" s="116" t="e">
        <f t="shared" si="1106"/>
        <v>#VALUE!</v>
      </c>
      <c r="X1786" s="3" t="str">
        <f>INDEX(DistFuncAllocOptions,ROW(A1786)-ROW($A$92)+1,[4]Inputs!$S$11)</f>
        <v>PLNT</v>
      </c>
      <c r="Y1786" s="116" t="e">
        <f t="shared" si="1107"/>
        <v>#VALUE!</v>
      </c>
      <c r="Z1786" s="116" t="e">
        <f t="shared" si="1107"/>
        <v>#VALUE!</v>
      </c>
      <c r="AA1786" s="116" t="e">
        <f t="shared" si="1107"/>
        <v>#VALUE!</v>
      </c>
      <c r="AB1786" s="116" t="e">
        <f t="shared" si="1107"/>
        <v>#VALUE!</v>
      </c>
      <c r="AC1786" s="116" t="e">
        <f t="shared" si="1107"/>
        <v>#VALUE!</v>
      </c>
      <c r="AD1786" s="117" t="e">
        <f t="shared" si="1108"/>
        <v>#VALUE!</v>
      </c>
      <c r="AE1786" s="117" t="e">
        <f t="shared" si="1109"/>
        <v>#VALUE!</v>
      </c>
      <c r="AF1786" s="117" t="e">
        <f t="shared" si="1110"/>
        <v>#VALUE!</v>
      </c>
      <c r="AG1786" s="117" t="e">
        <f t="shared" si="1111"/>
        <v>#VALUE!</v>
      </c>
      <c r="AH1786" s="116"/>
      <c r="AI1786">
        <f t="shared" si="1093"/>
        <v>154</v>
      </c>
      <c r="AJ1786" t="str">
        <f t="shared" si="1087"/>
        <v>SE</v>
      </c>
      <c r="AK1786" t="str">
        <f>IF(ISERROR(MATCH(AI1786&amp;"."&amp;AJ1786,AK$91:AK1785,0)),AI1786&amp;"."&amp;AJ1786,AI1786&amp;"."&amp;AJ1786&amp;COUNTIFS(AI$91:AI1785,AI1786,AJ$91:AJ1785,AJ1786))</f>
        <v>154.SE</v>
      </c>
    </row>
    <row r="1787" spans="1:37" ht="15" hidden="1">
      <c r="A1787" s="120">
        <f>ROW()</f>
        <v>1787</v>
      </c>
      <c r="B1787" s="120"/>
      <c r="E1787" s="121" t="s">
        <v>136</v>
      </c>
      <c r="F1787" s="138" t="str">
        <f>INDEX(FuncAllocOptions,ROW(A1787)-ROW($A$92)+1,[4]Inputs!$S$11)</f>
        <v>MSS</v>
      </c>
      <c r="G1787" s="117" t="e">
        <f t="shared" si="1097"/>
        <v>#VALUE!</v>
      </c>
      <c r="H1787" s="116" t="e">
        <f t="shared" si="1098"/>
        <v>#VALUE!</v>
      </c>
      <c r="I1787" s="116" t="e">
        <f t="shared" si="1098"/>
        <v>#VALUE!</v>
      </c>
      <c r="J1787" s="116" t="e">
        <f t="shared" si="1098"/>
        <v>#VALUE!</v>
      </c>
      <c r="K1787" s="116" t="e">
        <f t="shared" si="1098"/>
        <v>#VALUE!</v>
      </c>
      <c r="L1787" s="116" t="e">
        <f t="shared" si="1098"/>
        <v>#VALUE!</v>
      </c>
      <c r="N1787" s="108">
        <v>0.75</v>
      </c>
      <c r="O1787" s="116" t="e">
        <f t="shared" si="1099"/>
        <v>#VALUE!</v>
      </c>
      <c r="P1787" s="116" t="e">
        <f t="shared" si="1100"/>
        <v>#VALUE!</v>
      </c>
      <c r="Q1787" s="116" t="e">
        <f t="shared" si="1101"/>
        <v>#VALUE!</v>
      </c>
      <c r="R1787" s="116" t="e">
        <f t="shared" si="1102"/>
        <v>#VALUE!</v>
      </c>
      <c r="S1787" s="108">
        <v>0.75</v>
      </c>
      <c r="T1787" s="116" t="e">
        <f t="shared" si="1103"/>
        <v>#VALUE!</v>
      </c>
      <c r="U1787" s="116" t="e">
        <f t="shared" si="1104"/>
        <v>#VALUE!</v>
      </c>
      <c r="V1787" s="116" t="e">
        <f t="shared" si="1105"/>
        <v>#VALUE!</v>
      </c>
      <c r="W1787" s="116" t="e">
        <f t="shared" si="1106"/>
        <v>#VALUE!</v>
      </c>
      <c r="X1787" s="3" t="str">
        <f>INDEX(DistFuncAllocOptions,ROW(A1787)-ROW($A$92)+1,[4]Inputs!$S$11)</f>
        <v>PLNT</v>
      </c>
      <c r="Y1787" s="116" t="e">
        <f t="shared" si="1107"/>
        <v>#VALUE!</v>
      </c>
      <c r="Z1787" s="116" t="e">
        <f t="shared" si="1107"/>
        <v>#VALUE!</v>
      </c>
      <c r="AA1787" s="116" t="e">
        <f t="shared" si="1107"/>
        <v>#VALUE!</v>
      </c>
      <c r="AB1787" s="116" t="e">
        <f t="shared" si="1107"/>
        <v>#VALUE!</v>
      </c>
      <c r="AC1787" s="116" t="e">
        <f t="shared" si="1107"/>
        <v>#VALUE!</v>
      </c>
      <c r="AD1787" s="117" t="e">
        <f t="shared" si="1108"/>
        <v>#VALUE!</v>
      </c>
      <c r="AE1787" s="117" t="e">
        <f t="shared" si="1109"/>
        <v>#VALUE!</v>
      </c>
      <c r="AF1787" s="117" t="e">
        <f t="shared" si="1110"/>
        <v>#VALUE!</v>
      </c>
      <c r="AG1787" s="117" t="e">
        <f t="shared" si="1111"/>
        <v>#VALUE!</v>
      </c>
      <c r="AH1787" s="116"/>
      <c r="AI1787">
        <f t="shared" si="1093"/>
        <v>154</v>
      </c>
      <c r="AJ1787" t="str">
        <f t="shared" si="1087"/>
        <v>SO</v>
      </c>
      <c r="AK1787" t="str">
        <f>IF(ISERROR(MATCH(AI1787&amp;"."&amp;AJ1787,AK$91:AK1786,0)),AI1787&amp;"."&amp;AJ1787,AI1787&amp;"."&amp;AJ1787&amp;COUNTIFS(AI$91:AI1786,AI1787,AJ$91:AJ1786,AJ1787))</f>
        <v>154.SO</v>
      </c>
    </row>
    <row r="1788" spans="1:37" ht="15" hidden="1">
      <c r="A1788" s="120">
        <f>ROW()</f>
        <v>1788</v>
      </c>
      <c r="B1788" s="120"/>
      <c r="E1788" s="121" t="s">
        <v>15</v>
      </c>
      <c r="F1788" s="138" t="str">
        <f>INDEX(FuncAllocOptions,ROW(A1788)-ROW($A$92)+1,[4]Inputs!$S$11)</f>
        <v>MSS</v>
      </c>
      <c r="G1788" s="117" t="e">
        <f t="shared" si="1097"/>
        <v>#VALUE!</v>
      </c>
      <c r="H1788" s="116" t="e">
        <f t="shared" si="1098"/>
        <v>#VALUE!</v>
      </c>
      <c r="I1788" s="116" t="e">
        <f t="shared" si="1098"/>
        <v>#VALUE!</v>
      </c>
      <c r="J1788" s="116" t="e">
        <f t="shared" si="1098"/>
        <v>#VALUE!</v>
      </c>
      <c r="K1788" s="116" t="e">
        <f t="shared" si="1098"/>
        <v>#VALUE!</v>
      </c>
      <c r="L1788" s="116" t="e">
        <f t="shared" si="1098"/>
        <v>#VALUE!</v>
      </c>
      <c r="N1788" s="108">
        <v>0.75</v>
      </c>
      <c r="O1788" s="116" t="e">
        <f t="shared" si="1099"/>
        <v>#VALUE!</v>
      </c>
      <c r="P1788" s="116" t="e">
        <f t="shared" si="1100"/>
        <v>#VALUE!</v>
      </c>
      <c r="Q1788" s="116" t="e">
        <f t="shared" si="1101"/>
        <v>#VALUE!</v>
      </c>
      <c r="R1788" s="116" t="e">
        <f t="shared" si="1102"/>
        <v>#VALUE!</v>
      </c>
      <c r="S1788" s="108">
        <v>0.75</v>
      </c>
      <c r="T1788" s="116" t="e">
        <f t="shared" si="1103"/>
        <v>#VALUE!</v>
      </c>
      <c r="U1788" s="116" t="e">
        <f t="shared" si="1104"/>
        <v>#VALUE!</v>
      </c>
      <c r="V1788" s="116" t="e">
        <f t="shared" si="1105"/>
        <v>#VALUE!</v>
      </c>
      <c r="W1788" s="116" t="e">
        <f t="shared" si="1106"/>
        <v>#VALUE!</v>
      </c>
      <c r="X1788" s="3" t="str">
        <f>INDEX(DistFuncAllocOptions,ROW(A1788)-ROW($A$92)+1,[4]Inputs!$S$11)</f>
        <v>PLNT</v>
      </c>
      <c r="Y1788" s="116" t="e">
        <f t="shared" si="1107"/>
        <v>#VALUE!</v>
      </c>
      <c r="Z1788" s="116" t="e">
        <f t="shared" si="1107"/>
        <v>#VALUE!</v>
      </c>
      <c r="AA1788" s="116" t="e">
        <f t="shared" si="1107"/>
        <v>#VALUE!</v>
      </c>
      <c r="AB1788" s="116" t="e">
        <f t="shared" si="1107"/>
        <v>#VALUE!</v>
      </c>
      <c r="AC1788" s="116" t="e">
        <f t="shared" si="1107"/>
        <v>#VALUE!</v>
      </c>
      <c r="AD1788" s="117" t="e">
        <f t="shared" si="1108"/>
        <v>#VALUE!</v>
      </c>
      <c r="AE1788" s="117" t="e">
        <f t="shared" si="1109"/>
        <v>#VALUE!</v>
      </c>
      <c r="AF1788" s="117" t="e">
        <f t="shared" si="1110"/>
        <v>#VALUE!</v>
      </c>
      <c r="AG1788" s="117" t="e">
        <f t="shared" si="1111"/>
        <v>#VALUE!</v>
      </c>
      <c r="AH1788" s="116"/>
      <c r="AI1788">
        <f t="shared" si="1093"/>
        <v>154</v>
      </c>
      <c r="AJ1788" t="str">
        <f t="shared" si="1087"/>
        <v>SG</v>
      </c>
      <c r="AK1788" t="str">
        <f>IF(ISERROR(MATCH(AI1788&amp;"."&amp;AJ1788,AK$91:AK1787,0)),AI1788&amp;"."&amp;AJ1788,AI1788&amp;"."&amp;AJ1788&amp;COUNTIFS(AI$91:AI1787,AI1788,AJ$91:AJ1787,AJ1788))</f>
        <v>154.SG1</v>
      </c>
    </row>
    <row r="1789" spans="1:37" ht="15" hidden="1">
      <c r="A1789" s="120">
        <f>ROW()</f>
        <v>1789</v>
      </c>
      <c r="B1789" s="120"/>
      <c r="E1789" s="121" t="s">
        <v>15</v>
      </c>
      <c r="F1789" s="138" t="str">
        <f>INDEX(FuncAllocOptions,ROW(A1789)-ROW($A$92)+1,[4]Inputs!$S$11)</f>
        <v>MSS</v>
      </c>
      <c r="G1789" s="117" t="e">
        <f t="shared" si="1097"/>
        <v>#VALUE!</v>
      </c>
      <c r="H1789" s="116" t="e">
        <f t="shared" si="1098"/>
        <v>#VALUE!</v>
      </c>
      <c r="I1789" s="116" t="e">
        <f t="shared" si="1098"/>
        <v>#VALUE!</v>
      </c>
      <c r="J1789" s="116" t="e">
        <f t="shared" si="1098"/>
        <v>#VALUE!</v>
      </c>
      <c r="K1789" s="116" t="e">
        <f t="shared" si="1098"/>
        <v>#VALUE!</v>
      </c>
      <c r="L1789" s="116" t="e">
        <f t="shared" si="1098"/>
        <v>#VALUE!</v>
      </c>
      <c r="N1789" s="108">
        <v>0.75</v>
      </c>
      <c r="O1789" s="116" t="e">
        <f t="shared" si="1099"/>
        <v>#VALUE!</v>
      </c>
      <c r="P1789" s="116" t="e">
        <f t="shared" si="1100"/>
        <v>#VALUE!</v>
      </c>
      <c r="Q1789" s="116" t="e">
        <f t="shared" si="1101"/>
        <v>#VALUE!</v>
      </c>
      <c r="R1789" s="116" t="e">
        <f t="shared" si="1102"/>
        <v>#VALUE!</v>
      </c>
      <c r="S1789" s="108">
        <v>0.75</v>
      </c>
      <c r="T1789" s="116" t="e">
        <f t="shared" si="1103"/>
        <v>#VALUE!</v>
      </c>
      <c r="U1789" s="116" t="e">
        <f t="shared" si="1104"/>
        <v>#VALUE!</v>
      </c>
      <c r="V1789" s="116" t="e">
        <f t="shared" si="1105"/>
        <v>#VALUE!</v>
      </c>
      <c r="W1789" s="116" t="e">
        <f t="shared" si="1106"/>
        <v>#VALUE!</v>
      </c>
      <c r="X1789" s="3" t="str">
        <f>INDEX(DistFuncAllocOptions,ROW(A1789)-ROW($A$92)+1,[4]Inputs!$S$11)</f>
        <v>PLNT</v>
      </c>
      <c r="Y1789" s="116" t="e">
        <f t="shared" si="1107"/>
        <v>#VALUE!</v>
      </c>
      <c r="Z1789" s="116" t="e">
        <f t="shared" si="1107"/>
        <v>#VALUE!</v>
      </c>
      <c r="AA1789" s="116" t="e">
        <f t="shared" si="1107"/>
        <v>#VALUE!</v>
      </c>
      <c r="AB1789" s="116" t="e">
        <f t="shared" si="1107"/>
        <v>#VALUE!</v>
      </c>
      <c r="AC1789" s="116" t="e">
        <f t="shared" si="1107"/>
        <v>#VALUE!</v>
      </c>
      <c r="AD1789" s="117" t="e">
        <f t="shared" si="1108"/>
        <v>#VALUE!</v>
      </c>
      <c r="AE1789" s="117" t="e">
        <f t="shared" si="1109"/>
        <v>#VALUE!</v>
      </c>
      <c r="AF1789" s="117" t="e">
        <f t="shared" si="1110"/>
        <v>#VALUE!</v>
      </c>
      <c r="AG1789" s="117" t="e">
        <f t="shared" si="1111"/>
        <v>#VALUE!</v>
      </c>
      <c r="AH1789" s="116"/>
      <c r="AI1789">
        <f t="shared" si="1093"/>
        <v>154</v>
      </c>
      <c r="AJ1789" t="str">
        <f t="shared" si="1087"/>
        <v>SG</v>
      </c>
      <c r="AK1789" t="str">
        <f>IF(ISERROR(MATCH(AI1789&amp;"."&amp;AJ1789,AK$91:AK1788,0)),AI1789&amp;"."&amp;AJ1789,AI1789&amp;"."&amp;AJ1789&amp;COUNTIFS(AI$91:AI1788,AI1789,AJ$91:AJ1788,AJ1789))</f>
        <v>154.SG2</v>
      </c>
    </row>
    <row r="1790" spans="1:37" ht="15" hidden="1">
      <c r="A1790" s="120">
        <f>ROW()</f>
        <v>1790</v>
      </c>
      <c r="B1790" s="120"/>
      <c r="E1790" s="121" t="s">
        <v>321</v>
      </c>
      <c r="F1790" s="138" t="str">
        <f>INDEX(FuncAllocOptions,ROW(A1790)-ROW($A$92)+1,[4]Inputs!$S$11)</f>
        <v>MSS</v>
      </c>
      <c r="G1790" s="117" t="e">
        <f t="shared" si="1097"/>
        <v>#VALUE!</v>
      </c>
      <c r="H1790" s="116" t="e">
        <f t="shared" si="1098"/>
        <v>#VALUE!</v>
      </c>
      <c r="I1790" s="116" t="e">
        <f t="shared" si="1098"/>
        <v>#VALUE!</v>
      </c>
      <c r="J1790" s="116" t="e">
        <f t="shared" si="1098"/>
        <v>#VALUE!</v>
      </c>
      <c r="K1790" s="116" t="e">
        <f t="shared" si="1098"/>
        <v>#VALUE!</v>
      </c>
      <c r="L1790" s="116" t="e">
        <f t="shared" si="1098"/>
        <v>#VALUE!</v>
      </c>
      <c r="N1790" s="108">
        <v>0.75</v>
      </c>
      <c r="O1790" s="116" t="e">
        <f t="shared" si="1099"/>
        <v>#VALUE!</v>
      </c>
      <c r="P1790" s="116" t="e">
        <f t="shared" si="1100"/>
        <v>#VALUE!</v>
      </c>
      <c r="Q1790" s="116" t="e">
        <f t="shared" si="1101"/>
        <v>#VALUE!</v>
      </c>
      <c r="R1790" s="116" t="e">
        <f t="shared" si="1102"/>
        <v>#VALUE!</v>
      </c>
      <c r="S1790" s="108">
        <v>0.75</v>
      </c>
      <c r="T1790" s="116" t="e">
        <f t="shared" si="1103"/>
        <v>#VALUE!</v>
      </c>
      <c r="U1790" s="116" t="e">
        <f t="shared" si="1104"/>
        <v>#VALUE!</v>
      </c>
      <c r="V1790" s="116" t="e">
        <f t="shared" si="1105"/>
        <v>#VALUE!</v>
      </c>
      <c r="W1790" s="116" t="e">
        <f t="shared" si="1106"/>
        <v>#VALUE!</v>
      </c>
      <c r="X1790" s="3" t="str">
        <f>INDEX(DistFuncAllocOptions,ROW(A1790)-ROW($A$92)+1,[4]Inputs!$S$11)</f>
        <v>PLNT</v>
      </c>
      <c r="Y1790" s="116" t="e">
        <f t="shared" si="1107"/>
        <v>#VALUE!</v>
      </c>
      <c r="Z1790" s="116" t="e">
        <f t="shared" si="1107"/>
        <v>#VALUE!</v>
      </c>
      <c r="AA1790" s="116" t="e">
        <f t="shared" si="1107"/>
        <v>#VALUE!</v>
      </c>
      <c r="AB1790" s="116" t="e">
        <f t="shared" si="1107"/>
        <v>#VALUE!</v>
      </c>
      <c r="AC1790" s="116" t="e">
        <f t="shared" si="1107"/>
        <v>#VALUE!</v>
      </c>
      <c r="AD1790" s="117" t="e">
        <f t="shared" si="1108"/>
        <v>#VALUE!</v>
      </c>
      <c r="AE1790" s="117" t="e">
        <f t="shared" si="1109"/>
        <v>#VALUE!</v>
      </c>
      <c r="AF1790" s="117" t="e">
        <f t="shared" si="1110"/>
        <v>#VALUE!</v>
      </c>
      <c r="AG1790" s="117" t="e">
        <f t="shared" si="1111"/>
        <v>#VALUE!</v>
      </c>
      <c r="AH1790" s="116"/>
      <c r="AI1790">
        <f t="shared" si="1093"/>
        <v>154</v>
      </c>
      <c r="AJ1790" t="str">
        <f t="shared" si="1087"/>
        <v>SNPD</v>
      </c>
      <c r="AK1790" t="str">
        <f>IF(ISERROR(MATCH(AI1790&amp;"."&amp;AJ1790,AK$91:AK1789,0)),AI1790&amp;"."&amp;AJ1790,AI1790&amp;"."&amp;AJ1790&amp;COUNTIFS(AI$91:AI1789,AI1790,AJ$91:AJ1789,AJ1790))</f>
        <v>154.SNPD</v>
      </c>
    </row>
    <row r="1791" spans="1:37" ht="15" hidden="1">
      <c r="A1791" s="120">
        <f>ROW()</f>
        <v>1791</v>
      </c>
      <c r="B1791" s="120"/>
      <c r="E1791" s="121" t="s">
        <v>15</v>
      </c>
      <c r="F1791" s="138" t="str">
        <f>INDEX(FuncAllocOptions,ROW(A1791)-ROW($A$92)+1,[4]Inputs!$S$11)</f>
        <v>MSS</v>
      </c>
      <c r="G1791" s="117" t="e">
        <f t="shared" si="1097"/>
        <v>#VALUE!</v>
      </c>
      <c r="H1791" s="116" t="e">
        <f t="shared" si="1098"/>
        <v>#VALUE!</v>
      </c>
      <c r="I1791" s="116" t="e">
        <f t="shared" si="1098"/>
        <v>#VALUE!</v>
      </c>
      <c r="J1791" s="116" t="e">
        <f t="shared" si="1098"/>
        <v>#VALUE!</v>
      </c>
      <c r="K1791" s="116" t="e">
        <f t="shared" si="1098"/>
        <v>#VALUE!</v>
      </c>
      <c r="L1791" s="116" t="e">
        <f t="shared" si="1098"/>
        <v>#VALUE!</v>
      </c>
      <c r="N1791" s="108">
        <v>0.75</v>
      </c>
      <c r="O1791" s="116" t="e">
        <f t="shared" si="1099"/>
        <v>#VALUE!</v>
      </c>
      <c r="P1791" s="116" t="e">
        <f t="shared" si="1100"/>
        <v>#VALUE!</v>
      </c>
      <c r="Q1791" s="116" t="e">
        <f t="shared" si="1101"/>
        <v>#VALUE!</v>
      </c>
      <c r="R1791" s="116" t="e">
        <f t="shared" si="1102"/>
        <v>#VALUE!</v>
      </c>
      <c r="S1791" s="108">
        <v>0.75</v>
      </c>
      <c r="T1791" s="116" t="e">
        <f t="shared" si="1103"/>
        <v>#VALUE!</v>
      </c>
      <c r="U1791" s="116" t="e">
        <f t="shared" si="1104"/>
        <v>#VALUE!</v>
      </c>
      <c r="V1791" s="116" t="e">
        <f t="shared" si="1105"/>
        <v>#VALUE!</v>
      </c>
      <c r="W1791" s="116" t="e">
        <f t="shared" si="1106"/>
        <v>#VALUE!</v>
      </c>
      <c r="X1791" s="3" t="str">
        <f>INDEX(DistFuncAllocOptions,ROW(A1791)-ROW($A$92)+1,[4]Inputs!$S$11)</f>
        <v>PLNT</v>
      </c>
      <c r="Y1791" s="116" t="e">
        <f t="shared" si="1107"/>
        <v>#VALUE!</v>
      </c>
      <c r="Z1791" s="116" t="e">
        <f t="shared" si="1107"/>
        <v>#VALUE!</v>
      </c>
      <c r="AA1791" s="116" t="e">
        <f t="shared" si="1107"/>
        <v>#VALUE!</v>
      </c>
      <c r="AB1791" s="116" t="e">
        <f t="shared" si="1107"/>
        <v>#VALUE!</v>
      </c>
      <c r="AC1791" s="116" t="e">
        <f t="shared" si="1107"/>
        <v>#VALUE!</v>
      </c>
      <c r="AD1791" s="117" t="e">
        <f t="shared" si="1108"/>
        <v>#VALUE!</v>
      </c>
      <c r="AE1791" s="117" t="e">
        <f t="shared" si="1109"/>
        <v>#VALUE!</v>
      </c>
      <c r="AF1791" s="117" t="e">
        <f t="shared" si="1110"/>
        <v>#VALUE!</v>
      </c>
      <c r="AG1791" s="117" t="e">
        <f t="shared" si="1111"/>
        <v>#VALUE!</v>
      </c>
      <c r="AH1791" s="116"/>
      <c r="AI1791">
        <f t="shared" si="1093"/>
        <v>154</v>
      </c>
      <c r="AJ1791" t="str">
        <f t="shared" si="1087"/>
        <v>SG</v>
      </c>
      <c r="AK1791" t="str">
        <f>IF(ISERROR(MATCH(AI1791&amp;"."&amp;AJ1791,AK$91:AK1790,0)),AI1791&amp;"."&amp;AJ1791,AI1791&amp;"."&amp;AJ1791&amp;COUNTIFS(AI$91:AI1790,AI1791,AJ$91:AJ1790,AJ1791))</f>
        <v>154.SG3</v>
      </c>
    </row>
    <row r="1792" spans="1:37" ht="15" hidden="1">
      <c r="A1792" s="120">
        <f>ROW()</f>
        <v>1792</v>
      </c>
      <c r="B1792" s="120"/>
      <c r="E1792" s="121" t="s">
        <v>15</v>
      </c>
      <c r="F1792" s="138" t="str">
        <f>INDEX(FuncAllocOptions,ROW(A1792)-ROW($A$92)+1,[4]Inputs!$S$11)</f>
        <v>MSS</v>
      </c>
      <c r="G1792" s="117" t="e">
        <f t="shared" si="1097"/>
        <v>#VALUE!</v>
      </c>
      <c r="H1792" s="116" t="e">
        <f t="shared" si="1098"/>
        <v>#VALUE!</v>
      </c>
      <c r="I1792" s="116" t="e">
        <f t="shared" si="1098"/>
        <v>#VALUE!</v>
      </c>
      <c r="J1792" s="116" t="e">
        <f t="shared" si="1098"/>
        <v>#VALUE!</v>
      </c>
      <c r="K1792" s="116" t="e">
        <f t="shared" si="1098"/>
        <v>#VALUE!</v>
      </c>
      <c r="L1792" s="116" t="e">
        <f t="shared" si="1098"/>
        <v>#VALUE!</v>
      </c>
      <c r="N1792" s="108">
        <v>0.75</v>
      </c>
      <c r="O1792" s="116" t="e">
        <f t="shared" si="1099"/>
        <v>#VALUE!</v>
      </c>
      <c r="P1792" s="116" t="e">
        <f t="shared" si="1100"/>
        <v>#VALUE!</v>
      </c>
      <c r="Q1792" s="116" t="e">
        <f t="shared" si="1101"/>
        <v>#VALUE!</v>
      </c>
      <c r="R1792" s="116" t="e">
        <f t="shared" si="1102"/>
        <v>#VALUE!</v>
      </c>
      <c r="S1792" s="108">
        <v>0.75</v>
      </c>
      <c r="T1792" s="116" t="e">
        <f t="shared" si="1103"/>
        <v>#VALUE!</v>
      </c>
      <c r="U1792" s="116" t="e">
        <f t="shared" si="1104"/>
        <v>#VALUE!</v>
      </c>
      <c r="V1792" s="116" t="e">
        <f t="shared" si="1105"/>
        <v>#VALUE!</v>
      </c>
      <c r="W1792" s="116" t="e">
        <f t="shared" si="1106"/>
        <v>#VALUE!</v>
      </c>
      <c r="X1792" s="3" t="str">
        <f>INDEX(DistFuncAllocOptions,ROW(A1792)-ROW($A$92)+1,[4]Inputs!$S$11)</f>
        <v>PLNT</v>
      </c>
      <c r="Y1792" s="116" t="e">
        <f t="shared" si="1107"/>
        <v>#VALUE!</v>
      </c>
      <c r="Z1792" s="116" t="e">
        <f t="shared" si="1107"/>
        <v>#VALUE!</v>
      </c>
      <c r="AA1792" s="116" t="e">
        <f t="shared" si="1107"/>
        <v>#VALUE!</v>
      </c>
      <c r="AB1792" s="116" t="e">
        <f t="shared" si="1107"/>
        <v>#VALUE!</v>
      </c>
      <c r="AC1792" s="116" t="e">
        <f t="shared" si="1107"/>
        <v>#VALUE!</v>
      </c>
      <c r="AD1792" s="117" t="e">
        <f t="shared" si="1108"/>
        <v>#VALUE!</v>
      </c>
      <c r="AE1792" s="117" t="e">
        <f t="shared" si="1109"/>
        <v>#VALUE!</v>
      </c>
      <c r="AF1792" s="117" t="e">
        <f t="shared" si="1110"/>
        <v>#VALUE!</v>
      </c>
      <c r="AG1792" s="117" t="e">
        <f t="shared" si="1111"/>
        <v>#VALUE!</v>
      </c>
      <c r="AH1792" s="116"/>
      <c r="AI1792">
        <f t="shared" si="1093"/>
        <v>154</v>
      </c>
      <c r="AJ1792" t="str">
        <f t="shared" si="1087"/>
        <v>SG</v>
      </c>
      <c r="AK1792" t="str">
        <f>IF(ISERROR(MATCH(AI1792&amp;"."&amp;AJ1792,AK$91:AK1791,0)),AI1792&amp;"."&amp;AJ1792,AI1792&amp;"."&amp;AJ1792&amp;COUNTIFS(AI$91:AI1791,AI1792,AJ$91:AJ1791,AJ1792))</f>
        <v>154.SG4</v>
      </c>
    </row>
    <row r="1793" spans="1:37" ht="15" hidden="1">
      <c r="A1793" s="120">
        <f>ROW()</f>
        <v>1793</v>
      </c>
      <c r="B1793" s="120"/>
      <c r="E1793" s="121" t="s">
        <v>15</v>
      </c>
      <c r="F1793" s="138" t="str">
        <f>INDEX(FuncAllocOptions,ROW(A1793)-ROW($A$92)+1,[4]Inputs!$S$11)</f>
        <v>MSS</v>
      </c>
      <c r="G1793" s="117" t="e">
        <f t="shared" si="1097"/>
        <v>#VALUE!</v>
      </c>
      <c r="H1793" s="116" t="e">
        <f t="shared" si="1098"/>
        <v>#VALUE!</v>
      </c>
      <c r="I1793" s="116" t="e">
        <f t="shared" si="1098"/>
        <v>#VALUE!</v>
      </c>
      <c r="J1793" s="116" t="e">
        <f t="shared" si="1098"/>
        <v>#VALUE!</v>
      </c>
      <c r="K1793" s="116" t="e">
        <f t="shared" si="1098"/>
        <v>#VALUE!</v>
      </c>
      <c r="L1793" s="116" t="e">
        <f t="shared" si="1098"/>
        <v>#VALUE!</v>
      </c>
      <c r="N1793" s="108">
        <v>0.75</v>
      </c>
      <c r="O1793" s="116" t="e">
        <f t="shared" si="1099"/>
        <v>#VALUE!</v>
      </c>
      <c r="P1793" s="116" t="e">
        <f t="shared" si="1100"/>
        <v>#VALUE!</v>
      </c>
      <c r="Q1793" s="116" t="e">
        <f t="shared" si="1101"/>
        <v>#VALUE!</v>
      </c>
      <c r="R1793" s="116" t="e">
        <f t="shared" si="1102"/>
        <v>#VALUE!</v>
      </c>
      <c r="S1793" s="108">
        <v>0.75</v>
      </c>
      <c r="T1793" s="116" t="e">
        <f t="shared" si="1103"/>
        <v>#VALUE!</v>
      </c>
      <c r="U1793" s="116" t="e">
        <f t="shared" si="1104"/>
        <v>#VALUE!</v>
      </c>
      <c r="V1793" s="116" t="e">
        <f t="shared" si="1105"/>
        <v>#VALUE!</v>
      </c>
      <c r="W1793" s="116" t="e">
        <f t="shared" si="1106"/>
        <v>#VALUE!</v>
      </c>
      <c r="X1793" s="3" t="str">
        <f>INDEX(DistFuncAllocOptions,ROW(A1793)-ROW($A$92)+1,[4]Inputs!$S$11)</f>
        <v>PLNT</v>
      </c>
      <c r="Y1793" s="116" t="e">
        <f t="shared" si="1107"/>
        <v>#VALUE!</v>
      </c>
      <c r="Z1793" s="116" t="e">
        <f t="shared" si="1107"/>
        <v>#VALUE!</v>
      </c>
      <c r="AA1793" s="116" t="e">
        <f t="shared" si="1107"/>
        <v>#VALUE!</v>
      </c>
      <c r="AB1793" s="116" t="e">
        <f t="shared" si="1107"/>
        <v>#VALUE!</v>
      </c>
      <c r="AC1793" s="116" t="e">
        <f t="shared" si="1107"/>
        <v>#VALUE!</v>
      </c>
      <c r="AD1793" s="117" t="e">
        <f t="shared" si="1108"/>
        <v>#VALUE!</v>
      </c>
      <c r="AE1793" s="117" t="e">
        <f t="shared" si="1109"/>
        <v>#VALUE!</v>
      </c>
      <c r="AF1793" s="117" t="e">
        <f t="shared" si="1110"/>
        <v>#VALUE!</v>
      </c>
      <c r="AG1793" s="117" t="e">
        <f t="shared" si="1111"/>
        <v>#VALUE!</v>
      </c>
      <c r="AH1793" s="116"/>
      <c r="AI1793">
        <f t="shared" si="1093"/>
        <v>154</v>
      </c>
      <c r="AJ1793" t="str">
        <f t="shared" si="1087"/>
        <v>SG</v>
      </c>
      <c r="AK1793" t="str">
        <f>IF(ISERROR(MATCH(AI1793&amp;"."&amp;AJ1793,AK$91:AK1792,0)),AI1793&amp;"."&amp;AJ1793,AI1793&amp;"."&amp;AJ1793&amp;COUNTIFS(AI$91:AI1792,AI1793,AJ$91:AJ1792,AJ1793))</f>
        <v>154.SG5</v>
      </c>
    </row>
    <row r="1794" spans="1:37" ht="15" hidden="1">
      <c r="A1794" s="120">
        <f>ROW()</f>
        <v>1794</v>
      </c>
      <c r="B1794" s="120"/>
      <c r="E1794" s="121" t="s">
        <v>15</v>
      </c>
      <c r="F1794" s="138" t="str">
        <f>INDEX(FuncAllocOptions,ROW(A1794)-ROW($A$92)+1,[4]Inputs!$S$11)</f>
        <v>MSS</v>
      </c>
      <c r="G1794" s="117" t="e">
        <f t="shared" si="1097"/>
        <v>#VALUE!</v>
      </c>
      <c r="H1794" s="116" t="e">
        <f t="shared" si="1098"/>
        <v>#VALUE!</v>
      </c>
      <c r="I1794" s="116" t="e">
        <f t="shared" si="1098"/>
        <v>#VALUE!</v>
      </c>
      <c r="J1794" s="116" t="e">
        <f t="shared" si="1098"/>
        <v>#VALUE!</v>
      </c>
      <c r="K1794" s="116" t="e">
        <f t="shared" si="1098"/>
        <v>#VALUE!</v>
      </c>
      <c r="L1794" s="116" t="e">
        <f t="shared" si="1098"/>
        <v>#VALUE!</v>
      </c>
      <c r="N1794" s="108">
        <v>0.75</v>
      </c>
      <c r="O1794" s="116" t="e">
        <f t="shared" si="1099"/>
        <v>#VALUE!</v>
      </c>
      <c r="P1794" s="116" t="e">
        <f t="shared" si="1100"/>
        <v>#VALUE!</v>
      </c>
      <c r="Q1794" s="116" t="e">
        <f t="shared" si="1101"/>
        <v>#VALUE!</v>
      </c>
      <c r="R1794" s="116" t="e">
        <f t="shared" si="1102"/>
        <v>#VALUE!</v>
      </c>
      <c r="S1794" s="108">
        <v>0.75</v>
      </c>
      <c r="T1794" s="116" t="e">
        <f t="shared" si="1103"/>
        <v>#VALUE!</v>
      </c>
      <c r="U1794" s="116" t="e">
        <f t="shared" si="1104"/>
        <v>#VALUE!</v>
      </c>
      <c r="V1794" s="116" t="e">
        <f t="shared" si="1105"/>
        <v>#VALUE!</v>
      </c>
      <c r="W1794" s="116" t="e">
        <f t="shared" si="1106"/>
        <v>#VALUE!</v>
      </c>
      <c r="X1794" s="3" t="str">
        <f>INDEX(DistFuncAllocOptions,ROW(A1794)-ROW($A$92)+1,[4]Inputs!$S$11)</f>
        <v>PLNT</v>
      </c>
      <c r="Y1794" s="116" t="e">
        <f t="shared" si="1107"/>
        <v>#VALUE!</v>
      </c>
      <c r="Z1794" s="116" t="e">
        <f t="shared" si="1107"/>
        <v>#VALUE!</v>
      </c>
      <c r="AA1794" s="116" t="e">
        <f t="shared" si="1107"/>
        <v>#VALUE!</v>
      </c>
      <c r="AB1794" s="116" t="e">
        <f t="shared" si="1107"/>
        <v>#VALUE!</v>
      </c>
      <c r="AC1794" s="116" t="e">
        <f t="shared" si="1107"/>
        <v>#VALUE!</v>
      </c>
      <c r="AD1794" s="117" t="e">
        <f t="shared" si="1108"/>
        <v>#VALUE!</v>
      </c>
      <c r="AE1794" s="117" t="e">
        <f t="shared" si="1109"/>
        <v>#VALUE!</v>
      </c>
      <c r="AF1794" s="117" t="e">
        <f t="shared" si="1110"/>
        <v>#VALUE!</v>
      </c>
      <c r="AG1794" s="117" t="e">
        <f t="shared" si="1111"/>
        <v>#VALUE!</v>
      </c>
      <c r="AH1794" s="116"/>
      <c r="AI1794">
        <f t="shared" si="1093"/>
        <v>154</v>
      </c>
      <c r="AJ1794" t="str">
        <f t="shared" si="1087"/>
        <v>SG</v>
      </c>
      <c r="AK1794" t="str">
        <f>IF(ISERROR(MATCH(AI1794&amp;"."&amp;AJ1794,AK$91:AK1793,0)),AI1794&amp;"."&amp;AJ1794,AI1794&amp;"."&amp;AJ1794&amp;COUNTIFS(AI$91:AI1793,AI1794,AJ$91:AJ1793,AJ1794))</f>
        <v>154.SG6</v>
      </c>
    </row>
    <row r="1795" spans="1:37" ht="15" hidden="1">
      <c r="A1795" s="120">
        <f>ROW()</f>
        <v>1795</v>
      </c>
      <c r="B1795" s="120"/>
      <c r="E1795" s="121" t="s">
        <v>15</v>
      </c>
      <c r="F1795" s="138" t="str">
        <f>INDEX(FuncAllocOptions,ROW(A1795)-ROW($A$92)+1,[4]Inputs!$S$11)</f>
        <v>MSS</v>
      </c>
      <c r="G1795" s="117" t="e">
        <f t="shared" si="1097"/>
        <v>#VALUE!</v>
      </c>
      <c r="H1795" s="116" t="e">
        <f t="shared" si="1098"/>
        <v>#VALUE!</v>
      </c>
      <c r="I1795" s="116" t="e">
        <f t="shared" si="1098"/>
        <v>#VALUE!</v>
      </c>
      <c r="J1795" s="116" t="e">
        <f t="shared" si="1098"/>
        <v>#VALUE!</v>
      </c>
      <c r="K1795" s="116" t="e">
        <f t="shared" si="1098"/>
        <v>#VALUE!</v>
      </c>
      <c r="L1795" s="116" t="e">
        <f t="shared" si="1098"/>
        <v>#VALUE!</v>
      </c>
      <c r="N1795" s="108">
        <v>0.75</v>
      </c>
      <c r="O1795" s="116" t="e">
        <f t="shared" si="1099"/>
        <v>#VALUE!</v>
      </c>
      <c r="P1795" s="116" t="e">
        <f t="shared" si="1100"/>
        <v>#VALUE!</v>
      </c>
      <c r="Q1795" s="116" t="e">
        <f t="shared" si="1101"/>
        <v>#VALUE!</v>
      </c>
      <c r="R1795" s="116" t="e">
        <f t="shared" si="1102"/>
        <v>#VALUE!</v>
      </c>
      <c r="S1795" s="108">
        <v>0.75</v>
      </c>
      <c r="T1795" s="116" t="e">
        <f t="shared" si="1103"/>
        <v>#VALUE!</v>
      </c>
      <c r="U1795" s="116" t="e">
        <f t="shared" si="1104"/>
        <v>#VALUE!</v>
      </c>
      <c r="V1795" s="116" t="e">
        <f t="shared" si="1105"/>
        <v>#VALUE!</v>
      </c>
      <c r="W1795" s="116" t="e">
        <f t="shared" si="1106"/>
        <v>#VALUE!</v>
      </c>
      <c r="X1795" s="3" t="str">
        <f>INDEX(DistFuncAllocOptions,ROW(A1795)-ROW($A$92)+1,[4]Inputs!$S$11)</f>
        <v>PLNT</v>
      </c>
      <c r="Y1795" s="116" t="e">
        <f t="shared" si="1107"/>
        <v>#VALUE!</v>
      </c>
      <c r="Z1795" s="116" t="e">
        <f t="shared" si="1107"/>
        <v>#VALUE!</v>
      </c>
      <c r="AA1795" s="116" t="e">
        <f t="shared" si="1107"/>
        <v>#VALUE!</v>
      </c>
      <c r="AB1795" s="116" t="e">
        <f t="shared" si="1107"/>
        <v>#VALUE!</v>
      </c>
      <c r="AC1795" s="116" t="e">
        <f t="shared" si="1107"/>
        <v>#VALUE!</v>
      </c>
      <c r="AD1795" s="117" t="e">
        <f t="shared" si="1108"/>
        <v>#VALUE!</v>
      </c>
      <c r="AE1795" s="117" t="e">
        <f t="shared" si="1109"/>
        <v>#VALUE!</v>
      </c>
      <c r="AF1795" s="117" t="e">
        <f t="shared" si="1110"/>
        <v>#VALUE!</v>
      </c>
      <c r="AG1795" s="117" t="e">
        <f t="shared" si="1111"/>
        <v>#VALUE!</v>
      </c>
      <c r="AH1795" s="116"/>
      <c r="AI1795">
        <f t="shared" si="1093"/>
        <v>154</v>
      </c>
      <c r="AJ1795" t="str">
        <f t="shared" si="1087"/>
        <v>SG</v>
      </c>
      <c r="AK1795" t="str">
        <f>IF(ISERROR(MATCH(AI1795&amp;"."&amp;AJ1795,AK$91:AK1794,0)),AI1795&amp;"."&amp;AJ1795,AI1795&amp;"."&amp;AJ1795&amp;COUNTIFS(AI$91:AI1794,AI1795,AJ$91:AJ1794,AJ1795))</f>
        <v>154.SG7</v>
      </c>
    </row>
    <row r="1796" spans="1:37" ht="15" hidden="1">
      <c r="A1796" s="120">
        <f>ROW()</f>
        <v>1796</v>
      </c>
      <c r="B1796" s="120"/>
      <c r="E1796" s="121" t="s">
        <v>15</v>
      </c>
      <c r="F1796" s="138" t="str">
        <f>INDEX(FuncAllocOptions,ROW(A1796)-ROW($A$92)+1,[4]Inputs!$S$11)</f>
        <v>MSS</v>
      </c>
      <c r="G1796" s="133" t="e">
        <f t="shared" si="1097"/>
        <v>#VALUE!</v>
      </c>
      <c r="H1796" s="139" t="e">
        <f t="shared" si="1098"/>
        <v>#VALUE!</v>
      </c>
      <c r="I1796" s="139" t="e">
        <f t="shared" si="1098"/>
        <v>#VALUE!</v>
      </c>
      <c r="J1796" s="139" t="e">
        <f t="shared" si="1098"/>
        <v>#VALUE!</v>
      </c>
      <c r="K1796" s="139" t="e">
        <f t="shared" si="1098"/>
        <v>#VALUE!</v>
      </c>
      <c r="L1796" s="139" t="e">
        <f t="shared" si="1098"/>
        <v>#VALUE!</v>
      </c>
      <c r="N1796" s="108">
        <v>0.75</v>
      </c>
      <c r="O1796" s="116" t="e">
        <f t="shared" si="1099"/>
        <v>#VALUE!</v>
      </c>
      <c r="P1796" s="116" t="e">
        <f t="shared" si="1100"/>
        <v>#VALUE!</v>
      </c>
      <c r="Q1796" s="116" t="e">
        <f t="shared" si="1101"/>
        <v>#VALUE!</v>
      </c>
      <c r="R1796" s="116" t="e">
        <f t="shared" si="1102"/>
        <v>#VALUE!</v>
      </c>
      <c r="S1796" s="108">
        <v>0.75</v>
      </c>
      <c r="T1796" s="116" t="e">
        <f t="shared" si="1103"/>
        <v>#VALUE!</v>
      </c>
      <c r="U1796" s="116" t="e">
        <f t="shared" si="1104"/>
        <v>#VALUE!</v>
      </c>
      <c r="V1796" s="116" t="e">
        <f t="shared" si="1105"/>
        <v>#VALUE!</v>
      </c>
      <c r="W1796" s="116" t="e">
        <f t="shared" si="1106"/>
        <v>#VALUE!</v>
      </c>
      <c r="X1796" s="3" t="str">
        <f>INDEX(DistFuncAllocOptions,ROW(A1796)-ROW($A$92)+1,[4]Inputs!$S$11)</f>
        <v>PLNT</v>
      </c>
      <c r="Y1796" s="116" t="e">
        <f t="shared" si="1107"/>
        <v>#VALUE!</v>
      </c>
      <c r="Z1796" s="116" t="e">
        <f t="shared" si="1107"/>
        <v>#VALUE!</v>
      </c>
      <c r="AA1796" s="116" t="e">
        <f t="shared" si="1107"/>
        <v>#VALUE!</v>
      </c>
      <c r="AB1796" s="116" t="e">
        <f t="shared" si="1107"/>
        <v>#VALUE!</v>
      </c>
      <c r="AC1796" s="116" t="e">
        <f t="shared" si="1107"/>
        <v>#VALUE!</v>
      </c>
      <c r="AD1796" s="117" t="e">
        <f t="shared" si="1108"/>
        <v>#VALUE!</v>
      </c>
      <c r="AE1796" s="117" t="e">
        <f t="shared" si="1109"/>
        <v>#VALUE!</v>
      </c>
      <c r="AF1796" s="117" t="e">
        <f t="shared" si="1110"/>
        <v>#VALUE!</v>
      </c>
      <c r="AG1796" s="117" t="e">
        <f t="shared" si="1111"/>
        <v>#VALUE!</v>
      </c>
      <c r="AH1796" s="116"/>
      <c r="AI1796">
        <f t="shared" si="1093"/>
        <v>154</v>
      </c>
      <c r="AJ1796" t="str">
        <f t="shared" si="1087"/>
        <v>SG</v>
      </c>
      <c r="AK1796" t="str">
        <f>IF(ISERROR(MATCH(AI1796&amp;"."&amp;AJ1796,AK$91:AK1795,0)),AI1796&amp;"."&amp;AJ1796,AI1796&amp;"."&amp;AJ1796&amp;COUNTIFS(AI$91:AI1795,AI1796,AJ$91:AJ1795,AJ1796))</f>
        <v>154.SG8</v>
      </c>
    </row>
    <row r="1797" spans="1:37" ht="15" hidden="1">
      <c r="A1797" s="120">
        <f>ROW()</f>
        <v>1797</v>
      </c>
      <c r="B1797" s="120"/>
      <c r="E1797" s="121"/>
      <c r="F1797" s="138"/>
      <c r="G1797" s="117" t="e">
        <f t="shared" ref="G1797:L1797" si="1112">SUM(G1784:G1796)</f>
        <v>#VALUE!</v>
      </c>
      <c r="H1797" s="116" t="e">
        <f t="shared" si="1112"/>
        <v>#VALUE!</v>
      </c>
      <c r="I1797" s="116" t="e">
        <f t="shared" si="1112"/>
        <v>#VALUE!</v>
      </c>
      <c r="J1797" s="116" t="e">
        <f t="shared" si="1112"/>
        <v>#VALUE!</v>
      </c>
      <c r="K1797" s="116" t="e">
        <f t="shared" si="1112"/>
        <v>#VALUE!</v>
      </c>
      <c r="L1797" s="116" t="e">
        <f t="shared" si="1112"/>
        <v>#VALUE!</v>
      </c>
      <c r="O1797" s="116" t="e">
        <f>SUM(O1784:O1796)</f>
        <v>#VALUE!</v>
      </c>
      <c r="P1797" s="116" t="e">
        <f>SUM(P1784:P1796)</f>
        <v>#VALUE!</v>
      </c>
      <c r="Q1797" s="116" t="e">
        <f>SUM(Q1784:Q1796)</f>
        <v>#VALUE!</v>
      </c>
      <c r="R1797" s="116" t="e">
        <f>SUM(R1784:R1796)</f>
        <v>#VALUE!</v>
      </c>
      <c r="T1797" s="116" t="e">
        <f>SUM(T1784:T1796)</f>
        <v>#VALUE!</v>
      </c>
      <c r="U1797" s="116" t="e">
        <f>SUM(U1784:U1796)</f>
        <v>#VALUE!</v>
      </c>
      <c r="V1797" s="116" t="e">
        <f>SUM(V1784:V1796)</f>
        <v>#VALUE!</v>
      </c>
      <c r="W1797" s="116" t="e">
        <f>SUM(W1784:W1796)</f>
        <v>#VALUE!</v>
      </c>
      <c r="X1797" s="3"/>
      <c r="Y1797" s="116" t="e">
        <f>SUM(Y1784:Y1796)</f>
        <v>#VALUE!</v>
      </c>
      <c r="Z1797" s="116" t="e">
        <f>SUM(Z1784:Z1796)</f>
        <v>#VALUE!</v>
      </c>
      <c r="AA1797" s="116" t="e">
        <f>SUM(AA1784:AA1796)</f>
        <v>#VALUE!</v>
      </c>
      <c r="AB1797" s="116" t="e">
        <f>SUM(AB1784:AB1796)</f>
        <v>#VALUE!</v>
      </c>
      <c r="AC1797" s="116" t="e">
        <f>SUM(AC1784:AC1796)</f>
        <v>#VALUE!</v>
      </c>
      <c r="AD1797" s="117" t="e">
        <f t="shared" si="1108"/>
        <v>#VALUE!</v>
      </c>
      <c r="AE1797" s="117" t="e">
        <f t="shared" si="1109"/>
        <v>#VALUE!</v>
      </c>
      <c r="AF1797" s="117" t="e">
        <f t="shared" si="1110"/>
        <v>#VALUE!</v>
      </c>
      <c r="AG1797" s="117" t="e">
        <f t="shared" si="1111"/>
        <v>#VALUE!</v>
      </c>
      <c r="AH1797" s="116"/>
      <c r="AI1797">
        <f t="shared" si="1093"/>
        <v>154</v>
      </c>
      <c r="AJ1797" t="str">
        <f t="shared" si="1087"/>
        <v>NA</v>
      </c>
      <c r="AK1797" t="str">
        <f>IF(ISERROR(MATCH(AI1797&amp;"."&amp;AJ1797,AK$91:AK1796,0)),AI1797&amp;"."&amp;AJ1797,AI1797&amp;"."&amp;AJ1797&amp;COUNTIFS(AI$91:AI1796,AI1797,AJ$91:AJ1796,AJ1797))</f>
        <v>154.NA1</v>
      </c>
    </row>
    <row r="1798" spans="1:37" ht="15" hidden="1">
      <c r="A1798" s="120">
        <f>ROW()</f>
        <v>1798</v>
      </c>
      <c r="B1798" s="120"/>
      <c r="E1798" s="121"/>
      <c r="F1798" s="138"/>
      <c r="G1798" s="159"/>
      <c r="X1798" s="3"/>
      <c r="AD1798" s="119"/>
      <c r="AE1798" s="119"/>
      <c r="AF1798" s="119"/>
      <c r="AG1798" s="119"/>
      <c r="AI1798">
        <f t="shared" si="1093"/>
        <v>154</v>
      </c>
      <c r="AJ1798" t="str">
        <f t="shared" si="1087"/>
        <v>NA</v>
      </c>
      <c r="AK1798" t="str">
        <f>IF(ISERROR(MATCH(AI1798&amp;"."&amp;AJ1798,AK$91:AK1797,0)),AI1798&amp;"."&amp;AJ1798,AI1798&amp;"."&amp;AJ1798&amp;COUNTIFS(AI$91:AI1797,AI1798,AJ$91:AJ1797,AJ1798))</f>
        <v>154.NA2</v>
      </c>
    </row>
    <row r="1799" spans="1:37" ht="15" hidden="1">
      <c r="A1799" s="120">
        <f>ROW()</f>
        <v>1799</v>
      </c>
      <c r="B1799" s="120"/>
      <c r="C1799" s="1">
        <v>163</v>
      </c>
      <c r="D1799" s="2" t="s">
        <v>612</v>
      </c>
      <c r="E1799" s="121"/>
      <c r="F1799" s="138"/>
      <c r="G1799" s="119"/>
      <c r="X1799" s="3"/>
      <c r="AD1799" s="119"/>
      <c r="AE1799" s="119"/>
      <c r="AF1799" s="119"/>
      <c r="AG1799" s="119"/>
      <c r="AI1799">
        <f t="shared" si="1093"/>
        <v>163</v>
      </c>
      <c r="AJ1799" t="str">
        <f t="shared" si="1087"/>
        <v>NA</v>
      </c>
      <c r="AK1799" t="str">
        <f>IF(ISERROR(MATCH(AI1799&amp;"."&amp;AJ1799,AK$91:AK1798,0)),AI1799&amp;"."&amp;AJ1799,AI1799&amp;"."&amp;AJ1799&amp;COUNTIFS(AI$91:AI1798,AI1799,AJ$91:AJ1798,AJ1799))</f>
        <v>163.NA</v>
      </c>
    </row>
    <row r="1800" spans="1:37" ht="15" hidden="1">
      <c r="A1800" s="120">
        <f>ROW()</f>
        <v>1800</v>
      </c>
      <c r="B1800" s="120"/>
      <c r="C1800" s="1"/>
      <c r="E1800" s="121" t="s">
        <v>136</v>
      </c>
      <c r="F1800" s="138" t="str">
        <f>INDEX(FuncAllocOptions,ROW(A1800)-ROW($A$92)+1,[4]Inputs!$S$11)</f>
        <v>MSS</v>
      </c>
      <c r="G1800" s="133" t="e">
        <f>SUMIF(FERCJAMFactor,AK1800,JAMValue)</f>
        <v>#VALUE!</v>
      </c>
      <c r="H1800" s="139" t="e">
        <f>INDEX(FuncFactorTbl,MATCH($F1800,FuncFactors,0),MATCH(H$8,Functions,0))*$G1800</f>
        <v>#VALUE!</v>
      </c>
      <c r="I1800" s="139" t="e">
        <f>INDEX(FuncFactorTbl,MATCH($F1800,FuncFactors,0),MATCH(I$8,Functions,0))*$G1800</f>
        <v>#VALUE!</v>
      </c>
      <c r="J1800" s="139" t="e">
        <f>INDEX(FuncFactorTbl,MATCH($F1800,FuncFactors,0),MATCH(J$8,Functions,0))*$G1800</f>
        <v>#VALUE!</v>
      </c>
      <c r="K1800" s="139" t="e">
        <f>INDEX(FuncFactorTbl,MATCH($F1800,FuncFactors,0),MATCH(K$8,Functions,0))*$G1800</f>
        <v>#VALUE!</v>
      </c>
      <c r="L1800" s="139" t="e">
        <f>INDEX(FuncFactorTbl,MATCH($F1800,FuncFactors,0),MATCH(L$8,Functions,0))*$G1800</f>
        <v>#VALUE!</v>
      </c>
      <c r="N1800" s="108">
        <v>0.75</v>
      </c>
      <c r="O1800" s="116" t="e">
        <f>$H1800*$N1800*$M1800</f>
        <v>#VALUE!</v>
      </c>
      <c r="P1800" s="116" t="e">
        <f>$H1800*(1-$N1800)*$M1800</f>
        <v>#VALUE!</v>
      </c>
      <c r="Q1800" s="116" t="e">
        <f>$H1800*$N1800*(1-$M1800)</f>
        <v>#VALUE!</v>
      </c>
      <c r="R1800" s="116" t="e">
        <f>$H1800*(1-$N1800)*(1-$M1800)</f>
        <v>#VALUE!</v>
      </c>
      <c r="S1800" s="108">
        <v>0.75</v>
      </c>
      <c r="T1800" s="116" t="e">
        <f>$I1800*$S1800*$M1800</f>
        <v>#VALUE!</v>
      </c>
      <c r="U1800" s="116" t="e">
        <f>$I1800*(1-$S1800)*$M1800</f>
        <v>#VALUE!</v>
      </c>
      <c r="V1800" s="116" t="e">
        <f>$I1800*$S1800*(1-$M1800)</f>
        <v>#VALUE!</v>
      </c>
      <c r="W1800" s="116" t="e">
        <f>$I1800*(1-$S1800)*(1-$M1800)</f>
        <v>#VALUE!</v>
      </c>
      <c r="X1800" s="3" t="str">
        <f>INDEX(DistFuncAllocOptions,ROW(A1800)-ROW($A$92)+1,[4]Inputs!$S$11)</f>
        <v>PLNT</v>
      </c>
      <c r="Y1800" s="116" t="e">
        <f>INDEX(DistFuncFactorTbl,MATCH($X1800,DistFuncFactors,0),MATCH(Y$91,DistFunctions,0))*$J1800</f>
        <v>#VALUE!</v>
      </c>
      <c r="Z1800" s="116" t="e">
        <f>INDEX(DistFuncFactorTbl,MATCH($X1800,DistFuncFactors,0),MATCH(Z$91,DistFunctions,0))*$J1800</f>
        <v>#VALUE!</v>
      </c>
      <c r="AA1800" s="116" t="e">
        <f>INDEX(DistFuncFactorTbl,MATCH($X1800,DistFuncFactors,0),MATCH(AA$91,DistFunctions,0))*$J1800</f>
        <v>#VALUE!</v>
      </c>
      <c r="AB1800" s="116" t="e">
        <f>INDEX(DistFuncFactorTbl,MATCH($X1800,DistFuncFactors,0),MATCH(AB$91,DistFunctions,0))*$J1800</f>
        <v>#VALUE!</v>
      </c>
      <c r="AC1800" s="116" t="e">
        <f>INDEX(DistFuncFactorTbl,MATCH($X1800,DistFuncFactors,0),MATCH(AC$91,DistFunctions,0))*$J1800</f>
        <v>#VALUE!</v>
      </c>
      <c r="AD1800" s="117" t="e">
        <f>ROUND(SUM(-G1800,H1800:L1800),0)</f>
        <v>#VALUE!</v>
      </c>
      <c r="AE1800" s="117" t="e">
        <f>ROUND(H1800-O1800-P1800-Q1800-R1800,0)</f>
        <v>#VALUE!</v>
      </c>
      <c r="AF1800" s="117" t="e">
        <f>ROUND(I1800-T1800-U1800-V1800-W1800,0)</f>
        <v>#VALUE!</v>
      </c>
      <c r="AG1800" s="117" t="e">
        <f>ROUND(J1800-Y1800-Z1800-AA1800-AC1800-AB1800,0)</f>
        <v>#VALUE!</v>
      </c>
      <c r="AH1800" s="116"/>
      <c r="AI1800">
        <f t="shared" si="1093"/>
        <v>163</v>
      </c>
      <c r="AJ1800" t="str">
        <f t="shared" si="1087"/>
        <v>SO</v>
      </c>
      <c r="AK1800" t="str">
        <f>IF(ISERROR(MATCH(AI1800&amp;"."&amp;AJ1800,AK$91:AK1799,0)),AI1800&amp;"."&amp;AJ1800,AI1800&amp;"."&amp;AJ1800&amp;COUNTIFS(AI$91:AI1799,AI1800,AJ$91:AJ1799,AJ1800))</f>
        <v>163.SO</v>
      </c>
    </row>
    <row r="1801" spans="1:37" ht="15" hidden="1">
      <c r="A1801" s="120">
        <f>ROW()</f>
        <v>1801</v>
      </c>
      <c r="B1801" s="120"/>
      <c r="C1801" s="1"/>
      <c r="E1801" s="121"/>
      <c r="F1801" s="138"/>
      <c r="G1801" s="119"/>
      <c r="X1801" s="3"/>
      <c r="AD1801" s="119"/>
      <c r="AE1801" s="119"/>
      <c r="AF1801" s="119"/>
      <c r="AG1801" s="119"/>
      <c r="AI1801">
        <f t="shared" si="1093"/>
        <v>163</v>
      </c>
      <c r="AJ1801" t="str">
        <f t="shared" si="1087"/>
        <v>NA</v>
      </c>
      <c r="AK1801" t="str">
        <f>IF(ISERROR(MATCH(AI1801&amp;"."&amp;AJ1801,AK$91:AK1800,0)),AI1801&amp;"."&amp;AJ1801,AI1801&amp;"."&amp;AJ1801&amp;COUNTIFS(AI$91:AI1800,AI1801,AJ$91:AJ1800,AJ1801))</f>
        <v>163.NA1</v>
      </c>
    </row>
    <row r="1802" spans="1:37" ht="15" hidden="1">
      <c r="A1802" s="120">
        <f>ROW()</f>
        <v>1802</v>
      </c>
      <c r="B1802" s="120"/>
      <c r="C1802" s="1"/>
      <c r="E1802" s="121"/>
      <c r="F1802" s="138"/>
      <c r="G1802" s="117" t="e">
        <f t="shared" ref="G1802:L1802" si="1113">SUM(G1800)</f>
        <v>#VALUE!</v>
      </c>
      <c r="H1802" s="116" t="e">
        <f t="shared" si="1113"/>
        <v>#VALUE!</v>
      </c>
      <c r="I1802" s="116" t="e">
        <f t="shared" si="1113"/>
        <v>#VALUE!</v>
      </c>
      <c r="J1802" s="116" t="e">
        <f t="shared" si="1113"/>
        <v>#VALUE!</v>
      </c>
      <c r="K1802" s="116" t="e">
        <f t="shared" si="1113"/>
        <v>#VALUE!</v>
      </c>
      <c r="L1802" s="116" t="e">
        <f t="shared" si="1113"/>
        <v>#VALUE!</v>
      </c>
      <c r="O1802" s="116" t="e">
        <f>SUM(O1800)</f>
        <v>#VALUE!</v>
      </c>
      <c r="P1802" s="116" t="e">
        <f>SUM(P1800)</f>
        <v>#VALUE!</v>
      </c>
      <c r="Q1802" s="116" t="e">
        <f>SUM(Q1800)</f>
        <v>#VALUE!</v>
      </c>
      <c r="R1802" s="116" t="e">
        <f>SUM(R1800)</f>
        <v>#VALUE!</v>
      </c>
      <c r="T1802" s="116" t="e">
        <f>SUM(T1800)</f>
        <v>#VALUE!</v>
      </c>
      <c r="U1802" s="116" t="e">
        <f>SUM(U1800)</f>
        <v>#VALUE!</v>
      </c>
      <c r="V1802" s="116" t="e">
        <f>SUM(V1800)</f>
        <v>#VALUE!</v>
      </c>
      <c r="W1802" s="116" t="e">
        <f>SUM(W1800)</f>
        <v>#VALUE!</v>
      </c>
      <c r="X1802" s="3"/>
      <c r="Y1802" s="116" t="e">
        <f>SUM(Y1800)</f>
        <v>#VALUE!</v>
      </c>
      <c r="Z1802" s="116" t="e">
        <f>SUM(Z1800)</f>
        <v>#VALUE!</v>
      </c>
      <c r="AA1802" s="116" t="e">
        <f>SUM(AA1800)</f>
        <v>#VALUE!</v>
      </c>
      <c r="AB1802" s="116" t="e">
        <f>SUM(AB1800)</f>
        <v>#VALUE!</v>
      </c>
      <c r="AC1802" s="116" t="e">
        <f>SUM(AC1800)</f>
        <v>#VALUE!</v>
      </c>
      <c r="AD1802" s="117" t="e">
        <f>ROUND(SUM(-G1802,H1802:L1802),0)</f>
        <v>#VALUE!</v>
      </c>
      <c r="AE1802" s="117" t="e">
        <f>ROUND(H1802-O1802-P1802-Q1802-R1802,0)</f>
        <v>#VALUE!</v>
      </c>
      <c r="AF1802" s="117" t="e">
        <f>ROUND(I1802-T1802-U1802-V1802-W1802,0)</f>
        <v>#VALUE!</v>
      </c>
      <c r="AG1802" s="117" t="e">
        <f>ROUND(J1802-Y1802-Z1802-AA1802-AC1802-AB1802,0)</f>
        <v>#VALUE!</v>
      </c>
      <c r="AH1802" s="116"/>
      <c r="AI1802">
        <f t="shared" si="1093"/>
        <v>163</v>
      </c>
      <c r="AJ1802" t="str">
        <f t="shared" si="1087"/>
        <v>NA</v>
      </c>
      <c r="AK1802" t="str">
        <f>IF(ISERROR(MATCH(AI1802&amp;"."&amp;AJ1802,AK$91:AK1801,0)),AI1802&amp;"."&amp;AJ1802,AI1802&amp;"."&amp;AJ1802&amp;COUNTIFS(AI$91:AI1801,AI1802,AJ$91:AJ1801,AJ1802))</f>
        <v>163.NA2</v>
      </c>
    </row>
    <row r="1803" spans="1:37" ht="15" hidden="1">
      <c r="A1803" s="120">
        <f>ROW()</f>
        <v>1803</v>
      </c>
      <c r="B1803" s="120"/>
      <c r="C1803" s="1"/>
      <c r="E1803" s="121"/>
      <c r="F1803" s="138"/>
      <c r="G1803" s="119"/>
      <c r="X1803" s="3"/>
      <c r="AD1803" s="119"/>
      <c r="AE1803" s="119"/>
      <c r="AF1803" s="119"/>
      <c r="AG1803" s="119"/>
      <c r="AI1803">
        <f t="shared" si="1093"/>
        <v>163</v>
      </c>
      <c r="AJ1803" t="str">
        <f t="shared" si="1087"/>
        <v>NA</v>
      </c>
      <c r="AK1803" t="str">
        <f>IF(ISERROR(MATCH(AI1803&amp;"."&amp;AJ1803,AK$91:AK1802,0)),AI1803&amp;"."&amp;AJ1803,AI1803&amp;"."&amp;AJ1803&amp;COUNTIFS(AI$91:AI1802,AI1803,AJ$91:AJ1802,AJ1803))</f>
        <v>163.NA3</v>
      </c>
    </row>
    <row r="1804" spans="1:37" ht="15" hidden="1">
      <c r="A1804" s="120">
        <f>ROW()</f>
        <v>1804</v>
      </c>
      <c r="B1804" s="120"/>
      <c r="C1804" s="1">
        <v>25318</v>
      </c>
      <c r="D1804" s="2" t="s">
        <v>608</v>
      </c>
      <c r="E1804" s="121"/>
      <c r="F1804" s="138"/>
      <c r="G1804" s="119"/>
      <c r="X1804" s="3"/>
      <c r="AD1804" s="119"/>
      <c r="AE1804" s="119"/>
      <c r="AF1804" s="119"/>
      <c r="AG1804" s="119"/>
      <c r="AI1804">
        <f t="shared" si="1093"/>
        <v>25318</v>
      </c>
      <c r="AJ1804" t="str">
        <f t="shared" si="1087"/>
        <v>NA</v>
      </c>
      <c r="AK1804" t="str">
        <f>IF(ISERROR(MATCH(AI1804&amp;"."&amp;AJ1804,AK$91:AK1803,0)),AI1804&amp;"."&amp;AJ1804,AI1804&amp;"."&amp;AJ1804&amp;COUNTIFS(AI$91:AI1803,AI1804,AJ$91:AJ1803,AJ1804))</f>
        <v>25318.NA</v>
      </c>
    </row>
    <row r="1805" spans="1:37" ht="15" hidden="1">
      <c r="A1805" s="120">
        <f>ROW()</f>
        <v>1805</v>
      </c>
      <c r="B1805" s="120"/>
      <c r="C1805" s="1"/>
      <c r="E1805" s="121" t="s">
        <v>15</v>
      </c>
      <c r="F1805" s="138" t="str">
        <f>INDEX(FuncAllocOptions,ROW(A1805)-ROW($A$92)+1,[4]Inputs!$S$11)</f>
        <v>MSS</v>
      </c>
      <c r="G1805" s="133" t="e">
        <f>SUMIF(FERCJAMFactor,AK1805,JAMValue)</f>
        <v>#VALUE!</v>
      </c>
      <c r="H1805" s="139" t="e">
        <f>INDEX(FuncFactorTbl,MATCH($F1805,FuncFactors,0),MATCH(H$8,Functions,0))*$G1805</f>
        <v>#VALUE!</v>
      </c>
      <c r="I1805" s="139" t="e">
        <f>INDEX(FuncFactorTbl,MATCH($F1805,FuncFactors,0),MATCH(I$8,Functions,0))*$G1805</f>
        <v>#VALUE!</v>
      </c>
      <c r="J1805" s="139" t="e">
        <f>INDEX(FuncFactorTbl,MATCH($F1805,FuncFactors,0),MATCH(J$8,Functions,0))*$G1805</f>
        <v>#VALUE!</v>
      </c>
      <c r="K1805" s="139" t="e">
        <f>INDEX(FuncFactorTbl,MATCH($F1805,FuncFactors,0),MATCH(K$8,Functions,0))*$G1805</f>
        <v>#VALUE!</v>
      </c>
      <c r="L1805" s="139" t="e">
        <f>INDEX(FuncFactorTbl,MATCH($F1805,FuncFactors,0),MATCH(L$8,Functions,0))*$G1805</f>
        <v>#VALUE!</v>
      </c>
      <c r="N1805" s="108">
        <v>0.75</v>
      </c>
      <c r="O1805" s="116" t="e">
        <f>$H1805*$N1805*$M1805</f>
        <v>#VALUE!</v>
      </c>
      <c r="P1805" s="116" t="e">
        <f>$H1805*(1-$N1805)*$M1805</f>
        <v>#VALUE!</v>
      </c>
      <c r="Q1805" s="116" t="e">
        <f>$H1805*$N1805*(1-$M1805)</f>
        <v>#VALUE!</v>
      </c>
      <c r="R1805" s="116" t="e">
        <f>$H1805*(1-$N1805)*(1-$M1805)</f>
        <v>#VALUE!</v>
      </c>
      <c r="S1805" s="108">
        <v>0.75</v>
      </c>
      <c r="T1805" s="116" t="e">
        <f>$I1805*$S1805*$M1805</f>
        <v>#VALUE!</v>
      </c>
      <c r="U1805" s="116" t="e">
        <f>$I1805*(1-$S1805)*$M1805</f>
        <v>#VALUE!</v>
      </c>
      <c r="V1805" s="116" t="e">
        <f>$I1805*$S1805*(1-$M1805)</f>
        <v>#VALUE!</v>
      </c>
      <c r="W1805" s="116" t="e">
        <f>$I1805*(1-$S1805)*(1-$M1805)</f>
        <v>#VALUE!</v>
      </c>
      <c r="X1805" s="3" t="str">
        <f>INDEX(DistFuncAllocOptions,ROW(A1805)-ROW($A$92)+1,[4]Inputs!$S$11)</f>
        <v>PLNT</v>
      </c>
      <c r="Y1805" s="116" t="e">
        <f>INDEX(DistFuncFactorTbl,MATCH($X1805,DistFuncFactors,0),MATCH(Y$91,DistFunctions,0))*$J1805</f>
        <v>#VALUE!</v>
      </c>
      <c r="Z1805" s="116" t="e">
        <f>INDEX(DistFuncFactorTbl,MATCH($X1805,DistFuncFactors,0),MATCH(Z$91,DistFunctions,0))*$J1805</f>
        <v>#VALUE!</v>
      </c>
      <c r="AA1805" s="116" t="e">
        <f>INDEX(DistFuncFactorTbl,MATCH($X1805,DistFuncFactors,0),MATCH(AA$91,DistFunctions,0))*$J1805</f>
        <v>#VALUE!</v>
      </c>
      <c r="AB1805" s="116" t="e">
        <f>INDEX(DistFuncFactorTbl,MATCH($X1805,DistFuncFactors,0),MATCH(AB$91,DistFunctions,0))*$J1805</f>
        <v>#VALUE!</v>
      </c>
      <c r="AC1805" s="116" t="e">
        <f>INDEX(DistFuncFactorTbl,MATCH($X1805,DistFuncFactors,0),MATCH(AC$91,DistFunctions,0))*$J1805</f>
        <v>#VALUE!</v>
      </c>
      <c r="AD1805" s="117" t="e">
        <f>ROUND(SUM(-G1805,H1805:L1805),0)</f>
        <v>#VALUE!</v>
      </c>
      <c r="AE1805" s="117" t="e">
        <f>ROUND(H1805-O1805-P1805-Q1805-R1805,0)</f>
        <v>#VALUE!</v>
      </c>
      <c r="AF1805" s="117" t="e">
        <f>ROUND(I1805-T1805-U1805-V1805-W1805,0)</f>
        <v>#VALUE!</v>
      </c>
      <c r="AG1805" s="117" t="e">
        <f>ROUND(J1805-Y1805-Z1805-AA1805-AC1805-AB1805,0)</f>
        <v>#VALUE!</v>
      </c>
      <c r="AH1805" s="116"/>
      <c r="AI1805">
        <f t="shared" si="1093"/>
        <v>25318</v>
      </c>
      <c r="AJ1805" t="str">
        <f t="shared" si="1087"/>
        <v>SG</v>
      </c>
      <c r="AK1805" t="str">
        <f>IF(ISERROR(MATCH(AI1805&amp;"."&amp;AJ1805,AK$91:AK1804,0)),AI1805&amp;"."&amp;AJ1805,AI1805&amp;"."&amp;AJ1805&amp;COUNTIFS(AI$91:AI1804,AI1805,AJ$91:AJ1804,AJ1805))</f>
        <v>25318.SG</v>
      </c>
    </row>
    <row r="1806" spans="1:37" ht="15" hidden="1">
      <c r="A1806" s="120">
        <f>ROW()</f>
        <v>1806</v>
      </c>
      <c r="B1806" s="120"/>
      <c r="C1806" s="1"/>
      <c r="E1806" s="121"/>
      <c r="F1806" s="138"/>
      <c r="G1806" s="119"/>
      <c r="X1806" s="3"/>
      <c r="AD1806" s="119"/>
      <c r="AE1806" s="119"/>
      <c r="AF1806" s="119"/>
      <c r="AG1806" s="119"/>
      <c r="AI1806">
        <f t="shared" si="1093"/>
        <v>25318</v>
      </c>
      <c r="AJ1806" t="str">
        <f t="shared" si="1087"/>
        <v>NA</v>
      </c>
      <c r="AK1806" t="str">
        <f>IF(ISERROR(MATCH(AI1806&amp;"."&amp;AJ1806,AK$91:AK1805,0)),AI1806&amp;"."&amp;AJ1806,AI1806&amp;"."&amp;AJ1806&amp;COUNTIFS(AI$91:AI1805,AI1806,AJ$91:AJ1805,AJ1806))</f>
        <v>25318.NA1</v>
      </c>
    </row>
    <row r="1807" spans="1:37" ht="15" hidden="1">
      <c r="A1807" s="120">
        <f>ROW()</f>
        <v>1807</v>
      </c>
      <c r="B1807" s="120"/>
      <c r="C1807" s="1"/>
      <c r="E1807" s="121"/>
      <c r="F1807" s="138"/>
      <c r="G1807" s="117" t="e">
        <f t="shared" ref="G1807:L1807" si="1114">SUM(G1805)</f>
        <v>#VALUE!</v>
      </c>
      <c r="H1807" s="116" t="e">
        <f t="shared" si="1114"/>
        <v>#VALUE!</v>
      </c>
      <c r="I1807" s="116" t="e">
        <f t="shared" si="1114"/>
        <v>#VALUE!</v>
      </c>
      <c r="J1807" s="116" t="e">
        <f t="shared" si="1114"/>
        <v>#VALUE!</v>
      </c>
      <c r="K1807" s="116" t="e">
        <f t="shared" si="1114"/>
        <v>#VALUE!</v>
      </c>
      <c r="L1807" s="116" t="e">
        <f t="shared" si="1114"/>
        <v>#VALUE!</v>
      </c>
      <c r="O1807" s="116" t="e">
        <f>SUM(O1805)</f>
        <v>#VALUE!</v>
      </c>
      <c r="P1807" s="116" t="e">
        <f>SUM(P1805)</f>
        <v>#VALUE!</v>
      </c>
      <c r="Q1807" s="116" t="e">
        <f>SUM(Q1805)</f>
        <v>#VALUE!</v>
      </c>
      <c r="R1807" s="116" t="e">
        <f>SUM(R1805)</f>
        <v>#VALUE!</v>
      </c>
      <c r="T1807" s="116" t="e">
        <f>SUM(T1805)</f>
        <v>#VALUE!</v>
      </c>
      <c r="U1807" s="116" t="e">
        <f>SUM(U1805)</f>
        <v>#VALUE!</v>
      </c>
      <c r="V1807" s="116" t="e">
        <f>SUM(V1805)</f>
        <v>#VALUE!</v>
      </c>
      <c r="W1807" s="116" t="e">
        <f>SUM(W1805)</f>
        <v>#VALUE!</v>
      </c>
      <c r="X1807" s="3"/>
      <c r="Y1807" s="116" t="e">
        <f>SUM(Y1805)</f>
        <v>#VALUE!</v>
      </c>
      <c r="Z1807" s="116" t="e">
        <f>SUM(Z1805)</f>
        <v>#VALUE!</v>
      </c>
      <c r="AA1807" s="116" t="e">
        <f>SUM(AA1805)</f>
        <v>#VALUE!</v>
      </c>
      <c r="AB1807" s="116" t="e">
        <f>SUM(AB1805)</f>
        <v>#VALUE!</v>
      </c>
      <c r="AC1807" s="116" t="e">
        <f>SUM(AC1805)</f>
        <v>#VALUE!</v>
      </c>
      <c r="AD1807" s="117" t="e">
        <f>ROUND(SUM(-G1807,H1807:L1807),0)</f>
        <v>#VALUE!</v>
      </c>
      <c r="AE1807" s="117" t="e">
        <f>ROUND(H1807-O1807-P1807-Q1807-R1807,0)</f>
        <v>#VALUE!</v>
      </c>
      <c r="AF1807" s="117" t="e">
        <f>ROUND(I1807-T1807-U1807-V1807-W1807,0)</f>
        <v>#VALUE!</v>
      </c>
      <c r="AG1807" s="117" t="e">
        <f>ROUND(J1807-Y1807-Z1807-AA1807-AC1807-AB1807,0)</f>
        <v>#VALUE!</v>
      </c>
      <c r="AH1807" s="116"/>
      <c r="AI1807">
        <f t="shared" si="1093"/>
        <v>25318</v>
      </c>
      <c r="AJ1807" t="str">
        <f t="shared" si="1087"/>
        <v>NA</v>
      </c>
      <c r="AK1807" t="str">
        <f>IF(ISERROR(MATCH(AI1807&amp;"."&amp;AJ1807,AK$91:AK1806,0)),AI1807&amp;"."&amp;AJ1807,AI1807&amp;"."&amp;AJ1807&amp;COUNTIFS(AI$91:AI1806,AI1807,AJ$91:AJ1806,AJ1807))</f>
        <v>25318.NA2</v>
      </c>
    </row>
    <row r="1808" spans="1:37" ht="15" hidden="1">
      <c r="A1808" s="120">
        <f>ROW()</f>
        <v>1808</v>
      </c>
      <c r="B1808" s="120"/>
      <c r="C1808" s="1"/>
      <c r="E1808" s="121"/>
      <c r="F1808" s="138"/>
      <c r="G1808" s="119"/>
      <c r="X1808" s="3"/>
      <c r="AD1808" s="119"/>
      <c r="AE1808" s="119"/>
      <c r="AF1808" s="119"/>
      <c r="AG1808" s="119"/>
      <c r="AI1808">
        <f t="shared" si="1093"/>
        <v>25318</v>
      </c>
      <c r="AJ1808" t="str">
        <f t="shared" si="1087"/>
        <v>NA</v>
      </c>
      <c r="AK1808" t="str">
        <f>IF(ISERROR(MATCH(AI1808&amp;"."&amp;AJ1808,AK$91:AK1807,0)),AI1808&amp;"."&amp;AJ1808,AI1808&amp;"."&amp;AJ1808&amp;COUNTIFS(AI$91:AI1807,AI1808,AJ$91:AJ1807,AJ1808))</f>
        <v>25318.NA3</v>
      </c>
    </row>
    <row r="1809" spans="1:37" ht="15.75" hidden="1" thickBot="1">
      <c r="A1809" s="120">
        <f>ROW()</f>
        <v>1809</v>
      </c>
      <c r="B1809" s="120"/>
      <c r="C1809" s="1"/>
      <c r="D1809" s="2" t="s">
        <v>730</v>
      </c>
      <c r="E1809" s="121"/>
      <c r="F1809" s="138"/>
      <c r="G1809" s="155" t="e">
        <f t="shared" ref="G1809:L1809" si="1115">G1797+G1802+G1807</f>
        <v>#VALUE!</v>
      </c>
      <c r="H1809" s="154" t="e">
        <f t="shared" si="1115"/>
        <v>#VALUE!</v>
      </c>
      <c r="I1809" s="154" t="e">
        <f t="shared" si="1115"/>
        <v>#VALUE!</v>
      </c>
      <c r="J1809" s="154" t="e">
        <f t="shared" si="1115"/>
        <v>#VALUE!</v>
      </c>
      <c r="K1809" s="154" t="e">
        <f t="shared" si="1115"/>
        <v>#VALUE!</v>
      </c>
      <c r="L1809" s="154" t="e">
        <f t="shared" si="1115"/>
        <v>#VALUE!</v>
      </c>
      <c r="O1809" s="116" t="e">
        <f>O1797+O1802+O1807</f>
        <v>#VALUE!</v>
      </c>
      <c r="P1809" s="116" t="e">
        <f>P1797+P1802+P1807</f>
        <v>#VALUE!</v>
      </c>
      <c r="Q1809" s="116" t="e">
        <f>Q1797+Q1802+Q1807</f>
        <v>#VALUE!</v>
      </c>
      <c r="R1809" s="116" t="e">
        <f>R1797+R1802+R1807</f>
        <v>#VALUE!</v>
      </c>
      <c r="T1809" s="116" t="e">
        <f>T1797+T1802+T1807</f>
        <v>#VALUE!</v>
      </c>
      <c r="U1809" s="116" t="e">
        <f>U1797+U1802+U1807</f>
        <v>#VALUE!</v>
      </c>
      <c r="V1809" s="116" t="e">
        <f>V1797+V1802+V1807</f>
        <v>#VALUE!</v>
      </c>
      <c r="W1809" s="116" t="e">
        <f>W1797+W1802+W1807</f>
        <v>#VALUE!</v>
      </c>
      <c r="X1809" s="3"/>
      <c r="Y1809" s="116" t="e">
        <f>Y1797+Y1802+Y1807</f>
        <v>#VALUE!</v>
      </c>
      <c r="Z1809" s="116" t="e">
        <f>Z1797+Z1802+Z1807</f>
        <v>#VALUE!</v>
      </c>
      <c r="AA1809" s="116" t="e">
        <f>AA1797+AA1802+AA1807</f>
        <v>#VALUE!</v>
      </c>
      <c r="AB1809" s="116" t="e">
        <f>AB1797+AB1802+AB1807</f>
        <v>#VALUE!</v>
      </c>
      <c r="AC1809" s="116" t="e">
        <f>AC1797+AC1802+AC1807</f>
        <v>#VALUE!</v>
      </c>
      <c r="AD1809" s="117" t="e">
        <f>ROUND(SUM(-G1809,H1809:L1809),0)</f>
        <v>#VALUE!</v>
      </c>
      <c r="AE1809" s="117" t="e">
        <f>ROUND(H1809-O1809-P1809-Q1809-R1809,0)</f>
        <v>#VALUE!</v>
      </c>
      <c r="AF1809" s="117" t="e">
        <f>ROUND(I1809-T1809-U1809-V1809-W1809,0)</f>
        <v>#VALUE!</v>
      </c>
      <c r="AG1809" s="117" t="e">
        <f>ROUND(J1809-Y1809-Z1809-AA1809-AC1809-AB1809,0)</f>
        <v>#VALUE!</v>
      </c>
      <c r="AH1809" s="116"/>
      <c r="AI1809">
        <f t="shared" si="1093"/>
        <v>25318</v>
      </c>
      <c r="AJ1809" t="str">
        <f t="shared" si="1087"/>
        <v>NA</v>
      </c>
      <c r="AK1809" t="str">
        <f>IF(ISERROR(MATCH(AI1809&amp;"."&amp;AJ1809,AK$91:AK1808,0)),AI1809&amp;"."&amp;AJ1809,AI1809&amp;"."&amp;AJ1809&amp;COUNTIFS(AI$91:AI1808,AI1809,AJ$91:AJ1808,AJ1809))</f>
        <v>25318.NA4</v>
      </c>
    </row>
    <row r="1810" spans="1:37" ht="15" hidden="1">
      <c r="A1810" s="120">
        <f>ROW()</f>
        <v>1810</v>
      </c>
      <c r="B1810" s="120"/>
      <c r="C1810" s="1"/>
      <c r="E1810" s="121"/>
      <c r="F1810" s="138"/>
      <c r="G1810" s="119"/>
      <c r="X1810" s="3"/>
      <c r="AD1810" s="119"/>
      <c r="AE1810" s="119"/>
      <c r="AF1810" s="119"/>
      <c r="AG1810" s="119"/>
      <c r="AI1810">
        <f t="shared" si="1093"/>
        <v>25318</v>
      </c>
      <c r="AJ1810" t="str">
        <f t="shared" si="1087"/>
        <v>NA</v>
      </c>
      <c r="AK1810" t="str">
        <f>IF(ISERROR(MATCH(AI1810&amp;"."&amp;AJ1810,AK$91:AK1809,0)),AI1810&amp;"."&amp;AJ1810,AI1810&amp;"."&amp;AJ1810&amp;COUNTIFS(AI$91:AI1809,AI1810,AJ$91:AJ1809,AJ1810))</f>
        <v>25318.NA5</v>
      </c>
    </row>
    <row r="1811" spans="1:37" ht="15" hidden="1">
      <c r="A1811" s="120">
        <f>ROW()</f>
        <v>1811</v>
      </c>
      <c r="B1811" s="120"/>
      <c r="C1811" s="1">
        <v>165</v>
      </c>
      <c r="D1811" s="2" t="s">
        <v>614</v>
      </c>
      <c r="E1811" s="121"/>
      <c r="F1811" s="138"/>
      <c r="G1811" s="119"/>
      <c r="X1811" s="3"/>
      <c r="AD1811" s="119"/>
      <c r="AE1811" s="119"/>
      <c r="AF1811" s="119"/>
      <c r="AG1811" s="119"/>
      <c r="AI1811">
        <f t="shared" si="1093"/>
        <v>165</v>
      </c>
      <c r="AJ1811" t="str">
        <f t="shared" si="1087"/>
        <v>NA</v>
      </c>
      <c r="AK1811" t="str">
        <f>IF(ISERROR(MATCH(AI1811&amp;"."&amp;AJ1811,AK$91:AK1810,0)),AI1811&amp;"."&amp;AJ1811,AI1811&amp;"."&amp;AJ1811&amp;COUNTIFS(AI$91:AI1810,AI1811,AJ$91:AJ1810,AJ1811))</f>
        <v>165.NA</v>
      </c>
    </row>
    <row r="1812" spans="1:37" ht="15" hidden="1">
      <c r="A1812" s="120">
        <f>ROW()</f>
        <v>1812</v>
      </c>
      <c r="B1812" s="120"/>
      <c r="C1812" s="1"/>
      <c r="E1812" s="121" t="s">
        <v>12</v>
      </c>
      <c r="F1812" s="138" t="str">
        <f>INDEX(FuncAllocOptions,ROW(A1812)-ROW($A$92)+1,[4]Inputs!$S$11)</f>
        <v>DMSC</v>
      </c>
      <c r="G1812" s="117" t="e">
        <f>SUMIF(FERCJAMFactor,AK1812,JAMValue)</f>
        <v>#VALUE!</v>
      </c>
      <c r="H1812" s="116" t="e">
        <f t="shared" ref="H1812:L1816" si="1116">INDEX(FuncFactorTbl,MATCH($F1812,FuncFactors,0),MATCH(H$8,Functions,0))*$G1812</f>
        <v>#VALUE!</v>
      </c>
      <c r="I1812" s="116" t="e">
        <f t="shared" si="1116"/>
        <v>#VALUE!</v>
      </c>
      <c r="J1812" s="116" t="e">
        <f t="shared" si="1116"/>
        <v>#VALUE!</v>
      </c>
      <c r="K1812" s="116" t="e">
        <f t="shared" si="1116"/>
        <v>#VALUE!</v>
      </c>
      <c r="L1812" s="116" t="e">
        <f t="shared" si="1116"/>
        <v>#VALUE!</v>
      </c>
      <c r="N1812" s="108">
        <v>0.75</v>
      </c>
      <c r="O1812" s="116" t="e">
        <f>$H1812*$N1812*$M1812</f>
        <v>#VALUE!</v>
      </c>
      <c r="P1812" s="116" t="e">
        <f>$H1812*(1-$N1812)*$M1812</f>
        <v>#VALUE!</v>
      </c>
      <c r="Q1812" s="116" t="e">
        <f>$H1812*$N1812*(1-$M1812)</f>
        <v>#VALUE!</v>
      </c>
      <c r="R1812" s="116" t="e">
        <f>$H1812*(1-$N1812)*(1-$M1812)</f>
        <v>#VALUE!</v>
      </c>
      <c r="S1812" s="108">
        <v>0.75</v>
      </c>
      <c r="T1812" s="116" t="e">
        <f>$I1812*$S1812*$M1812</f>
        <v>#VALUE!</v>
      </c>
      <c r="U1812" s="116" t="e">
        <f>$I1812*(1-$S1812)*$M1812</f>
        <v>#VALUE!</v>
      </c>
      <c r="V1812" s="116" t="e">
        <f>$I1812*$S1812*(1-$M1812)</f>
        <v>#VALUE!</v>
      </c>
      <c r="W1812" s="116" t="e">
        <f>$I1812*(1-$S1812)*(1-$M1812)</f>
        <v>#VALUE!</v>
      </c>
      <c r="X1812" s="3" t="str">
        <f>INDEX(DistFuncAllocOptions,ROW(A1812)-ROW($A$92)+1,[4]Inputs!$S$11)</f>
        <v>PLNT</v>
      </c>
      <c r="Y1812" s="116" t="e">
        <f t="shared" ref="Y1812:AC1816" si="1117">INDEX(DistFuncFactorTbl,MATCH($X1812,DistFuncFactors,0),MATCH(Y$91,DistFunctions,0))*$J1812</f>
        <v>#VALUE!</v>
      </c>
      <c r="Z1812" s="116" t="e">
        <f t="shared" si="1117"/>
        <v>#VALUE!</v>
      </c>
      <c r="AA1812" s="116" t="e">
        <f t="shared" si="1117"/>
        <v>#VALUE!</v>
      </c>
      <c r="AB1812" s="116" t="e">
        <f t="shared" si="1117"/>
        <v>#VALUE!</v>
      </c>
      <c r="AC1812" s="116" t="e">
        <f t="shared" si="1117"/>
        <v>#VALUE!</v>
      </c>
      <c r="AD1812" s="117" t="e">
        <f t="shared" ref="AD1812:AD1817" si="1118">ROUND(SUM(-G1812,H1812:L1812),0)</f>
        <v>#VALUE!</v>
      </c>
      <c r="AE1812" s="117" t="e">
        <f t="shared" ref="AE1812:AE1817" si="1119">ROUND(H1812-O1812-P1812-Q1812-R1812,0)</f>
        <v>#VALUE!</v>
      </c>
      <c r="AF1812" s="117" t="e">
        <f t="shared" ref="AF1812:AF1817" si="1120">ROUND(I1812-T1812-U1812-V1812-W1812,0)</f>
        <v>#VALUE!</v>
      </c>
      <c r="AG1812" s="117" t="e">
        <f t="shared" ref="AG1812:AG1817" si="1121">ROUND(J1812-Y1812-Z1812-AA1812-AC1812-AB1812,0)</f>
        <v>#VALUE!</v>
      </c>
      <c r="AH1812" s="116"/>
      <c r="AI1812">
        <f t="shared" si="1093"/>
        <v>165</v>
      </c>
      <c r="AJ1812" t="str">
        <f t="shared" si="1087"/>
        <v>S</v>
      </c>
      <c r="AK1812" t="str">
        <f>IF(ISERROR(MATCH(AI1812&amp;"."&amp;AJ1812,AK$91:AK1811,0)),AI1812&amp;"."&amp;AJ1812,AI1812&amp;"."&amp;AJ1812&amp;COUNTIFS(AI$91:AI1811,AI1812,AJ$91:AJ1811,AJ1812))</f>
        <v>165.S</v>
      </c>
    </row>
    <row r="1813" spans="1:37" ht="15" hidden="1">
      <c r="A1813" s="120">
        <f>ROW()</f>
        <v>1813</v>
      </c>
      <c r="B1813" s="120"/>
      <c r="C1813" s="1"/>
      <c r="E1813" s="121" t="s">
        <v>423</v>
      </c>
      <c r="F1813" s="138" t="str">
        <f>INDEX(FuncAllocOptions,ROW(A1813)-ROW($A$92)+1,[4]Inputs!$S$11)</f>
        <v>GP</v>
      </c>
      <c r="G1813" s="117" t="e">
        <f>SUMIF(FERCJAMFactor,AK1813,JAMValue)</f>
        <v>#VALUE!</v>
      </c>
      <c r="H1813" s="116" t="e">
        <f t="shared" si="1116"/>
        <v>#VALUE!</v>
      </c>
      <c r="I1813" s="116" t="e">
        <f t="shared" si="1116"/>
        <v>#VALUE!</v>
      </c>
      <c r="J1813" s="116" t="e">
        <f t="shared" si="1116"/>
        <v>#VALUE!</v>
      </c>
      <c r="K1813" s="116" t="e">
        <f t="shared" si="1116"/>
        <v>#VALUE!</v>
      </c>
      <c r="L1813" s="116" t="e">
        <f t="shared" si="1116"/>
        <v>#VALUE!</v>
      </c>
      <c r="N1813" s="108">
        <v>0.75</v>
      </c>
      <c r="O1813" s="116" t="e">
        <f>$H1813*$N1813*$M1813</f>
        <v>#VALUE!</v>
      </c>
      <c r="P1813" s="116" t="e">
        <f>$H1813*(1-$N1813)*$M1813</f>
        <v>#VALUE!</v>
      </c>
      <c r="Q1813" s="116" t="e">
        <f>$H1813*$N1813*(1-$M1813)</f>
        <v>#VALUE!</v>
      </c>
      <c r="R1813" s="116" t="e">
        <f>$H1813*(1-$N1813)*(1-$M1813)</f>
        <v>#VALUE!</v>
      </c>
      <c r="S1813" s="108">
        <v>0.75</v>
      </c>
      <c r="T1813" s="116" t="e">
        <f>$I1813*$S1813*$M1813</f>
        <v>#VALUE!</v>
      </c>
      <c r="U1813" s="116" t="e">
        <f>$I1813*(1-$S1813)*$M1813</f>
        <v>#VALUE!</v>
      </c>
      <c r="V1813" s="116" t="e">
        <f>$I1813*$S1813*(1-$M1813)</f>
        <v>#VALUE!</v>
      </c>
      <c r="W1813" s="116" t="e">
        <f>$I1813*(1-$S1813)*(1-$M1813)</f>
        <v>#VALUE!</v>
      </c>
      <c r="X1813" s="3" t="str">
        <f>INDEX(DistFuncAllocOptions,ROW(A1813)-ROW($A$92)+1,[4]Inputs!$S$11)</f>
        <v>PLNT</v>
      </c>
      <c r="Y1813" s="116" t="e">
        <f t="shared" si="1117"/>
        <v>#VALUE!</v>
      </c>
      <c r="Z1813" s="116" t="e">
        <f t="shared" si="1117"/>
        <v>#VALUE!</v>
      </c>
      <c r="AA1813" s="116" t="e">
        <f t="shared" si="1117"/>
        <v>#VALUE!</v>
      </c>
      <c r="AB1813" s="116" t="e">
        <f t="shared" si="1117"/>
        <v>#VALUE!</v>
      </c>
      <c r="AC1813" s="116" t="e">
        <f t="shared" si="1117"/>
        <v>#VALUE!</v>
      </c>
      <c r="AD1813" s="117" t="e">
        <f t="shared" si="1118"/>
        <v>#VALUE!</v>
      </c>
      <c r="AE1813" s="117" t="e">
        <f t="shared" si="1119"/>
        <v>#VALUE!</v>
      </c>
      <c r="AF1813" s="117" t="e">
        <f t="shared" si="1120"/>
        <v>#VALUE!</v>
      </c>
      <c r="AG1813" s="117" t="e">
        <f t="shared" si="1121"/>
        <v>#VALUE!</v>
      </c>
      <c r="AH1813" s="116"/>
      <c r="AI1813">
        <f t="shared" si="1093"/>
        <v>165</v>
      </c>
      <c r="AJ1813" t="str">
        <f t="shared" si="1087"/>
        <v>GPS</v>
      </c>
      <c r="AK1813" t="str">
        <f>IF(ISERROR(MATCH(AI1813&amp;"."&amp;AJ1813,AK$91:AK1812,0)),AI1813&amp;"."&amp;AJ1813,AI1813&amp;"."&amp;AJ1813&amp;COUNTIFS(AI$91:AI1812,AI1813,AJ$91:AJ1812,AJ1813))</f>
        <v>165.GPS</v>
      </c>
    </row>
    <row r="1814" spans="1:37" ht="15" hidden="1">
      <c r="A1814" s="120">
        <f>ROW()</f>
        <v>1814</v>
      </c>
      <c r="B1814" s="120"/>
      <c r="C1814" s="1"/>
      <c r="E1814" s="121" t="s">
        <v>15</v>
      </c>
      <c r="F1814" s="138" t="str">
        <f>INDEX(FuncAllocOptions,ROW(A1814)-ROW($A$92)+1,[4]Inputs!$S$11)</f>
        <v>PT</v>
      </c>
      <c r="G1814" s="117" t="e">
        <f>SUMIF(FERCJAMFactor,AK1814,JAMValue)</f>
        <v>#VALUE!</v>
      </c>
      <c r="H1814" s="116" t="e">
        <f t="shared" si="1116"/>
        <v>#VALUE!</v>
      </c>
      <c r="I1814" s="116" t="e">
        <f t="shared" si="1116"/>
        <v>#VALUE!</v>
      </c>
      <c r="J1814" s="116" t="e">
        <f t="shared" si="1116"/>
        <v>#VALUE!</v>
      </c>
      <c r="K1814" s="116" t="e">
        <f t="shared" si="1116"/>
        <v>#VALUE!</v>
      </c>
      <c r="L1814" s="116" t="e">
        <f t="shared" si="1116"/>
        <v>#VALUE!</v>
      </c>
      <c r="N1814" s="108">
        <v>0.75</v>
      </c>
      <c r="O1814" s="116" t="e">
        <f>$H1814*$N1814*$M1814</f>
        <v>#VALUE!</v>
      </c>
      <c r="P1814" s="116" t="e">
        <f>$H1814*(1-$N1814)*$M1814</f>
        <v>#VALUE!</v>
      </c>
      <c r="Q1814" s="116" t="e">
        <f>$H1814*$N1814*(1-$M1814)</f>
        <v>#VALUE!</v>
      </c>
      <c r="R1814" s="116" t="e">
        <f>$H1814*(1-$N1814)*(1-$M1814)</f>
        <v>#VALUE!</v>
      </c>
      <c r="S1814" s="108">
        <v>0.75</v>
      </c>
      <c r="T1814" s="116" t="e">
        <f>$I1814*$S1814*$M1814</f>
        <v>#VALUE!</v>
      </c>
      <c r="U1814" s="116" t="e">
        <f>$I1814*(1-$S1814)*$M1814</f>
        <v>#VALUE!</v>
      </c>
      <c r="V1814" s="116" t="e">
        <f>$I1814*$S1814*(1-$M1814)</f>
        <v>#VALUE!</v>
      </c>
      <c r="W1814" s="116" t="e">
        <f>$I1814*(1-$S1814)*(1-$M1814)</f>
        <v>#VALUE!</v>
      </c>
      <c r="X1814" s="3" t="str">
        <f>INDEX(DistFuncAllocOptions,ROW(A1814)-ROW($A$92)+1,[4]Inputs!$S$11)</f>
        <v>PLNT</v>
      </c>
      <c r="Y1814" s="116" t="e">
        <f t="shared" si="1117"/>
        <v>#VALUE!</v>
      </c>
      <c r="Z1814" s="116" t="e">
        <f t="shared" si="1117"/>
        <v>#VALUE!</v>
      </c>
      <c r="AA1814" s="116" t="e">
        <f t="shared" si="1117"/>
        <v>#VALUE!</v>
      </c>
      <c r="AB1814" s="116" t="e">
        <f t="shared" si="1117"/>
        <v>#VALUE!</v>
      </c>
      <c r="AC1814" s="116" t="e">
        <f t="shared" si="1117"/>
        <v>#VALUE!</v>
      </c>
      <c r="AD1814" s="117" t="e">
        <f t="shared" si="1118"/>
        <v>#VALUE!</v>
      </c>
      <c r="AE1814" s="117" t="e">
        <f t="shared" si="1119"/>
        <v>#VALUE!</v>
      </c>
      <c r="AF1814" s="117" t="e">
        <f t="shared" si="1120"/>
        <v>#VALUE!</v>
      </c>
      <c r="AG1814" s="117" t="e">
        <f t="shared" si="1121"/>
        <v>#VALUE!</v>
      </c>
      <c r="AH1814" s="116"/>
      <c r="AI1814">
        <f t="shared" si="1093"/>
        <v>165</v>
      </c>
      <c r="AJ1814" t="str">
        <f t="shared" si="1087"/>
        <v>SG</v>
      </c>
      <c r="AK1814" t="str">
        <f>IF(ISERROR(MATCH(AI1814&amp;"."&amp;AJ1814,AK$91:AK1813,0)),AI1814&amp;"."&amp;AJ1814,AI1814&amp;"."&amp;AJ1814&amp;COUNTIFS(AI$91:AI1813,AI1814,AJ$91:AJ1813,AJ1814))</f>
        <v>165.SG</v>
      </c>
    </row>
    <row r="1815" spans="1:37" ht="15" hidden="1">
      <c r="A1815" s="120">
        <f>ROW()</f>
        <v>1815</v>
      </c>
      <c r="B1815" s="120"/>
      <c r="C1815" s="1"/>
      <c r="E1815" s="121" t="s">
        <v>16</v>
      </c>
      <c r="F1815" s="138" t="str">
        <f>INDEX(FuncAllocOptions,ROW(A1815)-ROW($A$92)+1,[4]Inputs!$S$11)</f>
        <v>P</v>
      </c>
      <c r="G1815" s="117" t="e">
        <f>SUMIF(FERCJAMFactor,AK1815,JAMValue)</f>
        <v>#VALUE!</v>
      </c>
      <c r="H1815" s="116" t="e">
        <f t="shared" si="1116"/>
        <v>#VALUE!</v>
      </c>
      <c r="I1815" s="116" t="e">
        <f t="shared" si="1116"/>
        <v>#VALUE!</v>
      </c>
      <c r="J1815" s="116" t="e">
        <f t="shared" si="1116"/>
        <v>#VALUE!</v>
      </c>
      <c r="K1815" s="116" t="e">
        <f t="shared" si="1116"/>
        <v>#VALUE!</v>
      </c>
      <c r="L1815" s="116" t="e">
        <f t="shared" si="1116"/>
        <v>#VALUE!</v>
      </c>
      <c r="N1815" s="108">
        <v>0.75</v>
      </c>
      <c r="O1815" s="116" t="e">
        <f>$H1815*$N1815*$M1815</f>
        <v>#VALUE!</v>
      </c>
      <c r="P1815" s="116" t="e">
        <f>$H1815*(1-$N1815)*$M1815</f>
        <v>#VALUE!</v>
      </c>
      <c r="Q1815" s="116" t="e">
        <f>$H1815*$N1815*(1-$M1815)</f>
        <v>#VALUE!</v>
      </c>
      <c r="R1815" s="116" t="e">
        <f>$H1815*(1-$N1815)*(1-$M1815)</f>
        <v>#VALUE!</v>
      </c>
      <c r="S1815" s="108">
        <v>0.75</v>
      </c>
      <c r="T1815" s="116" t="e">
        <f>$I1815*$S1815*$M1815</f>
        <v>#VALUE!</v>
      </c>
      <c r="U1815" s="116" t="e">
        <f>$I1815*(1-$S1815)*$M1815</f>
        <v>#VALUE!</v>
      </c>
      <c r="V1815" s="116" t="e">
        <f>$I1815*$S1815*(1-$M1815)</f>
        <v>#VALUE!</v>
      </c>
      <c r="W1815" s="116" t="e">
        <f>$I1815*(1-$S1815)*(1-$M1815)</f>
        <v>#VALUE!</v>
      </c>
      <c r="X1815" s="3" t="str">
        <f>INDEX(DistFuncAllocOptions,ROW(A1815)-ROW($A$92)+1,[4]Inputs!$S$11)</f>
        <v>PLNT</v>
      </c>
      <c r="Y1815" s="116" t="e">
        <f t="shared" si="1117"/>
        <v>#VALUE!</v>
      </c>
      <c r="Z1815" s="116" t="e">
        <f t="shared" si="1117"/>
        <v>#VALUE!</v>
      </c>
      <c r="AA1815" s="116" t="e">
        <f t="shared" si="1117"/>
        <v>#VALUE!</v>
      </c>
      <c r="AB1815" s="116" t="e">
        <f t="shared" si="1117"/>
        <v>#VALUE!</v>
      </c>
      <c r="AC1815" s="116" t="e">
        <f t="shared" si="1117"/>
        <v>#VALUE!</v>
      </c>
      <c r="AD1815" s="117" t="e">
        <f t="shared" si="1118"/>
        <v>#VALUE!</v>
      </c>
      <c r="AE1815" s="117" t="e">
        <f t="shared" si="1119"/>
        <v>#VALUE!</v>
      </c>
      <c r="AF1815" s="117" t="e">
        <f t="shared" si="1120"/>
        <v>#VALUE!</v>
      </c>
      <c r="AG1815" s="117" t="e">
        <f t="shared" si="1121"/>
        <v>#VALUE!</v>
      </c>
      <c r="AH1815" s="116"/>
      <c r="AI1815">
        <f t="shared" si="1093"/>
        <v>165</v>
      </c>
      <c r="AJ1815" t="str">
        <f t="shared" si="1087"/>
        <v>SE</v>
      </c>
      <c r="AK1815" t="str">
        <f>IF(ISERROR(MATCH(AI1815&amp;"."&amp;AJ1815,AK$91:AK1814,0)),AI1815&amp;"."&amp;AJ1815,AI1815&amp;"."&amp;AJ1815&amp;COUNTIFS(AI$91:AI1814,AI1815,AJ$91:AJ1814,AJ1815))</f>
        <v>165.SE</v>
      </c>
    </row>
    <row r="1816" spans="1:37" ht="15" hidden="1">
      <c r="A1816" s="120">
        <f>ROW()</f>
        <v>1816</v>
      </c>
      <c r="B1816" s="120"/>
      <c r="C1816" s="1"/>
      <c r="E1816" s="121" t="s">
        <v>136</v>
      </c>
      <c r="F1816" s="138" t="str">
        <f>INDEX(FuncAllocOptions,ROW(A1816)-ROW($A$92)+1,[4]Inputs!$S$11)</f>
        <v>PTD</v>
      </c>
      <c r="G1816" s="133" t="e">
        <f>SUMIF(FERCJAMFactor,AK1816,JAMValue)</f>
        <v>#VALUE!</v>
      </c>
      <c r="H1816" s="139" t="e">
        <f t="shared" si="1116"/>
        <v>#VALUE!</v>
      </c>
      <c r="I1816" s="139" t="e">
        <f t="shared" si="1116"/>
        <v>#VALUE!</v>
      </c>
      <c r="J1816" s="139" t="e">
        <f t="shared" si="1116"/>
        <v>#VALUE!</v>
      </c>
      <c r="K1816" s="139" t="e">
        <f t="shared" si="1116"/>
        <v>#VALUE!</v>
      </c>
      <c r="L1816" s="139" t="e">
        <f t="shared" si="1116"/>
        <v>#VALUE!</v>
      </c>
      <c r="N1816" s="108">
        <v>0.75</v>
      </c>
      <c r="O1816" s="116" t="e">
        <f>$H1816*$N1816*$M1816</f>
        <v>#VALUE!</v>
      </c>
      <c r="P1816" s="116" t="e">
        <f>$H1816*(1-$N1816)*$M1816</f>
        <v>#VALUE!</v>
      </c>
      <c r="Q1816" s="116" t="e">
        <f>$H1816*$N1816*(1-$M1816)</f>
        <v>#VALUE!</v>
      </c>
      <c r="R1816" s="116" t="e">
        <f>$H1816*(1-$N1816)*(1-$M1816)</f>
        <v>#VALUE!</v>
      </c>
      <c r="S1816" s="108">
        <v>0.75</v>
      </c>
      <c r="T1816" s="116" t="e">
        <f>$I1816*$S1816*$M1816</f>
        <v>#VALUE!</v>
      </c>
      <c r="U1816" s="116" t="e">
        <f>$I1816*(1-$S1816)*$M1816</f>
        <v>#VALUE!</v>
      </c>
      <c r="V1816" s="116" t="e">
        <f>$I1816*$S1816*(1-$M1816)</f>
        <v>#VALUE!</v>
      </c>
      <c r="W1816" s="116" t="e">
        <f>$I1816*(1-$S1816)*(1-$M1816)</f>
        <v>#VALUE!</v>
      </c>
      <c r="X1816" s="3" t="str">
        <f>INDEX(DistFuncAllocOptions,ROW(A1816)-ROW($A$92)+1,[4]Inputs!$S$11)</f>
        <v>PLNT</v>
      </c>
      <c r="Y1816" s="116" t="e">
        <f t="shared" si="1117"/>
        <v>#VALUE!</v>
      </c>
      <c r="Z1816" s="116" t="e">
        <f t="shared" si="1117"/>
        <v>#VALUE!</v>
      </c>
      <c r="AA1816" s="116" t="e">
        <f t="shared" si="1117"/>
        <v>#VALUE!</v>
      </c>
      <c r="AB1816" s="116" t="e">
        <f t="shared" si="1117"/>
        <v>#VALUE!</v>
      </c>
      <c r="AC1816" s="116" t="e">
        <f t="shared" si="1117"/>
        <v>#VALUE!</v>
      </c>
      <c r="AD1816" s="117" t="e">
        <f t="shared" si="1118"/>
        <v>#VALUE!</v>
      </c>
      <c r="AE1816" s="117" t="e">
        <f t="shared" si="1119"/>
        <v>#VALUE!</v>
      </c>
      <c r="AF1816" s="117" t="e">
        <f t="shared" si="1120"/>
        <v>#VALUE!</v>
      </c>
      <c r="AG1816" s="117" t="e">
        <f t="shared" si="1121"/>
        <v>#VALUE!</v>
      </c>
      <c r="AH1816" s="116"/>
      <c r="AI1816">
        <f t="shared" si="1093"/>
        <v>165</v>
      </c>
      <c r="AJ1816" t="str">
        <f t="shared" si="1087"/>
        <v>SO</v>
      </c>
      <c r="AK1816" t="str">
        <f>IF(ISERROR(MATCH(AI1816&amp;"."&amp;AJ1816,AK$91:AK1815,0)),AI1816&amp;"."&amp;AJ1816,AI1816&amp;"."&amp;AJ1816&amp;COUNTIFS(AI$91:AI1815,AI1816,AJ$91:AJ1815,AJ1816))</f>
        <v>165.SO</v>
      </c>
    </row>
    <row r="1817" spans="1:37" ht="15" hidden="1">
      <c r="A1817" s="120">
        <f>ROW()</f>
        <v>1817</v>
      </c>
      <c r="B1817" s="120"/>
      <c r="C1817" s="1"/>
      <c r="E1817" s="121"/>
      <c r="F1817" s="138"/>
      <c r="G1817" s="117" t="e">
        <f t="shared" ref="G1817:L1817" si="1122">SUM(G1812:G1816)</f>
        <v>#VALUE!</v>
      </c>
      <c r="H1817" s="116" t="e">
        <f t="shared" si="1122"/>
        <v>#VALUE!</v>
      </c>
      <c r="I1817" s="116" t="e">
        <f t="shared" si="1122"/>
        <v>#VALUE!</v>
      </c>
      <c r="J1817" s="116" t="e">
        <f t="shared" si="1122"/>
        <v>#VALUE!</v>
      </c>
      <c r="K1817" s="116" t="e">
        <f t="shared" si="1122"/>
        <v>#VALUE!</v>
      </c>
      <c r="L1817" s="116" t="e">
        <f t="shared" si="1122"/>
        <v>#VALUE!</v>
      </c>
      <c r="O1817" s="116" t="e">
        <f>SUM(O1812:O1816)</f>
        <v>#VALUE!</v>
      </c>
      <c r="P1817" s="116" t="e">
        <f>SUM(P1812:P1816)</f>
        <v>#VALUE!</v>
      </c>
      <c r="Q1817" s="116" t="e">
        <f>SUM(Q1812:Q1816)</f>
        <v>#VALUE!</v>
      </c>
      <c r="R1817" s="116" t="e">
        <f>SUM(R1812:R1816)</f>
        <v>#VALUE!</v>
      </c>
      <c r="T1817" s="116" t="e">
        <f>SUM(T1812:T1816)</f>
        <v>#VALUE!</v>
      </c>
      <c r="U1817" s="116" t="e">
        <f>SUM(U1812:U1816)</f>
        <v>#VALUE!</v>
      </c>
      <c r="V1817" s="116" t="e">
        <f>SUM(V1812:V1816)</f>
        <v>#VALUE!</v>
      </c>
      <c r="W1817" s="116" t="e">
        <f>SUM(W1812:W1816)</f>
        <v>#VALUE!</v>
      </c>
      <c r="X1817" s="3"/>
      <c r="Y1817" s="116" t="e">
        <f>SUM(Y1812:Y1816)</f>
        <v>#VALUE!</v>
      </c>
      <c r="Z1817" s="116" t="e">
        <f>SUM(Z1812:Z1816)</f>
        <v>#VALUE!</v>
      </c>
      <c r="AA1817" s="116" t="e">
        <f>SUM(AA1812:AA1816)</f>
        <v>#VALUE!</v>
      </c>
      <c r="AB1817" s="116" t="e">
        <f>SUM(AB1812:AB1816)</f>
        <v>#VALUE!</v>
      </c>
      <c r="AC1817" s="116" t="e">
        <f>SUM(AC1812:AC1816)</f>
        <v>#VALUE!</v>
      </c>
      <c r="AD1817" s="117" t="e">
        <f t="shared" si="1118"/>
        <v>#VALUE!</v>
      </c>
      <c r="AE1817" s="117" t="e">
        <f t="shared" si="1119"/>
        <v>#VALUE!</v>
      </c>
      <c r="AF1817" s="117" t="e">
        <f t="shared" si="1120"/>
        <v>#VALUE!</v>
      </c>
      <c r="AG1817" s="117" t="e">
        <f t="shared" si="1121"/>
        <v>#VALUE!</v>
      </c>
      <c r="AH1817" s="116"/>
      <c r="AI1817">
        <f t="shared" si="1093"/>
        <v>165</v>
      </c>
      <c r="AJ1817" t="str">
        <f t="shared" si="1087"/>
        <v>NA</v>
      </c>
      <c r="AK1817" t="str">
        <f>IF(ISERROR(MATCH(AI1817&amp;"."&amp;AJ1817,AK$91:AK1816,0)),AI1817&amp;"."&amp;AJ1817,AI1817&amp;"."&amp;AJ1817&amp;COUNTIFS(AI$91:AI1816,AI1817,AJ$91:AJ1816,AJ1817))</f>
        <v>165.NA1</v>
      </c>
    </row>
    <row r="1818" spans="1:37" ht="15" hidden="1">
      <c r="A1818" s="120">
        <f>ROW()</f>
        <v>1818</v>
      </c>
      <c r="B1818" s="120"/>
      <c r="C1818" s="1"/>
      <c r="E1818" s="121"/>
      <c r="F1818" s="138"/>
      <c r="G1818" s="119"/>
      <c r="X1818" s="3"/>
      <c r="AD1818" s="119"/>
      <c r="AE1818" s="119"/>
      <c r="AF1818" s="119"/>
      <c r="AG1818" s="119"/>
      <c r="AI1818">
        <f t="shared" si="1093"/>
        <v>165</v>
      </c>
      <c r="AJ1818" t="str">
        <f t="shared" si="1087"/>
        <v>NA</v>
      </c>
      <c r="AK1818" t="str">
        <f>IF(ISERROR(MATCH(AI1818&amp;"."&amp;AJ1818,AK$91:AK1817,0)),AI1818&amp;"."&amp;AJ1818,AI1818&amp;"."&amp;AJ1818&amp;COUNTIFS(AI$91:AI1817,AI1818,AJ$91:AJ1817,AJ1818))</f>
        <v>165.NA2</v>
      </c>
    </row>
    <row r="1819" spans="1:37" ht="15" hidden="1">
      <c r="A1819" s="120">
        <f>ROW()</f>
        <v>1819</v>
      </c>
      <c r="B1819" s="120"/>
      <c r="C1819" s="1" t="s">
        <v>216</v>
      </c>
      <c r="D1819" s="2" t="s">
        <v>616</v>
      </c>
      <c r="E1819" s="121"/>
      <c r="F1819" s="138"/>
      <c r="G1819" s="119"/>
      <c r="X1819" s="3"/>
      <c r="AD1819" s="119"/>
      <c r="AE1819" s="119"/>
      <c r="AF1819" s="119"/>
      <c r="AG1819" s="119"/>
      <c r="AI1819" t="str">
        <f t="shared" si="1093"/>
        <v>182M</v>
      </c>
      <c r="AJ1819" t="str">
        <f t="shared" si="1087"/>
        <v>NA</v>
      </c>
      <c r="AK1819" t="str">
        <f>IF(ISERROR(MATCH(AI1819&amp;"."&amp;AJ1819,AK$91:AK1818,0)),AI1819&amp;"."&amp;AJ1819,AI1819&amp;"."&amp;AJ1819&amp;COUNTIFS(AI$91:AI1818,AI1819,AJ$91:AJ1818,AJ1819))</f>
        <v>182M.NA</v>
      </c>
    </row>
    <row r="1820" spans="1:37" ht="15" hidden="1">
      <c r="A1820" s="120">
        <f>ROW()</f>
        <v>1820</v>
      </c>
      <c r="B1820" s="120"/>
      <c r="C1820" s="1"/>
      <c r="E1820" s="121" t="s">
        <v>12</v>
      </c>
      <c r="F1820" s="138" t="str">
        <f>INDEX(FuncAllocOptions,ROW(A1820)-ROW($A$92)+1,[4]Inputs!$S$11)</f>
        <v>DDS2</v>
      </c>
      <c r="G1820" s="117" t="e">
        <f t="shared" ref="G1820:G1826" si="1123">SUMIF(FERCJAMFactor,AK1820,JAMValue)</f>
        <v>#VALUE!</v>
      </c>
      <c r="H1820" s="116" t="e">
        <f t="shared" ref="H1820:L1826" si="1124">INDEX(FuncFactorTbl,MATCH($F1820,FuncFactors,0),MATCH(H$8,Functions,0))*$G1820</f>
        <v>#VALUE!</v>
      </c>
      <c r="I1820" s="116" t="e">
        <f t="shared" si="1124"/>
        <v>#VALUE!</v>
      </c>
      <c r="J1820" s="116" t="e">
        <f t="shared" si="1124"/>
        <v>#VALUE!</v>
      </c>
      <c r="K1820" s="116" t="e">
        <f t="shared" si="1124"/>
        <v>#VALUE!</v>
      </c>
      <c r="L1820" s="116" t="e">
        <f t="shared" si="1124"/>
        <v>#VALUE!</v>
      </c>
      <c r="N1820" s="108">
        <v>0.75</v>
      </c>
      <c r="O1820" s="116" t="e">
        <f t="shared" ref="O1820:O1826" si="1125">$H1820*$N1820*$M1820</f>
        <v>#VALUE!</v>
      </c>
      <c r="P1820" s="116" t="e">
        <f t="shared" ref="P1820:P1826" si="1126">$H1820*(1-$N1820)*$M1820</f>
        <v>#VALUE!</v>
      </c>
      <c r="Q1820" s="116" t="e">
        <f t="shared" ref="Q1820:Q1826" si="1127">$H1820*$N1820*(1-$M1820)</f>
        <v>#VALUE!</v>
      </c>
      <c r="R1820" s="116" t="e">
        <f t="shared" ref="R1820:R1826" si="1128">$H1820*(1-$N1820)*(1-$M1820)</f>
        <v>#VALUE!</v>
      </c>
      <c r="S1820" s="108">
        <v>0.75</v>
      </c>
      <c r="T1820" s="116" t="e">
        <f t="shared" ref="T1820:T1826" si="1129">$I1820*$S1820*$M1820</f>
        <v>#VALUE!</v>
      </c>
      <c r="U1820" s="116" t="e">
        <f t="shared" ref="U1820:U1826" si="1130">$I1820*(1-$S1820)*$M1820</f>
        <v>#VALUE!</v>
      </c>
      <c r="V1820" s="116" t="e">
        <f t="shared" ref="V1820:V1826" si="1131">$I1820*$S1820*(1-$M1820)</f>
        <v>#VALUE!</v>
      </c>
      <c r="W1820" s="116" t="e">
        <f t="shared" ref="W1820:W1826" si="1132">$I1820*(1-$S1820)*(1-$M1820)</f>
        <v>#VALUE!</v>
      </c>
      <c r="X1820" s="3" t="str">
        <f>INDEX(DistFuncAllocOptions,ROW(A1820)-ROW($A$92)+1,[4]Inputs!$S$11)</f>
        <v>PLNT</v>
      </c>
      <c r="Y1820" s="116" t="e">
        <f t="shared" ref="Y1820:AC1826" si="1133">INDEX(DistFuncFactorTbl,MATCH($X1820,DistFuncFactors,0),MATCH(Y$91,DistFunctions,0))*$J1820</f>
        <v>#VALUE!</v>
      </c>
      <c r="Z1820" s="116" t="e">
        <f t="shared" si="1133"/>
        <v>#VALUE!</v>
      </c>
      <c r="AA1820" s="116" t="e">
        <f t="shared" si="1133"/>
        <v>#VALUE!</v>
      </c>
      <c r="AB1820" s="116" t="e">
        <f t="shared" si="1133"/>
        <v>#VALUE!</v>
      </c>
      <c r="AC1820" s="116" t="e">
        <f t="shared" si="1133"/>
        <v>#VALUE!</v>
      </c>
      <c r="AD1820" s="117" t="e">
        <f t="shared" ref="AD1820:AD1827" si="1134">ROUND(SUM(-G1820,H1820:L1820),0)</f>
        <v>#VALUE!</v>
      </c>
      <c r="AE1820" s="117" t="e">
        <f t="shared" ref="AE1820:AE1827" si="1135">ROUND(H1820-O1820-P1820-Q1820-R1820,0)</f>
        <v>#VALUE!</v>
      </c>
      <c r="AF1820" s="117" t="e">
        <f t="shared" ref="AF1820:AF1827" si="1136">ROUND(I1820-T1820-U1820-V1820-W1820,0)</f>
        <v>#VALUE!</v>
      </c>
      <c r="AG1820" s="117" t="e">
        <f t="shared" ref="AG1820:AG1827" si="1137">ROUND(J1820-Y1820-Z1820-AA1820-AC1820-AB1820,0)</f>
        <v>#VALUE!</v>
      </c>
      <c r="AH1820" s="116"/>
      <c r="AI1820" t="str">
        <f t="shared" si="1093"/>
        <v>182M</v>
      </c>
      <c r="AJ1820" t="str">
        <f t="shared" si="1087"/>
        <v>S</v>
      </c>
      <c r="AK1820" t="str">
        <f>IF(ISERROR(MATCH(AI1820&amp;"."&amp;AJ1820,AK$91:AK1819,0)),AI1820&amp;"."&amp;AJ1820,AI1820&amp;"."&amp;AJ1820&amp;COUNTIFS(AI$91:AI1819,AI1820,AJ$91:AJ1819,AJ1820))</f>
        <v>182M.S</v>
      </c>
    </row>
    <row r="1821" spans="1:37" ht="15" hidden="1">
      <c r="A1821" s="120">
        <f>ROW()</f>
        <v>1821</v>
      </c>
      <c r="B1821" s="120"/>
      <c r="C1821" s="1"/>
      <c r="E1821" s="121" t="s">
        <v>15</v>
      </c>
      <c r="F1821" s="138" t="str">
        <f>INDEX(FuncAllocOptions,ROW(A1821)-ROW($A$92)+1,[4]Inputs!$S$11)</f>
        <v>DEFSG</v>
      </c>
      <c r="G1821" s="117" t="e">
        <f t="shared" si="1123"/>
        <v>#VALUE!</v>
      </c>
      <c r="H1821" s="116" t="e">
        <f t="shared" si="1124"/>
        <v>#VALUE!</v>
      </c>
      <c r="I1821" s="116" t="e">
        <f t="shared" si="1124"/>
        <v>#VALUE!</v>
      </c>
      <c r="J1821" s="116" t="e">
        <f t="shared" si="1124"/>
        <v>#VALUE!</v>
      </c>
      <c r="K1821" s="116" t="e">
        <f t="shared" si="1124"/>
        <v>#VALUE!</v>
      </c>
      <c r="L1821" s="116" t="e">
        <f t="shared" si="1124"/>
        <v>#VALUE!</v>
      </c>
      <c r="N1821" s="108">
        <v>0.75</v>
      </c>
      <c r="O1821" s="116" t="e">
        <f t="shared" si="1125"/>
        <v>#VALUE!</v>
      </c>
      <c r="P1821" s="116" t="e">
        <f t="shared" si="1126"/>
        <v>#VALUE!</v>
      </c>
      <c r="Q1821" s="116" t="e">
        <f t="shared" si="1127"/>
        <v>#VALUE!</v>
      </c>
      <c r="R1821" s="116" t="e">
        <f t="shared" si="1128"/>
        <v>#VALUE!</v>
      </c>
      <c r="S1821" s="108">
        <v>0.75</v>
      </c>
      <c r="T1821" s="116" t="e">
        <f t="shared" si="1129"/>
        <v>#VALUE!</v>
      </c>
      <c r="U1821" s="116" t="e">
        <f t="shared" si="1130"/>
        <v>#VALUE!</v>
      </c>
      <c r="V1821" s="116" t="e">
        <f t="shared" si="1131"/>
        <v>#VALUE!</v>
      </c>
      <c r="W1821" s="116" t="e">
        <f t="shared" si="1132"/>
        <v>#VALUE!</v>
      </c>
      <c r="X1821" s="3" t="str">
        <f>INDEX(DistFuncAllocOptions,ROW(A1821)-ROW($A$92)+1,[4]Inputs!$S$11)</f>
        <v>PLNT</v>
      </c>
      <c r="Y1821" s="116" t="e">
        <f t="shared" si="1133"/>
        <v>#VALUE!</v>
      </c>
      <c r="Z1821" s="116" t="e">
        <f t="shared" si="1133"/>
        <v>#VALUE!</v>
      </c>
      <c r="AA1821" s="116" t="e">
        <f t="shared" si="1133"/>
        <v>#VALUE!</v>
      </c>
      <c r="AB1821" s="116" t="e">
        <f t="shared" si="1133"/>
        <v>#VALUE!</v>
      </c>
      <c r="AC1821" s="116" t="e">
        <f t="shared" si="1133"/>
        <v>#VALUE!</v>
      </c>
      <c r="AD1821" s="117" t="e">
        <f t="shared" si="1134"/>
        <v>#VALUE!</v>
      </c>
      <c r="AE1821" s="117" t="e">
        <f t="shared" si="1135"/>
        <v>#VALUE!</v>
      </c>
      <c r="AF1821" s="117" t="e">
        <f t="shared" si="1136"/>
        <v>#VALUE!</v>
      </c>
      <c r="AG1821" s="117" t="e">
        <f t="shared" si="1137"/>
        <v>#VALUE!</v>
      </c>
      <c r="AH1821" s="116"/>
      <c r="AI1821" t="str">
        <f t="shared" si="1093"/>
        <v>182M</v>
      </c>
      <c r="AJ1821" t="str">
        <f t="shared" ref="AJ1821:AJ1884" si="1138">IF(E1821="","NA",E1821)</f>
        <v>SG</v>
      </c>
      <c r="AK1821" t="str">
        <f>IF(ISERROR(MATCH(AI1821&amp;"."&amp;AJ1821,AK$91:AK1820,0)),AI1821&amp;"."&amp;AJ1821,AI1821&amp;"."&amp;AJ1821&amp;COUNTIFS(AI$91:AI1820,AI1821,AJ$91:AJ1820,AJ1821))</f>
        <v>182M.SG</v>
      </c>
    </row>
    <row r="1822" spans="1:37" ht="15" hidden="1">
      <c r="A1822" s="120">
        <f>ROW()</f>
        <v>1822</v>
      </c>
      <c r="B1822" s="120"/>
      <c r="C1822" s="1"/>
      <c r="E1822" s="121" t="s">
        <v>283</v>
      </c>
      <c r="F1822" s="138" t="str">
        <f>INDEX(FuncAllocOptions,ROW(A1822)-ROW($A$92)+1,[4]Inputs!$S$11)</f>
        <v>P</v>
      </c>
      <c r="G1822" s="117" t="e">
        <f t="shared" si="1123"/>
        <v>#VALUE!</v>
      </c>
      <c r="H1822" s="116" t="e">
        <f t="shared" si="1124"/>
        <v>#VALUE!</v>
      </c>
      <c r="I1822" s="116" t="e">
        <f t="shared" si="1124"/>
        <v>#VALUE!</v>
      </c>
      <c r="J1822" s="116" t="e">
        <f t="shared" si="1124"/>
        <v>#VALUE!</v>
      </c>
      <c r="K1822" s="116" t="e">
        <f t="shared" si="1124"/>
        <v>#VALUE!</v>
      </c>
      <c r="L1822" s="116" t="e">
        <f t="shared" si="1124"/>
        <v>#VALUE!</v>
      </c>
      <c r="N1822" s="108">
        <v>0.75</v>
      </c>
      <c r="O1822" s="116" t="e">
        <f t="shared" si="1125"/>
        <v>#VALUE!</v>
      </c>
      <c r="P1822" s="116" t="e">
        <f t="shared" si="1126"/>
        <v>#VALUE!</v>
      </c>
      <c r="Q1822" s="116" t="e">
        <f t="shared" si="1127"/>
        <v>#VALUE!</v>
      </c>
      <c r="R1822" s="116" t="e">
        <f t="shared" si="1128"/>
        <v>#VALUE!</v>
      </c>
      <c r="S1822" s="108">
        <v>0.75</v>
      </c>
      <c r="T1822" s="116" t="e">
        <f t="shared" si="1129"/>
        <v>#VALUE!</v>
      </c>
      <c r="U1822" s="116" t="e">
        <f t="shared" si="1130"/>
        <v>#VALUE!</v>
      </c>
      <c r="V1822" s="116" t="e">
        <f t="shared" si="1131"/>
        <v>#VALUE!</v>
      </c>
      <c r="W1822" s="116" t="e">
        <f t="shared" si="1132"/>
        <v>#VALUE!</v>
      </c>
      <c r="X1822" s="3" t="str">
        <f>INDEX(DistFuncAllocOptions,ROW(A1822)-ROW($A$92)+1,[4]Inputs!$S$11)</f>
        <v>PLNT</v>
      </c>
      <c r="Y1822" s="116" t="e">
        <f t="shared" si="1133"/>
        <v>#VALUE!</v>
      </c>
      <c r="Z1822" s="116" t="e">
        <f t="shared" si="1133"/>
        <v>#VALUE!</v>
      </c>
      <c r="AA1822" s="116" t="e">
        <f t="shared" si="1133"/>
        <v>#VALUE!</v>
      </c>
      <c r="AB1822" s="116" t="e">
        <f t="shared" si="1133"/>
        <v>#VALUE!</v>
      </c>
      <c r="AC1822" s="116" t="e">
        <f t="shared" si="1133"/>
        <v>#VALUE!</v>
      </c>
      <c r="AD1822" s="117" t="e">
        <f t="shared" si="1134"/>
        <v>#VALUE!</v>
      </c>
      <c r="AE1822" s="117" t="e">
        <f t="shared" si="1135"/>
        <v>#VALUE!</v>
      </c>
      <c r="AF1822" s="117" t="e">
        <f t="shared" si="1136"/>
        <v>#VALUE!</v>
      </c>
      <c r="AG1822" s="117" t="e">
        <f t="shared" si="1137"/>
        <v>#VALUE!</v>
      </c>
      <c r="AH1822" s="116"/>
      <c r="AI1822" t="str">
        <f t="shared" si="1093"/>
        <v>182M</v>
      </c>
      <c r="AJ1822" t="str">
        <f t="shared" si="1138"/>
        <v>SGCT</v>
      </c>
      <c r="AK1822" t="str">
        <f>IF(ISERROR(MATCH(AI1822&amp;"."&amp;AJ1822,AK$91:AK1821,0)),AI1822&amp;"."&amp;AJ1822,AI1822&amp;"."&amp;AJ1822&amp;COUNTIFS(AI$91:AI1821,AI1822,AJ$91:AJ1821,AJ1822))</f>
        <v>182M.SGCT</v>
      </c>
    </row>
    <row r="1823" spans="1:37" ht="15" hidden="1">
      <c r="A1823" s="120">
        <f>ROW()</f>
        <v>1823</v>
      </c>
      <c r="B1823" s="120"/>
      <c r="C1823" s="1"/>
      <c r="E1823" s="121" t="s">
        <v>418</v>
      </c>
      <c r="F1823" s="138" t="str">
        <f>INDEX(FuncAllocOptions,ROW(A1823)-ROW($A$92)+1,[4]Inputs!$S$11)</f>
        <v>DEFSG</v>
      </c>
      <c r="G1823" s="117" t="e">
        <f t="shared" si="1123"/>
        <v>#VALUE!</v>
      </c>
      <c r="H1823" s="116" t="e">
        <f t="shared" si="1124"/>
        <v>#VALUE!</v>
      </c>
      <c r="I1823" s="116" t="e">
        <f t="shared" si="1124"/>
        <v>#VALUE!</v>
      </c>
      <c r="J1823" s="116" t="e">
        <f t="shared" si="1124"/>
        <v>#VALUE!</v>
      </c>
      <c r="K1823" s="116" t="e">
        <f t="shared" si="1124"/>
        <v>#VALUE!</v>
      </c>
      <c r="L1823" s="116" t="e">
        <f t="shared" si="1124"/>
        <v>#VALUE!</v>
      </c>
      <c r="N1823" s="108">
        <v>0.75</v>
      </c>
      <c r="O1823" s="116" t="e">
        <f t="shared" si="1125"/>
        <v>#VALUE!</v>
      </c>
      <c r="P1823" s="116" t="e">
        <f t="shared" si="1126"/>
        <v>#VALUE!</v>
      </c>
      <c r="Q1823" s="116" t="e">
        <f t="shared" si="1127"/>
        <v>#VALUE!</v>
      </c>
      <c r="R1823" s="116" t="e">
        <f t="shared" si="1128"/>
        <v>#VALUE!</v>
      </c>
      <c r="S1823" s="108">
        <v>0.75</v>
      </c>
      <c r="T1823" s="116" t="e">
        <f t="shared" si="1129"/>
        <v>#VALUE!</v>
      </c>
      <c r="U1823" s="116" t="e">
        <f t="shared" si="1130"/>
        <v>#VALUE!</v>
      </c>
      <c r="V1823" s="116" t="e">
        <f t="shared" si="1131"/>
        <v>#VALUE!</v>
      </c>
      <c r="W1823" s="116" t="e">
        <f t="shared" si="1132"/>
        <v>#VALUE!</v>
      </c>
      <c r="X1823" s="3" t="str">
        <f>INDEX(DistFuncAllocOptions,ROW(A1823)-ROW($A$92)+1,[4]Inputs!$S$11)</f>
        <v>PLNT</v>
      </c>
      <c r="Y1823" s="116" t="e">
        <f t="shared" si="1133"/>
        <v>#VALUE!</v>
      </c>
      <c r="Z1823" s="116" t="e">
        <f t="shared" si="1133"/>
        <v>#VALUE!</v>
      </c>
      <c r="AA1823" s="116" t="e">
        <f t="shared" si="1133"/>
        <v>#VALUE!</v>
      </c>
      <c r="AB1823" s="116" t="e">
        <f t="shared" si="1133"/>
        <v>#VALUE!</v>
      </c>
      <c r="AC1823" s="116" t="e">
        <f t="shared" si="1133"/>
        <v>#VALUE!</v>
      </c>
      <c r="AD1823" s="117" t="e">
        <f t="shared" si="1134"/>
        <v>#VALUE!</v>
      </c>
      <c r="AE1823" s="117" t="e">
        <f t="shared" si="1135"/>
        <v>#VALUE!</v>
      </c>
      <c r="AF1823" s="117" t="e">
        <f t="shared" si="1136"/>
        <v>#VALUE!</v>
      </c>
      <c r="AG1823" s="117" t="e">
        <f t="shared" si="1137"/>
        <v>#VALUE!</v>
      </c>
      <c r="AH1823" s="116"/>
      <c r="AI1823" t="str">
        <f t="shared" si="1093"/>
        <v>182M</v>
      </c>
      <c r="AJ1823" t="str">
        <f t="shared" si="1138"/>
        <v>SG-P</v>
      </c>
      <c r="AK1823" t="str">
        <f>IF(ISERROR(MATCH(AI1823&amp;"."&amp;AJ1823,AK$91:AK1822,0)),AI1823&amp;"."&amp;AJ1823,AI1823&amp;"."&amp;AJ1823&amp;COUNTIFS(AI$91:AI1822,AI1823,AJ$91:AJ1822,AJ1823))</f>
        <v>182M.SG-P</v>
      </c>
    </row>
    <row r="1824" spans="1:37" ht="15" hidden="1">
      <c r="A1824" s="120">
        <f>ROW()</f>
        <v>1824</v>
      </c>
      <c r="B1824" s="120"/>
      <c r="E1824" s="121" t="s">
        <v>16</v>
      </c>
      <c r="F1824" s="138" t="str">
        <f>INDEX(FuncAllocOptions,ROW(A1824)-ROW($A$92)+1,[4]Inputs!$S$11)</f>
        <v>P</v>
      </c>
      <c r="G1824" s="117" t="e">
        <f t="shared" si="1123"/>
        <v>#VALUE!</v>
      </c>
      <c r="H1824" s="116" t="e">
        <f t="shared" si="1124"/>
        <v>#VALUE!</v>
      </c>
      <c r="I1824" s="116" t="e">
        <f t="shared" si="1124"/>
        <v>#VALUE!</v>
      </c>
      <c r="J1824" s="116" t="e">
        <f t="shared" si="1124"/>
        <v>#VALUE!</v>
      </c>
      <c r="K1824" s="116" t="e">
        <f t="shared" si="1124"/>
        <v>#VALUE!</v>
      </c>
      <c r="L1824" s="116" t="e">
        <f t="shared" si="1124"/>
        <v>#VALUE!</v>
      </c>
      <c r="N1824" s="108">
        <v>0.75</v>
      </c>
      <c r="O1824" s="116" t="e">
        <f t="shared" si="1125"/>
        <v>#VALUE!</v>
      </c>
      <c r="P1824" s="116" t="e">
        <f t="shared" si="1126"/>
        <v>#VALUE!</v>
      </c>
      <c r="Q1824" s="116" t="e">
        <f t="shared" si="1127"/>
        <v>#VALUE!</v>
      </c>
      <c r="R1824" s="116" t="e">
        <f t="shared" si="1128"/>
        <v>#VALUE!</v>
      </c>
      <c r="S1824" s="108">
        <v>0.75</v>
      </c>
      <c r="T1824" s="116" t="e">
        <f t="shared" si="1129"/>
        <v>#VALUE!</v>
      </c>
      <c r="U1824" s="116" t="e">
        <f t="shared" si="1130"/>
        <v>#VALUE!</v>
      </c>
      <c r="V1824" s="116" t="e">
        <f t="shared" si="1131"/>
        <v>#VALUE!</v>
      </c>
      <c r="W1824" s="116" t="e">
        <f t="shared" si="1132"/>
        <v>#VALUE!</v>
      </c>
      <c r="X1824" s="3" t="str">
        <f>INDEX(DistFuncAllocOptions,ROW(A1824)-ROW($A$92)+1,[4]Inputs!$S$11)</f>
        <v>PLNT</v>
      </c>
      <c r="Y1824" s="116" t="e">
        <f t="shared" si="1133"/>
        <v>#VALUE!</v>
      </c>
      <c r="Z1824" s="116" t="e">
        <f t="shared" si="1133"/>
        <v>#VALUE!</v>
      </c>
      <c r="AA1824" s="116" t="e">
        <f t="shared" si="1133"/>
        <v>#VALUE!</v>
      </c>
      <c r="AB1824" s="116" t="e">
        <f t="shared" si="1133"/>
        <v>#VALUE!</v>
      </c>
      <c r="AC1824" s="116" t="e">
        <f t="shared" si="1133"/>
        <v>#VALUE!</v>
      </c>
      <c r="AD1824" s="117" t="e">
        <f t="shared" si="1134"/>
        <v>#VALUE!</v>
      </c>
      <c r="AE1824" s="117" t="e">
        <f t="shared" si="1135"/>
        <v>#VALUE!</v>
      </c>
      <c r="AF1824" s="117" t="e">
        <f t="shared" si="1136"/>
        <v>#VALUE!</v>
      </c>
      <c r="AG1824" s="117" t="e">
        <f t="shared" si="1137"/>
        <v>#VALUE!</v>
      </c>
      <c r="AH1824" s="116"/>
      <c r="AI1824" t="str">
        <f t="shared" si="1093"/>
        <v>182M</v>
      </c>
      <c r="AJ1824" t="str">
        <f t="shared" si="1138"/>
        <v>SE</v>
      </c>
      <c r="AK1824" t="str">
        <f>IF(ISERROR(MATCH(AI1824&amp;"."&amp;AJ1824,AK$91:AK1823,0)),AI1824&amp;"."&amp;AJ1824,AI1824&amp;"."&amp;AJ1824&amp;COUNTIFS(AI$91:AI1823,AI1824,AJ$91:AJ1823,AJ1824))</f>
        <v>182M.SE</v>
      </c>
    </row>
    <row r="1825" spans="1:37" ht="15" hidden="1">
      <c r="A1825" s="120">
        <f>ROW()</f>
        <v>1825</v>
      </c>
      <c r="B1825" s="120"/>
      <c r="E1825" s="121" t="s">
        <v>15</v>
      </c>
      <c r="F1825" s="138" t="str">
        <f>INDEX(FuncAllocOptions,ROW(A1825)-ROW($A$92)+1,[4]Inputs!$S$11)</f>
        <v>P</v>
      </c>
      <c r="G1825" s="117" t="e">
        <f t="shared" si="1123"/>
        <v>#VALUE!</v>
      </c>
      <c r="H1825" s="116" t="e">
        <f t="shared" si="1124"/>
        <v>#VALUE!</v>
      </c>
      <c r="I1825" s="116" t="e">
        <f t="shared" si="1124"/>
        <v>#VALUE!</v>
      </c>
      <c r="J1825" s="116" t="e">
        <f t="shared" si="1124"/>
        <v>#VALUE!</v>
      </c>
      <c r="K1825" s="116" t="e">
        <f t="shared" si="1124"/>
        <v>#VALUE!</v>
      </c>
      <c r="L1825" s="116" t="e">
        <f t="shared" si="1124"/>
        <v>#VALUE!</v>
      </c>
      <c r="N1825" s="108">
        <v>0.75</v>
      </c>
      <c r="O1825" s="116" t="e">
        <f t="shared" si="1125"/>
        <v>#VALUE!</v>
      </c>
      <c r="P1825" s="116" t="e">
        <f t="shared" si="1126"/>
        <v>#VALUE!</v>
      </c>
      <c r="Q1825" s="116" t="e">
        <f t="shared" si="1127"/>
        <v>#VALUE!</v>
      </c>
      <c r="R1825" s="116" t="e">
        <f t="shared" si="1128"/>
        <v>#VALUE!</v>
      </c>
      <c r="S1825" s="108">
        <v>0.75</v>
      </c>
      <c r="T1825" s="116" t="e">
        <f t="shared" si="1129"/>
        <v>#VALUE!</v>
      </c>
      <c r="U1825" s="116" t="e">
        <f t="shared" si="1130"/>
        <v>#VALUE!</v>
      </c>
      <c r="V1825" s="116" t="e">
        <f t="shared" si="1131"/>
        <v>#VALUE!</v>
      </c>
      <c r="W1825" s="116" t="e">
        <f t="shared" si="1132"/>
        <v>#VALUE!</v>
      </c>
      <c r="X1825" s="3" t="str">
        <f>INDEX(DistFuncAllocOptions,ROW(A1825)-ROW($A$92)+1,[4]Inputs!$S$11)</f>
        <v>PLNT</v>
      </c>
      <c r="Y1825" s="116" t="e">
        <f t="shared" si="1133"/>
        <v>#VALUE!</v>
      </c>
      <c r="Z1825" s="116" t="e">
        <f t="shared" si="1133"/>
        <v>#VALUE!</v>
      </c>
      <c r="AA1825" s="116" t="e">
        <f t="shared" si="1133"/>
        <v>#VALUE!</v>
      </c>
      <c r="AB1825" s="116" t="e">
        <f t="shared" si="1133"/>
        <v>#VALUE!</v>
      </c>
      <c r="AC1825" s="116" t="e">
        <f t="shared" si="1133"/>
        <v>#VALUE!</v>
      </c>
      <c r="AD1825" s="117" t="e">
        <f t="shared" si="1134"/>
        <v>#VALUE!</v>
      </c>
      <c r="AE1825" s="117" t="e">
        <f t="shared" si="1135"/>
        <v>#VALUE!</v>
      </c>
      <c r="AF1825" s="117" t="e">
        <f t="shared" si="1136"/>
        <v>#VALUE!</v>
      </c>
      <c r="AG1825" s="117" t="e">
        <f t="shared" si="1137"/>
        <v>#VALUE!</v>
      </c>
      <c r="AH1825" s="116"/>
      <c r="AI1825" t="str">
        <f t="shared" si="1093"/>
        <v>182M</v>
      </c>
      <c r="AJ1825" t="str">
        <f t="shared" si="1138"/>
        <v>SG</v>
      </c>
      <c r="AK1825" t="str">
        <f>IF(ISERROR(MATCH(AI1825&amp;"."&amp;AJ1825,AK$91:AK1824,0)),AI1825&amp;"."&amp;AJ1825,AI1825&amp;"."&amp;AJ1825&amp;COUNTIFS(AI$91:AI1824,AI1825,AJ$91:AJ1824,AJ1825))</f>
        <v>182M.SG1</v>
      </c>
    </row>
    <row r="1826" spans="1:37" ht="15" hidden="1">
      <c r="A1826" s="120">
        <f>ROW()</f>
        <v>1826</v>
      </c>
      <c r="B1826" s="120"/>
      <c r="E1826" s="121" t="s">
        <v>136</v>
      </c>
      <c r="F1826" s="138" t="str">
        <f>INDEX(FuncAllocOptions,ROW(A1826)-ROW($A$92)+1,[4]Inputs!$S$11)</f>
        <v>DDSO2</v>
      </c>
      <c r="G1826" s="133" t="e">
        <f t="shared" si="1123"/>
        <v>#VALUE!</v>
      </c>
      <c r="H1826" s="139" t="e">
        <f t="shared" si="1124"/>
        <v>#VALUE!</v>
      </c>
      <c r="I1826" s="139" t="e">
        <f t="shared" si="1124"/>
        <v>#VALUE!</v>
      </c>
      <c r="J1826" s="139" t="e">
        <f t="shared" si="1124"/>
        <v>#VALUE!</v>
      </c>
      <c r="K1826" s="139" t="e">
        <f t="shared" si="1124"/>
        <v>#VALUE!</v>
      </c>
      <c r="L1826" s="139" t="e">
        <f t="shared" si="1124"/>
        <v>#VALUE!</v>
      </c>
      <c r="N1826" s="108">
        <v>0.75</v>
      </c>
      <c r="O1826" s="116" t="e">
        <f t="shared" si="1125"/>
        <v>#VALUE!</v>
      </c>
      <c r="P1826" s="116" t="e">
        <f t="shared" si="1126"/>
        <v>#VALUE!</v>
      </c>
      <c r="Q1826" s="116" t="e">
        <f t="shared" si="1127"/>
        <v>#VALUE!</v>
      </c>
      <c r="R1826" s="116" t="e">
        <f t="shared" si="1128"/>
        <v>#VALUE!</v>
      </c>
      <c r="S1826" s="108">
        <v>0.75</v>
      </c>
      <c r="T1826" s="116" t="e">
        <f t="shared" si="1129"/>
        <v>#VALUE!</v>
      </c>
      <c r="U1826" s="116" t="e">
        <f t="shared" si="1130"/>
        <v>#VALUE!</v>
      </c>
      <c r="V1826" s="116" t="e">
        <f t="shared" si="1131"/>
        <v>#VALUE!</v>
      </c>
      <c r="W1826" s="116" t="e">
        <f t="shared" si="1132"/>
        <v>#VALUE!</v>
      </c>
      <c r="X1826" s="3" t="str">
        <f>INDEX(DistFuncAllocOptions,ROW(A1826)-ROW($A$92)+1,[4]Inputs!$S$11)</f>
        <v>PLNT</v>
      </c>
      <c r="Y1826" s="116" t="e">
        <f t="shared" si="1133"/>
        <v>#VALUE!</v>
      </c>
      <c r="Z1826" s="116" t="e">
        <f t="shared" si="1133"/>
        <v>#VALUE!</v>
      </c>
      <c r="AA1826" s="116" t="e">
        <f t="shared" si="1133"/>
        <v>#VALUE!</v>
      </c>
      <c r="AB1826" s="116" t="e">
        <f t="shared" si="1133"/>
        <v>#VALUE!</v>
      </c>
      <c r="AC1826" s="116" t="e">
        <f t="shared" si="1133"/>
        <v>#VALUE!</v>
      </c>
      <c r="AD1826" s="117" t="e">
        <f t="shared" si="1134"/>
        <v>#VALUE!</v>
      </c>
      <c r="AE1826" s="117" t="e">
        <f t="shared" si="1135"/>
        <v>#VALUE!</v>
      </c>
      <c r="AF1826" s="117" t="e">
        <f t="shared" si="1136"/>
        <v>#VALUE!</v>
      </c>
      <c r="AG1826" s="117" t="e">
        <f t="shared" si="1137"/>
        <v>#VALUE!</v>
      </c>
      <c r="AH1826" s="116"/>
      <c r="AI1826" t="str">
        <f t="shared" si="1093"/>
        <v>182M</v>
      </c>
      <c r="AJ1826" t="str">
        <f t="shared" si="1138"/>
        <v>SO</v>
      </c>
      <c r="AK1826" t="str">
        <f>IF(ISERROR(MATCH(AI1826&amp;"."&amp;AJ1826,AK$91:AK1825,0)),AI1826&amp;"."&amp;AJ1826,AI1826&amp;"."&amp;AJ1826&amp;COUNTIFS(AI$91:AI1825,AI1826,AJ$91:AJ1825,AJ1826))</f>
        <v>182M.SO</v>
      </c>
    </row>
    <row r="1827" spans="1:37" ht="15" hidden="1">
      <c r="A1827" s="120">
        <f>ROW()</f>
        <v>1827</v>
      </c>
      <c r="B1827" s="120"/>
      <c r="E1827" s="121"/>
      <c r="F1827" s="138"/>
      <c r="G1827" s="117" t="e">
        <f t="shared" ref="G1827:L1827" si="1139">SUM(G1820:G1826)</f>
        <v>#VALUE!</v>
      </c>
      <c r="H1827" s="116" t="e">
        <f t="shared" si="1139"/>
        <v>#VALUE!</v>
      </c>
      <c r="I1827" s="116" t="e">
        <f t="shared" si="1139"/>
        <v>#VALUE!</v>
      </c>
      <c r="J1827" s="116" t="e">
        <f t="shared" si="1139"/>
        <v>#VALUE!</v>
      </c>
      <c r="K1827" s="116" t="e">
        <f t="shared" si="1139"/>
        <v>#VALUE!</v>
      </c>
      <c r="L1827" s="116" t="e">
        <f t="shared" si="1139"/>
        <v>#VALUE!</v>
      </c>
      <c r="O1827" s="116" t="e">
        <f>SUM(O1820:O1826)</f>
        <v>#VALUE!</v>
      </c>
      <c r="P1827" s="116" t="e">
        <f>SUM(P1820:P1826)</f>
        <v>#VALUE!</v>
      </c>
      <c r="Q1827" s="116" t="e">
        <f>SUM(Q1820:Q1826)</f>
        <v>#VALUE!</v>
      </c>
      <c r="R1827" s="116" t="e">
        <f>SUM(R1820:R1826)</f>
        <v>#VALUE!</v>
      </c>
      <c r="T1827" s="116" t="e">
        <f>SUM(T1820:T1826)</f>
        <v>#VALUE!</v>
      </c>
      <c r="U1827" s="116" t="e">
        <f>SUM(U1820:U1826)</f>
        <v>#VALUE!</v>
      </c>
      <c r="V1827" s="116" t="e">
        <f>SUM(V1820:V1826)</f>
        <v>#VALUE!</v>
      </c>
      <c r="W1827" s="116" t="e">
        <f>SUM(W1820:W1826)</f>
        <v>#VALUE!</v>
      </c>
      <c r="X1827" s="3"/>
      <c r="Y1827" s="116" t="e">
        <f>SUM(Y1820:Y1826)</f>
        <v>#VALUE!</v>
      </c>
      <c r="Z1827" s="116" t="e">
        <f>SUM(Z1820:Z1826)</f>
        <v>#VALUE!</v>
      </c>
      <c r="AA1827" s="116" t="e">
        <f>SUM(AA1820:AA1826)</f>
        <v>#VALUE!</v>
      </c>
      <c r="AB1827" s="116" t="e">
        <f>SUM(AB1820:AB1826)</f>
        <v>#VALUE!</v>
      </c>
      <c r="AC1827" s="116" t="e">
        <f>SUM(AC1820:AC1826)</f>
        <v>#VALUE!</v>
      </c>
      <c r="AD1827" s="117" t="e">
        <f t="shared" si="1134"/>
        <v>#VALUE!</v>
      </c>
      <c r="AE1827" s="117" t="e">
        <f t="shared" si="1135"/>
        <v>#VALUE!</v>
      </c>
      <c r="AF1827" s="117" t="e">
        <f t="shared" si="1136"/>
        <v>#VALUE!</v>
      </c>
      <c r="AG1827" s="117" t="e">
        <f t="shared" si="1137"/>
        <v>#VALUE!</v>
      </c>
      <c r="AH1827" s="116"/>
      <c r="AI1827" t="str">
        <f t="shared" si="1093"/>
        <v>182M</v>
      </c>
      <c r="AJ1827" t="str">
        <f t="shared" si="1138"/>
        <v>NA</v>
      </c>
      <c r="AK1827" t="str">
        <f>IF(ISERROR(MATCH(AI1827&amp;"."&amp;AJ1827,AK$91:AK1826,0)),AI1827&amp;"."&amp;AJ1827,AI1827&amp;"."&amp;AJ1827&amp;COUNTIFS(AI$91:AI1826,AI1827,AJ$91:AJ1826,AJ1827))</f>
        <v>182M.NA1</v>
      </c>
    </row>
    <row r="1828" spans="1:37" ht="15" hidden="1">
      <c r="A1828" s="120">
        <f>ROW()</f>
        <v>1828</v>
      </c>
      <c r="B1828" s="120"/>
      <c r="E1828" s="121"/>
      <c r="F1828" s="138"/>
      <c r="G1828" s="119"/>
      <c r="X1828" s="3"/>
      <c r="AD1828" s="119"/>
      <c r="AE1828" s="119"/>
      <c r="AF1828" s="119"/>
      <c r="AG1828" s="119"/>
      <c r="AI1828" t="str">
        <f t="shared" si="1093"/>
        <v>182M</v>
      </c>
      <c r="AJ1828" t="str">
        <f t="shared" si="1138"/>
        <v>NA</v>
      </c>
      <c r="AK1828" t="str">
        <f>IF(ISERROR(MATCH(AI1828&amp;"."&amp;AJ1828,AK$91:AK1827,0)),AI1828&amp;"."&amp;AJ1828,AI1828&amp;"."&amp;AJ1828&amp;COUNTIFS(AI$91:AI1827,AI1828,AJ$91:AJ1827,AJ1828))</f>
        <v>182M.NA2</v>
      </c>
    </row>
    <row r="1829" spans="1:37" ht="15" hidden="1">
      <c r="A1829" s="120">
        <f>ROW()</f>
        <v>1829</v>
      </c>
      <c r="B1829" s="120"/>
      <c r="C1829" s="1" t="s">
        <v>219</v>
      </c>
      <c r="D1829" s="2" t="s">
        <v>620</v>
      </c>
      <c r="E1829" s="121"/>
      <c r="F1829" s="138"/>
      <c r="G1829" s="119"/>
      <c r="X1829" s="3"/>
      <c r="AD1829" s="119"/>
      <c r="AE1829" s="119"/>
      <c r="AF1829" s="119"/>
      <c r="AG1829" s="119"/>
      <c r="AI1829" t="str">
        <f t="shared" si="1093"/>
        <v>186M</v>
      </c>
      <c r="AJ1829" t="str">
        <f t="shared" si="1138"/>
        <v>NA</v>
      </c>
      <c r="AK1829" t="str">
        <f>IF(ISERROR(MATCH(AI1829&amp;"."&amp;AJ1829,AK$91:AK1828,0)),AI1829&amp;"."&amp;AJ1829,AI1829&amp;"."&amp;AJ1829&amp;COUNTIFS(AI$91:AI1828,AI1829,AJ$91:AJ1828,AJ1829))</f>
        <v>186M.NA</v>
      </c>
    </row>
    <row r="1830" spans="1:37" ht="15" hidden="1">
      <c r="A1830" s="120">
        <f>ROW()</f>
        <v>1830</v>
      </c>
      <c r="B1830" s="120"/>
      <c r="E1830" s="121" t="s">
        <v>12</v>
      </c>
      <c r="F1830" s="138" t="str">
        <f>INDEX(FuncAllocOptions,ROW(A1830)-ROW($A$92)+1,[4]Inputs!$S$11)</f>
        <v>LABOR</v>
      </c>
      <c r="G1830" s="117" t="e">
        <f t="shared" ref="G1830:G1837" si="1140">SUMIF(FERCJAMFactor,AK1830,JAMValue)</f>
        <v>#VALUE!</v>
      </c>
      <c r="H1830" s="116" t="e">
        <f t="shared" ref="H1830:L1837" si="1141">INDEX(FuncFactorTbl,MATCH($F1830,FuncFactors,0),MATCH(H$8,Functions,0))*$G1830</f>
        <v>#VALUE!</v>
      </c>
      <c r="I1830" s="116" t="e">
        <f t="shared" si="1141"/>
        <v>#VALUE!</v>
      </c>
      <c r="J1830" s="116" t="e">
        <f t="shared" si="1141"/>
        <v>#VALUE!</v>
      </c>
      <c r="K1830" s="116" t="e">
        <f t="shared" si="1141"/>
        <v>#VALUE!</v>
      </c>
      <c r="L1830" s="116" t="e">
        <f t="shared" si="1141"/>
        <v>#VALUE!</v>
      </c>
      <c r="N1830" s="108">
        <v>0.75</v>
      </c>
      <c r="O1830" s="116" t="e">
        <f t="shared" ref="O1830:O1837" si="1142">$H1830*$N1830*$M1830</f>
        <v>#VALUE!</v>
      </c>
      <c r="P1830" s="116" t="e">
        <f t="shared" ref="P1830:P1837" si="1143">$H1830*(1-$N1830)*$M1830</f>
        <v>#VALUE!</v>
      </c>
      <c r="Q1830" s="116" t="e">
        <f t="shared" ref="Q1830:Q1837" si="1144">$H1830*$N1830*(1-$M1830)</f>
        <v>#VALUE!</v>
      </c>
      <c r="R1830" s="116" t="e">
        <f t="shared" ref="R1830:R1837" si="1145">$H1830*(1-$N1830)*(1-$M1830)</f>
        <v>#VALUE!</v>
      </c>
      <c r="S1830" s="108">
        <v>0.75</v>
      </c>
      <c r="T1830" s="116" t="e">
        <f t="shared" ref="T1830:T1837" si="1146">$I1830*$S1830*$M1830</f>
        <v>#VALUE!</v>
      </c>
      <c r="U1830" s="116" t="e">
        <f t="shared" ref="U1830:U1837" si="1147">$I1830*(1-$S1830)*$M1830</f>
        <v>#VALUE!</v>
      </c>
      <c r="V1830" s="116" t="e">
        <f t="shared" ref="V1830:V1837" si="1148">$I1830*$S1830*(1-$M1830)</f>
        <v>#VALUE!</v>
      </c>
      <c r="W1830" s="116" t="e">
        <f t="shared" ref="W1830:W1837" si="1149">$I1830*(1-$S1830)*(1-$M1830)</f>
        <v>#VALUE!</v>
      </c>
      <c r="X1830" s="3" t="str">
        <f>INDEX(DistFuncAllocOptions,ROW(A1830)-ROW($A$92)+1,[4]Inputs!$S$11)</f>
        <v>PLNT</v>
      </c>
      <c r="Y1830" s="116" t="e">
        <f t="shared" ref="Y1830:AC1837" si="1150">INDEX(DistFuncFactorTbl,MATCH($X1830,DistFuncFactors,0),MATCH(Y$91,DistFunctions,0))*$J1830</f>
        <v>#VALUE!</v>
      </c>
      <c r="Z1830" s="116" t="e">
        <f t="shared" si="1150"/>
        <v>#VALUE!</v>
      </c>
      <c r="AA1830" s="116" t="e">
        <f t="shared" si="1150"/>
        <v>#VALUE!</v>
      </c>
      <c r="AB1830" s="116" t="e">
        <f t="shared" si="1150"/>
        <v>#VALUE!</v>
      </c>
      <c r="AC1830" s="116" t="e">
        <f t="shared" si="1150"/>
        <v>#VALUE!</v>
      </c>
      <c r="AD1830" s="117" t="e">
        <f t="shared" ref="AD1830:AD1838" si="1151">ROUND(SUM(-G1830,H1830:L1830),0)</f>
        <v>#VALUE!</v>
      </c>
      <c r="AE1830" s="117" t="e">
        <f t="shared" ref="AE1830:AE1838" si="1152">ROUND(H1830-O1830-P1830-Q1830-R1830,0)</f>
        <v>#VALUE!</v>
      </c>
      <c r="AF1830" s="117" t="e">
        <f t="shared" ref="AF1830:AF1838" si="1153">ROUND(I1830-T1830-U1830-V1830-W1830,0)</f>
        <v>#VALUE!</v>
      </c>
      <c r="AG1830" s="117" t="e">
        <f t="shared" ref="AG1830:AG1838" si="1154">ROUND(J1830-Y1830-Z1830-AA1830-AC1830-AB1830,0)</f>
        <v>#VALUE!</v>
      </c>
      <c r="AH1830" s="116"/>
      <c r="AI1830" t="str">
        <f t="shared" si="1093"/>
        <v>186M</v>
      </c>
      <c r="AJ1830" t="str">
        <f t="shared" si="1138"/>
        <v>S</v>
      </c>
      <c r="AK1830" t="str">
        <f>IF(ISERROR(MATCH(AI1830&amp;"."&amp;AJ1830,AK$91:AK1829,0)),AI1830&amp;"."&amp;AJ1830,AI1830&amp;"."&amp;AJ1830&amp;COUNTIFS(AI$91:AI1829,AI1830,AJ$91:AJ1829,AJ1830))</f>
        <v>186M.S</v>
      </c>
    </row>
    <row r="1831" spans="1:37" ht="15" hidden="1">
      <c r="A1831" s="120">
        <f>ROW()</f>
        <v>1831</v>
      </c>
      <c r="B1831" s="120"/>
      <c r="E1831" s="121" t="s">
        <v>15</v>
      </c>
      <c r="F1831" s="138" t="str">
        <f>INDEX(FuncAllocOptions,ROW(A1831)-ROW($A$92)+1,[4]Inputs!$S$11)</f>
        <v>P</v>
      </c>
      <c r="G1831" s="117" t="e">
        <f t="shared" si="1140"/>
        <v>#VALUE!</v>
      </c>
      <c r="H1831" s="116" t="e">
        <f t="shared" si="1141"/>
        <v>#VALUE!</v>
      </c>
      <c r="I1831" s="116" t="e">
        <f t="shared" si="1141"/>
        <v>#VALUE!</v>
      </c>
      <c r="J1831" s="116" t="e">
        <f t="shared" si="1141"/>
        <v>#VALUE!</v>
      </c>
      <c r="K1831" s="116" t="e">
        <f t="shared" si="1141"/>
        <v>#VALUE!</v>
      </c>
      <c r="L1831" s="116" t="e">
        <f t="shared" si="1141"/>
        <v>#VALUE!</v>
      </c>
      <c r="N1831" s="108">
        <v>0.75</v>
      </c>
      <c r="O1831" s="116" t="e">
        <f t="shared" si="1142"/>
        <v>#VALUE!</v>
      </c>
      <c r="P1831" s="116" t="e">
        <f t="shared" si="1143"/>
        <v>#VALUE!</v>
      </c>
      <c r="Q1831" s="116" t="e">
        <f t="shared" si="1144"/>
        <v>#VALUE!</v>
      </c>
      <c r="R1831" s="116" t="e">
        <f t="shared" si="1145"/>
        <v>#VALUE!</v>
      </c>
      <c r="S1831" s="108">
        <v>0.75</v>
      </c>
      <c r="T1831" s="116" t="e">
        <f t="shared" si="1146"/>
        <v>#VALUE!</v>
      </c>
      <c r="U1831" s="116" t="e">
        <f t="shared" si="1147"/>
        <v>#VALUE!</v>
      </c>
      <c r="V1831" s="116" t="e">
        <f t="shared" si="1148"/>
        <v>#VALUE!</v>
      </c>
      <c r="W1831" s="116" t="e">
        <f t="shared" si="1149"/>
        <v>#VALUE!</v>
      </c>
      <c r="X1831" s="3" t="str">
        <f>INDEX(DistFuncAllocOptions,ROW(A1831)-ROW($A$92)+1,[4]Inputs!$S$11)</f>
        <v>PLNT</v>
      </c>
      <c r="Y1831" s="116" t="e">
        <f t="shared" si="1150"/>
        <v>#VALUE!</v>
      </c>
      <c r="Z1831" s="116" t="e">
        <f t="shared" si="1150"/>
        <v>#VALUE!</v>
      </c>
      <c r="AA1831" s="116" t="e">
        <f t="shared" si="1150"/>
        <v>#VALUE!</v>
      </c>
      <c r="AB1831" s="116" t="e">
        <f t="shared" si="1150"/>
        <v>#VALUE!</v>
      </c>
      <c r="AC1831" s="116" t="e">
        <f t="shared" si="1150"/>
        <v>#VALUE!</v>
      </c>
      <c r="AD1831" s="117" t="e">
        <f t="shared" si="1151"/>
        <v>#VALUE!</v>
      </c>
      <c r="AE1831" s="117" t="e">
        <f t="shared" si="1152"/>
        <v>#VALUE!</v>
      </c>
      <c r="AF1831" s="117" t="e">
        <f t="shared" si="1153"/>
        <v>#VALUE!</v>
      </c>
      <c r="AG1831" s="117" t="e">
        <f t="shared" si="1154"/>
        <v>#VALUE!</v>
      </c>
      <c r="AH1831" s="116"/>
      <c r="AI1831" t="str">
        <f t="shared" si="1093"/>
        <v>186M</v>
      </c>
      <c r="AJ1831" t="str">
        <f t="shared" si="1138"/>
        <v>SG</v>
      </c>
      <c r="AK1831" t="str">
        <f>IF(ISERROR(MATCH(AI1831&amp;"."&amp;AJ1831,AK$91:AK1830,0)),AI1831&amp;"."&amp;AJ1831,AI1831&amp;"."&amp;AJ1831&amp;COUNTIFS(AI$91:AI1830,AI1831,AJ$91:AJ1830,AJ1831))</f>
        <v>186M.SG</v>
      </c>
    </row>
    <row r="1832" spans="1:37" ht="15" hidden="1">
      <c r="A1832" s="120">
        <f>ROW()</f>
        <v>1832</v>
      </c>
      <c r="B1832" s="120"/>
      <c r="E1832" s="121" t="s">
        <v>15</v>
      </c>
      <c r="F1832" s="138" t="str">
        <f>INDEX(FuncAllocOptions,ROW(A1832)-ROW($A$92)+1,[4]Inputs!$S$11)</f>
        <v>P</v>
      </c>
      <c r="G1832" s="117" t="e">
        <f t="shared" si="1140"/>
        <v>#VALUE!</v>
      </c>
      <c r="H1832" s="116" t="e">
        <f t="shared" si="1141"/>
        <v>#VALUE!</v>
      </c>
      <c r="I1832" s="116" t="e">
        <f t="shared" si="1141"/>
        <v>#VALUE!</v>
      </c>
      <c r="J1832" s="116" t="e">
        <f t="shared" si="1141"/>
        <v>#VALUE!</v>
      </c>
      <c r="K1832" s="116" t="e">
        <f t="shared" si="1141"/>
        <v>#VALUE!</v>
      </c>
      <c r="L1832" s="116" t="e">
        <f t="shared" si="1141"/>
        <v>#VALUE!</v>
      </c>
      <c r="N1832" s="108">
        <v>0.75</v>
      </c>
      <c r="O1832" s="116" t="e">
        <f t="shared" si="1142"/>
        <v>#VALUE!</v>
      </c>
      <c r="P1832" s="116" t="e">
        <f t="shared" si="1143"/>
        <v>#VALUE!</v>
      </c>
      <c r="Q1832" s="116" t="e">
        <f t="shared" si="1144"/>
        <v>#VALUE!</v>
      </c>
      <c r="R1832" s="116" t="e">
        <f t="shared" si="1145"/>
        <v>#VALUE!</v>
      </c>
      <c r="S1832" s="108">
        <v>0.75</v>
      </c>
      <c r="T1832" s="116" t="e">
        <f t="shared" si="1146"/>
        <v>#VALUE!</v>
      </c>
      <c r="U1832" s="116" t="e">
        <f t="shared" si="1147"/>
        <v>#VALUE!</v>
      </c>
      <c r="V1832" s="116" t="e">
        <f t="shared" si="1148"/>
        <v>#VALUE!</v>
      </c>
      <c r="W1832" s="116" t="e">
        <f t="shared" si="1149"/>
        <v>#VALUE!</v>
      </c>
      <c r="X1832" s="3" t="str">
        <f>INDEX(DistFuncAllocOptions,ROW(A1832)-ROW($A$92)+1,[4]Inputs!$S$11)</f>
        <v>PLNT</v>
      </c>
      <c r="Y1832" s="116" t="e">
        <f t="shared" si="1150"/>
        <v>#VALUE!</v>
      </c>
      <c r="Z1832" s="116" t="e">
        <f t="shared" si="1150"/>
        <v>#VALUE!</v>
      </c>
      <c r="AA1832" s="116" t="e">
        <f t="shared" si="1150"/>
        <v>#VALUE!</v>
      </c>
      <c r="AB1832" s="116" t="e">
        <f t="shared" si="1150"/>
        <v>#VALUE!</v>
      </c>
      <c r="AC1832" s="116" t="e">
        <f t="shared" si="1150"/>
        <v>#VALUE!</v>
      </c>
      <c r="AD1832" s="117" t="e">
        <f t="shared" si="1151"/>
        <v>#VALUE!</v>
      </c>
      <c r="AE1832" s="117" t="e">
        <f t="shared" si="1152"/>
        <v>#VALUE!</v>
      </c>
      <c r="AF1832" s="117" t="e">
        <f t="shared" si="1153"/>
        <v>#VALUE!</v>
      </c>
      <c r="AG1832" s="117" t="e">
        <f t="shared" si="1154"/>
        <v>#VALUE!</v>
      </c>
      <c r="AH1832" s="116"/>
      <c r="AI1832" t="str">
        <f t="shared" si="1093"/>
        <v>186M</v>
      </c>
      <c r="AJ1832" t="str">
        <f t="shared" si="1138"/>
        <v>SG</v>
      </c>
      <c r="AK1832" t="str">
        <f>IF(ISERROR(MATCH(AI1832&amp;"."&amp;AJ1832,AK$91:AK1831,0)),AI1832&amp;"."&amp;AJ1832,AI1832&amp;"."&amp;AJ1832&amp;COUNTIFS(AI$91:AI1831,AI1832,AJ$91:AJ1831,AJ1832))</f>
        <v>186M.SG1</v>
      </c>
    </row>
    <row r="1833" spans="1:37" ht="15" hidden="1">
      <c r="A1833" s="120">
        <f>ROW()</f>
        <v>1833</v>
      </c>
      <c r="B1833" s="120"/>
      <c r="E1833" s="121" t="s">
        <v>15</v>
      </c>
      <c r="F1833" s="138" t="str">
        <f>INDEX(FuncAllocOptions,ROW(A1833)-ROW($A$92)+1,[4]Inputs!$S$11)</f>
        <v>DEFSG</v>
      </c>
      <c r="G1833" s="117" t="e">
        <f t="shared" si="1140"/>
        <v>#VALUE!</v>
      </c>
      <c r="H1833" s="116" t="e">
        <f t="shared" si="1141"/>
        <v>#VALUE!</v>
      </c>
      <c r="I1833" s="116" t="e">
        <f t="shared" si="1141"/>
        <v>#VALUE!</v>
      </c>
      <c r="J1833" s="116" t="e">
        <f t="shared" si="1141"/>
        <v>#VALUE!</v>
      </c>
      <c r="K1833" s="116" t="e">
        <f t="shared" si="1141"/>
        <v>#VALUE!</v>
      </c>
      <c r="L1833" s="116" t="e">
        <f t="shared" si="1141"/>
        <v>#VALUE!</v>
      </c>
      <c r="N1833" s="108">
        <v>0.75</v>
      </c>
      <c r="O1833" s="116" t="e">
        <f t="shared" si="1142"/>
        <v>#VALUE!</v>
      </c>
      <c r="P1833" s="116" t="e">
        <f t="shared" si="1143"/>
        <v>#VALUE!</v>
      </c>
      <c r="Q1833" s="116" t="e">
        <f t="shared" si="1144"/>
        <v>#VALUE!</v>
      </c>
      <c r="R1833" s="116" t="e">
        <f t="shared" si="1145"/>
        <v>#VALUE!</v>
      </c>
      <c r="S1833" s="108">
        <v>0.75</v>
      </c>
      <c r="T1833" s="116" t="e">
        <f t="shared" si="1146"/>
        <v>#VALUE!</v>
      </c>
      <c r="U1833" s="116" t="e">
        <f t="shared" si="1147"/>
        <v>#VALUE!</v>
      </c>
      <c r="V1833" s="116" t="e">
        <f t="shared" si="1148"/>
        <v>#VALUE!</v>
      </c>
      <c r="W1833" s="116" t="e">
        <f t="shared" si="1149"/>
        <v>#VALUE!</v>
      </c>
      <c r="X1833" s="3" t="str">
        <f>INDEX(DistFuncAllocOptions,ROW(A1833)-ROW($A$92)+1,[4]Inputs!$S$11)</f>
        <v>PLNT</v>
      </c>
      <c r="Y1833" s="116" t="e">
        <f t="shared" si="1150"/>
        <v>#VALUE!</v>
      </c>
      <c r="Z1833" s="116" t="e">
        <f t="shared" si="1150"/>
        <v>#VALUE!</v>
      </c>
      <c r="AA1833" s="116" t="e">
        <f t="shared" si="1150"/>
        <v>#VALUE!</v>
      </c>
      <c r="AB1833" s="116" t="e">
        <f t="shared" si="1150"/>
        <v>#VALUE!</v>
      </c>
      <c r="AC1833" s="116" t="e">
        <f t="shared" si="1150"/>
        <v>#VALUE!</v>
      </c>
      <c r="AD1833" s="117" t="e">
        <f t="shared" si="1151"/>
        <v>#VALUE!</v>
      </c>
      <c r="AE1833" s="117" t="e">
        <f t="shared" si="1152"/>
        <v>#VALUE!</v>
      </c>
      <c r="AF1833" s="117" t="e">
        <f t="shared" si="1153"/>
        <v>#VALUE!</v>
      </c>
      <c r="AG1833" s="117" t="e">
        <f t="shared" si="1154"/>
        <v>#VALUE!</v>
      </c>
      <c r="AH1833" s="116"/>
      <c r="AI1833" t="str">
        <f t="shared" si="1093"/>
        <v>186M</v>
      </c>
      <c r="AJ1833" t="str">
        <f t="shared" si="1138"/>
        <v>SG</v>
      </c>
      <c r="AK1833" t="str">
        <f>IF(ISERROR(MATCH(AI1833&amp;"."&amp;AJ1833,AK$91:AK1832,0)),AI1833&amp;"."&amp;AJ1833,AI1833&amp;"."&amp;AJ1833&amp;COUNTIFS(AI$91:AI1832,AI1833,AJ$91:AJ1832,AJ1833))</f>
        <v>186M.SG2</v>
      </c>
    </row>
    <row r="1834" spans="1:37" ht="15" hidden="1">
      <c r="A1834" s="120">
        <f>ROW()</f>
        <v>1834</v>
      </c>
      <c r="B1834" s="120"/>
      <c r="E1834" s="121" t="s">
        <v>136</v>
      </c>
      <c r="F1834" s="138" t="str">
        <f>INDEX(FuncAllocOptions,ROW(A1834)-ROW($A$92)+1,[4]Inputs!$S$11)</f>
        <v>LABOR</v>
      </c>
      <c r="G1834" s="117" t="e">
        <f t="shared" si="1140"/>
        <v>#VALUE!</v>
      </c>
      <c r="H1834" s="116" t="e">
        <f t="shared" si="1141"/>
        <v>#VALUE!</v>
      </c>
      <c r="I1834" s="116" t="e">
        <f t="shared" si="1141"/>
        <v>#VALUE!</v>
      </c>
      <c r="J1834" s="116" t="e">
        <f t="shared" si="1141"/>
        <v>#VALUE!</v>
      </c>
      <c r="K1834" s="116" t="e">
        <f t="shared" si="1141"/>
        <v>#VALUE!</v>
      </c>
      <c r="L1834" s="116" t="e">
        <f t="shared" si="1141"/>
        <v>#VALUE!</v>
      </c>
      <c r="N1834" s="108">
        <v>0.75</v>
      </c>
      <c r="O1834" s="116" t="e">
        <f t="shared" si="1142"/>
        <v>#VALUE!</v>
      </c>
      <c r="P1834" s="116" t="e">
        <f t="shared" si="1143"/>
        <v>#VALUE!</v>
      </c>
      <c r="Q1834" s="116" t="e">
        <f t="shared" si="1144"/>
        <v>#VALUE!</v>
      </c>
      <c r="R1834" s="116" t="e">
        <f t="shared" si="1145"/>
        <v>#VALUE!</v>
      </c>
      <c r="S1834" s="108">
        <v>0.75</v>
      </c>
      <c r="T1834" s="116" t="e">
        <f t="shared" si="1146"/>
        <v>#VALUE!</v>
      </c>
      <c r="U1834" s="116" t="e">
        <f t="shared" si="1147"/>
        <v>#VALUE!</v>
      </c>
      <c r="V1834" s="116" t="e">
        <f t="shared" si="1148"/>
        <v>#VALUE!</v>
      </c>
      <c r="W1834" s="116" t="e">
        <f t="shared" si="1149"/>
        <v>#VALUE!</v>
      </c>
      <c r="X1834" s="3" t="str">
        <f>INDEX(DistFuncAllocOptions,ROW(A1834)-ROW($A$92)+1,[4]Inputs!$S$11)</f>
        <v>PLNT</v>
      </c>
      <c r="Y1834" s="116" t="e">
        <f t="shared" si="1150"/>
        <v>#VALUE!</v>
      </c>
      <c r="Z1834" s="116" t="e">
        <f t="shared" si="1150"/>
        <v>#VALUE!</v>
      </c>
      <c r="AA1834" s="116" t="e">
        <f t="shared" si="1150"/>
        <v>#VALUE!</v>
      </c>
      <c r="AB1834" s="116" t="e">
        <f t="shared" si="1150"/>
        <v>#VALUE!</v>
      </c>
      <c r="AC1834" s="116" t="e">
        <f t="shared" si="1150"/>
        <v>#VALUE!</v>
      </c>
      <c r="AD1834" s="117" t="e">
        <f t="shared" si="1151"/>
        <v>#VALUE!</v>
      </c>
      <c r="AE1834" s="117" t="e">
        <f t="shared" si="1152"/>
        <v>#VALUE!</v>
      </c>
      <c r="AF1834" s="117" t="e">
        <f t="shared" si="1153"/>
        <v>#VALUE!</v>
      </c>
      <c r="AG1834" s="117" t="e">
        <f t="shared" si="1154"/>
        <v>#VALUE!</v>
      </c>
      <c r="AH1834" s="116"/>
      <c r="AI1834" t="str">
        <f t="shared" si="1093"/>
        <v>186M</v>
      </c>
      <c r="AJ1834" t="str">
        <f t="shared" si="1138"/>
        <v>SO</v>
      </c>
      <c r="AK1834" t="str">
        <f>IF(ISERROR(MATCH(AI1834&amp;"."&amp;AJ1834,AK$91:AK1833,0)),AI1834&amp;"."&amp;AJ1834,AI1834&amp;"."&amp;AJ1834&amp;COUNTIFS(AI$91:AI1833,AI1834,AJ$91:AJ1833,AJ1834))</f>
        <v>186M.SO</v>
      </c>
    </row>
    <row r="1835" spans="1:37" ht="15" hidden="1">
      <c r="A1835" s="120">
        <f>ROW()</f>
        <v>1835</v>
      </c>
      <c r="B1835" s="120"/>
      <c r="E1835" s="121" t="s">
        <v>16</v>
      </c>
      <c r="F1835" s="138" t="str">
        <f>INDEX(FuncAllocOptions,ROW(A1835)-ROW($A$92)+1,[4]Inputs!$S$11)</f>
        <v>P</v>
      </c>
      <c r="G1835" s="117" t="e">
        <f t="shared" si="1140"/>
        <v>#VALUE!</v>
      </c>
      <c r="H1835" s="116" t="e">
        <f t="shared" si="1141"/>
        <v>#VALUE!</v>
      </c>
      <c r="I1835" s="116" t="e">
        <f t="shared" si="1141"/>
        <v>#VALUE!</v>
      </c>
      <c r="J1835" s="116" t="e">
        <f t="shared" si="1141"/>
        <v>#VALUE!</v>
      </c>
      <c r="K1835" s="116" t="e">
        <f t="shared" si="1141"/>
        <v>#VALUE!</v>
      </c>
      <c r="L1835" s="116" t="e">
        <f t="shared" si="1141"/>
        <v>#VALUE!</v>
      </c>
      <c r="N1835" s="108">
        <v>0.75</v>
      </c>
      <c r="O1835" s="116" t="e">
        <f t="shared" si="1142"/>
        <v>#VALUE!</v>
      </c>
      <c r="P1835" s="116" t="e">
        <f t="shared" si="1143"/>
        <v>#VALUE!</v>
      </c>
      <c r="Q1835" s="116" t="e">
        <f t="shared" si="1144"/>
        <v>#VALUE!</v>
      </c>
      <c r="R1835" s="116" t="e">
        <f t="shared" si="1145"/>
        <v>#VALUE!</v>
      </c>
      <c r="S1835" s="108">
        <v>0.75</v>
      </c>
      <c r="T1835" s="116" t="e">
        <f t="shared" si="1146"/>
        <v>#VALUE!</v>
      </c>
      <c r="U1835" s="116" t="e">
        <f t="shared" si="1147"/>
        <v>#VALUE!</v>
      </c>
      <c r="V1835" s="116" t="e">
        <f t="shared" si="1148"/>
        <v>#VALUE!</v>
      </c>
      <c r="W1835" s="116" t="e">
        <f t="shared" si="1149"/>
        <v>#VALUE!</v>
      </c>
      <c r="X1835" s="3" t="str">
        <f>INDEX(DistFuncAllocOptions,ROW(A1835)-ROW($A$92)+1,[4]Inputs!$S$11)</f>
        <v>PLNT</v>
      </c>
      <c r="Y1835" s="116" t="e">
        <f t="shared" si="1150"/>
        <v>#VALUE!</v>
      </c>
      <c r="Z1835" s="116" t="e">
        <f t="shared" si="1150"/>
        <v>#VALUE!</v>
      </c>
      <c r="AA1835" s="116" t="e">
        <f t="shared" si="1150"/>
        <v>#VALUE!</v>
      </c>
      <c r="AB1835" s="116" t="e">
        <f t="shared" si="1150"/>
        <v>#VALUE!</v>
      </c>
      <c r="AC1835" s="116" t="e">
        <f t="shared" si="1150"/>
        <v>#VALUE!</v>
      </c>
      <c r="AD1835" s="117" t="e">
        <f t="shared" si="1151"/>
        <v>#VALUE!</v>
      </c>
      <c r="AE1835" s="117" t="e">
        <f t="shared" si="1152"/>
        <v>#VALUE!</v>
      </c>
      <c r="AF1835" s="117" t="e">
        <f t="shared" si="1153"/>
        <v>#VALUE!</v>
      </c>
      <c r="AG1835" s="117" t="e">
        <f t="shared" si="1154"/>
        <v>#VALUE!</v>
      </c>
      <c r="AH1835" s="116"/>
      <c r="AI1835" t="str">
        <f t="shared" si="1093"/>
        <v>186M</v>
      </c>
      <c r="AJ1835" t="str">
        <f t="shared" si="1138"/>
        <v>SE</v>
      </c>
      <c r="AK1835" t="str">
        <f>IF(ISERROR(MATCH(AI1835&amp;"."&amp;AJ1835,AK$91:AK1834,0)),AI1835&amp;"."&amp;AJ1835,AI1835&amp;"."&amp;AJ1835&amp;COUNTIFS(AI$91:AI1834,AI1835,AJ$91:AJ1834,AJ1835))</f>
        <v>186M.SE</v>
      </c>
    </row>
    <row r="1836" spans="1:37" ht="15" hidden="1">
      <c r="A1836" s="120">
        <f>ROW()</f>
        <v>1836</v>
      </c>
      <c r="B1836" s="120"/>
      <c r="E1836" s="121" t="s">
        <v>296</v>
      </c>
      <c r="F1836" s="138" t="str">
        <f>INDEX(FuncAllocOptions,ROW(A1836)-ROW($A$92)+1,[4]Inputs!$S$11)</f>
        <v>P</v>
      </c>
      <c r="G1836" s="117" t="e">
        <f t="shared" si="1140"/>
        <v>#VALUE!</v>
      </c>
      <c r="H1836" s="116" t="e">
        <f t="shared" si="1141"/>
        <v>#VALUE!</v>
      </c>
      <c r="I1836" s="116" t="e">
        <f t="shared" si="1141"/>
        <v>#VALUE!</v>
      </c>
      <c r="J1836" s="116" t="e">
        <f t="shared" si="1141"/>
        <v>#VALUE!</v>
      </c>
      <c r="K1836" s="116" t="e">
        <f t="shared" si="1141"/>
        <v>#VALUE!</v>
      </c>
      <c r="L1836" s="116" t="e">
        <f t="shared" si="1141"/>
        <v>#VALUE!</v>
      </c>
      <c r="N1836" s="108">
        <v>0.75</v>
      </c>
      <c r="O1836" s="116" t="e">
        <f t="shared" si="1142"/>
        <v>#VALUE!</v>
      </c>
      <c r="P1836" s="116" t="e">
        <f t="shared" si="1143"/>
        <v>#VALUE!</v>
      </c>
      <c r="Q1836" s="116" t="e">
        <f t="shared" si="1144"/>
        <v>#VALUE!</v>
      </c>
      <c r="R1836" s="116" t="e">
        <f t="shared" si="1145"/>
        <v>#VALUE!</v>
      </c>
      <c r="S1836" s="108">
        <v>0.75</v>
      </c>
      <c r="T1836" s="116" t="e">
        <f t="shared" si="1146"/>
        <v>#VALUE!</v>
      </c>
      <c r="U1836" s="116" t="e">
        <f t="shared" si="1147"/>
        <v>#VALUE!</v>
      </c>
      <c r="V1836" s="116" t="e">
        <f t="shared" si="1148"/>
        <v>#VALUE!</v>
      </c>
      <c r="W1836" s="116" t="e">
        <f t="shared" si="1149"/>
        <v>#VALUE!</v>
      </c>
      <c r="X1836" s="3" t="str">
        <f>INDEX(DistFuncAllocOptions,ROW(A1836)-ROW($A$92)+1,[4]Inputs!$S$11)</f>
        <v>PLNT</v>
      </c>
      <c r="Y1836" s="116" t="e">
        <f t="shared" si="1150"/>
        <v>#VALUE!</v>
      </c>
      <c r="Z1836" s="116" t="e">
        <f t="shared" si="1150"/>
        <v>#VALUE!</v>
      </c>
      <c r="AA1836" s="116" t="e">
        <f t="shared" si="1150"/>
        <v>#VALUE!</v>
      </c>
      <c r="AB1836" s="116" t="e">
        <f t="shared" si="1150"/>
        <v>#VALUE!</v>
      </c>
      <c r="AC1836" s="116" t="e">
        <f t="shared" si="1150"/>
        <v>#VALUE!</v>
      </c>
      <c r="AD1836" s="117" t="e">
        <f t="shared" si="1151"/>
        <v>#VALUE!</v>
      </c>
      <c r="AE1836" s="117" t="e">
        <f t="shared" si="1152"/>
        <v>#VALUE!</v>
      </c>
      <c r="AF1836" s="117" t="e">
        <f t="shared" si="1153"/>
        <v>#VALUE!</v>
      </c>
      <c r="AG1836" s="117" t="e">
        <f t="shared" si="1154"/>
        <v>#VALUE!</v>
      </c>
      <c r="AH1836" s="116"/>
      <c r="AI1836" t="str">
        <f t="shared" ref="AI1836:AI1899" si="1155">IF(OR(C1836="",C1836=" ",C1836="  ",C1836="   "),AI1835,C1836)</f>
        <v>186M</v>
      </c>
      <c r="AJ1836" t="str">
        <f t="shared" si="1138"/>
        <v>SNPPS</v>
      </c>
      <c r="AK1836" t="str">
        <f>IF(ISERROR(MATCH(AI1836&amp;"."&amp;AJ1836,AK$91:AK1835,0)),AI1836&amp;"."&amp;AJ1836,AI1836&amp;"."&amp;AJ1836&amp;COUNTIFS(AI$91:AI1835,AI1836,AJ$91:AJ1835,AJ1836))</f>
        <v>186M.SNPPS</v>
      </c>
    </row>
    <row r="1837" spans="1:37" ht="15" hidden="1">
      <c r="A1837" s="120">
        <f>ROW()</f>
        <v>1837</v>
      </c>
      <c r="B1837" s="120"/>
      <c r="E1837" s="121" t="s">
        <v>425</v>
      </c>
      <c r="F1837" s="138" t="str">
        <f>INDEX(FuncAllocOptions,ROW(A1837)-ROW($A$92)+1,[4]Inputs!$S$11)</f>
        <v>GP</v>
      </c>
      <c r="G1837" s="133" t="e">
        <f t="shared" si="1140"/>
        <v>#VALUE!</v>
      </c>
      <c r="H1837" s="139" t="e">
        <f t="shared" si="1141"/>
        <v>#VALUE!</v>
      </c>
      <c r="I1837" s="139" t="e">
        <f t="shared" si="1141"/>
        <v>#VALUE!</v>
      </c>
      <c r="J1837" s="139" t="e">
        <f t="shared" si="1141"/>
        <v>#VALUE!</v>
      </c>
      <c r="K1837" s="139" t="e">
        <f t="shared" si="1141"/>
        <v>#VALUE!</v>
      </c>
      <c r="L1837" s="139" t="e">
        <f t="shared" si="1141"/>
        <v>#VALUE!</v>
      </c>
      <c r="N1837" s="108">
        <v>0.75</v>
      </c>
      <c r="O1837" s="116" t="e">
        <f t="shared" si="1142"/>
        <v>#VALUE!</v>
      </c>
      <c r="P1837" s="116" t="e">
        <f t="shared" si="1143"/>
        <v>#VALUE!</v>
      </c>
      <c r="Q1837" s="116" t="e">
        <f t="shared" si="1144"/>
        <v>#VALUE!</v>
      </c>
      <c r="R1837" s="116" t="e">
        <f t="shared" si="1145"/>
        <v>#VALUE!</v>
      </c>
      <c r="S1837" s="108">
        <v>0.75</v>
      </c>
      <c r="T1837" s="116" t="e">
        <f t="shared" si="1146"/>
        <v>#VALUE!</v>
      </c>
      <c r="U1837" s="116" t="e">
        <f t="shared" si="1147"/>
        <v>#VALUE!</v>
      </c>
      <c r="V1837" s="116" t="e">
        <f t="shared" si="1148"/>
        <v>#VALUE!</v>
      </c>
      <c r="W1837" s="116" t="e">
        <f t="shared" si="1149"/>
        <v>#VALUE!</v>
      </c>
      <c r="X1837" s="3" t="str">
        <f>INDEX(DistFuncAllocOptions,ROW(A1837)-ROW($A$92)+1,[4]Inputs!$S$11)</f>
        <v>PLNT</v>
      </c>
      <c r="Y1837" s="116" t="e">
        <f t="shared" si="1150"/>
        <v>#VALUE!</v>
      </c>
      <c r="Z1837" s="116" t="e">
        <f t="shared" si="1150"/>
        <v>#VALUE!</v>
      </c>
      <c r="AA1837" s="116" t="e">
        <f t="shared" si="1150"/>
        <v>#VALUE!</v>
      </c>
      <c r="AB1837" s="116" t="e">
        <f t="shared" si="1150"/>
        <v>#VALUE!</v>
      </c>
      <c r="AC1837" s="116" t="e">
        <f t="shared" si="1150"/>
        <v>#VALUE!</v>
      </c>
      <c r="AD1837" s="117" t="e">
        <f t="shared" si="1151"/>
        <v>#VALUE!</v>
      </c>
      <c r="AE1837" s="117" t="e">
        <f t="shared" si="1152"/>
        <v>#VALUE!</v>
      </c>
      <c r="AF1837" s="117" t="e">
        <f t="shared" si="1153"/>
        <v>#VALUE!</v>
      </c>
      <c r="AG1837" s="117" t="e">
        <f t="shared" si="1154"/>
        <v>#VALUE!</v>
      </c>
      <c r="AH1837" s="116"/>
      <c r="AI1837" t="str">
        <f t="shared" si="1155"/>
        <v>186M</v>
      </c>
      <c r="AJ1837" t="str">
        <f t="shared" si="1138"/>
        <v>EXCTAX</v>
      </c>
      <c r="AK1837" t="str">
        <f>IF(ISERROR(MATCH(AI1837&amp;"."&amp;AJ1837,AK$91:AK1836,0)),AI1837&amp;"."&amp;AJ1837,AI1837&amp;"."&amp;AJ1837&amp;COUNTIFS(AI$91:AI1836,AI1837,AJ$91:AJ1836,AJ1837))</f>
        <v>186M.EXCTAX</v>
      </c>
    </row>
    <row r="1838" spans="1:37" ht="15" hidden="1">
      <c r="A1838" s="120">
        <f>ROW()</f>
        <v>1838</v>
      </c>
      <c r="B1838" s="120"/>
      <c r="E1838" s="121"/>
      <c r="F1838" s="138"/>
      <c r="G1838" s="117" t="e">
        <f t="shared" ref="G1838:L1838" si="1156">SUM(G1830:G1837)</f>
        <v>#VALUE!</v>
      </c>
      <c r="H1838" s="116" t="e">
        <f t="shared" si="1156"/>
        <v>#VALUE!</v>
      </c>
      <c r="I1838" s="116" t="e">
        <f t="shared" si="1156"/>
        <v>#VALUE!</v>
      </c>
      <c r="J1838" s="116" t="e">
        <f t="shared" si="1156"/>
        <v>#VALUE!</v>
      </c>
      <c r="K1838" s="116" t="e">
        <f t="shared" si="1156"/>
        <v>#VALUE!</v>
      </c>
      <c r="L1838" s="116" t="e">
        <f t="shared" si="1156"/>
        <v>#VALUE!</v>
      </c>
      <c r="O1838" s="116" t="e">
        <f>SUM(O1830:O1837)</f>
        <v>#VALUE!</v>
      </c>
      <c r="P1838" s="116" t="e">
        <f>SUM(P1830:P1837)</f>
        <v>#VALUE!</v>
      </c>
      <c r="Q1838" s="116" t="e">
        <f>SUM(Q1830:Q1837)</f>
        <v>#VALUE!</v>
      </c>
      <c r="R1838" s="116" t="e">
        <f>SUM(R1830:R1837)</f>
        <v>#VALUE!</v>
      </c>
      <c r="T1838" s="116" t="e">
        <f>SUM(T1830:T1837)</f>
        <v>#VALUE!</v>
      </c>
      <c r="U1838" s="116" t="e">
        <f>SUM(U1830:U1837)</f>
        <v>#VALUE!</v>
      </c>
      <c r="V1838" s="116" t="e">
        <f>SUM(V1830:V1837)</f>
        <v>#VALUE!</v>
      </c>
      <c r="W1838" s="116" t="e">
        <f>SUM(W1830:W1837)</f>
        <v>#VALUE!</v>
      </c>
      <c r="X1838" s="3"/>
      <c r="Y1838" s="116" t="e">
        <f>SUM(Y1830:Y1837)</f>
        <v>#VALUE!</v>
      </c>
      <c r="Z1838" s="116" t="e">
        <f>SUM(Z1830:Z1837)</f>
        <v>#VALUE!</v>
      </c>
      <c r="AA1838" s="116" t="e">
        <f>SUM(AA1830:AA1837)</f>
        <v>#VALUE!</v>
      </c>
      <c r="AB1838" s="116" t="e">
        <f>SUM(AB1830:AB1837)</f>
        <v>#VALUE!</v>
      </c>
      <c r="AC1838" s="116" t="e">
        <f>SUM(AC1830:AC1837)</f>
        <v>#VALUE!</v>
      </c>
      <c r="AD1838" s="117" t="e">
        <f t="shared" si="1151"/>
        <v>#VALUE!</v>
      </c>
      <c r="AE1838" s="117" t="e">
        <f t="shared" si="1152"/>
        <v>#VALUE!</v>
      </c>
      <c r="AF1838" s="117" t="e">
        <f t="shared" si="1153"/>
        <v>#VALUE!</v>
      </c>
      <c r="AG1838" s="117" t="e">
        <f t="shared" si="1154"/>
        <v>#VALUE!</v>
      </c>
      <c r="AH1838" s="116"/>
      <c r="AI1838" t="str">
        <f t="shared" si="1155"/>
        <v>186M</v>
      </c>
      <c r="AJ1838" t="str">
        <f t="shared" si="1138"/>
        <v>NA</v>
      </c>
      <c r="AK1838" t="str">
        <f>IF(ISERROR(MATCH(AI1838&amp;"."&amp;AJ1838,AK$91:AK1837,0)),AI1838&amp;"."&amp;AJ1838,AI1838&amp;"."&amp;AJ1838&amp;COUNTIFS(AI$91:AI1837,AI1838,AJ$91:AJ1837,AJ1838))</f>
        <v>186M.NA1</v>
      </c>
    </row>
    <row r="1839" spans="1:37" ht="15" hidden="1">
      <c r="A1839" s="120">
        <f>ROW()</f>
        <v>1839</v>
      </c>
      <c r="B1839" s="120"/>
      <c r="E1839" s="121"/>
      <c r="F1839" s="138"/>
      <c r="G1839" s="119"/>
      <c r="X1839" s="3"/>
      <c r="AD1839" s="119"/>
      <c r="AE1839" s="119"/>
      <c r="AF1839" s="119"/>
      <c r="AG1839" s="119"/>
      <c r="AI1839" t="str">
        <f t="shared" si="1155"/>
        <v>186M</v>
      </c>
      <c r="AJ1839" t="str">
        <f t="shared" si="1138"/>
        <v>NA</v>
      </c>
      <c r="AK1839" t="str">
        <f>IF(ISERROR(MATCH(AI1839&amp;"."&amp;AJ1839,AK$91:AK1838,0)),AI1839&amp;"."&amp;AJ1839,AI1839&amp;"."&amp;AJ1839&amp;COUNTIFS(AI$91:AI1838,AI1839,AJ$91:AJ1838,AJ1839))</f>
        <v>186M.NA2</v>
      </c>
    </row>
    <row r="1840" spans="1:37" ht="15" hidden="1">
      <c r="A1840" s="120">
        <f>ROW()</f>
        <v>1840</v>
      </c>
      <c r="B1840" s="120"/>
      <c r="C1840" s="110" t="s">
        <v>623</v>
      </c>
      <c r="E1840" s="121"/>
      <c r="F1840" s="138"/>
      <c r="G1840" s="119"/>
      <c r="X1840" s="3"/>
      <c r="AD1840" s="119"/>
      <c r="AE1840" s="119"/>
      <c r="AF1840" s="119"/>
      <c r="AG1840" s="119"/>
      <c r="AI1840" t="str">
        <f t="shared" si="1155"/>
        <v>Working Capital</v>
      </c>
      <c r="AJ1840" t="str">
        <f t="shared" si="1138"/>
        <v>NA</v>
      </c>
      <c r="AK1840" t="str">
        <f>IF(ISERROR(MATCH(AI1840&amp;"."&amp;AJ1840,AK$91:AK1839,0)),AI1840&amp;"."&amp;AJ1840,AI1840&amp;"."&amp;AJ1840&amp;COUNTIFS(AI$91:AI1839,AI1840,AJ$91:AJ1839,AJ1840))</f>
        <v>Working Capital.NA</v>
      </c>
    </row>
    <row r="1841" spans="1:37" ht="15" hidden="1">
      <c r="A1841" s="120">
        <f>ROW()</f>
        <v>1841</v>
      </c>
      <c r="B1841" s="120"/>
      <c r="C1841" s="1" t="s">
        <v>244</v>
      </c>
      <c r="D1841" s="2" t="s">
        <v>624</v>
      </c>
      <c r="E1841" s="121"/>
      <c r="F1841" s="138"/>
      <c r="G1841" s="119"/>
      <c r="X1841" s="3"/>
      <c r="AD1841" s="119"/>
      <c r="AE1841" s="119"/>
      <c r="AF1841" s="119"/>
      <c r="AG1841" s="119"/>
      <c r="AI1841" t="str">
        <f t="shared" si="1155"/>
        <v>CWC</v>
      </c>
      <c r="AJ1841" t="str">
        <f t="shared" si="1138"/>
        <v>NA</v>
      </c>
      <c r="AK1841" t="str">
        <f>IF(ISERROR(MATCH(AI1841&amp;"."&amp;AJ1841,AK$91:AK1840,0)),AI1841&amp;"."&amp;AJ1841,AI1841&amp;"."&amp;AJ1841&amp;COUNTIFS(AI$91:AI1840,AI1841,AJ$91:AJ1840,AJ1841))</f>
        <v>CWC.NA</v>
      </c>
    </row>
    <row r="1842" spans="1:37" ht="15" hidden="1">
      <c r="A1842" s="120">
        <f>ROW()</f>
        <v>1842</v>
      </c>
      <c r="B1842" s="120"/>
      <c r="E1842" s="121" t="s">
        <v>12</v>
      </c>
      <c r="F1842" s="138" t="str">
        <f>INDEX(FuncAllocOptions,ROW(A1842)-ROW($A$92)+1,[4]Inputs!$S$11)</f>
        <v>CWC</v>
      </c>
      <c r="G1842" s="117">
        <f>SUM(H1842:L1842)</f>
        <v>1</v>
      </c>
      <c r="H1842" s="116">
        <f>IFERROR((H18+H21+H22+H23-H494)*([4]Inputs!$H$22/365),1/5)</f>
        <v>0.2</v>
      </c>
      <c r="I1842" s="116">
        <f>IFERROR((I18+I21+I22+I23-I494)*([4]Inputs!$H$22/365),1/5)</f>
        <v>0.2</v>
      </c>
      <c r="J1842" s="116">
        <f>IFERROR((J18+J21+J22+J23-J494)*([4]Inputs!$H$22/365),1/5)</f>
        <v>0.2</v>
      </c>
      <c r="K1842" s="116">
        <f>IFERROR((K18+K21+K22+K23-K494)*([4]Inputs!$H$22/365),1/5)</f>
        <v>0.2</v>
      </c>
      <c r="L1842" s="116">
        <f>IFERROR((L18+L21+L22+L23-L494)*([4]Inputs!$H$22/365),1/5)</f>
        <v>0.2</v>
      </c>
      <c r="N1842" s="108">
        <v>0.75</v>
      </c>
      <c r="O1842" s="116">
        <f>$H1842*$N1842*$M1842</f>
        <v>0</v>
      </c>
      <c r="P1842" s="116">
        <f>$H1842*(1-$N1842)*$M1842</f>
        <v>0</v>
      </c>
      <c r="Q1842" s="116">
        <f>$H1842*$N1842*(1-$M1842)</f>
        <v>0.15000000000000002</v>
      </c>
      <c r="R1842" s="116">
        <f>$H1842*(1-$N1842)*(1-$M1842)</f>
        <v>0.05</v>
      </c>
      <c r="S1842" s="108">
        <v>0.75</v>
      </c>
      <c r="T1842" s="116">
        <f>$I1842*$S1842*$M1842</f>
        <v>0</v>
      </c>
      <c r="U1842" s="116">
        <f>$I1842*(1-$S1842)*$M1842</f>
        <v>0</v>
      </c>
      <c r="V1842" s="116">
        <f>$I1842*$S1842*(1-$M1842)</f>
        <v>0.15000000000000002</v>
      </c>
      <c r="W1842" s="116">
        <f>$I1842*(1-$S1842)*(1-$M1842)</f>
        <v>0.05</v>
      </c>
      <c r="X1842" s="3" t="str">
        <f>INDEX(DistFuncAllocOptions,ROW(A1842)-ROW($A$92)+1,[4]Inputs!$S$11)</f>
        <v>PLNT</v>
      </c>
      <c r="Y1842" s="116">
        <f t="shared" ref="Y1842:AC1844" si="1157">INDEX(DistFuncFactorTbl,MATCH($X1842,DistFuncFactors,0),MATCH(Y$91,DistFunctions,0))*$J1842</f>
        <v>3.2702297719706584E-2</v>
      </c>
      <c r="Z1842" s="116">
        <f t="shared" si="1157"/>
        <v>9.9520859584252844E-2</v>
      </c>
      <c r="AA1842" s="116">
        <f t="shared" si="1157"/>
        <v>3.8418593162534972E-2</v>
      </c>
      <c r="AB1842" s="116">
        <f t="shared" si="1157"/>
        <v>2.3018561809227657E-2</v>
      </c>
      <c r="AC1842" s="116">
        <f t="shared" si="1157"/>
        <v>6.3396877242779181E-3</v>
      </c>
      <c r="AD1842" s="117">
        <f>ROUND(SUM(-G1842,H1842:L1842),0)</f>
        <v>0</v>
      </c>
      <c r="AE1842" s="117">
        <f>ROUND(H1842-O1842-P1842-Q1842-R1842,0)</f>
        <v>0</v>
      </c>
      <c r="AF1842" s="117">
        <f>ROUND(I1842-T1842-U1842-V1842-W1842,0)</f>
        <v>0</v>
      </c>
      <c r="AG1842" s="117">
        <f>ROUND(J1842-Y1842-Z1842-AA1842-AC1842-AB1842,0)</f>
        <v>0</v>
      </c>
      <c r="AH1842" s="116"/>
      <c r="AI1842" t="str">
        <f t="shared" si="1155"/>
        <v>CWC</v>
      </c>
      <c r="AJ1842" t="str">
        <f t="shared" si="1138"/>
        <v>S</v>
      </c>
      <c r="AK1842" t="str">
        <f>IF(ISERROR(MATCH(AI1842&amp;"."&amp;AJ1842,AK$91:AK1841,0)),AI1842&amp;"."&amp;AJ1842,AI1842&amp;"."&amp;AJ1842&amp;COUNTIFS(AI$91:AI1841,AI1842,AJ$91:AJ1841,AJ1842))</f>
        <v>CWC.S</v>
      </c>
    </row>
    <row r="1843" spans="1:37" ht="15" hidden="1">
      <c r="A1843" s="120">
        <f>ROW()</f>
        <v>1843</v>
      </c>
      <c r="B1843" s="120"/>
      <c r="E1843" s="121" t="s">
        <v>136</v>
      </c>
      <c r="F1843" s="138" t="str">
        <f>INDEX(FuncAllocOptions,ROW(A1843)-ROW($A$92)+1,[4]Inputs!$S$11)</f>
        <v>CWC</v>
      </c>
      <c r="G1843" s="117" t="e">
        <f>SUMIF(FERCJAMFactor,AK1843,JAMValue)</f>
        <v>#VALUE!</v>
      </c>
      <c r="H1843" s="116" t="e">
        <f t="shared" ref="H1843:L1844" si="1158">INDEX(FuncFactorTbl,MATCH($F1843,FuncFactors,0),MATCH(H$8,Functions,0))*$G1843</f>
        <v>#VALUE!</v>
      </c>
      <c r="I1843" s="116" t="e">
        <f t="shared" si="1158"/>
        <v>#VALUE!</v>
      </c>
      <c r="J1843" s="116" t="e">
        <f t="shared" si="1158"/>
        <v>#VALUE!</v>
      </c>
      <c r="K1843" s="116" t="e">
        <f t="shared" si="1158"/>
        <v>#VALUE!</v>
      </c>
      <c r="L1843" s="116" t="e">
        <f t="shared" si="1158"/>
        <v>#VALUE!</v>
      </c>
      <c r="N1843" s="108">
        <v>0.75</v>
      </c>
      <c r="O1843" s="116" t="e">
        <f>$H1843*$N1843*$M1843</f>
        <v>#VALUE!</v>
      </c>
      <c r="P1843" s="116" t="e">
        <f>$H1843*(1-$N1843)*$M1843</f>
        <v>#VALUE!</v>
      </c>
      <c r="Q1843" s="116" t="e">
        <f>$H1843*$N1843*(1-$M1843)</f>
        <v>#VALUE!</v>
      </c>
      <c r="R1843" s="116" t="e">
        <f>$H1843*(1-$N1843)*(1-$M1843)</f>
        <v>#VALUE!</v>
      </c>
      <c r="S1843" s="108">
        <v>0.75</v>
      </c>
      <c r="T1843" s="116" t="e">
        <f>$I1843*$S1843*$M1843</f>
        <v>#VALUE!</v>
      </c>
      <c r="U1843" s="116" t="e">
        <f>$I1843*(1-$S1843)*$M1843</f>
        <v>#VALUE!</v>
      </c>
      <c r="V1843" s="116" t="e">
        <f>$I1843*$S1843*(1-$M1843)</f>
        <v>#VALUE!</v>
      </c>
      <c r="W1843" s="116" t="e">
        <f>$I1843*(1-$S1843)*(1-$M1843)</f>
        <v>#VALUE!</v>
      </c>
      <c r="X1843" s="3" t="str">
        <f>INDEX(DistFuncAllocOptions,ROW(A1843)-ROW($A$92)+1,[4]Inputs!$S$11)</f>
        <v>PLNT</v>
      </c>
      <c r="Y1843" s="116" t="e">
        <f t="shared" si="1157"/>
        <v>#VALUE!</v>
      </c>
      <c r="Z1843" s="116" t="e">
        <f t="shared" si="1157"/>
        <v>#VALUE!</v>
      </c>
      <c r="AA1843" s="116" t="e">
        <f t="shared" si="1157"/>
        <v>#VALUE!</v>
      </c>
      <c r="AB1843" s="116" t="e">
        <f t="shared" si="1157"/>
        <v>#VALUE!</v>
      </c>
      <c r="AC1843" s="116" t="e">
        <f t="shared" si="1157"/>
        <v>#VALUE!</v>
      </c>
      <c r="AD1843" s="117" t="e">
        <f>ROUND(SUM(-G1843,H1843:L1843),0)</f>
        <v>#VALUE!</v>
      </c>
      <c r="AE1843" s="117" t="e">
        <f>ROUND(H1843-O1843-P1843-Q1843-R1843,0)</f>
        <v>#VALUE!</v>
      </c>
      <c r="AF1843" s="117" t="e">
        <f>ROUND(I1843-T1843-U1843-V1843-W1843,0)</f>
        <v>#VALUE!</v>
      </c>
      <c r="AG1843" s="117" t="e">
        <f>ROUND(J1843-Y1843-Z1843-AA1843-AC1843-AB1843,0)</f>
        <v>#VALUE!</v>
      </c>
      <c r="AH1843" s="116"/>
      <c r="AI1843" t="str">
        <f t="shared" si="1155"/>
        <v>CWC</v>
      </c>
      <c r="AJ1843" t="str">
        <f t="shared" si="1138"/>
        <v>SO</v>
      </c>
      <c r="AK1843" t="str">
        <f>IF(ISERROR(MATCH(AI1843&amp;"."&amp;AJ1843,AK$91:AK1842,0)),AI1843&amp;"."&amp;AJ1843,AI1843&amp;"."&amp;AJ1843&amp;COUNTIFS(AI$91:AI1842,AI1843,AJ$91:AJ1842,AJ1843))</f>
        <v>CWC.SO</v>
      </c>
    </row>
    <row r="1844" spans="1:37" ht="15" hidden="1">
      <c r="A1844" s="120">
        <f>ROW()</f>
        <v>1844</v>
      </c>
      <c r="B1844" s="120"/>
      <c r="E1844" s="121" t="s">
        <v>16</v>
      </c>
      <c r="F1844" s="138" t="str">
        <f>INDEX(FuncAllocOptions,ROW(A1844)-ROW($A$92)+1,[4]Inputs!$S$11)</f>
        <v>CWC</v>
      </c>
      <c r="G1844" s="133" t="e">
        <f>SUMIF(FERCJAMFactor,AK1844,JAMValue)</f>
        <v>#VALUE!</v>
      </c>
      <c r="H1844" s="139" t="e">
        <f t="shared" si="1158"/>
        <v>#VALUE!</v>
      </c>
      <c r="I1844" s="139" t="e">
        <f t="shared" si="1158"/>
        <v>#VALUE!</v>
      </c>
      <c r="J1844" s="139" t="e">
        <f t="shared" si="1158"/>
        <v>#VALUE!</v>
      </c>
      <c r="K1844" s="139" t="e">
        <f t="shared" si="1158"/>
        <v>#VALUE!</v>
      </c>
      <c r="L1844" s="139" t="e">
        <f t="shared" si="1158"/>
        <v>#VALUE!</v>
      </c>
      <c r="N1844" s="108">
        <v>0.75</v>
      </c>
      <c r="O1844" s="116" t="e">
        <f>$H1844*$N1844*$M1844</f>
        <v>#VALUE!</v>
      </c>
      <c r="P1844" s="116" t="e">
        <f>$H1844*(1-$N1844)*$M1844</f>
        <v>#VALUE!</v>
      </c>
      <c r="Q1844" s="116" t="e">
        <f>$H1844*$N1844*(1-$M1844)</f>
        <v>#VALUE!</v>
      </c>
      <c r="R1844" s="116" t="e">
        <f>$H1844*(1-$N1844)*(1-$M1844)</f>
        <v>#VALUE!</v>
      </c>
      <c r="S1844" s="108">
        <v>0.75</v>
      </c>
      <c r="T1844" s="116" t="e">
        <f>$I1844*$S1844*$M1844</f>
        <v>#VALUE!</v>
      </c>
      <c r="U1844" s="116" t="e">
        <f>$I1844*(1-$S1844)*$M1844</f>
        <v>#VALUE!</v>
      </c>
      <c r="V1844" s="116" t="e">
        <f>$I1844*$S1844*(1-$M1844)</f>
        <v>#VALUE!</v>
      </c>
      <c r="W1844" s="116" t="e">
        <f>$I1844*(1-$S1844)*(1-$M1844)</f>
        <v>#VALUE!</v>
      </c>
      <c r="X1844" s="3" t="str">
        <f>INDEX(DistFuncAllocOptions,ROW(A1844)-ROW($A$92)+1,[4]Inputs!$S$11)</f>
        <v>PLNT</v>
      </c>
      <c r="Y1844" s="116" t="e">
        <f t="shared" si="1157"/>
        <v>#VALUE!</v>
      </c>
      <c r="Z1844" s="116" t="e">
        <f t="shared" si="1157"/>
        <v>#VALUE!</v>
      </c>
      <c r="AA1844" s="116" t="e">
        <f t="shared" si="1157"/>
        <v>#VALUE!</v>
      </c>
      <c r="AB1844" s="116" t="e">
        <f t="shared" si="1157"/>
        <v>#VALUE!</v>
      </c>
      <c r="AC1844" s="116" t="e">
        <f t="shared" si="1157"/>
        <v>#VALUE!</v>
      </c>
      <c r="AD1844" s="117" t="e">
        <f>ROUND(SUM(-G1844,H1844:L1844),0)</f>
        <v>#VALUE!</v>
      </c>
      <c r="AE1844" s="117" t="e">
        <f>ROUND(H1844-O1844-P1844-Q1844-R1844,0)</f>
        <v>#VALUE!</v>
      </c>
      <c r="AF1844" s="117" t="e">
        <f>ROUND(I1844-T1844-U1844-V1844-W1844,0)</f>
        <v>#VALUE!</v>
      </c>
      <c r="AG1844" s="117" t="e">
        <f>ROUND(J1844-Y1844-Z1844-AA1844-AC1844-AB1844,0)</f>
        <v>#VALUE!</v>
      </c>
      <c r="AH1844" s="116"/>
      <c r="AI1844" t="str">
        <f t="shared" si="1155"/>
        <v>CWC</v>
      </c>
      <c r="AJ1844" t="str">
        <f t="shared" si="1138"/>
        <v>SE</v>
      </c>
      <c r="AK1844" t="str">
        <f>IF(ISERROR(MATCH(AI1844&amp;"."&amp;AJ1844,AK$91:AK1843,0)),AI1844&amp;"."&amp;AJ1844,AI1844&amp;"."&amp;AJ1844&amp;COUNTIFS(AI$91:AI1843,AI1844,AJ$91:AJ1843,AJ1844))</f>
        <v>CWC.SE</v>
      </c>
    </row>
    <row r="1845" spans="1:37" ht="15" hidden="1">
      <c r="A1845" s="120">
        <f>ROW()</f>
        <v>1845</v>
      </c>
      <c r="B1845" s="120"/>
      <c r="E1845" s="121"/>
      <c r="F1845" s="138"/>
      <c r="G1845" s="117" t="e">
        <f t="shared" ref="G1845:L1845" si="1159">SUM(G1842:G1844)</f>
        <v>#VALUE!</v>
      </c>
      <c r="H1845" s="116" t="e">
        <f t="shared" si="1159"/>
        <v>#VALUE!</v>
      </c>
      <c r="I1845" s="116" t="e">
        <f t="shared" si="1159"/>
        <v>#VALUE!</v>
      </c>
      <c r="J1845" s="116" t="e">
        <f t="shared" si="1159"/>
        <v>#VALUE!</v>
      </c>
      <c r="K1845" s="116" t="e">
        <f t="shared" si="1159"/>
        <v>#VALUE!</v>
      </c>
      <c r="L1845" s="116" t="e">
        <f t="shared" si="1159"/>
        <v>#VALUE!</v>
      </c>
      <c r="O1845" s="116" t="e">
        <f>SUM(O1842:O1844)</f>
        <v>#VALUE!</v>
      </c>
      <c r="P1845" s="116" t="e">
        <f>SUM(P1842:P1844)</f>
        <v>#VALUE!</v>
      </c>
      <c r="Q1845" s="116" t="e">
        <f>SUM(Q1842:Q1844)</f>
        <v>#VALUE!</v>
      </c>
      <c r="R1845" s="116" t="e">
        <f>SUM(R1842:R1844)</f>
        <v>#VALUE!</v>
      </c>
      <c r="T1845" s="116" t="e">
        <f>SUM(T1842:T1844)</f>
        <v>#VALUE!</v>
      </c>
      <c r="U1845" s="116" t="e">
        <f>SUM(U1842:U1844)</f>
        <v>#VALUE!</v>
      </c>
      <c r="V1845" s="116" t="e">
        <f>SUM(V1842:V1844)</f>
        <v>#VALUE!</v>
      </c>
      <c r="W1845" s="116" t="e">
        <f>SUM(W1842:W1844)</f>
        <v>#VALUE!</v>
      </c>
      <c r="X1845" s="3"/>
      <c r="Y1845" s="116" t="e">
        <f>SUM(Y1842:Y1844)</f>
        <v>#VALUE!</v>
      </c>
      <c r="Z1845" s="116" t="e">
        <f>SUM(Z1842:Z1844)</f>
        <v>#VALUE!</v>
      </c>
      <c r="AA1845" s="116" t="e">
        <f>SUM(AA1842:AA1844)</f>
        <v>#VALUE!</v>
      </c>
      <c r="AB1845" s="116" t="e">
        <f>SUM(AB1842:AB1844)</f>
        <v>#VALUE!</v>
      </c>
      <c r="AC1845" s="116" t="e">
        <f>SUM(AC1842:AC1844)</f>
        <v>#VALUE!</v>
      </c>
      <c r="AD1845" s="117" t="e">
        <f>ROUND(SUM(-G1845,H1845:L1845),0)</f>
        <v>#VALUE!</v>
      </c>
      <c r="AE1845" s="117" t="e">
        <f>ROUND(H1845-O1845-P1845-Q1845-R1845,0)</f>
        <v>#VALUE!</v>
      </c>
      <c r="AF1845" s="117" t="e">
        <f>ROUND(I1845-T1845-U1845-V1845-W1845,0)</f>
        <v>#VALUE!</v>
      </c>
      <c r="AG1845" s="117" t="e">
        <f>ROUND(J1845-Y1845-Z1845-AA1845-AC1845-AB1845,0)</f>
        <v>#VALUE!</v>
      </c>
      <c r="AH1845" s="116"/>
      <c r="AI1845" t="str">
        <f t="shared" si="1155"/>
        <v>CWC</v>
      </c>
      <c r="AJ1845" t="str">
        <f t="shared" si="1138"/>
        <v>NA</v>
      </c>
      <c r="AK1845" t="str">
        <f>IF(ISERROR(MATCH(AI1845&amp;"."&amp;AJ1845,AK$91:AK1844,0)),AI1845&amp;"."&amp;AJ1845,AI1845&amp;"."&amp;AJ1845&amp;COUNTIFS(AI$91:AI1844,AI1845,AJ$91:AJ1844,AJ1845))</f>
        <v>CWC.NA1</v>
      </c>
    </row>
    <row r="1846" spans="1:37" ht="15" hidden="1">
      <c r="A1846" s="120">
        <f>ROW()</f>
        <v>1846</v>
      </c>
      <c r="B1846" s="120"/>
      <c r="E1846" s="121"/>
      <c r="F1846" s="138"/>
      <c r="G1846" s="119"/>
      <c r="H1846" s="158"/>
      <c r="X1846" s="3"/>
      <c r="AD1846" s="119"/>
      <c r="AE1846" s="119"/>
      <c r="AF1846" s="119"/>
      <c r="AG1846" s="119"/>
      <c r="AI1846" t="str">
        <f t="shared" si="1155"/>
        <v>CWC</v>
      </c>
      <c r="AJ1846" t="str">
        <f t="shared" si="1138"/>
        <v>NA</v>
      </c>
      <c r="AK1846" t="str">
        <f>IF(ISERROR(MATCH(AI1846&amp;"."&amp;AJ1846,AK$91:AK1845,0)),AI1846&amp;"."&amp;AJ1846,AI1846&amp;"."&amp;AJ1846&amp;COUNTIFS(AI$91:AI1845,AI1846,AJ$91:AJ1845,AJ1846))</f>
        <v>CWC.NA2</v>
      </c>
    </row>
    <row r="1847" spans="1:37" ht="15" hidden="1">
      <c r="A1847" s="120">
        <f>ROW()</f>
        <v>1847</v>
      </c>
      <c r="B1847" s="120"/>
      <c r="C1847" s="1" t="s">
        <v>257</v>
      </c>
      <c r="D1847" s="2" t="s">
        <v>729</v>
      </c>
      <c r="E1847" s="121"/>
      <c r="F1847" s="138"/>
      <c r="G1847" s="119"/>
      <c r="X1847" s="3"/>
      <c r="AD1847" s="119"/>
      <c r="AE1847" s="119"/>
      <c r="AF1847" s="119"/>
      <c r="AG1847" s="119"/>
      <c r="AI1847" t="str">
        <f t="shared" si="1155"/>
        <v>OWC</v>
      </c>
      <c r="AJ1847" t="str">
        <f t="shared" si="1138"/>
        <v>NA</v>
      </c>
      <c r="AK1847" t="str">
        <f>IF(ISERROR(MATCH(AI1847&amp;"."&amp;AJ1847,AK$91:AK1846,0)),AI1847&amp;"."&amp;AJ1847,AI1847&amp;"."&amp;AJ1847&amp;COUNTIFS(AI$91:AI1846,AI1847,AJ$91:AJ1846,AJ1847))</f>
        <v>OWC.NA</v>
      </c>
    </row>
    <row r="1848" spans="1:37" ht="15" hidden="1">
      <c r="A1848" s="120">
        <f>ROW()</f>
        <v>1848</v>
      </c>
      <c r="B1848" s="120"/>
      <c r="C1848" s="1">
        <v>131</v>
      </c>
      <c r="E1848" s="121" t="s">
        <v>433</v>
      </c>
      <c r="F1848" s="138" t="str">
        <f>INDEX(FuncAllocOptions,ROW(A1848)-ROW($A$92)+1,[4]Inputs!$S$11)</f>
        <v>GP</v>
      </c>
      <c r="G1848" s="117" t="e">
        <f t="shared" ref="G1848:G1856" si="1160">SUMIF(FERCJAMFactor,AK1848,JAMValue)</f>
        <v>#VALUE!</v>
      </c>
      <c r="H1848" s="116" t="e">
        <f t="shared" ref="H1848:L1856" si="1161">INDEX(FuncFactorTbl,MATCH($F1848,FuncFactors,0),MATCH(H$8,Functions,0))*$G1848</f>
        <v>#VALUE!</v>
      </c>
      <c r="I1848" s="116" t="e">
        <f t="shared" si="1161"/>
        <v>#VALUE!</v>
      </c>
      <c r="J1848" s="116" t="e">
        <f t="shared" si="1161"/>
        <v>#VALUE!</v>
      </c>
      <c r="K1848" s="116" t="e">
        <f t="shared" si="1161"/>
        <v>#VALUE!</v>
      </c>
      <c r="L1848" s="116" t="e">
        <f t="shared" si="1161"/>
        <v>#VALUE!</v>
      </c>
      <c r="N1848" s="108">
        <v>0.75</v>
      </c>
      <c r="O1848" s="116" t="e">
        <f t="shared" ref="O1848:O1856" si="1162">$H1848*$N1848*$M1848</f>
        <v>#VALUE!</v>
      </c>
      <c r="P1848" s="116" t="e">
        <f t="shared" ref="P1848:P1856" si="1163">$H1848*(1-$N1848)*$M1848</f>
        <v>#VALUE!</v>
      </c>
      <c r="Q1848" s="116" t="e">
        <f t="shared" ref="Q1848:Q1856" si="1164">$H1848*$N1848*(1-$M1848)</f>
        <v>#VALUE!</v>
      </c>
      <c r="R1848" s="116" t="e">
        <f t="shared" ref="R1848:R1856" si="1165">$H1848*(1-$N1848)*(1-$M1848)</f>
        <v>#VALUE!</v>
      </c>
      <c r="S1848" s="108">
        <v>0.75</v>
      </c>
      <c r="T1848" s="116" t="e">
        <f t="shared" ref="T1848:T1856" si="1166">$I1848*$S1848*$M1848</f>
        <v>#VALUE!</v>
      </c>
      <c r="U1848" s="116" t="e">
        <f t="shared" ref="U1848:U1856" si="1167">$I1848*(1-$S1848)*$M1848</f>
        <v>#VALUE!</v>
      </c>
      <c r="V1848" s="116" t="e">
        <f t="shared" ref="V1848:V1856" si="1168">$I1848*$S1848*(1-$M1848)</f>
        <v>#VALUE!</v>
      </c>
      <c r="W1848" s="116" t="e">
        <f t="shared" ref="W1848:W1856" si="1169">$I1848*(1-$S1848)*(1-$M1848)</f>
        <v>#VALUE!</v>
      </c>
      <c r="X1848" s="3" t="str">
        <f>INDEX(DistFuncAllocOptions,ROW(A1848)-ROW($A$92)+1,[4]Inputs!$S$11)</f>
        <v>PLNT</v>
      </c>
      <c r="Y1848" s="116" t="e">
        <f t="shared" ref="Y1848:AC1856" si="1170">INDEX(DistFuncFactorTbl,MATCH($X1848,DistFuncFactors,0),MATCH(Y$91,DistFunctions,0))*$J1848</f>
        <v>#VALUE!</v>
      </c>
      <c r="Z1848" s="116" t="e">
        <f t="shared" si="1170"/>
        <v>#VALUE!</v>
      </c>
      <c r="AA1848" s="116" t="e">
        <f t="shared" si="1170"/>
        <v>#VALUE!</v>
      </c>
      <c r="AB1848" s="116" t="e">
        <f t="shared" si="1170"/>
        <v>#VALUE!</v>
      </c>
      <c r="AC1848" s="116" t="e">
        <f t="shared" si="1170"/>
        <v>#VALUE!</v>
      </c>
      <c r="AD1848" s="117" t="e">
        <f t="shared" ref="AD1848:AD1857" si="1171">ROUND(SUM(-G1848,H1848:L1848),0)</f>
        <v>#VALUE!</v>
      </c>
      <c r="AE1848" s="117" t="e">
        <f t="shared" ref="AE1848:AE1857" si="1172">ROUND(H1848-O1848-P1848-Q1848-R1848,0)</f>
        <v>#VALUE!</v>
      </c>
      <c r="AF1848" s="117" t="e">
        <f t="shared" ref="AF1848:AF1857" si="1173">ROUND(I1848-T1848-U1848-V1848-W1848,0)</f>
        <v>#VALUE!</v>
      </c>
      <c r="AG1848" s="117" t="e">
        <f t="shared" ref="AG1848:AG1857" si="1174">ROUND(J1848-Y1848-Z1848-AA1848-AC1848-AB1848,0)</f>
        <v>#VALUE!</v>
      </c>
      <c r="AH1848" s="116"/>
      <c r="AI1848">
        <f t="shared" si="1155"/>
        <v>131</v>
      </c>
      <c r="AJ1848" t="str">
        <f t="shared" si="1138"/>
        <v>SNP</v>
      </c>
      <c r="AK1848" t="str">
        <f>IF(ISERROR(MATCH(AI1848&amp;"."&amp;AJ1848,AK$91:AK1847,0)),AI1848&amp;"."&amp;AJ1848,AI1848&amp;"."&amp;AJ1848&amp;COUNTIFS(AI$91:AI1847,AI1848,AJ$91:AJ1847,AJ1848))</f>
        <v>131.SNP</v>
      </c>
    </row>
    <row r="1849" spans="1:37" ht="15" hidden="1">
      <c r="A1849" s="120">
        <f>ROW()</f>
        <v>1849</v>
      </c>
      <c r="B1849" s="120"/>
      <c r="C1849" s="1">
        <v>143</v>
      </c>
      <c r="E1849" s="121" t="s">
        <v>136</v>
      </c>
      <c r="F1849" s="138" t="str">
        <f>INDEX(FuncAllocOptions,ROW(A1849)-ROW($A$92)+1,[4]Inputs!$S$11)</f>
        <v>GP</v>
      </c>
      <c r="G1849" s="117" t="e">
        <f t="shared" si="1160"/>
        <v>#VALUE!</v>
      </c>
      <c r="H1849" s="116" t="e">
        <f t="shared" si="1161"/>
        <v>#VALUE!</v>
      </c>
      <c r="I1849" s="116" t="e">
        <f t="shared" si="1161"/>
        <v>#VALUE!</v>
      </c>
      <c r="J1849" s="116" t="e">
        <f t="shared" si="1161"/>
        <v>#VALUE!</v>
      </c>
      <c r="K1849" s="116" t="e">
        <f t="shared" si="1161"/>
        <v>#VALUE!</v>
      </c>
      <c r="L1849" s="116" t="e">
        <f t="shared" si="1161"/>
        <v>#VALUE!</v>
      </c>
      <c r="N1849" s="108">
        <v>0.75</v>
      </c>
      <c r="O1849" s="116" t="e">
        <f t="shared" si="1162"/>
        <v>#VALUE!</v>
      </c>
      <c r="P1849" s="116" t="e">
        <f t="shared" si="1163"/>
        <v>#VALUE!</v>
      </c>
      <c r="Q1849" s="116" t="e">
        <f t="shared" si="1164"/>
        <v>#VALUE!</v>
      </c>
      <c r="R1849" s="116" t="e">
        <f t="shared" si="1165"/>
        <v>#VALUE!</v>
      </c>
      <c r="S1849" s="108">
        <v>0.75</v>
      </c>
      <c r="T1849" s="116" t="e">
        <f t="shared" si="1166"/>
        <v>#VALUE!</v>
      </c>
      <c r="U1849" s="116" t="e">
        <f t="shared" si="1167"/>
        <v>#VALUE!</v>
      </c>
      <c r="V1849" s="116" t="e">
        <f t="shared" si="1168"/>
        <v>#VALUE!</v>
      </c>
      <c r="W1849" s="116" t="e">
        <f t="shared" si="1169"/>
        <v>#VALUE!</v>
      </c>
      <c r="X1849" s="3" t="str">
        <f>INDEX(DistFuncAllocOptions,ROW(A1849)-ROW($A$92)+1,[4]Inputs!$S$11)</f>
        <v>PLNT</v>
      </c>
      <c r="Y1849" s="116" t="e">
        <f t="shared" si="1170"/>
        <v>#VALUE!</v>
      </c>
      <c r="Z1849" s="116" t="e">
        <f t="shared" si="1170"/>
        <v>#VALUE!</v>
      </c>
      <c r="AA1849" s="116" t="e">
        <f t="shared" si="1170"/>
        <v>#VALUE!</v>
      </c>
      <c r="AB1849" s="116" t="e">
        <f t="shared" si="1170"/>
        <v>#VALUE!</v>
      </c>
      <c r="AC1849" s="116" t="e">
        <f t="shared" si="1170"/>
        <v>#VALUE!</v>
      </c>
      <c r="AD1849" s="117" t="e">
        <f t="shared" si="1171"/>
        <v>#VALUE!</v>
      </c>
      <c r="AE1849" s="117" t="e">
        <f t="shared" si="1172"/>
        <v>#VALUE!</v>
      </c>
      <c r="AF1849" s="117" t="e">
        <f t="shared" si="1173"/>
        <v>#VALUE!</v>
      </c>
      <c r="AG1849" s="117" t="e">
        <f t="shared" si="1174"/>
        <v>#VALUE!</v>
      </c>
      <c r="AH1849" s="116"/>
      <c r="AI1849">
        <f t="shared" si="1155"/>
        <v>143</v>
      </c>
      <c r="AJ1849" t="str">
        <f t="shared" si="1138"/>
        <v>SO</v>
      </c>
      <c r="AK1849" t="str">
        <f>IF(ISERROR(MATCH(AI1849&amp;"."&amp;AJ1849,AK$91:AK1848,0)),AI1849&amp;"."&amp;AJ1849,AI1849&amp;"."&amp;AJ1849&amp;COUNTIFS(AI$91:AI1848,AI1849,AJ$91:AJ1848,AJ1849))</f>
        <v>143.SO</v>
      </c>
    </row>
    <row r="1850" spans="1:37" ht="15" hidden="1">
      <c r="A1850" s="120">
        <f>ROW()</f>
        <v>1850</v>
      </c>
      <c r="B1850" s="120"/>
      <c r="C1850" s="1">
        <v>232</v>
      </c>
      <c r="E1850" s="121" t="s">
        <v>12</v>
      </c>
      <c r="F1850" s="138" t="str">
        <f>INDEX(FuncAllocOptions,ROW(A1850)-ROW($A$92)+1,[4]Inputs!$S$11)</f>
        <v>P</v>
      </c>
      <c r="G1850" s="117" t="e">
        <f t="shared" si="1160"/>
        <v>#VALUE!</v>
      </c>
      <c r="H1850" s="116" t="e">
        <f t="shared" si="1161"/>
        <v>#VALUE!</v>
      </c>
      <c r="I1850" s="116" t="e">
        <f t="shared" si="1161"/>
        <v>#VALUE!</v>
      </c>
      <c r="J1850" s="116" t="e">
        <f t="shared" si="1161"/>
        <v>#VALUE!</v>
      </c>
      <c r="K1850" s="116" t="e">
        <f t="shared" si="1161"/>
        <v>#VALUE!</v>
      </c>
      <c r="L1850" s="116" t="e">
        <f t="shared" si="1161"/>
        <v>#VALUE!</v>
      </c>
      <c r="N1850" s="108">
        <v>0.75</v>
      </c>
      <c r="O1850" s="116" t="e">
        <f t="shared" si="1162"/>
        <v>#VALUE!</v>
      </c>
      <c r="P1850" s="116" t="e">
        <f t="shared" si="1163"/>
        <v>#VALUE!</v>
      </c>
      <c r="Q1850" s="116" t="e">
        <f t="shared" si="1164"/>
        <v>#VALUE!</v>
      </c>
      <c r="R1850" s="116" t="e">
        <f t="shared" si="1165"/>
        <v>#VALUE!</v>
      </c>
      <c r="S1850" s="108">
        <v>0.75</v>
      </c>
      <c r="T1850" s="116" t="e">
        <f t="shared" si="1166"/>
        <v>#VALUE!</v>
      </c>
      <c r="U1850" s="116" t="e">
        <f t="shared" si="1167"/>
        <v>#VALUE!</v>
      </c>
      <c r="V1850" s="116" t="e">
        <f t="shared" si="1168"/>
        <v>#VALUE!</v>
      </c>
      <c r="W1850" s="116" t="e">
        <f t="shared" si="1169"/>
        <v>#VALUE!</v>
      </c>
      <c r="X1850" s="3" t="str">
        <f>INDEX(DistFuncAllocOptions,ROW(A1850)-ROW($A$92)+1,[4]Inputs!$S$11)</f>
        <v>PLNT</v>
      </c>
      <c r="Y1850" s="116" t="e">
        <f t="shared" si="1170"/>
        <v>#VALUE!</v>
      </c>
      <c r="Z1850" s="116" t="e">
        <f t="shared" si="1170"/>
        <v>#VALUE!</v>
      </c>
      <c r="AA1850" s="116" t="e">
        <f t="shared" si="1170"/>
        <v>#VALUE!</v>
      </c>
      <c r="AB1850" s="116" t="e">
        <f t="shared" si="1170"/>
        <v>#VALUE!</v>
      </c>
      <c r="AC1850" s="116" t="e">
        <f t="shared" si="1170"/>
        <v>#VALUE!</v>
      </c>
      <c r="AD1850" s="117" t="e">
        <f t="shared" si="1171"/>
        <v>#VALUE!</v>
      </c>
      <c r="AE1850" s="117" t="e">
        <f t="shared" si="1172"/>
        <v>#VALUE!</v>
      </c>
      <c r="AF1850" s="117" t="e">
        <f t="shared" si="1173"/>
        <v>#VALUE!</v>
      </c>
      <c r="AG1850" s="117" t="e">
        <f t="shared" si="1174"/>
        <v>#VALUE!</v>
      </c>
      <c r="AH1850" s="116"/>
      <c r="AI1850">
        <f t="shared" si="1155"/>
        <v>232</v>
      </c>
      <c r="AJ1850" t="str">
        <f t="shared" si="1138"/>
        <v>S</v>
      </c>
      <c r="AK1850" t="str">
        <f>IF(ISERROR(MATCH(AI1850&amp;"."&amp;AJ1850,AK$91:AK1849,0)),AI1850&amp;"."&amp;AJ1850,AI1850&amp;"."&amp;AJ1850&amp;COUNTIFS(AI$91:AI1849,AI1850,AJ$91:AJ1849,AJ1850))</f>
        <v>232.S</v>
      </c>
    </row>
    <row r="1851" spans="1:37" ht="15" hidden="1">
      <c r="A1851" s="120">
        <f>ROW()</f>
        <v>1851</v>
      </c>
      <c r="B1851" s="120"/>
      <c r="C1851" s="1">
        <v>232</v>
      </c>
      <c r="E1851" s="121" t="s">
        <v>136</v>
      </c>
      <c r="F1851" s="138" t="str">
        <f>INDEX(FuncAllocOptions,ROW(A1851)-ROW($A$92)+1,[4]Inputs!$S$11)</f>
        <v>PTD</v>
      </c>
      <c r="G1851" s="117" t="e">
        <f t="shared" si="1160"/>
        <v>#VALUE!</v>
      </c>
      <c r="H1851" s="116" t="e">
        <f t="shared" si="1161"/>
        <v>#VALUE!</v>
      </c>
      <c r="I1851" s="116" t="e">
        <f t="shared" si="1161"/>
        <v>#VALUE!</v>
      </c>
      <c r="J1851" s="116" t="e">
        <f t="shared" si="1161"/>
        <v>#VALUE!</v>
      </c>
      <c r="K1851" s="116" t="e">
        <f t="shared" si="1161"/>
        <v>#VALUE!</v>
      </c>
      <c r="L1851" s="116" t="e">
        <f t="shared" si="1161"/>
        <v>#VALUE!</v>
      </c>
      <c r="N1851" s="108">
        <v>0.75</v>
      </c>
      <c r="O1851" s="116" t="e">
        <f t="shared" si="1162"/>
        <v>#VALUE!</v>
      </c>
      <c r="P1851" s="116" t="e">
        <f t="shared" si="1163"/>
        <v>#VALUE!</v>
      </c>
      <c r="Q1851" s="116" t="e">
        <f t="shared" si="1164"/>
        <v>#VALUE!</v>
      </c>
      <c r="R1851" s="116" t="e">
        <f t="shared" si="1165"/>
        <v>#VALUE!</v>
      </c>
      <c r="S1851" s="108">
        <v>0.75</v>
      </c>
      <c r="T1851" s="116" t="e">
        <f t="shared" si="1166"/>
        <v>#VALUE!</v>
      </c>
      <c r="U1851" s="116" t="e">
        <f t="shared" si="1167"/>
        <v>#VALUE!</v>
      </c>
      <c r="V1851" s="116" t="e">
        <f t="shared" si="1168"/>
        <v>#VALUE!</v>
      </c>
      <c r="W1851" s="116" t="e">
        <f t="shared" si="1169"/>
        <v>#VALUE!</v>
      </c>
      <c r="X1851" s="3" t="str">
        <f>INDEX(DistFuncAllocOptions,ROW(A1851)-ROW($A$92)+1,[4]Inputs!$S$11)</f>
        <v>PLNT</v>
      </c>
      <c r="Y1851" s="116" t="e">
        <f t="shared" si="1170"/>
        <v>#VALUE!</v>
      </c>
      <c r="Z1851" s="116" t="e">
        <f t="shared" si="1170"/>
        <v>#VALUE!</v>
      </c>
      <c r="AA1851" s="116" t="e">
        <f t="shared" si="1170"/>
        <v>#VALUE!</v>
      </c>
      <c r="AB1851" s="116" t="e">
        <f t="shared" si="1170"/>
        <v>#VALUE!</v>
      </c>
      <c r="AC1851" s="116" t="e">
        <f t="shared" si="1170"/>
        <v>#VALUE!</v>
      </c>
      <c r="AD1851" s="117" t="e">
        <f t="shared" si="1171"/>
        <v>#VALUE!</v>
      </c>
      <c r="AE1851" s="117" t="e">
        <f t="shared" si="1172"/>
        <v>#VALUE!</v>
      </c>
      <c r="AF1851" s="117" t="e">
        <f t="shared" si="1173"/>
        <v>#VALUE!</v>
      </c>
      <c r="AG1851" s="117" t="e">
        <f t="shared" si="1174"/>
        <v>#VALUE!</v>
      </c>
      <c r="AH1851" s="116"/>
      <c r="AI1851">
        <f t="shared" si="1155"/>
        <v>232</v>
      </c>
      <c r="AJ1851" t="str">
        <f t="shared" si="1138"/>
        <v>SO</v>
      </c>
      <c r="AK1851" t="str">
        <f>IF(ISERROR(MATCH(AI1851&amp;"."&amp;AJ1851,AK$91:AK1850,0)),AI1851&amp;"."&amp;AJ1851,AI1851&amp;"."&amp;AJ1851&amp;COUNTIFS(AI$91:AI1850,AI1851,AJ$91:AJ1850,AJ1851))</f>
        <v>232.SO</v>
      </c>
    </row>
    <row r="1852" spans="1:37" ht="15" hidden="1">
      <c r="A1852" s="120">
        <f>ROW()</f>
        <v>1852</v>
      </c>
      <c r="B1852" s="120"/>
      <c r="C1852" s="1">
        <v>232</v>
      </c>
      <c r="E1852" s="121" t="s">
        <v>16</v>
      </c>
      <c r="F1852" s="138" t="str">
        <f>INDEX(FuncAllocOptions,ROW(A1852)-ROW($A$92)+1,[4]Inputs!$S$11)</f>
        <v>P</v>
      </c>
      <c r="G1852" s="117" t="e">
        <f t="shared" si="1160"/>
        <v>#VALUE!</v>
      </c>
      <c r="H1852" s="116" t="e">
        <f t="shared" si="1161"/>
        <v>#VALUE!</v>
      </c>
      <c r="I1852" s="116" t="e">
        <f t="shared" si="1161"/>
        <v>#VALUE!</v>
      </c>
      <c r="J1852" s="116" t="e">
        <f t="shared" si="1161"/>
        <v>#VALUE!</v>
      </c>
      <c r="K1852" s="116" t="e">
        <f t="shared" si="1161"/>
        <v>#VALUE!</v>
      </c>
      <c r="L1852" s="116" t="e">
        <f t="shared" si="1161"/>
        <v>#VALUE!</v>
      </c>
      <c r="N1852" s="108">
        <v>0.75</v>
      </c>
      <c r="O1852" s="116" t="e">
        <f t="shared" si="1162"/>
        <v>#VALUE!</v>
      </c>
      <c r="P1852" s="116" t="e">
        <f t="shared" si="1163"/>
        <v>#VALUE!</v>
      </c>
      <c r="Q1852" s="116" t="e">
        <f t="shared" si="1164"/>
        <v>#VALUE!</v>
      </c>
      <c r="R1852" s="116" t="e">
        <f t="shared" si="1165"/>
        <v>#VALUE!</v>
      </c>
      <c r="S1852" s="108">
        <v>0.75</v>
      </c>
      <c r="T1852" s="116" t="e">
        <f t="shared" si="1166"/>
        <v>#VALUE!</v>
      </c>
      <c r="U1852" s="116" t="e">
        <f t="shared" si="1167"/>
        <v>#VALUE!</v>
      </c>
      <c r="V1852" s="116" t="e">
        <f t="shared" si="1168"/>
        <v>#VALUE!</v>
      </c>
      <c r="W1852" s="116" t="e">
        <f t="shared" si="1169"/>
        <v>#VALUE!</v>
      </c>
      <c r="X1852" s="3" t="str">
        <f>INDEX(DistFuncAllocOptions,ROW(A1852)-ROW($A$92)+1,[4]Inputs!$S$11)</f>
        <v>PLNT</v>
      </c>
      <c r="Y1852" s="116" t="e">
        <f t="shared" si="1170"/>
        <v>#VALUE!</v>
      </c>
      <c r="Z1852" s="116" t="e">
        <f t="shared" si="1170"/>
        <v>#VALUE!</v>
      </c>
      <c r="AA1852" s="116" t="e">
        <f t="shared" si="1170"/>
        <v>#VALUE!</v>
      </c>
      <c r="AB1852" s="116" t="e">
        <f t="shared" si="1170"/>
        <v>#VALUE!</v>
      </c>
      <c r="AC1852" s="116" t="e">
        <f t="shared" si="1170"/>
        <v>#VALUE!</v>
      </c>
      <c r="AD1852" s="117" t="e">
        <f t="shared" si="1171"/>
        <v>#VALUE!</v>
      </c>
      <c r="AE1852" s="117" t="e">
        <f t="shared" si="1172"/>
        <v>#VALUE!</v>
      </c>
      <c r="AF1852" s="117" t="e">
        <f t="shared" si="1173"/>
        <v>#VALUE!</v>
      </c>
      <c r="AG1852" s="117" t="e">
        <f t="shared" si="1174"/>
        <v>#VALUE!</v>
      </c>
      <c r="AH1852" s="116"/>
      <c r="AI1852">
        <f t="shared" si="1155"/>
        <v>232</v>
      </c>
      <c r="AJ1852" t="str">
        <f t="shared" si="1138"/>
        <v>SE</v>
      </c>
      <c r="AK1852" t="str">
        <f>IF(ISERROR(MATCH(AI1852&amp;"."&amp;AJ1852,AK$91:AK1851,0)),AI1852&amp;"."&amp;AJ1852,AI1852&amp;"."&amp;AJ1852&amp;COUNTIFS(AI$91:AI1851,AI1852,AJ$91:AJ1851,AJ1852))</f>
        <v>232.SE</v>
      </c>
    </row>
    <row r="1853" spans="1:37" ht="15" hidden="1">
      <c r="A1853" s="120">
        <f>ROW()</f>
        <v>1853</v>
      </c>
      <c r="B1853" s="120"/>
      <c r="C1853" s="1">
        <v>232</v>
      </c>
      <c r="E1853" s="121" t="s">
        <v>15</v>
      </c>
      <c r="F1853" s="138" t="str">
        <f>INDEX(FuncAllocOptions,ROW(A1853)-ROW($A$92)+1,[4]Inputs!$S$11)</f>
        <v>T</v>
      </c>
      <c r="G1853" s="117" t="e">
        <f t="shared" si="1160"/>
        <v>#VALUE!</v>
      </c>
      <c r="H1853" s="116" t="e">
        <f t="shared" si="1161"/>
        <v>#VALUE!</v>
      </c>
      <c r="I1853" s="116" t="e">
        <f t="shared" si="1161"/>
        <v>#VALUE!</v>
      </c>
      <c r="J1853" s="116" t="e">
        <f t="shared" si="1161"/>
        <v>#VALUE!</v>
      </c>
      <c r="K1853" s="116" t="e">
        <f t="shared" si="1161"/>
        <v>#VALUE!</v>
      </c>
      <c r="L1853" s="116" t="e">
        <f t="shared" si="1161"/>
        <v>#VALUE!</v>
      </c>
      <c r="N1853" s="108">
        <v>0.75</v>
      </c>
      <c r="O1853" s="116" t="e">
        <f t="shared" si="1162"/>
        <v>#VALUE!</v>
      </c>
      <c r="P1853" s="116" t="e">
        <f t="shared" si="1163"/>
        <v>#VALUE!</v>
      </c>
      <c r="Q1853" s="116" t="e">
        <f t="shared" si="1164"/>
        <v>#VALUE!</v>
      </c>
      <c r="R1853" s="116" t="e">
        <f t="shared" si="1165"/>
        <v>#VALUE!</v>
      </c>
      <c r="S1853" s="108">
        <v>0.75</v>
      </c>
      <c r="T1853" s="116" t="e">
        <f t="shared" si="1166"/>
        <v>#VALUE!</v>
      </c>
      <c r="U1853" s="116" t="e">
        <f t="shared" si="1167"/>
        <v>#VALUE!</v>
      </c>
      <c r="V1853" s="116" t="e">
        <f t="shared" si="1168"/>
        <v>#VALUE!</v>
      </c>
      <c r="W1853" s="116" t="e">
        <f t="shared" si="1169"/>
        <v>#VALUE!</v>
      </c>
      <c r="X1853" s="3" t="str">
        <f>INDEX(DistFuncAllocOptions,ROW(A1853)-ROW($A$92)+1,[4]Inputs!$S$11)</f>
        <v>PLNT</v>
      </c>
      <c r="Y1853" s="116" t="e">
        <f t="shared" si="1170"/>
        <v>#VALUE!</v>
      </c>
      <c r="Z1853" s="116" t="e">
        <f t="shared" si="1170"/>
        <v>#VALUE!</v>
      </c>
      <c r="AA1853" s="116" t="e">
        <f t="shared" si="1170"/>
        <v>#VALUE!</v>
      </c>
      <c r="AB1853" s="116" t="e">
        <f t="shared" si="1170"/>
        <v>#VALUE!</v>
      </c>
      <c r="AC1853" s="116" t="e">
        <f t="shared" si="1170"/>
        <v>#VALUE!</v>
      </c>
      <c r="AD1853" s="117" t="e">
        <f t="shared" si="1171"/>
        <v>#VALUE!</v>
      </c>
      <c r="AE1853" s="117" t="e">
        <f t="shared" si="1172"/>
        <v>#VALUE!</v>
      </c>
      <c r="AF1853" s="117" t="e">
        <f t="shared" si="1173"/>
        <v>#VALUE!</v>
      </c>
      <c r="AG1853" s="117" t="e">
        <f t="shared" si="1174"/>
        <v>#VALUE!</v>
      </c>
      <c r="AH1853" s="116"/>
      <c r="AI1853">
        <f t="shared" si="1155"/>
        <v>232</v>
      </c>
      <c r="AJ1853" t="str">
        <f t="shared" si="1138"/>
        <v>SG</v>
      </c>
      <c r="AK1853" t="str">
        <f>IF(ISERROR(MATCH(AI1853&amp;"."&amp;AJ1853,AK$91:AK1852,0)),AI1853&amp;"."&amp;AJ1853,AI1853&amp;"."&amp;AJ1853&amp;COUNTIFS(AI$91:AI1852,AI1853,AJ$91:AJ1852,AJ1853))</f>
        <v>232.SG</v>
      </c>
    </row>
    <row r="1854" spans="1:37" ht="15" hidden="1">
      <c r="A1854" s="120">
        <f>ROW()</f>
        <v>1854</v>
      </c>
      <c r="B1854" s="120"/>
      <c r="C1854" s="1">
        <v>2533</v>
      </c>
      <c r="E1854" s="121" t="s">
        <v>12</v>
      </c>
      <c r="F1854" s="138" t="str">
        <f>INDEX(FuncAllocOptions,ROW(A1854)-ROW($A$92)+1,[4]Inputs!$S$11)</f>
        <v>P</v>
      </c>
      <c r="G1854" s="117" t="e">
        <f t="shared" si="1160"/>
        <v>#VALUE!</v>
      </c>
      <c r="H1854" s="116" t="e">
        <f t="shared" si="1161"/>
        <v>#VALUE!</v>
      </c>
      <c r="I1854" s="116" t="e">
        <f t="shared" si="1161"/>
        <v>#VALUE!</v>
      </c>
      <c r="J1854" s="116" t="e">
        <f t="shared" si="1161"/>
        <v>#VALUE!</v>
      </c>
      <c r="K1854" s="116" t="e">
        <f t="shared" si="1161"/>
        <v>#VALUE!</v>
      </c>
      <c r="L1854" s="116" t="e">
        <f t="shared" si="1161"/>
        <v>#VALUE!</v>
      </c>
      <c r="N1854" s="108">
        <v>0.75</v>
      </c>
      <c r="O1854" s="116" t="e">
        <f t="shared" si="1162"/>
        <v>#VALUE!</v>
      </c>
      <c r="P1854" s="116" t="e">
        <f t="shared" si="1163"/>
        <v>#VALUE!</v>
      </c>
      <c r="Q1854" s="116" t="e">
        <f t="shared" si="1164"/>
        <v>#VALUE!</v>
      </c>
      <c r="R1854" s="116" t="e">
        <f t="shared" si="1165"/>
        <v>#VALUE!</v>
      </c>
      <c r="S1854" s="108">
        <v>0.75</v>
      </c>
      <c r="T1854" s="116" t="e">
        <f t="shared" si="1166"/>
        <v>#VALUE!</v>
      </c>
      <c r="U1854" s="116" t="e">
        <f t="shared" si="1167"/>
        <v>#VALUE!</v>
      </c>
      <c r="V1854" s="116" t="e">
        <f t="shared" si="1168"/>
        <v>#VALUE!</v>
      </c>
      <c r="W1854" s="116" t="e">
        <f t="shared" si="1169"/>
        <v>#VALUE!</v>
      </c>
      <c r="X1854" s="3" t="str">
        <f>INDEX(DistFuncAllocOptions,ROW(A1854)-ROW($A$92)+1,[4]Inputs!$S$11)</f>
        <v>PLNT</v>
      </c>
      <c r="Y1854" s="116" t="e">
        <f t="shared" si="1170"/>
        <v>#VALUE!</v>
      </c>
      <c r="Z1854" s="116" t="e">
        <f t="shared" si="1170"/>
        <v>#VALUE!</v>
      </c>
      <c r="AA1854" s="116" t="e">
        <f t="shared" si="1170"/>
        <v>#VALUE!</v>
      </c>
      <c r="AB1854" s="116" t="e">
        <f t="shared" si="1170"/>
        <v>#VALUE!</v>
      </c>
      <c r="AC1854" s="116" t="e">
        <f t="shared" si="1170"/>
        <v>#VALUE!</v>
      </c>
      <c r="AD1854" s="117" t="e">
        <f t="shared" si="1171"/>
        <v>#VALUE!</v>
      </c>
      <c r="AE1854" s="117" t="e">
        <f t="shared" si="1172"/>
        <v>#VALUE!</v>
      </c>
      <c r="AF1854" s="117" t="e">
        <f t="shared" si="1173"/>
        <v>#VALUE!</v>
      </c>
      <c r="AG1854" s="117" t="e">
        <f t="shared" si="1174"/>
        <v>#VALUE!</v>
      </c>
      <c r="AH1854" s="116"/>
      <c r="AI1854">
        <f t="shared" si="1155"/>
        <v>2533</v>
      </c>
      <c r="AJ1854" t="str">
        <f t="shared" si="1138"/>
        <v>S</v>
      </c>
      <c r="AK1854" t="str">
        <f>IF(ISERROR(MATCH(AI1854&amp;"."&amp;AJ1854,AK$91:AK1853,0)),AI1854&amp;"."&amp;AJ1854,AI1854&amp;"."&amp;AJ1854&amp;COUNTIFS(AI$91:AI1853,AI1854,AJ$91:AJ1853,AJ1854))</f>
        <v>2533.S</v>
      </c>
    </row>
    <row r="1855" spans="1:37" ht="15" hidden="1">
      <c r="A1855" s="120">
        <f>ROW()</f>
        <v>1855</v>
      </c>
      <c r="B1855" s="120"/>
      <c r="C1855" s="1">
        <v>2533</v>
      </c>
      <c r="E1855" s="121" t="s">
        <v>16</v>
      </c>
      <c r="F1855" s="138" t="str">
        <f>INDEX(FuncAllocOptions,ROW(A1855)-ROW($A$92)+1,[4]Inputs!$S$11)</f>
        <v>P</v>
      </c>
      <c r="G1855" s="117" t="e">
        <f t="shared" si="1160"/>
        <v>#VALUE!</v>
      </c>
      <c r="H1855" s="116" t="e">
        <f t="shared" si="1161"/>
        <v>#VALUE!</v>
      </c>
      <c r="I1855" s="116" t="e">
        <f t="shared" si="1161"/>
        <v>#VALUE!</v>
      </c>
      <c r="J1855" s="116" t="e">
        <f t="shared" si="1161"/>
        <v>#VALUE!</v>
      </c>
      <c r="K1855" s="116" t="e">
        <f t="shared" si="1161"/>
        <v>#VALUE!</v>
      </c>
      <c r="L1855" s="116" t="e">
        <f t="shared" si="1161"/>
        <v>#VALUE!</v>
      </c>
      <c r="N1855" s="108">
        <v>0.75</v>
      </c>
      <c r="O1855" s="116" t="e">
        <f t="shared" si="1162"/>
        <v>#VALUE!</v>
      </c>
      <c r="P1855" s="116" t="e">
        <f t="shared" si="1163"/>
        <v>#VALUE!</v>
      </c>
      <c r="Q1855" s="116" t="e">
        <f t="shared" si="1164"/>
        <v>#VALUE!</v>
      </c>
      <c r="R1855" s="116" t="e">
        <f t="shared" si="1165"/>
        <v>#VALUE!</v>
      </c>
      <c r="S1855" s="108">
        <v>0.75</v>
      </c>
      <c r="T1855" s="116" t="e">
        <f t="shared" si="1166"/>
        <v>#VALUE!</v>
      </c>
      <c r="U1855" s="116" t="e">
        <f t="shared" si="1167"/>
        <v>#VALUE!</v>
      </c>
      <c r="V1855" s="116" t="e">
        <f t="shared" si="1168"/>
        <v>#VALUE!</v>
      </c>
      <c r="W1855" s="116" t="e">
        <f t="shared" si="1169"/>
        <v>#VALUE!</v>
      </c>
      <c r="X1855" s="3" t="str">
        <f>INDEX(DistFuncAllocOptions,ROW(A1855)-ROW($A$92)+1,[4]Inputs!$S$11)</f>
        <v>PLNT</v>
      </c>
      <c r="Y1855" s="116" t="e">
        <f t="shared" si="1170"/>
        <v>#VALUE!</v>
      </c>
      <c r="Z1855" s="116" t="e">
        <f t="shared" si="1170"/>
        <v>#VALUE!</v>
      </c>
      <c r="AA1855" s="116" t="e">
        <f t="shared" si="1170"/>
        <v>#VALUE!</v>
      </c>
      <c r="AB1855" s="116" t="e">
        <f t="shared" si="1170"/>
        <v>#VALUE!</v>
      </c>
      <c r="AC1855" s="116" t="e">
        <f t="shared" si="1170"/>
        <v>#VALUE!</v>
      </c>
      <c r="AD1855" s="117" t="e">
        <f t="shared" si="1171"/>
        <v>#VALUE!</v>
      </c>
      <c r="AE1855" s="117" t="e">
        <f t="shared" si="1172"/>
        <v>#VALUE!</v>
      </c>
      <c r="AF1855" s="117" t="e">
        <f t="shared" si="1173"/>
        <v>#VALUE!</v>
      </c>
      <c r="AG1855" s="117" t="e">
        <f t="shared" si="1174"/>
        <v>#VALUE!</v>
      </c>
      <c r="AH1855" s="116"/>
      <c r="AI1855">
        <f t="shared" si="1155"/>
        <v>2533</v>
      </c>
      <c r="AJ1855" t="str">
        <f t="shared" si="1138"/>
        <v>SE</v>
      </c>
      <c r="AK1855" t="str">
        <f>IF(ISERROR(MATCH(AI1855&amp;"."&amp;AJ1855,AK$91:AK1854,0)),AI1855&amp;"."&amp;AJ1855,AI1855&amp;"."&amp;AJ1855&amp;COUNTIFS(AI$91:AI1854,AI1855,AJ$91:AJ1854,AJ1855))</f>
        <v>2533.SE</v>
      </c>
    </row>
    <row r="1856" spans="1:37" ht="15" hidden="1">
      <c r="A1856" s="120">
        <f>ROW()</f>
        <v>1856</v>
      </c>
      <c r="B1856" s="120"/>
      <c r="C1856" s="1">
        <v>230</v>
      </c>
      <c r="E1856" s="121" t="s">
        <v>12</v>
      </c>
      <c r="F1856" s="138" t="str">
        <f>INDEX(FuncAllocOptions,ROW(A1856)-ROW($A$92)+1,[4]Inputs!$S$11)</f>
        <v>P</v>
      </c>
      <c r="G1856" s="133" t="e">
        <f t="shared" si="1160"/>
        <v>#VALUE!</v>
      </c>
      <c r="H1856" s="139" t="e">
        <f t="shared" si="1161"/>
        <v>#VALUE!</v>
      </c>
      <c r="I1856" s="139" t="e">
        <f t="shared" si="1161"/>
        <v>#VALUE!</v>
      </c>
      <c r="J1856" s="139" t="e">
        <f t="shared" si="1161"/>
        <v>#VALUE!</v>
      </c>
      <c r="K1856" s="139" t="e">
        <f t="shared" si="1161"/>
        <v>#VALUE!</v>
      </c>
      <c r="L1856" s="139" t="e">
        <f t="shared" si="1161"/>
        <v>#VALUE!</v>
      </c>
      <c r="N1856" s="108">
        <v>0</v>
      </c>
      <c r="O1856" s="116" t="e">
        <f t="shared" si="1162"/>
        <v>#VALUE!</v>
      </c>
      <c r="P1856" s="116" t="e">
        <f t="shared" si="1163"/>
        <v>#VALUE!</v>
      </c>
      <c r="Q1856" s="116" t="e">
        <f t="shared" si="1164"/>
        <v>#VALUE!</v>
      </c>
      <c r="R1856" s="116" t="e">
        <f t="shared" si="1165"/>
        <v>#VALUE!</v>
      </c>
      <c r="S1856" s="108">
        <v>0.75</v>
      </c>
      <c r="T1856" s="116" t="e">
        <f t="shared" si="1166"/>
        <v>#VALUE!</v>
      </c>
      <c r="U1856" s="116" t="e">
        <f t="shared" si="1167"/>
        <v>#VALUE!</v>
      </c>
      <c r="V1856" s="116" t="e">
        <f t="shared" si="1168"/>
        <v>#VALUE!</v>
      </c>
      <c r="W1856" s="116" t="e">
        <f t="shared" si="1169"/>
        <v>#VALUE!</v>
      </c>
      <c r="X1856" s="3" t="str">
        <f>INDEX(DistFuncAllocOptions,ROW(A1856)-ROW($A$92)+1,[4]Inputs!$S$11)</f>
        <v>PLNT</v>
      </c>
      <c r="Y1856" s="116" t="e">
        <f t="shared" si="1170"/>
        <v>#VALUE!</v>
      </c>
      <c r="Z1856" s="116" t="e">
        <f t="shared" si="1170"/>
        <v>#VALUE!</v>
      </c>
      <c r="AA1856" s="116" t="e">
        <f t="shared" si="1170"/>
        <v>#VALUE!</v>
      </c>
      <c r="AB1856" s="116" t="e">
        <f t="shared" si="1170"/>
        <v>#VALUE!</v>
      </c>
      <c r="AC1856" s="116" t="e">
        <f t="shared" si="1170"/>
        <v>#VALUE!</v>
      </c>
      <c r="AD1856" s="117" t="e">
        <f t="shared" si="1171"/>
        <v>#VALUE!</v>
      </c>
      <c r="AE1856" s="117" t="e">
        <f t="shared" si="1172"/>
        <v>#VALUE!</v>
      </c>
      <c r="AF1856" s="117" t="e">
        <f t="shared" si="1173"/>
        <v>#VALUE!</v>
      </c>
      <c r="AG1856" s="117" t="e">
        <f t="shared" si="1174"/>
        <v>#VALUE!</v>
      </c>
      <c r="AH1856" s="116"/>
      <c r="AI1856">
        <f t="shared" si="1155"/>
        <v>230</v>
      </c>
      <c r="AJ1856" t="str">
        <f t="shared" si="1138"/>
        <v>S</v>
      </c>
      <c r="AK1856" t="str">
        <f>IF(ISERROR(MATCH(AI1856&amp;"."&amp;AJ1856,AK$91:AK1855,0)),AI1856&amp;"."&amp;AJ1856,AI1856&amp;"."&amp;AJ1856&amp;COUNTIFS(AI$91:AI1855,AI1856,AJ$91:AJ1855,AJ1856))</f>
        <v>230.S</v>
      </c>
    </row>
    <row r="1857" spans="1:37" ht="15" hidden="1">
      <c r="A1857" s="120">
        <f>ROW()</f>
        <v>1857</v>
      </c>
      <c r="B1857" s="120"/>
      <c r="E1857" s="121"/>
      <c r="F1857" s="138"/>
      <c r="G1857" s="117" t="e">
        <f t="shared" ref="G1857:L1857" si="1175">SUM(G1848:G1856)</f>
        <v>#VALUE!</v>
      </c>
      <c r="H1857" s="116" t="e">
        <f t="shared" si="1175"/>
        <v>#VALUE!</v>
      </c>
      <c r="I1857" s="116" t="e">
        <f t="shared" si="1175"/>
        <v>#VALUE!</v>
      </c>
      <c r="J1857" s="116" t="e">
        <f t="shared" si="1175"/>
        <v>#VALUE!</v>
      </c>
      <c r="K1857" s="116" t="e">
        <f t="shared" si="1175"/>
        <v>#VALUE!</v>
      </c>
      <c r="L1857" s="116" t="e">
        <f t="shared" si="1175"/>
        <v>#VALUE!</v>
      </c>
      <c r="O1857" s="116" t="e">
        <f>SUM(O1848:O1856)</f>
        <v>#VALUE!</v>
      </c>
      <c r="P1857" s="116" t="e">
        <f>SUM(P1848:P1856)</f>
        <v>#VALUE!</v>
      </c>
      <c r="Q1857" s="116" t="e">
        <f>SUM(Q1848:Q1856)</f>
        <v>#VALUE!</v>
      </c>
      <c r="R1857" s="116" t="e">
        <f>SUM(R1848:R1856)</f>
        <v>#VALUE!</v>
      </c>
      <c r="T1857" s="116" t="e">
        <f>SUM(T1848:T1856)</f>
        <v>#VALUE!</v>
      </c>
      <c r="U1857" s="116" t="e">
        <f>SUM(U1848:U1856)</f>
        <v>#VALUE!</v>
      </c>
      <c r="V1857" s="116" t="e">
        <f>SUM(V1848:V1856)</f>
        <v>#VALUE!</v>
      </c>
      <c r="W1857" s="116" t="e">
        <f>SUM(W1848:W1856)</f>
        <v>#VALUE!</v>
      </c>
      <c r="X1857" s="3"/>
      <c r="Y1857" s="116" t="e">
        <f>SUM(Y1848:Y1856)</f>
        <v>#VALUE!</v>
      </c>
      <c r="Z1857" s="116" t="e">
        <f>SUM(Z1848:Z1856)</f>
        <v>#VALUE!</v>
      </c>
      <c r="AA1857" s="116" t="e">
        <f>SUM(AA1848:AA1856)</f>
        <v>#VALUE!</v>
      </c>
      <c r="AB1857" s="116" t="e">
        <f>SUM(AB1848:AB1856)</f>
        <v>#VALUE!</v>
      </c>
      <c r="AC1857" s="116" t="e">
        <f>SUM(AC1848:AC1856)</f>
        <v>#VALUE!</v>
      </c>
      <c r="AD1857" s="117" t="e">
        <f t="shared" si="1171"/>
        <v>#VALUE!</v>
      </c>
      <c r="AE1857" s="117" t="e">
        <f t="shared" si="1172"/>
        <v>#VALUE!</v>
      </c>
      <c r="AF1857" s="117" t="e">
        <f t="shared" si="1173"/>
        <v>#VALUE!</v>
      </c>
      <c r="AG1857" s="117" t="e">
        <f t="shared" si="1174"/>
        <v>#VALUE!</v>
      </c>
      <c r="AH1857" s="116"/>
      <c r="AI1857">
        <f t="shared" si="1155"/>
        <v>230</v>
      </c>
      <c r="AJ1857" t="str">
        <f t="shared" si="1138"/>
        <v>NA</v>
      </c>
      <c r="AK1857" t="str">
        <f>IF(ISERROR(MATCH(AI1857&amp;"."&amp;AJ1857,AK$91:AK1856,0)),AI1857&amp;"."&amp;AJ1857,AI1857&amp;"."&amp;AJ1857&amp;COUNTIFS(AI$91:AI1856,AI1857,AJ$91:AJ1856,AJ1857))</f>
        <v>230.NA</v>
      </c>
    </row>
    <row r="1858" spans="1:37" ht="15" hidden="1">
      <c r="A1858" s="120">
        <f>ROW()</f>
        <v>1858</v>
      </c>
      <c r="B1858" s="120"/>
      <c r="E1858" s="121"/>
      <c r="F1858" s="138"/>
      <c r="G1858" s="119"/>
      <c r="X1858" s="3"/>
      <c r="AD1858" s="119"/>
      <c r="AE1858" s="119"/>
      <c r="AF1858" s="119"/>
      <c r="AG1858" s="119"/>
      <c r="AI1858">
        <f t="shared" si="1155"/>
        <v>230</v>
      </c>
      <c r="AJ1858" t="str">
        <f t="shared" si="1138"/>
        <v>NA</v>
      </c>
      <c r="AK1858" t="str">
        <f>IF(ISERROR(MATCH(AI1858&amp;"."&amp;AJ1858,AK$91:AK1857,0)),AI1858&amp;"."&amp;AJ1858,AI1858&amp;"."&amp;AJ1858&amp;COUNTIFS(AI$91:AI1857,AI1858,AJ$91:AJ1857,AJ1858))</f>
        <v>230.NA1</v>
      </c>
    </row>
    <row r="1859" spans="1:37" ht="15.75" hidden="1" thickBot="1">
      <c r="A1859" s="120">
        <f>ROW()</f>
        <v>1859</v>
      </c>
      <c r="B1859" s="120"/>
      <c r="C1859" s="110" t="s">
        <v>636</v>
      </c>
      <c r="E1859" s="121"/>
      <c r="F1859" s="138"/>
      <c r="G1859" s="157" t="e">
        <f t="shared" ref="G1859:L1859" si="1176">G1845+G1857</f>
        <v>#VALUE!</v>
      </c>
      <c r="H1859" s="154" t="e">
        <f t="shared" si="1176"/>
        <v>#VALUE!</v>
      </c>
      <c r="I1859" s="154" t="e">
        <f t="shared" si="1176"/>
        <v>#VALUE!</v>
      </c>
      <c r="J1859" s="154" t="e">
        <f t="shared" si="1176"/>
        <v>#VALUE!</v>
      </c>
      <c r="K1859" s="154" t="e">
        <f t="shared" si="1176"/>
        <v>#VALUE!</v>
      </c>
      <c r="L1859" s="154" t="e">
        <f t="shared" si="1176"/>
        <v>#VALUE!</v>
      </c>
      <c r="O1859" s="116" t="e">
        <f>O1845+O1857</f>
        <v>#VALUE!</v>
      </c>
      <c r="P1859" s="116" t="e">
        <f>P1845+P1857</f>
        <v>#VALUE!</v>
      </c>
      <c r="Q1859" s="116" t="e">
        <f>Q1845+Q1857</f>
        <v>#VALUE!</v>
      </c>
      <c r="R1859" s="116" t="e">
        <f>R1845+R1857</f>
        <v>#VALUE!</v>
      </c>
      <c r="T1859" s="116" t="e">
        <f>T1845+T1857</f>
        <v>#VALUE!</v>
      </c>
      <c r="U1859" s="116" t="e">
        <f>U1845+U1857</f>
        <v>#VALUE!</v>
      </c>
      <c r="V1859" s="116" t="e">
        <f>V1845+V1857</f>
        <v>#VALUE!</v>
      </c>
      <c r="W1859" s="116" t="e">
        <f>W1845+W1857</f>
        <v>#VALUE!</v>
      </c>
      <c r="X1859" s="3"/>
      <c r="Y1859" s="116" t="e">
        <f>Y1845+Y1857</f>
        <v>#VALUE!</v>
      </c>
      <c r="Z1859" s="116" t="e">
        <f>Z1845+Z1857</f>
        <v>#VALUE!</v>
      </c>
      <c r="AA1859" s="116" t="e">
        <f>AA1845+AA1857</f>
        <v>#VALUE!</v>
      </c>
      <c r="AB1859" s="116" t="e">
        <f>AB1845+AB1857</f>
        <v>#VALUE!</v>
      </c>
      <c r="AC1859" s="116" t="e">
        <f>AC1845+AC1857</f>
        <v>#VALUE!</v>
      </c>
      <c r="AD1859" s="117" t="e">
        <f>ROUND(SUM(-G1859,H1859:L1859),0)</f>
        <v>#VALUE!</v>
      </c>
      <c r="AE1859" s="117" t="e">
        <f>ROUND(H1859-O1859-P1859-Q1859-R1859,0)</f>
        <v>#VALUE!</v>
      </c>
      <c r="AF1859" s="117" t="e">
        <f>ROUND(I1859-T1859-U1859-V1859-W1859,0)</f>
        <v>#VALUE!</v>
      </c>
      <c r="AG1859" s="117" t="e">
        <f>ROUND(J1859-Y1859-Z1859-AA1859-AC1859-AB1859,0)</f>
        <v>#VALUE!</v>
      </c>
      <c r="AH1859" s="116"/>
      <c r="AI1859" t="str">
        <f t="shared" si="1155"/>
        <v>Total Working Capital</v>
      </c>
      <c r="AJ1859" t="str">
        <f t="shared" si="1138"/>
        <v>NA</v>
      </c>
      <c r="AK1859" t="str">
        <f>IF(ISERROR(MATCH(AI1859&amp;"."&amp;AJ1859,AK$91:AK1858,0)),AI1859&amp;"."&amp;AJ1859,AI1859&amp;"."&amp;AJ1859&amp;COUNTIFS(AI$91:AI1858,AI1859,AJ$91:AJ1858,AJ1859))</f>
        <v>Total Working Capital.NA</v>
      </c>
    </row>
    <row r="1860" spans="1:37" ht="15" hidden="1">
      <c r="A1860" s="120">
        <f>ROW()</f>
        <v>1860</v>
      </c>
      <c r="B1860" s="120"/>
      <c r="E1860" s="121"/>
      <c r="F1860" s="138"/>
      <c r="G1860" s="119"/>
      <c r="X1860" s="3"/>
      <c r="AD1860" s="119"/>
      <c r="AE1860" s="119"/>
      <c r="AF1860" s="119"/>
      <c r="AG1860" s="119"/>
      <c r="AI1860" t="str">
        <f t="shared" si="1155"/>
        <v>Total Working Capital</v>
      </c>
      <c r="AJ1860" t="str">
        <f t="shared" si="1138"/>
        <v>NA</v>
      </c>
      <c r="AK1860" t="str">
        <f>IF(ISERROR(MATCH(AI1860&amp;"."&amp;AJ1860,AK$91:AK1859,0)),AI1860&amp;"."&amp;AJ1860,AI1860&amp;"."&amp;AJ1860&amp;COUNTIFS(AI$91:AI1859,AI1860,AJ$91:AJ1859,AJ1860))</f>
        <v>Total Working Capital.NA1</v>
      </c>
    </row>
    <row r="1861" spans="1:37" ht="15" hidden="1">
      <c r="A1861" s="120">
        <f>ROW()</f>
        <v>1861</v>
      </c>
      <c r="B1861" s="120"/>
      <c r="C1861" s="110" t="s">
        <v>728</v>
      </c>
      <c r="E1861" s="121"/>
      <c r="F1861" s="138"/>
      <c r="G1861" s="119"/>
      <c r="X1861" s="3"/>
      <c r="AD1861" s="119"/>
      <c r="AE1861" s="119"/>
      <c r="AF1861" s="119"/>
      <c r="AG1861" s="119"/>
      <c r="AI1861" t="str">
        <f t="shared" si="1155"/>
        <v>Miscellaneous Rate DRB</v>
      </c>
      <c r="AJ1861" t="str">
        <f t="shared" si="1138"/>
        <v>NA</v>
      </c>
      <c r="AK1861" t="str">
        <f>IF(ISERROR(MATCH(AI1861&amp;"."&amp;AJ1861,AK$91:AK1860,0)),AI1861&amp;"."&amp;AJ1861,AI1861&amp;"."&amp;AJ1861&amp;COUNTIFS(AI$91:AI1860,AI1861,AJ$91:AJ1860,AJ1861))</f>
        <v>Miscellaneous Rate DRB.NA</v>
      </c>
    </row>
    <row r="1862" spans="1:37" ht="15" hidden="1">
      <c r="A1862" s="120">
        <f>ROW()</f>
        <v>1862</v>
      </c>
      <c r="B1862" s="120"/>
      <c r="C1862" s="1">
        <v>18221</v>
      </c>
      <c r="D1862" s="2" t="s">
        <v>638</v>
      </c>
      <c r="E1862" s="121"/>
      <c r="F1862" s="138"/>
      <c r="G1862" s="119"/>
      <c r="X1862" s="3"/>
      <c r="AD1862" s="119"/>
      <c r="AE1862" s="117"/>
      <c r="AF1862" s="117"/>
      <c r="AG1862" s="119"/>
      <c r="AI1862">
        <f t="shared" si="1155"/>
        <v>18221</v>
      </c>
      <c r="AJ1862" t="str">
        <f t="shared" si="1138"/>
        <v>NA</v>
      </c>
      <c r="AK1862" t="str">
        <f>IF(ISERROR(MATCH(AI1862&amp;"."&amp;AJ1862,AK$91:AK1861,0)),AI1862&amp;"."&amp;AJ1862,AI1862&amp;"."&amp;AJ1862&amp;COUNTIFS(AI$91:AI1861,AI1862,AJ$91:AJ1861,AJ1862))</f>
        <v>18221.NA</v>
      </c>
    </row>
    <row r="1863" spans="1:37" ht="15" hidden="1">
      <c r="A1863" s="120">
        <f>ROW()</f>
        <v>1863</v>
      </c>
      <c r="B1863" s="120"/>
      <c r="C1863" s="1"/>
      <c r="E1863" s="121" t="s">
        <v>12</v>
      </c>
      <c r="F1863" s="138" t="str">
        <f>INDEX(FuncAllocOptions,ROW(A1863)-ROW($A$92)+1,[4]Inputs!$S$11)</f>
        <v>P</v>
      </c>
      <c r="G1863" s="133" t="e">
        <f>SUMIF(FERCJAMFactor,AK1863,JAMValue)</f>
        <v>#VALUE!</v>
      </c>
      <c r="H1863" s="139" t="e">
        <f>INDEX(FuncFactorTbl,MATCH($F1863,FuncFactors,0),MATCH(H$8,Functions,0))*$G1863</f>
        <v>#VALUE!</v>
      </c>
      <c r="I1863" s="139" t="e">
        <f>INDEX(FuncFactorTbl,MATCH($F1863,FuncFactors,0),MATCH(I$8,Functions,0))*$G1863</f>
        <v>#VALUE!</v>
      </c>
      <c r="J1863" s="139" t="e">
        <f>INDEX(FuncFactorTbl,MATCH($F1863,FuncFactors,0),MATCH(J$8,Functions,0))*$G1863</f>
        <v>#VALUE!</v>
      </c>
      <c r="K1863" s="139" t="e">
        <f>INDEX(FuncFactorTbl,MATCH($F1863,FuncFactors,0),MATCH(K$8,Functions,0))*$G1863</f>
        <v>#VALUE!</v>
      </c>
      <c r="L1863" s="139" t="e">
        <f>INDEX(FuncFactorTbl,MATCH($F1863,FuncFactors,0),MATCH(L$8,Functions,0))*$G1863</f>
        <v>#VALUE!</v>
      </c>
      <c r="N1863" s="108">
        <v>0.75</v>
      </c>
      <c r="O1863" s="116" t="e">
        <f>$H1863*$N1863*$M1863</f>
        <v>#VALUE!</v>
      </c>
      <c r="P1863" s="116" t="e">
        <f>$H1863*(1-$N1863)*$M1863</f>
        <v>#VALUE!</v>
      </c>
      <c r="Q1863" s="116" t="e">
        <f>$H1863*$N1863*(1-$M1863)</f>
        <v>#VALUE!</v>
      </c>
      <c r="R1863" s="116" t="e">
        <f>$H1863*(1-$N1863)*(1-$M1863)</f>
        <v>#VALUE!</v>
      </c>
      <c r="S1863" s="108">
        <v>0.75</v>
      </c>
      <c r="T1863" s="116" t="e">
        <f>$I1863*$S1863*$M1863</f>
        <v>#VALUE!</v>
      </c>
      <c r="U1863" s="116" t="e">
        <f>$I1863*(1-$S1863)*$M1863</f>
        <v>#VALUE!</v>
      </c>
      <c r="V1863" s="116" t="e">
        <f>$I1863*$S1863*(1-$M1863)</f>
        <v>#VALUE!</v>
      </c>
      <c r="W1863" s="116" t="e">
        <f>$I1863*(1-$S1863)*(1-$M1863)</f>
        <v>#VALUE!</v>
      </c>
      <c r="X1863" s="3" t="str">
        <f>INDEX(DistFuncAllocOptions,ROW(A1863)-ROW($A$92)+1,[4]Inputs!$S$11)</f>
        <v>PLNT</v>
      </c>
      <c r="Y1863" s="116" t="e">
        <f>INDEX(DistFuncFactorTbl,MATCH($X1863,DistFuncFactors,0),MATCH(Y$91,DistFunctions,0))*$J1863</f>
        <v>#VALUE!</v>
      </c>
      <c r="Z1863" s="116" t="e">
        <f>INDEX(DistFuncFactorTbl,MATCH($X1863,DistFuncFactors,0),MATCH(Z$91,DistFunctions,0))*$J1863</f>
        <v>#VALUE!</v>
      </c>
      <c r="AA1863" s="116" t="e">
        <f>INDEX(DistFuncFactorTbl,MATCH($X1863,DistFuncFactors,0),MATCH(AA$91,DistFunctions,0))*$J1863</f>
        <v>#VALUE!</v>
      </c>
      <c r="AB1863" s="116" t="e">
        <f>INDEX(DistFuncFactorTbl,MATCH($X1863,DistFuncFactors,0),MATCH(AB$91,DistFunctions,0))*$J1863</f>
        <v>#VALUE!</v>
      </c>
      <c r="AC1863" s="116" t="e">
        <f>INDEX(DistFuncFactorTbl,MATCH($X1863,DistFuncFactors,0),MATCH(AC$91,DistFunctions,0))*$J1863</f>
        <v>#VALUE!</v>
      </c>
      <c r="AD1863" s="117" t="e">
        <f>ROUND(SUM(-G1863,H1863:L1863),0)</f>
        <v>#VALUE!</v>
      </c>
      <c r="AE1863" s="117" t="e">
        <f>ROUND(H1863-O1863-P1863-Q1863-R1863,0)</f>
        <v>#VALUE!</v>
      </c>
      <c r="AF1863" s="117" t="e">
        <f>ROUND(I1863-T1863-U1863-V1863-W1863,0)</f>
        <v>#VALUE!</v>
      </c>
      <c r="AG1863" s="117" t="e">
        <f>ROUND(J1863-Y1863-Z1863-AA1863-AC1863-AB1863,0)</f>
        <v>#VALUE!</v>
      </c>
      <c r="AH1863" s="116"/>
      <c r="AI1863">
        <f t="shared" si="1155"/>
        <v>18221</v>
      </c>
      <c r="AJ1863" t="str">
        <f t="shared" si="1138"/>
        <v>S</v>
      </c>
      <c r="AK1863" t="str">
        <f>IF(ISERROR(MATCH(AI1863&amp;"."&amp;AJ1863,AK$91:AK1862,0)),AI1863&amp;"."&amp;AJ1863,AI1863&amp;"."&amp;AJ1863&amp;COUNTIFS(AI$91:AI1862,AI1863,AJ$91:AJ1862,AJ1863))</f>
        <v>18221.S</v>
      </c>
    </row>
    <row r="1864" spans="1:37" ht="15" hidden="1">
      <c r="A1864" s="120">
        <f>ROW()</f>
        <v>1864</v>
      </c>
      <c r="B1864" s="120"/>
      <c r="C1864" s="1"/>
      <c r="E1864" s="121"/>
      <c r="F1864" s="138"/>
      <c r="G1864" s="119"/>
      <c r="X1864" s="3"/>
      <c r="AD1864" s="119"/>
      <c r="AE1864" s="119"/>
      <c r="AF1864" s="119"/>
      <c r="AG1864" s="119"/>
      <c r="AI1864">
        <f t="shared" si="1155"/>
        <v>18221</v>
      </c>
      <c r="AJ1864" t="str">
        <f t="shared" si="1138"/>
        <v>NA</v>
      </c>
      <c r="AK1864" t="str">
        <f>IF(ISERROR(MATCH(AI1864&amp;"."&amp;AJ1864,AK$91:AK1863,0)),AI1864&amp;"."&amp;AJ1864,AI1864&amp;"."&amp;AJ1864&amp;COUNTIFS(AI$91:AI1863,AI1864,AJ$91:AJ1863,AJ1864))</f>
        <v>18221.NA1</v>
      </c>
    </row>
    <row r="1865" spans="1:37" ht="15" hidden="1">
      <c r="A1865" s="120">
        <f>ROW()</f>
        <v>1865</v>
      </c>
      <c r="B1865" s="120"/>
      <c r="C1865" s="1"/>
      <c r="E1865" s="121"/>
      <c r="F1865" s="138"/>
      <c r="G1865" s="117" t="e">
        <f t="shared" ref="G1865:L1865" si="1177">SUM(G1863)</f>
        <v>#VALUE!</v>
      </c>
      <c r="H1865" s="116" t="e">
        <f t="shared" si="1177"/>
        <v>#VALUE!</v>
      </c>
      <c r="I1865" s="116" t="e">
        <f t="shared" si="1177"/>
        <v>#VALUE!</v>
      </c>
      <c r="J1865" s="116" t="e">
        <f t="shared" si="1177"/>
        <v>#VALUE!</v>
      </c>
      <c r="K1865" s="116" t="e">
        <f t="shared" si="1177"/>
        <v>#VALUE!</v>
      </c>
      <c r="L1865" s="116" t="e">
        <f t="shared" si="1177"/>
        <v>#VALUE!</v>
      </c>
      <c r="O1865" s="116" t="e">
        <f>SUM(O1863)</f>
        <v>#VALUE!</v>
      </c>
      <c r="P1865" s="116" t="e">
        <f>SUM(P1863)</f>
        <v>#VALUE!</v>
      </c>
      <c r="Q1865" s="116" t="e">
        <f>SUM(Q1863)</f>
        <v>#VALUE!</v>
      </c>
      <c r="R1865" s="116" t="e">
        <f>SUM(R1863)</f>
        <v>#VALUE!</v>
      </c>
      <c r="T1865" s="116" t="e">
        <f>SUM(T1863)</f>
        <v>#VALUE!</v>
      </c>
      <c r="U1865" s="116" t="e">
        <f>SUM(U1863)</f>
        <v>#VALUE!</v>
      </c>
      <c r="V1865" s="116" t="e">
        <f>SUM(V1863)</f>
        <v>#VALUE!</v>
      </c>
      <c r="W1865" s="116" t="e">
        <f>SUM(W1863)</f>
        <v>#VALUE!</v>
      </c>
      <c r="X1865" s="3"/>
      <c r="Y1865" s="116" t="e">
        <f>SUM(Y1863)</f>
        <v>#VALUE!</v>
      </c>
      <c r="Z1865" s="116" t="e">
        <f>SUM(Z1863)</f>
        <v>#VALUE!</v>
      </c>
      <c r="AA1865" s="116" t="e">
        <f>SUM(AA1863)</f>
        <v>#VALUE!</v>
      </c>
      <c r="AB1865" s="116" t="e">
        <f>SUM(AB1863)</f>
        <v>#VALUE!</v>
      </c>
      <c r="AC1865" s="116" t="e">
        <f>SUM(AC1863)</f>
        <v>#VALUE!</v>
      </c>
      <c r="AD1865" s="117" t="e">
        <f>ROUND(SUM(-G1865,H1865:L1865),0)</f>
        <v>#VALUE!</v>
      </c>
      <c r="AE1865" s="117" t="e">
        <f>ROUND(H1865-O1865-P1865-Q1865-R1865,0)</f>
        <v>#VALUE!</v>
      </c>
      <c r="AF1865" s="117" t="e">
        <f>ROUND(I1865-T1865-U1865-V1865-W1865,0)</f>
        <v>#VALUE!</v>
      </c>
      <c r="AG1865" s="117" t="e">
        <f>ROUND(J1865-Y1865-Z1865-AA1865-AC1865-AB1865,0)</f>
        <v>#VALUE!</v>
      </c>
      <c r="AH1865" s="116"/>
      <c r="AI1865">
        <f t="shared" si="1155"/>
        <v>18221</v>
      </c>
      <c r="AJ1865" t="str">
        <f t="shared" si="1138"/>
        <v>NA</v>
      </c>
      <c r="AK1865" t="str">
        <f>IF(ISERROR(MATCH(AI1865&amp;"."&amp;AJ1865,AK$91:AK1864,0)),AI1865&amp;"."&amp;AJ1865,AI1865&amp;"."&amp;AJ1865&amp;COUNTIFS(AI$91:AI1864,AI1865,AJ$91:AJ1864,AJ1865))</f>
        <v>18221.NA2</v>
      </c>
    </row>
    <row r="1866" spans="1:37" ht="15" hidden="1">
      <c r="A1866" s="120">
        <f>ROW()</f>
        <v>1866</v>
      </c>
      <c r="B1866" s="120"/>
      <c r="C1866" s="1"/>
      <c r="E1866" s="121"/>
      <c r="F1866" s="138"/>
      <c r="G1866" s="119"/>
      <c r="X1866" s="3"/>
      <c r="AD1866" s="119"/>
      <c r="AE1866" s="119"/>
      <c r="AF1866" s="119"/>
      <c r="AG1866" s="119"/>
      <c r="AI1866">
        <f t="shared" si="1155"/>
        <v>18221</v>
      </c>
      <c r="AJ1866" t="str">
        <f t="shared" si="1138"/>
        <v>NA</v>
      </c>
      <c r="AK1866" t="str">
        <f>IF(ISERROR(MATCH(AI1866&amp;"."&amp;AJ1866,AK$91:AK1865,0)),AI1866&amp;"."&amp;AJ1866,AI1866&amp;"."&amp;AJ1866&amp;COUNTIFS(AI$91:AI1865,AI1866,AJ$91:AJ1865,AJ1866))</f>
        <v>18221.NA3</v>
      </c>
    </row>
    <row r="1867" spans="1:37" ht="15" hidden="1">
      <c r="A1867" s="120">
        <f>ROW()</f>
        <v>1867</v>
      </c>
      <c r="B1867" s="120"/>
      <c r="C1867" s="1">
        <v>18222</v>
      </c>
      <c r="D1867" s="2" t="s">
        <v>639</v>
      </c>
      <c r="E1867" s="121"/>
      <c r="F1867" s="138"/>
      <c r="G1867" s="119"/>
      <c r="X1867" s="3"/>
      <c r="AD1867" s="119"/>
      <c r="AE1867" s="119"/>
      <c r="AF1867" s="119"/>
      <c r="AG1867" s="119"/>
      <c r="AI1867">
        <f t="shared" si="1155"/>
        <v>18222</v>
      </c>
      <c r="AJ1867" t="str">
        <f t="shared" si="1138"/>
        <v>NA</v>
      </c>
      <c r="AK1867" t="str">
        <f>IF(ISERROR(MATCH(AI1867&amp;"."&amp;AJ1867,AK$91:AK1866,0)),AI1867&amp;"."&amp;AJ1867,AI1867&amp;"."&amp;AJ1867&amp;COUNTIFS(AI$91:AI1866,AI1867,AJ$91:AJ1866,AJ1867))</f>
        <v>18222.NA</v>
      </c>
    </row>
    <row r="1868" spans="1:37" ht="15" hidden="1">
      <c r="A1868" s="120">
        <f>ROW()</f>
        <v>1868</v>
      </c>
      <c r="B1868" s="120"/>
      <c r="C1868" s="1"/>
      <c r="E1868" s="121" t="s">
        <v>12</v>
      </c>
      <c r="F1868" s="138" t="str">
        <f>INDEX(FuncAllocOptions,ROW(A1868)-ROW($A$92)+1,[4]Inputs!$S$11)</f>
        <v>P</v>
      </c>
      <c r="G1868" s="117" t="e">
        <f>SUMIF(FERCJAMFactor,AK1868,JAMValue)</f>
        <v>#VALUE!</v>
      </c>
      <c r="H1868" s="116" t="e">
        <f t="shared" ref="H1868:L1870" si="1178">INDEX(FuncFactorTbl,MATCH($F1868,FuncFactors,0),MATCH(H$8,Functions,0))*$G1868</f>
        <v>#VALUE!</v>
      </c>
      <c r="I1868" s="116" t="e">
        <f t="shared" si="1178"/>
        <v>#VALUE!</v>
      </c>
      <c r="J1868" s="116" t="e">
        <f t="shared" si="1178"/>
        <v>#VALUE!</v>
      </c>
      <c r="K1868" s="116" t="e">
        <f t="shared" si="1178"/>
        <v>#VALUE!</v>
      </c>
      <c r="L1868" s="116" t="e">
        <f t="shared" si="1178"/>
        <v>#VALUE!</v>
      </c>
      <c r="N1868" s="156">
        <v>0.5</v>
      </c>
      <c r="O1868" s="116" t="e">
        <f>$H1868*$N1868*$M1868</f>
        <v>#VALUE!</v>
      </c>
      <c r="P1868" s="116" t="e">
        <f>$H1868*(1-$N1868)*$M1868</f>
        <v>#VALUE!</v>
      </c>
      <c r="Q1868" s="116" t="e">
        <f>$H1868*$N1868*(1-$M1868)</f>
        <v>#VALUE!</v>
      </c>
      <c r="R1868" s="116" t="e">
        <f>$H1868*(1-$N1868)*(1-$M1868)</f>
        <v>#VALUE!</v>
      </c>
      <c r="S1868" s="156">
        <v>0.5</v>
      </c>
      <c r="T1868" s="116" t="e">
        <f>$I1868*$S1868*$M1868</f>
        <v>#VALUE!</v>
      </c>
      <c r="U1868" s="116" t="e">
        <f>$I1868*(1-$S1868)*$M1868</f>
        <v>#VALUE!</v>
      </c>
      <c r="V1868" s="116" t="e">
        <f>$I1868*$S1868*(1-$M1868)</f>
        <v>#VALUE!</v>
      </c>
      <c r="W1868" s="116" t="e">
        <f>$I1868*(1-$S1868)*(1-$M1868)</f>
        <v>#VALUE!</v>
      </c>
      <c r="X1868" s="3" t="str">
        <f>INDEX(DistFuncAllocOptions,ROW(A1868)-ROW($A$92)+1,[4]Inputs!$S$11)</f>
        <v>PLNT</v>
      </c>
      <c r="Y1868" s="116" t="e">
        <f t="shared" ref="Y1868:AC1870" si="1179">INDEX(DistFuncFactorTbl,MATCH($X1868,DistFuncFactors,0),MATCH(Y$91,DistFunctions,0))*$J1868</f>
        <v>#VALUE!</v>
      </c>
      <c r="Z1868" s="116" t="e">
        <f t="shared" si="1179"/>
        <v>#VALUE!</v>
      </c>
      <c r="AA1868" s="116" t="e">
        <f t="shared" si="1179"/>
        <v>#VALUE!</v>
      </c>
      <c r="AB1868" s="116" t="e">
        <f t="shared" si="1179"/>
        <v>#VALUE!</v>
      </c>
      <c r="AC1868" s="116" t="e">
        <f t="shared" si="1179"/>
        <v>#VALUE!</v>
      </c>
      <c r="AD1868" s="117" t="e">
        <f>ROUND(SUM(-G1868,H1868:L1868),0)</f>
        <v>#VALUE!</v>
      </c>
      <c r="AE1868" s="117" t="e">
        <f>ROUND(H1868-O1868-P1868-Q1868-R1868,0)</f>
        <v>#VALUE!</v>
      </c>
      <c r="AF1868" s="117" t="e">
        <f>ROUND(I1868-T1868-U1868-V1868-W1868,0)</f>
        <v>#VALUE!</v>
      </c>
      <c r="AG1868" s="117" t="e">
        <f>ROUND(J1868-Y1868-Z1868-AA1868-AC1868-AB1868,0)</f>
        <v>#VALUE!</v>
      </c>
      <c r="AH1868" s="116"/>
      <c r="AI1868">
        <f t="shared" si="1155"/>
        <v>18222</v>
      </c>
      <c r="AJ1868" t="str">
        <f t="shared" si="1138"/>
        <v>S</v>
      </c>
      <c r="AK1868" t="str">
        <f>IF(ISERROR(MATCH(AI1868&amp;"."&amp;AJ1868,AK$91:AK1867,0)),AI1868&amp;"."&amp;AJ1868,AI1868&amp;"."&amp;AJ1868&amp;COUNTIFS(AI$91:AI1867,AI1868,AJ$91:AJ1867,AJ1868))</f>
        <v>18222.S</v>
      </c>
    </row>
    <row r="1869" spans="1:37" ht="15" hidden="1">
      <c r="A1869" s="120">
        <f>ROW()</f>
        <v>1869</v>
      </c>
      <c r="B1869" s="120"/>
      <c r="C1869" s="1"/>
      <c r="E1869" s="121" t="s">
        <v>284</v>
      </c>
      <c r="F1869" s="138" t="str">
        <f>INDEX(FuncAllocOptions,ROW(A1869)-ROW($A$92)+1,[4]Inputs!$S$11)</f>
        <v>P</v>
      </c>
      <c r="G1869" s="117" t="e">
        <f>SUMIF(FERCJAMFactor,AK1869,JAMValue)</f>
        <v>#VALUE!</v>
      </c>
      <c r="H1869" s="116" t="e">
        <f t="shared" si="1178"/>
        <v>#VALUE!</v>
      </c>
      <c r="I1869" s="116" t="e">
        <f t="shared" si="1178"/>
        <v>#VALUE!</v>
      </c>
      <c r="J1869" s="116" t="e">
        <f t="shared" si="1178"/>
        <v>#VALUE!</v>
      </c>
      <c r="K1869" s="116" t="e">
        <f t="shared" si="1178"/>
        <v>#VALUE!</v>
      </c>
      <c r="L1869" s="116" t="e">
        <f t="shared" si="1178"/>
        <v>#VALUE!</v>
      </c>
      <c r="N1869" s="156">
        <v>0.5</v>
      </c>
      <c r="O1869" s="116" t="e">
        <f>$H1869*$N1869*$M1869</f>
        <v>#VALUE!</v>
      </c>
      <c r="P1869" s="116" t="e">
        <f>$H1869*(1-$N1869)*$M1869</f>
        <v>#VALUE!</v>
      </c>
      <c r="Q1869" s="116" t="e">
        <f>$H1869*$N1869*(1-$M1869)</f>
        <v>#VALUE!</v>
      </c>
      <c r="R1869" s="116" t="e">
        <f>$H1869*(1-$N1869)*(1-$M1869)</f>
        <v>#VALUE!</v>
      </c>
      <c r="S1869" s="156">
        <v>0.5</v>
      </c>
      <c r="T1869" s="116" t="e">
        <f>$I1869*$S1869*$M1869</f>
        <v>#VALUE!</v>
      </c>
      <c r="U1869" s="116" t="e">
        <f>$I1869*(1-$S1869)*$M1869</f>
        <v>#VALUE!</v>
      </c>
      <c r="V1869" s="116" t="e">
        <f>$I1869*$S1869*(1-$M1869)</f>
        <v>#VALUE!</v>
      </c>
      <c r="W1869" s="116" t="e">
        <f>$I1869*(1-$S1869)*(1-$M1869)</f>
        <v>#VALUE!</v>
      </c>
      <c r="X1869" s="3" t="str">
        <f>INDEX(DistFuncAllocOptions,ROW(A1869)-ROW($A$92)+1,[4]Inputs!$S$11)</f>
        <v>PLNT</v>
      </c>
      <c r="Y1869" s="116" t="e">
        <f t="shared" si="1179"/>
        <v>#VALUE!</v>
      </c>
      <c r="Z1869" s="116" t="e">
        <f t="shared" si="1179"/>
        <v>#VALUE!</v>
      </c>
      <c r="AA1869" s="116" t="e">
        <f t="shared" si="1179"/>
        <v>#VALUE!</v>
      </c>
      <c r="AB1869" s="116" t="e">
        <f t="shared" si="1179"/>
        <v>#VALUE!</v>
      </c>
      <c r="AC1869" s="116" t="e">
        <f t="shared" si="1179"/>
        <v>#VALUE!</v>
      </c>
      <c r="AD1869" s="117" t="e">
        <f>ROUND(SUM(-G1869,H1869:L1869),0)</f>
        <v>#VALUE!</v>
      </c>
      <c r="AE1869" s="117" t="e">
        <f>ROUND(H1869-O1869-P1869-Q1869-R1869,0)</f>
        <v>#VALUE!</v>
      </c>
      <c r="AF1869" s="117" t="e">
        <f>ROUND(I1869-T1869-U1869-V1869-W1869,0)</f>
        <v>#VALUE!</v>
      </c>
      <c r="AG1869" s="117" t="e">
        <f>ROUND(J1869-Y1869-Z1869-AA1869-AC1869-AB1869,0)</f>
        <v>#VALUE!</v>
      </c>
      <c r="AH1869" s="116"/>
      <c r="AI1869">
        <f t="shared" si="1155"/>
        <v>18222</v>
      </c>
      <c r="AJ1869" t="str">
        <f t="shared" si="1138"/>
        <v>TROJP</v>
      </c>
      <c r="AK1869" t="str">
        <f>IF(ISERROR(MATCH(AI1869&amp;"."&amp;AJ1869,AK$91:AK1868,0)),AI1869&amp;"."&amp;AJ1869,AI1869&amp;"."&amp;AJ1869&amp;COUNTIFS(AI$91:AI1868,AI1869,AJ$91:AJ1868,AJ1869))</f>
        <v>18222.TROJP</v>
      </c>
    </row>
    <row r="1870" spans="1:37" ht="15" hidden="1">
      <c r="A1870" s="120">
        <f>ROW()</f>
        <v>1870</v>
      </c>
      <c r="B1870" s="120"/>
      <c r="C1870" s="1"/>
      <c r="E1870" s="121" t="s">
        <v>447</v>
      </c>
      <c r="F1870" s="138" t="str">
        <f>INDEX(FuncAllocOptions,ROW(A1870)-ROW($A$92)+1,[4]Inputs!$S$11)</f>
        <v>P</v>
      </c>
      <c r="G1870" s="133" t="e">
        <f>SUMIF(FERCJAMFactor,AK1870,JAMValue)</f>
        <v>#VALUE!</v>
      </c>
      <c r="H1870" s="139" t="e">
        <f t="shared" si="1178"/>
        <v>#VALUE!</v>
      </c>
      <c r="I1870" s="139" t="e">
        <f t="shared" si="1178"/>
        <v>#VALUE!</v>
      </c>
      <c r="J1870" s="139" t="e">
        <f t="shared" si="1178"/>
        <v>#VALUE!</v>
      </c>
      <c r="K1870" s="139" t="e">
        <f t="shared" si="1178"/>
        <v>#VALUE!</v>
      </c>
      <c r="L1870" s="139" t="e">
        <f t="shared" si="1178"/>
        <v>#VALUE!</v>
      </c>
      <c r="N1870" s="156">
        <v>0.5</v>
      </c>
      <c r="O1870" s="116" t="e">
        <f>$H1870*$N1870*$M1870</f>
        <v>#VALUE!</v>
      </c>
      <c r="P1870" s="116" t="e">
        <f>$H1870*(1-$N1870)*$M1870</f>
        <v>#VALUE!</v>
      </c>
      <c r="Q1870" s="116" t="e">
        <f>$H1870*$N1870*(1-$M1870)</f>
        <v>#VALUE!</v>
      </c>
      <c r="R1870" s="116" t="e">
        <f>$H1870*(1-$N1870)*(1-$M1870)</f>
        <v>#VALUE!</v>
      </c>
      <c r="S1870" s="156">
        <v>0.5</v>
      </c>
      <c r="T1870" s="116" t="e">
        <f>$I1870*$S1870*$M1870</f>
        <v>#VALUE!</v>
      </c>
      <c r="U1870" s="116" t="e">
        <f>$I1870*(1-$S1870)*$M1870</f>
        <v>#VALUE!</v>
      </c>
      <c r="V1870" s="116" t="e">
        <f>$I1870*$S1870*(1-$M1870)</f>
        <v>#VALUE!</v>
      </c>
      <c r="W1870" s="116" t="e">
        <f>$I1870*(1-$S1870)*(1-$M1870)</f>
        <v>#VALUE!</v>
      </c>
      <c r="X1870" s="3" t="str">
        <f>INDEX(DistFuncAllocOptions,ROW(A1870)-ROW($A$92)+1,[4]Inputs!$S$11)</f>
        <v>PLNT</v>
      </c>
      <c r="Y1870" s="116" t="e">
        <f t="shared" si="1179"/>
        <v>#VALUE!</v>
      </c>
      <c r="Z1870" s="116" t="e">
        <f t="shared" si="1179"/>
        <v>#VALUE!</v>
      </c>
      <c r="AA1870" s="116" t="e">
        <f t="shared" si="1179"/>
        <v>#VALUE!</v>
      </c>
      <c r="AB1870" s="116" t="e">
        <f t="shared" si="1179"/>
        <v>#VALUE!</v>
      </c>
      <c r="AC1870" s="116" t="e">
        <f t="shared" si="1179"/>
        <v>#VALUE!</v>
      </c>
      <c r="AD1870" s="117" t="e">
        <f>ROUND(SUM(-G1870,H1870:L1870),0)</f>
        <v>#VALUE!</v>
      </c>
      <c r="AE1870" s="117" t="e">
        <f>ROUND(H1870-O1870-P1870-Q1870-R1870,0)</f>
        <v>#VALUE!</v>
      </c>
      <c r="AF1870" s="117" t="e">
        <f>ROUND(I1870-T1870-U1870-V1870-W1870,0)</f>
        <v>#VALUE!</v>
      </c>
      <c r="AG1870" s="117" t="e">
        <f>ROUND(J1870-Y1870-Z1870-AA1870-AC1870-AB1870,0)</f>
        <v>#VALUE!</v>
      </c>
      <c r="AH1870" s="116"/>
      <c r="AI1870">
        <f t="shared" si="1155"/>
        <v>18222</v>
      </c>
      <c r="AJ1870" t="str">
        <f t="shared" si="1138"/>
        <v>TROJD</v>
      </c>
      <c r="AK1870" t="str">
        <f>IF(ISERROR(MATCH(AI1870&amp;"."&amp;AJ1870,AK$91:AK1869,0)),AI1870&amp;"."&amp;AJ1870,AI1870&amp;"."&amp;AJ1870&amp;COUNTIFS(AI$91:AI1869,AI1870,AJ$91:AJ1869,AJ1870))</f>
        <v>18222.TROJD</v>
      </c>
    </row>
    <row r="1871" spans="1:37" ht="15" hidden="1">
      <c r="A1871" s="120">
        <f>ROW()</f>
        <v>1871</v>
      </c>
      <c r="B1871" s="120"/>
      <c r="C1871" s="1"/>
      <c r="E1871" s="121"/>
      <c r="F1871" s="138"/>
      <c r="G1871" s="117" t="e">
        <f t="shared" ref="G1871:L1871" si="1180">SUM(G1868:G1870)</f>
        <v>#VALUE!</v>
      </c>
      <c r="H1871" s="116" t="e">
        <f t="shared" si="1180"/>
        <v>#VALUE!</v>
      </c>
      <c r="I1871" s="116" t="e">
        <f t="shared" si="1180"/>
        <v>#VALUE!</v>
      </c>
      <c r="J1871" s="116" t="e">
        <f t="shared" si="1180"/>
        <v>#VALUE!</v>
      </c>
      <c r="K1871" s="116" t="e">
        <f t="shared" si="1180"/>
        <v>#VALUE!</v>
      </c>
      <c r="L1871" s="116" t="e">
        <f t="shared" si="1180"/>
        <v>#VALUE!</v>
      </c>
      <c r="O1871" s="116" t="e">
        <f>SUM(O1868:O1870)</f>
        <v>#VALUE!</v>
      </c>
      <c r="P1871" s="116" t="e">
        <f>SUM(P1868:P1870)</f>
        <v>#VALUE!</v>
      </c>
      <c r="Q1871" s="116" t="e">
        <f>SUM(Q1868:Q1870)</f>
        <v>#VALUE!</v>
      </c>
      <c r="R1871" s="116" t="e">
        <f>SUM(R1868:R1870)</f>
        <v>#VALUE!</v>
      </c>
      <c r="T1871" s="116" t="e">
        <f>SUM(T1868:T1870)</f>
        <v>#VALUE!</v>
      </c>
      <c r="U1871" s="116" t="e">
        <f>SUM(U1868:U1870)</f>
        <v>#VALUE!</v>
      </c>
      <c r="V1871" s="116" t="e">
        <f>SUM(V1868:V1870)</f>
        <v>#VALUE!</v>
      </c>
      <c r="W1871" s="116" t="e">
        <f>SUM(W1868:W1870)</f>
        <v>#VALUE!</v>
      </c>
      <c r="X1871" s="3"/>
      <c r="Y1871" s="116" t="e">
        <f>SUM(Y1868:Y1870)</f>
        <v>#VALUE!</v>
      </c>
      <c r="Z1871" s="116" t="e">
        <f>SUM(Z1868:Z1870)</f>
        <v>#VALUE!</v>
      </c>
      <c r="AA1871" s="116" t="e">
        <f>SUM(AA1868:AA1870)</f>
        <v>#VALUE!</v>
      </c>
      <c r="AB1871" s="116" t="e">
        <f>SUM(AB1868:AB1870)</f>
        <v>#VALUE!</v>
      </c>
      <c r="AC1871" s="116" t="e">
        <f>SUM(AC1868:AC1870)</f>
        <v>#VALUE!</v>
      </c>
      <c r="AD1871" s="117" t="e">
        <f>ROUND(SUM(-G1871,H1871:L1871),0)</f>
        <v>#VALUE!</v>
      </c>
      <c r="AE1871" s="117" t="e">
        <f>ROUND(H1871-O1871-P1871-Q1871-R1871,0)</f>
        <v>#VALUE!</v>
      </c>
      <c r="AF1871" s="117" t="e">
        <f>ROUND(I1871-T1871-U1871-V1871-W1871,0)</f>
        <v>#VALUE!</v>
      </c>
      <c r="AG1871" s="117" t="e">
        <f>ROUND(J1871-Y1871-Z1871-AA1871-AC1871-AB1871,0)</f>
        <v>#VALUE!</v>
      </c>
      <c r="AH1871" s="116"/>
      <c r="AI1871">
        <f t="shared" si="1155"/>
        <v>18222</v>
      </c>
      <c r="AJ1871" t="str">
        <f t="shared" si="1138"/>
        <v>NA</v>
      </c>
      <c r="AK1871" t="str">
        <f>IF(ISERROR(MATCH(AI1871&amp;"."&amp;AJ1871,AK$91:AK1870,0)),AI1871&amp;"."&amp;AJ1871,AI1871&amp;"."&amp;AJ1871&amp;COUNTIFS(AI$91:AI1870,AI1871,AJ$91:AJ1870,AJ1871))</f>
        <v>18222.NA1</v>
      </c>
    </row>
    <row r="1872" spans="1:37" ht="15" hidden="1">
      <c r="A1872" s="120">
        <f>ROW()</f>
        <v>1872</v>
      </c>
      <c r="B1872" s="120"/>
      <c r="C1872" s="1"/>
      <c r="E1872" s="121"/>
      <c r="F1872" s="138"/>
      <c r="G1872" s="119"/>
      <c r="X1872" s="3"/>
      <c r="AD1872" s="119"/>
      <c r="AE1872" s="119"/>
      <c r="AF1872" s="119"/>
      <c r="AG1872" s="119"/>
      <c r="AI1872">
        <f t="shared" si="1155"/>
        <v>18222</v>
      </c>
      <c r="AJ1872" t="str">
        <f t="shared" si="1138"/>
        <v>NA</v>
      </c>
      <c r="AK1872" t="str">
        <f>IF(ISERROR(MATCH(AI1872&amp;"."&amp;AJ1872,AK$91:AK1871,0)),AI1872&amp;"."&amp;AJ1872,AI1872&amp;"."&amp;AJ1872&amp;COUNTIFS(AI$91:AI1871,AI1872,AJ$91:AJ1871,AJ1872))</f>
        <v>18222.NA2</v>
      </c>
    </row>
    <row r="1873" spans="1:37" ht="15" hidden="1">
      <c r="A1873" s="120">
        <f>ROW()</f>
        <v>1873</v>
      </c>
      <c r="B1873" s="120"/>
      <c r="C1873" s="1">
        <v>1869</v>
      </c>
      <c r="D1873" s="2" t="s">
        <v>640</v>
      </c>
      <c r="E1873" s="121"/>
      <c r="F1873" s="138"/>
      <c r="G1873" s="119"/>
      <c r="X1873" s="3"/>
      <c r="AD1873" s="119"/>
      <c r="AE1873" s="119"/>
      <c r="AF1873" s="119"/>
      <c r="AG1873" s="119"/>
      <c r="AI1873">
        <f t="shared" si="1155"/>
        <v>1869</v>
      </c>
      <c r="AJ1873" t="str">
        <f t="shared" si="1138"/>
        <v>NA</v>
      </c>
      <c r="AK1873" t="str">
        <f>IF(ISERROR(MATCH(AI1873&amp;"."&amp;AJ1873,AK$91:AK1872,0)),AI1873&amp;"."&amp;AJ1873,AI1873&amp;"."&amp;AJ1873&amp;COUNTIFS(AI$91:AI1872,AI1873,AJ$91:AJ1872,AJ1873))</f>
        <v>1869.NA</v>
      </c>
    </row>
    <row r="1874" spans="1:37" ht="15" hidden="1">
      <c r="A1874" s="120">
        <f>ROW()</f>
        <v>1874</v>
      </c>
      <c r="B1874" s="120"/>
      <c r="C1874" s="1"/>
      <c r="E1874" s="121" t="s">
        <v>12</v>
      </c>
      <c r="F1874" s="138" t="str">
        <f>INDEX(FuncAllocOptions,ROW(A1874)-ROW($A$92)+1,[4]Inputs!$S$11)</f>
        <v>P</v>
      </c>
      <c r="G1874" s="117" t="e">
        <f>SUMIF(FERCJAMFactor,AK1874,JAMValue)</f>
        <v>#VALUE!</v>
      </c>
      <c r="H1874" s="116" t="e">
        <f t="shared" ref="H1874:L1875" si="1181">INDEX(FuncFactorTbl,MATCH($F1874,FuncFactors,0),MATCH(H$8,Functions,0))*$G1874</f>
        <v>#VALUE!</v>
      </c>
      <c r="I1874" s="116" t="e">
        <f t="shared" si="1181"/>
        <v>#VALUE!</v>
      </c>
      <c r="J1874" s="116" t="e">
        <f t="shared" si="1181"/>
        <v>#VALUE!</v>
      </c>
      <c r="K1874" s="116" t="e">
        <f t="shared" si="1181"/>
        <v>#VALUE!</v>
      </c>
      <c r="L1874" s="116" t="e">
        <f t="shared" si="1181"/>
        <v>#VALUE!</v>
      </c>
      <c r="N1874" s="108">
        <v>0.75</v>
      </c>
      <c r="O1874" s="116" t="e">
        <f>$H1874*$N1874*$M1874</f>
        <v>#VALUE!</v>
      </c>
      <c r="P1874" s="116" t="e">
        <f>$H1874*(1-$N1874)*$M1874</f>
        <v>#VALUE!</v>
      </c>
      <c r="Q1874" s="116" t="e">
        <f>$H1874*$N1874*(1-$M1874)</f>
        <v>#VALUE!</v>
      </c>
      <c r="R1874" s="116" t="e">
        <f>$H1874*(1-$N1874)*(1-$M1874)</f>
        <v>#VALUE!</v>
      </c>
      <c r="S1874" s="108">
        <v>0.75</v>
      </c>
      <c r="T1874" s="116" t="e">
        <f>$I1874*$S1874*$M1874</f>
        <v>#VALUE!</v>
      </c>
      <c r="U1874" s="116" t="e">
        <f>$I1874*(1-$S1874)*$M1874</f>
        <v>#VALUE!</v>
      </c>
      <c r="V1874" s="116" t="e">
        <f>$I1874*$S1874*(1-$M1874)</f>
        <v>#VALUE!</v>
      </c>
      <c r="W1874" s="116" t="e">
        <f>$I1874*(1-$S1874)*(1-$M1874)</f>
        <v>#VALUE!</v>
      </c>
      <c r="X1874" s="3" t="str">
        <f>INDEX(DistFuncAllocOptions,ROW(A1874)-ROW($A$92)+1,[4]Inputs!$S$11)</f>
        <v>PLNT</v>
      </c>
      <c r="Y1874" s="116" t="e">
        <f t="shared" ref="Y1874:AC1875" si="1182">INDEX(DistFuncFactorTbl,MATCH($X1874,DistFuncFactors,0),MATCH(Y$91,DistFunctions,0))*$J1874</f>
        <v>#VALUE!</v>
      </c>
      <c r="Z1874" s="116" t="e">
        <f t="shared" si="1182"/>
        <v>#VALUE!</v>
      </c>
      <c r="AA1874" s="116" t="e">
        <f t="shared" si="1182"/>
        <v>#VALUE!</v>
      </c>
      <c r="AB1874" s="116" t="e">
        <f t="shared" si="1182"/>
        <v>#VALUE!</v>
      </c>
      <c r="AC1874" s="116" t="e">
        <f t="shared" si="1182"/>
        <v>#VALUE!</v>
      </c>
      <c r="AD1874" s="117" t="e">
        <f>ROUND(SUM(-G1874,H1874:L1874),0)</f>
        <v>#VALUE!</v>
      </c>
      <c r="AE1874" s="117" t="e">
        <f>ROUND(H1874-O1874-P1874-Q1874-R1874,0)</f>
        <v>#VALUE!</v>
      </c>
      <c r="AF1874" s="117" t="e">
        <f>ROUND(I1874-T1874-U1874-V1874-W1874,0)</f>
        <v>#VALUE!</v>
      </c>
      <c r="AG1874" s="117" t="e">
        <f>ROUND(J1874-Y1874-Z1874-AA1874-AC1874-AB1874,0)</f>
        <v>#VALUE!</v>
      </c>
      <c r="AH1874" s="116"/>
      <c r="AI1874">
        <f t="shared" si="1155"/>
        <v>1869</v>
      </c>
      <c r="AJ1874" t="str">
        <f t="shared" si="1138"/>
        <v>S</v>
      </c>
      <c r="AK1874" t="str">
        <f>IF(ISERROR(MATCH(AI1874&amp;"."&amp;AJ1874,AK$91:AK1873,0)),AI1874&amp;"."&amp;AJ1874,AI1874&amp;"."&amp;AJ1874&amp;COUNTIFS(AI$91:AI1873,AI1874,AJ$91:AJ1873,AJ1874))</f>
        <v>1869.S</v>
      </c>
    </row>
    <row r="1875" spans="1:37" ht="15" hidden="1">
      <c r="A1875" s="120">
        <f>ROW()</f>
        <v>1875</v>
      </c>
      <c r="B1875" s="120"/>
      <c r="C1875" s="1"/>
      <c r="E1875" s="121" t="s">
        <v>727</v>
      </c>
      <c r="F1875" s="138" t="str">
        <f>INDEX(FuncAllocOptions,ROW(A1875)-ROW($A$92)+1,[4]Inputs!$S$11)</f>
        <v>P</v>
      </c>
      <c r="G1875" s="133" t="e">
        <f>SUMIF(FERCJAMFactor,AK1875,JAMValue)</f>
        <v>#VALUE!</v>
      </c>
      <c r="H1875" s="139" t="e">
        <f t="shared" si="1181"/>
        <v>#VALUE!</v>
      </c>
      <c r="I1875" s="139" t="e">
        <f t="shared" si="1181"/>
        <v>#VALUE!</v>
      </c>
      <c r="J1875" s="139" t="e">
        <f t="shared" si="1181"/>
        <v>#VALUE!</v>
      </c>
      <c r="K1875" s="139" t="e">
        <f t="shared" si="1181"/>
        <v>#VALUE!</v>
      </c>
      <c r="L1875" s="139" t="e">
        <f t="shared" si="1181"/>
        <v>#VALUE!</v>
      </c>
      <c r="N1875" s="108">
        <v>0.75</v>
      </c>
      <c r="O1875" s="116" t="e">
        <f>$H1875*$N1875*$M1875</f>
        <v>#VALUE!</v>
      </c>
      <c r="P1875" s="116" t="e">
        <f>$H1875*(1-$N1875)*$M1875</f>
        <v>#VALUE!</v>
      </c>
      <c r="Q1875" s="116" t="e">
        <f>$H1875*$N1875*(1-$M1875)</f>
        <v>#VALUE!</v>
      </c>
      <c r="R1875" s="116" t="e">
        <f>$H1875*(1-$N1875)*(1-$M1875)</f>
        <v>#VALUE!</v>
      </c>
      <c r="S1875" s="108">
        <v>0.75</v>
      </c>
      <c r="T1875" s="116" t="e">
        <f>$I1875*$S1875*$M1875</f>
        <v>#VALUE!</v>
      </c>
      <c r="U1875" s="116" t="e">
        <f>$I1875*(1-$S1875)*$M1875</f>
        <v>#VALUE!</v>
      </c>
      <c r="V1875" s="116" t="e">
        <f>$I1875*$S1875*(1-$M1875)</f>
        <v>#VALUE!</v>
      </c>
      <c r="W1875" s="116" t="e">
        <f>$I1875*(1-$S1875)*(1-$M1875)</f>
        <v>#VALUE!</v>
      </c>
      <c r="X1875" s="3" t="str">
        <f>INDEX(DistFuncAllocOptions,ROW(A1875)-ROW($A$92)+1,[4]Inputs!$S$11)</f>
        <v>PLNT</v>
      </c>
      <c r="Y1875" s="116" t="e">
        <f t="shared" si="1182"/>
        <v>#VALUE!</v>
      </c>
      <c r="Z1875" s="116" t="e">
        <f t="shared" si="1182"/>
        <v>#VALUE!</v>
      </c>
      <c r="AA1875" s="116" t="e">
        <f t="shared" si="1182"/>
        <v>#VALUE!</v>
      </c>
      <c r="AB1875" s="116" t="e">
        <f t="shared" si="1182"/>
        <v>#VALUE!</v>
      </c>
      <c r="AC1875" s="116" t="e">
        <f t="shared" si="1182"/>
        <v>#VALUE!</v>
      </c>
      <c r="AD1875" s="117" t="e">
        <f>ROUND(SUM(-G1875,H1875:L1875),0)</f>
        <v>#VALUE!</v>
      </c>
      <c r="AE1875" s="117" t="e">
        <f>ROUND(H1875-O1875-P1875-Q1875-R1875,0)</f>
        <v>#VALUE!</v>
      </c>
      <c r="AF1875" s="117" t="e">
        <f>ROUND(I1875-T1875-U1875-V1875-W1875,0)</f>
        <v>#VALUE!</v>
      </c>
      <c r="AG1875" s="117" t="e">
        <f>ROUND(J1875-Y1875-Z1875-AA1875-AC1875-AB1875,0)</f>
        <v>#VALUE!</v>
      </c>
      <c r="AH1875" s="116"/>
      <c r="AI1875">
        <f t="shared" si="1155"/>
        <v>1869</v>
      </c>
      <c r="AJ1875" t="str">
        <f t="shared" si="1138"/>
        <v>SNPPN</v>
      </c>
      <c r="AK1875" t="str">
        <f>IF(ISERROR(MATCH(AI1875&amp;"."&amp;AJ1875,AK$91:AK1874,0)),AI1875&amp;"."&amp;AJ1875,AI1875&amp;"."&amp;AJ1875&amp;COUNTIFS(AI$91:AI1874,AI1875,AJ$91:AJ1874,AJ1875))</f>
        <v>1869.SNPPN</v>
      </c>
    </row>
    <row r="1876" spans="1:37" ht="15" hidden="1">
      <c r="A1876" s="120">
        <f>ROW()</f>
        <v>1876</v>
      </c>
      <c r="B1876" s="120"/>
      <c r="C1876" s="1"/>
      <c r="E1876" s="121"/>
      <c r="F1876" s="138"/>
      <c r="G1876" s="117" t="e">
        <f t="shared" ref="G1876:L1876" si="1183">SUM(G1874:G1875)</f>
        <v>#VALUE!</v>
      </c>
      <c r="H1876" s="116" t="e">
        <f t="shared" si="1183"/>
        <v>#VALUE!</v>
      </c>
      <c r="I1876" s="116" t="e">
        <f t="shared" si="1183"/>
        <v>#VALUE!</v>
      </c>
      <c r="J1876" s="116" t="e">
        <f t="shared" si="1183"/>
        <v>#VALUE!</v>
      </c>
      <c r="K1876" s="116" t="e">
        <f t="shared" si="1183"/>
        <v>#VALUE!</v>
      </c>
      <c r="L1876" s="116" t="e">
        <f t="shared" si="1183"/>
        <v>#VALUE!</v>
      </c>
      <c r="O1876" s="116" t="e">
        <f>SUM(O1874:O1875)</f>
        <v>#VALUE!</v>
      </c>
      <c r="P1876" s="116" t="e">
        <f>SUM(P1874:P1875)</f>
        <v>#VALUE!</v>
      </c>
      <c r="Q1876" s="116" t="e">
        <f>SUM(Q1874:Q1875)</f>
        <v>#VALUE!</v>
      </c>
      <c r="R1876" s="116" t="e">
        <f>SUM(R1874:R1875)</f>
        <v>#VALUE!</v>
      </c>
      <c r="T1876" s="116" t="e">
        <f>SUM(T1874:T1875)</f>
        <v>#VALUE!</v>
      </c>
      <c r="U1876" s="116" t="e">
        <f>SUM(U1874:U1875)</f>
        <v>#VALUE!</v>
      </c>
      <c r="V1876" s="116" t="e">
        <f>SUM(V1874:V1875)</f>
        <v>#VALUE!</v>
      </c>
      <c r="W1876" s="116" t="e">
        <f>SUM(W1874:W1875)</f>
        <v>#VALUE!</v>
      </c>
      <c r="X1876" s="3"/>
      <c r="Y1876" s="116" t="e">
        <f>SUM(Y1874:Y1875)</f>
        <v>#VALUE!</v>
      </c>
      <c r="Z1876" s="116" t="e">
        <f>SUM(Z1874:Z1875)</f>
        <v>#VALUE!</v>
      </c>
      <c r="AA1876" s="116" t="e">
        <f>SUM(AA1874:AA1875)</f>
        <v>#VALUE!</v>
      </c>
      <c r="AB1876" s="116" t="e">
        <f>SUM(AB1874:AB1875)</f>
        <v>#VALUE!</v>
      </c>
      <c r="AC1876" s="116" t="e">
        <f>SUM(AC1874:AC1875)</f>
        <v>#VALUE!</v>
      </c>
      <c r="AD1876" s="117" t="e">
        <f>ROUND(SUM(-G1876,H1876:L1876),0)</f>
        <v>#VALUE!</v>
      </c>
      <c r="AE1876" s="117" t="e">
        <f>ROUND(H1876-O1876-P1876-Q1876-R1876,0)</f>
        <v>#VALUE!</v>
      </c>
      <c r="AF1876" s="117" t="e">
        <f>ROUND(I1876-T1876-U1876-V1876-W1876,0)</f>
        <v>#VALUE!</v>
      </c>
      <c r="AG1876" s="117" t="e">
        <f>ROUND(J1876-Y1876-Z1876-AA1876-AC1876-AB1876,0)</f>
        <v>#VALUE!</v>
      </c>
      <c r="AH1876" s="116"/>
      <c r="AI1876">
        <f t="shared" si="1155"/>
        <v>1869</v>
      </c>
      <c r="AJ1876" t="str">
        <f t="shared" si="1138"/>
        <v>NA</v>
      </c>
      <c r="AK1876" t="str">
        <f>IF(ISERROR(MATCH(AI1876&amp;"."&amp;AJ1876,AK$91:AK1875,0)),AI1876&amp;"."&amp;AJ1876,AI1876&amp;"."&amp;AJ1876&amp;COUNTIFS(AI$91:AI1875,AI1876,AJ$91:AJ1875,AJ1876))</f>
        <v>1869.NA1</v>
      </c>
    </row>
    <row r="1877" spans="1:37" ht="15" hidden="1">
      <c r="A1877" s="120">
        <f>ROW()</f>
        <v>1877</v>
      </c>
      <c r="B1877" s="120"/>
      <c r="C1877" s="1"/>
      <c r="E1877" s="121"/>
      <c r="F1877" s="138"/>
      <c r="G1877" s="119"/>
      <c r="M1877" s="2"/>
      <c r="X1877" s="3"/>
      <c r="AD1877" s="119"/>
      <c r="AE1877" s="119"/>
      <c r="AF1877" s="119"/>
      <c r="AG1877" s="119"/>
      <c r="AI1877">
        <f t="shared" si="1155"/>
        <v>1869</v>
      </c>
      <c r="AJ1877" t="str">
        <f t="shared" si="1138"/>
        <v>NA</v>
      </c>
      <c r="AK1877" t="str">
        <f>IF(ISERROR(MATCH(AI1877&amp;"."&amp;AJ1877,AK$91:AK1876,0)),AI1877&amp;"."&amp;AJ1877,AI1877&amp;"."&amp;AJ1877&amp;COUNTIFS(AI$91:AI1876,AI1877,AJ$91:AJ1876,AJ1877))</f>
        <v>1869.NA2</v>
      </c>
    </row>
    <row r="1878" spans="1:37" ht="15" hidden="1">
      <c r="A1878" s="120">
        <f>ROW()</f>
        <v>1878</v>
      </c>
      <c r="B1878" s="120"/>
      <c r="C1878" s="1">
        <v>141</v>
      </c>
      <c r="D1878" s="2" t="s">
        <v>726</v>
      </c>
      <c r="E1878" s="121"/>
      <c r="F1878" s="138"/>
      <c r="G1878" s="119"/>
      <c r="X1878" s="3"/>
      <c r="AD1878" s="119"/>
      <c r="AE1878" s="119"/>
      <c r="AF1878" s="119"/>
      <c r="AG1878" s="119"/>
      <c r="AI1878">
        <f t="shared" si="1155"/>
        <v>141</v>
      </c>
      <c r="AJ1878" t="str">
        <f t="shared" si="1138"/>
        <v>NA</v>
      </c>
      <c r="AK1878" t="str">
        <f>IF(ISERROR(MATCH(AI1878&amp;"."&amp;AJ1878,AK$91:AK1877,0)),AI1878&amp;"."&amp;AJ1878,AI1878&amp;"."&amp;AJ1878&amp;COUNTIFS(AI$91:AI1877,AI1878,AJ$91:AJ1877,AJ1878))</f>
        <v>141.NA</v>
      </c>
    </row>
    <row r="1879" spans="1:37" ht="15" hidden="1">
      <c r="A1879" s="120">
        <f>ROW()</f>
        <v>1879</v>
      </c>
      <c r="B1879" s="120"/>
      <c r="E1879" s="121" t="s">
        <v>15</v>
      </c>
      <c r="F1879" s="138" t="str">
        <f>INDEX(FuncAllocOptions,ROW(A1879)-ROW($A$92)+1,[4]Inputs!$S$11)</f>
        <v>P</v>
      </c>
      <c r="G1879" s="133" t="e">
        <f>SUMIF(FERCJAMFactor,AK1879,JAMValue)</f>
        <v>#VALUE!</v>
      </c>
      <c r="H1879" s="139" t="e">
        <f>INDEX(FuncFactorTbl,MATCH($F1879,FuncFactors,0),MATCH(H$8,Functions,0))*$G1879</f>
        <v>#VALUE!</v>
      </c>
      <c r="I1879" s="139" t="e">
        <f>INDEX(FuncFactorTbl,MATCH($F1879,FuncFactors,0),MATCH(I$8,Functions,0))*$G1879</f>
        <v>#VALUE!</v>
      </c>
      <c r="J1879" s="139" t="e">
        <f>INDEX(FuncFactorTbl,MATCH($F1879,FuncFactors,0),MATCH(J$8,Functions,0))*$G1879</f>
        <v>#VALUE!</v>
      </c>
      <c r="K1879" s="139" t="e">
        <f>INDEX(FuncFactorTbl,MATCH($F1879,FuncFactors,0),MATCH(K$8,Functions,0))*$G1879</f>
        <v>#VALUE!</v>
      </c>
      <c r="L1879" s="139" t="e">
        <f>INDEX(FuncFactorTbl,MATCH($F1879,FuncFactors,0),MATCH(L$8,Functions,0))*$G1879</f>
        <v>#VALUE!</v>
      </c>
      <c r="N1879" s="108">
        <v>0</v>
      </c>
      <c r="O1879" s="116" t="e">
        <f>$H1879*$N1879*$M1879</f>
        <v>#VALUE!</v>
      </c>
      <c r="P1879" s="116" t="e">
        <f>$H1879*(1-$N1879)*$M1879</f>
        <v>#VALUE!</v>
      </c>
      <c r="Q1879" s="116" t="e">
        <f>$H1879*$N1879*(1-$M1879)</f>
        <v>#VALUE!</v>
      </c>
      <c r="R1879" s="116" t="e">
        <f>$H1879*(1-$N1879)*(1-$M1879)</f>
        <v>#VALUE!</v>
      </c>
      <c r="S1879" s="108">
        <v>0</v>
      </c>
      <c r="T1879" s="116" t="e">
        <f>$I1879*$S1879*$M1879</f>
        <v>#VALUE!</v>
      </c>
      <c r="U1879" s="116" t="e">
        <f>$I1879*(1-$S1879)*$M1879</f>
        <v>#VALUE!</v>
      </c>
      <c r="V1879" s="116" t="e">
        <f>$I1879*$S1879*(1-$M1879)</f>
        <v>#VALUE!</v>
      </c>
      <c r="W1879" s="116" t="e">
        <f>$I1879*(1-$S1879)*(1-$M1879)</f>
        <v>#VALUE!</v>
      </c>
      <c r="X1879" s="3" t="str">
        <f>INDEX(DistFuncAllocOptions,ROW(A1879)-ROW($A$92)+1,[4]Inputs!$S$11)</f>
        <v>PLNT</v>
      </c>
      <c r="Y1879" s="116" t="e">
        <f>INDEX(DistFuncFactorTbl,MATCH($X1879,DistFuncFactors,0),MATCH(Y$91,DistFunctions,0))*$J1879</f>
        <v>#VALUE!</v>
      </c>
      <c r="Z1879" s="116" t="e">
        <f>INDEX(DistFuncFactorTbl,MATCH($X1879,DistFuncFactors,0),MATCH(Z$91,DistFunctions,0))*$J1879</f>
        <v>#VALUE!</v>
      </c>
      <c r="AA1879" s="116" t="e">
        <f>INDEX(DistFuncFactorTbl,MATCH($X1879,DistFuncFactors,0),MATCH(AA$91,DistFunctions,0))*$J1879</f>
        <v>#VALUE!</v>
      </c>
      <c r="AB1879" s="116" t="e">
        <f>INDEX(DistFuncFactorTbl,MATCH($X1879,DistFuncFactors,0),MATCH(AB$91,DistFunctions,0))*$J1879</f>
        <v>#VALUE!</v>
      </c>
      <c r="AC1879" s="116" t="e">
        <f>INDEX(DistFuncFactorTbl,MATCH($X1879,DistFuncFactors,0),MATCH(AC$91,DistFunctions,0))*$J1879</f>
        <v>#VALUE!</v>
      </c>
      <c r="AD1879" s="117" t="e">
        <f>ROUND(SUM(-G1879,H1879:L1879),0)</f>
        <v>#VALUE!</v>
      </c>
      <c r="AE1879" s="117" t="e">
        <f>ROUND(H1879-O1879-P1879-Q1879-R1879,0)</f>
        <v>#VALUE!</v>
      </c>
      <c r="AF1879" s="117" t="e">
        <f>ROUND(I1879-T1879-U1879-V1879-W1879,0)</f>
        <v>#VALUE!</v>
      </c>
      <c r="AG1879" s="117" t="e">
        <f>ROUND(J1879-Y1879-Z1879-AA1879-AC1879-AB1879,0)</f>
        <v>#VALUE!</v>
      </c>
      <c r="AH1879" s="116"/>
      <c r="AI1879">
        <f t="shared" si="1155"/>
        <v>141</v>
      </c>
      <c r="AJ1879" t="str">
        <f t="shared" si="1138"/>
        <v>SG</v>
      </c>
      <c r="AK1879" t="str">
        <f>IF(ISERROR(MATCH(AI1879&amp;"."&amp;AJ1879,AK$91:AK1878,0)),AI1879&amp;"."&amp;AJ1879,AI1879&amp;"."&amp;AJ1879&amp;COUNTIFS(AI$91:AI1878,AI1879,AJ$91:AJ1878,AJ1879))</f>
        <v>141.SG</v>
      </c>
    </row>
    <row r="1880" spans="1:37" ht="15" hidden="1">
      <c r="A1880" s="120">
        <f>ROW()</f>
        <v>1880</v>
      </c>
      <c r="B1880" s="120"/>
      <c r="E1880" s="121"/>
      <c r="F1880" s="138"/>
      <c r="G1880" s="119"/>
      <c r="X1880" s="3"/>
      <c r="AD1880" s="119"/>
      <c r="AE1880" s="119"/>
      <c r="AF1880" s="119"/>
      <c r="AG1880" s="119"/>
      <c r="AI1880">
        <f t="shared" si="1155"/>
        <v>141</v>
      </c>
      <c r="AJ1880" t="str">
        <f t="shared" si="1138"/>
        <v>NA</v>
      </c>
      <c r="AK1880" t="str">
        <f>IF(ISERROR(MATCH(AI1880&amp;"."&amp;AJ1880,AK$91:AK1879,0)),AI1880&amp;"."&amp;AJ1880,AI1880&amp;"."&amp;AJ1880&amp;COUNTIFS(AI$91:AI1879,AI1880,AJ$91:AJ1879,AJ1880))</f>
        <v>141.NA1</v>
      </c>
    </row>
    <row r="1881" spans="1:37" ht="15" hidden="1">
      <c r="A1881" s="120">
        <f>ROW()</f>
        <v>1881</v>
      </c>
      <c r="B1881" s="120"/>
      <c r="E1881" s="121"/>
      <c r="F1881" s="138"/>
      <c r="G1881" s="117" t="e">
        <f t="shared" ref="G1881:L1881" si="1184">SUM(G1879)</f>
        <v>#VALUE!</v>
      </c>
      <c r="H1881" s="116" t="e">
        <f t="shared" si="1184"/>
        <v>#VALUE!</v>
      </c>
      <c r="I1881" s="116" t="e">
        <f t="shared" si="1184"/>
        <v>#VALUE!</v>
      </c>
      <c r="J1881" s="116" t="e">
        <f t="shared" si="1184"/>
        <v>#VALUE!</v>
      </c>
      <c r="K1881" s="116" t="e">
        <f t="shared" si="1184"/>
        <v>#VALUE!</v>
      </c>
      <c r="L1881" s="116" t="e">
        <f t="shared" si="1184"/>
        <v>#VALUE!</v>
      </c>
      <c r="O1881" s="116" t="e">
        <f>SUM(O1879)</f>
        <v>#VALUE!</v>
      </c>
      <c r="P1881" s="116" t="e">
        <f>SUM(P1879)</f>
        <v>#VALUE!</v>
      </c>
      <c r="Q1881" s="116"/>
      <c r="R1881" s="116"/>
      <c r="T1881" s="116" t="e">
        <f>SUM(T1879)</f>
        <v>#VALUE!</v>
      </c>
      <c r="U1881" s="116" t="e">
        <f>SUM(U1879)</f>
        <v>#VALUE!</v>
      </c>
      <c r="V1881" s="116" t="e">
        <f>SUM(V1879)</f>
        <v>#VALUE!</v>
      </c>
      <c r="W1881" s="116" t="e">
        <f>SUM(W1879)</f>
        <v>#VALUE!</v>
      </c>
      <c r="X1881" s="3"/>
      <c r="Y1881" s="116" t="e">
        <f>SUM(Y1879)</f>
        <v>#VALUE!</v>
      </c>
      <c r="Z1881" s="116" t="e">
        <f>SUM(Z1879)</f>
        <v>#VALUE!</v>
      </c>
      <c r="AA1881" s="116" t="e">
        <f>SUM(AA1879)</f>
        <v>#VALUE!</v>
      </c>
      <c r="AB1881" s="116" t="e">
        <f>SUM(AB1879)</f>
        <v>#VALUE!</v>
      </c>
      <c r="AC1881" s="116" t="e">
        <f>SUM(AC1879)</f>
        <v>#VALUE!</v>
      </c>
      <c r="AD1881" s="117" t="e">
        <f>ROUND(SUM(-G1881,H1881:L1881),0)</f>
        <v>#VALUE!</v>
      </c>
      <c r="AE1881" s="117" t="e">
        <f>ROUND(H1881-O1881-P1881-Q1881-R1881,0)</f>
        <v>#VALUE!</v>
      </c>
      <c r="AF1881" s="117" t="e">
        <f>ROUND(I1881-T1881-U1881-V1881-W1881,0)</f>
        <v>#VALUE!</v>
      </c>
      <c r="AG1881" s="117" t="e">
        <f>ROUND(J1881-Y1881-Z1881-AA1881-AC1881-AB1881,0)</f>
        <v>#VALUE!</v>
      </c>
      <c r="AH1881" s="116"/>
      <c r="AI1881">
        <f t="shared" si="1155"/>
        <v>141</v>
      </c>
      <c r="AJ1881" t="str">
        <f t="shared" si="1138"/>
        <v>NA</v>
      </c>
      <c r="AK1881" t="str">
        <f>IF(ISERROR(MATCH(AI1881&amp;"."&amp;AJ1881,AK$91:AK1880,0)),AI1881&amp;"."&amp;AJ1881,AI1881&amp;"."&amp;AJ1881&amp;COUNTIFS(AI$91:AI1880,AI1881,AJ$91:AJ1880,AJ1881))</f>
        <v>141.NA2</v>
      </c>
    </row>
    <row r="1882" spans="1:37" ht="15" hidden="1">
      <c r="A1882" s="120">
        <f>ROW()</f>
        <v>1882</v>
      </c>
      <c r="B1882" s="120"/>
      <c r="E1882" s="121"/>
      <c r="F1882" s="138"/>
      <c r="G1882" s="119"/>
      <c r="X1882" s="3"/>
      <c r="AD1882" s="119"/>
      <c r="AE1882" s="119"/>
      <c r="AF1882" s="119"/>
      <c r="AG1882" s="119"/>
      <c r="AI1882">
        <f t="shared" si="1155"/>
        <v>141</v>
      </c>
      <c r="AJ1882" t="str">
        <f t="shared" si="1138"/>
        <v>NA</v>
      </c>
      <c r="AK1882" t="str">
        <f>IF(ISERROR(MATCH(AI1882&amp;"."&amp;AJ1882,AK$91:AK1881,0)),AI1882&amp;"."&amp;AJ1882,AI1882&amp;"."&amp;AJ1882&amp;COUNTIFS(AI$91:AI1881,AI1882,AJ$91:AJ1881,AJ1882))</f>
        <v>141.NA3</v>
      </c>
    </row>
    <row r="1883" spans="1:37" ht="15.75" hidden="1" thickBot="1">
      <c r="A1883" s="120">
        <f>ROW()</f>
        <v>1883</v>
      </c>
      <c r="B1883" s="120"/>
      <c r="C1883" s="110" t="s">
        <v>725</v>
      </c>
      <c r="E1883" s="121"/>
      <c r="F1883" s="138"/>
      <c r="G1883" s="155" t="e">
        <f t="shared" ref="G1883:L1883" si="1185">G1865+G1871+G1876+G1881</f>
        <v>#VALUE!</v>
      </c>
      <c r="H1883" s="154" t="e">
        <f t="shared" si="1185"/>
        <v>#VALUE!</v>
      </c>
      <c r="I1883" s="154" t="e">
        <f t="shared" si="1185"/>
        <v>#VALUE!</v>
      </c>
      <c r="J1883" s="154" t="e">
        <f t="shared" si="1185"/>
        <v>#VALUE!</v>
      </c>
      <c r="K1883" s="154" t="e">
        <f t="shared" si="1185"/>
        <v>#VALUE!</v>
      </c>
      <c r="L1883" s="154" t="e">
        <f t="shared" si="1185"/>
        <v>#VALUE!</v>
      </c>
      <c r="N1883" s="108">
        <v>0</v>
      </c>
      <c r="O1883" s="116" t="e">
        <f>$H1883*$N1883*$M1883</f>
        <v>#VALUE!</v>
      </c>
      <c r="P1883" s="116" t="e">
        <f>$H1883*(1-$N1883)*$M1883</f>
        <v>#VALUE!</v>
      </c>
      <c r="Q1883" s="116" t="e">
        <f>$H1883*$N1883*(1-$M1883)</f>
        <v>#VALUE!</v>
      </c>
      <c r="R1883" s="116" t="e">
        <f>$H1883*(1-$N1883)*(1-$M1883)</f>
        <v>#VALUE!</v>
      </c>
      <c r="S1883" s="108">
        <v>0</v>
      </c>
      <c r="T1883" s="116" t="e">
        <f>$I1883*$S1883*$M1883</f>
        <v>#VALUE!</v>
      </c>
      <c r="U1883" s="116" t="e">
        <f>$I1883*(1-$S1883)*$M1883</f>
        <v>#VALUE!</v>
      </c>
      <c r="V1883" s="116" t="e">
        <f>$I1883*$S1883*(1-$M1883)</f>
        <v>#VALUE!</v>
      </c>
      <c r="W1883" s="116" t="e">
        <f>$I1883*(1-$S1883)*(1-$M1883)</f>
        <v>#VALUE!</v>
      </c>
      <c r="X1883" s="3"/>
      <c r="Y1883" s="116" t="e">
        <f>Y1865+Y1871+Y1876+Y1881</f>
        <v>#VALUE!</v>
      </c>
      <c r="Z1883" s="116" t="e">
        <f>Z1865+Z1871+Z1876+Z1881</f>
        <v>#VALUE!</v>
      </c>
      <c r="AA1883" s="116" t="e">
        <f>AA1865+AA1871+AA1876+AA1881</f>
        <v>#VALUE!</v>
      </c>
      <c r="AB1883" s="116" t="e">
        <f>AB1865+AB1871+AB1876+AB1881</f>
        <v>#VALUE!</v>
      </c>
      <c r="AC1883" s="116" t="e">
        <f>AC1865+AC1871+AC1876+AC1881</f>
        <v>#VALUE!</v>
      </c>
      <c r="AD1883" s="117" t="e">
        <f>ROUND(SUM(-G1883,H1883:L1883),0)</f>
        <v>#VALUE!</v>
      </c>
      <c r="AE1883" s="117" t="e">
        <f>ROUND(H1883-O1883-P1883-Q1883-R1883,0)</f>
        <v>#VALUE!</v>
      </c>
      <c r="AF1883" s="117" t="e">
        <f>ROUND(I1883-T1883-U1883-V1883-W1883,0)</f>
        <v>#VALUE!</v>
      </c>
      <c r="AG1883" s="117" t="e">
        <f>ROUND(J1883-Y1883-Z1883-AA1883-AC1883-AB1883,0)</f>
        <v>#VALUE!</v>
      </c>
      <c r="AH1883" s="116"/>
      <c r="AI1883" t="str">
        <f t="shared" si="1155"/>
        <v>TOTAL MISCELLANEOUS RATE DRB</v>
      </c>
      <c r="AJ1883" t="str">
        <f t="shared" si="1138"/>
        <v>NA</v>
      </c>
      <c r="AK1883" t="str">
        <f>IF(ISERROR(MATCH(AI1883&amp;"."&amp;AJ1883,AK$91:AK1882,0)),AI1883&amp;"."&amp;AJ1883,AI1883&amp;"."&amp;AJ1883&amp;COUNTIFS(AI$91:AI1882,AI1883,AJ$91:AJ1882,AJ1883))</f>
        <v>TOTAL MISCELLANEOUS RATE DRB.NA</v>
      </c>
    </row>
    <row r="1884" spans="1:37" ht="15" hidden="1">
      <c r="A1884" s="120">
        <f>ROW()</f>
        <v>1884</v>
      </c>
      <c r="B1884" s="120"/>
      <c r="E1884" s="121"/>
      <c r="F1884" s="138"/>
      <c r="G1884" s="119"/>
      <c r="X1884" s="3"/>
      <c r="AD1884" s="119"/>
      <c r="AE1884" s="119"/>
      <c r="AF1884" s="119"/>
      <c r="AG1884" s="119"/>
      <c r="AI1884" t="str">
        <f t="shared" si="1155"/>
        <v>TOTAL MISCELLANEOUS RATE DRB</v>
      </c>
      <c r="AJ1884" t="str">
        <f t="shared" si="1138"/>
        <v>NA</v>
      </c>
      <c r="AK1884" t="str">
        <f>IF(ISERROR(MATCH(AI1884&amp;"."&amp;AJ1884,AK$91:AK1883,0)),AI1884&amp;"."&amp;AJ1884,AI1884&amp;"."&amp;AJ1884&amp;COUNTIFS(AI$91:AI1883,AI1884,AJ$91:AJ1883,AJ1884))</f>
        <v>TOTAL MISCELLANEOUS RATE DRB.NA1</v>
      </c>
    </row>
    <row r="1885" spans="1:37" ht="15" hidden="1">
      <c r="A1885" s="120">
        <f>ROW()</f>
        <v>1885</v>
      </c>
      <c r="B1885" s="120"/>
      <c r="E1885" s="121"/>
      <c r="F1885" s="138"/>
      <c r="G1885" s="119"/>
      <c r="X1885" s="3"/>
      <c r="AD1885" s="119"/>
      <c r="AE1885" s="119"/>
      <c r="AF1885" s="119"/>
      <c r="AG1885" s="119"/>
      <c r="AI1885" t="str">
        <f t="shared" si="1155"/>
        <v>TOTAL MISCELLANEOUS RATE DRB</v>
      </c>
      <c r="AJ1885" t="str">
        <f t="shared" ref="AJ1885:AJ1948" si="1186">IF(E1885="","NA",E1885)</f>
        <v>NA</v>
      </c>
      <c r="AK1885" t="str">
        <f>IF(ISERROR(MATCH(AI1885&amp;"."&amp;AJ1885,AK$91:AK1884,0)),AI1885&amp;"."&amp;AJ1885,AI1885&amp;"."&amp;AJ1885&amp;COUNTIFS(AI$91:AI1884,AI1885,AJ$91:AJ1884,AJ1885))</f>
        <v>TOTAL MISCELLANEOUS RATE DRB.NA2</v>
      </c>
    </row>
    <row r="1886" spans="1:37" ht="15.75" hidden="1" thickBot="1">
      <c r="A1886" s="120">
        <f>ROW()</f>
        <v>1886</v>
      </c>
      <c r="B1886" s="120"/>
      <c r="C1886" s="110" t="s">
        <v>724</v>
      </c>
      <c r="E1886" s="121"/>
      <c r="F1886" s="138"/>
      <c r="G1886" s="153" t="e">
        <f t="shared" ref="G1886:L1886" si="1187">G1883+G1859+G1838+G1827+G1817+G1809+G1781+G1757+G1735+G1732+G1726+G1720</f>
        <v>#VALUE!</v>
      </c>
      <c r="H1886" s="152" t="e">
        <f t="shared" si="1187"/>
        <v>#VALUE!</v>
      </c>
      <c r="I1886" s="152" t="e">
        <f t="shared" si="1187"/>
        <v>#VALUE!</v>
      </c>
      <c r="J1886" s="152" t="e">
        <f t="shared" si="1187"/>
        <v>#VALUE!</v>
      </c>
      <c r="K1886" s="152" t="e">
        <f t="shared" si="1187"/>
        <v>#VALUE!</v>
      </c>
      <c r="L1886" s="152" t="e">
        <f t="shared" si="1187"/>
        <v>#VALUE!</v>
      </c>
      <c r="N1886" s="108">
        <v>0</v>
      </c>
      <c r="O1886" s="116" t="e">
        <f>$H1886*$N1886*$M1886</f>
        <v>#VALUE!</v>
      </c>
      <c r="P1886" s="116" t="e">
        <f>$H1886*(1-$N1886)*$M1886</f>
        <v>#VALUE!</v>
      </c>
      <c r="Q1886" s="116" t="e">
        <f>$H1886*$N1886*(1-$M1886)</f>
        <v>#VALUE!</v>
      </c>
      <c r="R1886" s="116" t="e">
        <f>$H1886*(1-$N1886)*(1-$M1886)</f>
        <v>#VALUE!</v>
      </c>
      <c r="S1886" s="116">
        <v>0</v>
      </c>
      <c r="T1886" s="116" t="e">
        <f>T1883+T1859+T1838+T1827+T1817+T1809+T1781+T1757+T1735+T1732+T1726+T1720</f>
        <v>#VALUE!</v>
      </c>
      <c r="U1886" s="116" t="e">
        <f>U1883+U1859+U1838+U1827+U1817+U1809+U1781+U1757+U1735+U1732+U1726+U1720</f>
        <v>#VALUE!</v>
      </c>
      <c r="V1886" s="116" t="e">
        <f>V1883+V1859+V1838+V1827+V1817+V1809+V1781+V1757+V1735+V1732+V1726+V1720</f>
        <v>#VALUE!</v>
      </c>
      <c r="W1886" s="116" t="e">
        <f>W1883+W1859+W1838+W1827+W1817+W1809+W1781+W1757+W1735+W1732+W1726+W1720</f>
        <v>#VALUE!</v>
      </c>
      <c r="X1886" s="3"/>
      <c r="Y1886" s="116" t="e">
        <f>Y1883+Y1859+Y1838+Y1827+Y1817+Y1809+Y1781+Y1757+Y1735+Y1732+Y1726+Y1720</f>
        <v>#VALUE!</v>
      </c>
      <c r="Z1886" s="116" t="e">
        <f>Z1883+Z1859+Z1838+Z1827+Z1817+Z1809+Z1781+Z1757+Z1735+Z1732+Z1726+Z1720</f>
        <v>#VALUE!</v>
      </c>
      <c r="AA1886" s="116" t="e">
        <f>AA1883+AA1859+AA1838+AA1827+AA1817+AA1809+AA1781+AA1757+AA1735+AA1732+AA1726+AA1720</f>
        <v>#VALUE!</v>
      </c>
      <c r="AB1886" s="116" t="e">
        <f>AB1883+AB1859+AB1838+AB1827+AB1817+AB1809+AB1781+AB1757+AB1735+AB1732+AB1726+AB1720</f>
        <v>#VALUE!</v>
      </c>
      <c r="AC1886" s="116" t="e">
        <f>AC1883+AC1859+AC1838+AC1827+AC1817+AC1809+AC1781+AC1757+AC1735+AC1732+AC1726+AC1720</f>
        <v>#VALUE!</v>
      </c>
      <c r="AD1886" s="117" t="e">
        <f>ROUND(SUM(-G1886,H1886:L1886),0)</f>
        <v>#VALUE!</v>
      </c>
      <c r="AE1886" s="117" t="e">
        <f>ROUND(H1886-O1886-P1886-Q1886-R1886,0)</f>
        <v>#VALUE!</v>
      </c>
      <c r="AF1886" s="117" t="e">
        <f>ROUND(I1886-T1886-U1886-V1886-W1886,0)</f>
        <v>#VALUE!</v>
      </c>
      <c r="AG1886" s="117" t="e">
        <f>ROUND(J1886-Y1886-Z1886-AA1886-AC1886-AB1886,0)</f>
        <v>#VALUE!</v>
      </c>
      <c r="AH1886" s="116"/>
      <c r="AI1886" t="str">
        <f t="shared" si="1155"/>
        <v>TOTAL RATE DRB ADDITIONS</v>
      </c>
      <c r="AJ1886" t="str">
        <f t="shared" si="1186"/>
        <v>NA</v>
      </c>
      <c r="AK1886" t="str">
        <f>IF(ISERROR(MATCH(AI1886&amp;"."&amp;AJ1886,AK$91:AK1885,0)),AI1886&amp;"."&amp;AJ1886,AI1886&amp;"."&amp;AJ1886&amp;COUNTIFS(AI$91:AI1885,AI1886,AJ$91:AJ1885,AJ1886))</f>
        <v>TOTAL RATE DRB ADDITIONS.NA</v>
      </c>
    </row>
    <row r="1887" spans="1:37" ht="15" hidden="1">
      <c r="A1887" s="120">
        <f>ROW()</f>
        <v>1887</v>
      </c>
      <c r="B1887" s="120"/>
      <c r="E1887" s="121"/>
      <c r="F1887" s="138"/>
      <c r="G1887" s="119"/>
      <c r="X1887" s="3"/>
      <c r="AD1887" s="119"/>
      <c r="AE1887" s="119"/>
      <c r="AF1887" s="119"/>
      <c r="AG1887" s="119"/>
      <c r="AI1887" t="str">
        <f t="shared" si="1155"/>
        <v>TOTAL RATE DRB ADDITIONS</v>
      </c>
      <c r="AJ1887" t="str">
        <f t="shared" si="1186"/>
        <v>NA</v>
      </c>
      <c r="AK1887" t="str">
        <f>IF(ISERROR(MATCH(AI1887&amp;"."&amp;AJ1887,AK$91:AK1886,0)),AI1887&amp;"."&amp;AJ1887,AI1887&amp;"."&amp;AJ1887&amp;COUNTIFS(AI$91:AI1886,AI1887,AJ$91:AJ1886,AJ1887))</f>
        <v>TOTAL RATE DRB ADDITIONS.NA1</v>
      </c>
    </row>
    <row r="1888" spans="1:37" ht="15" hidden="1">
      <c r="A1888" s="120">
        <f>ROW()</f>
        <v>1888</v>
      </c>
      <c r="B1888" s="120"/>
      <c r="C1888" s="1">
        <v>235</v>
      </c>
      <c r="D1888" s="2" t="s">
        <v>643</v>
      </c>
      <c r="E1888" s="121"/>
      <c r="F1888" s="138"/>
      <c r="G1888" s="119"/>
      <c r="X1888" s="3"/>
      <c r="AD1888" s="119"/>
      <c r="AE1888" s="119"/>
      <c r="AF1888" s="119"/>
      <c r="AG1888" s="119"/>
      <c r="AI1888">
        <f t="shared" si="1155"/>
        <v>235</v>
      </c>
      <c r="AJ1888" t="str">
        <f t="shared" si="1186"/>
        <v>NA</v>
      </c>
      <c r="AK1888" t="str">
        <f>IF(ISERROR(MATCH(AI1888&amp;"."&amp;AJ1888,AK$91:AK1887,0)),AI1888&amp;"."&amp;AJ1888,AI1888&amp;"."&amp;AJ1888&amp;COUNTIFS(AI$91:AI1887,AI1888,AJ$91:AJ1887,AJ1888))</f>
        <v>235.NA</v>
      </c>
    </row>
    <row r="1889" spans="1:37" ht="15" hidden="1">
      <c r="A1889" s="120">
        <f>ROW()</f>
        <v>1889</v>
      </c>
      <c r="B1889" s="120"/>
      <c r="E1889" s="121" t="s">
        <v>12</v>
      </c>
      <c r="F1889" s="138" t="str">
        <f>INDEX(FuncAllocOptions,ROW(A1889)-ROW($A$92)+1,[4]Inputs!$S$11)</f>
        <v>CUST</v>
      </c>
      <c r="G1889" s="133" t="e">
        <f>SUMIF(FERCJAMFactor,AK1889,JAMValue)</f>
        <v>#VALUE!</v>
      </c>
      <c r="H1889" s="139" t="e">
        <f>INDEX(FuncFactorTbl,MATCH($F1889,FuncFactors,0),MATCH(H$8,Functions,0))*$G1889</f>
        <v>#VALUE!</v>
      </c>
      <c r="I1889" s="139" t="e">
        <f>INDEX(FuncFactorTbl,MATCH($F1889,FuncFactors,0),MATCH(I$8,Functions,0))*$G1889</f>
        <v>#VALUE!</v>
      </c>
      <c r="J1889" s="139" t="e">
        <f>INDEX(FuncFactorTbl,MATCH($F1889,FuncFactors,0),MATCH(J$8,Functions,0))*$G1889</f>
        <v>#VALUE!</v>
      </c>
      <c r="K1889" s="139" t="e">
        <f>INDEX(FuncFactorTbl,MATCH($F1889,FuncFactors,0),MATCH(K$8,Functions,0))*$G1889</f>
        <v>#VALUE!</v>
      </c>
      <c r="L1889" s="139" t="e">
        <f>INDEX(FuncFactorTbl,MATCH($F1889,FuncFactors,0),MATCH(L$8,Functions,0))*$G1889</f>
        <v>#VALUE!</v>
      </c>
      <c r="N1889" s="108">
        <v>0.75</v>
      </c>
      <c r="O1889" s="116" t="e">
        <f>$H1889*$N1889*$M1889</f>
        <v>#VALUE!</v>
      </c>
      <c r="P1889" s="116" t="e">
        <f>$H1889*(1-$N1889)*$M1889</f>
        <v>#VALUE!</v>
      </c>
      <c r="Q1889" s="116" t="e">
        <f>$H1889*$N1889*(1-$M1889)</f>
        <v>#VALUE!</v>
      </c>
      <c r="R1889" s="116" t="e">
        <f>$H1889*(1-$N1889)*(1-$M1889)</f>
        <v>#VALUE!</v>
      </c>
      <c r="S1889" s="108">
        <v>0.75</v>
      </c>
      <c r="T1889" s="116" t="e">
        <f>$I1889*$S1889*$M1889</f>
        <v>#VALUE!</v>
      </c>
      <c r="U1889" s="116" t="e">
        <f>$I1889*(1-$S1889)*$M1889</f>
        <v>#VALUE!</v>
      </c>
      <c r="V1889" s="116" t="e">
        <f>$I1889*$S1889*(1-$M1889)</f>
        <v>#VALUE!</v>
      </c>
      <c r="W1889" s="116" t="e">
        <f>$I1889*(1-$S1889)*(1-$M1889)</f>
        <v>#VALUE!</v>
      </c>
      <c r="X1889" s="3" t="str">
        <f>INDEX(DistFuncAllocOptions,ROW(A1889)-ROW($A$92)+1,[4]Inputs!$S$11)</f>
        <v>CUST</v>
      </c>
      <c r="Y1889" s="116" t="e">
        <f>INDEX(DistFuncFactorTbl,MATCH($X1889,DistFuncFactors,0),MATCH(Y$91,DistFunctions,0))*$J1889</f>
        <v>#VALUE!</v>
      </c>
      <c r="Z1889" s="116" t="e">
        <f>INDEX(DistFuncFactorTbl,MATCH($X1889,DistFuncFactors,0),MATCH(Z$91,DistFunctions,0))*$J1889</f>
        <v>#VALUE!</v>
      </c>
      <c r="AA1889" s="116" t="e">
        <f>INDEX(DistFuncFactorTbl,MATCH($X1889,DistFuncFactors,0),MATCH(AA$91,DistFunctions,0))*$J1889</f>
        <v>#VALUE!</v>
      </c>
      <c r="AB1889" s="116" t="e">
        <f>INDEX(DistFuncFactorTbl,MATCH($X1889,DistFuncFactors,0),MATCH(AB$91,DistFunctions,0))*$J1889</f>
        <v>#VALUE!</v>
      </c>
      <c r="AC1889" s="116" t="e">
        <f>INDEX(DistFuncFactorTbl,MATCH($X1889,DistFuncFactors,0),MATCH(AC$91,DistFunctions,0))*$J1889</f>
        <v>#VALUE!</v>
      </c>
      <c r="AD1889" s="117" t="e">
        <f>ROUND(SUM(-G1889,H1889:L1889),0)</f>
        <v>#VALUE!</v>
      </c>
      <c r="AE1889" s="117" t="e">
        <f>ROUND(H1889-O1889-P1889-Q1889-R1889,0)</f>
        <v>#VALUE!</v>
      </c>
      <c r="AF1889" s="117" t="e">
        <f>ROUND(I1889-T1889-U1889-V1889-W1889,0)</f>
        <v>#VALUE!</v>
      </c>
      <c r="AG1889" s="117" t="e">
        <f>ROUND(J1889-Y1889-Z1889-AA1889-AC1889-AB1889,0)</f>
        <v>#VALUE!</v>
      </c>
      <c r="AH1889" s="116"/>
      <c r="AI1889">
        <f t="shared" si="1155"/>
        <v>235</v>
      </c>
      <c r="AJ1889" t="str">
        <f t="shared" si="1186"/>
        <v>S</v>
      </c>
      <c r="AK1889" t="str">
        <f>IF(ISERROR(MATCH(AI1889&amp;"."&amp;AJ1889,AK$91:AK1888,0)),AI1889&amp;"."&amp;AJ1889,AI1889&amp;"."&amp;AJ1889&amp;COUNTIFS(AI$91:AI1888,AI1889,AJ$91:AJ1888,AJ1889))</f>
        <v>235.S</v>
      </c>
    </row>
    <row r="1890" spans="1:37" ht="15" hidden="1">
      <c r="A1890" s="120">
        <f>ROW()</f>
        <v>1890</v>
      </c>
      <c r="B1890" s="120"/>
      <c r="E1890" s="121"/>
      <c r="F1890" s="138"/>
      <c r="G1890" s="117" t="e">
        <f t="shared" ref="G1890:L1890" si="1188">SUM(G1889)</f>
        <v>#VALUE!</v>
      </c>
      <c r="H1890" s="116" t="e">
        <f t="shared" si="1188"/>
        <v>#VALUE!</v>
      </c>
      <c r="I1890" s="116" t="e">
        <f t="shared" si="1188"/>
        <v>#VALUE!</v>
      </c>
      <c r="J1890" s="116" t="e">
        <f t="shared" si="1188"/>
        <v>#VALUE!</v>
      </c>
      <c r="K1890" s="116" t="e">
        <f t="shared" si="1188"/>
        <v>#VALUE!</v>
      </c>
      <c r="L1890" s="116" t="e">
        <f t="shared" si="1188"/>
        <v>#VALUE!</v>
      </c>
      <c r="O1890" s="116" t="e">
        <f>SUM(O1889)</f>
        <v>#VALUE!</v>
      </c>
      <c r="P1890" s="116" t="e">
        <f>SUM(P1889)</f>
        <v>#VALUE!</v>
      </c>
      <c r="Q1890" s="116" t="e">
        <f>SUM(Q1889)</f>
        <v>#VALUE!</v>
      </c>
      <c r="R1890" s="116" t="e">
        <f>SUM(R1889)</f>
        <v>#VALUE!</v>
      </c>
      <c r="T1890" s="116" t="e">
        <f>SUM(T1889)</f>
        <v>#VALUE!</v>
      </c>
      <c r="U1890" s="116" t="e">
        <f>SUM(U1889)</f>
        <v>#VALUE!</v>
      </c>
      <c r="V1890" s="116" t="e">
        <f>SUM(V1889)</f>
        <v>#VALUE!</v>
      </c>
      <c r="W1890" s="116" t="e">
        <f>SUM(W1889)</f>
        <v>#VALUE!</v>
      </c>
      <c r="X1890" s="3"/>
      <c r="Y1890" s="116" t="e">
        <f>SUM(Y1889)</f>
        <v>#VALUE!</v>
      </c>
      <c r="Z1890" s="116" t="e">
        <f>SUM(Z1889)</f>
        <v>#VALUE!</v>
      </c>
      <c r="AA1890" s="116" t="e">
        <f>SUM(AA1889)</f>
        <v>#VALUE!</v>
      </c>
      <c r="AB1890" s="116" t="e">
        <f>SUM(AB1889)</f>
        <v>#VALUE!</v>
      </c>
      <c r="AC1890" s="116" t="e">
        <f>SUM(AC1889)</f>
        <v>#VALUE!</v>
      </c>
      <c r="AD1890" s="117" t="e">
        <f>ROUND(SUM(-G1890,H1890:L1890),0)</f>
        <v>#VALUE!</v>
      </c>
      <c r="AE1890" s="117" t="e">
        <f>ROUND(H1890-O1890-P1890-Q1890-R1890,0)</f>
        <v>#VALUE!</v>
      </c>
      <c r="AF1890" s="117" t="e">
        <f>ROUND(I1890-T1890-U1890-V1890-W1890,0)</f>
        <v>#VALUE!</v>
      </c>
      <c r="AG1890" s="117" t="e">
        <f>ROUND(J1890-Y1890-Z1890-AA1890-AC1890-AB1890,0)</f>
        <v>#VALUE!</v>
      </c>
      <c r="AH1890" s="116"/>
      <c r="AI1890">
        <f t="shared" si="1155"/>
        <v>235</v>
      </c>
      <c r="AJ1890" t="str">
        <f t="shared" si="1186"/>
        <v>NA</v>
      </c>
      <c r="AK1890" t="str">
        <f>IF(ISERROR(MATCH(AI1890&amp;"."&amp;AJ1890,AK$91:AK1889,0)),AI1890&amp;"."&amp;AJ1890,AI1890&amp;"."&amp;AJ1890&amp;COUNTIFS(AI$91:AI1889,AI1890,AJ$91:AJ1889,AJ1890))</f>
        <v>235.NA1</v>
      </c>
    </row>
    <row r="1891" spans="1:37" ht="15" hidden="1">
      <c r="A1891" s="120">
        <f>ROW()</f>
        <v>1891</v>
      </c>
      <c r="B1891" s="120"/>
      <c r="E1891" s="121"/>
      <c r="F1891" s="138"/>
      <c r="G1891" s="119"/>
      <c r="X1891" s="3"/>
      <c r="AD1891" s="119"/>
      <c r="AE1891" s="119"/>
      <c r="AF1891" s="119"/>
      <c r="AG1891" s="119"/>
      <c r="AI1891">
        <f t="shared" si="1155"/>
        <v>235</v>
      </c>
      <c r="AJ1891" t="str">
        <f t="shared" si="1186"/>
        <v>NA</v>
      </c>
      <c r="AK1891" t="str">
        <f>IF(ISERROR(MATCH(AI1891&amp;"."&amp;AJ1891,AK$91:AK1890,0)),AI1891&amp;"."&amp;AJ1891,AI1891&amp;"."&amp;AJ1891&amp;COUNTIFS(AI$91:AI1890,AI1891,AJ$91:AJ1890,AJ1891))</f>
        <v>235.NA2</v>
      </c>
    </row>
    <row r="1892" spans="1:37" ht="15" hidden="1">
      <c r="A1892" s="120">
        <f>ROW()</f>
        <v>1892</v>
      </c>
      <c r="B1892" s="120"/>
      <c r="C1892" s="1">
        <v>2281</v>
      </c>
      <c r="D1892" s="2" t="s">
        <v>723</v>
      </c>
      <c r="E1892" s="121"/>
      <c r="F1892" s="138"/>
      <c r="G1892" s="119"/>
      <c r="X1892" s="3"/>
      <c r="AD1892" s="119"/>
      <c r="AE1892" s="119"/>
      <c r="AF1892" s="119"/>
      <c r="AG1892" s="119"/>
      <c r="AI1892">
        <f t="shared" si="1155"/>
        <v>2281</v>
      </c>
      <c r="AJ1892" t="str">
        <f t="shared" si="1186"/>
        <v>NA</v>
      </c>
      <c r="AK1892" t="str">
        <f>IF(ISERROR(MATCH(AI1892&amp;"."&amp;AJ1892,AK$91:AK1891,0)),AI1892&amp;"."&amp;AJ1892,AI1892&amp;"."&amp;AJ1892&amp;COUNTIFS(AI$91:AI1891,AI1892,AJ$91:AJ1891,AJ1892))</f>
        <v>2281.NA</v>
      </c>
    </row>
    <row r="1893" spans="1:37" ht="15" hidden="1">
      <c r="A1893" s="120">
        <f>ROW()</f>
        <v>1893</v>
      </c>
      <c r="B1893" s="120"/>
      <c r="C1893" s="1"/>
      <c r="E1893" s="121" t="s">
        <v>12</v>
      </c>
      <c r="F1893" s="138" t="str">
        <f>INDEX(FuncAllocOptions,ROW(A1893)-ROW($A$92)+1,[4]Inputs!$S$11)</f>
        <v>PTD</v>
      </c>
      <c r="G1893" s="133" t="e">
        <f>SUMIF(FERCJAMFactor,AK1893,JAMValue)</f>
        <v>#VALUE!</v>
      </c>
      <c r="H1893" s="139" t="e">
        <f>INDEX(FuncFactorTbl,MATCH($F1893,FuncFactors,0),MATCH(H$8,Functions,0))*$G1893</f>
        <v>#VALUE!</v>
      </c>
      <c r="I1893" s="139" t="e">
        <f>INDEX(FuncFactorTbl,MATCH($F1893,FuncFactors,0),MATCH(I$8,Functions,0))*$G1893</f>
        <v>#VALUE!</v>
      </c>
      <c r="J1893" s="139" t="e">
        <f>INDEX(FuncFactorTbl,MATCH($F1893,FuncFactors,0),MATCH(J$8,Functions,0))*$G1893</f>
        <v>#VALUE!</v>
      </c>
      <c r="K1893" s="139" t="e">
        <f>INDEX(FuncFactorTbl,MATCH($F1893,FuncFactors,0),MATCH(K$8,Functions,0))*$G1893</f>
        <v>#VALUE!</v>
      </c>
      <c r="L1893" s="139" t="e">
        <f>INDEX(FuncFactorTbl,MATCH($F1893,FuncFactors,0),MATCH(L$8,Functions,0))*$G1893</f>
        <v>#VALUE!</v>
      </c>
      <c r="N1893" s="108">
        <v>0.75</v>
      </c>
      <c r="O1893" s="116" t="e">
        <f>$H1893*$N1893*$M1893</f>
        <v>#VALUE!</v>
      </c>
      <c r="P1893" s="116" t="e">
        <f>$H1893*(1-$N1893)*$M1893</f>
        <v>#VALUE!</v>
      </c>
      <c r="Q1893" s="116" t="e">
        <f>$H1893*$N1893*(1-$M1893)</f>
        <v>#VALUE!</v>
      </c>
      <c r="R1893" s="116" t="e">
        <f>$H1893*(1-$N1893)*(1-$M1893)</f>
        <v>#VALUE!</v>
      </c>
      <c r="S1893" s="108">
        <v>0.75</v>
      </c>
      <c r="T1893" s="116" t="e">
        <f>$I1893*$S1893*$M1893</f>
        <v>#VALUE!</v>
      </c>
      <c r="U1893" s="116" t="e">
        <f>$I1893*(1-$S1893)*$M1893</f>
        <v>#VALUE!</v>
      </c>
      <c r="V1893" s="116" t="e">
        <f>$I1893*$S1893*(1-$M1893)</f>
        <v>#VALUE!</v>
      </c>
      <c r="W1893" s="116" t="e">
        <f>$I1893*(1-$S1893)*(1-$M1893)</f>
        <v>#VALUE!</v>
      </c>
      <c r="X1893" s="3" t="str">
        <f>INDEX(DistFuncAllocOptions,ROW(A1893)-ROW($A$92)+1,[4]Inputs!$S$11)</f>
        <v>PLNT</v>
      </c>
      <c r="Y1893" s="116" t="e">
        <f>INDEX(DistFuncFactorTbl,MATCH($X1893,DistFuncFactors,0),MATCH(Y$91,DistFunctions,0))*$J1893</f>
        <v>#VALUE!</v>
      </c>
      <c r="Z1893" s="116" t="e">
        <f>INDEX(DistFuncFactorTbl,MATCH($X1893,DistFuncFactors,0),MATCH(Z$91,DistFunctions,0))*$J1893</f>
        <v>#VALUE!</v>
      </c>
      <c r="AA1893" s="116" t="e">
        <f>INDEX(DistFuncFactorTbl,MATCH($X1893,DistFuncFactors,0),MATCH(AA$91,DistFunctions,0))*$J1893</f>
        <v>#VALUE!</v>
      </c>
      <c r="AB1893" s="116" t="e">
        <f>INDEX(DistFuncFactorTbl,MATCH($X1893,DistFuncFactors,0),MATCH(AB$91,DistFunctions,0))*$J1893</f>
        <v>#VALUE!</v>
      </c>
      <c r="AC1893" s="116" t="e">
        <f>INDEX(DistFuncFactorTbl,MATCH($X1893,DistFuncFactors,0),MATCH(AC$91,DistFunctions,0))*$J1893</f>
        <v>#VALUE!</v>
      </c>
      <c r="AD1893" s="117" t="e">
        <f>ROUND(SUM(-G1893,H1893:L1893),0)</f>
        <v>#VALUE!</v>
      </c>
      <c r="AE1893" s="117" t="e">
        <f>ROUND(H1893-O1893-P1893-Q1893-R1893,0)</f>
        <v>#VALUE!</v>
      </c>
      <c r="AF1893" s="117" t="e">
        <f>ROUND(I1893-T1893-U1893-V1893-W1893,0)</f>
        <v>#VALUE!</v>
      </c>
      <c r="AG1893" s="117" t="e">
        <f>ROUND(J1893-Y1893-Z1893-AA1893-AC1893-AB1893,0)</f>
        <v>#VALUE!</v>
      </c>
      <c r="AH1893" s="116"/>
      <c r="AI1893">
        <f t="shared" si="1155"/>
        <v>2281</v>
      </c>
      <c r="AJ1893" t="str">
        <f t="shared" si="1186"/>
        <v>S</v>
      </c>
      <c r="AK1893" t="str">
        <f>IF(ISERROR(MATCH(AI1893&amp;"."&amp;AJ1893,AK$91:AK1892,0)),AI1893&amp;"."&amp;AJ1893,AI1893&amp;"."&amp;AJ1893&amp;COUNTIFS(AI$91:AI1892,AI1893,AJ$91:AJ1892,AJ1893))</f>
        <v>2281.S</v>
      </c>
    </row>
    <row r="1894" spans="1:37" ht="15" hidden="1">
      <c r="A1894" s="120">
        <f>ROW()</f>
        <v>1894</v>
      </c>
      <c r="B1894" s="120"/>
      <c r="C1894" s="1"/>
      <c r="E1894" s="121"/>
      <c r="F1894" s="138"/>
      <c r="G1894" s="117" t="e">
        <f t="shared" ref="G1894:L1894" si="1189">SUM(G1893)</f>
        <v>#VALUE!</v>
      </c>
      <c r="H1894" s="116" t="e">
        <f t="shared" si="1189"/>
        <v>#VALUE!</v>
      </c>
      <c r="I1894" s="116" t="e">
        <f t="shared" si="1189"/>
        <v>#VALUE!</v>
      </c>
      <c r="J1894" s="116" t="e">
        <f t="shared" si="1189"/>
        <v>#VALUE!</v>
      </c>
      <c r="K1894" s="116" t="e">
        <f t="shared" si="1189"/>
        <v>#VALUE!</v>
      </c>
      <c r="L1894" s="116" t="e">
        <f t="shared" si="1189"/>
        <v>#VALUE!</v>
      </c>
      <c r="O1894" s="116" t="e">
        <f>SUM(O1893)</f>
        <v>#VALUE!</v>
      </c>
      <c r="P1894" s="116" t="e">
        <f>SUM(P1893)</f>
        <v>#VALUE!</v>
      </c>
      <c r="Q1894" s="116" t="e">
        <f>SUM(Q1893)</f>
        <v>#VALUE!</v>
      </c>
      <c r="R1894" s="116" t="e">
        <f>SUM(R1893)</f>
        <v>#VALUE!</v>
      </c>
      <c r="T1894" s="116" t="e">
        <f>SUM(T1893)</f>
        <v>#VALUE!</v>
      </c>
      <c r="U1894" s="116" t="e">
        <f>SUM(U1893)</f>
        <v>#VALUE!</v>
      </c>
      <c r="V1894" s="116" t="e">
        <f>SUM(V1893)</f>
        <v>#VALUE!</v>
      </c>
      <c r="W1894" s="116" t="e">
        <f>SUM(W1893)</f>
        <v>#VALUE!</v>
      </c>
      <c r="X1894" s="3"/>
      <c r="Y1894" s="116" t="e">
        <f>SUM(Y1893)</f>
        <v>#VALUE!</v>
      </c>
      <c r="Z1894" s="116" t="e">
        <f>SUM(Z1893)</f>
        <v>#VALUE!</v>
      </c>
      <c r="AA1894" s="116" t="e">
        <f>SUM(AA1893)</f>
        <v>#VALUE!</v>
      </c>
      <c r="AB1894" s="116" t="e">
        <f>SUM(AB1893)</f>
        <v>#VALUE!</v>
      </c>
      <c r="AC1894" s="116" t="e">
        <f>SUM(AC1893)</f>
        <v>#VALUE!</v>
      </c>
      <c r="AD1894" s="117" t="e">
        <f>ROUND(SUM(-G1894,H1894:L1894),0)</f>
        <v>#VALUE!</v>
      </c>
      <c r="AE1894" s="117" t="e">
        <f>ROUND(H1894-O1894-P1894-Q1894-R1894,0)</f>
        <v>#VALUE!</v>
      </c>
      <c r="AF1894" s="117" t="e">
        <f>ROUND(I1894-T1894-U1894-V1894-W1894,0)</f>
        <v>#VALUE!</v>
      </c>
      <c r="AG1894" s="117" t="e">
        <f>ROUND(J1894-Y1894-Z1894-AA1894-AC1894-AB1894,0)</f>
        <v>#VALUE!</v>
      </c>
      <c r="AH1894" s="116"/>
      <c r="AI1894">
        <f t="shared" si="1155"/>
        <v>2281</v>
      </c>
      <c r="AJ1894" t="str">
        <f t="shared" si="1186"/>
        <v>NA</v>
      </c>
      <c r="AK1894" t="str">
        <f>IF(ISERROR(MATCH(AI1894&amp;"."&amp;AJ1894,AK$91:AK1893,0)),AI1894&amp;"."&amp;AJ1894,AI1894&amp;"."&amp;AJ1894&amp;COUNTIFS(AI$91:AI1893,AI1894,AJ$91:AJ1893,AJ1894))</f>
        <v>2281.NA1</v>
      </c>
    </row>
    <row r="1895" spans="1:37" ht="15" hidden="1">
      <c r="A1895" s="120">
        <f>ROW()</f>
        <v>1895</v>
      </c>
      <c r="B1895" s="120"/>
      <c r="C1895" s="1"/>
      <c r="E1895" s="121"/>
      <c r="F1895" s="138"/>
      <c r="G1895" s="119"/>
      <c r="X1895" s="3"/>
      <c r="AD1895" s="119"/>
      <c r="AE1895" s="119"/>
      <c r="AF1895" s="119"/>
      <c r="AG1895" s="119"/>
      <c r="AI1895">
        <f t="shared" si="1155"/>
        <v>2281</v>
      </c>
      <c r="AJ1895" t="str">
        <f t="shared" si="1186"/>
        <v>NA</v>
      </c>
      <c r="AK1895" t="str">
        <f>IF(ISERROR(MATCH(AI1895&amp;"."&amp;AJ1895,AK$91:AK1894,0)),AI1895&amp;"."&amp;AJ1895,AI1895&amp;"."&amp;AJ1895&amp;COUNTIFS(AI$91:AI1894,AI1895,AJ$91:AJ1894,AJ1895))</f>
        <v>2281.NA2</v>
      </c>
    </row>
    <row r="1896" spans="1:37" ht="15" hidden="1">
      <c r="A1896" s="120">
        <f>ROW()</f>
        <v>1896</v>
      </c>
      <c r="B1896" s="120"/>
      <c r="C1896" s="1">
        <v>2282</v>
      </c>
      <c r="D1896" s="2" t="s">
        <v>722</v>
      </c>
      <c r="E1896" s="121"/>
      <c r="F1896" s="138"/>
      <c r="G1896" s="119"/>
      <c r="X1896" s="3"/>
      <c r="AD1896" s="119"/>
      <c r="AE1896" s="119"/>
      <c r="AF1896" s="119"/>
      <c r="AG1896" s="119"/>
      <c r="AI1896">
        <f t="shared" si="1155"/>
        <v>2282</v>
      </c>
      <c r="AJ1896" t="str">
        <f t="shared" si="1186"/>
        <v>NA</v>
      </c>
      <c r="AK1896" t="str">
        <f>IF(ISERROR(MATCH(AI1896&amp;"."&amp;AJ1896,AK$91:AK1895,0)),AI1896&amp;"."&amp;AJ1896,AI1896&amp;"."&amp;AJ1896&amp;COUNTIFS(AI$91:AI1895,AI1896,AJ$91:AJ1895,AJ1896))</f>
        <v>2282.NA</v>
      </c>
    </row>
    <row r="1897" spans="1:37" ht="15" hidden="1">
      <c r="A1897" s="120">
        <f>ROW()</f>
        <v>1897</v>
      </c>
      <c r="B1897" s="120"/>
      <c r="C1897" s="1"/>
      <c r="E1897" s="121" t="s">
        <v>136</v>
      </c>
      <c r="F1897" s="138" t="str">
        <f>INDEX(FuncAllocOptions,ROW(A1897)-ROW($A$92)+1,[4]Inputs!$S$11)</f>
        <v>PTD</v>
      </c>
      <c r="G1897" s="133" t="e">
        <f>SUMIF(FERCJAMFactor,AK1897,JAMValue)</f>
        <v>#VALUE!</v>
      </c>
      <c r="H1897" s="139" t="e">
        <f>INDEX(FuncFactorTbl,MATCH($F1897,FuncFactors,0),MATCH(H$8,Functions,0))*$G1897</f>
        <v>#VALUE!</v>
      </c>
      <c r="I1897" s="139" t="e">
        <f>INDEX(FuncFactorTbl,MATCH($F1897,FuncFactors,0),MATCH(I$8,Functions,0))*$G1897</f>
        <v>#VALUE!</v>
      </c>
      <c r="J1897" s="139" t="e">
        <f>INDEX(FuncFactorTbl,MATCH($F1897,FuncFactors,0),MATCH(J$8,Functions,0))*$G1897</f>
        <v>#VALUE!</v>
      </c>
      <c r="K1897" s="139" t="e">
        <f>INDEX(FuncFactorTbl,MATCH($F1897,FuncFactors,0),MATCH(K$8,Functions,0))*$G1897</f>
        <v>#VALUE!</v>
      </c>
      <c r="L1897" s="139" t="e">
        <f>INDEX(FuncFactorTbl,MATCH($F1897,FuncFactors,0),MATCH(L$8,Functions,0))*$G1897</f>
        <v>#VALUE!</v>
      </c>
      <c r="N1897" s="108">
        <v>0.75</v>
      </c>
      <c r="O1897" s="116" t="e">
        <f>$H1897*$N1897*$M1897</f>
        <v>#VALUE!</v>
      </c>
      <c r="P1897" s="116" t="e">
        <f>$H1897*(1-$N1897)*$M1897</f>
        <v>#VALUE!</v>
      </c>
      <c r="Q1897" s="116" t="e">
        <f>$H1897*$N1897*(1-$M1897)</f>
        <v>#VALUE!</v>
      </c>
      <c r="R1897" s="116" t="e">
        <f>$H1897*(1-$N1897)*(1-$M1897)</f>
        <v>#VALUE!</v>
      </c>
      <c r="S1897" s="108">
        <v>0.75</v>
      </c>
      <c r="T1897" s="116" t="e">
        <f>$I1897*$S1897*$M1897</f>
        <v>#VALUE!</v>
      </c>
      <c r="U1897" s="116" t="e">
        <f>$I1897*(1-$S1897)*$M1897</f>
        <v>#VALUE!</v>
      </c>
      <c r="V1897" s="116" t="e">
        <f>$I1897*$S1897*(1-$M1897)</f>
        <v>#VALUE!</v>
      </c>
      <c r="W1897" s="116" t="e">
        <f>$I1897*(1-$S1897)*(1-$M1897)</f>
        <v>#VALUE!</v>
      </c>
      <c r="X1897" s="3" t="str">
        <f>INDEX(DistFuncAllocOptions,ROW(A1897)-ROW($A$92)+1,[4]Inputs!$S$11)</f>
        <v>PLNT</v>
      </c>
      <c r="Y1897" s="116" t="e">
        <f>INDEX(DistFuncFactorTbl,MATCH($X1897,DistFuncFactors,0),MATCH(Y$91,DistFunctions,0))*$J1897</f>
        <v>#VALUE!</v>
      </c>
      <c r="Z1897" s="116" t="e">
        <f>INDEX(DistFuncFactorTbl,MATCH($X1897,DistFuncFactors,0),MATCH(Z$91,DistFunctions,0))*$J1897</f>
        <v>#VALUE!</v>
      </c>
      <c r="AA1897" s="116" t="e">
        <f>INDEX(DistFuncFactorTbl,MATCH($X1897,DistFuncFactors,0),MATCH(AA$91,DistFunctions,0))*$J1897</f>
        <v>#VALUE!</v>
      </c>
      <c r="AB1897" s="116" t="e">
        <f>INDEX(DistFuncFactorTbl,MATCH($X1897,DistFuncFactors,0),MATCH(AB$91,DistFunctions,0))*$J1897</f>
        <v>#VALUE!</v>
      </c>
      <c r="AC1897" s="116" t="e">
        <f>INDEX(DistFuncFactorTbl,MATCH($X1897,DistFuncFactors,0),MATCH(AC$91,DistFunctions,0))*$J1897</f>
        <v>#VALUE!</v>
      </c>
      <c r="AD1897" s="117" t="e">
        <f>ROUND(SUM(-G1897,H1897:L1897),0)</f>
        <v>#VALUE!</v>
      </c>
      <c r="AE1897" s="117" t="e">
        <f>ROUND(H1897-O1897-P1897-Q1897-R1897,0)</f>
        <v>#VALUE!</v>
      </c>
      <c r="AF1897" s="117" t="e">
        <f>ROUND(I1897-T1897-U1897-V1897-W1897,0)</f>
        <v>#VALUE!</v>
      </c>
      <c r="AG1897" s="117" t="e">
        <f>ROUND(J1897-Y1897-Z1897-AA1897-AC1897-AB1897,0)</f>
        <v>#VALUE!</v>
      </c>
      <c r="AH1897" s="116"/>
      <c r="AI1897">
        <f t="shared" si="1155"/>
        <v>2282</v>
      </c>
      <c r="AJ1897" t="str">
        <f t="shared" si="1186"/>
        <v>SO</v>
      </c>
      <c r="AK1897" t="str">
        <f>IF(ISERROR(MATCH(AI1897&amp;"."&amp;AJ1897,AK$91:AK1896,0)),AI1897&amp;"."&amp;AJ1897,AI1897&amp;"."&amp;AJ1897&amp;COUNTIFS(AI$91:AI1896,AI1897,AJ$91:AJ1896,AJ1897))</f>
        <v>2282.SO</v>
      </c>
    </row>
    <row r="1898" spans="1:37" ht="15" hidden="1">
      <c r="A1898" s="120">
        <f>ROW()</f>
        <v>1898</v>
      </c>
      <c r="B1898" s="120"/>
      <c r="C1898" s="1"/>
      <c r="E1898" s="121"/>
      <c r="F1898" s="138"/>
      <c r="G1898" s="117" t="e">
        <f t="shared" ref="G1898:L1898" si="1190">SUM(G1897)</f>
        <v>#VALUE!</v>
      </c>
      <c r="H1898" s="116" t="e">
        <f t="shared" si="1190"/>
        <v>#VALUE!</v>
      </c>
      <c r="I1898" s="116" t="e">
        <f t="shared" si="1190"/>
        <v>#VALUE!</v>
      </c>
      <c r="J1898" s="116" t="e">
        <f t="shared" si="1190"/>
        <v>#VALUE!</v>
      </c>
      <c r="K1898" s="116" t="e">
        <f t="shared" si="1190"/>
        <v>#VALUE!</v>
      </c>
      <c r="L1898" s="116" t="e">
        <f t="shared" si="1190"/>
        <v>#VALUE!</v>
      </c>
      <c r="O1898" s="116" t="e">
        <f>SUM(O1897)</f>
        <v>#VALUE!</v>
      </c>
      <c r="P1898" s="116" t="e">
        <f>SUM(P1897)</f>
        <v>#VALUE!</v>
      </c>
      <c r="Q1898" s="116" t="e">
        <f>SUM(Q1897)</f>
        <v>#VALUE!</v>
      </c>
      <c r="R1898" s="116" t="e">
        <f>SUM(R1897)</f>
        <v>#VALUE!</v>
      </c>
      <c r="T1898" s="116" t="e">
        <f>SUM(T1897)</f>
        <v>#VALUE!</v>
      </c>
      <c r="U1898" s="116" t="e">
        <f>SUM(U1897)</f>
        <v>#VALUE!</v>
      </c>
      <c r="V1898" s="116" t="e">
        <f>SUM(V1897)</f>
        <v>#VALUE!</v>
      </c>
      <c r="W1898" s="116" t="e">
        <f>SUM(W1897)</f>
        <v>#VALUE!</v>
      </c>
      <c r="X1898" s="3"/>
      <c r="Y1898" s="116" t="e">
        <f>SUM(Y1897)</f>
        <v>#VALUE!</v>
      </c>
      <c r="Z1898" s="116" t="e">
        <f>SUM(Z1897)</f>
        <v>#VALUE!</v>
      </c>
      <c r="AA1898" s="116" t="e">
        <f>SUM(AA1897)</f>
        <v>#VALUE!</v>
      </c>
      <c r="AB1898" s="116" t="e">
        <f>SUM(AB1897)</f>
        <v>#VALUE!</v>
      </c>
      <c r="AC1898" s="116" t="e">
        <f>SUM(AC1897)</f>
        <v>#VALUE!</v>
      </c>
      <c r="AD1898" s="117" t="e">
        <f>ROUND(SUM(-G1898,H1898:L1898),0)</f>
        <v>#VALUE!</v>
      </c>
      <c r="AE1898" s="117" t="e">
        <f>ROUND(H1898-O1898-P1898-Q1898-R1898,0)</f>
        <v>#VALUE!</v>
      </c>
      <c r="AF1898" s="117" t="e">
        <f>ROUND(I1898-T1898-U1898-V1898-W1898,0)</f>
        <v>#VALUE!</v>
      </c>
      <c r="AG1898" s="117" t="e">
        <f>ROUND(J1898-Y1898-Z1898-AA1898-AC1898-AB1898,0)</f>
        <v>#VALUE!</v>
      </c>
      <c r="AH1898" s="116"/>
      <c r="AI1898">
        <f t="shared" si="1155"/>
        <v>2282</v>
      </c>
      <c r="AJ1898" t="str">
        <f t="shared" si="1186"/>
        <v>NA</v>
      </c>
      <c r="AK1898" t="str">
        <f>IF(ISERROR(MATCH(AI1898&amp;"."&amp;AJ1898,AK$91:AK1897,0)),AI1898&amp;"."&amp;AJ1898,AI1898&amp;"."&amp;AJ1898&amp;COUNTIFS(AI$91:AI1897,AI1898,AJ$91:AJ1897,AJ1898))</f>
        <v>2282.NA1</v>
      </c>
    </row>
    <row r="1899" spans="1:37" ht="15" hidden="1">
      <c r="A1899" s="120">
        <f>ROW()</f>
        <v>1899</v>
      </c>
      <c r="B1899" s="120"/>
      <c r="C1899" s="1"/>
      <c r="E1899" s="121"/>
      <c r="F1899" s="138"/>
      <c r="G1899" s="117"/>
      <c r="H1899" s="116"/>
      <c r="I1899" s="116"/>
      <c r="J1899" s="116"/>
      <c r="K1899" s="116"/>
      <c r="L1899" s="116"/>
      <c r="O1899" s="116"/>
      <c r="P1899" s="116"/>
      <c r="Q1899" s="116"/>
      <c r="R1899" s="116"/>
      <c r="T1899" s="116"/>
      <c r="U1899" s="116"/>
      <c r="V1899" s="116"/>
      <c r="W1899" s="116"/>
      <c r="X1899" s="3"/>
      <c r="Y1899" s="116"/>
      <c r="Z1899" s="116"/>
      <c r="AA1899" s="116"/>
      <c r="AB1899" s="116"/>
      <c r="AC1899" s="116"/>
      <c r="AD1899" s="117"/>
      <c r="AE1899" s="117"/>
      <c r="AF1899" s="117"/>
      <c r="AG1899" s="117"/>
      <c r="AH1899" s="116"/>
      <c r="AI1899">
        <f t="shared" si="1155"/>
        <v>2282</v>
      </c>
      <c r="AJ1899" t="str">
        <f t="shared" si="1186"/>
        <v>NA</v>
      </c>
      <c r="AK1899" t="str">
        <f>IF(ISERROR(MATCH(AI1899&amp;"."&amp;AJ1899,AK$91:AK1898,0)),AI1899&amp;"."&amp;AJ1899,AI1899&amp;"."&amp;AJ1899&amp;COUNTIFS(AI$91:AI1898,AI1899,AJ$91:AJ1898,AJ1899))</f>
        <v>2282.NA2</v>
      </c>
    </row>
    <row r="1900" spans="1:37" ht="15" hidden="1">
      <c r="A1900" s="120">
        <f>ROW()</f>
        <v>1900</v>
      </c>
      <c r="B1900" s="120"/>
      <c r="C1900" s="1">
        <v>2283</v>
      </c>
      <c r="D1900" s="2" t="s">
        <v>721</v>
      </c>
      <c r="E1900" s="121"/>
      <c r="F1900" s="138"/>
      <c r="G1900" s="119"/>
      <c r="X1900" s="3"/>
      <c r="AD1900" s="119"/>
      <c r="AE1900" s="119"/>
      <c r="AF1900" s="119"/>
      <c r="AG1900" s="119"/>
      <c r="AI1900">
        <f t="shared" ref="AI1900:AI1963" si="1191">IF(OR(C1900="",C1900=" ",C1900="  ",C1900="   "),AI1899,C1900)</f>
        <v>2283</v>
      </c>
      <c r="AJ1900" t="str">
        <f t="shared" si="1186"/>
        <v>NA</v>
      </c>
      <c r="AK1900" t="str">
        <f>IF(ISERROR(MATCH(AI1900&amp;"."&amp;AJ1900,AK$91:AK1899,0)),AI1900&amp;"."&amp;AJ1900,AI1900&amp;"."&amp;AJ1900&amp;COUNTIFS(AI$91:AI1899,AI1900,AJ$91:AJ1899,AJ1900))</f>
        <v>2283.NA</v>
      </c>
    </row>
    <row r="1901" spans="1:37" ht="15" hidden="1">
      <c r="A1901" s="120">
        <f>ROW()</f>
        <v>1901</v>
      </c>
      <c r="B1901" s="120"/>
      <c r="C1901" s="2"/>
      <c r="E1901" s="121" t="s">
        <v>15</v>
      </c>
      <c r="F1901" s="138" t="str">
        <f>INDEX(FuncAllocOptions,ROW(A1901)-ROW($A$92)+1,[4]Inputs!$S$11)</f>
        <v>P</v>
      </c>
      <c r="G1901" s="117" t="e">
        <f>SUMIF(FERCJAMFactor,AK1901,JAMValue)</f>
        <v>#VALUE!</v>
      </c>
      <c r="H1901" s="116" t="e">
        <f t="shared" ref="H1901:L1902" si="1192">INDEX(FuncFactorTbl,MATCH($F1901,FuncFactors,0),MATCH(H$8,Functions,0))*$G1901</f>
        <v>#VALUE!</v>
      </c>
      <c r="I1901" s="116" t="e">
        <f t="shared" si="1192"/>
        <v>#VALUE!</v>
      </c>
      <c r="J1901" s="116" t="e">
        <f t="shared" si="1192"/>
        <v>#VALUE!</v>
      </c>
      <c r="K1901" s="116" t="e">
        <f t="shared" si="1192"/>
        <v>#VALUE!</v>
      </c>
      <c r="L1901" s="116" t="e">
        <f t="shared" si="1192"/>
        <v>#VALUE!</v>
      </c>
      <c r="N1901" s="108">
        <v>0.75</v>
      </c>
      <c r="O1901" s="116" t="e">
        <f>$H1901*$N1901*$M1901</f>
        <v>#VALUE!</v>
      </c>
      <c r="P1901" s="116" t="e">
        <f>$H1901*(1-$N1901)*$M1901</f>
        <v>#VALUE!</v>
      </c>
      <c r="Q1901" s="116" t="e">
        <f>$H1901*$N1901*(1-$M1901)</f>
        <v>#VALUE!</v>
      </c>
      <c r="R1901" s="116" t="e">
        <f>$H1901*(1-$N1901)*(1-$M1901)</f>
        <v>#VALUE!</v>
      </c>
      <c r="S1901" s="108">
        <v>0.75</v>
      </c>
      <c r="T1901" s="116" t="e">
        <f>$I1901*$S1901*$M1901</f>
        <v>#VALUE!</v>
      </c>
      <c r="U1901" s="116" t="e">
        <f>$I1901*(1-$S1901)*$M1901</f>
        <v>#VALUE!</v>
      </c>
      <c r="V1901" s="116" t="e">
        <f>$I1901*$S1901*(1-$M1901)</f>
        <v>#VALUE!</v>
      </c>
      <c r="W1901" s="116" t="e">
        <f>$I1901*(1-$S1901)*(1-$M1901)</f>
        <v>#VALUE!</v>
      </c>
      <c r="X1901" s="3" t="str">
        <f>INDEX(DistFuncAllocOptions,ROW(A1901)-ROW($A$92)+1,[4]Inputs!$S$11)</f>
        <v>PLNT</v>
      </c>
      <c r="Y1901" s="116" t="e">
        <f t="shared" ref="Y1901:AC1902" si="1193">INDEX(DistFuncFactorTbl,MATCH($X1901,DistFuncFactors,0),MATCH(Y$91,DistFunctions,0))*$J1901</f>
        <v>#VALUE!</v>
      </c>
      <c r="Z1901" s="116" t="e">
        <f t="shared" si="1193"/>
        <v>#VALUE!</v>
      </c>
      <c r="AA1901" s="116" t="e">
        <f t="shared" si="1193"/>
        <v>#VALUE!</v>
      </c>
      <c r="AB1901" s="116" t="e">
        <f t="shared" si="1193"/>
        <v>#VALUE!</v>
      </c>
      <c r="AC1901" s="116" t="e">
        <f t="shared" si="1193"/>
        <v>#VALUE!</v>
      </c>
      <c r="AD1901" s="117" t="e">
        <f>ROUND(SUM(-G1901,H1901:L1901),0)</f>
        <v>#VALUE!</v>
      </c>
      <c r="AE1901" s="117" t="e">
        <f>ROUND(H1901-O1901-P1901-Q1901-R1901,0)</f>
        <v>#VALUE!</v>
      </c>
      <c r="AF1901" s="117" t="e">
        <f>ROUND(I1901-T1901-U1901-V1901-W1901,0)</f>
        <v>#VALUE!</v>
      </c>
      <c r="AG1901" s="117" t="e">
        <f>ROUND(J1901-Y1901-Z1901-AA1901-AC1901-AB1901,0)</f>
        <v>#VALUE!</v>
      </c>
      <c r="AH1901" s="116"/>
      <c r="AI1901">
        <f t="shared" si="1191"/>
        <v>2283</v>
      </c>
      <c r="AJ1901" t="str">
        <f t="shared" si="1186"/>
        <v>SG</v>
      </c>
      <c r="AK1901" t="str">
        <f>IF(ISERROR(MATCH(AI1901&amp;"."&amp;AJ1901,AK$91:AK1900,0)),AI1901&amp;"."&amp;AJ1901,AI1901&amp;"."&amp;AJ1901&amp;COUNTIFS(AI$91:AI1900,AI1901,AJ$91:AJ1900,AJ1901))</f>
        <v>2283.SG</v>
      </c>
    </row>
    <row r="1902" spans="1:37" ht="15" hidden="1">
      <c r="A1902" s="120">
        <f>ROW()</f>
        <v>1902</v>
      </c>
      <c r="B1902" s="120"/>
      <c r="C1902" s="1"/>
      <c r="E1902" s="121" t="s">
        <v>136</v>
      </c>
      <c r="F1902" s="138" t="str">
        <f>INDEX(FuncAllocOptions,ROW(A1902)-ROW($A$92)+1,[4]Inputs!$S$11)</f>
        <v>PTD</v>
      </c>
      <c r="G1902" s="133" t="e">
        <f>SUMIF(FERCJAMFactor,AK1902,JAMValue)</f>
        <v>#VALUE!</v>
      </c>
      <c r="H1902" s="139" t="e">
        <f t="shared" si="1192"/>
        <v>#VALUE!</v>
      </c>
      <c r="I1902" s="139" t="e">
        <f t="shared" si="1192"/>
        <v>#VALUE!</v>
      </c>
      <c r="J1902" s="139" t="e">
        <f t="shared" si="1192"/>
        <v>#VALUE!</v>
      </c>
      <c r="K1902" s="139" t="e">
        <f t="shared" si="1192"/>
        <v>#VALUE!</v>
      </c>
      <c r="L1902" s="139" t="e">
        <f t="shared" si="1192"/>
        <v>#VALUE!</v>
      </c>
      <c r="N1902" s="108">
        <v>0.75</v>
      </c>
      <c r="O1902" s="116" t="e">
        <f>$H1902*$N1902*$M1902</f>
        <v>#VALUE!</v>
      </c>
      <c r="P1902" s="116" t="e">
        <f>$H1902*(1-$N1902)*$M1902</f>
        <v>#VALUE!</v>
      </c>
      <c r="Q1902" s="116" t="e">
        <f>$H1902*$N1902*(1-$M1902)</f>
        <v>#VALUE!</v>
      </c>
      <c r="R1902" s="116" t="e">
        <f>$H1902*(1-$N1902)*(1-$M1902)</f>
        <v>#VALUE!</v>
      </c>
      <c r="S1902" s="108">
        <v>0.75</v>
      </c>
      <c r="T1902" s="116" t="e">
        <f>$I1902*$S1902*$M1902</f>
        <v>#VALUE!</v>
      </c>
      <c r="U1902" s="116" t="e">
        <f>$I1902*(1-$S1902)*$M1902</f>
        <v>#VALUE!</v>
      </c>
      <c r="V1902" s="116" t="e">
        <f>$I1902*$S1902*(1-$M1902)</f>
        <v>#VALUE!</v>
      </c>
      <c r="W1902" s="116" t="e">
        <f>$I1902*(1-$S1902)*(1-$M1902)</f>
        <v>#VALUE!</v>
      </c>
      <c r="X1902" s="3" t="str">
        <f>INDEX(DistFuncAllocOptions,ROW(A1902)-ROW($A$92)+1,[4]Inputs!$S$11)</f>
        <v>PLNT</v>
      </c>
      <c r="Y1902" s="116" t="e">
        <f t="shared" si="1193"/>
        <v>#VALUE!</v>
      </c>
      <c r="Z1902" s="116" t="e">
        <f t="shared" si="1193"/>
        <v>#VALUE!</v>
      </c>
      <c r="AA1902" s="116" t="e">
        <f t="shared" si="1193"/>
        <v>#VALUE!</v>
      </c>
      <c r="AB1902" s="116" t="e">
        <f t="shared" si="1193"/>
        <v>#VALUE!</v>
      </c>
      <c r="AC1902" s="116" t="e">
        <f t="shared" si="1193"/>
        <v>#VALUE!</v>
      </c>
      <c r="AD1902" s="117" t="e">
        <f>ROUND(SUM(-G1902,H1902:L1902),0)</f>
        <v>#VALUE!</v>
      </c>
      <c r="AE1902" s="117" t="e">
        <f>ROUND(H1902-O1902-P1902-Q1902-R1902,0)</f>
        <v>#VALUE!</v>
      </c>
      <c r="AF1902" s="117" t="e">
        <f>ROUND(I1902-T1902-U1902-V1902-W1902,0)</f>
        <v>#VALUE!</v>
      </c>
      <c r="AG1902" s="117" t="e">
        <f>ROUND(J1902-Y1902-Z1902-AA1902-AC1902-AB1902,0)</f>
        <v>#VALUE!</v>
      </c>
      <c r="AH1902" s="116"/>
      <c r="AI1902">
        <f t="shared" si="1191"/>
        <v>2283</v>
      </c>
      <c r="AJ1902" t="str">
        <f t="shared" si="1186"/>
        <v>SO</v>
      </c>
      <c r="AK1902" t="str">
        <f>IF(ISERROR(MATCH(AI1902&amp;"."&amp;AJ1902,AK$91:AK1901,0)),AI1902&amp;"."&amp;AJ1902,AI1902&amp;"."&amp;AJ1902&amp;COUNTIFS(AI$91:AI1901,AI1902,AJ$91:AJ1901,AJ1902))</f>
        <v>2283.SO</v>
      </c>
    </row>
    <row r="1903" spans="1:37" ht="15" hidden="1">
      <c r="A1903" s="120">
        <f>ROW()</f>
        <v>1903</v>
      </c>
      <c r="B1903" s="120"/>
      <c r="C1903" s="1"/>
      <c r="E1903" s="121"/>
      <c r="F1903" s="138"/>
      <c r="G1903" s="117" t="e">
        <f t="shared" ref="G1903:L1903" si="1194">SUM(G1901:G1902)</f>
        <v>#VALUE!</v>
      </c>
      <c r="H1903" s="116" t="e">
        <f t="shared" si="1194"/>
        <v>#VALUE!</v>
      </c>
      <c r="I1903" s="116" t="e">
        <f t="shared" si="1194"/>
        <v>#VALUE!</v>
      </c>
      <c r="J1903" s="116" t="e">
        <f t="shared" si="1194"/>
        <v>#VALUE!</v>
      </c>
      <c r="K1903" s="116" t="e">
        <f t="shared" si="1194"/>
        <v>#VALUE!</v>
      </c>
      <c r="L1903" s="116" t="e">
        <f t="shared" si="1194"/>
        <v>#VALUE!</v>
      </c>
      <c r="O1903" s="116" t="e">
        <f>SUM(O1901:O1902)</f>
        <v>#VALUE!</v>
      </c>
      <c r="P1903" s="116" t="e">
        <f>SUM(P1901:P1902)</f>
        <v>#VALUE!</v>
      </c>
      <c r="Q1903" s="116" t="e">
        <f>SUM(Q1901:Q1902)</f>
        <v>#VALUE!</v>
      </c>
      <c r="R1903" s="116" t="e">
        <f>SUM(R1901:R1902)</f>
        <v>#VALUE!</v>
      </c>
      <c r="T1903" s="116" t="e">
        <f>SUM(T1901:T1902)</f>
        <v>#VALUE!</v>
      </c>
      <c r="U1903" s="116" t="e">
        <f>SUM(U1901:U1902)</f>
        <v>#VALUE!</v>
      </c>
      <c r="V1903" s="116" t="e">
        <f>SUM(V1901:V1902)</f>
        <v>#VALUE!</v>
      </c>
      <c r="W1903" s="116" t="e">
        <f>SUM(W1901:W1902)</f>
        <v>#VALUE!</v>
      </c>
      <c r="X1903" s="3"/>
      <c r="Y1903" s="116" t="e">
        <f>SUM(Y1901:Y1902)</f>
        <v>#VALUE!</v>
      </c>
      <c r="Z1903" s="116" t="e">
        <f>SUM(Z1901:Z1902)</f>
        <v>#VALUE!</v>
      </c>
      <c r="AA1903" s="116" t="e">
        <f>SUM(AA1901:AA1902)</f>
        <v>#VALUE!</v>
      </c>
      <c r="AB1903" s="116" t="e">
        <f>SUM(AB1901:AB1902)</f>
        <v>#VALUE!</v>
      </c>
      <c r="AC1903" s="116" t="e">
        <f>SUM(AC1901:AC1902)</f>
        <v>#VALUE!</v>
      </c>
      <c r="AD1903" s="117" t="e">
        <f>ROUND(SUM(-G1903,H1903:L1903),0)</f>
        <v>#VALUE!</v>
      </c>
      <c r="AE1903" s="117" t="e">
        <f>ROUND(H1903-O1903-P1903-Q1903-R1903,0)</f>
        <v>#VALUE!</v>
      </c>
      <c r="AF1903" s="117" t="e">
        <f>ROUND(I1903-T1903-U1903-V1903-W1903,0)</f>
        <v>#VALUE!</v>
      </c>
      <c r="AG1903" s="117" t="e">
        <f>ROUND(J1903-Y1903-Z1903-AA1903-AC1903-AB1903,0)</f>
        <v>#VALUE!</v>
      </c>
      <c r="AH1903" s="116"/>
      <c r="AI1903">
        <f t="shared" si="1191"/>
        <v>2283</v>
      </c>
      <c r="AJ1903" t="str">
        <f t="shared" si="1186"/>
        <v>NA</v>
      </c>
      <c r="AK1903" t="str">
        <f>IF(ISERROR(MATCH(AI1903&amp;"."&amp;AJ1903,AK$91:AK1902,0)),AI1903&amp;"."&amp;AJ1903,AI1903&amp;"."&amp;AJ1903&amp;COUNTIFS(AI$91:AI1902,AI1903,AJ$91:AJ1902,AJ1903))</f>
        <v>2283.NA1</v>
      </c>
    </row>
    <row r="1904" spans="1:37" ht="15" hidden="1">
      <c r="A1904" s="120">
        <f>ROW()</f>
        <v>1904</v>
      </c>
      <c r="B1904" s="120"/>
      <c r="C1904" s="1"/>
      <c r="E1904" s="121"/>
      <c r="F1904" s="138"/>
      <c r="G1904" s="117"/>
      <c r="H1904" s="116"/>
      <c r="I1904" s="116"/>
      <c r="J1904" s="116"/>
      <c r="K1904" s="116"/>
      <c r="L1904" s="116"/>
      <c r="O1904" s="116"/>
      <c r="P1904" s="116"/>
      <c r="Q1904" s="116"/>
      <c r="R1904" s="116"/>
      <c r="T1904" s="116"/>
      <c r="U1904" s="116"/>
      <c r="V1904" s="116"/>
      <c r="W1904" s="116"/>
      <c r="X1904" s="3"/>
      <c r="Y1904" s="116"/>
      <c r="Z1904" s="116"/>
      <c r="AA1904" s="116"/>
      <c r="AB1904" s="116"/>
      <c r="AC1904" s="116"/>
      <c r="AD1904" s="117"/>
      <c r="AE1904" s="117"/>
      <c r="AF1904" s="117"/>
      <c r="AG1904" s="117"/>
      <c r="AH1904" s="116"/>
      <c r="AI1904">
        <f t="shared" si="1191"/>
        <v>2283</v>
      </c>
      <c r="AJ1904" t="str">
        <f t="shared" si="1186"/>
        <v>NA</v>
      </c>
      <c r="AK1904" t="str">
        <f>IF(ISERROR(MATCH(AI1904&amp;"."&amp;AJ1904,AK$91:AK1903,0)),AI1904&amp;"."&amp;AJ1904,AI1904&amp;"."&amp;AJ1904&amp;COUNTIFS(AI$91:AI1903,AI1904,AJ$91:AJ1903,AJ1904))</f>
        <v>2283.NA2</v>
      </c>
    </row>
    <row r="1905" spans="1:37" ht="15" hidden="1">
      <c r="A1905" s="120">
        <f>ROW()</f>
        <v>1905</v>
      </c>
      <c r="B1905" s="120"/>
      <c r="C1905" s="1"/>
      <c r="E1905" s="121"/>
      <c r="F1905" s="138"/>
      <c r="G1905" s="117"/>
      <c r="H1905" s="116"/>
      <c r="I1905" s="116"/>
      <c r="J1905" s="116"/>
      <c r="K1905" s="116"/>
      <c r="L1905" s="116"/>
      <c r="O1905" s="116"/>
      <c r="P1905" s="116"/>
      <c r="Q1905" s="116"/>
      <c r="R1905" s="116"/>
      <c r="T1905" s="116"/>
      <c r="U1905" s="116"/>
      <c r="V1905" s="116"/>
      <c r="W1905" s="116"/>
      <c r="X1905" s="3"/>
      <c r="Y1905" s="116"/>
      <c r="Z1905" s="116"/>
      <c r="AA1905" s="116"/>
      <c r="AB1905" s="116"/>
      <c r="AC1905" s="116"/>
      <c r="AD1905" s="117"/>
      <c r="AE1905" s="117"/>
      <c r="AF1905" s="117"/>
      <c r="AG1905" s="117"/>
      <c r="AH1905" s="116"/>
      <c r="AI1905">
        <f t="shared" si="1191"/>
        <v>2283</v>
      </c>
      <c r="AJ1905" t="str">
        <f t="shared" si="1186"/>
        <v>NA</v>
      </c>
      <c r="AK1905" t="str">
        <f>IF(ISERROR(MATCH(AI1905&amp;"."&amp;AJ1905,AK$91:AK1904,0)),AI1905&amp;"."&amp;AJ1905,AI1905&amp;"."&amp;AJ1905&amp;COUNTIFS(AI$91:AI1904,AI1905,AJ$91:AJ1904,AJ1905))</f>
        <v>2283.NA3</v>
      </c>
    </row>
    <row r="1906" spans="1:37" ht="15" hidden="1">
      <c r="A1906" s="120">
        <f>ROW()</f>
        <v>1906</v>
      </c>
      <c r="B1906" s="120"/>
      <c r="C1906" s="1">
        <v>25335</v>
      </c>
      <c r="D1906" s="2" t="s">
        <v>721</v>
      </c>
      <c r="E1906" s="121"/>
      <c r="F1906" s="138"/>
      <c r="G1906" s="119"/>
      <c r="X1906" s="3"/>
      <c r="AD1906" s="119"/>
      <c r="AE1906" s="119"/>
      <c r="AF1906" s="119"/>
      <c r="AG1906" s="119"/>
      <c r="AI1906">
        <f t="shared" si="1191"/>
        <v>25335</v>
      </c>
      <c r="AJ1906" t="str">
        <f t="shared" si="1186"/>
        <v>NA</v>
      </c>
      <c r="AK1906" t="str">
        <f>IF(ISERROR(MATCH(AI1906&amp;"."&amp;AJ1906,AK$91:AK1905,0)),AI1906&amp;"."&amp;AJ1906,AI1906&amp;"."&amp;AJ1906&amp;COUNTIFS(AI$91:AI1905,AI1906,AJ$91:AJ1905,AJ1906))</f>
        <v>25335.NA</v>
      </c>
    </row>
    <row r="1907" spans="1:37" ht="15" hidden="1">
      <c r="A1907" s="120">
        <f>ROW()</f>
        <v>1907</v>
      </c>
      <c r="B1907" s="120"/>
      <c r="C1907" s="1"/>
      <c r="E1907" s="121" t="s">
        <v>16</v>
      </c>
      <c r="F1907" s="138" t="str">
        <f>INDEX(FuncAllocOptions,ROW(A1907)-ROW($A$92)+1,[4]Inputs!$S$11)</f>
        <v>P</v>
      </c>
      <c r="G1907" s="133" t="e">
        <f>SUMIF(FERCJAMFactor,AK1907,JAMValue)</f>
        <v>#VALUE!</v>
      </c>
      <c r="H1907" s="139" t="e">
        <f>INDEX(FuncFactorTbl,MATCH($F1907,FuncFactors,0),MATCH(H$8,Functions,0))*$G1907</f>
        <v>#VALUE!</v>
      </c>
      <c r="I1907" s="139" t="e">
        <f>INDEX(FuncFactorTbl,MATCH($F1907,FuncFactors,0),MATCH(I$8,Functions,0))*$G1907</f>
        <v>#VALUE!</v>
      </c>
      <c r="J1907" s="139" t="e">
        <f>INDEX(FuncFactorTbl,MATCH($F1907,FuncFactors,0),MATCH(J$8,Functions,0))*$G1907</f>
        <v>#VALUE!</v>
      </c>
      <c r="K1907" s="139" t="e">
        <f>INDEX(FuncFactorTbl,MATCH($F1907,FuncFactors,0),MATCH(K$8,Functions,0))*$G1907</f>
        <v>#VALUE!</v>
      </c>
      <c r="L1907" s="139" t="e">
        <f>INDEX(FuncFactorTbl,MATCH($F1907,FuncFactors,0),MATCH(L$8,Functions,0))*$G1907</f>
        <v>#VALUE!</v>
      </c>
      <c r="N1907" s="108">
        <v>0.75</v>
      </c>
      <c r="O1907" s="116" t="e">
        <f>$H1907*$N1907*$M1907</f>
        <v>#VALUE!</v>
      </c>
      <c r="P1907" s="116" t="e">
        <f>$H1907*(1-$N1907)*$M1907</f>
        <v>#VALUE!</v>
      </c>
      <c r="Q1907" s="116" t="e">
        <f>$H1907*$N1907*(1-$M1907)</f>
        <v>#VALUE!</v>
      </c>
      <c r="R1907" s="116" t="e">
        <f>$H1907*(1-$N1907)*(1-$M1907)</f>
        <v>#VALUE!</v>
      </c>
      <c r="S1907" s="108">
        <v>0.75</v>
      </c>
      <c r="T1907" s="116" t="e">
        <f>$I1907*$S1907*$M1907</f>
        <v>#VALUE!</v>
      </c>
      <c r="U1907" s="116" t="e">
        <f>$I1907*(1-$S1907)*$M1907</f>
        <v>#VALUE!</v>
      </c>
      <c r="V1907" s="116" t="e">
        <f>$I1907*$S1907*(1-$M1907)</f>
        <v>#VALUE!</v>
      </c>
      <c r="W1907" s="116" t="e">
        <f>$I1907*(1-$S1907)*(1-$M1907)</f>
        <v>#VALUE!</v>
      </c>
      <c r="X1907" s="3" t="str">
        <f>INDEX(DistFuncAllocOptions,ROW(A1907)-ROW($A$92)+1,[4]Inputs!$S$11)</f>
        <v>PLNT</v>
      </c>
      <c r="Y1907" s="116" t="e">
        <f>INDEX(DistFuncFactorTbl,MATCH($X1907,DistFuncFactors,0),MATCH(Y$91,DistFunctions,0))*$J1907</f>
        <v>#VALUE!</v>
      </c>
      <c r="Z1907" s="116" t="e">
        <f>INDEX(DistFuncFactorTbl,MATCH($X1907,DistFuncFactors,0),MATCH(Z$91,DistFunctions,0))*$J1907</f>
        <v>#VALUE!</v>
      </c>
      <c r="AA1907" s="116" t="e">
        <f>INDEX(DistFuncFactorTbl,MATCH($X1907,DistFuncFactors,0),MATCH(AA$91,DistFunctions,0))*$J1907</f>
        <v>#VALUE!</v>
      </c>
      <c r="AB1907" s="116" t="e">
        <f>INDEX(DistFuncFactorTbl,MATCH($X1907,DistFuncFactors,0),MATCH(AB$91,DistFunctions,0))*$J1907</f>
        <v>#VALUE!</v>
      </c>
      <c r="AC1907" s="116" t="e">
        <f>INDEX(DistFuncFactorTbl,MATCH($X1907,DistFuncFactors,0),MATCH(AC$91,DistFunctions,0))*$J1907</f>
        <v>#VALUE!</v>
      </c>
      <c r="AD1907" s="117" t="e">
        <f>ROUND(SUM(-G1907,H1907:L1907),0)</f>
        <v>#VALUE!</v>
      </c>
      <c r="AE1907" s="117" t="e">
        <f>ROUND(H1907-O1907-P1907-Q1907-R1907,0)</f>
        <v>#VALUE!</v>
      </c>
      <c r="AF1907" s="117" t="e">
        <f>ROUND(I1907-T1907-U1907-V1907-W1907,0)</f>
        <v>#VALUE!</v>
      </c>
      <c r="AG1907" s="117" t="e">
        <f>ROUND(J1907-Y1907-Z1907-AA1907-AC1907-AB1907,0)</f>
        <v>#VALUE!</v>
      </c>
      <c r="AH1907" s="116"/>
      <c r="AI1907">
        <f t="shared" si="1191"/>
        <v>25335</v>
      </c>
      <c r="AJ1907" t="str">
        <f t="shared" si="1186"/>
        <v>SE</v>
      </c>
      <c r="AK1907" t="str">
        <f>IF(ISERROR(MATCH(AI1907&amp;"."&amp;AJ1907,AK$91:AK1906,0)),AI1907&amp;"."&amp;AJ1907,AI1907&amp;"."&amp;AJ1907&amp;COUNTIFS(AI$91:AI1906,AI1907,AJ$91:AJ1906,AJ1907))</f>
        <v>25335.SE</v>
      </c>
    </row>
    <row r="1908" spans="1:37" ht="15" hidden="1">
      <c r="A1908" s="120">
        <f>ROW()</f>
        <v>1908</v>
      </c>
      <c r="B1908" s="120"/>
      <c r="C1908" s="1"/>
      <c r="E1908" s="121"/>
      <c r="F1908" s="138"/>
      <c r="G1908" s="117" t="e">
        <f t="shared" ref="G1908:L1908" si="1195">SUM(G1907:G1907)</f>
        <v>#VALUE!</v>
      </c>
      <c r="H1908" s="116" t="e">
        <f t="shared" si="1195"/>
        <v>#VALUE!</v>
      </c>
      <c r="I1908" s="116" t="e">
        <f t="shared" si="1195"/>
        <v>#VALUE!</v>
      </c>
      <c r="J1908" s="116" t="e">
        <f t="shared" si="1195"/>
        <v>#VALUE!</v>
      </c>
      <c r="K1908" s="116" t="e">
        <f t="shared" si="1195"/>
        <v>#VALUE!</v>
      </c>
      <c r="L1908" s="116" t="e">
        <f t="shared" si="1195"/>
        <v>#VALUE!</v>
      </c>
      <c r="O1908" s="116" t="e">
        <f>SUM(O1907:O1907)</f>
        <v>#VALUE!</v>
      </c>
      <c r="P1908" s="116" t="e">
        <f>SUM(P1907:P1907)</f>
        <v>#VALUE!</v>
      </c>
      <c r="Q1908" s="116" t="e">
        <f>SUM(Q1907:Q1907)</f>
        <v>#VALUE!</v>
      </c>
      <c r="R1908" s="116" t="e">
        <f>SUM(R1907:R1907)</f>
        <v>#VALUE!</v>
      </c>
      <c r="T1908" s="116" t="e">
        <f>SUM(T1907:T1907)</f>
        <v>#VALUE!</v>
      </c>
      <c r="U1908" s="116" t="e">
        <f>SUM(U1907:U1907)</f>
        <v>#VALUE!</v>
      </c>
      <c r="V1908" s="116" t="e">
        <f>SUM(V1907:V1907)</f>
        <v>#VALUE!</v>
      </c>
      <c r="W1908" s="116" t="e">
        <f>SUM(W1907:W1907)</f>
        <v>#VALUE!</v>
      </c>
      <c r="X1908" s="3"/>
      <c r="Y1908" s="116" t="e">
        <f>SUM(Y1907:Y1907)</f>
        <v>#VALUE!</v>
      </c>
      <c r="Z1908" s="116" t="e">
        <f>SUM(Z1907:Z1907)</f>
        <v>#VALUE!</v>
      </c>
      <c r="AA1908" s="116" t="e">
        <f>SUM(AA1907:AA1907)</f>
        <v>#VALUE!</v>
      </c>
      <c r="AB1908" s="116" t="e">
        <f>SUM(AB1907:AB1907)</f>
        <v>#VALUE!</v>
      </c>
      <c r="AC1908" s="116" t="e">
        <f>SUM(AC1907:AC1907)</f>
        <v>#VALUE!</v>
      </c>
      <c r="AD1908" s="117" t="e">
        <f>ROUND(SUM(-G1908,H1908:L1908),0)</f>
        <v>#VALUE!</v>
      </c>
      <c r="AE1908" s="117" t="e">
        <f>ROUND(H1908-O1908-P1908-Q1908-R1908,0)</f>
        <v>#VALUE!</v>
      </c>
      <c r="AF1908" s="117" t="e">
        <f>ROUND(I1908-T1908-U1908-V1908-W1908,0)</f>
        <v>#VALUE!</v>
      </c>
      <c r="AG1908" s="117" t="e">
        <f>ROUND(J1908-Y1908-Z1908-AA1908-AC1908-AB1908,0)</f>
        <v>#VALUE!</v>
      </c>
      <c r="AH1908" s="116"/>
      <c r="AI1908">
        <f t="shared" si="1191"/>
        <v>25335</v>
      </c>
      <c r="AJ1908" t="str">
        <f t="shared" si="1186"/>
        <v>NA</v>
      </c>
      <c r="AK1908" t="str">
        <f>IF(ISERROR(MATCH(AI1908&amp;"."&amp;AJ1908,AK$91:AK1907,0)),AI1908&amp;"."&amp;AJ1908,AI1908&amp;"."&amp;AJ1908&amp;COUNTIFS(AI$91:AI1907,AI1908,AJ$91:AJ1907,AJ1908))</f>
        <v>25335.NA1</v>
      </c>
    </row>
    <row r="1909" spans="1:37" ht="15" hidden="1">
      <c r="A1909" s="120">
        <f>ROW()</f>
        <v>1909</v>
      </c>
      <c r="B1909" s="120"/>
      <c r="C1909" s="1"/>
      <c r="E1909" s="121"/>
      <c r="F1909" s="138"/>
      <c r="G1909" s="117"/>
      <c r="H1909" s="116"/>
      <c r="I1909" s="116"/>
      <c r="J1909" s="116"/>
      <c r="K1909" s="116"/>
      <c r="L1909" s="116"/>
      <c r="O1909" s="116"/>
      <c r="P1909" s="116"/>
      <c r="Q1909" s="116"/>
      <c r="R1909" s="116"/>
      <c r="T1909" s="116"/>
      <c r="U1909" s="116"/>
      <c r="V1909" s="116"/>
      <c r="W1909" s="116"/>
      <c r="X1909" s="3"/>
      <c r="Y1909" s="116"/>
      <c r="Z1909" s="116"/>
      <c r="AA1909" s="116"/>
      <c r="AB1909" s="116"/>
      <c r="AC1909" s="116"/>
      <c r="AD1909" s="117"/>
      <c r="AE1909" s="117"/>
      <c r="AF1909" s="117"/>
      <c r="AG1909" s="117"/>
      <c r="AH1909" s="116"/>
      <c r="AI1909">
        <f t="shared" si="1191"/>
        <v>25335</v>
      </c>
      <c r="AJ1909" t="str">
        <f t="shared" si="1186"/>
        <v>NA</v>
      </c>
      <c r="AK1909" t="str">
        <f>IF(ISERROR(MATCH(AI1909&amp;"."&amp;AJ1909,AK$91:AK1908,0)),AI1909&amp;"."&amp;AJ1909,AI1909&amp;"."&amp;AJ1909&amp;COUNTIFS(AI$91:AI1908,AI1909,AJ$91:AJ1908,AJ1909))</f>
        <v>25335.NA2</v>
      </c>
    </row>
    <row r="1910" spans="1:37" ht="15" hidden="1">
      <c r="A1910" s="120">
        <f>ROW()</f>
        <v>1910</v>
      </c>
      <c r="B1910" s="120"/>
      <c r="C1910" s="1">
        <v>22841</v>
      </c>
      <c r="D1910" s="2" t="s">
        <v>720</v>
      </c>
      <c r="E1910" s="121"/>
      <c r="F1910" s="138"/>
      <c r="G1910" s="119"/>
      <c r="X1910" s="3"/>
      <c r="AD1910" s="119"/>
      <c r="AE1910" s="119"/>
      <c r="AF1910" s="119"/>
      <c r="AG1910" s="119"/>
      <c r="AI1910">
        <f t="shared" si="1191"/>
        <v>22841</v>
      </c>
      <c r="AJ1910" t="str">
        <f t="shared" si="1186"/>
        <v>NA</v>
      </c>
      <c r="AK1910" t="str">
        <f>IF(ISERROR(MATCH(AI1910&amp;"."&amp;AJ1910,AK$91:AK1909,0)),AI1910&amp;"."&amp;AJ1910,AI1910&amp;"."&amp;AJ1910&amp;COUNTIFS(AI$91:AI1909,AI1910,AJ$91:AJ1909,AJ1910))</f>
        <v>22841.NA</v>
      </c>
    </row>
    <row r="1911" spans="1:37" ht="15" hidden="1">
      <c r="A1911" s="120">
        <f>ROW()</f>
        <v>1911</v>
      </c>
      <c r="B1911" s="120"/>
      <c r="C1911" s="1"/>
      <c r="E1911" s="121" t="s">
        <v>15</v>
      </c>
      <c r="F1911" s="138" t="str">
        <f>INDEX(FuncAllocOptions,ROW(A1911)-ROW($A$92)+1,[4]Inputs!$S$11)</f>
        <v>P</v>
      </c>
      <c r="G1911" s="133" t="e">
        <f>SUMIF(FERCJAMFactor,AK1911,JAMValue)</f>
        <v>#VALUE!</v>
      </c>
      <c r="H1911" s="139" t="e">
        <f>INDEX(FuncFactorTbl,MATCH($F1911,FuncFactors,0),MATCH(H$8,Functions,0))*$G1911</f>
        <v>#VALUE!</v>
      </c>
      <c r="I1911" s="139" t="e">
        <f>INDEX(FuncFactorTbl,MATCH($F1911,FuncFactors,0),MATCH(I$8,Functions,0))*$G1911</f>
        <v>#VALUE!</v>
      </c>
      <c r="J1911" s="139" t="e">
        <f>INDEX(FuncFactorTbl,MATCH($F1911,FuncFactors,0),MATCH(J$8,Functions,0))*$G1911</f>
        <v>#VALUE!</v>
      </c>
      <c r="K1911" s="139" t="e">
        <f>INDEX(FuncFactorTbl,MATCH($F1911,FuncFactors,0),MATCH(K$8,Functions,0))*$G1911</f>
        <v>#VALUE!</v>
      </c>
      <c r="L1911" s="139" t="e">
        <f>INDEX(FuncFactorTbl,MATCH($F1911,FuncFactors,0),MATCH(L$8,Functions,0))*$G1911</f>
        <v>#VALUE!</v>
      </c>
      <c r="N1911" s="108">
        <v>0.75</v>
      </c>
      <c r="O1911" s="116" t="e">
        <f>$H1911*$N1911*$M1911</f>
        <v>#VALUE!</v>
      </c>
      <c r="P1911" s="116" t="e">
        <f>$H1911*(1-$N1911)*$M1911</f>
        <v>#VALUE!</v>
      </c>
      <c r="Q1911" s="116" t="e">
        <f>$H1911*$N1911*(1-$M1911)</f>
        <v>#VALUE!</v>
      </c>
      <c r="R1911" s="116" t="e">
        <f>$H1911*(1-$N1911)*(1-$M1911)</f>
        <v>#VALUE!</v>
      </c>
      <c r="S1911" s="108">
        <v>0.75</v>
      </c>
      <c r="T1911" s="116" t="e">
        <f>$I1911*$S1911*$M1911</f>
        <v>#VALUE!</v>
      </c>
      <c r="U1911" s="116" t="e">
        <f>$I1911*(1-$S1911)*$M1911</f>
        <v>#VALUE!</v>
      </c>
      <c r="V1911" s="116" t="e">
        <f>$I1911*$S1911*(1-$M1911)</f>
        <v>#VALUE!</v>
      </c>
      <c r="W1911" s="116" t="e">
        <f>$I1911*(1-$S1911)*(1-$M1911)</f>
        <v>#VALUE!</v>
      </c>
      <c r="X1911" s="3" t="str">
        <f>INDEX(DistFuncAllocOptions,ROW(A1911)-ROW($A$92)+1,[4]Inputs!$S$11)</f>
        <v>PLNT</v>
      </c>
      <c r="Y1911" s="116" t="e">
        <f>INDEX(DistFuncFactorTbl,MATCH($X1911,DistFuncFactors,0),MATCH(Y$91,DistFunctions,0))*$J1911</f>
        <v>#VALUE!</v>
      </c>
      <c r="Z1911" s="116" t="e">
        <f>INDEX(DistFuncFactorTbl,MATCH($X1911,DistFuncFactors,0),MATCH(Z$91,DistFunctions,0))*$J1911</f>
        <v>#VALUE!</v>
      </c>
      <c r="AA1911" s="116" t="e">
        <f>INDEX(DistFuncFactorTbl,MATCH($X1911,DistFuncFactors,0),MATCH(AA$91,DistFunctions,0))*$J1911</f>
        <v>#VALUE!</v>
      </c>
      <c r="AB1911" s="116" t="e">
        <f>INDEX(DistFuncFactorTbl,MATCH($X1911,DistFuncFactors,0),MATCH(AB$91,DistFunctions,0))*$J1911</f>
        <v>#VALUE!</v>
      </c>
      <c r="AC1911" s="116" t="e">
        <f>INDEX(DistFuncFactorTbl,MATCH($X1911,DistFuncFactors,0),MATCH(AC$91,DistFunctions,0))*$J1911</f>
        <v>#VALUE!</v>
      </c>
      <c r="AD1911" s="117" t="e">
        <f>ROUND(SUM(-G1911,H1911:L1911),0)</f>
        <v>#VALUE!</v>
      </c>
      <c r="AE1911" s="117" t="e">
        <f>ROUND(H1911-O1911-P1911-Q1911-R1911,0)</f>
        <v>#VALUE!</v>
      </c>
      <c r="AF1911" s="117" t="e">
        <f>ROUND(I1911-T1911-U1911-V1911-W1911,0)</f>
        <v>#VALUE!</v>
      </c>
      <c r="AG1911" s="117" t="e">
        <f>ROUND(J1911-Y1911-Z1911-AA1911-AC1911-AB1911,0)</f>
        <v>#VALUE!</v>
      </c>
      <c r="AH1911" s="116"/>
      <c r="AI1911">
        <f t="shared" si="1191"/>
        <v>22841</v>
      </c>
      <c r="AJ1911" t="str">
        <f t="shared" si="1186"/>
        <v>SG</v>
      </c>
      <c r="AK1911" t="str">
        <f>IF(ISERROR(MATCH(AI1911&amp;"."&amp;AJ1911,AK$91:AK1910,0)),AI1911&amp;"."&amp;AJ1911,AI1911&amp;"."&amp;AJ1911&amp;COUNTIFS(AI$91:AI1910,AI1911,AJ$91:AJ1910,AJ1911))</f>
        <v>22841.SG</v>
      </c>
    </row>
    <row r="1912" spans="1:37" ht="15" hidden="1">
      <c r="A1912" s="120">
        <f>ROW()</f>
        <v>1912</v>
      </c>
      <c r="B1912" s="120"/>
      <c r="C1912" s="1"/>
      <c r="E1912" s="121"/>
      <c r="F1912" s="138"/>
      <c r="G1912" s="117" t="e">
        <f t="shared" ref="G1912:L1912" si="1196">SUM(G1911)</f>
        <v>#VALUE!</v>
      </c>
      <c r="H1912" s="116" t="e">
        <f t="shared" si="1196"/>
        <v>#VALUE!</v>
      </c>
      <c r="I1912" s="116" t="e">
        <f t="shared" si="1196"/>
        <v>#VALUE!</v>
      </c>
      <c r="J1912" s="116" t="e">
        <f t="shared" si="1196"/>
        <v>#VALUE!</v>
      </c>
      <c r="K1912" s="116" t="e">
        <f t="shared" si="1196"/>
        <v>#VALUE!</v>
      </c>
      <c r="L1912" s="116" t="e">
        <f t="shared" si="1196"/>
        <v>#VALUE!</v>
      </c>
      <c r="O1912" s="116" t="e">
        <f>SUM(O1911)</f>
        <v>#VALUE!</v>
      </c>
      <c r="P1912" s="116" t="e">
        <f>SUM(P1911)</f>
        <v>#VALUE!</v>
      </c>
      <c r="Q1912" s="116" t="e">
        <f>SUM(Q1911)</f>
        <v>#VALUE!</v>
      </c>
      <c r="R1912" s="116" t="e">
        <f>SUM(R1911)</f>
        <v>#VALUE!</v>
      </c>
      <c r="T1912" s="116" t="e">
        <f>SUM(T1911)</f>
        <v>#VALUE!</v>
      </c>
      <c r="U1912" s="116" t="e">
        <f>SUM(U1911)</f>
        <v>#VALUE!</v>
      </c>
      <c r="V1912" s="116" t="e">
        <f>SUM(V1911)</f>
        <v>#VALUE!</v>
      </c>
      <c r="W1912" s="116" t="e">
        <f>SUM(W1911)</f>
        <v>#VALUE!</v>
      </c>
      <c r="X1912" s="3"/>
      <c r="Y1912" s="116" t="e">
        <f>SUM(Y1911)</f>
        <v>#VALUE!</v>
      </c>
      <c r="Z1912" s="116" t="e">
        <f>SUM(Z1911)</f>
        <v>#VALUE!</v>
      </c>
      <c r="AA1912" s="116" t="e">
        <f>SUM(AA1911)</f>
        <v>#VALUE!</v>
      </c>
      <c r="AB1912" s="116" t="e">
        <f>SUM(AB1911)</f>
        <v>#VALUE!</v>
      </c>
      <c r="AC1912" s="116" t="e">
        <f>SUM(AC1911)</f>
        <v>#VALUE!</v>
      </c>
      <c r="AD1912" s="117" t="e">
        <f>ROUND(SUM(-G1912,H1912:L1912),0)</f>
        <v>#VALUE!</v>
      </c>
      <c r="AE1912" s="117" t="e">
        <f>ROUND(H1912-O1912-P1912-Q1912-R1912,0)</f>
        <v>#VALUE!</v>
      </c>
      <c r="AF1912" s="117" t="e">
        <f>ROUND(I1912-T1912-U1912-V1912-W1912,0)</f>
        <v>#VALUE!</v>
      </c>
      <c r="AG1912" s="117" t="e">
        <f>ROUND(J1912-Y1912-Z1912-AA1912-AC1912-AB1912,0)</f>
        <v>#VALUE!</v>
      </c>
      <c r="AH1912" s="116"/>
      <c r="AI1912">
        <f t="shared" si="1191"/>
        <v>22841</v>
      </c>
      <c r="AJ1912" t="str">
        <f t="shared" si="1186"/>
        <v>NA</v>
      </c>
      <c r="AK1912" t="str">
        <f>IF(ISERROR(MATCH(AI1912&amp;"."&amp;AJ1912,AK$91:AK1911,0)),AI1912&amp;"."&amp;AJ1912,AI1912&amp;"."&amp;AJ1912&amp;COUNTIFS(AI$91:AI1911,AI1912,AJ$91:AJ1911,AJ1912))</f>
        <v>22841.NA1</v>
      </c>
    </row>
    <row r="1913" spans="1:37" ht="15" hidden="1">
      <c r="A1913" s="120">
        <f>ROW()</f>
        <v>1913</v>
      </c>
      <c r="B1913" s="120"/>
      <c r="C1913" s="1"/>
      <c r="E1913" s="121"/>
      <c r="F1913" s="138"/>
      <c r="G1913" s="117"/>
      <c r="H1913" s="116"/>
      <c r="I1913" s="116"/>
      <c r="J1913" s="116"/>
      <c r="K1913" s="116"/>
      <c r="L1913" s="116"/>
      <c r="O1913" s="116"/>
      <c r="P1913" s="116"/>
      <c r="Q1913" s="116"/>
      <c r="R1913" s="116"/>
      <c r="T1913" s="116"/>
      <c r="U1913" s="116"/>
      <c r="V1913" s="116"/>
      <c r="W1913" s="116"/>
      <c r="X1913" s="3"/>
      <c r="Y1913" s="116"/>
      <c r="Z1913" s="116"/>
      <c r="AA1913" s="116"/>
      <c r="AB1913" s="116"/>
      <c r="AC1913" s="116"/>
      <c r="AD1913" s="117"/>
      <c r="AE1913" s="117"/>
      <c r="AF1913" s="117"/>
      <c r="AG1913" s="117"/>
      <c r="AH1913" s="116"/>
      <c r="AI1913">
        <f t="shared" si="1191"/>
        <v>22841</v>
      </c>
      <c r="AJ1913" t="str">
        <f t="shared" si="1186"/>
        <v>NA</v>
      </c>
      <c r="AK1913" t="str">
        <f>IF(ISERROR(MATCH(AI1913&amp;"."&amp;AJ1913,AK$91:AK1912,0)),AI1913&amp;"."&amp;AJ1913,AI1913&amp;"."&amp;AJ1913&amp;COUNTIFS(AI$91:AI1912,AI1913,AJ$91:AJ1912,AJ1913))</f>
        <v>22841.NA2</v>
      </c>
    </row>
    <row r="1914" spans="1:37" ht="15" hidden="1">
      <c r="A1914" s="120">
        <f>ROW()</f>
        <v>1914</v>
      </c>
      <c r="B1914" s="120"/>
      <c r="C1914" s="151">
        <v>254</v>
      </c>
      <c r="D1914" s="150" t="s">
        <v>719</v>
      </c>
      <c r="E1914" s="121"/>
      <c r="F1914" s="138"/>
      <c r="G1914" s="119"/>
      <c r="X1914" s="3"/>
      <c r="AD1914" s="119"/>
      <c r="AE1914" s="119"/>
      <c r="AF1914" s="119"/>
      <c r="AG1914" s="119"/>
      <c r="AI1914">
        <f t="shared" si="1191"/>
        <v>254</v>
      </c>
      <c r="AJ1914" t="str">
        <f t="shared" si="1186"/>
        <v>NA</v>
      </c>
      <c r="AK1914" t="str">
        <f>IF(ISERROR(MATCH(AI1914&amp;"."&amp;AJ1914,AK$91:AK1913,0)),AI1914&amp;"."&amp;AJ1914,AI1914&amp;"."&amp;AJ1914&amp;COUNTIFS(AI$91:AI1913,AI1914,AJ$91:AJ1913,AJ1914))</f>
        <v>254.NA</v>
      </c>
    </row>
    <row r="1915" spans="1:37" ht="15" hidden="1">
      <c r="A1915" s="120">
        <f>ROW()</f>
        <v>1915</v>
      </c>
      <c r="B1915" s="120"/>
      <c r="C1915" s="1"/>
      <c r="D1915" s="110"/>
      <c r="E1915" s="120" t="s">
        <v>136</v>
      </c>
      <c r="F1915" s="138" t="str">
        <f>INDEX(FuncAllocOptions,ROW(A1915)-ROW($A$92)+1,[4]Inputs!$S$11)</f>
        <v>PTD</v>
      </c>
      <c r="G1915" s="117" t="e">
        <f>SUMIF(FERCJAMFactor,AK1915,JAMValue)</f>
        <v>#VALUE!</v>
      </c>
      <c r="H1915" s="116" t="e">
        <f t="shared" ref="H1915:L1916" si="1197">INDEX(FuncFactorTbl,MATCH($F1915,FuncFactors,0),MATCH(H$8,Functions,0))*$G1915</f>
        <v>#VALUE!</v>
      </c>
      <c r="I1915" s="116" t="e">
        <f t="shared" si="1197"/>
        <v>#VALUE!</v>
      </c>
      <c r="J1915" s="116" t="e">
        <f t="shared" si="1197"/>
        <v>#VALUE!</v>
      </c>
      <c r="K1915" s="116" t="e">
        <f t="shared" si="1197"/>
        <v>#VALUE!</v>
      </c>
      <c r="L1915" s="116" t="e">
        <f t="shared" si="1197"/>
        <v>#VALUE!</v>
      </c>
      <c r="N1915" s="108">
        <v>0.75</v>
      </c>
      <c r="O1915" s="116" t="e">
        <f>$H1915*$N1915*$M1915</f>
        <v>#VALUE!</v>
      </c>
      <c r="P1915" s="116" t="e">
        <f>$H1915*(1-$N1915)*$M1915</f>
        <v>#VALUE!</v>
      </c>
      <c r="Q1915" s="116" t="e">
        <f>$H1915*$N1915*(1-$M1915)</f>
        <v>#VALUE!</v>
      </c>
      <c r="R1915" s="116" t="e">
        <f>$H1915*(1-$N1915)*(1-$M1915)</f>
        <v>#VALUE!</v>
      </c>
      <c r="S1915" s="108">
        <v>0.75</v>
      </c>
      <c r="T1915" s="116" t="e">
        <f>$I1915*$S1915*$M1915</f>
        <v>#VALUE!</v>
      </c>
      <c r="U1915" s="116" t="e">
        <f>$I1915*(1-$S1915)*$M1915</f>
        <v>#VALUE!</v>
      </c>
      <c r="V1915" s="116" t="e">
        <f>$I1915*$S1915*(1-$M1915)</f>
        <v>#VALUE!</v>
      </c>
      <c r="W1915" s="116" t="e">
        <f>$I1915*(1-$S1915)*(1-$M1915)</f>
        <v>#VALUE!</v>
      </c>
      <c r="X1915" s="3" t="str">
        <f>INDEX(DistFuncAllocOptions,ROW(A1915)-ROW($A$92)+1,[4]Inputs!$S$11)</f>
        <v>PLNT</v>
      </c>
      <c r="Y1915" s="116" t="e">
        <f t="shared" ref="Y1915:AC1916" si="1198">INDEX(DistFuncFactorTbl,MATCH($X1915,DistFuncFactors,0),MATCH(Y$91,DistFunctions,0))*$J1915</f>
        <v>#VALUE!</v>
      </c>
      <c r="Z1915" s="116" t="e">
        <f t="shared" si="1198"/>
        <v>#VALUE!</v>
      </c>
      <c r="AA1915" s="116" t="e">
        <f t="shared" si="1198"/>
        <v>#VALUE!</v>
      </c>
      <c r="AB1915" s="116" t="e">
        <f t="shared" si="1198"/>
        <v>#VALUE!</v>
      </c>
      <c r="AC1915" s="116" t="e">
        <f t="shared" si="1198"/>
        <v>#VALUE!</v>
      </c>
      <c r="AD1915" s="117" t="e">
        <f>ROUND(SUM(-G1915,H1915:L1915),0)</f>
        <v>#VALUE!</v>
      </c>
      <c r="AE1915" s="117" t="e">
        <f>ROUND(H1915-O1915-P1915-Q1915-R1915,0)</f>
        <v>#VALUE!</v>
      </c>
      <c r="AF1915" s="117" t="e">
        <f>ROUND(I1915-T1915-U1915-V1915-W1915,0)</f>
        <v>#VALUE!</v>
      </c>
      <c r="AG1915" s="117" t="e">
        <f>ROUND(J1915-Y1915-Z1915-AA1915-AC1915-AB1915,0)</f>
        <v>#VALUE!</v>
      </c>
      <c r="AH1915" s="116"/>
      <c r="AI1915">
        <f t="shared" si="1191"/>
        <v>254</v>
      </c>
      <c r="AJ1915" t="str">
        <f t="shared" si="1186"/>
        <v>SO</v>
      </c>
      <c r="AK1915" t="str">
        <f>IF(ISERROR(MATCH(AI1915&amp;"."&amp;AJ1915,AK$91:AK1914,0)),AI1915&amp;"."&amp;AJ1915,AI1915&amp;"."&amp;AJ1915&amp;COUNTIFS(AI$91:AI1914,AI1915,AJ$91:AJ1914,AJ1915))</f>
        <v>254.SO</v>
      </c>
    </row>
    <row r="1916" spans="1:37" ht="15" hidden="1">
      <c r="A1916" s="120">
        <f>ROW()</f>
        <v>1916</v>
      </c>
      <c r="B1916" s="120"/>
      <c r="C1916" s="1"/>
      <c r="D1916" s="110"/>
      <c r="E1916" s="120" t="s">
        <v>12</v>
      </c>
      <c r="F1916" s="138" t="str">
        <f>INDEX(FuncAllocOptions,ROW(A1916)-ROW($A$92)+1,[4]Inputs!$S$11)</f>
        <v>P</v>
      </c>
      <c r="G1916" s="133" t="e">
        <f>SUMIF(FERCJAMFactor,AK1916,JAMValue)</f>
        <v>#VALUE!</v>
      </c>
      <c r="H1916" s="139" t="e">
        <f t="shared" si="1197"/>
        <v>#VALUE!</v>
      </c>
      <c r="I1916" s="139" t="e">
        <f t="shared" si="1197"/>
        <v>#VALUE!</v>
      </c>
      <c r="J1916" s="139" t="e">
        <f t="shared" si="1197"/>
        <v>#VALUE!</v>
      </c>
      <c r="K1916" s="139" t="e">
        <f t="shared" si="1197"/>
        <v>#VALUE!</v>
      </c>
      <c r="L1916" s="139" t="e">
        <f t="shared" si="1197"/>
        <v>#VALUE!</v>
      </c>
      <c r="N1916" s="108">
        <v>0</v>
      </c>
      <c r="O1916" s="116" t="e">
        <f>$H1916*$N1916*$M1916</f>
        <v>#VALUE!</v>
      </c>
      <c r="P1916" s="116" t="e">
        <f>$H1916*(1-$N1916)*$M1916</f>
        <v>#VALUE!</v>
      </c>
      <c r="Q1916" s="116" t="e">
        <f>$H1916*$N1916*(1-$M1916)</f>
        <v>#VALUE!</v>
      </c>
      <c r="R1916" s="116" t="e">
        <f>$H1916*(1-$N1916)*(1-$M1916)</f>
        <v>#VALUE!</v>
      </c>
      <c r="S1916" s="108">
        <v>0</v>
      </c>
      <c r="T1916" s="116" t="e">
        <f>$I1916*$S1916*$M1916</f>
        <v>#VALUE!</v>
      </c>
      <c r="U1916" s="116" t="e">
        <f>$I1916*(1-$S1916)*$M1916</f>
        <v>#VALUE!</v>
      </c>
      <c r="V1916" s="116" t="e">
        <f>$I1916*$S1916*(1-$M1916)</f>
        <v>#VALUE!</v>
      </c>
      <c r="W1916" s="116" t="e">
        <f>$I1916*(1-$S1916)*(1-$M1916)</f>
        <v>#VALUE!</v>
      </c>
      <c r="X1916" s="3" t="str">
        <f>INDEX(DistFuncAllocOptions,ROW(A1916)-ROW($A$92)+1,[4]Inputs!$S$11)</f>
        <v>PLNT</v>
      </c>
      <c r="Y1916" s="116" t="e">
        <f t="shared" si="1198"/>
        <v>#VALUE!</v>
      </c>
      <c r="Z1916" s="116" t="e">
        <f t="shared" si="1198"/>
        <v>#VALUE!</v>
      </c>
      <c r="AA1916" s="116" t="e">
        <f t="shared" si="1198"/>
        <v>#VALUE!</v>
      </c>
      <c r="AB1916" s="116" t="e">
        <f t="shared" si="1198"/>
        <v>#VALUE!</v>
      </c>
      <c r="AC1916" s="116" t="e">
        <f t="shared" si="1198"/>
        <v>#VALUE!</v>
      </c>
      <c r="AD1916" s="117" t="e">
        <f>ROUND(SUM(-G1916,H1916:L1916),0)</f>
        <v>#VALUE!</v>
      </c>
      <c r="AE1916" s="117" t="e">
        <f>ROUND(H1916-O1916-P1916-Q1916-R1916,0)</f>
        <v>#VALUE!</v>
      </c>
      <c r="AF1916" s="117" t="e">
        <f>ROUND(I1916-T1916-U1916-V1916-W1916,0)</f>
        <v>#VALUE!</v>
      </c>
      <c r="AG1916" s="117" t="e">
        <f>ROUND(J1916-Y1916-Z1916-AA1916-AC1916-AB1916,0)</f>
        <v>#VALUE!</v>
      </c>
      <c r="AH1916" s="116"/>
      <c r="AI1916">
        <f t="shared" si="1191"/>
        <v>254</v>
      </c>
      <c r="AJ1916" t="str">
        <f t="shared" si="1186"/>
        <v>S</v>
      </c>
      <c r="AK1916" t="str">
        <f>IF(ISERROR(MATCH(AI1916&amp;"."&amp;AJ1916,AK$91:AK1915,0)),AI1916&amp;"."&amp;AJ1916,AI1916&amp;"."&amp;AJ1916&amp;COUNTIFS(AI$91:AI1915,AI1916,AJ$91:AJ1915,AJ1916))</f>
        <v>254.S</v>
      </c>
    </row>
    <row r="1917" spans="1:37" ht="15" hidden="1">
      <c r="A1917" s="120">
        <f>ROW()</f>
        <v>1917</v>
      </c>
      <c r="B1917" s="120"/>
      <c r="C1917" s="1"/>
      <c r="D1917" s="110"/>
      <c r="E1917" s="1"/>
      <c r="F1917" s="138"/>
      <c r="G1917" s="117" t="e">
        <f t="shared" ref="G1917:L1917" si="1199">SUM(G1915:G1916)</f>
        <v>#VALUE!</v>
      </c>
      <c r="H1917" s="116" t="e">
        <f t="shared" si="1199"/>
        <v>#VALUE!</v>
      </c>
      <c r="I1917" s="116" t="e">
        <f t="shared" si="1199"/>
        <v>#VALUE!</v>
      </c>
      <c r="J1917" s="116" t="e">
        <f t="shared" si="1199"/>
        <v>#VALUE!</v>
      </c>
      <c r="K1917" s="116" t="e">
        <f t="shared" si="1199"/>
        <v>#VALUE!</v>
      </c>
      <c r="L1917" s="116" t="e">
        <f t="shared" si="1199"/>
        <v>#VALUE!</v>
      </c>
      <c r="O1917" s="116" t="e">
        <f>SUM(O1915:O1916)</f>
        <v>#VALUE!</v>
      </c>
      <c r="P1917" s="116" t="e">
        <f>SUM(P1915:P1916)</f>
        <v>#VALUE!</v>
      </c>
      <c r="Q1917" s="116" t="e">
        <f>SUM(Q1915:Q1916)</f>
        <v>#VALUE!</v>
      </c>
      <c r="R1917" s="116" t="e">
        <f>SUM(R1915:R1916)</f>
        <v>#VALUE!</v>
      </c>
      <c r="T1917" s="116" t="e">
        <f>SUM(T1915:T1916)</f>
        <v>#VALUE!</v>
      </c>
      <c r="U1917" s="116" t="e">
        <f>SUM(U1915:U1916)</f>
        <v>#VALUE!</v>
      </c>
      <c r="V1917" s="116" t="e">
        <f>SUM(V1915:V1916)</f>
        <v>#VALUE!</v>
      </c>
      <c r="W1917" s="116" t="e">
        <f>SUM(W1915:W1916)</f>
        <v>#VALUE!</v>
      </c>
      <c r="X1917" s="3"/>
      <c r="Y1917" s="116" t="e">
        <f>SUM(Y1915:Y1916)</f>
        <v>#VALUE!</v>
      </c>
      <c r="Z1917" s="116" t="e">
        <f>SUM(Z1915:Z1916)</f>
        <v>#VALUE!</v>
      </c>
      <c r="AA1917" s="116" t="e">
        <f>SUM(AA1915:AA1916)</f>
        <v>#VALUE!</v>
      </c>
      <c r="AB1917" s="116" t="e">
        <f>SUM(AB1915:AB1916)</f>
        <v>#VALUE!</v>
      </c>
      <c r="AC1917" s="116" t="e">
        <f>SUM(AC1915:AC1916)</f>
        <v>#VALUE!</v>
      </c>
      <c r="AD1917" s="117" t="e">
        <f>ROUND(SUM(-G1917,H1917:L1917),0)</f>
        <v>#VALUE!</v>
      </c>
      <c r="AE1917" s="117" t="e">
        <f>ROUND(H1917-O1917-P1917-Q1917-R1917,0)</f>
        <v>#VALUE!</v>
      </c>
      <c r="AF1917" s="117" t="e">
        <f>ROUND(I1917-T1917-U1917-V1917-W1917,0)</f>
        <v>#VALUE!</v>
      </c>
      <c r="AG1917" s="117" t="e">
        <f>ROUND(J1917-Y1917-Z1917-AA1917-AC1917-AB1917,0)</f>
        <v>#VALUE!</v>
      </c>
      <c r="AH1917" s="116"/>
      <c r="AI1917">
        <f t="shared" si="1191"/>
        <v>254</v>
      </c>
      <c r="AJ1917" t="str">
        <f t="shared" si="1186"/>
        <v>NA</v>
      </c>
      <c r="AK1917" t="str">
        <f>IF(ISERROR(MATCH(AI1917&amp;"."&amp;AJ1917,AK$91:AK1916,0)),AI1917&amp;"."&amp;AJ1917,AI1917&amp;"."&amp;AJ1917&amp;COUNTIFS(AI$91:AI1916,AI1917,AJ$91:AJ1916,AJ1917))</f>
        <v>254.NA1</v>
      </c>
    </row>
    <row r="1918" spans="1:37" ht="15" hidden="1">
      <c r="A1918" s="120">
        <f>ROW()</f>
        <v>1918</v>
      </c>
      <c r="B1918" s="120"/>
      <c r="C1918" s="1"/>
      <c r="E1918" s="121"/>
      <c r="F1918" s="138"/>
      <c r="G1918" s="119"/>
      <c r="X1918" s="3"/>
      <c r="AD1918" s="119"/>
      <c r="AE1918" s="119"/>
      <c r="AF1918" s="119"/>
      <c r="AG1918" s="119"/>
      <c r="AI1918">
        <f t="shared" si="1191"/>
        <v>254</v>
      </c>
      <c r="AJ1918" t="str">
        <f t="shared" si="1186"/>
        <v>NA</v>
      </c>
      <c r="AK1918" t="str">
        <f>IF(ISERROR(MATCH(AI1918&amp;"."&amp;AJ1918,AK$91:AK1917,0)),AI1918&amp;"."&amp;AJ1918,AI1918&amp;"."&amp;AJ1918&amp;COUNTIFS(AI$91:AI1917,AI1918,AJ$91:AJ1917,AJ1918))</f>
        <v>254.NA2</v>
      </c>
    </row>
    <row r="1919" spans="1:37" ht="15" hidden="1">
      <c r="A1919" s="120">
        <f>ROW()</f>
        <v>1919</v>
      </c>
      <c r="B1919" s="120"/>
      <c r="C1919" s="1">
        <v>230</v>
      </c>
      <c r="D1919" s="2" t="s">
        <v>718</v>
      </c>
      <c r="E1919" s="121" t="s">
        <v>447</v>
      </c>
      <c r="F1919" s="138" t="str">
        <f>INDEX(FuncAllocOptions,ROW(A1919)-ROW($A$92)+1,[4]Inputs!$S$11)</f>
        <v>P</v>
      </c>
      <c r="G1919" s="117" t="e">
        <f>SUMIF(FERCJAMFactor,AK1919,JAMValue)</f>
        <v>#VALUE!</v>
      </c>
      <c r="H1919" s="144" t="e">
        <f t="shared" ref="H1919:L1920" si="1200">INDEX(FuncFactorTbl,MATCH($F1919,FuncFactors,0),MATCH(H$8,Functions,0))*$G1919</f>
        <v>#VALUE!</v>
      </c>
      <c r="I1919" s="116" t="e">
        <f t="shared" si="1200"/>
        <v>#VALUE!</v>
      </c>
      <c r="J1919" s="116" t="e">
        <f t="shared" si="1200"/>
        <v>#VALUE!</v>
      </c>
      <c r="K1919" s="116" t="e">
        <f t="shared" si="1200"/>
        <v>#VALUE!</v>
      </c>
      <c r="L1919" s="116" t="e">
        <f t="shared" si="1200"/>
        <v>#VALUE!</v>
      </c>
      <c r="N1919" s="108">
        <v>0.75</v>
      </c>
      <c r="O1919" s="116" t="e">
        <f>$H1919*$N1919*$M1919</f>
        <v>#VALUE!</v>
      </c>
      <c r="P1919" s="116" t="e">
        <f>$H1919*(1-$N1919)*$M1919</f>
        <v>#VALUE!</v>
      </c>
      <c r="Q1919" s="116" t="e">
        <f>$H1919*$N1919*(1-$M1919)</f>
        <v>#VALUE!</v>
      </c>
      <c r="R1919" s="116" t="e">
        <f>$H1919*(1-$N1919)*(1-$M1919)</f>
        <v>#VALUE!</v>
      </c>
      <c r="S1919" s="108">
        <v>0.75</v>
      </c>
      <c r="T1919" s="116" t="e">
        <f>$I1919*$S1919*$M1919</f>
        <v>#VALUE!</v>
      </c>
      <c r="U1919" s="116" t="e">
        <f>$I1919*(1-$S1919)*$M1919</f>
        <v>#VALUE!</v>
      </c>
      <c r="V1919" s="116" t="e">
        <f>$I1919*$S1919*(1-$M1919)</f>
        <v>#VALUE!</v>
      </c>
      <c r="W1919" s="116" t="e">
        <f>$I1919*(1-$S1919)*(1-$M1919)</f>
        <v>#VALUE!</v>
      </c>
      <c r="X1919" s="3" t="str">
        <f>INDEX(DistFuncAllocOptions,ROW(A1919)-ROW($A$92)+1,[4]Inputs!$S$11)</f>
        <v>PLNT</v>
      </c>
      <c r="Y1919" s="116" t="e">
        <f t="shared" ref="Y1919:AC1920" si="1201">INDEX(DistFuncFactorTbl,MATCH($X1919,DistFuncFactors,0),MATCH(Y$91,DistFunctions,0))*$J1919</f>
        <v>#VALUE!</v>
      </c>
      <c r="Z1919" s="116" t="e">
        <f t="shared" si="1201"/>
        <v>#VALUE!</v>
      </c>
      <c r="AA1919" s="116" t="e">
        <f t="shared" si="1201"/>
        <v>#VALUE!</v>
      </c>
      <c r="AB1919" s="116" t="e">
        <f t="shared" si="1201"/>
        <v>#VALUE!</v>
      </c>
      <c r="AC1919" s="116" t="e">
        <f t="shared" si="1201"/>
        <v>#VALUE!</v>
      </c>
      <c r="AD1919" s="117" t="e">
        <f>ROUND(SUM(-G1919,H1919:L1919),0)</f>
        <v>#VALUE!</v>
      </c>
      <c r="AE1919" s="117" t="e">
        <f>ROUND(H1919-O1919-P1919-Q1919-R1919,0)</f>
        <v>#VALUE!</v>
      </c>
      <c r="AF1919" s="117" t="e">
        <f>ROUND(I1919-T1919-U1919-V1919-W1919,0)</f>
        <v>#VALUE!</v>
      </c>
      <c r="AG1919" s="117" t="e">
        <f>ROUND(J1919-Y1919-Z1919-AA1919-AC1919-AB1919,0)</f>
        <v>#VALUE!</v>
      </c>
      <c r="AH1919" s="116"/>
      <c r="AI1919">
        <f t="shared" si="1191"/>
        <v>230</v>
      </c>
      <c r="AJ1919" t="str">
        <f t="shared" si="1186"/>
        <v>TROJD</v>
      </c>
      <c r="AK1919" t="str">
        <f>IF(ISERROR(MATCH(AI1919&amp;"."&amp;AJ1919,AK$91:AK1918,0)),AI1919&amp;"."&amp;AJ1919,AI1919&amp;"."&amp;AJ1919&amp;COUNTIFS(AI$91:AI1918,AI1919,AJ$91:AJ1918,AJ1919))</f>
        <v>230.TROJD</v>
      </c>
    </row>
    <row r="1920" spans="1:37" ht="15" hidden="1">
      <c r="A1920" s="120">
        <f>ROW()</f>
        <v>1920</v>
      </c>
      <c r="B1920" s="120"/>
      <c r="C1920" s="1">
        <v>254</v>
      </c>
      <c r="D1920" s="2" t="s">
        <v>718</v>
      </c>
      <c r="E1920" s="121" t="s">
        <v>15</v>
      </c>
      <c r="F1920" s="138" t="str">
        <f>INDEX(FuncAllocOptions,ROW(A1920)-ROW($A$92)+1,[4]Inputs!$S$11)</f>
        <v>P</v>
      </c>
      <c r="G1920" s="133" t="e">
        <f>SUMIF(FERCJAMFactor,AK1920,JAMValue)</f>
        <v>#VALUE!</v>
      </c>
      <c r="H1920" s="149" t="e">
        <f t="shared" si="1200"/>
        <v>#VALUE!</v>
      </c>
      <c r="I1920" s="139" t="e">
        <f t="shared" si="1200"/>
        <v>#VALUE!</v>
      </c>
      <c r="J1920" s="139" t="e">
        <f t="shared" si="1200"/>
        <v>#VALUE!</v>
      </c>
      <c r="K1920" s="139" t="e">
        <f t="shared" si="1200"/>
        <v>#VALUE!</v>
      </c>
      <c r="L1920" s="139" t="e">
        <f t="shared" si="1200"/>
        <v>#VALUE!</v>
      </c>
      <c r="N1920" s="108">
        <v>0.75</v>
      </c>
      <c r="O1920" s="116" t="e">
        <f>$H1920*$N1920*$M1920</f>
        <v>#VALUE!</v>
      </c>
      <c r="P1920" s="116" t="e">
        <f>$H1920*(1-$N1920)*$M1920</f>
        <v>#VALUE!</v>
      </c>
      <c r="Q1920" s="116" t="e">
        <f>$H1920*$N1920*(1-$M1920)</f>
        <v>#VALUE!</v>
      </c>
      <c r="R1920" s="116" t="e">
        <f>$H1920*(1-$N1920)*(1-$M1920)</f>
        <v>#VALUE!</v>
      </c>
      <c r="S1920" s="108">
        <v>0.75</v>
      </c>
      <c r="T1920" s="116" t="e">
        <f>$I1920*$S1920*$M1920</f>
        <v>#VALUE!</v>
      </c>
      <c r="U1920" s="116" t="e">
        <f>$I1920*(1-$S1920)*$M1920</f>
        <v>#VALUE!</v>
      </c>
      <c r="V1920" s="116" t="e">
        <f>$I1920*$S1920*(1-$M1920)</f>
        <v>#VALUE!</v>
      </c>
      <c r="W1920" s="116" t="e">
        <f>$I1920*(1-$S1920)*(1-$M1920)</f>
        <v>#VALUE!</v>
      </c>
      <c r="X1920" s="3" t="str">
        <f>INDEX(DistFuncAllocOptions,ROW(A1920)-ROW($A$92)+1,[4]Inputs!$S$11)</f>
        <v>PLNT</v>
      </c>
      <c r="Y1920" s="116" t="e">
        <f t="shared" si="1201"/>
        <v>#VALUE!</v>
      </c>
      <c r="Z1920" s="116" t="e">
        <f t="shared" si="1201"/>
        <v>#VALUE!</v>
      </c>
      <c r="AA1920" s="116" t="e">
        <f t="shared" si="1201"/>
        <v>#VALUE!</v>
      </c>
      <c r="AB1920" s="116" t="e">
        <f t="shared" si="1201"/>
        <v>#VALUE!</v>
      </c>
      <c r="AC1920" s="116" t="e">
        <f t="shared" si="1201"/>
        <v>#VALUE!</v>
      </c>
      <c r="AD1920" s="117" t="e">
        <f>ROUND(SUM(-G1920,H1920:L1920),0)</f>
        <v>#VALUE!</v>
      </c>
      <c r="AE1920" s="117" t="e">
        <f>ROUND(H1920-O1920-P1920-Q1920-R1920,0)</f>
        <v>#VALUE!</v>
      </c>
      <c r="AF1920" s="117" t="e">
        <f>ROUND(I1920-T1920-U1920-V1920-W1920,0)</f>
        <v>#VALUE!</v>
      </c>
      <c r="AG1920" s="117" t="e">
        <f>ROUND(J1920-Y1920-Z1920-AA1920-AC1920-AB1920,0)</f>
        <v>#VALUE!</v>
      </c>
      <c r="AH1920" s="116"/>
      <c r="AI1920">
        <f t="shared" si="1191"/>
        <v>254</v>
      </c>
      <c r="AJ1920" t="str">
        <f t="shared" si="1186"/>
        <v>SG</v>
      </c>
      <c r="AK1920" t="str">
        <f>IF(ISERROR(MATCH(AI1920&amp;"."&amp;AJ1920,AK$91:AK1919,0)),AI1920&amp;"."&amp;AJ1920,AI1920&amp;"."&amp;AJ1920&amp;COUNTIFS(AI$91:AI1919,AI1920,AJ$91:AJ1919,AJ1920))</f>
        <v>254.SG</v>
      </c>
    </row>
    <row r="1921" spans="1:37" ht="15" hidden="1">
      <c r="A1921" s="120">
        <f>ROW()</f>
        <v>1921</v>
      </c>
      <c r="B1921" s="120"/>
      <c r="C1921" s="1"/>
      <c r="E1921" s="121"/>
      <c r="F1921" s="138"/>
      <c r="G1921" s="117" t="e">
        <f t="shared" ref="G1921:L1921" si="1202">SUM(G1919:G1920)</f>
        <v>#VALUE!</v>
      </c>
      <c r="H1921" s="116" t="e">
        <f t="shared" si="1202"/>
        <v>#VALUE!</v>
      </c>
      <c r="I1921" s="116" t="e">
        <f t="shared" si="1202"/>
        <v>#VALUE!</v>
      </c>
      <c r="J1921" s="116" t="e">
        <f t="shared" si="1202"/>
        <v>#VALUE!</v>
      </c>
      <c r="K1921" s="116" t="e">
        <f t="shared" si="1202"/>
        <v>#VALUE!</v>
      </c>
      <c r="L1921" s="116" t="e">
        <f t="shared" si="1202"/>
        <v>#VALUE!</v>
      </c>
      <c r="O1921" s="116" t="e">
        <f>SUM(O1919:O1920)</f>
        <v>#VALUE!</v>
      </c>
      <c r="P1921" s="116" t="e">
        <f>SUM(P1919:P1920)</f>
        <v>#VALUE!</v>
      </c>
      <c r="Q1921" s="116" t="e">
        <f>SUM(Q1919:Q1920)</f>
        <v>#VALUE!</v>
      </c>
      <c r="R1921" s="116" t="e">
        <f>SUM(R1919:R1920)</f>
        <v>#VALUE!</v>
      </c>
      <c r="T1921" s="116" t="e">
        <f>SUM(T1919:T1920)</f>
        <v>#VALUE!</v>
      </c>
      <c r="U1921" s="116" t="e">
        <f>SUM(U1919:U1920)</f>
        <v>#VALUE!</v>
      </c>
      <c r="V1921" s="116" t="e">
        <f>SUM(V1919:V1920)</f>
        <v>#VALUE!</v>
      </c>
      <c r="W1921" s="116" t="e">
        <f>SUM(W1919:W1920)</f>
        <v>#VALUE!</v>
      </c>
      <c r="X1921" s="3"/>
      <c r="Y1921" s="116" t="e">
        <f>SUM(Y1919:Y1920)</f>
        <v>#VALUE!</v>
      </c>
      <c r="Z1921" s="116" t="e">
        <f>SUM(Z1919:Z1920)</f>
        <v>#VALUE!</v>
      </c>
      <c r="AA1921" s="116" t="e">
        <f>SUM(AA1919:AA1920)</f>
        <v>#VALUE!</v>
      </c>
      <c r="AB1921" s="116" t="e">
        <f>SUM(AB1919:AB1920)</f>
        <v>#VALUE!</v>
      </c>
      <c r="AC1921" s="116" t="e">
        <f>SUM(AC1919:AC1920)</f>
        <v>#VALUE!</v>
      </c>
      <c r="AD1921" s="117" t="e">
        <f>ROUND(SUM(-G1921,H1921:L1921),0)</f>
        <v>#VALUE!</v>
      </c>
      <c r="AE1921" s="117" t="e">
        <f>ROUND(H1921-O1921-P1921-Q1921-R1921,0)</f>
        <v>#VALUE!</v>
      </c>
      <c r="AF1921" s="117" t="e">
        <f>ROUND(I1921-T1921-U1921-V1921-W1921,0)</f>
        <v>#VALUE!</v>
      </c>
      <c r="AG1921" s="117" t="e">
        <f>ROUND(J1921-Y1921-Z1921-AA1921-AC1921-AB1921,0)</f>
        <v>#VALUE!</v>
      </c>
      <c r="AH1921" s="116"/>
      <c r="AI1921">
        <f t="shared" si="1191"/>
        <v>254</v>
      </c>
      <c r="AJ1921" t="str">
        <f t="shared" si="1186"/>
        <v>NA</v>
      </c>
      <c r="AK1921" t="str">
        <f>IF(ISERROR(MATCH(AI1921&amp;"."&amp;AJ1921,AK$91:AK1920,0)),AI1921&amp;"."&amp;AJ1921,AI1921&amp;"."&amp;AJ1921&amp;COUNTIFS(AI$91:AI1920,AI1921,AJ$91:AJ1920,AJ1921))</f>
        <v>254.NA3</v>
      </c>
    </row>
    <row r="1922" spans="1:37" ht="15" hidden="1">
      <c r="A1922" s="120">
        <f>ROW()</f>
        <v>1922</v>
      </c>
      <c r="B1922" s="120"/>
      <c r="C1922" s="1"/>
      <c r="E1922" s="121"/>
      <c r="F1922" s="138"/>
      <c r="G1922" s="119"/>
      <c r="X1922" s="3"/>
      <c r="AD1922" s="119"/>
      <c r="AE1922" s="119"/>
      <c r="AF1922" s="119"/>
      <c r="AG1922" s="119"/>
      <c r="AI1922">
        <f t="shared" si="1191"/>
        <v>254</v>
      </c>
      <c r="AJ1922" t="str">
        <f t="shared" si="1186"/>
        <v>NA</v>
      </c>
      <c r="AK1922" t="str">
        <f>IF(ISERROR(MATCH(AI1922&amp;"."&amp;AJ1922,AK$91:AK1921,0)),AI1922&amp;"."&amp;AJ1922,AI1922&amp;"."&amp;AJ1922&amp;COUNTIFS(AI$91:AI1921,AI1922,AJ$91:AJ1921,AJ1922))</f>
        <v>254.NA4</v>
      </c>
    </row>
    <row r="1923" spans="1:37" ht="15" hidden="1">
      <c r="A1923" s="120">
        <f>ROW()</f>
        <v>1923</v>
      </c>
      <c r="B1923" s="120"/>
      <c r="C1923" s="1">
        <v>252</v>
      </c>
      <c r="D1923" s="2" t="s">
        <v>653</v>
      </c>
      <c r="E1923" s="121"/>
      <c r="F1923" s="138"/>
      <c r="G1923" s="119"/>
      <c r="X1923" s="3"/>
      <c r="AD1923" s="119"/>
      <c r="AE1923" s="119"/>
      <c r="AF1923" s="119"/>
      <c r="AG1923" s="119"/>
      <c r="AI1923">
        <f t="shared" si="1191"/>
        <v>252</v>
      </c>
      <c r="AJ1923" t="str">
        <f t="shared" si="1186"/>
        <v>NA</v>
      </c>
      <c r="AK1923" t="str">
        <f>IF(ISERROR(MATCH(AI1923&amp;"."&amp;AJ1923,AK$91:AK1922,0)),AI1923&amp;"."&amp;AJ1923,AI1923&amp;"."&amp;AJ1923&amp;COUNTIFS(AI$91:AI1922,AI1923,AJ$91:AJ1922,AJ1923))</f>
        <v>252.NA</v>
      </c>
    </row>
    <row r="1924" spans="1:37" ht="15" hidden="1">
      <c r="A1924" s="120">
        <f>ROW()</f>
        <v>1924</v>
      </c>
      <c r="B1924" s="120"/>
      <c r="C1924" s="1"/>
      <c r="E1924" s="121" t="s">
        <v>12</v>
      </c>
      <c r="F1924" s="138" t="str">
        <f>INDEX(FuncAllocOptions,ROW(A1924)-ROW($A$92)+1,[4]Inputs!$S$11)</f>
        <v>DPW</v>
      </c>
      <c r="G1924" s="117" t="e">
        <f>SUMIF(FERCJAMFactor,AK1924,JAMValue)</f>
        <v>#VALUE!</v>
      </c>
      <c r="H1924" s="116" t="e">
        <f t="shared" ref="H1924:L1928" si="1203">INDEX(FuncFactorTbl,MATCH($F1924,FuncFactors,0),MATCH(H$8,Functions,0))*$G1924</f>
        <v>#VALUE!</v>
      </c>
      <c r="I1924" s="116" t="e">
        <f t="shared" si="1203"/>
        <v>#VALUE!</v>
      </c>
      <c r="J1924" s="116" t="e">
        <f t="shared" si="1203"/>
        <v>#VALUE!</v>
      </c>
      <c r="K1924" s="116" t="e">
        <f t="shared" si="1203"/>
        <v>#VALUE!</v>
      </c>
      <c r="L1924" s="116" t="e">
        <f t="shared" si="1203"/>
        <v>#VALUE!</v>
      </c>
      <c r="N1924" s="108">
        <v>0.75</v>
      </c>
      <c r="O1924" s="116" t="e">
        <f>$H1924*$N1924*$M1924</f>
        <v>#VALUE!</v>
      </c>
      <c r="P1924" s="116" t="e">
        <f>$H1924*(1-$N1924)*$M1924</f>
        <v>#VALUE!</v>
      </c>
      <c r="Q1924" s="116" t="e">
        <f>$H1924*$N1924*(1-$M1924)</f>
        <v>#VALUE!</v>
      </c>
      <c r="R1924" s="116" t="e">
        <f>$H1924*(1-$N1924)*(1-$M1924)</f>
        <v>#VALUE!</v>
      </c>
      <c r="S1924" s="108">
        <v>0.75</v>
      </c>
      <c r="T1924" s="116" t="e">
        <f>$I1924*$S1924*$M1924</f>
        <v>#VALUE!</v>
      </c>
      <c r="U1924" s="116" t="e">
        <f>$I1924*(1-$S1924)*$M1924</f>
        <v>#VALUE!</v>
      </c>
      <c r="V1924" s="116" t="e">
        <f>$I1924*$S1924*(1-$M1924)</f>
        <v>#VALUE!</v>
      </c>
      <c r="W1924" s="116" t="e">
        <f>$I1924*(1-$S1924)*(1-$M1924)</f>
        <v>#VALUE!</v>
      </c>
      <c r="X1924" s="3" t="str">
        <f>INDEX(DistFuncAllocOptions,ROW(A1924)-ROW($A$92)+1,[4]Inputs!$S$11)</f>
        <v>PLNT</v>
      </c>
      <c r="Y1924" s="116" t="e">
        <f t="shared" ref="Y1924:AC1928" si="1204">INDEX(DistFuncFactorTbl,MATCH($X1924,DistFuncFactors,0),MATCH(Y$91,DistFunctions,0))*$J1924</f>
        <v>#VALUE!</v>
      </c>
      <c r="Z1924" s="116" t="e">
        <f t="shared" si="1204"/>
        <v>#VALUE!</v>
      </c>
      <c r="AA1924" s="116" t="e">
        <f t="shared" si="1204"/>
        <v>#VALUE!</v>
      </c>
      <c r="AB1924" s="116" t="e">
        <f t="shared" si="1204"/>
        <v>#VALUE!</v>
      </c>
      <c r="AC1924" s="116" t="e">
        <f t="shared" si="1204"/>
        <v>#VALUE!</v>
      </c>
      <c r="AD1924" s="117" t="e">
        <f t="shared" ref="AD1924:AD1929" si="1205">ROUND(SUM(-G1924,H1924:L1924),0)</f>
        <v>#VALUE!</v>
      </c>
      <c r="AE1924" s="117" t="e">
        <f t="shared" ref="AE1924:AE1929" si="1206">ROUND(H1924-O1924-P1924-Q1924-R1924,0)</f>
        <v>#VALUE!</v>
      </c>
      <c r="AF1924" s="117" t="e">
        <f t="shared" ref="AF1924:AF1929" si="1207">ROUND(I1924-T1924-U1924-V1924-W1924,0)</f>
        <v>#VALUE!</v>
      </c>
      <c r="AG1924" s="117" t="e">
        <f t="shared" ref="AG1924:AG1929" si="1208">ROUND(J1924-Y1924-Z1924-AA1924-AC1924-AB1924,0)</f>
        <v>#VALUE!</v>
      </c>
      <c r="AH1924" s="116"/>
      <c r="AI1924">
        <f t="shared" si="1191"/>
        <v>252</v>
      </c>
      <c r="AJ1924" t="str">
        <f t="shared" si="1186"/>
        <v>S</v>
      </c>
      <c r="AK1924" t="str">
        <f>IF(ISERROR(MATCH(AI1924&amp;"."&amp;AJ1924,AK$91:AK1923,0)),AI1924&amp;"."&amp;AJ1924,AI1924&amp;"."&amp;AJ1924&amp;COUNTIFS(AI$91:AI1923,AI1924,AJ$91:AJ1923,AJ1924))</f>
        <v>252.S</v>
      </c>
    </row>
    <row r="1925" spans="1:37" ht="15" hidden="1">
      <c r="A1925" s="120">
        <f>ROW()</f>
        <v>1925</v>
      </c>
      <c r="B1925" s="120"/>
      <c r="C1925" s="1"/>
      <c r="E1925" s="121" t="s">
        <v>16</v>
      </c>
      <c r="F1925" s="138" t="str">
        <f>INDEX(FuncAllocOptions,ROW(A1925)-ROW($A$92)+1,[4]Inputs!$S$11)</f>
        <v>DPW</v>
      </c>
      <c r="G1925" s="117" t="e">
        <f>SUMIF(FERCJAMFactor,AK1925,JAMValue)</f>
        <v>#VALUE!</v>
      </c>
      <c r="H1925" s="116" t="e">
        <f t="shared" si="1203"/>
        <v>#VALUE!</v>
      </c>
      <c r="I1925" s="116" t="e">
        <f t="shared" si="1203"/>
        <v>#VALUE!</v>
      </c>
      <c r="J1925" s="116" t="e">
        <f t="shared" si="1203"/>
        <v>#VALUE!</v>
      </c>
      <c r="K1925" s="116" t="e">
        <f t="shared" si="1203"/>
        <v>#VALUE!</v>
      </c>
      <c r="L1925" s="116" t="e">
        <f t="shared" si="1203"/>
        <v>#VALUE!</v>
      </c>
      <c r="N1925" s="108">
        <v>0.75</v>
      </c>
      <c r="O1925" s="116" t="e">
        <f>$H1925*$N1925*$M1925</f>
        <v>#VALUE!</v>
      </c>
      <c r="P1925" s="116" t="e">
        <f>$H1925*(1-$N1925)*$M1925</f>
        <v>#VALUE!</v>
      </c>
      <c r="Q1925" s="116" t="e">
        <f>$H1925*$N1925*(1-$M1925)</f>
        <v>#VALUE!</v>
      </c>
      <c r="R1925" s="116" t="e">
        <f>$H1925*(1-$N1925)*(1-$M1925)</f>
        <v>#VALUE!</v>
      </c>
      <c r="S1925" s="108">
        <v>0.75</v>
      </c>
      <c r="T1925" s="116" t="e">
        <f>$I1925*$S1925*$M1925</f>
        <v>#VALUE!</v>
      </c>
      <c r="U1925" s="116" t="e">
        <f>$I1925*(1-$S1925)*$M1925</f>
        <v>#VALUE!</v>
      </c>
      <c r="V1925" s="116" t="e">
        <f>$I1925*$S1925*(1-$M1925)</f>
        <v>#VALUE!</v>
      </c>
      <c r="W1925" s="116" t="e">
        <f>$I1925*(1-$S1925)*(1-$M1925)</f>
        <v>#VALUE!</v>
      </c>
      <c r="X1925" s="3" t="str">
        <f>INDEX(DistFuncAllocOptions,ROW(A1925)-ROW($A$92)+1,[4]Inputs!$S$11)</f>
        <v>PLNT</v>
      </c>
      <c r="Y1925" s="116" t="e">
        <f t="shared" si="1204"/>
        <v>#VALUE!</v>
      </c>
      <c r="Z1925" s="116" t="e">
        <f t="shared" si="1204"/>
        <v>#VALUE!</v>
      </c>
      <c r="AA1925" s="116" t="e">
        <f t="shared" si="1204"/>
        <v>#VALUE!</v>
      </c>
      <c r="AB1925" s="116" t="e">
        <f t="shared" si="1204"/>
        <v>#VALUE!</v>
      </c>
      <c r="AC1925" s="116" t="e">
        <f t="shared" si="1204"/>
        <v>#VALUE!</v>
      </c>
      <c r="AD1925" s="117" t="e">
        <f t="shared" si="1205"/>
        <v>#VALUE!</v>
      </c>
      <c r="AE1925" s="117" t="e">
        <f t="shared" si="1206"/>
        <v>#VALUE!</v>
      </c>
      <c r="AF1925" s="117" t="e">
        <f t="shared" si="1207"/>
        <v>#VALUE!</v>
      </c>
      <c r="AG1925" s="117" t="e">
        <f t="shared" si="1208"/>
        <v>#VALUE!</v>
      </c>
      <c r="AH1925" s="116"/>
      <c r="AI1925">
        <f t="shared" si="1191"/>
        <v>252</v>
      </c>
      <c r="AJ1925" t="str">
        <f t="shared" si="1186"/>
        <v>SE</v>
      </c>
      <c r="AK1925" t="str">
        <f>IF(ISERROR(MATCH(AI1925&amp;"."&amp;AJ1925,AK$91:AK1924,0)),AI1925&amp;"."&amp;AJ1925,AI1925&amp;"."&amp;AJ1925&amp;COUNTIFS(AI$91:AI1924,AI1925,AJ$91:AJ1924,AJ1925))</f>
        <v>252.SE</v>
      </c>
    </row>
    <row r="1926" spans="1:37" ht="15" hidden="1">
      <c r="A1926" s="120">
        <f>ROW()</f>
        <v>1926</v>
      </c>
      <c r="B1926" s="120"/>
      <c r="C1926" s="1"/>
      <c r="E1926" s="121" t="s">
        <v>15</v>
      </c>
      <c r="F1926" s="138" t="str">
        <f>INDEX(FuncAllocOptions,ROW(A1926)-ROW($A$92)+1,[4]Inputs!$S$11)</f>
        <v>T</v>
      </c>
      <c r="G1926" s="117" t="e">
        <f>SUMIF(FERCJAMFactor,AK1926,JAMValue)</f>
        <v>#VALUE!</v>
      </c>
      <c r="H1926" s="116" t="e">
        <f t="shared" si="1203"/>
        <v>#VALUE!</v>
      </c>
      <c r="I1926" s="116" t="e">
        <f t="shared" si="1203"/>
        <v>#VALUE!</v>
      </c>
      <c r="J1926" s="116" t="e">
        <f t="shared" si="1203"/>
        <v>#VALUE!</v>
      </c>
      <c r="K1926" s="116" t="e">
        <f t="shared" si="1203"/>
        <v>#VALUE!</v>
      </c>
      <c r="L1926" s="116" t="e">
        <f t="shared" si="1203"/>
        <v>#VALUE!</v>
      </c>
      <c r="N1926" s="108">
        <v>0.75</v>
      </c>
      <c r="O1926" s="116" t="e">
        <f>$H1926*$N1926*$M1926</f>
        <v>#VALUE!</v>
      </c>
      <c r="P1926" s="116" t="e">
        <f>$H1926*(1-$N1926)*$M1926</f>
        <v>#VALUE!</v>
      </c>
      <c r="Q1926" s="116" t="e">
        <f>$H1926*$N1926*(1-$M1926)</f>
        <v>#VALUE!</v>
      </c>
      <c r="R1926" s="116" t="e">
        <f>$H1926*(1-$N1926)*(1-$M1926)</f>
        <v>#VALUE!</v>
      </c>
      <c r="S1926" s="108">
        <v>0.75</v>
      </c>
      <c r="T1926" s="116" t="e">
        <f>$I1926*$S1926*$M1926</f>
        <v>#VALUE!</v>
      </c>
      <c r="U1926" s="116" t="e">
        <f>$I1926*(1-$S1926)*$M1926</f>
        <v>#VALUE!</v>
      </c>
      <c r="V1926" s="116" t="e">
        <f>$I1926*$S1926*(1-$M1926)</f>
        <v>#VALUE!</v>
      </c>
      <c r="W1926" s="116" t="e">
        <f>$I1926*(1-$S1926)*(1-$M1926)</f>
        <v>#VALUE!</v>
      </c>
      <c r="X1926" s="3" t="str">
        <f>INDEX(DistFuncAllocOptions,ROW(A1926)-ROW($A$92)+1,[4]Inputs!$S$11)</f>
        <v>PLNT</v>
      </c>
      <c r="Y1926" s="116" t="e">
        <f t="shared" si="1204"/>
        <v>#VALUE!</v>
      </c>
      <c r="Z1926" s="116" t="e">
        <f t="shared" si="1204"/>
        <v>#VALUE!</v>
      </c>
      <c r="AA1926" s="116" t="e">
        <f t="shared" si="1204"/>
        <v>#VALUE!</v>
      </c>
      <c r="AB1926" s="116" t="e">
        <f t="shared" si="1204"/>
        <v>#VALUE!</v>
      </c>
      <c r="AC1926" s="116" t="e">
        <f t="shared" si="1204"/>
        <v>#VALUE!</v>
      </c>
      <c r="AD1926" s="117" t="e">
        <f t="shared" si="1205"/>
        <v>#VALUE!</v>
      </c>
      <c r="AE1926" s="117" t="e">
        <f t="shared" si="1206"/>
        <v>#VALUE!</v>
      </c>
      <c r="AF1926" s="117" t="e">
        <f t="shared" si="1207"/>
        <v>#VALUE!</v>
      </c>
      <c r="AG1926" s="117" t="e">
        <f t="shared" si="1208"/>
        <v>#VALUE!</v>
      </c>
      <c r="AH1926" s="116"/>
      <c r="AI1926">
        <f t="shared" si="1191"/>
        <v>252</v>
      </c>
      <c r="AJ1926" t="str">
        <f t="shared" si="1186"/>
        <v>SG</v>
      </c>
      <c r="AK1926" t="str">
        <f>IF(ISERROR(MATCH(AI1926&amp;"."&amp;AJ1926,AK$91:AK1925,0)),AI1926&amp;"."&amp;AJ1926,AI1926&amp;"."&amp;AJ1926&amp;COUNTIFS(AI$91:AI1925,AI1926,AJ$91:AJ1925,AJ1926))</f>
        <v>252.SG</v>
      </c>
    </row>
    <row r="1927" spans="1:37" ht="15" hidden="1">
      <c r="A1927" s="120">
        <f>ROW()</f>
        <v>1927</v>
      </c>
      <c r="B1927" s="120"/>
      <c r="C1927" s="1"/>
      <c r="E1927" s="121" t="s">
        <v>136</v>
      </c>
      <c r="F1927" s="138" t="str">
        <f>INDEX(FuncAllocOptions,ROW(A1927)-ROW($A$92)+1,[4]Inputs!$S$11)</f>
        <v>DPW</v>
      </c>
      <c r="G1927" s="117" t="e">
        <f>SUMIF(FERCJAMFactor,AK1927,JAMValue)</f>
        <v>#VALUE!</v>
      </c>
      <c r="H1927" s="116" t="e">
        <f t="shared" si="1203"/>
        <v>#VALUE!</v>
      </c>
      <c r="I1927" s="116" t="e">
        <f t="shared" si="1203"/>
        <v>#VALUE!</v>
      </c>
      <c r="J1927" s="116" t="e">
        <f t="shared" si="1203"/>
        <v>#VALUE!</v>
      </c>
      <c r="K1927" s="116" t="e">
        <f t="shared" si="1203"/>
        <v>#VALUE!</v>
      </c>
      <c r="L1927" s="116" t="e">
        <f t="shared" si="1203"/>
        <v>#VALUE!</v>
      </c>
      <c r="N1927" s="108">
        <v>0.75</v>
      </c>
      <c r="O1927" s="116" t="e">
        <f>$H1927*$N1927*$M1927</f>
        <v>#VALUE!</v>
      </c>
      <c r="P1927" s="116" t="e">
        <f>$H1927*(1-$N1927)*$M1927</f>
        <v>#VALUE!</v>
      </c>
      <c r="Q1927" s="116" t="e">
        <f>$H1927*$N1927*(1-$M1927)</f>
        <v>#VALUE!</v>
      </c>
      <c r="R1927" s="116" t="e">
        <f>$H1927*(1-$N1927)*(1-$M1927)</f>
        <v>#VALUE!</v>
      </c>
      <c r="S1927" s="108">
        <v>0.75</v>
      </c>
      <c r="T1927" s="116" t="e">
        <f>$I1927*$S1927*$M1927</f>
        <v>#VALUE!</v>
      </c>
      <c r="U1927" s="116" t="e">
        <f>$I1927*(1-$S1927)*$M1927</f>
        <v>#VALUE!</v>
      </c>
      <c r="V1927" s="116" t="e">
        <f>$I1927*$S1927*(1-$M1927)</f>
        <v>#VALUE!</v>
      </c>
      <c r="W1927" s="116" t="e">
        <f>$I1927*(1-$S1927)*(1-$M1927)</f>
        <v>#VALUE!</v>
      </c>
      <c r="X1927" s="3" t="str">
        <f>INDEX(DistFuncAllocOptions,ROW(A1927)-ROW($A$92)+1,[4]Inputs!$S$11)</f>
        <v>PLNT</v>
      </c>
      <c r="Y1927" s="116" t="e">
        <f t="shared" si="1204"/>
        <v>#VALUE!</v>
      </c>
      <c r="Z1927" s="116" t="e">
        <f t="shared" si="1204"/>
        <v>#VALUE!</v>
      </c>
      <c r="AA1927" s="116" t="e">
        <f t="shared" si="1204"/>
        <v>#VALUE!</v>
      </c>
      <c r="AB1927" s="116" t="e">
        <f t="shared" si="1204"/>
        <v>#VALUE!</v>
      </c>
      <c r="AC1927" s="116" t="e">
        <f t="shared" si="1204"/>
        <v>#VALUE!</v>
      </c>
      <c r="AD1927" s="117" t="e">
        <f t="shared" si="1205"/>
        <v>#VALUE!</v>
      </c>
      <c r="AE1927" s="117" t="e">
        <f t="shared" si="1206"/>
        <v>#VALUE!</v>
      </c>
      <c r="AF1927" s="117" t="e">
        <f t="shared" si="1207"/>
        <v>#VALUE!</v>
      </c>
      <c r="AG1927" s="117" t="e">
        <f t="shared" si="1208"/>
        <v>#VALUE!</v>
      </c>
      <c r="AH1927" s="116"/>
      <c r="AI1927">
        <f t="shared" si="1191"/>
        <v>252</v>
      </c>
      <c r="AJ1927" t="str">
        <f t="shared" si="1186"/>
        <v>SO</v>
      </c>
      <c r="AK1927" t="str">
        <f>IF(ISERROR(MATCH(AI1927&amp;"."&amp;AJ1927,AK$91:AK1926,0)),AI1927&amp;"."&amp;AJ1927,AI1927&amp;"."&amp;AJ1927&amp;COUNTIFS(AI$91:AI1926,AI1927,AJ$91:AJ1926,AJ1927))</f>
        <v>252.SO</v>
      </c>
    </row>
    <row r="1928" spans="1:37" ht="15" hidden="1">
      <c r="A1928" s="120">
        <f>ROW()</f>
        <v>1928</v>
      </c>
      <c r="B1928" s="120"/>
      <c r="C1928" s="1"/>
      <c r="E1928" s="121" t="s">
        <v>155</v>
      </c>
      <c r="F1928" s="138" t="str">
        <f>INDEX(FuncAllocOptions,ROW(A1928)-ROW($A$92)+1,[4]Inputs!$S$11)</f>
        <v>CUST</v>
      </c>
      <c r="G1928" s="133" t="e">
        <f>SUMIF(FERCJAMFactor,AK1928,JAMValue)</f>
        <v>#VALUE!</v>
      </c>
      <c r="H1928" s="139" t="e">
        <f t="shared" si="1203"/>
        <v>#VALUE!</v>
      </c>
      <c r="I1928" s="139" t="e">
        <f t="shared" si="1203"/>
        <v>#VALUE!</v>
      </c>
      <c r="J1928" s="139" t="e">
        <f t="shared" si="1203"/>
        <v>#VALUE!</v>
      </c>
      <c r="K1928" s="139" t="e">
        <f t="shared" si="1203"/>
        <v>#VALUE!</v>
      </c>
      <c r="L1928" s="139" t="e">
        <f t="shared" si="1203"/>
        <v>#VALUE!</v>
      </c>
      <c r="N1928" s="108">
        <v>0.75</v>
      </c>
      <c r="O1928" s="116" t="e">
        <f>$H1928*$N1928*$M1928</f>
        <v>#VALUE!</v>
      </c>
      <c r="P1928" s="116" t="e">
        <f>$H1928*(1-$N1928)*$M1928</f>
        <v>#VALUE!</v>
      </c>
      <c r="Q1928" s="116" t="e">
        <f>$H1928*$N1928*(1-$M1928)</f>
        <v>#VALUE!</v>
      </c>
      <c r="R1928" s="116" t="e">
        <f>$H1928*(1-$N1928)*(1-$M1928)</f>
        <v>#VALUE!</v>
      </c>
      <c r="S1928" s="108">
        <v>0.75</v>
      </c>
      <c r="T1928" s="116" t="e">
        <f>$I1928*$S1928*$M1928</f>
        <v>#VALUE!</v>
      </c>
      <c r="U1928" s="116" t="e">
        <f>$I1928*(1-$S1928)*$M1928</f>
        <v>#VALUE!</v>
      </c>
      <c r="V1928" s="116" t="e">
        <f>$I1928*$S1928*(1-$M1928)</f>
        <v>#VALUE!</v>
      </c>
      <c r="W1928" s="116" t="e">
        <f>$I1928*(1-$S1928)*(1-$M1928)</f>
        <v>#VALUE!</v>
      </c>
      <c r="X1928" s="3" t="str">
        <f>INDEX(DistFuncAllocOptions,ROW(A1928)-ROW($A$92)+1,[4]Inputs!$S$11)</f>
        <v>CUST</v>
      </c>
      <c r="Y1928" s="116" t="e">
        <f t="shared" si="1204"/>
        <v>#VALUE!</v>
      </c>
      <c r="Z1928" s="116" t="e">
        <f t="shared" si="1204"/>
        <v>#VALUE!</v>
      </c>
      <c r="AA1928" s="116" t="e">
        <f t="shared" si="1204"/>
        <v>#VALUE!</v>
      </c>
      <c r="AB1928" s="116" t="e">
        <f t="shared" si="1204"/>
        <v>#VALUE!</v>
      </c>
      <c r="AC1928" s="116" t="e">
        <f t="shared" si="1204"/>
        <v>#VALUE!</v>
      </c>
      <c r="AD1928" s="117" t="e">
        <f t="shared" si="1205"/>
        <v>#VALUE!</v>
      </c>
      <c r="AE1928" s="117" t="e">
        <f t="shared" si="1206"/>
        <v>#VALUE!</v>
      </c>
      <c r="AF1928" s="117" t="e">
        <f t="shared" si="1207"/>
        <v>#VALUE!</v>
      </c>
      <c r="AG1928" s="117" t="e">
        <f t="shared" si="1208"/>
        <v>#VALUE!</v>
      </c>
      <c r="AH1928" s="116"/>
      <c r="AI1928">
        <f t="shared" si="1191"/>
        <v>252</v>
      </c>
      <c r="AJ1928" t="str">
        <f t="shared" si="1186"/>
        <v>CN</v>
      </c>
      <c r="AK1928" t="str">
        <f>IF(ISERROR(MATCH(AI1928&amp;"."&amp;AJ1928,AK$91:AK1927,0)),AI1928&amp;"."&amp;AJ1928,AI1928&amp;"."&amp;AJ1928&amp;COUNTIFS(AI$91:AI1927,AI1928,AJ$91:AJ1927,AJ1928))</f>
        <v>252.CN</v>
      </c>
    </row>
    <row r="1929" spans="1:37" ht="15" hidden="1">
      <c r="A1929" s="120">
        <f>ROW()</f>
        <v>1929</v>
      </c>
      <c r="B1929" s="120"/>
      <c r="C1929" s="1"/>
      <c r="E1929" s="121"/>
      <c r="F1929" s="138"/>
      <c r="G1929" s="117" t="e">
        <f t="shared" ref="G1929:L1929" si="1209">SUM(G1924:G1928)</f>
        <v>#VALUE!</v>
      </c>
      <c r="H1929" s="116" t="e">
        <f t="shared" si="1209"/>
        <v>#VALUE!</v>
      </c>
      <c r="I1929" s="116" t="e">
        <f t="shared" si="1209"/>
        <v>#VALUE!</v>
      </c>
      <c r="J1929" s="116" t="e">
        <f t="shared" si="1209"/>
        <v>#VALUE!</v>
      </c>
      <c r="K1929" s="116" t="e">
        <f t="shared" si="1209"/>
        <v>#VALUE!</v>
      </c>
      <c r="L1929" s="116" t="e">
        <f t="shared" si="1209"/>
        <v>#VALUE!</v>
      </c>
      <c r="O1929" s="116" t="e">
        <f>SUM(O1924:O1928)</f>
        <v>#VALUE!</v>
      </c>
      <c r="P1929" s="116" t="e">
        <f>SUM(P1924:P1928)</f>
        <v>#VALUE!</v>
      </c>
      <c r="Q1929" s="116" t="e">
        <f>SUM(Q1924:Q1928)</f>
        <v>#VALUE!</v>
      </c>
      <c r="R1929" s="116" t="e">
        <f>SUM(R1924:R1928)</f>
        <v>#VALUE!</v>
      </c>
      <c r="T1929" s="116" t="e">
        <f>SUM(T1924:T1928)</f>
        <v>#VALUE!</v>
      </c>
      <c r="U1929" s="116" t="e">
        <f>SUM(U1924:U1928)</f>
        <v>#VALUE!</v>
      </c>
      <c r="V1929" s="116" t="e">
        <f>SUM(V1924:V1928)</f>
        <v>#VALUE!</v>
      </c>
      <c r="W1929" s="116" t="e">
        <f>SUM(W1924:W1928)</f>
        <v>#VALUE!</v>
      </c>
      <c r="X1929" s="3"/>
      <c r="Y1929" s="116" t="e">
        <f>SUM(Y1924:Y1928)</f>
        <v>#VALUE!</v>
      </c>
      <c r="Z1929" s="116" t="e">
        <f>SUM(Z1924:Z1928)</f>
        <v>#VALUE!</v>
      </c>
      <c r="AA1929" s="116" t="e">
        <f>SUM(AA1924:AA1928)</f>
        <v>#VALUE!</v>
      </c>
      <c r="AB1929" s="116" t="e">
        <f>SUM(AB1924:AB1928)</f>
        <v>#VALUE!</v>
      </c>
      <c r="AC1929" s="116" t="e">
        <f>SUM(AC1924:AC1928)</f>
        <v>#VALUE!</v>
      </c>
      <c r="AD1929" s="117" t="e">
        <f t="shared" si="1205"/>
        <v>#VALUE!</v>
      </c>
      <c r="AE1929" s="117" t="e">
        <f t="shared" si="1206"/>
        <v>#VALUE!</v>
      </c>
      <c r="AF1929" s="117" t="e">
        <f t="shared" si="1207"/>
        <v>#VALUE!</v>
      </c>
      <c r="AG1929" s="117" t="e">
        <f t="shared" si="1208"/>
        <v>#VALUE!</v>
      </c>
      <c r="AH1929" s="116"/>
      <c r="AI1929">
        <f t="shared" si="1191"/>
        <v>252</v>
      </c>
      <c r="AJ1929" t="str">
        <f t="shared" si="1186"/>
        <v>NA</v>
      </c>
      <c r="AK1929" t="str">
        <f>IF(ISERROR(MATCH(AI1929&amp;"."&amp;AJ1929,AK$91:AK1928,0)),AI1929&amp;"."&amp;AJ1929,AI1929&amp;"."&amp;AJ1929&amp;COUNTIFS(AI$91:AI1928,AI1929,AJ$91:AJ1928,AJ1929))</f>
        <v>252.NA1</v>
      </c>
    </row>
    <row r="1930" spans="1:37" ht="15" hidden="1">
      <c r="A1930" s="120">
        <f>ROW()</f>
        <v>1930</v>
      </c>
      <c r="B1930" s="120"/>
      <c r="C1930" s="1"/>
      <c r="E1930" s="121"/>
      <c r="F1930" s="138"/>
      <c r="G1930" s="117"/>
      <c r="H1930" s="116"/>
      <c r="I1930" s="116"/>
      <c r="J1930" s="116"/>
      <c r="K1930" s="116"/>
      <c r="L1930" s="116"/>
      <c r="O1930" s="116"/>
      <c r="P1930" s="116"/>
      <c r="Q1930" s="116"/>
      <c r="R1930" s="116"/>
      <c r="T1930" s="116"/>
      <c r="U1930" s="116"/>
      <c r="V1930" s="116"/>
      <c r="W1930" s="116"/>
      <c r="X1930" s="3"/>
      <c r="Y1930" s="116"/>
      <c r="Z1930" s="116"/>
      <c r="AA1930" s="116"/>
      <c r="AB1930" s="116"/>
      <c r="AC1930" s="116"/>
      <c r="AD1930" s="117"/>
      <c r="AE1930" s="117"/>
      <c r="AF1930" s="117"/>
      <c r="AG1930" s="117"/>
      <c r="AH1930" s="116"/>
      <c r="AI1930">
        <f t="shared" si="1191"/>
        <v>252</v>
      </c>
      <c r="AJ1930" t="str">
        <f t="shared" si="1186"/>
        <v>NA</v>
      </c>
      <c r="AK1930" t="str">
        <f>IF(ISERROR(MATCH(AI1930&amp;"."&amp;AJ1930,AK$91:AK1929,0)),AI1930&amp;"."&amp;AJ1930,AI1930&amp;"."&amp;AJ1930&amp;COUNTIFS(AI$91:AI1929,AI1930,AJ$91:AJ1929,AJ1930))</f>
        <v>252.NA2</v>
      </c>
    </row>
    <row r="1931" spans="1:37" ht="15" hidden="1">
      <c r="A1931" s="120">
        <f>ROW()</f>
        <v>1931</v>
      </c>
      <c r="B1931" s="120"/>
      <c r="C1931" s="1">
        <v>25398</v>
      </c>
      <c r="D1931" s="2" t="s">
        <v>656</v>
      </c>
      <c r="E1931" s="121"/>
      <c r="F1931" s="138"/>
      <c r="G1931" s="119"/>
      <c r="X1931" s="3"/>
      <c r="AD1931" s="119"/>
      <c r="AE1931" s="119"/>
      <c r="AF1931" s="119"/>
      <c r="AG1931" s="119"/>
      <c r="AI1931">
        <f t="shared" si="1191"/>
        <v>25398</v>
      </c>
      <c r="AJ1931" t="str">
        <f t="shared" si="1186"/>
        <v>NA</v>
      </c>
      <c r="AK1931" t="str">
        <f>IF(ISERROR(MATCH(AI1931&amp;"."&amp;AJ1931,AK$91:AK1930,0)),AI1931&amp;"."&amp;AJ1931,AI1931&amp;"."&amp;AJ1931&amp;COUNTIFS(AI$91:AI1930,AI1931,AJ$91:AJ1930,AJ1931))</f>
        <v>25398.NA</v>
      </c>
    </row>
    <row r="1932" spans="1:37" ht="15" hidden="1">
      <c r="A1932" s="120">
        <f>ROW()</f>
        <v>1932</v>
      </c>
      <c r="B1932" s="120"/>
      <c r="C1932" s="1"/>
      <c r="E1932" s="121" t="s">
        <v>16</v>
      </c>
      <c r="F1932" s="138" t="str">
        <f>INDEX(FuncAllocOptions,ROW(A1932)-ROW($A$92)+1,[4]Inputs!$S$11)</f>
        <v>P</v>
      </c>
      <c r="G1932" s="133" t="e">
        <f>SUMIF(FERCJAMFactor,AK1932,JAMValue)</f>
        <v>#VALUE!</v>
      </c>
      <c r="H1932" s="139" t="e">
        <f>INDEX(FuncFactorTbl,MATCH($F1932,FuncFactors,0),MATCH(H$8,Functions,0))*$G1932</f>
        <v>#VALUE!</v>
      </c>
      <c r="I1932" s="139" t="e">
        <f>INDEX(FuncFactorTbl,MATCH($F1932,FuncFactors,0),MATCH(I$8,Functions,0))*$G1932</f>
        <v>#VALUE!</v>
      </c>
      <c r="J1932" s="139" t="e">
        <f>INDEX(FuncFactorTbl,MATCH($F1932,FuncFactors,0),MATCH(J$8,Functions,0))*$G1932</f>
        <v>#VALUE!</v>
      </c>
      <c r="K1932" s="139" t="e">
        <f>INDEX(FuncFactorTbl,MATCH($F1932,FuncFactors,0),MATCH(K$8,Functions,0))*$G1932</f>
        <v>#VALUE!</v>
      </c>
      <c r="L1932" s="139" t="e">
        <f>INDEX(FuncFactorTbl,MATCH($F1932,FuncFactors,0),MATCH(L$8,Functions,0))*$G1932</f>
        <v>#VALUE!</v>
      </c>
      <c r="N1932" s="108">
        <v>0</v>
      </c>
      <c r="O1932" s="116" t="e">
        <f>$H1932*$N1932*$M1932</f>
        <v>#VALUE!</v>
      </c>
      <c r="P1932" s="116" t="e">
        <f>$H1932*(1-$N1932)*$M1932</f>
        <v>#VALUE!</v>
      </c>
      <c r="Q1932" s="116" t="e">
        <f>$H1932*$N1932*(1-$M1932)</f>
        <v>#VALUE!</v>
      </c>
      <c r="R1932" s="116" t="e">
        <f>$H1932*(1-$N1932)*(1-$M1932)</f>
        <v>#VALUE!</v>
      </c>
      <c r="S1932" s="108">
        <v>0</v>
      </c>
      <c r="T1932" s="116" t="e">
        <f>$I1932*$S1932*$M1932</f>
        <v>#VALUE!</v>
      </c>
      <c r="U1932" s="116" t="e">
        <f>$I1932*(1-$S1932)*$M1932</f>
        <v>#VALUE!</v>
      </c>
      <c r="V1932" s="116" t="e">
        <f>$I1932*$S1932*(1-$M1932)</f>
        <v>#VALUE!</v>
      </c>
      <c r="W1932" s="116" t="e">
        <f>$I1932*(1-$S1932)*(1-$M1932)</f>
        <v>#VALUE!</v>
      </c>
      <c r="X1932" s="3" t="str">
        <f>INDEX(DistFuncAllocOptions,ROW(A1932)-ROW($A$92)+1,[4]Inputs!$S$11)</f>
        <v>PLNT</v>
      </c>
      <c r="Y1932" s="116" t="e">
        <f>INDEX(DistFuncFactorTbl,MATCH($X1932,DistFuncFactors,0),MATCH(Y$91,DistFunctions,0))*$J1932</f>
        <v>#VALUE!</v>
      </c>
      <c r="Z1932" s="116" t="e">
        <f>INDEX(DistFuncFactorTbl,MATCH($X1932,DistFuncFactors,0),MATCH(Z$91,DistFunctions,0))*$J1932</f>
        <v>#VALUE!</v>
      </c>
      <c r="AA1932" s="116" t="e">
        <f>INDEX(DistFuncFactorTbl,MATCH($X1932,DistFuncFactors,0),MATCH(AA$91,DistFunctions,0))*$J1932</f>
        <v>#VALUE!</v>
      </c>
      <c r="AB1932" s="116" t="e">
        <f>INDEX(DistFuncFactorTbl,MATCH($X1932,DistFuncFactors,0),MATCH(AB$91,DistFunctions,0))*$J1932</f>
        <v>#VALUE!</v>
      </c>
      <c r="AC1932" s="116" t="e">
        <f>INDEX(DistFuncFactorTbl,MATCH($X1932,DistFuncFactors,0),MATCH(AC$91,DistFunctions,0))*$J1932</f>
        <v>#VALUE!</v>
      </c>
      <c r="AD1932" s="117" t="e">
        <f>ROUND(SUM(-G1932,H1932:L1932),0)</f>
        <v>#VALUE!</v>
      </c>
      <c r="AE1932" s="117" t="e">
        <f>ROUND(H1932-O1932-P1932-Q1932-R1932,0)</f>
        <v>#VALUE!</v>
      </c>
      <c r="AF1932" s="117" t="e">
        <f>ROUND(I1932-T1932-U1932-V1932-W1932,0)</f>
        <v>#VALUE!</v>
      </c>
      <c r="AG1932" s="117" t="e">
        <f>ROUND(J1932-Y1932-Z1932-AA1932-AC1932-AB1932,0)</f>
        <v>#VALUE!</v>
      </c>
      <c r="AH1932" s="116"/>
      <c r="AI1932">
        <f t="shared" si="1191"/>
        <v>25398</v>
      </c>
      <c r="AJ1932" t="str">
        <f t="shared" si="1186"/>
        <v>SE</v>
      </c>
      <c r="AK1932" t="str">
        <f>IF(ISERROR(MATCH(AI1932&amp;"."&amp;AJ1932,AK$91:AK1931,0)),AI1932&amp;"."&amp;AJ1932,AI1932&amp;"."&amp;AJ1932&amp;COUNTIFS(AI$91:AI1931,AI1932,AJ$91:AJ1931,AJ1932))</f>
        <v>25398.SE</v>
      </c>
    </row>
    <row r="1933" spans="1:37" ht="15" hidden="1">
      <c r="A1933" s="120">
        <f>ROW()</f>
        <v>1933</v>
      </c>
      <c r="B1933" s="120"/>
      <c r="C1933" s="1"/>
      <c r="E1933" s="121"/>
      <c r="F1933" s="138"/>
      <c r="G1933" s="117" t="e">
        <f t="shared" ref="G1933:L1933" si="1210">SUM(G1932)</f>
        <v>#VALUE!</v>
      </c>
      <c r="H1933" s="135" t="e">
        <f t="shared" si="1210"/>
        <v>#VALUE!</v>
      </c>
      <c r="I1933" s="135" t="e">
        <f t="shared" si="1210"/>
        <v>#VALUE!</v>
      </c>
      <c r="J1933" s="135" t="e">
        <f t="shared" si="1210"/>
        <v>#VALUE!</v>
      </c>
      <c r="K1933" s="135" t="e">
        <f t="shared" si="1210"/>
        <v>#VALUE!</v>
      </c>
      <c r="L1933" s="135" t="e">
        <f t="shared" si="1210"/>
        <v>#VALUE!</v>
      </c>
      <c r="O1933" s="135" t="e">
        <f>SUM(O1932)</f>
        <v>#VALUE!</v>
      </c>
      <c r="P1933" s="135" t="e">
        <f>SUM(P1932)</f>
        <v>#VALUE!</v>
      </c>
      <c r="Q1933" s="135" t="e">
        <f>SUM(Q1932)</f>
        <v>#VALUE!</v>
      </c>
      <c r="R1933" s="135" t="e">
        <f>SUM(R1932)</f>
        <v>#VALUE!</v>
      </c>
      <c r="T1933" s="135" t="e">
        <f>SUM(T1932)</f>
        <v>#VALUE!</v>
      </c>
      <c r="U1933" s="135" t="e">
        <f>SUM(U1932)</f>
        <v>#VALUE!</v>
      </c>
      <c r="V1933" s="135" t="e">
        <f>SUM(V1932)</f>
        <v>#VALUE!</v>
      </c>
      <c r="W1933" s="135" t="e">
        <f>SUM(W1932)</f>
        <v>#VALUE!</v>
      </c>
      <c r="X1933" s="3"/>
      <c r="Y1933" s="135" t="e">
        <f>SUM(Y1932)</f>
        <v>#VALUE!</v>
      </c>
      <c r="Z1933" s="135" t="e">
        <f>SUM(Z1932)</f>
        <v>#VALUE!</v>
      </c>
      <c r="AA1933" s="135" t="e">
        <f>SUM(AA1932)</f>
        <v>#VALUE!</v>
      </c>
      <c r="AB1933" s="135" t="e">
        <f>SUM(AB1932)</f>
        <v>#VALUE!</v>
      </c>
      <c r="AC1933" s="135" t="e">
        <f>SUM(AC1932)</f>
        <v>#VALUE!</v>
      </c>
      <c r="AD1933" s="119"/>
      <c r="AE1933" s="119"/>
      <c r="AF1933" s="119"/>
      <c r="AG1933" s="119"/>
      <c r="AI1933">
        <f t="shared" si="1191"/>
        <v>25398</v>
      </c>
      <c r="AJ1933" t="str">
        <f t="shared" si="1186"/>
        <v>NA</v>
      </c>
      <c r="AK1933" t="str">
        <f>IF(ISERROR(MATCH(AI1933&amp;"."&amp;AJ1933,AK$91:AK1932,0)),AI1933&amp;"."&amp;AJ1933,AI1933&amp;"."&amp;AJ1933&amp;COUNTIFS(AI$91:AI1932,AI1933,AJ$91:AJ1932,AJ1933))</f>
        <v>25398.NA1</v>
      </c>
    </row>
    <row r="1934" spans="1:37" ht="15" hidden="1">
      <c r="A1934" s="120">
        <f>ROW()</f>
        <v>1934</v>
      </c>
      <c r="B1934" s="120"/>
      <c r="C1934" s="1"/>
      <c r="E1934" s="121"/>
      <c r="F1934" s="138"/>
      <c r="G1934" s="119"/>
      <c r="X1934" s="3"/>
      <c r="AD1934" s="119"/>
      <c r="AE1934" s="119"/>
      <c r="AF1934" s="119"/>
      <c r="AG1934" s="119"/>
      <c r="AI1934">
        <f t="shared" si="1191"/>
        <v>25398</v>
      </c>
      <c r="AJ1934" t="str">
        <f t="shared" si="1186"/>
        <v>NA</v>
      </c>
      <c r="AK1934" t="str">
        <f>IF(ISERROR(MATCH(AI1934&amp;"."&amp;AJ1934,AK$91:AK1933,0)),AI1934&amp;"."&amp;AJ1934,AI1934&amp;"."&amp;AJ1934&amp;COUNTIFS(AI$91:AI1933,AI1934,AJ$91:AJ1933,AJ1934))</f>
        <v>25398.NA2</v>
      </c>
    </row>
    <row r="1935" spans="1:37" ht="15" hidden="1">
      <c r="A1935" s="120">
        <f>ROW()</f>
        <v>1935</v>
      </c>
      <c r="B1935" s="120"/>
      <c r="C1935" s="1">
        <v>25399</v>
      </c>
      <c r="D1935" s="2" t="s">
        <v>657</v>
      </c>
      <c r="E1935" s="121"/>
      <c r="F1935" s="138"/>
      <c r="G1935" s="119"/>
      <c r="X1935" s="3"/>
      <c r="AD1935" s="119"/>
      <c r="AE1935" s="119"/>
      <c r="AF1935" s="119"/>
      <c r="AG1935" s="119"/>
      <c r="AI1935">
        <f t="shared" si="1191"/>
        <v>25399</v>
      </c>
      <c r="AJ1935" t="str">
        <f t="shared" si="1186"/>
        <v>NA</v>
      </c>
      <c r="AK1935" t="str">
        <f>IF(ISERROR(MATCH(AI1935&amp;"."&amp;AJ1935,AK$91:AK1934,0)),AI1935&amp;"."&amp;AJ1935,AI1935&amp;"."&amp;AJ1935&amp;COUNTIFS(AI$91:AI1934,AI1935,AJ$91:AJ1934,AJ1935))</f>
        <v>25399.NA</v>
      </c>
    </row>
    <row r="1936" spans="1:37" ht="15" hidden="1">
      <c r="A1936" s="120">
        <f>ROW()</f>
        <v>1936</v>
      </c>
      <c r="B1936" s="120"/>
      <c r="C1936" s="1"/>
      <c r="E1936" s="121" t="s">
        <v>12</v>
      </c>
      <c r="F1936" s="138" t="str">
        <f>INDEX(FuncAllocOptions,ROW(A1936)-ROW($A$92)+1,[4]Inputs!$S$11)</f>
        <v>P</v>
      </c>
      <c r="G1936" s="117" t="e">
        <f>SUMIF(FERCJAMFactor,AK1936,JAMValue)</f>
        <v>#VALUE!</v>
      </c>
      <c r="H1936" s="116" t="e">
        <f t="shared" ref="H1936:L1939" si="1211">INDEX(FuncFactorTbl,MATCH($F1936,FuncFactors,0),MATCH(H$8,Functions,0))*$G1936</f>
        <v>#VALUE!</v>
      </c>
      <c r="I1936" s="116" t="e">
        <f t="shared" si="1211"/>
        <v>#VALUE!</v>
      </c>
      <c r="J1936" s="116" t="e">
        <f t="shared" si="1211"/>
        <v>#VALUE!</v>
      </c>
      <c r="K1936" s="116" t="e">
        <f t="shared" si="1211"/>
        <v>#VALUE!</v>
      </c>
      <c r="L1936" s="116" t="e">
        <f t="shared" si="1211"/>
        <v>#VALUE!</v>
      </c>
      <c r="N1936" s="108">
        <v>0.75</v>
      </c>
      <c r="O1936" s="116" t="e">
        <f>$H1936*$N1936*$M1936</f>
        <v>#VALUE!</v>
      </c>
      <c r="P1936" s="116" t="e">
        <f>$H1936*(1-$N1936)*$M1936</f>
        <v>#VALUE!</v>
      </c>
      <c r="Q1936" s="116" t="e">
        <f>$H1936*$N1936*(1-$M1936)</f>
        <v>#VALUE!</v>
      </c>
      <c r="R1936" s="116" t="e">
        <f>$H1936*(1-$N1936)*(1-$M1936)</f>
        <v>#VALUE!</v>
      </c>
      <c r="S1936" s="108">
        <v>0.75</v>
      </c>
      <c r="T1936" s="116" t="e">
        <f>$I1936*$S1936*$M1936</f>
        <v>#VALUE!</v>
      </c>
      <c r="U1936" s="116" t="e">
        <f>$I1936*(1-$S1936)*$M1936</f>
        <v>#VALUE!</v>
      </c>
      <c r="V1936" s="116" t="e">
        <f>$I1936*$S1936*(1-$M1936)</f>
        <v>#VALUE!</v>
      </c>
      <c r="W1936" s="116" t="e">
        <f>$I1936*(1-$S1936)*(1-$M1936)</f>
        <v>#VALUE!</v>
      </c>
      <c r="X1936" s="3" t="str">
        <f>INDEX(DistFuncAllocOptions,ROW(A1936)-ROW($A$92)+1,[4]Inputs!$S$11)</f>
        <v>PLNT</v>
      </c>
      <c r="Y1936" s="116" t="e">
        <f t="shared" ref="Y1936:AC1939" si="1212">INDEX(DistFuncFactorTbl,MATCH($X1936,DistFuncFactors,0),MATCH(Y$91,DistFunctions,0))*$J1936</f>
        <v>#VALUE!</v>
      </c>
      <c r="Z1936" s="116" t="e">
        <f t="shared" si="1212"/>
        <v>#VALUE!</v>
      </c>
      <c r="AA1936" s="116" t="e">
        <f t="shared" si="1212"/>
        <v>#VALUE!</v>
      </c>
      <c r="AB1936" s="116" t="e">
        <f t="shared" si="1212"/>
        <v>#VALUE!</v>
      </c>
      <c r="AC1936" s="116" t="e">
        <f t="shared" si="1212"/>
        <v>#VALUE!</v>
      </c>
      <c r="AD1936" s="117" t="e">
        <f>ROUND(SUM(-G1936,H1936:L1936),0)</f>
        <v>#VALUE!</v>
      </c>
      <c r="AE1936" s="117" t="e">
        <f>ROUND(H1936-O1936-P1936-Q1936-R1936,0)</f>
        <v>#VALUE!</v>
      </c>
      <c r="AF1936" s="117" t="e">
        <f>ROUND(I1936-T1936-U1936-V1936-W1936,0)</f>
        <v>#VALUE!</v>
      </c>
      <c r="AG1936" s="117" t="e">
        <f>ROUND(J1936-Y1936-Z1936-AA1936-AC1936-AB1936,0)</f>
        <v>#VALUE!</v>
      </c>
      <c r="AH1936" s="116"/>
      <c r="AI1936">
        <f t="shared" si="1191"/>
        <v>25399</v>
      </c>
      <c r="AJ1936" t="str">
        <f t="shared" si="1186"/>
        <v>S</v>
      </c>
      <c r="AK1936" t="str">
        <f>IF(ISERROR(MATCH(AI1936&amp;"."&amp;AJ1936,AK$91:AK1935,0)),AI1936&amp;"."&amp;AJ1936,AI1936&amp;"."&amp;AJ1936&amp;COUNTIFS(AI$91:AI1935,AI1936,AJ$91:AJ1935,AJ1936))</f>
        <v>25399.S</v>
      </c>
    </row>
    <row r="1937" spans="1:37" ht="15" hidden="1">
      <c r="A1937" s="120">
        <f>ROW()</f>
        <v>1937</v>
      </c>
      <c r="B1937" s="120"/>
      <c r="C1937" s="1"/>
      <c r="E1937" s="121" t="s">
        <v>136</v>
      </c>
      <c r="F1937" s="138" t="str">
        <f>INDEX(FuncAllocOptions,ROW(A1937)-ROW($A$92)+1,[4]Inputs!$S$11)</f>
        <v>LABOR</v>
      </c>
      <c r="G1937" s="117" t="e">
        <f>SUMIF(FERCJAMFactor,AK1937,JAMValue)</f>
        <v>#VALUE!</v>
      </c>
      <c r="H1937" s="116" t="e">
        <f t="shared" si="1211"/>
        <v>#VALUE!</v>
      </c>
      <c r="I1937" s="116" t="e">
        <f t="shared" si="1211"/>
        <v>#VALUE!</v>
      </c>
      <c r="J1937" s="116" t="e">
        <f t="shared" si="1211"/>
        <v>#VALUE!</v>
      </c>
      <c r="K1937" s="116" t="e">
        <f t="shared" si="1211"/>
        <v>#VALUE!</v>
      </c>
      <c r="L1937" s="116" t="e">
        <f t="shared" si="1211"/>
        <v>#VALUE!</v>
      </c>
      <c r="N1937" s="108">
        <v>0.75</v>
      </c>
      <c r="O1937" s="116" t="e">
        <f>$H1937*$N1937*$M1937</f>
        <v>#VALUE!</v>
      </c>
      <c r="P1937" s="116" t="e">
        <f>$H1937*(1-$N1937)*$M1937</f>
        <v>#VALUE!</v>
      </c>
      <c r="Q1937" s="116" t="e">
        <f>$H1937*$N1937*(1-$M1937)</f>
        <v>#VALUE!</v>
      </c>
      <c r="R1937" s="116" t="e">
        <f>$H1937*(1-$N1937)*(1-$M1937)</f>
        <v>#VALUE!</v>
      </c>
      <c r="S1937" s="108">
        <v>0.75</v>
      </c>
      <c r="T1937" s="116" t="e">
        <f>$I1937*$S1937*$M1937</f>
        <v>#VALUE!</v>
      </c>
      <c r="U1937" s="116" t="e">
        <f>$I1937*(1-$S1937)*$M1937</f>
        <v>#VALUE!</v>
      </c>
      <c r="V1937" s="116" t="e">
        <f>$I1937*$S1937*(1-$M1937)</f>
        <v>#VALUE!</v>
      </c>
      <c r="W1937" s="116" t="e">
        <f>$I1937*(1-$S1937)*(1-$M1937)</f>
        <v>#VALUE!</v>
      </c>
      <c r="X1937" s="3" t="str">
        <f>INDEX(DistFuncAllocOptions,ROW(A1937)-ROW($A$92)+1,[4]Inputs!$S$11)</f>
        <v>PLNT</v>
      </c>
      <c r="Y1937" s="116" t="e">
        <f t="shared" si="1212"/>
        <v>#VALUE!</v>
      </c>
      <c r="Z1937" s="116" t="e">
        <f t="shared" si="1212"/>
        <v>#VALUE!</v>
      </c>
      <c r="AA1937" s="116" t="e">
        <f t="shared" si="1212"/>
        <v>#VALUE!</v>
      </c>
      <c r="AB1937" s="116" t="e">
        <f t="shared" si="1212"/>
        <v>#VALUE!</v>
      </c>
      <c r="AC1937" s="116" t="e">
        <f t="shared" si="1212"/>
        <v>#VALUE!</v>
      </c>
      <c r="AD1937" s="117" t="e">
        <f>ROUND(SUM(-G1937,H1937:L1937),0)</f>
        <v>#VALUE!</v>
      </c>
      <c r="AE1937" s="117" t="e">
        <f>ROUND(H1937-O1937-P1937-Q1937-R1937,0)</f>
        <v>#VALUE!</v>
      </c>
      <c r="AF1937" s="117" t="e">
        <f>ROUND(I1937-T1937-U1937-V1937-W1937,0)</f>
        <v>#VALUE!</v>
      </c>
      <c r="AG1937" s="117" t="e">
        <f>ROUND(J1937-Y1937-Z1937-AA1937-AC1937-AB1937,0)</f>
        <v>#VALUE!</v>
      </c>
      <c r="AH1937" s="116"/>
      <c r="AI1937">
        <f t="shared" si="1191"/>
        <v>25399</v>
      </c>
      <c r="AJ1937" t="str">
        <f t="shared" si="1186"/>
        <v>SO</v>
      </c>
      <c r="AK1937" t="str">
        <f>IF(ISERROR(MATCH(AI1937&amp;"."&amp;AJ1937,AK$91:AK1936,0)),AI1937&amp;"."&amp;AJ1937,AI1937&amp;"."&amp;AJ1937&amp;COUNTIFS(AI$91:AI1936,AI1937,AJ$91:AJ1936,AJ1937))</f>
        <v>25399.SO</v>
      </c>
    </row>
    <row r="1938" spans="1:37" ht="15" hidden="1">
      <c r="A1938" s="120">
        <f>ROW()</f>
        <v>1938</v>
      </c>
      <c r="B1938" s="120"/>
      <c r="C1938" s="1"/>
      <c r="E1938" s="121" t="s">
        <v>15</v>
      </c>
      <c r="F1938" s="138" t="str">
        <f>INDEX(FuncAllocOptions,ROW(A1938)-ROW($A$92)+1,[4]Inputs!$S$11)</f>
        <v>P</v>
      </c>
      <c r="G1938" s="117" t="e">
        <f>SUMIF(FERCJAMFactor,AK1938,JAMValue)</f>
        <v>#VALUE!</v>
      </c>
      <c r="H1938" s="116" t="e">
        <f t="shared" si="1211"/>
        <v>#VALUE!</v>
      </c>
      <c r="I1938" s="116" t="e">
        <f t="shared" si="1211"/>
        <v>#VALUE!</v>
      </c>
      <c r="J1938" s="116" t="e">
        <f t="shared" si="1211"/>
        <v>#VALUE!</v>
      </c>
      <c r="K1938" s="116" t="e">
        <f t="shared" si="1211"/>
        <v>#VALUE!</v>
      </c>
      <c r="L1938" s="116" t="e">
        <f t="shared" si="1211"/>
        <v>#VALUE!</v>
      </c>
      <c r="N1938" s="108">
        <v>0.75</v>
      </c>
      <c r="O1938" s="116" t="e">
        <f>$H1938*$N1938*$M1938</f>
        <v>#VALUE!</v>
      </c>
      <c r="P1938" s="116" t="e">
        <f>$H1938*(1-$N1938)*$M1938</f>
        <v>#VALUE!</v>
      </c>
      <c r="Q1938" s="116" t="e">
        <f>$H1938*$N1938*(1-$M1938)</f>
        <v>#VALUE!</v>
      </c>
      <c r="R1938" s="116" t="e">
        <f>$H1938*(1-$N1938)*(1-$M1938)</f>
        <v>#VALUE!</v>
      </c>
      <c r="S1938" s="108">
        <v>0.75</v>
      </c>
      <c r="T1938" s="116" t="e">
        <f>$I1938*$S1938*$M1938</f>
        <v>#VALUE!</v>
      </c>
      <c r="U1938" s="116" t="e">
        <f>$I1938*(1-$S1938)*$M1938</f>
        <v>#VALUE!</v>
      </c>
      <c r="V1938" s="116" t="e">
        <f>$I1938*$S1938*(1-$M1938)</f>
        <v>#VALUE!</v>
      </c>
      <c r="W1938" s="116" t="e">
        <f>$I1938*(1-$S1938)*(1-$M1938)</f>
        <v>#VALUE!</v>
      </c>
      <c r="X1938" s="3" t="str">
        <f>INDEX(DistFuncAllocOptions,ROW(A1938)-ROW($A$92)+1,[4]Inputs!$S$11)</f>
        <v>PLNT</v>
      </c>
      <c r="Y1938" s="116" t="e">
        <f t="shared" si="1212"/>
        <v>#VALUE!</v>
      </c>
      <c r="Z1938" s="116" t="e">
        <f t="shared" si="1212"/>
        <v>#VALUE!</v>
      </c>
      <c r="AA1938" s="116" t="e">
        <f t="shared" si="1212"/>
        <v>#VALUE!</v>
      </c>
      <c r="AB1938" s="116" t="e">
        <f t="shared" si="1212"/>
        <v>#VALUE!</v>
      </c>
      <c r="AC1938" s="116" t="e">
        <f t="shared" si="1212"/>
        <v>#VALUE!</v>
      </c>
      <c r="AD1938" s="117" t="e">
        <f>ROUND(SUM(-G1938,H1938:L1938),0)</f>
        <v>#VALUE!</v>
      </c>
      <c r="AE1938" s="117" t="e">
        <f>ROUND(H1938-O1938-P1938-Q1938-R1938,0)</f>
        <v>#VALUE!</v>
      </c>
      <c r="AF1938" s="117" t="e">
        <f>ROUND(I1938-T1938-U1938-V1938-W1938,0)</f>
        <v>#VALUE!</v>
      </c>
      <c r="AG1938" s="117" t="e">
        <f>ROUND(J1938-Y1938-Z1938-AA1938-AC1938-AB1938,0)</f>
        <v>#VALUE!</v>
      </c>
      <c r="AH1938" s="116"/>
      <c r="AI1938">
        <f t="shared" si="1191"/>
        <v>25399</v>
      </c>
      <c r="AJ1938" t="str">
        <f t="shared" si="1186"/>
        <v>SG</v>
      </c>
      <c r="AK1938" t="str">
        <f>IF(ISERROR(MATCH(AI1938&amp;"."&amp;AJ1938,AK$91:AK1937,0)),AI1938&amp;"."&amp;AJ1938,AI1938&amp;"."&amp;AJ1938&amp;COUNTIFS(AI$91:AI1937,AI1938,AJ$91:AJ1937,AJ1938))</f>
        <v>25399.SG</v>
      </c>
    </row>
    <row r="1939" spans="1:37" ht="15" hidden="1">
      <c r="A1939" s="120">
        <f>ROW()</f>
        <v>1939</v>
      </c>
      <c r="B1939" s="120"/>
      <c r="C1939" s="1"/>
      <c r="E1939" s="121" t="s">
        <v>16</v>
      </c>
      <c r="F1939" s="138" t="str">
        <f>INDEX(FuncAllocOptions,ROW(A1939)-ROW($A$92)+1,[4]Inputs!$S$11)</f>
        <v>P</v>
      </c>
      <c r="G1939" s="133" t="e">
        <f>SUMIF(FERCJAMFactor,AK1939,JAMValue)</f>
        <v>#VALUE!</v>
      </c>
      <c r="H1939" s="139" t="e">
        <f t="shared" si="1211"/>
        <v>#VALUE!</v>
      </c>
      <c r="I1939" s="139" t="e">
        <f t="shared" si="1211"/>
        <v>#VALUE!</v>
      </c>
      <c r="J1939" s="139" t="e">
        <f t="shared" si="1211"/>
        <v>#VALUE!</v>
      </c>
      <c r="K1939" s="139" t="e">
        <f t="shared" si="1211"/>
        <v>#VALUE!</v>
      </c>
      <c r="L1939" s="139" t="e">
        <f t="shared" si="1211"/>
        <v>#VALUE!</v>
      </c>
      <c r="N1939" s="108">
        <v>0.75</v>
      </c>
      <c r="O1939" s="116" t="e">
        <f>$H1939*$N1939*$M1939</f>
        <v>#VALUE!</v>
      </c>
      <c r="P1939" s="116" t="e">
        <f>$H1939*(1-$N1939)*$M1939</f>
        <v>#VALUE!</v>
      </c>
      <c r="Q1939" s="116" t="e">
        <f>$H1939*$N1939*(1-$M1939)</f>
        <v>#VALUE!</v>
      </c>
      <c r="R1939" s="116" t="e">
        <f>$H1939*(1-$N1939)*(1-$M1939)</f>
        <v>#VALUE!</v>
      </c>
      <c r="S1939" s="108">
        <v>0.75</v>
      </c>
      <c r="T1939" s="116" t="e">
        <f>$I1939*$S1939*$M1939</f>
        <v>#VALUE!</v>
      </c>
      <c r="U1939" s="116" t="e">
        <f>$I1939*(1-$S1939)*$M1939</f>
        <v>#VALUE!</v>
      </c>
      <c r="V1939" s="116" t="e">
        <f>$I1939*$S1939*(1-$M1939)</f>
        <v>#VALUE!</v>
      </c>
      <c r="W1939" s="116" t="e">
        <f>$I1939*(1-$S1939)*(1-$M1939)</f>
        <v>#VALUE!</v>
      </c>
      <c r="X1939" s="3" t="str">
        <f>INDEX(DistFuncAllocOptions,ROW(A1939)-ROW($A$92)+1,[4]Inputs!$S$11)</f>
        <v>PLNT</v>
      </c>
      <c r="Y1939" s="116" t="e">
        <f t="shared" si="1212"/>
        <v>#VALUE!</v>
      </c>
      <c r="Z1939" s="116" t="e">
        <f t="shared" si="1212"/>
        <v>#VALUE!</v>
      </c>
      <c r="AA1939" s="116" t="e">
        <f t="shared" si="1212"/>
        <v>#VALUE!</v>
      </c>
      <c r="AB1939" s="116" t="e">
        <f t="shared" si="1212"/>
        <v>#VALUE!</v>
      </c>
      <c r="AC1939" s="116" t="e">
        <f t="shared" si="1212"/>
        <v>#VALUE!</v>
      </c>
      <c r="AD1939" s="117" t="e">
        <f>ROUND(SUM(-G1939,H1939:L1939),0)</f>
        <v>#VALUE!</v>
      </c>
      <c r="AE1939" s="117" t="e">
        <f>ROUND(H1939-O1939-P1939-Q1939-R1939,0)</f>
        <v>#VALUE!</v>
      </c>
      <c r="AF1939" s="117" t="e">
        <f>ROUND(I1939-T1939-U1939-V1939-W1939,0)</f>
        <v>#VALUE!</v>
      </c>
      <c r="AG1939" s="117" t="e">
        <f>ROUND(J1939-Y1939-Z1939-AA1939-AC1939-AB1939,0)</f>
        <v>#VALUE!</v>
      </c>
      <c r="AH1939" s="116"/>
      <c r="AI1939">
        <f t="shared" si="1191"/>
        <v>25399</v>
      </c>
      <c r="AJ1939" t="str">
        <f t="shared" si="1186"/>
        <v>SE</v>
      </c>
      <c r="AK1939" t="str">
        <f>IF(ISERROR(MATCH(AI1939&amp;"."&amp;AJ1939,AK$91:AK1938,0)),AI1939&amp;"."&amp;AJ1939,AI1939&amp;"."&amp;AJ1939&amp;COUNTIFS(AI$91:AI1938,AI1939,AJ$91:AJ1938,AJ1939))</f>
        <v>25399.SE</v>
      </c>
    </row>
    <row r="1940" spans="1:37" ht="15" hidden="1">
      <c r="A1940" s="120">
        <f>ROW()</f>
        <v>1940</v>
      </c>
      <c r="B1940" s="120"/>
      <c r="C1940" s="1"/>
      <c r="E1940" s="121"/>
      <c r="F1940" s="138"/>
      <c r="G1940" s="117" t="e">
        <f t="shared" ref="G1940:L1940" si="1213">SUM(G1936:G1939)</f>
        <v>#VALUE!</v>
      </c>
      <c r="H1940" s="116" t="e">
        <f t="shared" si="1213"/>
        <v>#VALUE!</v>
      </c>
      <c r="I1940" s="116" t="e">
        <f t="shared" si="1213"/>
        <v>#VALUE!</v>
      </c>
      <c r="J1940" s="116" t="e">
        <f t="shared" si="1213"/>
        <v>#VALUE!</v>
      </c>
      <c r="K1940" s="116" t="e">
        <f t="shared" si="1213"/>
        <v>#VALUE!</v>
      </c>
      <c r="L1940" s="116" t="e">
        <f t="shared" si="1213"/>
        <v>#VALUE!</v>
      </c>
      <c r="O1940" s="116" t="e">
        <f>SUM(O1936:O1939)</f>
        <v>#VALUE!</v>
      </c>
      <c r="P1940" s="116" t="e">
        <f>SUM(P1936:P1939)</f>
        <v>#VALUE!</v>
      </c>
      <c r="Q1940" s="116" t="e">
        <f>SUM(Q1936:Q1939)</f>
        <v>#VALUE!</v>
      </c>
      <c r="R1940" s="116" t="e">
        <f>SUM(R1936:R1939)</f>
        <v>#VALUE!</v>
      </c>
      <c r="T1940" s="116" t="e">
        <f>SUM(T1936:T1939)</f>
        <v>#VALUE!</v>
      </c>
      <c r="U1940" s="116" t="e">
        <f>SUM(U1936:U1939)</f>
        <v>#VALUE!</v>
      </c>
      <c r="V1940" s="116" t="e">
        <f>SUM(V1936:V1939)</f>
        <v>#VALUE!</v>
      </c>
      <c r="W1940" s="116" t="e">
        <f>SUM(W1936:W1939)</f>
        <v>#VALUE!</v>
      </c>
      <c r="X1940" s="3"/>
      <c r="Y1940" s="116" t="e">
        <f>SUM(Y1936:Y1939)</f>
        <v>#VALUE!</v>
      </c>
      <c r="Z1940" s="116" t="e">
        <f>SUM(Z1936:Z1939)</f>
        <v>#VALUE!</v>
      </c>
      <c r="AA1940" s="116" t="e">
        <f>SUM(AA1936:AA1939)</f>
        <v>#VALUE!</v>
      </c>
      <c r="AB1940" s="116" t="e">
        <f>SUM(AB1936:AB1939)</f>
        <v>#VALUE!</v>
      </c>
      <c r="AC1940" s="116" t="e">
        <f>SUM(AC1936:AC1939)</f>
        <v>#VALUE!</v>
      </c>
      <c r="AD1940" s="117" t="e">
        <f>ROUND(SUM(-G1940,H1940:L1940),0)</f>
        <v>#VALUE!</v>
      </c>
      <c r="AE1940" s="117" t="e">
        <f>ROUND(H1940-O1940-P1940-Q1940-R1940,0)</f>
        <v>#VALUE!</v>
      </c>
      <c r="AF1940" s="117" t="e">
        <f>ROUND(I1940-T1940-U1940-V1940-W1940,0)</f>
        <v>#VALUE!</v>
      </c>
      <c r="AG1940" s="117" t="e">
        <f>ROUND(J1940-Y1940-Z1940-AA1940-AC1940-AB1940,0)</f>
        <v>#VALUE!</v>
      </c>
      <c r="AH1940" s="116"/>
      <c r="AI1940">
        <f t="shared" si="1191"/>
        <v>25399</v>
      </c>
      <c r="AJ1940" t="str">
        <f t="shared" si="1186"/>
        <v>NA</v>
      </c>
      <c r="AK1940" t="str">
        <f>IF(ISERROR(MATCH(AI1940&amp;"."&amp;AJ1940,AK$91:AK1939,0)),AI1940&amp;"."&amp;AJ1940,AI1940&amp;"."&amp;AJ1940&amp;COUNTIFS(AI$91:AI1939,AI1940,AJ$91:AJ1939,AJ1940))</f>
        <v>25399.NA1</v>
      </c>
    </row>
    <row r="1941" spans="1:37" ht="15" hidden="1">
      <c r="A1941" s="120">
        <f>ROW()</f>
        <v>1941</v>
      </c>
      <c r="B1941" s="120"/>
      <c r="C1941" s="1"/>
      <c r="E1941" s="121"/>
      <c r="F1941" s="138"/>
      <c r="G1941" s="119"/>
      <c r="X1941" s="3"/>
      <c r="AD1941" s="119"/>
      <c r="AE1941" s="119"/>
      <c r="AF1941" s="119"/>
      <c r="AG1941" s="119"/>
      <c r="AI1941">
        <f t="shared" si="1191"/>
        <v>25399</v>
      </c>
      <c r="AJ1941" t="str">
        <f t="shared" si="1186"/>
        <v>NA</v>
      </c>
      <c r="AK1941" t="str">
        <f>IF(ISERROR(MATCH(AI1941&amp;"."&amp;AJ1941,AK$91:AK1940,0)),AI1941&amp;"."&amp;AJ1941,AI1941&amp;"."&amp;AJ1941&amp;COUNTIFS(AI$91:AI1940,AI1941,AJ$91:AJ1940,AJ1941))</f>
        <v>25399.NA2</v>
      </c>
    </row>
    <row r="1942" spans="1:37" ht="15" hidden="1">
      <c r="A1942" s="120">
        <f>ROW()</f>
        <v>1942</v>
      </c>
      <c r="B1942" s="120"/>
      <c r="C1942" s="1">
        <v>190</v>
      </c>
      <c r="D1942" s="2" t="s">
        <v>658</v>
      </c>
      <c r="E1942" s="121"/>
      <c r="F1942" s="138"/>
      <c r="G1942" s="119"/>
      <c r="X1942" s="3"/>
      <c r="AD1942" s="119"/>
      <c r="AE1942" s="119"/>
      <c r="AF1942" s="119"/>
      <c r="AG1942" s="119"/>
      <c r="AI1942">
        <f t="shared" si="1191"/>
        <v>190</v>
      </c>
      <c r="AJ1942" t="str">
        <f t="shared" si="1186"/>
        <v>NA</v>
      </c>
      <c r="AK1942" t="str">
        <f>IF(ISERROR(MATCH(AI1942&amp;"."&amp;AJ1942,AK$91:AK1941,0)),AI1942&amp;"."&amp;AJ1942,AI1942&amp;"."&amp;AJ1942&amp;COUNTIFS(AI$91:AI1941,AI1942,AJ$91:AJ1941,AJ1942))</f>
        <v>190.NA</v>
      </c>
    </row>
    <row r="1943" spans="1:37" ht="15" hidden="1">
      <c r="A1943" s="120">
        <f>ROW()</f>
        <v>1943</v>
      </c>
      <c r="B1943" s="120"/>
      <c r="C1943" s="1"/>
      <c r="E1943" s="121" t="s">
        <v>12</v>
      </c>
      <c r="F1943" s="138" t="str">
        <f>INDEX(FuncAllocOptions,ROW(A1943)-ROW($A$92)+1,[4]Inputs!$S$11)</f>
        <v>P</v>
      </c>
      <c r="G1943" s="117" t="e">
        <f t="shared" ref="G1943:G1956" si="1214">SUMIF(FERCJAMFactor,AK1943,JAMValue)</f>
        <v>#VALUE!</v>
      </c>
      <c r="H1943" s="116" t="e">
        <f t="shared" ref="H1943:L1956" si="1215">INDEX(FuncFactorTbl,MATCH($F1943,FuncFactors,0),MATCH(H$8,Functions,0))*$G1943</f>
        <v>#VALUE!</v>
      </c>
      <c r="I1943" s="116" t="e">
        <f t="shared" si="1215"/>
        <v>#VALUE!</v>
      </c>
      <c r="J1943" s="116" t="e">
        <f t="shared" si="1215"/>
        <v>#VALUE!</v>
      </c>
      <c r="K1943" s="116" t="e">
        <f t="shared" si="1215"/>
        <v>#VALUE!</v>
      </c>
      <c r="L1943" s="116" t="e">
        <f t="shared" si="1215"/>
        <v>#VALUE!</v>
      </c>
      <c r="N1943" s="108">
        <v>0.75</v>
      </c>
      <c r="O1943" s="116" t="e">
        <f t="shared" ref="O1943:O1956" si="1216">$H1943*$N1943*$M1943</f>
        <v>#VALUE!</v>
      </c>
      <c r="P1943" s="116" t="e">
        <f t="shared" ref="P1943:P1956" si="1217">$H1943*(1-$N1943)*$M1943</f>
        <v>#VALUE!</v>
      </c>
      <c r="Q1943" s="116" t="e">
        <f t="shared" ref="Q1943:Q1956" si="1218">$H1943*$N1943*(1-$M1943)</f>
        <v>#VALUE!</v>
      </c>
      <c r="R1943" s="116" t="e">
        <f t="shared" ref="R1943:R1956" si="1219">$H1943*(1-$N1943)*(1-$M1943)</f>
        <v>#VALUE!</v>
      </c>
      <c r="S1943" s="108">
        <v>0.75</v>
      </c>
      <c r="T1943" s="116" t="e">
        <f t="shared" ref="T1943:T1956" si="1220">$I1943*$S1943*$M1943</f>
        <v>#VALUE!</v>
      </c>
      <c r="U1943" s="116" t="e">
        <f t="shared" ref="U1943:U1956" si="1221">$I1943*(1-$S1943)*$M1943</f>
        <v>#VALUE!</v>
      </c>
      <c r="V1943" s="116" t="e">
        <f t="shared" ref="V1943:V1956" si="1222">$I1943*$S1943*(1-$M1943)</f>
        <v>#VALUE!</v>
      </c>
      <c r="W1943" s="116" t="e">
        <f t="shared" ref="W1943:W1956" si="1223">$I1943*(1-$S1943)*(1-$M1943)</f>
        <v>#VALUE!</v>
      </c>
      <c r="X1943" s="3" t="str">
        <f>INDEX(DistFuncAllocOptions,ROW(A1943)-ROW($A$92)+1,[4]Inputs!$S$11)</f>
        <v>PLNT</v>
      </c>
      <c r="Y1943" s="116" t="e">
        <f t="shared" ref="Y1943:AC1956" si="1224">INDEX(DistFuncFactorTbl,MATCH($X1943,DistFuncFactors,0),MATCH(Y$91,DistFunctions,0))*$J1943</f>
        <v>#VALUE!</v>
      </c>
      <c r="Z1943" s="116" t="e">
        <f t="shared" si="1224"/>
        <v>#VALUE!</v>
      </c>
      <c r="AA1943" s="116" t="e">
        <f t="shared" si="1224"/>
        <v>#VALUE!</v>
      </c>
      <c r="AB1943" s="116" t="e">
        <f t="shared" si="1224"/>
        <v>#VALUE!</v>
      </c>
      <c r="AC1943" s="116" t="e">
        <f t="shared" si="1224"/>
        <v>#VALUE!</v>
      </c>
      <c r="AD1943" s="117" t="e">
        <f t="shared" ref="AD1943:AD1957" si="1225">ROUND(SUM(-G1943,H1943:L1943),0)</f>
        <v>#VALUE!</v>
      </c>
      <c r="AE1943" s="117" t="e">
        <f t="shared" ref="AE1943:AE1957" si="1226">ROUND(H1943-O1943-P1943-Q1943-R1943,0)</f>
        <v>#VALUE!</v>
      </c>
      <c r="AF1943" s="117" t="e">
        <f t="shared" ref="AF1943:AF1957" si="1227">ROUND(I1943-T1943-U1943-V1943-W1943,0)</f>
        <v>#VALUE!</v>
      </c>
      <c r="AG1943" s="117" t="e">
        <f t="shared" ref="AG1943:AG1957" si="1228">ROUND(J1943-Y1943-Z1943-AA1943-AC1943-AB1943,0)</f>
        <v>#VALUE!</v>
      </c>
      <c r="AH1943" s="116"/>
      <c r="AI1943">
        <f t="shared" si="1191"/>
        <v>190</v>
      </c>
      <c r="AJ1943" t="str">
        <f t="shared" si="1186"/>
        <v>S</v>
      </c>
      <c r="AK1943" t="str">
        <f>IF(ISERROR(MATCH(AI1943&amp;"."&amp;AJ1943,AK$91:AK1942,0)),AI1943&amp;"."&amp;AJ1943,AI1943&amp;"."&amp;AJ1943&amp;COUNTIFS(AI$91:AI1942,AI1943,AJ$91:AJ1942,AJ1943))</f>
        <v>190.S</v>
      </c>
    </row>
    <row r="1944" spans="1:37" ht="15" hidden="1">
      <c r="A1944" s="120">
        <f>ROW()</f>
        <v>1944</v>
      </c>
      <c r="B1944" s="120"/>
      <c r="C1944" s="1"/>
      <c r="E1944" s="121" t="s">
        <v>155</v>
      </c>
      <c r="F1944" s="138" t="str">
        <f>INDEX(FuncAllocOptions,ROW(A1944)-ROW($A$92)+1,[4]Inputs!$S$11)</f>
        <v>CUST</v>
      </c>
      <c r="G1944" s="117" t="e">
        <f t="shared" si="1214"/>
        <v>#VALUE!</v>
      </c>
      <c r="H1944" s="116" t="e">
        <f t="shared" si="1215"/>
        <v>#VALUE!</v>
      </c>
      <c r="I1944" s="116" t="e">
        <f t="shared" si="1215"/>
        <v>#VALUE!</v>
      </c>
      <c r="J1944" s="116" t="e">
        <f t="shared" si="1215"/>
        <v>#VALUE!</v>
      </c>
      <c r="K1944" s="116" t="e">
        <f t="shared" si="1215"/>
        <v>#VALUE!</v>
      </c>
      <c r="L1944" s="116" t="e">
        <f t="shared" si="1215"/>
        <v>#VALUE!</v>
      </c>
      <c r="N1944" s="108">
        <v>0.75</v>
      </c>
      <c r="O1944" s="116" t="e">
        <f t="shared" si="1216"/>
        <v>#VALUE!</v>
      </c>
      <c r="P1944" s="116" t="e">
        <f t="shared" si="1217"/>
        <v>#VALUE!</v>
      </c>
      <c r="Q1944" s="116" t="e">
        <f t="shared" si="1218"/>
        <v>#VALUE!</v>
      </c>
      <c r="R1944" s="116" t="e">
        <f t="shared" si="1219"/>
        <v>#VALUE!</v>
      </c>
      <c r="S1944" s="108">
        <v>0.75</v>
      </c>
      <c r="T1944" s="116" t="e">
        <f t="shared" si="1220"/>
        <v>#VALUE!</v>
      </c>
      <c r="U1944" s="116" t="e">
        <f t="shared" si="1221"/>
        <v>#VALUE!</v>
      </c>
      <c r="V1944" s="116" t="e">
        <f t="shared" si="1222"/>
        <v>#VALUE!</v>
      </c>
      <c r="W1944" s="116" t="e">
        <f t="shared" si="1223"/>
        <v>#VALUE!</v>
      </c>
      <c r="X1944" s="3" t="str">
        <f>INDEX(DistFuncAllocOptions,ROW(A1944)-ROW($A$92)+1,[4]Inputs!$S$11)</f>
        <v>PLNT</v>
      </c>
      <c r="Y1944" s="116" t="e">
        <f t="shared" si="1224"/>
        <v>#VALUE!</v>
      </c>
      <c r="Z1944" s="116" t="e">
        <f t="shared" si="1224"/>
        <v>#VALUE!</v>
      </c>
      <c r="AA1944" s="116" t="e">
        <f t="shared" si="1224"/>
        <v>#VALUE!</v>
      </c>
      <c r="AB1944" s="116" t="e">
        <f t="shared" si="1224"/>
        <v>#VALUE!</v>
      </c>
      <c r="AC1944" s="116" t="e">
        <f t="shared" si="1224"/>
        <v>#VALUE!</v>
      </c>
      <c r="AD1944" s="117" t="e">
        <f t="shared" si="1225"/>
        <v>#VALUE!</v>
      </c>
      <c r="AE1944" s="117" t="e">
        <f t="shared" si="1226"/>
        <v>#VALUE!</v>
      </c>
      <c r="AF1944" s="117" t="e">
        <f t="shared" si="1227"/>
        <v>#VALUE!</v>
      </c>
      <c r="AG1944" s="117" t="e">
        <f t="shared" si="1228"/>
        <v>#VALUE!</v>
      </c>
      <c r="AH1944" s="116"/>
      <c r="AI1944">
        <f t="shared" si="1191"/>
        <v>190</v>
      </c>
      <c r="AJ1944" t="str">
        <f t="shared" si="1186"/>
        <v>CN</v>
      </c>
      <c r="AK1944" t="str">
        <f>IF(ISERROR(MATCH(AI1944&amp;"."&amp;AJ1944,AK$91:AK1943,0)),AI1944&amp;"."&amp;AJ1944,AI1944&amp;"."&amp;AJ1944&amp;COUNTIFS(AI$91:AI1943,AI1944,AJ$91:AJ1943,AJ1944))</f>
        <v>190.CN</v>
      </c>
    </row>
    <row r="1945" spans="1:37" ht="15" hidden="1">
      <c r="A1945" s="120">
        <f>ROW()</f>
        <v>1945</v>
      </c>
      <c r="B1945" s="120"/>
      <c r="C1945" s="1"/>
      <c r="E1945" s="121" t="s">
        <v>136</v>
      </c>
      <c r="F1945" s="138" t="str">
        <f>INDEX(FuncAllocOptions,ROW(A1945)-ROW($A$92)+1,[4]Inputs!$S$11)</f>
        <v>LABOR</v>
      </c>
      <c r="G1945" s="117" t="e">
        <f t="shared" si="1214"/>
        <v>#VALUE!</v>
      </c>
      <c r="H1945" s="116" t="e">
        <f t="shared" si="1215"/>
        <v>#VALUE!</v>
      </c>
      <c r="I1945" s="116" t="e">
        <f t="shared" si="1215"/>
        <v>#VALUE!</v>
      </c>
      <c r="J1945" s="116" t="e">
        <f t="shared" si="1215"/>
        <v>#VALUE!</v>
      </c>
      <c r="K1945" s="116" t="e">
        <f t="shared" si="1215"/>
        <v>#VALUE!</v>
      </c>
      <c r="L1945" s="116" t="e">
        <f t="shared" si="1215"/>
        <v>#VALUE!</v>
      </c>
      <c r="N1945" s="108">
        <v>0.75</v>
      </c>
      <c r="O1945" s="116" t="e">
        <f t="shared" si="1216"/>
        <v>#VALUE!</v>
      </c>
      <c r="P1945" s="116" t="e">
        <f t="shared" si="1217"/>
        <v>#VALUE!</v>
      </c>
      <c r="Q1945" s="116" t="e">
        <f t="shared" si="1218"/>
        <v>#VALUE!</v>
      </c>
      <c r="R1945" s="116" t="e">
        <f t="shared" si="1219"/>
        <v>#VALUE!</v>
      </c>
      <c r="S1945" s="108">
        <v>0.75</v>
      </c>
      <c r="T1945" s="116" t="e">
        <f t="shared" si="1220"/>
        <v>#VALUE!</v>
      </c>
      <c r="U1945" s="116" t="e">
        <f t="shared" si="1221"/>
        <v>#VALUE!</v>
      </c>
      <c r="V1945" s="116" t="e">
        <f t="shared" si="1222"/>
        <v>#VALUE!</v>
      </c>
      <c r="W1945" s="116" t="e">
        <f t="shared" si="1223"/>
        <v>#VALUE!</v>
      </c>
      <c r="X1945" s="3" t="str">
        <f>INDEX(DistFuncAllocOptions,ROW(A1945)-ROW($A$92)+1,[4]Inputs!$S$11)</f>
        <v>DISom</v>
      </c>
      <c r="Y1945" s="116" t="e">
        <f t="shared" si="1224"/>
        <v>#VALUE!</v>
      </c>
      <c r="Z1945" s="116" t="e">
        <f t="shared" si="1224"/>
        <v>#VALUE!</v>
      </c>
      <c r="AA1945" s="116" t="e">
        <f t="shared" si="1224"/>
        <v>#VALUE!</v>
      </c>
      <c r="AB1945" s="116" t="e">
        <f t="shared" si="1224"/>
        <v>#VALUE!</v>
      </c>
      <c r="AC1945" s="116" t="e">
        <f t="shared" si="1224"/>
        <v>#VALUE!</v>
      </c>
      <c r="AD1945" s="117" t="e">
        <f t="shared" si="1225"/>
        <v>#VALUE!</v>
      </c>
      <c r="AE1945" s="117" t="e">
        <f t="shared" si="1226"/>
        <v>#VALUE!</v>
      </c>
      <c r="AF1945" s="117" t="e">
        <f t="shared" si="1227"/>
        <v>#VALUE!</v>
      </c>
      <c r="AG1945" s="117" t="e">
        <f t="shared" si="1228"/>
        <v>#VALUE!</v>
      </c>
      <c r="AH1945" s="116"/>
      <c r="AI1945">
        <f t="shared" si="1191"/>
        <v>190</v>
      </c>
      <c r="AJ1945" t="str">
        <f t="shared" si="1186"/>
        <v>SO</v>
      </c>
      <c r="AK1945" t="str">
        <f>IF(ISERROR(MATCH(AI1945&amp;"."&amp;AJ1945,AK$91:AK1944,0)),AI1945&amp;"."&amp;AJ1945,AI1945&amp;"."&amp;AJ1945&amp;COUNTIFS(AI$91:AI1944,AI1945,AJ$91:AJ1944,AJ1945))</f>
        <v>190.SO</v>
      </c>
    </row>
    <row r="1946" spans="1:37" ht="15" hidden="1">
      <c r="A1946" s="120">
        <f>ROW()</f>
        <v>1946</v>
      </c>
      <c r="B1946" s="120"/>
      <c r="C1946" s="1"/>
      <c r="E1946" s="121" t="s">
        <v>17</v>
      </c>
      <c r="F1946" s="138" t="str">
        <f>INDEX(FuncAllocOptions,ROW(A1946)-ROW($A$92)+1,[4]Inputs!$S$11)</f>
        <v>P</v>
      </c>
      <c r="G1946" s="117" t="e">
        <f t="shared" si="1214"/>
        <v>#VALUE!</v>
      </c>
      <c r="H1946" s="116" t="e">
        <f t="shared" si="1215"/>
        <v>#VALUE!</v>
      </c>
      <c r="I1946" s="116" t="e">
        <f t="shared" si="1215"/>
        <v>#VALUE!</v>
      </c>
      <c r="J1946" s="116" t="e">
        <f t="shared" si="1215"/>
        <v>#VALUE!</v>
      </c>
      <c r="K1946" s="116" t="e">
        <f t="shared" si="1215"/>
        <v>#VALUE!</v>
      </c>
      <c r="L1946" s="116" t="e">
        <f t="shared" si="1215"/>
        <v>#VALUE!</v>
      </c>
      <c r="N1946" s="108">
        <v>0.75</v>
      </c>
      <c r="O1946" s="116" t="e">
        <f t="shared" si="1216"/>
        <v>#VALUE!</v>
      </c>
      <c r="P1946" s="116" t="e">
        <f t="shared" si="1217"/>
        <v>#VALUE!</v>
      </c>
      <c r="Q1946" s="116" t="e">
        <f t="shared" si="1218"/>
        <v>#VALUE!</v>
      </c>
      <c r="R1946" s="116" t="e">
        <f t="shared" si="1219"/>
        <v>#VALUE!</v>
      </c>
      <c r="S1946" s="108">
        <v>0.75</v>
      </c>
      <c r="T1946" s="116" t="e">
        <f t="shared" si="1220"/>
        <v>#VALUE!</v>
      </c>
      <c r="U1946" s="116" t="e">
        <f t="shared" si="1221"/>
        <v>#VALUE!</v>
      </c>
      <c r="V1946" s="116" t="e">
        <f t="shared" si="1222"/>
        <v>#VALUE!</v>
      </c>
      <c r="W1946" s="116" t="e">
        <f t="shared" si="1223"/>
        <v>#VALUE!</v>
      </c>
      <c r="X1946" s="3" t="str">
        <f>INDEX(DistFuncAllocOptions,ROW(A1946)-ROW($A$92)+1,[4]Inputs!$S$11)</f>
        <v>PLNT</v>
      </c>
      <c r="Y1946" s="116" t="e">
        <f t="shared" si="1224"/>
        <v>#VALUE!</v>
      </c>
      <c r="Z1946" s="116" t="e">
        <f t="shared" si="1224"/>
        <v>#VALUE!</v>
      </c>
      <c r="AA1946" s="116" t="e">
        <f t="shared" si="1224"/>
        <v>#VALUE!</v>
      </c>
      <c r="AB1946" s="116" t="e">
        <f t="shared" si="1224"/>
        <v>#VALUE!</v>
      </c>
      <c r="AC1946" s="116" t="e">
        <f t="shared" si="1224"/>
        <v>#VALUE!</v>
      </c>
      <c r="AD1946" s="117" t="e">
        <f t="shared" si="1225"/>
        <v>#VALUE!</v>
      </c>
      <c r="AE1946" s="117" t="e">
        <f t="shared" si="1226"/>
        <v>#VALUE!</v>
      </c>
      <c r="AF1946" s="117" t="e">
        <f t="shared" si="1227"/>
        <v>#VALUE!</v>
      </c>
      <c r="AG1946" s="117" t="e">
        <f t="shared" si="1228"/>
        <v>#VALUE!</v>
      </c>
      <c r="AH1946" s="116"/>
      <c r="AI1946">
        <f t="shared" si="1191"/>
        <v>190</v>
      </c>
      <c r="AJ1946" t="str">
        <f t="shared" si="1186"/>
        <v>DGP</v>
      </c>
      <c r="AK1946" t="str">
        <f>IF(ISERROR(MATCH(AI1946&amp;"."&amp;AJ1946,AK$91:AK1945,0)),AI1946&amp;"."&amp;AJ1946,AI1946&amp;"."&amp;AJ1946&amp;COUNTIFS(AI$91:AI1945,AI1946,AJ$91:AJ1945,AJ1946))</f>
        <v>190.DGP</v>
      </c>
    </row>
    <row r="1947" spans="1:37" ht="15" hidden="1">
      <c r="A1947" s="120">
        <f>ROW()</f>
        <v>1947</v>
      </c>
      <c r="B1947" s="120"/>
      <c r="C1947" s="1"/>
      <c r="E1947" s="121" t="s">
        <v>450</v>
      </c>
      <c r="F1947" s="138" t="str">
        <f>INDEX(FuncAllocOptions,ROW(A1947)-ROW($A$92)+1,[4]Inputs!$S$11)</f>
        <v>IBT</v>
      </c>
      <c r="G1947" s="117" t="e">
        <f t="shared" si="1214"/>
        <v>#VALUE!</v>
      </c>
      <c r="H1947" s="116" t="e">
        <f t="shared" si="1215"/>
        <v>#VALUE!</v>
      </c>
      <c r="I1947" s="116" t="e">
        <f t="shared" si="1215"/>
        <v>#VALUE!</v>
      </c>
      <c r="J1947" s="116" t="e">
        <f t="shared" si="1215"/>
        <v>#VALUE!</v>
      </c>
      <c r="K1947" s="116" t="e">
        <f t="shared" si="1215"/>
        <v>#VALUE!</v>
      </c>
      <c r="L1947" s="116" t="e">
        <f t="shared" si="1215"/>
        <v>#VALUE!</v>
      </c>
      <c r="N1947" s="108">
        <v>0.75</v>
      </c>
      <c r="O1947" s="116" t="e">
        <f t="shared" si="1216"/>
        <v>#VALUE!</v>
      </c>
      <c r="P1947" s="116" t="e">
        <f t="shared" si="1217"/>
        <v>#VALUE!</v>
      </c>
      <c r="Q1947" s="116" t="e">
        <f t="shared" si="1218"/>
        <v>#VALUE!</v>
      </c>
      <c r="R1947" s="116" t="e">
        <f t="shared" si="1219"/>
        <v>#VALUE!</v>
      </c>
      <c r="S1947" s="108">
        <v>0.75</v>
      </c>
      <c r="T1947" s="116" t="e">
        <f t="shared" si="1220"/>
        <v>#VALUE!</v>
      </c>
      <c r="U1947" s="116" t="e">
        <f t="shared" si="1221"/>
        <v>#VALUE!</v>
      </c>
      <c r="V1947" s="116" t="e">
        <f t="shared" si="1222"/>
        <v>#VALUE!</v>
      </c>
      <c r="W1947" s="116" t="e">
        <f t="shared" si="1223"/>
        <v>#VALUE!</v>
      </c>
      <c r="X1947" s="3" t="str">
        <f>INDEX(DistFuncAllocOptions,ROW(A1947)-ROW($A$92)+1,[4]Inputs!$S$11)</f>
        <v>PLNT</v>
      </c>
      <c r="Y1947" s="116" t="e">
        <f t="shared" si="1224"/>
        <v>#VALUE!</v>
      </c>
      <c r="Z1947" s="116" t="e">
        <f t="shared" si="1224"/>
        <v>#VALUE!</v>
      </c>
      <c r="AA1947" s="116" t="e">
        <f t="shared" si="1224"/>
        <v>#VALUE!</v>
      </c>
      <c r="AB1947" s="116" t="e">
        <f t="shared" si="1224"/>
        <v>#VALUE!</v>
      </c>
      <c r="AC1947" s="116" t="e">
        <f t="shared" si="1224"/>
        <v>#VALUE!</v>
      </c>
      <c r="AD1947" s="117" t="e">
        <f t="shared" si="1225"/>
        <v>#VALUE!</v>
      </c>
      <c r="AE1947" s="117" t="e">
        <f t="shared" si="1226"/>
        <v>#VALUE!</v>
      </c>
      <c r="AF1947" s="117" t="e">
        <f t="shared" si="1227"/>
        <v>#VALUE!</v>
      </c>
      <c r="AG1947" s="117" t="e">
        <f t="shared" si="1228"/>
        <v>#VALUE!</v>
      </c>
      <c r="AH1947" s="116"/>
      <c r="AI1947">
        <f t="shared" si="1191"/>
        <v>190</v>
      </c>
      <c r="AJ1947" t="str">
        <f t="shared" si="1186"/>
        <v>IBT</v>
      </c>
      <c r="AK1947" t="str">
        <f>IF(ISERROR(MATCH(AI1947&amp;"."&amp;AJ1947,AK$91:AK1946,0)),AI1947&amp;"."&amp;AJ1947,AI1947&amp;"."&amp;AJ1947&amp;COUNTIFS(AI$91:AI1946,AI1947,AJ$91:AJ1946,AJ1947))</f>
        <v>190.IBT</v>
      </c>
    </row>
    <row r="1948" spans="1:37" ht="15" hidden="1">
      <c r="A1948" s="120">
        <f>ROW()</f>
        <v>1948</v>
      </c>
      <c r="B1948" s="120"/>
      <c r="C1948" s="1"/>
      <c r="E1948" s="121" t="s">
        <v>15</v>
      </c>
      <c r="F1948" s="138" t="str">
        <f>INDEX(FuncAllocOptions,ROW(A1948)-ROW($A$92)+1,[4]Inputs!$S$11)</f>
        <v>P</v>
      </c>
      <c r="G1948" s="117" t="e">
        <f t="shared" si="1214"/>
        <v>#VALUE!</v>
      </c>
      <c r="H1948" s="116" t="e">
        <f t="shared" si="1215"/>
        <v>#VALUE!</v>
      </c>
      <c r="I1948" s="116" t="e">
        <f t="shared" si="1215"/>
        <v>#VALUE!</v>
      </c>
      <c r="J1948" s="116" t="e">
        <f t="shared" si="1215"/>
        <v>#VALUE!</v>
      </c>
      <c r="K1948" s="116" t="e">
        <f t="shared" si="1215"/>
        <v>#VALUE!</v>
      </c>
      <c r="L1948" s="116" t="e">
        <f t="shared" si="1215"/>
        <v>#VALUE!</v>
      </c>
      <c r="N1948" s="108">
        <v>0.75</v>
      </c>
      <c r="O1948" s="116" t="e">
        <f t="shared" si="1216"/>
        <v>#VALUE!</v>
      </c>
      <c r="P1948" s="116" t="e">
        <f t="shared" si="1217"/>
        <v>#VALUE!</v>
      </c>
      <c r="Q1948" s="116" t="e">
        <f t="shared" si="1218"/>
        <v>#VALUE!</v>
      </c>
      <c r="R1948" s="116" t="e">
        <f t="shared" si="1219"/>
        <v>#VALUE!</v>
      </c>
      <c r="S1948" s="108">
        <v>0.75</v>
      </c>
      <c r="T1948" s="116" t="e">
        <f t="shared" si="1220"/>
        <v>#VALUE!</v>
      </c>
      <c r="U1948" s="116" t="e">
        <f t="shared" si="1221"/>
        <v>#VALUE!</v>
      </c>
      <c r="V1948" s="116" t="e">
        <f t="shared" si="1222"/>
        <v>#VALUE!</v>
      </c>
      <c r="W1948" s="116" t="e">
        <f t="shared" si="1223"/>
        <v>#VALUE!</v>
      </c>
      <c r="X1948" s="3" t="str">
        <f>INDEX(DistFuncAllocOptions,ROW(A1948)-ROW($A$92)+1,[4]Inputs!$S$11)</f>
        <v>PLNT</v>
      </c>
      <c r="Y1948" s="116" t="e">
        <f t="shared" si="1224"/>
        <v>#VALUE!</v>
      </c>
      <c r="Z1948" s="116" t="e">
        <f t="shared" si="1224"/>
        <v>#VALUE!</v>
      </c>
      <c r="AA1948" s="116" t="e">
        <f t="shared" si="1224"/>
        <v>#VALUE!</v>
      </c>
      <c r="AB1948" s="116" t="e">
        <f t="shared" si="1224"/>
        <v>#VALUE!</v>
      </c>
      <c r="AC1948" s="116" t="e">
        <f t="shared" si="1224"/>
        <v>#VALUE!</v>
      </c>
      <c r="AD1948" s="117" t="e">
        <f t="shared" si="1225"/>
        <v>#VALUE!</v>
      </c>
      <c r="AE1948" s="117" t="e">
        <f t="shared" si="1226"/>
        <v>#VALUE!</v>
      </c>
      <c r="AF1948" s="117" t="e">
        <f t="shared" si="1227"/>
        <v>#VALUE!</v>
      </c>
      <c r="AG1948" s="117" t="e">
        <f t="shared" si="1228"/>
        <v>#VALUE!</v>
      </c>
      <c r="AH1948" s="116"/>
      <c r="AI1948">
        <f t="shared" si="1191"/>
        <v>190</v>
      </c>
      <c r="AJ1948" t="str">
        <f t="shared" si="1186"/>
        <v>SG</v>
      </c>
      <c r="AK1948" t="str">
        <f>IF(ISERROR(MATCH(AI1948&amp;"."&amp;AJ1948,AK$91:AK1947,0)),AI1948&amp;"."&amp;AJ1948,AI1948&amp;"."&amp;AJ1948&amp;COUNTIFS(AI$91:AI1947,AI1948,AJ$91:AJ1947,AJ1948))</f>
        <v>190.SG</v>
      </c>
    </row>
    <row r="1949" spans="1:37" ht="15" hidden="1">
      <c r="A1949" s="120">
        <f>ROW()</f>
        <v>1949</v>
      </c>
      <c r="B1949" s="120"/>
      <c r="C1949" s="1"/>
      <c r="E1949" s="121" t="s">
        <v>15</v>
      </c>
      <c r="F1949" s="138" t="str">
        <f>INDEX(FuncAllocOptions,ROW(A1949)-ROW($A$92)+1,[4]Inputs!$S$11)</f>
        <v>P</v>
      </c>
      <c r="G1949" s="117" t="e">
        <f t="shared" si="1214"/>
        <v>#VALUE!</v>
      </c>
      <c r="H1949" s="116" t="e">
        <f t="shared" si="1215"/>
        <v>#VALUE!</v>
      </c>
      <c r="I1949" s="116" t="e">
        <f t="shared" si="1215"/>
        <v>#VALUE!</v>
      </c>
      <c r="J1949" s="116" t="e">
        <f t="shared" si="1215"/>
        <v>#VALUE!</v>
      </c>
      <c r="K1949" s="116" t="e">
        <f t="shared" si="1215"/>
        <v>#VALUE!</v>
      </c>
      <c r="L1949" s="116" t="e">
        <f t="shared" si="1215"/>
        <v>#VALUE!</v>
      </c>
      <c r="N1949" s="108">
        <v>0.75</v>
      </c>
      <c r="O1949" s="116" t="e">
        <f t="shared" si="1216"/>
        <v>#VALUE!</v>
      </c>
      <c r="P1949" s="116" t="e">
        <f t="shared" si="1217"/>
        <v>#VALUE!</v>
      </c>
      <c r="Q1949" s="116" t="e">
        <f t="shared" si="1218"/>
        <v>#VALUE!</v>
      </c>
      <c r="R1949" s="116" t="e">
        <f t="shared" si="1219"/>
        <v>#VALUE!</v>
      </c>
      <c r="S1949" s="108">
        <v>0.75</v>
      </c>
      <c r="T1949" s="116" t="e">
        <f t="shared" si="1220"/>
        <v>#VALUE!</v>
      </c>
      <c r="U1949" s="116" t="e">
        <f t="shared" si="1221"/>
        <v>#VALUE!</v>
      </c>
      <c r="V1949" s="116" t="e">
        <f t="shared" si="1222"/>
        <v>#VALUE!</v>
      </c>
      <c r="W1949" s="116" t="e">
        <f t="shared" si="1223"/>
        <v>#VALUE!</v>
      </c>
      <c r="X1949" s="3" t="str">
        <f>INDEX(DistFuncAllocOptions,ROW(A1949)-ROW($A$92)+1,[4]Inputs!$S$11)</f>
        <v>PLNT</v>
      </c>
      <c r="Y1949" s="116" t="e">
        <f t="shared" si="1224"/>
        <v>#VALUE!</v>
      </c>
      <c r="Z1949" s="116" t="e">
        <f t="shared" si="1224"/>
        <v>#VALUE!</v>
      </c>
      <c r="AA1949" s="116" t="e">
        <f t="shared" si="1224"/>
        <v>#VALUE!</v>
      </c>
      <c r="AB1949" s="116" t="e">
        <f t="shared" si="1224"/>
        <v>#VALUE!</v>
      </c>
      <c r="AC1949" s="116" t="e">
        <f t="shared" si="1224"/>
        <v>#VALUE!</v>
      </c>
      <c r="AD1949" s="117" t="e">
        <f t="shared" si="1225"/>
        <v>#VALUE!</v>
      </c>
      <c r="AE1949" s="117" t="e">
        <f t="shared" si="1226"/>
        <v>#VALUE!</v>
      </c>
      <c r="AF1949" s="117" t="e">
        <f t="shared" si="1227"/>
        <v>#VALUE!</v>
      </c>
      <c r="AG1949" s="117" t="e">
        <f t="shared" si="1228"/>
        <v>#VALUE!</v>
      </c>
      <c r="AH1949" s="116"/>
      <c r="AI1949">
        <f t="shared" si="1191"/>
        <v>190</v>
      </c>
      <c r="AJ1949" t="str">
        <f t="shared" ref="AJ1949:AJ2012" si="1229">IF(E1949="","NA",E1949)</f>
        <v>SG</v>
      </c>
      <c r="AK1949" t="str">
        <f>IF(ISERROR(MATCH(AI1949&amp;"."&amp;AJ1949,AK$91:AK1948,0)),AI1949&amp;"."&amp;AJ1949,AI1949&amp;"."&amp;AJ1949&amp;COUNTIFS(AI$91:AI1948,AI1949,AJ$91:AJ1948,AJ1949))</f>
        <v>190.SG1</v>
      </c>
    </row>
    <row r="1950" spans="1:37" ht="15" hidden="1">
      <c r="A1950" s="120">
        <f>ROW()</f>
        <v>1950</v>
      </c>
      <c r="B1950" s="120"/>
      <c r="C1950" s="1"/>
      <c r="E1950" s="121" t="s">
        <v>449</v>
      </c>
      <c r="F1950" s="138" t="str">
        <f>INDEX(FuncAllocOptions,ROW(A1950)-ROW($A$92)+1,[4]Inputs!$S$11)</f>
        <v>CUST</v>
      </c>
      <c r="G1950" s="117" t="e">
        <f t="shared" si="1214"/>
        <v>#VALUE!</v>
      </c>
      <c r="H1950" s="116" t="e">
        <f t="shared" si="1215"/>
        <v>#VALUE!</v>
      </c>
      <c r="I1950" s="116" t="e">
        <f t="shared" si="1215"/>
        <v>#VALUE!</v>
      </c>
      <c r="J1950" s="116" t="e">
        <f t="shared" si="1215"/>
        <v>#VALUE!</v>
      </c>
      <c r="K1950" s="116" t="e">
        <f t="shared" si="1215"/>
        <v>#VALUE!</v>
      </c>
      <c r="L1950" s="116" t="e">
        <f t="shared" si="1215"/>
        <v>#VALUE!</v>
      </c>
      <c r="N1950" s="108">
        <v>0.75</v>
      </c>
      <c r="O1950" s="116" t="e">
        <f t="shared" si="1216"/>
        <v>#VALUE!</v>
      </c>
      <c r="P1950" s="116" t="e">
        <f t="shared" si="1217"/>
        <v>#VALUE!</v>
      </c>
      <c r="Q1950" s="116" t="e">
        <f t="shared" si="1218"/>
        <v>#VALUE!</v>
      </c>
      <c r="R1950" s="116" t="e">
        <f t="shared" si="1219"/>
        <v>#VALUE!</v>
      </c>
      <c r="S1950" s="108">
        <v>0.75</v>
      </c>
      <c r="T1950" s="116" t="e">
        <f t="shared" si="1220"/>
        <v>#VALUE!</v>
      </c>
      <c r="U1950" s="116" t="e">
        <f t="shared" si="1221"/>
        <v>#VALUE!</v>
      </c>
      <c r="V1950" s="116" t="e">
        <f t="shared" si="1222"/>
        <v>#VALUE!</v>
      </c>
      <c r="W1950" s="116" t="e">
        <f t="shared" si="1223"/>
        <v>#VALUE!</v>
      </c>
      <c r="X1950" s="3" t="str">
        <f>INDEX(DistFuncAllocOptions,ROW(A1950)-ROW($A$92)+1,[4]Inputs!$S$11)</f>
        <v>CUST</v>
      </c>
      <c r="Y1950" s="116" t="e">
        <f t="shared" si="1224"/>
        <v>#VALUE!</v>
      </c>
      <c r="Z1950" s="116" t="e">
        <f t="shared" si="1224"/>
        <v>#VALUE!</v>
      </c>
      <c r="AA1950" s="116" t="e">
        <f t="shared" si="1224"/>
        <v>#VALUE!</v>
      </c>
      <c r="AB1950" s="116" t="e">
        <f t="shared" si="1224"/>
        <v>#VALUE!</v>
      </c>
      <c r="AC1950" s="116" t="e">
        <f t="shared" si="1224"/>
        <v>#VALUE!</v>
      </c>
      <c r="AD1950" s="117" t="e">
        <f t="shared" si="1225"/>
        <v>#VALUE!</v>
      </c>
      <c r="AE1950" s="117" t="e">
        <f t="shared" si="1226"/>
        <v>#VALUE!</v>
      </c>
      <c r="AF1950" s="117" t="e">
        <f t="shared" si="1227"/>
        <v>#VALUE!</v>
      </c>
      <c r="AG1950" s="117" t="e">
        <f t="shared" si="1228"/>
        <v>#VALUE!</v>
      </c>
      <c r="AH1950" s="116"/>
      <c r="AI1950">
        <f t="shared" si="1191"/>
        <v>190</v>
      </c>
      <c r="AJ1950" t="str">
        <f t="shared" si="1229"/>
        <v>BADDEBT</v>
      </c>
      <c r="AK1950" t="str">
        <f>IF(ISERROR(MATCH(AI1950&amp;"."&amp;AJ1950,AK$91:AK1949,0)),AI1950&amp;"."&amp;AJ1950,AI1950&amp;"."&amp;AJ1950&amp;COUNTIFS(AI$91:AI1949,AI1950,AJ$91:AJ1949,AJ1950))</f>
        <v>190.BADDEBT</v>
      </c>
    </row>
    <row r="1951" spans="1:37" ht="15" hidden="1">
      <c r="A1951" s="120">
        <f>ROW()</f>
        <v>1951</v>
      </c>
      <c r="B1951" s="120"/>
      <c r="C1951" s="1"/>
      <c r="E1951" s="121" t="s">
        <v>447</v>
      </c>
      <c r="F1951" s="138" t="str">
        <f>INDEX(FuncAllocOptions,ROW(A1951)-ROW($A$92)+1,[4]Inputs!$S$11)</f>
        <v>P</v>
      </c>
      <c r="G1951" s="117" t="e">
        <f t="shared" si="1214"/>
        <v>#VALUE!</v>
      </c>
      <c r="H1951" s="116" t="e">
        <f t="shared" si="1215"/>
        <v>#VALUE!</v>
      </c>
      <c r="I1951" s="116" t="e">
        <f t="shared" si="1215"/>
        <v>#VALUE!</v>
      </c>
      <c r="J1951" s="116" t="e">
        <f t="shared" si="1215"/>
        <v>#VALUE!</v>
      </c>
      <c r="K1951" s="116" t="e">
        <f t="shared" si="1215"/>
        <v>#VALUE!</v>
      </c>
      <c r="L1951" s="116" t="e">
        <f t="shared" si="1215"/>
        <v>#VALUE!</v>
      </c>
      <c r="N1951" s="108">
        <v>0.75</v>
      </c>
      <c r="O1951" s="116" t="e">
        <f t="shared" si="1216"/>
        <v>#VALUE!</v>
      </c>
      <c r="P1951" s="116" t="e">
        <f t="shared" si="1217"/>
        <v>#VALUE!</v>
      </c>
      <c r="Q1951" s="116" t="e">
        <f t="shared" si="1218"/>
        <v>#VALUE!</v>
      </c>
      <c r="R1951" s="116" t="e">
        <f t="shared" si="1219"/>
        <v>#VALUE!</v>
      </c>
      <c r="S1951" s="108">
        <v>0.75</v>
      </c>
      <c r="T1951" s="116" t="e">
        <f t="shared" si="1220"/>
        <v>#VALUE!</v>
      </c>
      <c r="U1951" s="116" t="e">
        <f t="shared" si="1221"/>
        <v>#VALUE!</v>
      </c>
      <c r="V1951" s="116" t="e">
        <f t="shared" si="1222"/>
        <v>#VALUE!</v>
      </c>
      <c r="W1951" s="116" t="e">
        <f t="shared" si="1223"/>
        <v>#VALUE!</v>
      </c>
      <c r="X1951" s="3" t="str">
        <f>INDEX(DistFuncAllocOptions,ROW(A1951)-ROW($A$92)+1,[4]Inputs!$S$11)</f>
        <v>PLNT</v>
      </c>
      <c r="Y1951" s="116" t="e">
        <f t="shared" si="1224"/>
        <v>#VALUE!</v>
      </c>
      <c r="Z1951" s="116" t="e">
        <f t="shared" si="1224"/>
        <v>#VALUE!</v>
      </c>
      <c r="AA1951" s="116" t="e">
        <f t="shared" si="1224"/>
        <v>#VALUE!</v>
      </c>
      <c r="AB1951" s="116" t="e">
        <f t="shared" si="1224"/>
        <v>#VALUE!</v>
      </c>
      <c r="AC1951" s="116" t="e">
        <f t="shared" si="1224"/>
        <v>#VALUE!</v>
      </c>
      <c r="AD1951" s="117" t="e">
        <f t="shared" si="1225"/>
        <v>#VALUE!</v>
      </c>
      <c r="AE1951" s="117" t="e">
        <f t="shared" si="1226"/>
        <v>#VALUE!</v>
      </c>
      <c r="AF1951" s="117" t="e">
        <f t="shared" si="1227"/>
        <v>#VALUE!</v>
      </c>
      <c r="AG1951" s="117" t="e">
        <f t="shared" si="1228"/>
        <v>#VALUE!</v>
      </c>
      <c r="AH1951" s="116"/>
      <c r="AI1951">
        <f t="shared" si="1191"/>
        <v>190</v>
      </c>
      <c r="AJ1951" t="str">
        <f t="shared" si="1229"/>
        <v>TROJD</v>
      </c>
      <c r="AK1951" t="str">
        <f>IF(ISERROR(MATCH(AI1951&amp;"."&amp;AJ1951,AK$91:AK1950,0)),AI1951&amp;"."&amp;AJ1951,AI1951&amp;"."&amp;AJ1951&amp;COUNTIFS(AI$91:AI1950,AI1951,AJ$91:AJ1950,AJ1951))</f>
        <v>190.TROJD</v>
      </c>
    </row>
    <row r="1952" spans="1:37" ht="15" hidden="1">
      <c r="A1952" s="120">
        <f>ROW()</f>
        <v>1952</v>
      </c>
      <c r="B1952" s="120"/>
      <c r="C1952" s="1"/>
      <c r="E1952" s="121" t="s">
        <v>15</v>
      </c>
      <c r="F1952" s="138" t="str">
        <f>INDEX(FuncAllocOptions,ROW(A1952)-ROW($A$92)+1,[4]Inputs!$S$11)</f>
        <v>P</v>
      </c>
      <c r="G1952" s="117" t="e">
        <f t="shared" si="1214"/>
        <v>#VALUE!</v>
      </c>
      <c r="H1952" s="116" t="e">
        <f t="shared" si="1215"/>
        <v>#VALUE!</v>
      </c>
      <c r="I1952" s="116" t="e">
        <f t="shared" si="1215"/>
        <v>#VALUE!</v>
      </c>
      <c r="J1952" s="116" t="e">
        <f t="shared" si="1215"/>
        <v>#VALUE!</v>
      </c>
      <c r="K1952" s="116" t="e">
        <f t="shared" si="1215"/>
        <v>#VALUE!</v>
      </c>
      <c r="L1952" s="116" t="e">
        <f t="shared" si="1215"/>
        <v>#VALUE!</v>
      </c>
      <c r="N1952" s="108">
        <v>0.75</v>
      </c>
      <c r="O1952" s="116" t="e">
        <f t="shared" si="1216"/>
        <v>#VALUE!</v>
      </c>
      <c r="P1952" s="116" t="e">
        <f t="shared" si="1217"/>
        <v>#VALUE!</v>
      </c>
      <c r="Q1952" s="116" t="e">
        <f t="shared" si="1218"/>
        <v>#VALUE!</v>
      </c>
      <c r="R1952" s="116" t="e">
        <f t="shared" si="1219"/>
        <v>#VALUE!</v>
      </c>
      <c r="S1952" s="108">
        <v>0.75</v>
      </c>
      <c r="T1952" s="116" t="e">
        <f t="shared" si="1220"/>
        <v>#VALUE!</v>
      </c>
      <c r="U1952" s="116" t="e">
        <f t="shared" si="1221"/>
        <v>#VALUE!</v>
      </c>
      <c r="V1952" s="116" t="e">
        <f t="shared" si="1222"/>
        <v>#VALUE!</v>
      </c>
      <c r="W1952" s="116" t="e">
        <f t="shared" si="1223"/>
        <v>#VALUE!</v>
      </c>
      <c r="X1952" s="3" t="str">
        <f>INDEX(DistFuncAllocOptions,ROW(A1952)-ROW($A$92)+1,[4]Inputs!$S$11)</f>
        <v>PLNT</v>
      </c>
      <c r="Y1952" s="116" t="e">
        <f t="shared" si="1224"/>
        <v>#VALUE!</v>
      </c>
      <c r="Z1952" s="116" t="e">
        <f t="shared" si="1224"/>
        <v>#VALUE!</v>
      </c>
      <c r="AA1952" s="116" t="e">
        <f t="shared" si="1224"/>
        <v>#VALUE!</v>
      </c>
      <c r="AB1952" s="116" t="e">
        <f t="shared" si="1224"/>
        <v>#VALUE!</v>
      </c>
      <c r="AC1952" s="116" t="e">
        <f t="shared" si="1224"/>
        <v>#VALUE!</v>
      </c>
      <c r="AD1952" s="117" t="e">
        <f t="shared" si="1225"/>
        <v>#VALUE!</v>
      </c>
      <c r="AE1952" s="117" t="e">
        <f t="shared" si="1226"/>
        <v>#VALUE!</v>
      </c>
      <c r="AF1952" s="117" t="e">
        <f t="shared" si="1227"/>
        <v>#VALUE!</v>
      </c>
      <c r="AG1952" s="117" t="e">
        <f t="shared" si="1228"/>
        <v>#VALUE!</v>
      </c>
      <c r="AH1952" s="116"/>
      <c r="AI1952">
        <f t="shared" si="1191"/>
        <v>190</v>
      </c>
      <c r="AJ1952" t="str">
        <f t="shared" si="1229"/>
        <v>SG</v>
      </c>
      <c r="AK1952" t="str">
        <f>IF(ISERROR(MATCH(AI1952&amp;"."&amp;AJ1952,AK$91:AK1951,0)),AI1952&amp;"."&amp;AJ1952,AI1952&amp;"."&amp;AJ1952&amp;COUNTIFS(AI$91:AI1951,AI1952,AJ$91:AJ1951,AJ1952))</f>
        <v>190.SG2</v>
      </c>
    </row>
    <row r="1953" spans="1:37" ht="15" hidden="1">
      <c r="A1953" s="120">
        <f>ROW()</f>
        <v>1953</v>
      </c>
      <c r="B1953" s="120"/>
      <c r="C1953" s="1"/>
      <c r="E1953" s="121" t="s">
        <v>16</v>
      </c>
      <c r="F1953" s="138" t="str">
        <f>INDEX(FuncAllocOptions,ROW(A1953)-ROW($A$92)+1,[4]Inputs!$S$11)</f>
        <v>P</v>
      </c>
      <c r="G1953" s="117" t="e">
        <f t="shared" si="1214"/>
        <v>#VALUE!</v>
      </c>
      <c r="H1953" s="116" t="e">
        <f t="shared" si="1215"/>
        <v>#VALUE!</v>
      </c>
      <c r="I1953" s="116" t="e">
        <f t="shared" si="1215"/>
        <v>#VALUE!</v>
      </c>
      <c r="J1953" s="116" t="e">
        <f t="shared" si="1215"/>
        <v>#VALUE!</v>
      </c>
      <c r="K1953" s="116" t="e">
        <f t="shared" si="1215"/>
        <v>#VALUE!</v>
      </c>
      <c r="L1953" s="116" t="e">
        <f t="shared" si="1215"/>
        <v>#VALUE!</v>
      </c>
      <c r="N1953" s="108">
        <v>0.75</v>
      </c>
      <c r="O1953" s="116" t="e">
        <f t="shared" si="1216"/>
        <v>#VALUE!</v>
      </c>
      <c r="P1953" s="116" t="e">
        <f t="shared" si="1217"/>
        <v>#VALUE!</v>
      </c>
      <c r="Q1953" s="116" t="e">
        <f t="shared" si="1218"/>
        <v>#VALUE!</v>
      </c>
      <c r="R1953" s="116" t="e">
        <f t="shared" si="1219"/>
        <v>#VALUE!</v>
      </c>
      <c r="S1953" s="108">
        <v>0.75</v>
      </c>
      <c r="T1953" s="116" t="e">
        <f t="shared" si="1220"/>
        <v>#VALUE!</v>
      </c>
      <c r="U1953" s="116" t="e">
        <f t="shared" si="1221"/>
        <v>#VALUE!</v>
      </c>
      <c r="V1953" s="116" t="e">
        <f t="shared" si="1222"/>
        <v>#VALUE!</v>
      </c>
      <c r="W1953" s="116" t="e">
        <f t="shared" si="1223"/>
        <v>#VALUE!</v>
      </c>
      <c r="X1953" s="3" t="str">
        <f>INDEX(DistFuncAllocOptions,ROW(A1953)-ROW($A$92)+1,[4]Inputs!$S$11)</f>
        <v>PLNT</v>
      </c>
      <c r="Y1953" s="116" t="e">
        <f t="shared" si="1224"/>
        <v>#VALUE!</v>
      </c>
      <c r="Z1953" s="116" t="e">
        <f t="shared" si="1224"/>
        <v>#VALUE!</v>
      </c>
      <c r="AA1953" s="116" t="e">
        <f t="shared" si="1224"/>
        <v>#VALUE!</v>
      </c>
      <c r="AB1953" s="116" t="e">
        <f t="shared" si="1224"/>
        <v>#VALUE!</v>
      </c>
      <c r="AC1953" s="116" t="e">
        <f t="shared" si="1224"/>
        <v>#VALUE!</v>
      </c>
      <c r="AD1953" s="117" t="e">
        <f t="shared" si="1225"/>
        <v>#VALUE!</v>
      </c>
      <c r="AE1953" s="117" t="e">
        <f t="shared" si="1226"/>
        <v>#VALUE!</v>
      </c>
      <c r="AF1953" s="117" t="e">
        <f t="shared" si="1227"/>
        <v>#VALUE!</v>
      </c>
      <c r="AG1953" s="117" t="e">
        <f t="shared" si="1228"/>
        <v>#VALUE!</v>
      </c>
      <c r="AH1953" s="116"/>
      <c r="AI1953">
        <f t="shared" si="1191"/>
        <v>190</v>
      </c>
      <c r="AJ1953" t="str">
        <f t="shared" si="1229"/>
        <v>SE</v>
      </c>
      <c r="AK1953" t="str">
        <f>IF(ISERROR(MATCH(AI1953&amp;"."&amp;AJ1953,AK$91:AK1952,0)),AI1953&amp;"."&amp;AJ1953,AI1953&amp;"."&amp;AJ1953&amp;COUNTIFS(AI$91:AI1952,AI1953,AJ$91:AJ1952,AJ1953))</f>
        <v>190.SE</v>
      </c>
    </row>
    <row r="1954" spans="1:37" ht="15" hidden="1">
      <c r="A1954" s="120">
        <f>ROW()</f>
        <v>1954</v>
      </c>
      <c r="B1954" s="120"/>
      <c r="C1954" s="1"/>
      <c r="E1954" s="121" t="s">
        <v>433</v>
      </c>
      <c r="F1954" s="138" t="str">
        <f>INDEX(FuncAllocOptions,ROW(A1954)-ROW($A$92)+1,[4]Inputs!$S$11)</f>
        <v>PTD</v>
      </c>
      <c r="G1954" s="117" t="e">
        <f t="shared" si="1214"/>
        <v>#VALUE!</v>
      </c>
      <c r="H1954" s="116" t="e">
        <f t="shared" si="1215"/>
        <v>#VALUE!</v>
      </c>
      <c r="I1954" s="116" t="e">
        <f t="shared" si="1215"/>
        <v>#VALUE!</v>
      </c>
      <c r="J1954" s="116" t="e">
        <f t="shared" si="1215"/>
        <v>#VALUE!</v>
      </c>
      <c r="K1954" s="116" t="e">
        <f t="shared" si="1215"/>
        <v>#VALUE!</v>
      </c>
      <c r="L1954" s="116" t="e">
        <f t="shared" si="1215"/>
        <v>#VALUE!</v>
      </c>
      <c r="N1954" s="108">
        <v>0.75</v>
      </c>
      <c r="O1954" s="116" t="e">
        <f t="shared" si="1216"/>
        <v>#VALUE!</v>
      </c>
      <c r="P1954" s="116" t="e">
        <f t="shared" si="1217"/>
        <v>#VALUE!</v>
      </c>
      <c r="Q1954" s="116" t="e">
        <f t="shared" si="1218"/>
        <v>#VALUE!</v>
      </c>
      <c r="R1954" s="116" t="e">
        <f t="shared" si="1219"/>
        <v>#VALUE!</v>
      </c>
      <c r="S1954" s="108">
        <v>0.75</v>
      </c>
      <c r="T1954" s="116" t="e">
        <f t="shared" si="1220"/>
        <v>#VALUE!</v>
      </c>
      <c r="U1954" s="116" t="e">
        <f t="shared" si="1221"/>
        <v>#VALUE!</v>
      </c>
      <c r="V1954" s="116" t="e">
        <f t="shared" si="1222"/>
        <v>#VALUE!</v>
      </c>
      <c r="W1954" s="116" t="e">
        <f t="shared" si="1223"/>
        <v>#VALUE!</v>
      </c>
      <c r="X1954" s="3" t="str">
        <f>INDEX(DistFuncAllocOptions,ROW(A1954)-ROW($A$92)+1,[4]Inputs!$S$11)</f>
        <v>PLNT</v>
      </c>
      <c r="Y1954" s="116" t="e">
        <f t="shared" si="1224"/>
        <v>#VALUE!</v>
      </c>
      <c r="Z1954" s="116" t="e">
        <f t="shared" si="1224"/>
        <v>#VALUE!</v>
      </c>
      <c r="AA1954" s="116" t="e">
        <f t="shared" si="1224"/>
        <v>#VALUE!</v>
      </c>
      <c r="AB1954" s="116" t="e">
        <f t="shared" si="1224"/>
        <v>#VALUE!</v>
      </c>
      <c r="AC1954" s="116" t="e">
        <f t="shared" si="1224"/>
        <v>#VALUE!</v>
      </c>
      <c r="AD1954" s="117" t="e">
        <f t="shared" si="1225"/>
        <v>#VALUE!</v>
      </c>
      <c r="AE1954" s="117" t="e">
        <f t="shared" si="1226"/>
        <v>#VALUE!</v>
      </c>
      <c r="AF1954" s="117" t="e">
        <f t="shared" si="1227"/>
        <v>#VALUE!</v>
      </c>
      <c r="AG1954" s="117" t="e">
        <f t="shared" si="1228"/>
        <v>#VALUE!</v>
      </c>
      <c r="AH1954" s="116"/>
      <c r="AI1954">
        <f t="shared" si="1191"/>
        <v>190</v>
      </c>
      <c r="AJ1954" t="str">
        <f t="shared" si="1229"/>
        <v>SNP</v>
      </c>
      <c r="AK1954" t="str">
        <f>IF(ISERROR(MATCH(AI1954&amp;"."&amp;AJ1954,AK$91:AK1953,0)),AI1954&amp;"."&amp;AJ1954,AI1954&amp;"."&amp;AJ1954&amp;COUNTIFS(AI$91:AI1953,AI1954,AJ$91:AJ1953,AJ1954))</f>
        <v>190.SNP</v>
      </c>
    </row>
    <row r="1955" spans="1:37" ht="15" hidden="1">
      <c r="A1955" s="120">
        <f>ROW()</f>
        <v>1955</v>
      </c>
      <c r="B1955" s="120"/>
      <c r="C1955" s="1"/>
      <c r="E1955" s="121" t="s">
        <v>321</v>
      </c>
      <c r="F1955" s="138" t="str">
        <f>INDEX(FuncAllocOptions,ROW(A1955)-ROW($A$92)+1,[4]Inputs!$S$11)</f>
        <v>DPW</v>
      </c>
      <c r="G1955" s="117" t="e">
        <f t="shared" si="1214"/>
        <v>#VALUE!</v>
      </c>
      <c r="H1955" s="116" t="e">
        <f t="shared" si="1215"/>
        <v>#VALUE!</v>
      </c>
      <c r="I1955" s="116" t="e">
        <f t="shared" si="1215"/>
        <v>#VALUE!</v>
      </c>
      <c r="J1955" s="116" t="e">
        <f t="shared" si="1215"/>
        <v>#VALUE!</v>
      </c>
      <c r="K1955" s="116" t="e">
        <f t="shared" si="1215"/>
        <v>#VALUE!</v>
      </c>
      <c r="L1955" s="116" t="e">
        <f t="shared" si="1215"/>
        <v>#VALUE!</v>
      </c>
      <c r="N1955" s="108">
        <v>0.75</v>
      </c>
      <c r="O1955" s="116" t="e">
        <f t="shared" si="1216"/>
        <v>#VALUE!</v>
      </c>
      <c r="P1955" s="116" t="e">
        <f t="shared" si="1217"/>
        <v>#VALUE!</v>
      </c>
      <c r="Q1955" s="116" t="e">
        <f t="shared" si="1218"/>
        <v>#VALUE!</v>
      </c>
      <c r="R1955" s="116" t="e">
        <f t="shared" si="1219"/>
        <v>#VALUE!</v>
      </c>
      <c r="S1955" s="108">
        <v>0.75</v>
      </c>
      <c r="T1955" s="116" t="e">
        <f t="shared" si="1220"/>
        <v>#VALUE!</v>
      </c>
      <c r="U1955" s="116" t="e">
        <f t="shared" si="1221"/>
        <v>#VALUE!</v>
      </c>
      <c r="V1955" s="116" t="e">
        <f t="shared" si="1222"/>
        <v>#VALUE!</v>
      </c>
      <c r="W1955" s="116" t="e">
        <f t="shared" si="1223"/>
        <v>#VALUE!</v>
      </c>
      <c r="X1955" s="3" t="str">
        <f>INDEX(DistFuncAllocOptions,ROW(A1955)-ROW($A$92)+1,[4]Inputs!$S$11)</f>
        <v>PLNT</v>
      </c>
      <c r="Y1955" s="116" t="e">
        <f t="shared" si="1224"/>
        <v>#VALUE!</v>
      </c>
      <c r="Z1955" s="116" t="e">
        <f t="shared" si="1224"/>
        <v>#VALUE!</v>
      </c>
      <c r="AA1955" s="116" t="e">
        <f t="shared" si="1224"/>
        <v>#VALUE!</v>
      </c>
      <c r="AB1955" s="116" t="e">
        <f t="shared" si="1224"/>
        <v>#VALUE!</v>
      </c>
      <c r="AC1955" s="116" t="e">
        <f t="shared" si="1224"/>
        <v>#VALUE!</v>
      </c>
      <c r="AD1955" s="117" t="e">
        <f t="shared" si="1225"/>
        <v>#VALUE!</v>
      </c>
      <c r="AE1955" s="117" t="e">
        <f t="shared" si="1226"/>
        <v>#VALUE!</v>
      </c>
      <c r="AF1955" s="117" t="e">
        <f t="shared" si="1227"/>
        <v>#VALUE!</v>
      </c>
      <c r="AG1955" s="117" t="e">
        <f t="shared" si="1228"/>
        <v>#VALUE!</v>
      </c>
      <c r="AH1955" s="116"/>
      <c r="AI1955">
        <f t="shared" si="1191"/>
        <v>190</v>
      </c>
      <c r="AJ1955" t="str">
        <f t="shared" si="1229"/>
        <v>SNPD</v>
      </c>
      <c r="AK1955" t="str">
        <f>IF(ISERROR(MATCH(AI1955&amp;"."&amp;AJ1955,AK$91:AK1954,0)),AI1955&amp;"."&amp;AJ1955,AI1955&amp;"."&amp;AJ1955&amp;COUNTIFS(AI$91:AI1954,AI1955,AJ$91:AJ1954,AJ1955))</f>
        <v>190.SNPD</v>
      </c>
    </row>
    <row r="1956" spans="1:37" ht="15" hidden="1">
      <c r="A1956" s="120">
        <f>ROW()</f>
        <v>1956</v>
      </c>
      <c r="B1956" s="120"/>
      <c r="E1956" s="121" t="s">
        <v>15</v>
      </c>
      <c r="F1956" s="138" t="str">
        <f>INDEX(FuncAllocOptions,ROW(A1956)-ROW($A$92)+1,[4]Inputs!$S$11)</f>
        <v>P</v>
      </c>
      <c r="G1956" s="133" t="e">
        <f t="shared" si="1214"/>
        <v>#VALUE!</v>
      </c>
      <c r="H1956" s="148" t="e">
        <f t="shared" si="1215"/>
        <v>#VALUE!</v>
      </c>
      <c r="I1956" s="137" t="e">
        <f t="shared" si="1215"/>
        <v>#VALUE!</v>
      </c>
      <c r="J1956" s="137" t="e">
        <f t="shared" si="1215"/>
        <v>#VALUE!</v>
      </c>
      <c r="K1956" s="137" t="e">
        <f t="shared" si="1215"/>
        <v>#VALUE!</v>
      </c>
      <c r="L1956" s="137" t="e">
        <f t="shared" si="1215"/>
        <v>#VALUE!</v>
      </c>
      <c r="N1956" s="108">
        <v>0.75</v>
      </c>
      <c r="O1956" s="116" t="e">
        <f t="shared" si="1216"/>
        <v>#VALUE!</v>
      </c>
      <c r="P1956" s="116" t="e">
        <f t="shared" si="1217"/>
        <v>#VALUE!</v>
      </c>
      <c r="Q1956" s="116" t="e">
        <f t="shared" si="1218"/>
        <v>#VALUE!</v>
      </c>
      <c r="R1956" s="116" t="e">
        <f t="shared" si="1219"/>
        <v>#VALUE!</v>
      </c>
      <c r="S1956" s="108">
        <v>0.75</v>
      </c>
      <c r="T1956" s="116" t="e">
        <f t="shared" si="1220"/>
        <v>#VALUE!</v>
      </c>
      <c r="U1956" s="116" t="e">
        <f t="shared" si="1221"/>
        <v>#VALUE!</v>
      </c>
      <c r="V1956" s="116" t="e">
        <f t="shared" si="1222"/>
        <v>#VALUE!</v>
      </c>
      <c r="W1956" s="116" t="e">
        <f t="shared" si="1223"/>
        <v>#VALUE!</v>
      </c>
      <c r="X1956" s="3" t="str">
        <f>INDEX(DistFuncAllocOptions,ROW(A1956)-ROW($A$92)+1,[4]Inputs!$S$11)</f>
        <v>PLNT</v>
      </c>
      <c r="Y1956" s="116" t="e">
        <f t="shared" si="1224"/>
        <v>#VALUE!</v>
      </c>
      <c r="Z1956" s="116" t="e">
        <f t="shared" si="1224"/>
        <v>#VALUE!</v>
      </c>
      <c r="AA1956" s="116" t="e">
        <f t="shared" si="1224"/>
        <v>#VALUE!</v>
      </c>
      <c r="AB1956" s="116" t="e">
        <f t="shared" si="1224"/>
        <v>#VALUE!</v>
      </c>
      <c r="AC1956" s="116" t="e">
        <f t="shared" si="1224"/>
        <v>#VALUE!</v>
      </c>
      <c r="AD1956" s="117" t="e">
        <f t="shared" si="1225"/>
        <v>#VALUE!</v>
      </c>
      <c r="AE1956" s="117" t="e">
        <f t="shared" si="1226"/>
        <v>#VALUE!</v>
      </c>
      <c r="AF1956" s="117" t="e">
        <f t="shared" si="1227"/>
        <v>#VALUE!</v>
      </c>
      <c r="AG1956" s="117" t="e">
        <f t="shared" si="1228"/>
        <v>#VALUE!</v>
      </c>
      <c r="AH1956" s="116"/>
      <c r="AI1956">
        <f t="shared" si="1191"/>
        <v>190</v>
      </c>
      <c r="AJ1956" t="str">
        <f t="shared" si="1229"/>
        <v>SG</v>
      </c>
      <c r="AK1956" t="str">
        <f>IF(ISERROR(MATCH(AI1956&amp;"."&amp;AJ1956,AK$91:AK1955,0)),AI1956&amp;"."&amp;AJ1956,AI1956&amp;"."&amp;AJ1956&amp;COUNTIFS(AI$91:AI1955,AI1956,AJ$91:AJ1955,AJ1956))</f>
        <v>190.SG3</v>
      </c>
    </row>
    <row r="1957" spans="1:37" ht="15" hidden="1">
      <c r="A1957" s="120">
        <f>ROW()</f>
        <v>1957</v>
      </c>
      <c r="B1957" s="120"/>
      <c r="C1957" s="1"/>
      <c r="E1957" s="121"/>
      <c r="F1957" s="138" t="str">
        <f>INDEX(FuncAllocOptions,ROW(A1957)-ROW($A$92)+1,[4]Inputs!$S$11)</f>
        <v xml:space="preserve"> </v>
      </c>
      <c r="G1957" s="117" t="e">
        <f t="shared" ref="G1957:L1957" si="1230">SUM(G1943:G1956)</f>
        <v>#VALUE!</v>
      </c>
      <c r="H1957" s="116" t="e">
        <f t="shared" si="1230"/>
        <v>#VALUE!</v>
      </c>
      <c r="I1957" s="116" t="e">
        <f t="shared" si="1230"/>
        <v>#VALUE!</v>
      </c>
      <c r="J1957" s="116" t="e">
        <f t="shared" si="1230"/>
        <v>#VALUE!</v>
      </c>
      <c r="K1957" s="116" t="e">
        <f t="shared" si="1230"/>
        <v>#VALUE!</v>
      </c>
      <c r="L1957" s="116" t="e">
        <f t="shared" si="1230"/>
        <v>#VALUE!</v>
      </c>
      <c r="O1957" s="116" t="e">
        <f>SUM(O1943:O1956)</f>
        <v>#VALUE!</v>
      </c>
      <c r="P1957" s="116" t="e">
        <f>SUM(P1943:P1956)</f>
        <v>#VALUE!</v>
      </c>
      <c r="Q1957" s="116" t="e">
        <f>SUM(Q1943:Q1956)</f>
        <v>#VALUE!</v>
      </c>
      <c r="R1957" s="116" t="e">
        <f>SUM(R1943:R1956)</f>
        <v>#VALUE!</v>
      </c>
      <c r="T1957" s="116" t="e">
        <f>SUM(T1943:T1956)</f>
        <v>#VALUE!</v>
      </c>
      <c r="U1957" s="116" t="e">
        <f>SUM(U1943:U1956)</f>
        <v>#VALUE!</v>
      </c>
      <c r="V1957" s="116" t="e">
        <f>SUM(V1943:V1956)</f>
        <v>#VALUE!</v>
      </c>
      <c r="W1957" s="116" t="e">
        <f>SUM(W1943:W1956)</f>
        <v>#VALUE!</v>
      </c>
      <c r="X1957" s="3"/>
      <c r="Y1957" s="116" t="e">
        <f>SUM(Y1943:Y1956)</f>
        <v>#VALUE!</v>
      </c>
      <c r="Z1957" s="116" t="e">
        <f>SUM(Z1943:Z1956)</f>
        <v>#VALUE!</v>
      </c>
      <c r="AA1957" s="116" t="e">
        <f>SUM(AA1943:AA1956)</f>
        <v>#VALUE!</v>
      </c>
      <c r="AB1957" s="116" t="e">
        <f>SUM(AB1943:AB1956)</f>
        <v>#VALUE!</v>
      </c>
      <c r="AC1957" s="116" t="e">
        <f>SUM(AC1943:AC1956)</f>
        <v>#VALUE!</v>
      </c>
      <c r="AD1957" s="117" t="e">
        <f t="shared" si="1225"/>
        <v>#VALUE!</v>
      </c>
      <c r="AE1957" s="117" t="e">
        <f t="shared" si="1226"/>
        <v>#VALUE!</v>
      </c>
      <c r="AF1957" s="117" t="e">
        <f t="shared" si="1227"/>
        <v>#VALUE!</v>
      </c>
      <c r="AG1957" s="117" t="e">
        <f t="shared" si="1228"/>
        <v>#VALUE!</v>
      </c>
      <c r="AH1957" s="116"/>
      <c r="AI1957">
        <f t="shared" si="1191"/>
        <v>190</v>
      </c>
      <c r="AJ1957" t="str">
        <f t="shared" si="1229"/>
        <v>NA</v>
      </c>
      <c r="AK1957" t="str">
        <f>IF(ISERROR(MATCH(AI1957&amp;"."&amp;AJ1957,AK$91:AK1956,0)),AI1957&amp;"."&amp;AJ1957,AI1957&amp;"."&amp;AJ1957&amp;COUNTIFS(AI$91:AI1956,AI1957,AJ$91:AJ1956,AJ1957))</f>
        <v>190.NA1</v>
      </c>
    </row>
    <row r="1958" spans="1:37" ht="15" hidden="1">
      <c r="A1958" s="120">
        <f>ROW()</f>
        <v>1958</v>
      </c>
      <c r="B1958" s="120"/>
      <c r="C1958" s="1"/>
      <c r="E1958" s="121"/>
      <c r="F1958" s="138"/>
      <c r="G1958" s="119"/>
      <c r="K1958" s="147"/>
      <c r="X1958" s="3"/>
      <c r="AD1958" s="119"/>
      <c r="AE1958" s="119"/>
      <c r="AF1958" s="119"/>
      <c r="AG1958" s="119"/>
      <c r="AI1958">
        <f t="shared" si="1191"/>
        <v>190</v>
      </c>
      <c r="AJ1958" t="str">
        <f t="shared" si="1229"/>
        <v>NA</v>
      </c>
      <c r="AK1958" t="str">
        <f>IF(ISERROR(MATCH(AI1958&amp;"."&amp;AJ1958,AK$91:AK1957,0)),AI1958&amp;"."&amp;AJ1958,AI1958&amp;"."&amp;AJ1958&amp;COUNTIFS(AI$91:AI1957,AI1958,AJ$91:AJ1957,AJ1958))</f>
        <v>190.NA2</v>
      </c>
    </row>
    <row r="1959" spans="1:37" ht="15" hidden="1">
      <c r="A1959" s="120">
        <f>ROW()</f>
        <v>1959</v>
      </c>
      <c r="B1959" s="120"/>
      <c r="C1959" s="1">
        <v>281</v>
      </c>
      <c r="D1959" s="2" t="s">
        <v>658</v>
      </c>
      <c r="E1959" s="121"/>
      <c r="F1959" s="138"/>
      <c r="G1959" s="119"/>
      <c r="X1959" s="3"/>
      <c r="AD1959" s="119"/>
      <c r="AE1959" s="119"/>
      <c r="AF1959" s="119"/>
      <c r="AG1959" s="119"/>
      <c r="AI1959">
        <f t="shared" si="1191"/>
        <v>281</v>
      </c>
      <c r="AJ1959" t="str">
        <f t="shared" si="1229"/>
        <v>NA</v>
      </c>
      <c r="AK1959" t="str">
        <f>IF(ISERROR(MATCH(AI1959&amp;"."&amp;AJ1959,AK$91:AK1958,0)),AI1959&amp;"."&amp;AJ1959,AI1959&amp;"."&amp;AJ1959&amp;COUNTIFS(AI$91:AI1958,AI1959,AJ$91:AJ1958,AJ1959))</f>
        <v>281.NA</v>
      </c>
    </row>
    <row r="1960" spans="1:37" ht="15" hidden="1">
      <c r="A1960" s="120">
        <f>ROW()</f>
        <v>1960</v>
      </c>
      <c r="B1960" s="120"/>
      <c r="C1960" s="1"/>
      <c r="E1960" s="121" t="s">
        <v>12</v>
      </c>
      <c r="F1960" s="138" t="str">
        <f>INDEX(FuncAllocOptions,ROW(A1960)-ROW($A$92)+1,[4]Inputs!$S$11)</f>
        <v>P</v>
      </c>
      <c r="G1960" s="117" t="e">
        <f>SUMIF(FERCJAMFactor,AK1960,JAMValue)</f>
        <v>#VALUE!</v>
      </c>
      <c r="H1960" s="116" t="e">
        <f t="shared" ref="H1960:L1962" si="1231">INDEX(FuncFactorTbl,MATCH($F1960,FuncFactors,0),MATCH(H$8,Functions,0))*$G1960</f>
        <v>#VALUE!</v>
      </c>
      <c r="I1960" s="116" t="e">
        <f t="shared" si="1231"/>
        <v>#VALUE!</v>
      </c>
      <c r="J1960" s="116" t="e">
        <f t="shared" si="1231"/>
        <v>#VALUE!</v>
      </c>
      <c r="K1960" s="116" t="e">
        <f t="shared" si="1231"/>
        <v>#VALUE!</v>
      </c>
      <c r="L1960" s="116" t="e">
        <f t="shared" si="1231"/>
        <v>#VALUE!</v>
      </c>
      <c r="N1960" s="108">
        <v>0.75</v>
      </c>
      <c r="O1960" s="116" t="e">
        <f>$H1960*$N1960*$M1960</f>
        <v>#VALUE!</v>
      </c>
      <c r="P1960" s="116" t="e">
        <f>$H1960*(1-$N1960)*$M1960</f>
        <v>#VALUE!</v>
      </c>
      <c r="Q1960" s="116" t="e">
        <f>$H1960*$N1960*(1-$M1960)</f>
        <v>#VALUE!</v>
      </c>
      <c r="R1960" s="116" t="e">
        <f>$H1960*(1-$N1960)*(1-$M1960)</f>
        <v>#VALUE!</v>
      </c>
      <c r="S1960" s="108">
        <v>0.75</v>
      </c>
      <c r="T1960" s="116" t="e">
        <f>$I1960*$S1960*$M1960</f>
        <v>#VALUE!</v>
      </c>
      <c r="U1960" s="116" t="e">
        <f>$I1960*(1-$S1960)*$M1960</f>
        <v>#VALUE!</v>
      </c>
      <c r="V1960" s="116" t="e">
        <f>$I1960*$S1960*(1-$M1960)</f>
        <v>#VALUE!</v>
      </c>
      <c r="W1960" s="116" t="e">
        <f>$I1960*(1-$S1960)*(1-$M1960)</f>
        <v>#VALUE!</v>
      </c>
      <c r="X1960" s="3" t="str">
        <f>INDEX(DistFuncAllocOptions,ROW(A1960)-ROW($A$92)+1,[4]Inputs!$S$11)</f>
        <v>PLNT</v>
      </c>
      <c r="Y1960" s="116" t="e">
        <f t="shared" ref="Y1960:AC1962" si="1232">INDEX(DistFuncFactorTbl,MATCH($X1960,DistFuncFactors,0),MATCH(Y$91,DistFunctions,0))*$J1960</f>
        <v>#VALUE!</v>
      </c>
      <c r="Z1960" s="116" t="e">
        <f t="shared" si="1232"/>
        <v>#VALUE!</v>
      </c>
      <c r="AA1960" s="116" t="e">
        <f t="shared" si="1232"/>
        <v>#VALUE!</v>
      </c>
      <c r="AB1960" s="116" t="e">
        <f t="shared" si="1232"/>
        <v>#VALUE!</v>
      </c>
      <c r="AC1960" s="116" t="e">
        <f t="shared" si="1232"/>
        <v>#VALUE!</v>
      </c>
      <c r="AD1960" s="117" t="e">
        <f>ROUND(SUM(-G1960,H1960:L1960),0)</f>
        <v>#VALUE!</v>
      </c>
      <c r="AE1960" s="117" t="e">
        <f>ROUND(H1960-O1960-P1960-Q1960-R1960,0)</f>
        <v>#VALUE!</v>
      </c>
      <c r="AF1960" s="117" t="e">
        <f>ROUND(I1960-T1960-U1960-V1960-W1960,0)</f>
        <v>#VALUE!</v>
      </c>
      <c r="AG1960" s="117" t="e">
        <f>ROUND(J1960-Y1960-Z1960-AA1960-AC1960-AB1960,0)</f>
        <v>#VALUE!</v>
      </c>
      <c r="AH1960" s="116"/>
      <c r="AI1960">
        <f t="shared" si="1191"/>
        <v>281</v>
      </c>
      <c r="AJ1960" t="str">
        <f t="shared" si="1229"/>
        <v>S</v>
      </c>
      <c r="AK1960" t="str">
        <f>IF(ISERROR(MATCH(AI1960&amp;"."&amp;AJ1960,AK$91:AK1959,0)),AI1960&amp;"."&amp;AJ1960,AI1960&amp;"."&amp;AJ1960&amp;COUNTIFS(AI$91:AI1959,AI1960,AJ$91:AJ1959,AJ1960))</f>
        <v>281.S</v>
      </c>
    </row>
    <row r="1961" spans="1:37" ht="15" hidden="1">
      <c r="A1961" s="120">
        <f>ROW()</f>
        <v>1961</v>
      </c>
      <c r="B1961" s="120"/>
      <c r="C1961" s="1"/>
      <c r="E1961" s="121" t="s">
        <v>17</v>
      </c>
      <c r="F1961" s="138" t="str">
        <f>INDEX(FuncAllocOptions,ROW(A1961)-ROW($A$92)+1,[4]Inputs!$S$11)</f>
        <v>PT</v>
      </c>
      <c r="G1961" s="117" t="e">
        <f>SUMIF(FERCJAMFactor,AK1961,JAMValue)</f>
        <v>#VALUE!</v>
      </c>
      <c r="H1961" s="116" t="e">
        <f t="shared" si="1231"/>
        <v>#VALUE!</v>
      </c>
      <c r="I1961" s="116" t="e">
        <f t="shared" si="1231"/>
        <v>#VALUE!</v>
      </c>
      <c r="J1961" s="116" t="e">
        <f t="shared" si="1231"/>
        <v>#VALUE!</v>
      </c>
      <c r="K1961" s="116" t="e">
        <f t="shared" si="1231"/>
        <v>#VALUE!</v>
      </c>
      <c r="L1961" s="116" t="e">
        <f t="shared" si="1231"/>
        <v>#VALUE!</v>
      </c>
      <c r="N1961" s="108">
        <v>0.75</v>
      </c>
      <c r="O1961" s="116" t="e">
        <f>$H1961*$N1961*$M1961</f>
        <v>#VALUE!</v>
      </c>
      <c r="P1961" s="116" t="e">
        <f>$H1961*(1-$N1961)*$M1961</f>
        <v>#VALUE!</v>
      </c>
      <c r="Q1961" s="116" t="e">
        <f>$H1961*$N1961*(1-$M1961)</f>
        <v>#VALUE!</v>
      </c>
      <c r="R1961" s="116" t="e">
        <f>$H1961*(1-$N1961)*(1-$M1961)</f>
        <v>#VALUE!</v>
      </c>
      <c r="S1961" s="108">
        <v>0.75</v>
      </c>
      <c r="T1961" s="116" t="e">
        <f>$I1961*$S1961*$M1961</f>
        <v>#VALUE!</v>
      </c>
      <c r="U1961" s="116" t="e">
        <f>$I1961*(1-$S1961)*$M1961</f>
        <v>#VALUE!</v>
      </c>
      <c r="V1961" s="116" t="e">
        <f>$I1961*$S1961*(1-$M1961)</f>
        <v>#VALUE!</v>
      </c>
      <c r="W1961" s="116" t="e">
        <f>$I1961*(1-$S1961)*(1-$M1961)</f>
        <v>#VALUE!</v>
      </c>
      <c r="X1961" s="3" t="str">
        <f>INDEX(DistFuncAllocOptions,ROW(A1961)-ROW($A$92)+1,[4]Inputs!$S$11)</f>
        <v>PLNT</v>
      </c>
      <c r="Y1961" s="116" t="e">
        <f t="shared" si="1232"/>
        <v>#VALUE!</v>
      </c>
      <c r="Z1961" s="116" t="e">
        <f t="shared" si="1232"/>
        <v>#VALUE!</v>
      </c>
      <c r="AA1961" s="116" t="e">
        <f t="shared" si="1232"/>
        <v>#VALUE!</v>
      </c>
      <c r="AB1961" s="116" t="e">
        <f t="shared" si="1232"/>
        <v>#VALUE!</v>
      </c>
      <c r="AC1961" s="116" t="e">
        <f t="shared" si="1232"/>
        <v>#VALUE!</v>
      </c>
      <c r="AD1961" s="117" t="e">
        <f>ROUND(SUM(-G1961,H1961:L1961),0)</f>
        <v>#VALUE!</v>
      </c>
      <c r="AE1961" s="117" t="e">
        <f>ROUND(H1961-O1961-P1961-Q1961-R1961,0)</f>
        <v>#VALUE!</v>
      </c>
      <c r="AF1961" s="117" t="e">
        <f>ROUND(I1961-T1961-U1961-V1961-W1961,0)</f>
        <v>#VALUE!</v>
      </c>
      <c r="AG1961" s="117" t="e">
        <f>ROUND(J1961-Y1961-Z1961-AA1961-AC1961-AB1961,0)</f>
        <v>#VALUE!</v>
      </c>
      <c r="AH1961" s="116"/>
      <c r="AI1961">
        <f t="shared" si="1191"/>
        <v>281</v>
      </c>
      <c r="AJ1961" t="str">
        <f t="shared" si="1229"/>
        <v>DGP</v>
      </c>
      <c r="AK1961" t="str">
        <f>IF(ISERROR(MATCH(AI1961&amp;"."&amp;AJ1961,AK$91:AK1960,0)),AI1961&amp;"."&amp;AJ1961,AI1961&amp;"."&amp;AJ1961&amp;COUNTIFS(AI$91:AI1960,AI1961,AJ$91:AJ1960,AJ1961))</f>
        <v>281.DGP</v>
      </c>
    </row>
    <row r="1962" spans="1:37" ht="15" hidden="1">
      <c r="A1962" s="120">
        <f>ROW()</f>
        <v>1962</v>
      </c>
      <c r="B1962" s="120"/>
      <c r="C1962" s="1"/>
      <c r="E1962" s="121" t="s">
        <v>319</v>
      </c>
      <c r="F1962" s="138" t="str">
        <f>INDEX(FuncAllocOptions,ROW(A1962)-ROW($A$92)+1,[4]Inputs!$S$11)</f>
        <v>T</v>
      </c>
      <c r="G1962" s="133" t="e">
        <f>SUMIF(FERCJAMFactor,AK1962,JAMValue)</f>
        <v>#VALUE!</v>
      </c>
      <c r="H1962" s="139" t="e">
        <f t="shared" si="1231"/>
        <v>#VALUE!</v>
      </c>
      <c r="I1962" s="139" t="e">
        <f t="shared" si="1231"/>
        <v>#VALUE!</v>
      </c>
      <c r="J1962" s="139" t="e">
        <f t="shared" si="1231"/>
        <v>#VALUE!</v>
      </c>
      <c r="K1962" s="139" t="e">
        <f t="shared" si="1231"/>
        <v>#VALUE!</v>
      </c>
      <c r="L1962" s="139" t="e">
        <f t="shared" si="1231"/>
        <v>#VALUE!</v>
      </c>
      <c r="N1962" s="108">
        <v>0.75</v>
      </c>
      <c r="O1962" s="116" t="e">
        <f>$H1962*$N1962*$M1962</f>
        <v>#VALUE!</v>
      </c>
      <c r="P1962" s="116" t="e">
        <f>$H1962*(1-$N1962)*$M1962</f>
        <v>#VALUE!</v>
      </c>
      <c r="Q1962" s="116" t="e">
        <f>$H1962*$N1962*(1-$M1962)</f>
        <v>#VALUE!</v>
      </c>
      <c r="R1962" s="116" t="e">
        <f>$H1962*(1-$N1962)*(1-$M1962)</f>
        <v>#VALUE!</v>
      </c>
      <c r="S1962" s="108">
        <v>0.75</v>
      </c>
      <c r="T1962" s="116" t="e">
        <f>$I1962*$S1962*$M1962</f>
        <v>#VALUE!</v>
      </c>
      <c r="U1962" s="116" t="e">
        <f>$I1962*(1-$S1962)*$M1962</f>
        <v>#VALUE!</v>
      </c>
      <c r="V1962" s="116" t="e">
        <f>$I1962*$S1962*(1-$M1962)</f>
        <v>#VALUE!</v>
      </c>
      <c r="W1962" s="116" t="e">
        <f>$I1962*(1-$S1962)*(1-$M1962)</f>
        <v>#VALUE!</v>
      </c>
      <c r="X1962" s="3" t="str">
        <f>INDEX(DistFuncAllocOptions,ROW(A1962)-ROW($A$92)+1,[4]Inputs!$S$11)</f>
        <v>PLNT</v>
      </c>
      <c r="Y1962" s="116" t="e">
        <f t="shared" si="1232"/>
        <v>#VALUE!</v>
      </c>
      <c r="Z1962" s="116" t="e">
        <f t="shared" si="1232"/>
        <v>#VALUE!</v>
      </c>
      <c r="AA1962" s="116" t="e">
        <f t="shared" si="1232"/>
        <v>#VALUE!</v>
      </c>
      <c r="AB1962" s="116" t="e">
        <f t="shared" si="1232"/>
        <v>#VALUE!</v>
      </c>
      <c r="AC1962" s="116" t="e">
        <f t="shared" si="1232"/>
        <v>#VALUE!</v>
      </c>
      <c r="AD1962" s="117" t="e">
        <f>ROUND(SUM(-G1962,H1962:L1962),0)</f>
        <v>#VALUE!</v>
      </c>
      <c r="AE1962" s="117" t="e">
        <f>ROUND(H1962-O1962-P1962-Q1962-R1962,0)</f>
        <v>#VALUE!</v>
      </c>
      <c r="AF1962" s="117" t="e">
        <f>ROUND(I1962-T1962-U1962-V1962-W1962,0)</f>
        <v>#VALUE!</v>
      </c>
      <c r="AG1962" s="117" t="e">
        <f>ROUND(J1962-Y1962-Z1962-AA1962-AC1962-AB1962,0)</f>
        <v>#VALUE!</v>
      </c>
      <c r="AH1962" s="116"/>
      <c r="AI1962">
        <f t="shared" si="1191"/>
        <v>281</v>
      </c>
      <c r="AJ1962" t="str">
        <f t="shared" si="1229"/>
        <v>SNPT</v>
      </c>
      <c r="AK1962" t="str">
        <f>IF(ISERROR(MATCH(AI1962&amp;"."&amp;AJ1962,AK$91:AK1961,0)),AI1962&amp;"."&amp;AJ1962,AI1962&amp;"."&amp;AJ1962&amp;COUNTIFS(AI$91:AI1961,AI1962,AJ$91:AJ1961,AJ1962))</f>
        <v>281.SNPT</v>
      </c>
    </row>
    <row r="1963" spans="1:37" ht="15" hidden="1">
      <c r="A1963" s="120">
        <f>ROW()</f>
        <v>1963</v>
      </c>
      <c r="B1963" s="120"/>
      <c r="C1963" s="1"/>
      <c r="E1963" s="121"/>
      <c r="F1963" s="138"/>
      <c r="G1963" s="117" t="e">
        <f t="shared" ref="G1963:L1963" si="1233">SUM(G1960:G1962)</f>
        <v>#VALUE!</v>
      </c>
      <c r="H1963" s="116" t="e">
        <f t="shared" si="1233"/>
        <v>#VALUE!</v>
      </c>
      <c r="I1963" s="116" t="e">
        <f t="shared" si="1233"/>
        <v>#VALUE!</v>
      </c>
      <c r="J1963" s="116" t="e">
        <f t="shared" si="1233"/>
        <v>#VALUE!</v>
      </c>
      <c r="K1963" s="116" t="e">
        <f t="shared" si="1233"/>
        <v>#VALUE!</v>
      </c>
      <c r="L1963" s="116" t="e">
        <f t="shared" si="1233"/>
        <v>#VALUE!</v>
      </c>
      <c r="O1963" s="116" t="e">
        <f>SUM(O1960:O1962)</f>
        <v>#VALUE!</v>
      </c>
      <c r="P1963" s="116" t="e">
        <f>SUM(P1960:P1962)</f>
        <v>#VALUE!</v>
      </c>
      <c r="Q1963" s="116" t="e">
        <f>SUM(Q1960:Q1962)</f>
        <v>#VALUE!</v>
      </c>
      <c r="R1963" s="116" t="e">
        <f>SUM(R1960:R1962)</f>
        <v>#VALUE!</v>
      </c>
      <c r="T1963" s="116" t="e">
        <f>SUM(T1960:T1962)</f>
        <v>#VALUE!</v>
      </c>
      <c r="U1963" s="116" t="e">
        <f>SUM(U1960:U1962)</f>
        <v>#VALUE!</v>
      </c>
      <c r="V1963" s="116" t="e">
        <f>SUM(V1960:V1962)</f>
        <v>#VALUE!</v>
      </c>
      <c r="W1963" s="116" t="e">
        <f>SUM(W1960:W1962)</f>
        <v>#VALUE!</v>
      </c>
      <c r="X1963" s="3"/>
      <c r="Y1963" s="116" t="e">
        <f>SUM(Y1960:Y1962)</f>
        <v>#VALUE!</v>
      </c>
      <c r="Z1963" s="116" t="e">
        <f>SUM(Z1960:Z1962)</f>
        <v>#VALUE!</v>
      </c>
      <c r="AA1963" s="116" t="e">
        <f>SUM(AA1960:AA1962)</f>
        <v>#VALUE!</v>
      </c>
      <c r="AB1963" s="116" t="e">
        <f>SUM(AB1960:AB1962)</f>
        <v>#VALUE!</v>
      </c>
      <c r="AC1963" s="116" t="e">
        <f>SUM(AC1960:AC1962)</f>
        <v>#VALUE!</v>
      </c>
      <c r="AD1963" s="117" t="e">
        <f>ROUND(SUM(-G1963,H1963:L1963),0)</f>
        <v>#VALUE!</v>
      </c>
      <c r="AE1963" s="117" t="e">
        <f>ROUND(H1963-O1963-P1963-Q1963-R1963,0)</f>
        <v>#VALUE!</v>
      </c>
      <c r="AF1963" s="117" t="e">
        <f>ROUND(I1963-T1963-U1963-V1963-W1963,0)</f>
        <v>#VALUE!</v>
      </c>
      <c r="AG1963" s="117" t="e">
        <f>ROUND(J1963-Y1963-Z1963-AA1963-AC1963-AB1963,0)</f>
        <v>#VALUE!</v>
      </c>
      <c r="AH1963" s="116"/>
      <c r="AI1963">
        <f t="shared" si="1191"/>
        <v>281</v>
      </c>
      <c r="AJ1963" t="str">
        <f t="shared" si="1229"/>
        <v>NA</v>
      </c>
      <c r="AK1963" t="str">
        <f>IF(ISERROR(MATCH(AI1963&amp;"."&amp;AJ1963,AK$91:AK1962,0)),AI1963&amp;"."&amp;AJ1963,AI1963&amp;"."&amp;AJ1963&amp;COUNTIFS(AI$91:AI1962,AI1963,AJ$91:AJ1962,AJ1963))</f>
        <v>281.NA1</v>
      </c>
    </row>
    <row r="1964" spans="1:37" ht="15" hidden="1">
      <c r="A1964" s="120">
        <f>ROW()</f>
        <v>1964</v>
      </c>
      <c r="B1964" s="120"/>
      <c r="C1964" s="1"/>
      <c r="E1964" s="121"/>
      <c r="F1964" s="138"/>
      <c r="G1964" s="119"/>
      <c r="X1964" s="3"/>
      <c r="AD1964" s="119"/>
      <c r="AE1964" s="119"/>
      <c r="AF1964" s="119"/>
      <c r="AG1964" s="119"/>
      <c r="AI1964">
        <f t="shared" ref="AI1964:AI2027" si="1234">IF(OR(C1964="",C1964=" ",C1964="  ",C1964="   "),AI1963,C1964)</f>
        <v>281</v>
      </c>
      <c r="AJ1964" t="str">
        <f t="shared" si="1229"/>
        <v>NA</v>
      </c>
      <c r="AK1964" t="str">
        <f>IF(ISERROR(MATCH(AI1964&amp;"."&amp;AJ1964,AK$91:AK1963,0)),AI1964&amp;"."&amp;AJ1964,AI1964&amp;"."&amp;AJ1964&amp;COUNTIFS(AI$91:AI1963,AI1964,AJ$91:AJ1963,AJ1964))</f>
        <v>281.NA2</v>
      </c>
    </row>
    <row r="1965" spans="1:37" ht="15" hidden="1">
      <c r="A1965" s="120">
        <f>ROW()</f>
        <v>1965</v>
      </c>
      <c r="B1965" s="120"/>
      <c r="C1965" s="1">
        <v>282</v>
      </c>
      <c r="D1965" s="2" t="s">
        <v>660</v>
      </c>
      <c r="E1965" s="121"/>
      <c r="F1965" s="138"/>
      <c r="G1965" s="119"/>
      <c r="J1965" s="147"/>
      <c r="X1965" s="3"/>
      <c r="AD1965" s="119"/>
      <c r="AE1965" s="119"/>
      <c r="AF1965" s="119"/>
      <c r="AG1965" s="119"/>
      <c r="AI1965">
        <f t="shared" si="1234"/>
        <v>282</v>
      </c>
      <c r="AJ1965" t="str">
        <f t="shared" si="1229"/>
        <v>NA</v>
      </c>
      <c r="AK1965" t="str">
        <f>IF(ISERROR(MATCH(AI1965&amp;"."&amp;AJ1965,AK$91:AK1964,0)),AI1965&amp;"."&amp;AJ1965,AI1965&amp;"."&amp;AJ1965&amp;COUNTIFS(AI$91:AI1964,AI1965,AJ$91:AJ1964,AJ1965))</f>
        <v>282.NA</v>
      </c>
    </row>
    <row r="1966" spans="1:37" ht="15" hidden="1">
      <c r="A1966" s="120">
        <f>ROW()</f>
        <v>1966</v>
      </c>
      <c r="B1966" s="120"/>
      <c r="C1966" s="1"/>
      <c r="E1966" s="121" t="s">
        <v>12</v>
      </c>
      <c r="F1966" s="138" t="str">
        <f>INDEX(FuncAllocOptions,ROW(A1966)-ROW($A$92)+1,[4]Inputs!$S$11)</f>
        <v>GP</v>
      </c>
      <c r="G1966" s="117" t="e">
        <f t="shared" ref="G1966:G1980" si="1235">SUMIF(FERCJAMFactor,AK1966,JAMValue)</f>
        <v>#VALUE!</v>
      </c>
      <c r="H1966" s="116" t="e">
        <f t="shared" ref="H1966:L1980" si="1236">INDEX(FuncFactorTbl,MATCH($F1966,FuncFactors,0),MATCH(H$8,Functions,0))*$G1966</f>
        <v>#VALUE!</v>
      </c>
      <c r="I1966" s="116" t="e">
        <f t="shared" si="1236"/>
        <v>#VALUE!</v>
      </c>
      <c r="J1966" s="116" t="e">
        <f t="shared" si="1236"/>
        <v>#VALUE!</v>
      </c>
      <c r="K1966" s="116" t="e">
        <f t="shared" si="1236"/>
        <v>#VALUE!</v>
      </c>
      <c r="L1966" s="116" t="e">
        <f t="shared" si="1236"/>
        <v>#VALUE!</v>
      </c>
      <c r="N1966" s="108">
        <v>0.75</v>
      </c>
      <c r="O1966" s="116" t="e">
        <f t="shared" ref="O1966:O1980" si="1237">$H1966*$N1966*$M1966</f>
        <v>#VALUE!</v>
      </c>
      <c r="P1966" s="116" t="e">
        <f t="shared" ref="P1966:P1980" si="1238">$H1966*(1-$N1966)*$M1966</f>
        <v>#VALUE!</v>
      </c>
      <c r="Q1966" s="116" t="e">
        <f t="shared" ref="Q1966:Q1980" si="1239">$H1966*$N1966*(1-$M1966)</f>
        <v>#VALUE!</v>
      </c>
      <c r="R1966" s="116" t="e">
        <f t="shared" ref="R1966:R1980" si="1240">$H1966*(1-$N1966)*(1-$M1966)</f>
        <v>#VALUE!</v>
      </c>
      <c r="S1966" s="108">
        <v>0.75</v>
      </c>
      <c r="T1966" s="116" t="e">
        <f t="shared" ref="T1966:T1980" si="1241">$I1966*$S1966*$M1966</f>
        <v>#VALUE!</v>
      </c>
      <c r="U1966" s="116" t="e">
        <f t="shared" ref="U1966:U1980" si="1242">$I1966*(1-$S1966)*$M1966</f>
        <v>#VALUE!</v>
      </c>
      <c r="V1966" s="116" t="e">
        <f t="shared" ref="V1966:V1980" si="1243">$I1966*$S1966*(1-$M1966)</f>
        <v>#VALUE!</v>
      </c>
      <c r="W1966" s="116" t="e">
        <f t="shared" ref="W1966:W1980" si="1244">$I1966*(1-$S1966)*(1-$M1966)</f>
        <v>#VALUE!</v>
      </c>
      <c r="X1966" s="3" t="str">
        <f>INDEX(DistFuncAllocOptions,ROW(A1966)-ROW($A$92)+1,[4]Inputs!$S$11)</f>
        <v>PLNT</v>
      </c>
      <c r="Y1966" s="116" t="e">
        <f t="shared" ref="Y1966:AC1980" si="1245">INDEX(DistFuncFactorTbl,MATCH($X1966,DistFuncFactors,0),MATCH(Y$91,DistFunctions,0))*$J1966</f>
        <v>#VALUE!</v>
      </c>
      <c r="Z1966" s="116" t="e">
        <f t="shared" si="1245"/>
        <v>#VALUE!</v>
      </c>
      <c r="AA1966" s="116" t="e">
        <f t="shared" si="1245"/>
        <v>#VALUE!</v>
      </c>
      <c r="AB1966" s="116" t="e">
        <f t="shared" si="1245"/>
        <v>#VALUE!</v>
      </c>
      <c r="AC1966" s="116" t="e">
        <f t="shared" si="1245"/>
        <v>#VALUE!</v>
      </c>
      <c r="AD1966" s="117" t="e">
        <f t="shared" ref="AD1966:AD1981" si="1246">ROUND(SUM(-G1966,H1966:L1966),0)</f>
        <v>#VALUE!</v>
      </c>
      <c r="AE1966" s="117" t="e">
        <f t="shared" ref="AE1966:AE1981" si="1247">ROUND(H1966-O1966-P1966-Q1966-R1966,0)</f>
        <v>#VALUE!</v>
      </c>
      <c r="AF1966" s="117" t="e">
        <f t="shared" ref="AF1966:AF1981" si="1248">ROUND(I1966-T1966-U1966-V1966-W1966,0)</f>
        <v>#VALUE!</v>
      </c>
      <c r="AG1966" s="117" t="e">
        <f t="shared" ref="AG1966:AG1981" si="1249">ROUND(J1966-Y1966-Z1966-AA1966-AC1966-AB1966,0)</f>
        <v>#VALUE!</v>
      </c>
      <c r="AH1966" s="116"/>
      <c r="AI1966">
        <f t="shared" si="1234"/>
        <v>282</v>
      </c>
      <c r="AJ1966" t="str">
        <f t="shared" si="1229"/>
        <v>S</v>
      </c>
      <c r="AK1966" t="str">
        <f>IF(ISERROR(MATCH(AI1966&amp;"."&amp;AJ1966,AK$91:AK1965,0)),AI1966&amp;"."&amp;AJ1966,AI1966&amp;"."&amp;AJ1966&amp;COUNTIFS(AI$91:AI1965,AI1966,AJ$91:AJ1965,AJ1966))</f>
        <v>282.S</v>
      </c>
    </row>
    <row r="1967" spans="1:37" ht="15" hidden="1">
      <c r="A1967" s="120">
        <f>ROW()</f>
        <v>1967</v>
      </c>
      <c r="B1967" s="120"/>
      <c r="C1967" s="1"/>
      <c r="E1967" s="121" t="s">
        <v>662</v>
      </c>
      <c r="F1967" s="138" t="str">
        <f>INDEX(FuncAllocOptions,ROW(A1967)-ROW($A$92)+1,[4]Inputs!$S$11)</f>
        <v>ACCMDIT</v>
      </c>
      <c r="G1967" s="117" t="e">
        <f t="shared" si="1235"/>
        <v>#VALUE!</v>
      </c>
      <c r="H1967" s="116" t="e">
        <f t="shared" si="1236"/>
        <v>#VALUE!</v>
      </c>
      <c r="I1967" s="116" t="e">
        <f t="shared" si="1236"/>
        <v>#VALUE!</v>
      </c>
      <c r="J1967" s="116" t="e">
        <f t="shared" si="1236"/>
        <v>#VALUE!</v>
      </c>
      <c r="K1967" s="116" t="e">
        <f t="shared" si="1236"/>
        <v>#VALUE!</v>
      </c>
      <c r="L1967" s="116" t="e">
        <f t="shared" si="1236"/>
        <v>#VALUE!</v>
      </c>
      <c r="N1967" s="108">
        <v>0.75</v>
      </c>
      <c r="O1967" s="116" t="e">
        <f t="shared" si="1237"/>
        <v>#VALUE!</v>
      </c>
      <c r="P1967" s="116" t="e">
        <f t="shared" si="1238"/>
        <v>#VALUE!</v>
      </c>
      <c r="Q1967" s="116" t="e">
        <f t="shared" si="1239"/>
        <v>#VALUE!</v>
      </c>
      <c r="R1967" s="116" t="e">
        <f t="shared" si="1240"/>
        <v>#VALUE!</v>
      </c>
      <c r="S1967" s="108">
        <v>0.75</v>
      </c>
      <c r="T1967" s="116" t="e">
        <f t="shared" si="1241"/>
        <v>#VALUE!</v>
      </c>
      <c r="U1967" s="116" t="e">
        <f t="shared" si="1242"/>
        <v>#VALUE!</v>
      </c>
      <c r="V1967" s="116" t="e">
        <f t="shared" si="1243"/>
        <v>#VALUE!</v>
      </c>
      <c r="W1967" s="116" t="e">
        <f t="shared" si="1244"/>
        <v>#VALUE!</v>
      </c>
      <c r="X1967" s="3" t="str">
        <f>INDEX(DistFuncAllocOptions,ROW(A1967)-ROW($A$92)+1,[4]Inputs!$S$11)</f>
        <v>PLNT</v>
      </c>
      <c r="Y1967" s="116" t="e">
        <f t="shared" si="1245"/>
        <v>#VALUE!</v>
      </c>
      <c r="Z1967" s="116" t="e">
        <f t="shared" si="1245"/>
        <v>#VALUE!</v>
      </c>
      <c r="AA1967" s="116" t="e">
        <f t="shared" si="1245"/>
        <v>#VALUE!</v>
      </c>
      <c r="AB1967" s="116" t="e">
        <f t="shared" si="1245"/>
        <v>#VALUE!</v>
      </c>
      <c r="AC1967" s="116" t="e">
        <f t="shared" si="1245"/>
        <v>#VALUE!</v>
      </c>
      <c r="AD1967" s="117" t="e">
        <f t="shared" si="1246"/>
        <v>#VALUE!</v>
      </c>
      <c r="AE1967" s="117" t="e">
        <f t="shared" si="1247"/>
        <v>#VALUE!</v>
      </c>
      <c r="AF1967" s="117" t="e">
        <f t="shared" si="1248"/>
        <v>#VALUE!</v>
      </c>
      <c r="AG1967" s="117" t="e">
        <f t="shared" si="1249"/>
        <v>#VALUE!</v>
      </c>
      <c r="AH1967" s="116"/>
      <c r="AI1967">
        <f t="shared" si="1234"/>
        <v>282</v>
      </c>
      <c r="AJ1967" t="str">
        <f t="shared" si="1229"/>
        <v>DITBAL</v>
      </c>
      <c r="AK1967" t="str">
        <f>IF(ISERROR(MATCH(AI1967&amp;"."&amp;AJ1967,AK$91:AK1966,0)),AI1967&amp;"."&amp;AJ1967,AI1967&amp;"."&amp;AJ1967&amp;COUNTIFS(AI$91:AI1966,AI1967,AJ$91:AJ1966,AJ1967))</f>
        <v>282.DITBAL</v>
      </c>
    </row>
    <row r="1968" spans="1:37" ht="15" hidden="1">
      <c r="A1968" s="120">
        <f>ROW()</f>
        <v>1968</v>
      </c>
      <c r="B1968" s="120"/>
      <c r="C1968" s="1"/>
      <c r="E1968" s="121" t="s">
        <v>433</v>
      </c>
      <c r="F1968" s="138" t="str">
        <f>INDEX(FuncAllocOptions,ROW(A1968)-ROW($A$92)+1,[4]Inputs!$S$11)</f>
        <v>PT</v>
      </c>
      <c r="G1968" s="117" t="e">
        <f t="shared" si="1235"/>
        <v>#VALUE!</v>
      </c>
      <c r="H1968" s="116" t="e">
        <f t="shared" si="1236"/>
        <v>#VALUE!</v>
      </c>
      <c r="I1968" s="116" t="e">
        <f t="shared" si="1236"/>
        <v>#VALUE!</v>
      </c>
      <c r="J1968" s="116" t="e">
        <f t="shared" si="1236"/>
        <v>#VALUE!</v>
      </c>
      <c r="K1968" s="116" t="e">
        <f t="shared" si="1236"/>
        <v>#VALUE!</v>
      </c>
      <c r="L1968" s="116" t="e">
        <f t="shared" si="1236"/>
        <v>#VALUE!</v>
      </c>
      <c r="N1968" s="108">
        <v>0.75</v>
      </c>
      <c r="O1968" s="116" t="e">
        <f t="shared" si="1237"/>
        <v>#VALUE!</v>
      </c>
      <c r="P1968" s="116" t="e">
        <f t="shared" si="1238"/>
        <v>#VALUE!</v>
      </c>
      <c r="Q1968" s="116" t="e">
        <f t="shared" si="1239"/>
        <v>#VALUE!</v>
      </c>
      <c r="R1968" s="116" t="e">
        <f t="shared" si="1240"/>
        <v>#VALUE!</v>
      </c>
      <c r="S1968" s="108">
        <v>0.75</v>
      </c>
      <c r="T1968" s="116" t="e">
        <f t="shared" si="1241"/>
        <v>#VALUE!</v>
      </c>
      <c r="U1968" s="116" t="e">
        <f t="shared" si="1242"/>
        <v>#VALUE!</v>
      </c>
      <c r="V1968" s="116" t="e">
        <f t="shared" si="1243"/>
        <v>#VALUE!</v>
      </c>
      <c r="W1968" s="116" t="e">
        <f t="shared" si="1244"/>
        <v>#VALUE!</v>
      </c>
      <c r="X1968" s="3" t="str">
        <f>INDEX(DistFuncAllocOptions,ROW(A1968)-ROW($A$92)+1,[4]Inputs!$S$11)</f>
        <v>PLNT</v>
      </c>
      <c r="Y1968" s="116" t="e">
        <f t="shared" si="1245"/>
        <v>#VALUE!</v>
      </c>
      <c r="Z1968" s="116" t="e">
        <f t="shared" si="1245"/>
        <v>#VALUE!</v>
      </c>
      <c r="AA1968" s="116" t="e">
        <f t="shared" si="1245"/>
        <v>#VALUE!</v>
      </c>
      <c r="AB1968" s="116" t="e">
        <f t="shared" si="1245"/>
        <v>#VALUE!</v>
      </c>
      <c r="AC1968" s="116" t="e">
        <f t="shared" si="1245"/>
        <v>#VALUE!</v>
      </c>
      <c r="AD1968" s="117" t="e">
        <f t="shared" si="1246"/>
        <v>#VALUE!</v>
      </c>
      <c r="AE1968" s="117" t="e">
        <f t="shared" si="1247"/>
        <v>#VALUE!</v>
      </c>
      <c r="AF1968" s="117" t="e">
        <f t="shared" si="1248"/>
        <v>#VALUE!</v>
      </c>
      <c r="AG1968" s="117" t="e">
        <f t="shared" si="1249"/>
        <v>#VALUE!</v>
      </c>
      <c r="AH1968" s="116"/>
      <c r="AI1968">
        <f t="shared" si="1234"/>
        <v>282</v>
      </c>
      <c r="AJ1968" t="str">
        <f t="shared" si="1229"/>
        <v>SNP</v>
      </c>
      <c r="AK1968" t="str">
        <f>IF(ISERROR(MATCH(AI1968&amp;"."&amp;AJ1968,AK$91:AK1967,0)),AI1968&amp;"."&amp;AJ1968,AI1968&amp;"."&amp;AJ1968&amp;COUNTIFS(AI$91:AI1967,AI1968,AJ$91:AJ1967,AJ1968))</f>
        <v>282.SNP</v>
      </c>
    </row>
    <row r="1969" spans="1:37" ht="15" hidden="1">
      <c r="A1969" s="120">
        <f>ROW()</f>
        <v>1969</v>
      </c>
      <c r="B1969" s="120"/>
      <c r="C1969" s="1"/>
      <c r="E1969" s="121" t="s">
        <v>136</v>
      </c>
      <c r="F1969" s="138" t="str">
        <f>INDEX(FuncAllocOptions,ROW(A1969)-ROW($A$92)+1,[4]Inputs!$S$11)</f>
        <v>LABOR</v>
      </c>
      <c r="G1969" s="117" t="e">
        <f t="shared" si="1235"/>
        <v>#VALUE!</v>
      </c>
      <c r="H1969" s="116" t="e">
        <f t="shared" si="1236"/>
        <v>#VALUE!</v>
      </c>
      <c r="I1969" s="116" t="e">
        <f t="shared" si="1236"/>
        <v>#VALUE!</v>
      </c>
      <c r="J1969" s="116" t="e">
        <f t="shared" si="1236"/>
        <v>#VALUE!</v>
      </c>
      <c r="K1969" s="116" t="e">
        <f t="shared" si="1236"/>
        <v>#VALUE!</v>
      </c>
      <c r="L1969" s="116" t="e">
        <f t="shared" si="1236"/>
        <v>#VALUE!</v>
      </c>
      <c r="N1969" s="108">
        <v>0.75</v>
      </c>
      <c r="O1969" s="116" t="e">
        <f t="shared" si="1237"/>
        <v>#VALUE!</v>
      </c>
      <c r="P1969" s="116" t="e">
        <f t="shared" si="1238"/>
        <v>#VALUE!</v>
      </c>
      <c r="Q1969" s="116" t="e">
        <f t="shared" si="1239"/>
        <v>#VALUE!</v>
      </c>
      <c r="R1969" s="116" t="e">
        <f t="shared" si="1240"/>
        <v>#VALUE!</v>
      </c>
      <c r="S1969" s="108">
        <v>0.75</v>
      </c>
      <c r="T1969" s="116" t="e">
        <f t="shared" si="1241"/>
        <v>#VALUE!</v>
      </c>
      <c r="U1969" s="116" t="e">
        <f t="shared" si="1242"/>
        <v>#VALUE!</v>
      </c>
      <c r="V1969" s="116" t="e">
        <f t="shared" si="1243"/>
        <v>#VALUE!</v>
      </c>
      <c r="W1969" s="116" t="e">
        <f t="shared" si="1244"/>
        <v>#VALUE!</v>
      </c>
      <c r="X1969" s="3" t="str">
        <f>INDEX(DistFuncAllocOptions,ROW(A1969)-ROW($A$92)+1,[4]Inputs!$S$11)</f>
        <v>DISom</v>
      </c>
      <c r="Y1969" s="116" t="e">
        <f t="shared" si="1245"/>
        <v>#VALUE!</v>
      </c>
      <c r="Z1969" s="116" t="e">
        <f t="shared" si="1245"/>
        <v>#VALUE!</v>
      </c>
      <c r="AA1969" s="116" t="e">
        <f t="shared" si="1245"/>
        <v>#VALUE!</v>
      </c>
      <c r="AB1969" s="116" t="e">
        <f t="shared" si="1245"/>
        <v>#VALUE!</v>
      </c>
      <c r="AC1969" s="116" t="e">
        <f t="shared" si="1245"/>
        <v>#VALUE!</v>
      </c>
      <c r="AD1969" s="117" t="e">
        <f t="shared" si="1246"/>
        <v>#VALUE!</v>
      </c>
      <c r="AE1969" s="117" t="e">
        <f t="shared" si="1247"/>
        <v>#VALUE!</v>
      </c>
      <c r="AF1969" s="117" t="e">
        <f t="shared" si="1248"/>
        <v>#VALUE!</v>
      </c>
      <c r="AG1969" s="117" t="e">
        <f t="shared" si="1249"/>
        <v>#VALUE!</v>
      </c>
      <c r="AH1969" s="116"/>
      <c r="AI1969">
        <f t="shared" si="1234"/>
        <v>282</v>
      </c>
      <c r="AJ1969" t="str">
        <f t="shared" si="1229"/>
        <v>SO</v>
      </c>
      <c r="AK1969" t="str">
        <f>IF(ISERROR(MATCH(AI1969&amp;"."&amp;AJ1969,AK$91:AK1968,0)),AI1969&amp;"."&amp;AJ1969,AI1969&amp;"."&amp;AJ1969&amp;COUNTIFS(AI$91:AI1968,AI1969,AJ$91:AJ1968,AJ1969))</f>
        <v>282.SO</v>
      </c>
    </row>
    <row r="1970" spans="1:37" ht="15" hidden="1">
      <c r="A1970" s="120">
        <f>ROW()</f>
        <v>1970</v>
      </c>
      <c r="B1970" s="120"/>
      <c r="C1970" s="1"/>
      <c r="E1970" s="121" t="s">
        <v>423</v>
      </c>
      <c r="F1970" s="138" t="str">
        <f>INDEX(FuncAllocOptions,ROW(A1970)-ROW($A$92)+1,[4]Inputs!$S$11)</f>
        <v>PTD</v>
      </c>
      <c r="G1970" s="117" t="e">
        <f t="shared" si="1235"/>
        <v>#VALUE!</v>
      </c>
      <c r="H1970" s="116" t="e">
        <f t="shared" si="1236"/>
        <v>#VALUE!</v>
      </c>
      <c r="I1970" s="116" t="e">
        <f t="shared" si="1236"/>
        <v>#VALUE!</v>
      </c>
      <c r="J1970" s="116" t="e">
        <f t="shared" si="1236"/>
        <v>#VALUE!</v>
      </c>
      <c r="K1970" s="116" t="e">
        <f t="shared" si="1236"/>
        <v>#VALUE!</v>
      </c>
      <c r="L1970" s="116" t="e">
        <f t="shared" si="1236"/>
        <v>#VALUE!</v>
      </c>
      <c r="N1970" s="108">
        <v>0.75</v>
      </c>
      <c r="O1970" s="116" t="e">
        <f t="shared" si="1237"/>
        <v>#VALUE!</v>
      </c>
      <c r="P1970" s="116" t="e">
        <f t="shared" si="1238"/>
        <v>#VALUE!</v>
      </c>
      <c r="Q1970" s="116" t="e">
        <f t="shared" si="1239"/>
        <v>#VALUE!</v>
      </c>
      <c r="R1970" s="116" t="e">
        <f t="shared" si="1240"/>
        <v>#VALUE!</v>
      </c>
      <c r="S1970" s="108">
        <v>0.75</v>
      </c>
      <c r="T1970" s="116" t="e">
        <f t="shared" si="1241"/>
        <v>#VALUE!</v>
      </c>
      <c r="U1970" s="116" t="e">
        <f t="shared" si="1242"/>
        <v>#VALUE!</v>
      </c>
      <c r="V1970" s="116" t="e">
        <f t="shared" si="1243"/>
        <v>#VALUE!</v>
      </c>
      <c r="W1970" s="116" t="e">
        <f t="shared" si="1244"/>
        <v>#VALUE!</v>
      </c>
      <c r="X1970" s="3" t="str">
        <f>INDEX(DistFuncAllocOptions,ROW(A1970)-ROW($A$92)+1,[4]Inputs!$S$11)</f>
        <v>PLNT</v>
      </c>
      <c r="Y1970" s="116" t="e">
        <f t="shared" si="1245"/>
        <v>#VALUE!</v>
      </c>
      <c r="Z1970" s="116" t="e">
        <f t="shared" si="1245"/>
        <v>#VALUE!</v>
      </c>
      <c r="AA1970" s="116" t="e">
        <f t="shared" si="1245"/>
        <v>#VALUE!</v>
      </c>
      <c r="AB1970" s="116" t="e">
        <f t="shared" si="1245"/>
        <v>#VALUE!</v>
      </c>
      <c r="AC1970" s="116" t="e">
        <f t="shared" si="1245"/>
        <v>#VALUE!</v>
      </c>
      <c r="AD1970" s="117" t="e">
        <f t="shared" si="1246"/>
        <v>#VALUE!</v>
      </c>
      <c r="AE1970" s="117" t="e">
        <f t="shared" si="1247"/>
        <v>#VALUE!</v>
      </c>
      <c r="AF1970" s="117" t="e">
        <f t="shared" si="1248"/>
        <v>#VALUE!</v>
      </c>
      <c r="AG1970" s="117" t="e">
        <f t="shared" si="1249"/>
        <v>#VALUE!</v>
      </c>
      <c r="AH1970" s="116"/>
      <c r="AI1970">
        <f t="shared" si="1234"/>
        <v>282</v>
      </c>
      <c r="AJ1970" t="str">
        <f t="shared" si="1229"/>
        <v>GPS</v>
      </c>
      <c r="AK1970" t="str">
        <f>IF(ISERROR(MATCH(AI1970&amp;"."&amp;AJ1970,AK$91:AK1969,0)),AI1970&amp;"."&amp;AJ1970,AI1970&amp;"."&amp;AJ1970&amp;COUNTIFS(AI$91:AI1969,AI1970,AJ$91:AJ1969,AJ1970))</f>
        <v>282.GPS</v>
      </c>
    </row>
    <row r="1971" spans="1:37" ht="15" hidden="1">
      <c r="A1971" s="120">
        <f>ROW()</f>
        <v>1971</v>
      </c>
      <c r="B1971" s="120"/>
      <c r="C1971" s="1"/>
      <c r="E1971" s="121" t="s">
        <v>451</v>
      </c>
      <c r="F1971" s="138" t="str">
        <f>INDEX(FuncAllocOptions,ROW(A1971)-ROW($A$92)+1,[4]Inputs!$S$11)</f>
        <v>DPW</v>
      </c>
      <c r="G1971" s="117" t="e">
        <f t="shared" si="1235"/>
        <v>#VALUE!</v>
      </c>
      <c r="H1971" s="116" t="e">
        <f t="shared" si="1236"/>
        <v>#VALUE!</v>
      </c>
      <c r="I1971" s="116" t="e">
        <f t="shared" si="1236"/>
        <v>#VALUE!</v>
      </c>
      <c r="J1971" s="116" t="e">
        <f t="shared" si="1236"/>
        <v>#VALUE!</v>
      </c>
      <c r="K1971" s="116" t="e">
        <f t="shared" si="1236"/>
        <v>#VALUE!</v>
      </c>
      <c r="L1971" s="116" t="e">
        <f t="shared" si="1236"/>
        <v>#VALUE!</v>
      </c>
      <c r="N1971" s="108">
        <v>0.75</v>
      </c>
      <c r="O1971" s="116" t="e">
        <f t="shared" si="1237"/>
        <v>#VALUE!</v>
      </c>
      <c r="P1971" s="116" t="e">
        <f t="shared" si="1238"/>
        <v>#VALUE!</v>
      </c>
      <c r="Q1971" s="116" t="e">
        <f t="shared" si="1239"/>
        <v>#VALUE!</v>
      </c>
      <c r="R1971" s="116" t="e">
        <f t="shared" si="1240"/>
        <v>#VALUE!</v>
      </c>
      <c r="S1971" s="108">
        <v>0.75</v>
      </c>
      <c r="T1971" s="116" t="e">
        <f t="shared" si="1241"/>
        <v>#VALUE!</v>
      </c>
      <c r="U1971" s="116" t="e">
        <f t="shared" si="1242"/>
        <v>#VALUE!</v>
      </c>
      <c r="V1971" s="116" t="e">
        <f t="shared" si="1243"/>
        <v>#VALUE!</v>
      </c>
      <c r="W1971" s="116" t="e">
        <f t="shared" si="1244"/>
        <v>#VALUE!</v>
      </c>
      <c r="X1971" s="3" t="str">
        <f>INDEX(DistFuncAllocOptions,ROW(A1971)-ROW($A$92)+1,[4]Inputs!$S$11)</f>
        <v>PLNT</v>
      </c>
      <c r="Y1971" s="116" t="e">
        <f t="shared" si="1245"/>
        <v>#VALUE!</v>
      </c>
      <c r="Z1971" s="116" t="e">
        <f t="shared" si="1245"/>
        <v>#VALUE!</v>
      </c>
      <c r="AA1971" s="116" t="e">
        <f t="shared" si="1245"/>
        <v>#VALUE!</v>
      </c>
      <c r="AB1971" s="116" t="e">
        <f t="shared" si="1245"/>
        <v>#VALUE!</v>
      </c>
      <c r="AC1971" s="116" t="e">
        <f t="shared" si="1245"/>
        <v>#VALUE!</v>
      </c>
      <c r="AD1971" s="117" t="e">
        <f t="shared" si="1246"/>
        <v>#VALUE!</v>
      </c>
      <c r="AE1971" s="117" t="e">
        <f t="shared" si="1247"/>
        <v>#VALUE!</v>
      </c>
      <c r="AF1971" s="117" t="e">
        <f t="shared" si="1248"/>
        <v>#VALUE!</v>
      </c>
      <c r="AG1971" s="117" t="e">
        <f t="shared" si="1249"/>
        <v>#VALUE!</v>
      </c>
      <c r="AH1971" s="116"/>
      <c r="AI1971">
        <f t="shared" si="1234"/>
        <v>282</v>
      </c>
      <c r="AJ1971" t="str">
        <f t="shared" si="1229"/>
        <v>CIAC</v>
      </c>
      <c r="AK1971" t="str">
        <f>IF(ISERROR(MATCH(AI1971&amp;"."&amp;AJ1971,AK$91:AK1970,0)),AI1971&amp;"."&amp;AJ1971,AI1971&amp;"."&amp;AJ1971&amp;COUNTIFS(AI$91:AI1970,AI1971,AJ$91:AJ1970,AJ1971))</f>
        <v>282.CIAC</v>
      </c>
    </row>
    <row r="1972" spans="1:37" ht="15" hidden="1">
      <c r="A1972" s="120">
        <f>ROW()</f>
        <v>1972</v>
      </c>
      <c r="B1972" s="120"/>
      <c r="C1972" s="1"/>
      <c r="E1972" s="121" t="s">
        <v>321</v>
      </c>
      <c r="F1972" s="138" t="str">
        <f>INDEX(FuncAllocOptions,ROW(A1972)-ROW($A$92)+1,[4]Inputs!$S$11)</f>
        <v>P</v>
      </c>
      <c r="G1972" s="117" t="e">
        <f t="shared" si="1235"/>
        <v>#VALUE!</v>
      </c>
      <c r="H1972" s="116" t="e">
        <f t="shared" si="1236"/>
        <v>#VALUE!</v>
      </c>
      <c r="I1972" s="116" t="e">
        <f t="shared" si="1236"/>
        <v>#VALUE!</v>
      </c>
      <c r="J1972" s="116" t="e">
        <f t="shared" si="1236"/>
        <v>#VALUE!</v>
      </c>
      <c r="K1972" s="116" t="e">
        <f t="shared" si="1236"/>
        <v>#VALUE!</v>
      </c>
      <c r="L1972" s="116" t="e">
        <f t="shared" si="1236"/>
        <v>#VALUE!</v>
      </c>
      <c r="N1972" s="108">
        <v>0.75</v>
      </c>
      <c r="O1972" s="116" t="e">
        <f t="shared" si="1237"/>
        <v>#VALUE!</v>
      </c>
      <c r="P1972" s="116" t="e">
        <f t="shared" si="1238"/>
        <v>#VALUE!</v>
      </c>
      <c r="Q1972" s="116" t="e">
        <f t="shared" si="1239"/>
        <v>#VALUE!</v>
      </c>
      <c r="R1972" s="116" t="e">
        <f t="shared" si="1240"/>
        <v>#VALUE!</v>
      </c>
      <c r="S1972" s="108">
        <v>0.75</v>
      </c>
      <c r="T1972" s="116" t="e">
        <f t="shared" si="1241"/>
        <v>#VALUE!</v>
      </c>
      <c r="U1972" s="116" t="e">
        <f t="shared" si="1242"/>
        <v>#VALUE!</v>
      </c>
      <c r="V1972" s="116" t="e">
        <f t="shared" si="1243"/>
        <v>#VALUE!</v>
      </c>
      <c r="W1972" s="116" t="e">
        <f t="shared" si="1244"/>
        <v>#VALUE!</v>
      </c>
      <c r="X1972" s="3" t="str">
        <f>INDEX(DistFuncAllocOptions,ROW(A1972)-ROW($A$92)+1,[4]Inputs!$S$11)</f>
        <v>PLNT</v>
      </c>
      <c r="Y1972" s="116" t="e">
        <f t="shared" si="1245"/>
        <v>#VALUE!</v>
      </c>
      <c r="Z1972" s="116" t="e">
        <f t="shared" si="1245"/>
        <v>#VALUE!</v>
      </c>
      <c r="AA1972" s="116" t="e">
        <f t="shared" si="1245"/>
        <v>#VALUE!</v>
      </c>
      <c r="AB1972" s="116" t="e">
        <f t="shared" si="1245"/>
        <v>#VALUE!</v>
      </c>
      <c r="AC1972" s="116" t="e">
        <f t="shared" si="1245"/>
        <v>#VALUE!</v>
      </c>
      <c r="AD1972" s="117" t="e">
        <f t="shared" si="1246"/>
        <v>#VALUE!</v>
      </c>
      <c r="AE1972" s="117" t="e">
        <f t="shared" si="1247"/>
        <v>#VALUE!</v>
      </c>
      <c r="AF1972" s="117" t="e">
        <f t="shared" si="1248"/>
        <v>#VALUE!</v>
      </c>
      <c r="AG1972" s="117" t="e">
        <f t="shared" si="1249"/>
        <v>#VALUE!</v>
      </c>
      <c r="AH1972" s="116"/>
      <c r="AI1972">
        <f t="shared" si="1234"/>
        <v>282</v>
      </c>
      <c r="AJ1972" t="str">
        <f t="shared" si="1229"/>
        <v>SNPD</v>
      </c>
      <c r="AK1972" t="str">
        <f>IF(ISERROR(MATCH(AI1972&amp;"."&amp;AJ1972,AK$91:AK1971,0)),AI1972&amp;"."&amp;AJ1972,AI1972&amp;"."&amp;AJ1972&amp;COUNTIFS(AI$91:AI1971,AI1972,AJ$91:AJ1971,AJ1972))</f>
        <v>282.SNPD</v>
      </c>
    </row>
    <row r="1973" spans="1:37" ht="15" hidden="1">
      <c r="A1973" s="120">
        <f>ROW()</f>
        <v>1973</v>
      </c>
      <c r="B1973" s="120"/>
      <c r="C1973" s="1"/>
      <c r="E1973" s="121" t="s">
        <v>452</v>
      </c>
      <c r="F1973" s="138" t="str">
        <f>INDEX(FuncAllocOptions,ROW(A1973)-ROW($A$92)+1,[4]Inputs!$S$11)</f>
        <v>GP</v>
      </c>
      <c r="G1973" s="117" t="e">
        <f t="shared" si="1235"/>
        <v>#VALUE!</v>
      </c>
      <c r="H1973" s="116" t="e">
        <f t="shared" si="1236"/>
        <v>#VALUE!</v>
      </c>
      <c r="I1973" s="116" t="e">
        <f t="shared" si="1236"/>
        <v>#VALUE!</v>
      </c>
      <c r="J1973" s="116" t="e">
        <f t="shared" si="1236"/>
        <v>#VALUE!</v>
      </c>
      <c r="K1973" s="116" t="e">
        <f t="shared" si="1236"/>
        <v>#VALUE!</v>
      </c>
      <c r="L1973" s="116" t="e">
        <f t="shared" si="1236"/>
        <v>#VALUE!</v>
      </c>
      <c r="N1973" s="108">
        <v>0.75</v>
      </c>
      <c r="O1973" s="116" t="e">
        <f t="shared" si="1237"/>
        <v>#VALUE!</v>
      </c>
      <c r="P1973" s="116" t="e">
        <f t="shared" si="1238"/>
        <v>#VALUE!</v>
      </c>
      <c r="Q1973" s="116" t="e">
        <f t="shared" si="1239"/>
        <v>#VALUE!</v>
      </c>
      <c r="R1973" s="116" t="e">
        <f t="shared" si="1240"/>
        <v>#VALUE!</v>
      </c>
      <c r="S1973" s="108">
        <v>0.75</v>
      </c>
      <c r="T1973" s="116" t="e">
        <f t="shared" si="1241"/>
        <v>#VALUE!</v>
      </c>
      <c r="U1973" s="116" t="e">
        <f t="shared" si="1242"/>
        <v>#VALUE!</v>
      </c>
      <c r="V1973" s="116" t="e">
        <f t="shared" si="1243"/>
        <v>#VALUE!</v>
      </c>
      <c r="W1973" s="116" t="e">
        <f t="shared" si="1244"/>
        <v>#VALUE!</v>
      </c>
      <c r="X1973" s="3" t="str">
        <f>INDEX(DistFuncAllocOptions,ROW(A1973)-ROW($A$92)+1,[4]Inputs!$S$11)</f>
        <v>PLNT</v>
      </c>
      <c r="Y1973" s="116" t="e">
        <f t="shared" si="1245"/>
        <v>#VALUE!</v>
      </c>
      <c r="Z1973" s="116" t="e">
        <f t="shared" si="1245"/>
        <v>#VALUE!</v>
      </c>
      <c r="AA1973" s="116" t="e">
        <f t="shared" si="1245"/>
        <v>#VALUE!</v>
      </c>
      <c r="AB1973" s="116" t="e">
        <f t="shared" si="1245"/>
        <v>#VALUE!</v>
      </c>
      <c r="AC1973" s="116" t="e">
        <f t="shared" si="1245"/>
        <v>#VALUE!</v>
      </c>
      <c r="AD1973" s="117" t="e">
        <f t="shared" si="1246"/>
        <v>#VALUE!</v>
      </c>
      <c r="AE1973" s="117" t="e">
        <f t="shared" si="1247"/>
        <v>#VALUE!</v>
      </c>
      <c r="AF1973" s="117" t="e">
        <f t="shared" si="1248"/>
        <v>#VALUE!</v>
      </c>
      <c r="AG1973" s="117" t="e">
        <f t="shared" si="1249"/>
        <v>#VALUE!</v>
      </c>
      <c r="AH1973" s="116"/>
      <c r="AI1973">
        <f t="shared" si="1234"/>
        <v>282</v>
      </c>
      <c r="AJ1973" t="str">
        <f t="shared" si="1229"/>
        <v>SCHMDEXP</v>
      </c>
      <c r="AK1973" t="str">
        <f>IF(ISERROR(MATCH(AI1973&amp;"."&amp;AJ1973,AK$91:AK1972,0)),AI1973&amp;"."&amp;AJ1973,AI1973&amp;"."&amp;AJ1973&amp;COUNTIFS(AI$91:AI1972,AI1973,AJ$91:AJ1972,AJ1973))</f>
        <v>282.SCHMDEXP</v>
      </c>
    </row>
    <row r="1974" spans="1:37" ht="15" hidden="1">
      <c r="A1974" s="120">
        <f>ROW()</f>
        <v>1974</v>
      </c>
      <c r="B1974" s="120"/>
      <c r="C1974" s="1"/>
      <c r="E1974" s="121" t="s">
        <v>453</v>
      </c>
      <c r="F1974" s="138" t="str">
        <f>INDEX(FuncAllocOptions,ROW(A1974)-ROW($A$92)+1,[4]Inputs!$S$11)</f>
        <v>TAXDEPR</v>
      </c>
      <c r="G1974" s="117" t="e">
        <f t="shared" si="1235"/>
        <v>#VALUE!</v>
      </c>
      <c r="H1974" s="116" t="e">
        <f t="shared" si="1236"/>
        <v>#VALUE!</v>
      </c>
      <c r="I1974" s="116" t="e">
        <f t="shared" si="1236"/>
        <v>#VALUE!</v>
      </c>
      <c r="J1974" s="116" t="e">
        <f t="shared" si="1236"/>
        <v>#VALUE!</v>
      </c>
      <c r="K1974" s="116" t="e">
        <f t="shared" si="1236"/>
        <v>#VALUE!</v>
      </c>
      <c r="L1974" s="116" t="e">
        <f t="shared" si="1236"/>
        <v>#VALUE!</v>
      </c>
      <c r="N1974" s="108">
        <v>0.75</v>
      </c>
      <c r="O1974" s="116" t="e">
        <f t="shared" si="1237"/>
        <v>#VALUE!</v>
      </c>
      <c r="P1974" s="116" t="e">
        <f t="shared" si="1238"/>
        <v>#VALUE!</v>
      </c>
      <c r="Q1974" s="116" t="e">
        <f t="shared" si="1239"/>
        <v>#VALUE!</v>
      </c>
      <c r="R1974" s="116" t="e">
        <f t="shared" si="1240"/>
        <v>#VALUE!</v>
      </c>
      <c r="S1974" s="108">
        <v>0.75</v>
      </c>
      <c r="T1974" s="116" t="e">
        <f t="shared" si="1241"/>
        <v>#VALUE!</v>
      </c>
      <c r="U1974" s="116" t="e">
        <f t="shared" si="1242"/>
        <v>#VALUE!</v>
      </c>
      <c r="V1974" s="116" t="e">
        <f t="shared" si="1243"/>
        <v>#VALUE!</v>
      </c>
      <c r="W1974" s="116" t="e">
        <f t="shared" si="1244"/>
        <v>#VALUE!</v>
      </c>
      <c r="X1974" s="3" t="str">
        <f>INDEX(DistFuncAllocOptions,ROW(A1974)-ROW($A$92)+1,[4]Inputs!$S$11)</f>
        <v>PLNT</v>
      </c>
      <c r="Y1974" s="116" t="e">
        <f t="shared" si="1245"/>
        <v>#VALUE!</v>
      </c>
      <c r="Z1974" s="116" t="e">
        <f t="shared" si="1245"/>
        <v>#VALUE!</v>
      </c>
      <c r="AA1974" s="116" t="e">
        <f t="shared" si="1245"/>
        <v>#VALUE!</v>
      </c>
      <c r="AB1974" s="116" t="e">
        <f t="shared" si="1245"/>
        <v>#VALUE!</v>
      </c>
      <c r="AC1974" s="116" t="e">
        <f t="shared" si="1245"/>
        <v>#VALUE!</v>
      </c>
      <c r="AD1974" s="117" t="e">
        <f t="shared" si="1246"/>
        <v>#VALUE!</v>
      </c>
      <c r="AE1974" s="117" t="e">
        <f t="shared" si="1247"/>
        <v>#VALUE!</v>
      </c>
      <c r="AF1974" s="117" t="e">
        <f t="shared" si="1248"/>
        <v>#VALUE!</v>
      </c>
      <c r="AG1974" s="117" t="e">
        <f t="shared" si="1249"/>
        <v>#VALUE!</v>
      </c>
      <c r="AH1974" s="116"/>
      <c r="AI1974">
        <f t="shared" si="1234"/>
        <v>282</v>
      </c>
      <c r="AJ1974" t="str">
        <f t="shared" si="1229"/>
        <v>TAXDEPR</v>
      </c>
      <c r="AK1974" t="str">
        <f>IF(ISERROR(MATCH(AI1974&amp;"."&amp;AJ1974,AK$91:AK1973,0)),AI1974&amp;"."&amp;AJ1974,AI1974&amp;"."&amp;AJ1974&amp;COUNTIFS(AI$91:AI1973,AI1974,AJ$91:AJ1973,AJ1974))</f>
        <v>282.TAXDEPR</v>
      </c>
    </row>
    <row r="1975" spans="1:37" ht="15" hidden="1">
      <c r="A1975" s="120">
        <f>ROW()</f>
        <v>1975</v>
      </c>
      <c r="B1975" s="120"/>
      <c r="C1975" s="1"/>
      <c r="E1975" s="121" t="s">
        <v>17</v>
      </c>
      <c r="F1975" s="121" t="str">
        <f>INDEX(FuncAllocOptions,ROW(A1975)-ROW($A$92)+1,[4]Inputs!$S$11)</f>
        <v>P</v>
      </c>
      <c r="G1975" s="117" t="e">
        <f t="shared" si="1235"/>
        <v>#VALUE!</v>
      </c>
      <c r="H1975" s="116" t="e">
        <f t="shared" si="1236"/>
        <v>#VALUE!</v>
      </c>
      <c r="I1975" s="116" t="e">
        <f t="shared" si="1236"/>
        <v>#VALUE!</v>
      </c>
      <c r="J1975" s="116" t="e">
        <f t="shared" si="1236"/>
        <v>#VALUE!</v>
      </c>
      <c r="K1975" s="116" t="e">
        <f t="shared" si="1236"/>
        <v>#VALUE!</v>
      </c>
      <c r="L1975" s="116" t="e">
        <f t="shared" si="1236"/>
        <v>#VALUE!</v>
      </c>
      <c r="N1975" s="108">
        <v>0.75</v>
      </c>
      <c r="O1975" s="116" t="e">
        <f t="shared" si="1237"/>
        <v>#VALUE!</v>
      </c>
      <c r="P1975" s="116" t="e">
        <f t="shared" si="1238"/>
        <v>#VALUE!</v>
      </c>
      <c r="Q1975" s="116" t="e">
        <f t="shared" si="1239"/>
        <v>#VALUE!</v>
      </c>
      <c r="R1975" s="116" t="e">
        <f t="shared" si="1240"/>
        <v>#VALUE!</v>
      </c>
      <c r="S1975" s="108">
        <v>0.75</v>
      </c>
      <c r="T1975" s="116" t="e">
        <f t="shared" si="1241"/>
        <v>#VALUE!</v>
      </c>
      <c r="U1975" s="116" t="e">
        <f t="shared" si="1242"/>
        <v>#VALUE!</v>
      </c>
      <c r="V1975" s="116" t="e">
        <f t="shared" si="1243"/>
        <v>#VALUE!</v>
      </c>
      <c r="W1975" s="116" t="e">
        <f t="shared" si="1244"/>
        <v>#VALUE!</v>
      </c>
      <c r="X1975" s="3" t="str">
        <f>INDEX(DistFuncAllocOptions,ROW(A1975)-ROW($A$92)+1,[4]Inputs!$S$11)</f>
        <v>PLNT</v>
      </c>
      <c r="Y1975" s="116" t="e">
        <f t="shared" si="1245"/>
        <v>#VALUE!</v>
      </c>
      <c r="Z1975" s="116" t="e">
        <f t="shared" si="1245"/>
        <v>#VALUE!</v>
      </c>
      <c r="AA1975" s="116" t="e">
        <f t="shared" si="1245"/>
        <v>#VALUE!</v>
      </c>
      <c r="AB1975" s="116" t="e">
        <f t="shared" si="1245"/>
        <v>#VALUE!</v>
      </c>
      <c r="AC1975" s="116" t="e">
        <f t="shared" si="1245"/>
        <v>#VALUE!</v>
      </c>
      <c r="AD1975" s="117" t="e">
        <f t="shared" si="1246"/>
        <v>#VALUE!</v>
      </c>
      <c r="AE1975" s="117" t="e">
        <f t="shared" si="1247"/>
        <v>#VALUE!</v>
      </c>
      <c r="AF1975" s="117" t="e">
        <f t="shared" si="1248"/>
        <v>#VALUE!</v>
      </c>
      <c r="AG1975" s="117" t="e">
        <f t="shared" si="1249"/>
        <v>#VALUE!</v>
      </c>
      <c r="AH1975" s="116"/>
      <c r="AI1975">
        <f t="shared" si="1234"/>
        <v>282</v>
      </c>
      <c r="AJ1975" t="str">
        <f t="shared" si="1229"/>
        <v>DGP</v>
      </c>
      <c r="AK1975" t="str">
        <f>IF(ISERROR(MATCH(AI1975&amp;"."&amp;AJ1975,AK$91:AK1974,0)),AI1975&amp;"."&amp;AJ1975,AI1975&amp;"."&amp;AJ1975&amp;COUNTIFS(AI$91:AI1974,AI1975,AJ$91:AJ1974,AJ1975))</f>
        <v>282.DGP</v>
      </c>
    </row>
    <row r="1976" spans="1:37" ht="15" hidden="1">
      <c r="A1976" s="120">
        <f>ROW()</f>
        <v>1976</v>
      </c>
      <c r="B1976" s="120"/>
      <c r="C1976" s="1"/>
      <c r="E1976" s="121" t="s">
        <v>450</v>
      </c>
      <c r="F1976" s="138" t="str">
        <f>INDEX(FuncAllocOptions,ROW(A1976)-ROW($A$92)+1,[4]Inputs!$S$11)</f>
        <v>PT</v>
      </c>
      <c r="G1976" s="117" t="e">
        <f t="shared" si="1235"/>
        <v>#VALUE!</v>
      </c>
      <c r="H1976" s="116" t="e">
        <f t="shared" si="1236"/>
        <v>#VALUE!</v>
      </c>
      <c r="I1976" s="116" t="e">
        <f t="shared" si="1236"/>
        <v>#VALUE!</v>
      </c>
      <c r="J1976" s="116" t="e">
        <f t="shared" si="1236"/>
        <v>#VALUE!</v>
      </c>
      <c r="K1976" s="116" t="e">
        <f t="shared" si="1236"/>
        <v>#VALUE!</v>
      </c>
      <c r="L1976" s="116" t="e">
        <f t="shared" si="1236"/>
        <v>#VALUE!</v>
      </c>
      <c r="N1976" s="108">
        <v>0.75</v>
      </c>
      <c r="O1976" s="116" t="e">
        <f t="shared" si="1237"/>
        <v>#VALUE!</v>
      </c>
      <c r="P1976" s="116" t="e">
        <f t="shared" si="1238"/>
        <v>#VALUE!</v>
      </c>
      <c r="Q1976" s="116" t="e">
        <f t="shared" si="1239"/>
        <v>#VALUE!</v>
      </c>
      <c r="R1976" s="116" t="e">
        <f t="shared" si="1240"/>
        <v>#VALUE!</v>
      </c>
      <c r="S1976" s="108">
        <v>0.75</v>
      </c>
      <c r="T1976" s="116" t="e">
        <f t="shared" si="1241"/>
        <v>#VALUE!</v>
      </c>
      <c r="U1976" s="116" t="e">
        <f t="shared" si="1242"/>
        <v>#VALUE!</v>
      </c>
      <c r="V1976" s="116" t="e">
        <f t="shared" si="1243"/>
        <v>#VALUE!</v>
      </c>
      <c r="W1976" s="116" t="e">
        <f t="shared" si="1244"/>
        <v>#VALUE!</v>
      </c>
      <c r="X1976" s="3" t="str">
        <f>INDEX(DistFuncAllocOptions,ROW(A1976)-ROW($A$92)+1,[4]Inputs!$S$11)</f>
        <v>PLNT</v>
      </c>
      <c r="Y1976" s="116" t="e">
        <f t="shared" si="1245"/>
        <v>#VALUE!</v>
      </c>
      <c r="Z1976" s="116" t="e">
        <f t="shared" si="1245"/>
        <v>#VALUE!</v>
      </c>
      <c r="AA1976" s="116" t="e">
        <f t="shared" si="1245"/>
        <v>#VALUE!</v>
      </c>
      <c r="AB1976" s="116" t="e">
        <f t="shared" si="1245"/>
        <v>#VALUE!</v>
      </c>
      <c r="AC1976" s="116" t="e">
        <f t="shared" si="1245"/>
        <v>#VALUE!</v>
      </c>
      <c r="AD1976" s="117" t="e">
        <f t="shared" si="1246"/>
        <v>#VALUE!</v>
      </c>
      <c r="AE1976" s="117" t="e">
        <f t="shared" si="1247"/>
        <v>#VALUE!</v>
      </c>
      <c r="AF1976" s="117" t="e">
        <f t="shared" si="1248"/>
        <v>#VALUE!</v>
      </c>
      <c r="AG1976" s="117" t="e">
        <f t="shared" si="1249"/>
        <v>#VALUE!</v>
      </c>
      <c r="AH1976" s="116"/>
      <c r="AI1976">
        <f t="shared" si="1234"/>
        <v>282</v>
      </c>
      <c r="AJ1976" t="str">
        <f t="shared" si="1229"/>
        <v>IBT</v>
      </c>
      <c r="AK1976" t="str">
        <f>IF(ISERROR(MATCH(AI1976&amp;"."&amp;AJ1976,AK$91:AK1975,0)),AI1976&amp;"."&amp;AJ1976,AI1976&amp;"."&amp;AJ1976&amp;COUNTIFS(AI$91:AI1975,AI1976,AJ$91:AJ1975,AJ1976))</f>
        <v>282.IBT</v>
      </c>
    </row>
    <row r="1977" spans="1:37" ht="15" hidden="1">
      <c r="A1977" s="120">
        <f>ROW()</f>
        <v>1977</v>
      </c>
      <c r="B1977" s="120"/>
      <c r="C1977" s="1"/>
      <c r="E1977" s="120" t="s">
        <v>15</v>
      </c>
      <c r="F1977" s="138" t="str">
        <f>INDEX(FuncAllocOptions,ROW(A1977)-ROW($A$92)+1,[4]Inputs!$S$11)</f>
        <v>PT</v>
      </c>
      <c r="G1977" s="117" t="e">
        <f t="shared" si="1235"/>
        <v>#VALUE!</v>
      </c>
      <c r="H1977" s="116" t="e">
        <f t="shared" si="1236"/>
        <v>#VALUE!</v>
      </c>
      <c r="I1977" s="116" t="e">
        <f t="shared" si="1236"/>
        <v>#VALUE!</v>
      </c>
      <c r="J1977" s="116" t="e">
        <f t="shared" si="1236"/>
        <v>#VALUE!</v>
      </c>
      <c r="K1977" s="116" t="e">
        <f t="shared" si="1236"/>
        <v>#VALUE!</v>
      </c>
      <c r="L1977" s="116" t="e">
        <f t="shared" si="1236"/>
        <v>#VALUE!</v>
      </c>
      <c r="N1977" s="108">
        <v>0.75</v>
      </c>
      <c r="O1977" s="116" t="e">
        <f t="shared" si="1237"/>
        <v>#VALUE!</v>
      </c>
      <c r="P1977" s="116" t="e">
        <f t="shared" si="1238"/>
        <v>#VALUE!</v>
      </c>
      <c r="Q1977" s="116" t="e">
        <f t="shared" si="1239"/>
        <v>#VALUE!</v>
      </c>
      <c r="R1977" s="116" t="e">
        <f t="shared" si="1240"/>
        <v>#VALUE!</v>
      </c>
      <c r="S1977" s="108">
        <v>0.75</v>
      </c>
      <c r="T1977" s="116" t="e">
        <f t="shared" si="1241"/>
        <v>#VALUE!</v>
      </c>
      <c r="U1977" s="116" t="e">
        <f t="shared" si="1242"/>
        <v>#VALUE!</v>
      </c>
      <c r="V1977" s="116" t="e">
        <f t="shared" si="1243"/>
        <v>#VALUE!</v>
      </c>
      <c r="W1977" s="116" t="e">
        <f t="shared" si="1244"/>
        <v>#VALUE!</v>
      </c>
      <c r="X1977" s="3" t="str">
        <f>INDEX(DistFuncAllocOptions,ROW(A1977)-ROW($A$92)+1,[4]Inputs!$S$11)</f>
        <v>PLNT</v>
      </c>
      <c r="Y1977" s="116" t="e">
        <f t="shared" si="1245"/>
        <v>#VALUE!</v>
      </c>
      <c r="Z1977" s="116" t="e">
        <f t="shared" si="1245"/>
        <v>#VALUE!</v>
      </c>
      <c r="AA1977" s="116" t="e">
        <f t="shared" si="1245"/>
        <v>#VALUE!</v>
      </c>
      <c r="AB1977" s="116" t="e">
        <f t="shared" si="1245"/>
        <v>#VALUE!</v>
      </c>
      <c r="AC1977" s="116" t="e">
        <f t="shared" si="1245"/>
        <v>#VALUE!</v>
      </c>
      <c r="AD1977" s="117" t="e">
        <f t="shared" si="1246"/>
        <v>#VALUE!</v>
      </c>
      <c r="AE1977" s="117" t="e">
        <f t="shared" si="1247"/>
        <v>#VALUE!</v>
      </c>
      <c r="AF1977" s="117" t="e">
        <f t="shared" si="1248"/>
        <v>#VALUE!</v>
      </c>
      <c r="AG1977" s="117" t="e">
        <f t="shared" si="1249"/>
        <v>#VALUE!</v>
      </c>
      <c r="AH1977" s="116"/>
      <c r="AI1977">
        <f t="shared" si="1234"/>
        <v>282</v>
      </c>
      <c r="AJ1977" t="str">
        <f t="shared" si="1229"/>
        <v>SG</v>
      </c>
      <c r="AK1977" t="str">
        <f>IF(ISERROR(MATCH(AI1977&amp;"."&amp;AJ1977,AK$91:AK1976,0)),AI1977&amp;"."&amp;AJ1977,AI1977&amp;"."&amp;AJ1977&amp;COUNTIFS(AI$91:AI1976,AI1977,AJ$91:AJ1976,AJ1977))</f>
        <v>282.SG</v>
      </c>
    </row>
    <row r="1978" spans="1:37" ht="15" hidden="1">
      <c r="A1978" s="120">
        <f>ROW()</f>
        <v>1978</v>
      </c>
      <c r="B1978" s="120"/>
      <c r="C1978" s="1"/>
      <c r="E1978" s="121" t="s">
        <v>15</v>
      </c>
      <c r="F1978" s="138" t="str">
        <f>INDEX(FuncAllocOptions,ROW(A1978)-ROW($A$92)+1,[4]Inputs!$S$11)</f>
        <v>P</v>
      </c>
      <c r="G1978" s="117" t="e">
        <f t="shared" si="1235"/>
        <v>#VALUE!</v>
      </c>
      <c r="H1978" s="116" t="e">
        <f t="shared" si="1236"/>
        <v>#VALUE!</v>
      </c>
      <c r="I1978" s="116" t="e">
        <f t="shared" si="1236"/>
        <v>#VALUE!</v>
      </c>
      <c r="J1978" s="116" t="e">
        <f t="shared" si="1236"/>
        <v>#VALUE!</v>
      </c>
      <c r="K1978" s="116" t="e">
        <f t="shared" si="1236"/>
        <v>#VALUE!</v>
      </c>
      <c r="L1978" s="116" t="e">
        <f t="shared" si="1236"/>
        <v>#VALUE!</v>
      </c>
      <c r="N1978" s="108">
        <v>0.75</v>
      </c>
      <c r="O1978" s="116" t="e">
        <f t="shared" si="1237"/>
        <v>#VALUE!</v>
      </c>
      <c r="P1978" s="116" t="e">
        <f t="shared" si="1238"/>
        <v>#VALUE!</v>
      </c>
      <c r="Q1978" s="116" t="e">
        <f t="shared" si="1239"/>
        <v>#VALUE!</v>
      </c>
      <c r="R1978" s="116" t="e">
        <f t="shared" si="1240"/>
        <v>#VALUE!</v>
      </c>
      <c r="S1978" s="108">
        <v>0.75</v>
      </c>
      <c r="T1978" s="116" t="e">
        <f t="shared" si="1241"/>
        <v>#VALUE!</v>
      </c>
      <c r="U1978" s="116" t="e">
        <f t="shared" si="1242"/>
        <v>#VALUE!</v>
      </c>
      <c r="V1978" s="116" t="e">
        <f t="shared" si="1243"/>
        <v>#VALUE!</v>
      </c>
      <c r="W1978" s="116" t="e">
        <f t="shared" si="1244"/>
        <v>#VALUE!</v>
      </c>
      <c r="X1978" s="3" t="str">
        <f>INDEX(DistFuncAllocOptions,ROW(A1978)-ROW($A$92)+1,[4]Inputs!$S$11)</f>
        <v>PLNT</v>
      </c>
      <c r="Y1978" s="116" t="e">
        <f t="shared" si="1245"/>
        <v>#VALUE!</v>
      </c>
      <c r="Z1978" s="116" t="e">
        <f t="shared" si="1245"/>
        <v>#VALUE!</v>
      </c>
      <c r="AA1978" s="116" t="e">
        <f t="shared" si="1245"/>
        <v>#VALUE!</v>
      </c>
      <c r="AB1978" s="116" t="e">
        <f t="shared" si="1245"/>
        <v>#VALUE!</v>
      </c>
      <c r="AC1978" s="116" t="e">
        <f t="shared" si="1245"/>
        <v>#VALUE!</v>
      </c>
      <c r="AD1978" s="117" t="e">
        <f t="shared" si="1246"/>
        <v>#VALUE!</v>
      </c>
      <c r="AE1978" s="117" t="e">
        <f t="shared" si="1247"/>
        <v>#VALUE!</v>
      </c>
      <c r="AF1978" s="117" t="e">
        <f t="shared" si="1248"/>
        <v>#VALUE!</v>
      </c>
      <c r="AG1978" s="117" t="e">
        <f t="shared" si="1249"/>
        <v>#VALUE!</v>
      </c>
      <c r="AH1978" s="116"/>
      <c r="AI1978">
        <f t="shared" si="1234"/>
        <v>282</v>
      </c>
      <c r="AJ1978" t="str">
        <f t="shared" si="1229"/>
        <v>SG</v>
      </c>
      <c r="AK1978" t="str">
        <f>IF(ISERROR(MATCH(AI1978&amp;"."&amp;AJ1978,AK$91:AK1977,0)),AI1978&amp;"."&amp;AJ1978,AI1978&amp;"."&amp;AJ1978&amp;COUNTIFS(AI$91:AI1977,AI1978,AJ$91:AJ1977,AJ1978))</f>
        <v>282.SG1</v>
      </c>
    </row>
    <row r="1979" spans="1:37" ht="15" hidden="1">
      <c r="A1979" s="120">
        <f>ROW()</f>
        <v>1979</v>
      </c>
      <c r="B1979" s="120"/>
      <c r="C1979" s="1"/>
      <c r="E1979" s="121" t="s">
        <v>16</v>
      </c>
      <c r="F1979" s="138" t="str">
        <f>INDEX(FuncAllocOptions,ROW(A1979)-ROW($A$92)+1,[4]Inputs!$S$11)</f>
        <v>P</v>
      </c>
      <c r="G1979" s="117" t="e">
        <f t="shared" si="1235"/>
        <v>#VALUE!</v>
      </c>
      <c r="H1979" s="116" t="e">
        <f t="shared" si="1236"/>
        <v>#VALUE!</v>
      </c>
      <c r="I1979" s="116" t="e">
        <f t="shared" si="1236"/>
        <v>#VALUE!</v>
      </c>
      <c r="J1979" s="116" t="e">
        <f t="shared" si="1236"/>
        <v>#VALUE!</v>
      </c>
      <c r="K1979" s="116" t="e">
        <f t="shared" si="1236"/>
        <v>#VALUE!</v>
      </c>
      <c r="L1979" s="116" t="e">
        <f t="shared" si="1236"/>
        <v>#VALUE!</v>
      </c>
      <c r="N1979" s="108">
        <v>0.75</v>
      </c>
      <c r="O1979" s="116" t="e">
        <f t="shared" si="1237"/>
        <v>#VALUE!</v>
      </c>
      <c r="P1979" s="116" t="e">
        <f t="shared" si="1238"/>
        <v>#VALUE!</v>
      </c>
      <c r="Q1979" s="116" t="e">
        <f t="shared" si="1239"/>
        <v>#VALUE!</v>
      </c>
      <c r="R1979" s="116" t="e">
        <f t="shared" si="1240"/>
        <v>#VALUE!</v>
      </c>
      <c r="S1979" s="108">
        <v>0.75</v>
      </c>
      <c r="T1979" s="116" t="e">
        <f t="shared" si="1241"/>
        <v>#VALUE!</v>
      </c>
      <c r="U1979" s="116" t="e">
        <f t="shared" si="1242"/>
        <v>#VALUE!</v>
      </c>
      <c r="V1979" s="116" t="e">
        <f t="shared" si="1243"/>
        <v>#VALUE!</v>
      </c>
      <c r="W1979" s="116" t="e">
        <f t="shared" si="1244"/>
        <v>#VALUE!</v>
      </c>
      <c r="X1979" s="3" t="str">
        <f>INDEX(DistFuncAllocOptions,ROW(A1979)-ROW($A$92)+1,[4]Inputs!$S$11)</f>
        <v>PLNT</v>
      </c>
      <c r="Y1979" s="116" t="e">
        <f t="shared" si="1245"/>
        <v>#VALUE!</v>
      </c>
      <c r="Z1979" s="116" t="e">
        <f t="shared" si="1245"/>
        <v>#VALUE!</v>
      </c>
      <c r="AA1979" s="116" t="e">
        <f t="shared" si="1245"/>
        <v>#VALUE!</v>
      </c>
      <c r="AB1979" s="116" t="e">
        <f t="shared" si="1245"/>
        <v>#VALUE!</v>
      </c>
      <c r="AC1979" s="116" t="e">
        <f t="shared" si="1245"/>
        <v>#VALUE!</v>
      </c>
      <c r="AD1979" s="117" t="e">
        <f t="shared" si="1246"/>
        <v>#VALUE!</v>
      </c>
      <c r="AE1979" s="117" t="e">
        <f t="shared" si="1247"/>
        <v>#VALUE!</v>
      </c>
      <c r="AF1979" s="117" t="e">
        <f t="shared" si="1248"/>
        <v>#VALUE!</v>
      </c>
      <c r="AG1979" s="117" t="e">
        <f t="shared" si="1249"/>
        <v>#VALUE!</v>
      </c>
      <c r="AH1979" s="116"/>
      <c r="AI1979">
        <f t="shared" si="1234"/>
        <v>282</v>
      </c>
      <c r="AJ1979" t="str">
        <f t="shared" si="1229"/>
        <v>SE</v>
      </c>
      <c r="AK1979" t="str">
        <f>IF(ISERROR(MATCH(AI1979&amp;"."&amp;AJ1979,AK$91:AK1978,0)),AI1979&amp;"."&amp;AJ1979,AI1979&amp;"."&amp;AJ1979&amp;COUNTIFS(AI$91:AI1978,AI1979,AJ$91:AJ1978,AJ1979))</f>
        <v>282.SE</v>
      </c>
    </row>
    <row r="1980" spans="1:37" ht="15" hidden="1">
      <c r="A1980" s="120">
        <f>ROW()</f>
        <v>1980</v>
      </c>
      <c r="B1980" s="120"/>
      <c r="C1980" s="1"/>
      <c r="E1980" s="121" t="s">
        <v>15</v>
      </c>
      <c r="F1980" s="138" t="str">
        <f>INDEX(FuncAllocOptions,ROW(A1980)-ROW($A$92)+1,[4]Inputs!$S$11)</f>
        <v>P</v>
      </c>
      <c r="G1980" s="133" t="e">
        <f t="shared" si="1235"/>
        <v>#VALUE!</v>
      </c>
      <c r="H1980" s="139" t="e">
        <f t="shared" si="1236"/>
        <v>#VALUE!</v>
      </c>
      <c r="I1980" s="139" t="e">
        <f t="shared" si="1236"/>
        <v>#VALUE!</v>
      </c>
      <c r="J1980" s="139" t="e">
        <f t="shared" si="1236"/>
        <v>#VALUE!</v>
      </c>
      <c r="K1980" s="139" t="e">
        <f t="shared" si="1236"/>
        <v>#VALUE!</v>
      </c>
      <c r="L1980" s="139" t="e">
        <f t="shared" si="1236"/>
        <v>#VALUE!</v>
      </c>
      <c r="N1980" s="108">
        <v>0.75</v>
      </c>
      <c r="O1980" s="116" t="e">
        <f t="shared" si="1237"/>
        <v>#VALUE!</v>
      </c>
      <c r="P1980" s="116" t="e">
        <f t="shared" si="1238"/>
        <v>#VALUE!</v>
      </c>
      <c r="Q1980" s="116" t="e">
        <f t="shared" si="1239"/>
        <v>#VALUE!</v>
      </c>
      <c r="R1980" s="116" t="e">
        <f t="shared" si="1240"/>
        <v>#VALUE!</v>
      </c>
      <c r="S1980" s="108">
        <v>0.75</v>
      </c>
      <c r="T1980" s="116" t="e">
        <f t="shared" si="1241"/>
        <v>#VALUE!</v>
      </c>
      <c r="U1980" s="116" t="e">
        <f t="shared" si="1242"/>
        <v>#VALUE!</v>
      </c>
      <c r="V1980" s="116" t="e">
        <f t="shared" si="1243"/>
        <v>#VALUE!</v>
      </c>
      <c r="W1980" s="116" t="e">
        <f t="shared" si="1244"/>
        <v>#VALUE!</v>
      </c>
      <c r="X1980" s="3" t="str">
        <f>INDEX(DistFuncAllocOptions,ROW(A1980)-ROW($A$92)+1,[4]Inputs!$S$11)</f>
        <v>PLNT</v>
      </c>
      <c r="Y1980" s="116" t="e">
        <f t="shared" si="1245"/>
        <v>#VALUE!</v>
      </c>
      <c r="Z1980" s="116" t="e">
        <f t="shared" si="1245"/>
        <v>#VALUE!</v>
      </c>
      <c r="AA1980" s="116" t="e">
        <f t="shared" si="1245"/>
        <v>#VALUE!</v>
      </c>
      <c r="AB1980" s="116" t="e">
        <f t="shared" si="1245"/>
        <v>#VALUE!</v>
      </c>
      <c r="AC1980" s="116" t="e">
        <f t="shared" si="1245"/>
        <v>#VALUE!</v>
      </c>
      <c r="AD1980" s="117" t="e">
        <f t="shared" si="1246"/>
        <v>#VALUE!</v>
      </c>
      <c r="AE1980" s="117" t="e">
        <f t="shared" si="1247"/>
        <v>#VALUE!</v>
      </c>
      <c r="AF1980" s="117" t="e">
        <f t="shared" si="1248"/>
        <v>#VALUE!</v>
      </c>
      <c r="AG1980" s="117" t="e">
        <f t="shared" si="1249"/>
        <v>#VALUE!</v>
      </c>
      <c r="AH1980" s="116"/>
      <c r="AI1980">
        <f t="shared" si="1234"/>
        <v>282</v>
      </c>
      <c r="AJ1980" t="str">
        <f t="shared" si="1229"/>
        <v>SG</v>
      </c>
      <c r="AK1980" t="str">
        <f>IF(ISERROR(MATCH(AI1980&amp;"."&amp;AJ1980,AK$91:AK1979,0)),AI1980&amp;"."&amp;AJ1980,AI1980&amp;"."&amp;AJ1980&amp;COUNTIFS(AI$91:AI1979,AI1980,AJ$91:AJ1979,AJ1980))</f>
        <v>282.SG2</v>
      </c>
    </row>
    <row r="1981" spans="1:37" ht="15" hidden="1">
      <c r="A1981" s="120">
        <f>ROW()</f>
        <v>1981</v>
      </c>
      <c r="B1981" s="120"/>
      <c r="C1981" s="1"/>
      <c r="E1981" s="121"/>
      <c r="F1981" s="138"/>
      <c r="G1981" s="117" t="e">
        <f t="shared" ref="G1981:L1981" si="1250">SUM(G1966:G1980)</f>
        <v>#VALUE!</v>
      </c>
      <c r="H1981" s="116" t="e">
        <f t="shared" si="1250"/>
        <v>#VALUE!</v>
      </c>
      <c r="I1981" s="116" t="e">
        <f t="shared" si="1250"/>
        <v>#VALUE!</v>
      </c>
      <c r="J1981" s="116" t="e">
        <f t="shared" si="1250"/>
        <v>#VALUE!</v>
      </c>
      <c r="K1981" s="116" t="e">
        <f t="shared" si="1250"/>
        <v>#VALUE!</v>
      </c>
      <c r="L1981" s="116" t="e">
        <f t="shared" si="1250"/>
        <v>#VALUE!</v>
      </c>
      <c r="O1981" s="116" t="e">
        <f>SUM(O1966:O1980)</f>
        <v>#VALUE!</v>
      </c>
      <c r="P1981" s="116" t="e">
        <f>SUM(P1966:P1980)</f>
        <v>#VALUE!</v>
      </c>
      <c r="Q1981" s="116" t="e">
        <f>SUM(Q1966:Q1980)</f>
        <v>#VALUE!</v>
      </c>
      <c r="R1981" s="116" t="e">
        <f>SUM(R1966:R1980)</f>
        <v>#VALUE!</v>
      </c>
      <c r="T1981" s="116" t="e">
        <f>SUM(T1966:T1980)</f>
        <v>#VALUE!</v>
      </c>
      <c r="U1981" s="116" t="e">
        <f>SUM(U1966:U1980)</f>
        <v>#VALUE!</v>
      </c>
      <c r="V1981" s="116" t="e">
        <f>SUM(V1966:V1980)</f>
        <v>#VALUE!</v>
      </c>
      <c r="W1981" s="116" t="e">
        <f>SUM(W1966:W1980)</f>
        <v>#VALUE!</v>
      </c>
      <c r="X1981" s="3"/>
      <c r="Y1981" s="116" t="e">
        <f>SUM(Y1966:Y1980)</f>
        <v>#VALUE!</v>
      </c>
      <c r="Z1981" s="116" t="e">
        <f>SUM(Z1966:Z1980)</f>
        <v>#VALUE!</v>
      </c>
      <c r="AA1981" s="116" t="e">
        <f>SUM(AA1966:AA1980)</f>
        <v>#VALUE!</v>
      </c>
      <c r="AB1981" s="116" t="e">
        <f>SUM(AB1966:AB1980)</f>
        <v>#VALUE!</v>
      </c>
      <c r="AC1981" s="116" t="e">
        <f>SUM(AC1966:AC1980)</f>
        <v>#VALUE!</v>
      </c>
      <c r="AD1981" s="117" t="e">
        <f t="shared" si="1246"/>
        <v>#VALUE!</v>
      </c>
      <c r="AE1981" s="117" t="e">
        <f t="shared" si="1247"/>
        <v>#VALUE!</v>
      </c>
      <c r="AF1981" s="117" t="e">
        <f t="shared" si="1248"/>
        <v>#VALUE!</v>
      </c>
      <c r="AG1981" s="117" t="e">
        <f t="shared" si="1249"/>
        <v>#VALUE!</v>
      </c>
      <c r="AH1981" s="116"/>
      <c r="AI1981">
        <f t="shared" si="1234"/>
        <v>282</v>
      </c>
      <c r="AJ1981" t="str">
        <f t="shared" si="1229"/>
        <v>NA</v>
      </c>
      <c r="AK1981" t="str">
        <f>IF(ISERROR(MATCH(AI1981&amp;"."&amp;AJ1981,AK$91:AK1980,0)),AI1981&amp;"."&amp;AJ1981,AI1981&amp;"."&amp;AJ1981&amp;COUNTIFS(AI$91:AI1980,AI1981,AJ$91:AJ1980,AJ1981))</f>
        <v>282.NA1</v>
      </c>
    </row>
    <row r="1982" spans="1:37" ht="15" hidden="1">
      <c r="A1982" s="120">
        <f>ROW()</f>
        <v>1982</v>
      </c>
      <c r="B1982" s="120"/>
      <c r="C1982" s="1"/>
      <c r="E1982" s="121"/>
      <c r="F1982" s="138"/>
      <c r="G1982" s="117"/>
      <c r="H1982" s="147"/>
      <c r="I1982" s="147"/>
      <c r="J1982" s="147"/>
      <c r="K1982" s="147"/>
      <c r="X1982" s="3"/>
      <c r="AD1982" s="119"/>
      <c r="AE1982" s="119"/>
      <c r="AF1982" s="119"/>
      <c r="AG1982" s="119"/>
      <c r="AI1982">
        <f t="shared" si="1234"/>
        <v>282</v>
      </c>
      <c r="AJ1982" t="str">
        <f t="shared" si="1229"/>
        <v>NA</v>
      </c>
      <c r="AK1982" t="str">
        <f>IF(ISERROR(MATCH(AI1982&amp;"."&amp;AJ1982,AK$91:AK1981,0)),AI1982&amp;"."&amp;AJ1982,AI1982&amp;"."&amp;AJ1982&amp;COUNTIFS(AI$91:AI1981,AI1982,AJ$91:AJ1981,AJ1982))</f>
        <v>282.NA2</v>
      </c>
    </row>
    <row r="1983" spans="1:37" ht="15" hidden="1">
      <c r="A1983" s="120">
        <f>ROW()</f>
        <v>1983</v>
      </c>
      <c r="B1983" s="120"/>
      <c r="C1983" s="1">
        <v>283</v>
      </c>
      <c r="D1983" s="2" t="s">
        <v>660</v>
      </c>
      <c r="E1983" s="121"/>
      <c r="F1983" s="138"/>
      <c r="G1983" s="117"/>
      <c r="X1983" s="3"/>
      <c r="AD1983" s="119"/>
      <c r="AE1983" s="119"/>
      <c r="AF1983" s="119"/>
      <c r="AG1983" s="119"/>
      <c r="AI1983">
        <f t="shared" si="1234"/>
        <v>283</v>
      </c>
      <c r="AJ1983" t="str">
        <f t="shared" si="1229"/>
        <v>NA</v>
      </c>
      <c r="AK1983" t="str">
        <f>IF(ISERROR(MATCH(AI1983&amp;"."&amp;AJ1983,AK$91:AK1982,0)),AI1983&amp;"."&amp;AJ1983,AI1983&amp;"."&amp;AJ1983&amp;COUNTIFS(AI$91:AI1982,AI1983,AJ$91:AJ1982,AJ1983))</f>
        <v>283.NA</v>
      </c>
    </row>
    <row r="1984" spans="1:37" ht="15" hidden="1">
      <c r="A1984" s="120">
        <f>ROW()</f>
        <v>1984</v>
      </c>
      <c r="B1984" s="120"/>
      <c r="C1984" s="1"/>
      <c r="E1984" s="121" t="s">
        <v>12</v>
      </c>
      <c r="F1984" s="138" t="str">
        <f>INDEX(FuncAllocOptions,ROW(A1984)-ROW($A$92)+1,[4]Inputs!$S$11)</f>
        <v>GP</v>
      </c>
      <c r="G1984" s="117" t="e">
        <f t="shared" ref="G1984:G1993" si="1251">SUMIF(FERCJAMFactor,AK1984,JAMValue)</f>
        <v>#VALUE!</v>
      </c>
      <c r="H1984" s="116" t="e">
        <f t="shared" ref="H1984:L1993" si="1252">INDEX(FuncFactorTbl,MATCH($F1984,FuncFactors,0),MATCH(H$8,Functions,0))*$G1984</f>
        <v>#VALUE!</v>
      </c>
      <c r="I1984" s="116" t="e">
        <f t="shared" si="1252"/>
        <v>#VALUE!</v>
      </c>
      <c r="J1984" s="116" t="e">
        <f t="shared" si="1252"/>
        <v>#VALUE!</v>
      </c>
      <c r="K1984" s="116" t="e">
        <f t="shared" si="1252"/>
        <v>#VALUE!</v>
      </c>
      <c r="L1984" s="116" t="e">
        <f t="shared" si="1252"/>
        <v>#VALUE!</v>
      </c>
      <c r="N1984" s="108">
        <v>0.75</v>
      </c>
      <c r="O1984" s="116" t="e">
        <f t="shared" ref="O1984:O1993" si="1253">$H1984*$N1984*$M1984</f>
        <v>#VALUE!</v>
      </c>
      <c r="P1984" s="116" t="e">
        <f t="shared" ref="P1984:P1993" si="1254">$H1984*(1-$N1984)*$M1984</f>
        <v>#VALUE!</v>
      </c>
      <c r="Q1984" s="116" t="e">
        <f t="shared" ref="Q1984:Q1993" si="1255">$H1984*$N1984*(1-$M1984)</f>
        <v>#VALUE!</v>
      </c>
      <c r="R1984" s="116" t="e">
        <f t="shared" ref="R1984:R1993" si="1256">$H1984*(1-$N1984)*(1-$M1984)</f>
        <v>#VALUE!</v>
      </c>
      <c r="S1984" s="108">
        <v>0.75</v>
      </c>
      <c r="T1984" s="116" t="e">
        <f t="shared" ref="T1984:T1993" si="1257">$I1984*$S1984*$M1984</f>
        <v>#VALUE!</v>
      </c>
      <c r="U1984" s="116" t="e">
        <f t="shared" ref="U1984:U1993" si="1258">$I1984*(1-$S1984)*$M1984</f>
        <v>#VALUE!</v>
      </c>
      <c r="V1984" s="116" t="e">
        <f t="shared" ref="V1984:V1993" si="1259">$I1984*$S1984*(1-$M1984)</f>
        <v>#VALUE!</v>
      </c>
      <c r="W1984" s="116" t="e">
        <f t="shared" ref="W1984:W1993" si="1260">$I1984*(1-$S1984)*(1-$M1984)</f>
        <v>#VALUE!</v>
      </c>
      <c r="X1984" s="3" t="str">
        <f>INDEX(DistFuncAllocOptions,ROW(A1984)-ROW($A$92)+1,[4]Inputs!$S$11)</f>
        <v>PLNT</v>
      </c>
      <c r="Y1984" s="116" t="e">
        <f t="shared" ref="Y1984:AC1993" si="1261">INDEX(DistFuncFactorTbl,MATCH($X1984,DistFuncFactors,0),MATCH(Y$91,DistFunctions,0))*$J1984</f>
        <v>#VALUE!</v>
      </c>
      <c r="Z1984" s="116" t="e">
        <f t="shared" si="1261"/>
        <v>#VALUE!</v>
      </c>
      <c r="AA1984" s="116" t="e">
        <f t="shared" si="1261"/>
        <v>#VALUE!</v>
      </c>
      <c r="AB1984" s="116" t="e">
        <f t="shared" si="1261"/>
        <v>#VALUE!</v>
      </c>
      <c r="AC1984" s="116" t="e">
        <f t="shared" si="1261"/>
        <v>#VALUE!</v>
      </c>
      <c r="AD1984" s="117" t="e">
        <f t="shared" ref="AD1984:AD1994" si="1262">ROUND(SUM(-G1984,H1984:L1984),0)</f>
        <v>#VALUE!</v>
      </c>
      <c r="AE1984" s="117" t="e">
        <f t="shared" ref="AE1984:AE1994" si="1263">ROUND(H1984-O1984-P1984-Q1984-R1984,0)</f>
        <v>#VALUE!</v>
      </c>
      <c r="AF1984" s="117" t="e">
        <f t="shared" ref="AF1984:AF1994" si="1264">ROUND(I1984-T1984-U1984-V1984-W1984,0)</f>
        <v>#VALUE!</v>
      </c>
      <c r="AG1984" s="117" t="e">
        <f t="shared" ref="AG1984:AG1994" si="1265">ROUND(J1984-Y1984-Z1984-AA1984-AC1984-AB1984,0)</f>
        <v>#VALUE!</v>
      </c>
      <c r="AH1984" s="116"/>
      <c r="AI1984">
        <f t="shared" si="1234"/>
        <v>283</v>
      </c>
      <c r="AJ1984" t="str">
        <f t="shared" si="1229"/>
        <v>S</v>
      </c>
      <c r="AK1984" t="str">
        <f>IF(ISERROR(MATCH(AI1984&amp;"."&amp;AJ1984,AK$91:AK1983,0)),AI1984&amp;"."&amp;AJ1984,AI1984&amp;"."&amp;AJ1984&amp;COUNTIFS(AI$91:AI1983,AI1984,AJ$91:AJ1983,AJ1984))</f>
        <v>283.S</v>
      </c>
    </row>
    <row r="1985" spans="1:37" ht="15" hidden="1">
      <c r="A1985" s="120">
        <f>ROW()</f>
        <v>1985</v>
      </c>
      <c r="B1985" s="120"/>
      <c r="C1985" s="1"/>
      <c r="E1985" s="121" t="s">
        <v>15</v>
      </c>
      <c r="F1985" s="138" t="str">
        <f>INDEX(FuncAllocOptions,ROW(A1985)-ROW($A$92)+1,[4]Inputs!$S$11)</f>
        <v>P</v>
      </c>
      <c r="G1985" s="117" t="e">
        <f t="shared" si="1251"/>
        <v>#VALUE!</v>
      </c>
      <c r="H1985" s="116" t="e">
        <f t="shared" si="1252"/>
        <v>#VALUE!</v>
      </c>
      <c r="I1985" s="116" t="e">
        <f t="shared" si="1252"/>
        <v>#VALUE!</v>
      </c>
      <c r="J1985" s="116" t="e">
        <f t="shared" si="1252"/>
        <v>#VALUE!</v>
      </c>
      <c r="K1985" s="116" t="e">
        <f t="shared" si="1252"/>
        <v>#VALUE!</v>
      </c>
      <c r="L1985" s="116" t="e">
        <f t="shared" si="1252"/>
        <v>#VALUE!</v>
      </c>
      <c r="N1985" s="108">
        <v>0.75</v>
      </c>
      <c r="O1985" s="116" t="e">
        <f t="shared" si="1253"/>
        <v>#VALUE!</v>
      </c>
      <c r="P1985" s="116" t="e">
        <f t="shared" si="1254"/>
        <v>#VALUE!</v>
      </c>
      <c r="Q1985" s="116" t="e">
        <f t="shared" si="1255"/>
        <v>#VALUE!</v>
      </c>
      <c r="R1985" s="116" t="e">
        <f t="shared" si="1256"/>
        <v>#VALUE!</v>
      </c>
      <c r="S1985" s="108">
        <v>0.75</v>
      </c>
      <c r="T1985" s="116" t="e">
        <f t="shared" si="1257"/>
        <v>#VALUE!</v>
      </c>
      <c r="U1985" s="116" t="e">
        <f t="shared" si="1258"/>
        <v>#VALUE!</v>
      </c>
      <c r="V1985" s="116" t="e">
        <f t="shared" si="1259"/>
        <v>#VALUE!</v>
      </c>
      <c r="W1985" s="116" t="e">
        <f t="shared" si="1260"/>
        <v>#VALUE!</v>
      </c>
      <c r="X1985" s="3" t="str">
        <f>INDEX(DistFuncAllocOptions,ROW(A1985)-ROW($A$92)+1,[4]Inputs!$S$11)</f>
        <v>PLNT</v>
      </c>
      <c r="Y1985" s="116" t="e">
        <f t="shared" si="1261"/>
        <v>#VALUE!</v>
      </c>
      <c r="Z1985" s="116" t="e">
        <f t="shared" si="1261"/>
        <v>#VALUE!</v>
      </c>
      <c r="AA1985" s="116" t="e">
        <f t="shared" si="1261"/>
        <v>#VALUE!</v>
      </c>
      <c r="AB1985" s="116" t="e">
        <f t="shared" si="1261"/>
        <v>#VALUE!</v>
      </c>
      <c r="AC1985" s="116" t="e">
        <f t="shared" si="1261"/>
        <v>#VALUE!</v>
      </c>
      <c r="AD1985" s="117" t="e">
        <f t="shared" si="1262"/>
        <v>#VALUE!</v>
      </c>
      <c r="AE1985" s="117" t="e">
        <f t="shared" si="1263"/>
        <v>#VALUE!</v>
      </c>
      <c r="AF1985" s="117" t="e">
        <f t="shared" si="1264"/>
        <v>#VALUE!</v>
      </c>
      <c r="AG1985" s="117" t="e">
        <f t="shared" si="1265"/>
        <v>#VALUE!</v>
      </c>
      <c r="AH1985" s="116"/>
      <c r="AI1985">
        <f t="shared" si="1234"/>
        <v>283</v>
      </c>
      <c r="AJ1985" t="str">
        <f t="shared" si="1229"/>
        <v>SG</v>
      </c>
      <c r="AK1985" t="str">
        <f>IF(ISERROR(MATCH(AI1985&amp;"."&amp;AJ1985,AK$91:AK1984,0)),AI1985&amp;"."&amp;AJ1985,AI1985&amp;"."&amp;AJ1985&amp;COUNTIFS(AI$91:AI1984,AI1985,AJ$91:AJ1984,AJ1985))</f>
        <v>283.SG</v>
      </c>
    </row>
    <row r="1986" spans="1:37" ht="15" hidden="1">
      <c r="A1986" s="120">
        <f>ROW()</f>
        <v>1986</v>
      </c>
      <c r="B1986" s="120"/>
      <c r="C1986" s="1"/>
      <c r="E1986" s="121" t="s">
        <v>16</v>
      </c>
      <c r="F1986" s="138" t="str">
        <f>INDEX(FuncAllocOptions,ROW(A1986)-ROW($A$92)+1,[4]Inputs!$S$11)</f>
        <v>P</v>
      </c>
      <c r="G1986" s="117" t="e">
        <f t="shared" si="1251"/>
        <v>#VALUE!</v>
      </c>
      <c r="H1986" s="116" t="e">
        <f t="shared" si="1252"/>
        <v>#VALUE!</v>
      </c>
      <c r="I1986" s="116" t="e">
        <f t="shared" si="1252"/>
        <v>#VALUE!</v>
      </c>
      <c r="J1986" s="116" t="e">
        <f t="shared" si="1252"/>
        <v>#VALUE!</v>
      </c>
      <c r="K1986" s="116" t="e">
        <f t="shared" si="1252"/>
        <v>#VALUE!</v>
      </c>
      <c r="L1986" s="116" t="e">
        <f t="shared" si="1252"/>
        <v>#VALUE!</v>
      </c>
      <c r="N1986" s="108">
        <v>0.75</v>
      </c>
      <c r="O1986" s="116" t="e">
        <f t="shared" si="1253"/>
        <v>#VALUE!</v>
      </c>
      <c r="P1986" s="116" t="e">
        <f t="shared" si="1254"/>
        <v>#VALUE!</v>
      </c>
      <c r="Q1986" s="116" t="e">
        <f t="shared" si="1255"/>
        <v>#VALUE!</v>
      </c>
      <c r="R1986" s="116" t="e">
        <f t="shared" si="1256"/>
        <v>#VALUE!</v>
      </c>
      <c r="S1986" s="108">
        <v>0.75</v>
      </c>
      <c r="T1986" s="116" t="e">
        <f t="shared" si="1257"/>
        <v>#VALUE!</v>
      </c>
      <c r="U1986" s="116" t="e">
        <f t="shared" si="1258"/>
        <v>#VALUE!</v>
      </c>
      <c r="V1986" s="116" t="e">
        <f t="shared" si="1259"/>
        <v>#VALUE!</v>
      </c>
      <c r="W1986" s="116" t="e">
        <f t="shared" si="1260"/>
        <v>#VALUE!</v>
      </c>
      <c r="X1986" s="3" t="str">
        <f>INDEX(DistFuncAllocOptions,ROW(A1986)-ROW($A$92)+1,[4]Inputs!$S$11)</f>
        <v>PLNT</v>
      </c>
      <c r="Y1986" s="116" t="e">
        <f t="shared" si="1261"/>
        <v>#VALUE!</v>
      </c>
      <c r="Z1986" s="116" t="e">
        <f t="shared" si="1261"/>
        <v>#VALUE!</v>
      </c>
      <c r="AA1986" s="116" t="e">
        <f t="shared" si="1261"/>
        <v>#VALUE!</v>
      </c>
      <c r="AB1986" s="116" t="e">
        <f t="shared" si="1261"/>
        <v>#VALUE!</v>
      </c>
      <c r="AC1986" s="116" t="e">
        <f t="shared" si="1261"/>
        <v>#VALUE!</v>
      </c>
      <c r="AD1986" s="117" t="e">
        <f t="shared" si="1262"/>
        <v>#VALUE!</v>
      </c>
      <c r="AE1986" s="117" t="e">
        <f t="shared" si="1263"/>
        <v>#VALUE!</v>
      </c>
      <c r="AF1986" s="117" t="e">
        <f t="shared" si="1264"/>
        <v>#VALUE!</v>
      </c>
      <c r="AG1986" s="117" t="e">
        <f t="shared" si="1265"/>
        <v>#VALUE!</v>
      </c>
      <c r="AH1986" s="116"/>
      <c r="AI1986">
        <f t="shared" si="1234"/>
        <v>283</v>
      </c>
      <c r="AJ1986" t="str">
        <f t="shared" si="1229"/>
        <v>SE</v>
      </c>
      <c r="AK1986" t="str">
        <f>IF(ISERROR(MATCH(AI1986&amp;"."&amp;AJ1986,AK$91:AK1985,0)),AI1986&amp;"."&amp;AJ1986,AI1986&amp;"."&amp;AJ1986&amp;COUNTIFS(AI$91:AI1985,AI1986,AJ$91:AJ1985,AJ1986))</f>
        <v>283.SE</v>
      </c>
    </row>
    <row r="1987" spans="1:37" ht="15" hidden="1">
      <c r="A1987" s="120">
        <f>ROW()</f>
        <v>1987</v>
      </c>
      <c r="B1987" s="120"/>
      <c r="C1987" s="1"/>
      <c r="E1987" s="121" t="s">
        <v>136</v>
      </c>
      <c r="F1987" s="138" t="str">
        <f>INDEX(FuncAllocOptions,ROW(A1987)-ROW($A$92)+1,[4]Inputs!$S$11)</f>
        <v>LABOR</v>
      </c>
      <c r="G1987" s="117" t="e">
        <f t="shared" si="1251"/>
        <v>#VALUE!</v>
      </c>
      <c r="H1987" s="116" t="e">
        <f t="shared" si="1252"/>
        <v>#VALUE!</v>
      </c>
      <c r="I1987" s="116" t="e">
        <f t="shared" si="1252"/>
        <v>#VALUE!</v>
      </c>
      <c r="J1987" s="116" t="e">
        <f t="shared" si="1252"/>
        <v>#VALUE!</v>
      </c>
      <c r="K1987" s="116" t="e">
        <f t="shared" si="1252"/>
        <v>#VALUE!</v>
      </c>
      <c r="L1987" s="116" t="e">
        <f t="shared" si="1252"/>
        <v>#VALUE!</v>
      </c>
      <c r="N1987" s="108">
        <v>0.75</v>
      </c>
      <c r="O1987" s="116" t="e">
        <f t="shared" si="1253"/>
        <v>#VALUE!</v>
      </c>
      <c r="P1987" s="116" t="e">
        <f t="shared" si="1254"/>
        <v>#VALUE!</v>
      </c>
      <c r="Q1987" s="116" t="e">
        <f t="shared" si="1255"/>
        <v>#VALUE!</v>
      </c>
      <c r="R1987" s="116" t="e">
        <f t="shared" si="1256"/>
        <v>#VALUE!</v>
      </c>
      <c r="S1987" s="108">
        <v>0.75</v>
      </c>
      <c r="T1987" s="116" t="e">
        <f t="shared" si="1257"/>
        <v>#VALUE!</v>
      </c>
      <c r="U1987" s="116" t="e">
        <f t="shared" si="1258"/>
        <v>#VALUE!</v>
      </c>
      <c r="V1987" s="116" t="e">
        <f t="shared" si="1259"/>
        <v>#VALUE!</v>
      </c>
      <c r="W1987" s="116" t="e">
        <f t="shared" si="1260"/>
        <v>#VALUE!</v>
      </c>
      <c r="X1987" s="3" t="str">
        <f>INDEX(DistFuncAllocOptions,ROW(A1987)-ROW($A$92)+1,[4]Inputs!$S$11)</f>
        <v>DISom</v>
      </c>
      <c r="Y1987" s="116" t="e">
        <f t="shared" si="1261"/>
        <v>#VALUE!</v>
      </c>
      <c r="Z1987" s="116" t="e">
        <f t="shared" si="1261"/>
        <v>#VALUE!</v>
      </c>
      <c r="AA1987" s="116" t="e">
        <f t="shared" si="1261"/>
        <v>#VALUE!</v>
      </c>
      <c r="AB1987" s="116" t="e">
        <f t="shared" si="1261"/>
        <v>#VALUE!</v>
      </c>
      <c r="AC1987" s="116" t="e">
        <f t="shared" si="1261"/>
        <v>#VALUE!</v>
      </c>
      <c r="AD1987" s="117" t="e">
        <f t="shared" si="1262"/>
        <v>#VALUE!</v>
      </c>
      <c r="AE1987" s="117" t="e">
        <f t="shared" si="1263"/>
        <v>#VALUE!</v>
      </c>
      <c r="AF1987" s="117" t="e">
        <f t="shared" si="1264"/>
        <v>#VALUE!</v>
      </c>
      <c r="AG1987" s="117" t="e">
        <f t="shared" si="1265"/>
        <v>#VALUE!</v>
      </c>
      <c r="AH1987" s="116"/>
      <c r="AI1987">
        <f t="shared" si="1234"/>
        <v>283</v>
      </c>
      <c r="AJ1987" t="str">
        <f t="shared" si="1229"/>
        <v>SO</v>
      </c>
      <c r="AK1987" t="str">
        <f>IF(ISERROR(MATCH(AI1987&amp;"."&amp;AJ1987,AK$91:AK1986,0)),AI1987&amp;"."&amp;AJ1987,AI1987&amp;"."&amp;AJ1987&amp;COUNTIFS(AI$91:AI1986,AI1987,AJ$91:AJ1986,AJ1987))</f>
        <v>283.SO</v>
      </c>
    </row>
    <row r="1988" spans="1:37" ht="15" hidden="1">
      <c r="A1988" s="120">
        <f>ROW()</f>
        <v>1988</v>
      </c>
      <c r="B1988" s="120"/>
      <c r="C1988" s="1"/>
      <c r="E1988" s="121" t="s">
        <v>423</v>
      </c>
      <c r="F1988" s="138" t="str">
        <f>INDEX(FuncAllocOptions,ROW(A1988)-ROW($A$92)+1,[4]Inputs!$S$11)</f>
        <v>GP</v>
      </c>
      <c r="G1988" s="117" t="e">
        <f t="shared" si="1251"/>
        <v>#VALUE!</v>
      </c>
      <c r="H1988" s="116" t="e">
        <f t="shared" si="1252"/>
        <v>#VALUE!</v>
      </c>
      <c r="I1988" s="116" t="e">
        <f t="shared" si="1252"/>
        <v>#VALUE!</v>
      </c>
      <c r="J1988" s="116" t="e">
        <f t="shared" si="1252"/>
        <v>#VALUE!</v>
      </c>
      <c r="K1988" s="116" t="e">
        <f t="shared" si="1252"/>
        <v>#VALUE!</v>
      </c>
      <c r="L1988" s="116" t="e">
        <f t="shared" si="1252"/>
        <v>#VALUE!</v>
      </c>
      <c r="N1988" s="108">
        <v>0.75</v>
      </c>
      <c r="O1988" s="116" t="e">
        <f t="shared" si="1253"/>
        <v>#VALUE!</v>
      </c>
      <c r="P1988" s="116" t="e">
        <f t="shared" si="1254"/>
        <v>#VALUE!</v>
      </c>
      <c r="Q1988" s="116" t="e">
        <f t="shared" si="1255"/>
        <v>#VALUE!</v>
      </c>
      <c r="R1988" s="116" t="e">
        <f t="shared" si="1256"/>
        <v>#VALUE!</v>
      </c>
      <c r="S1988" s="108">
        <v>0.75</v>
      </c>
      <c r="T1988" s="116" t="e">
        <f t="shared" si="1257"/>
        <v>#VALUE!</v>
      </c>
      <c r="U1988" s="116" t="e">
        <f t="shared" si="1258"/>
        <v>#VALUE!</v>
      </c>
      <c r="V1988" s="116" t="e">
        <f t="shared" si="1259"/>
        <v>#VALUE!</v>
      </c>
      <c r="W1988" s="116" t="e">
        <f t="shared" si="1260"/>
        <v>#VALUE!</v>
      </c>
      <c r="X1988" s="3" t="str">
        <f>INDEX(DistFuncAllocOptions,ROW(A1988)-ROW($A$92)+1,[4]Inputs!$S$11)</f>
        <v>PLNT</v>
      </c>
      <c r="Y1988" s="116" t="e">
        <f t="shared" si="1261"/>
        <v>#VALUE!</v>
      </c>
      <c r="Z1988" s="116" t="e">
        <f t="shared" si="1261"/>
        <v>#VALUE!</v>
      </c>
      <c r="AA1988" s="116" t="e">
        <f t="shared" si="1261"/>
        <v>#VALUE!</v>
      </c>
      <c r="AB1988" s="116" t="e">
        <f t="shared" si="1261"/>
        <v>#VALUE!</v>
      </c>
      <c r="AC1988" s="116" t="e">
        <f t="shared" si="1261"/>
        <v>#VALUE!</v>
      </c>
      <c r="AD1988" s="117" t="e">
        <f t="shared" si="1262"/>
        <v>#VALUE!</v>
      </c>
      <c r="AE1988" s="117" t="e">
        <f t="shared" si="1263"/>
        <v>#VALUE!</v>
      </c>
      <c r="AF1988" s="117" t="e">
        <f t="shared" si="1264"/>
        <v>#VALUE!</v>
      </c>
      <c r="AG1988" s="117" t="e">
        <f t="shared" si="1265"/>
        <v>#VALUE!</v>
      </c>
      <c r="AH1988" s="116"/>
      <c r="AI1988">
        <f t="shared" si="1234"/>
        <v>283</v>
      </c>
      <c r="AJ1988" t="str">
        <f t="shared" si="1229"/>
        <v>GPS</v>
      </c>
      <c r="AK1988" t="str">
        <f>IF(ISERROR(MATCH(AI1988&amp;"."&amp;AJ1988,AK$91:AK1987,0)),AI1988&amp;"."&amp;AJ1988,AI1988&amp;"."&amp;AJ1988&amp;COUNTIFS(AI$91:AI1987,AI1988,AJ$91:AJ1987,AJ1988))</f>
        <v>283.GPS</v>
      </c>
    </row>
    <row r="1989" spans="1:37" ht="15" hidden="1">
      <c r="A1989" s="120">
        <f>ROW()</f>
        <v>1989</v>
      </c>
      <c r="B1989" s="120"/>
      <c r="C1989" s="1"/>
      <c r="E1989" s="121" t="s">
        <v>433</v>
      </c>
      <c r="F1989" s="138" t="str">
        <f>INDEX(FuncAllocOptions,ROW(A1989)-ROW($A$92)+1,[4]Inputs!$S$11)</f>
        <v>PTD</v>
      </c>
      <c r="G1989" s="117" t="e">
        <f t="shared" si="1251"/>
        <v>#VALUE!</v>
      </c>
      <c r="H1989" s="116" t="e">
        <f t="shared" si="1252"/>
        <v>#VALUE!</v>
      </c>
      <c r="I1989" s="116" t="e">
        <f t="shared" si="1252"/>
        <v>#VALUE!</v>
      </c>
      <c r="J1989" s="116" t="e">
        <f t="shared" si="1252"/>
        <v>#VALUE!</v>
      </c>
      <c r="K1989" s="116" t="e">
        <f t="shared" si="1252"/>
        <v>#VALUE!</v>
      </c>
      <c r="L1989" s="116" t="e">
        <f t="shared" si="1252"/>
        <v>#VALUE!</v>
      </c>
      <c r="N1989" s="108">
        <v>0.75</v>
      </c>
      <c r="O1989" s="116" t="e">
        <f t="shared" si="1253"/>
        <v>#VALUE!</v>
      </c>
      <c r="P1989" s="116" t="e">
        <f t="shared" si="1254"/>
        <v>#VALUE!</v>
      </c>
      <c r="Q1989" s="116" t="e">
        <f t="shared" si="1255"/>
        <v>#VALUE!</v>
      </c>
      <c r="R1989" s="116" t="e">
        <f t="shared" si="1256"/>
        <v>#VALUE!</v>
      </c>
      <c r="S1989" s="108">
        <v>0.75</v>
      </c>
      <c r="T1989" s="116" t="e">
        <f t="shared" si="1257"/>
        <v>#VALUE!</v>
      </c>
      <c r="U1989" s="116" t="e">
        <f t="shared" si="1258"/>
        <v>#VALUE!</v>
      </c>
      <c r="V1989" s="116" t="e">
        <f t="shared" si="1259"/>
        <v>#VALUE!</v>
      </c>
      <c r="W1989" s="116" t="e">
        <f t="shared" si="1260"/>
        <v>#VALUE!</v>
      </c>
      <c r="X1989" s="3" t="str">
        <f>INDEX(DistFuncAllocOptions,ROW(A1989)-ROW($A$92)+1,[4]Inputs!$S$11)</f>
        <v>PLNT</v>
      </c>
      <c r="Y1989" s="116" t="e">
        <f t="shared" si="1261"/>
        <v>#VALUE!</v>
      </c>
      <c r="Z1989" s="116" t="e">
        <f t="shared" si="1261"/>
        <v>#VALUE!</v>
      </c>
      <c r="AA1989" s="116" t="e">
        <f t="shared" si="1261"/>
        <v>#VALUE!</v>
      </c>
      <c r="AB1989" s="116" t="e">
        <f t="shared" si="1261"/>
        <v>#VALUE!</v>
      </c>
      <c r="AC1989" s="116" t="e">
        <f t="shared" si="1261"/>
        <v>#VALUE!</v>
      </c>
      <c r="AD1989" s="117" t="e">
        <f t="shared" si="1262"/>
        <v>#VALUE!</v>
      </c>
      <c r="AE1989" s="117" t="e">
        <f t="shared" si="1263"/>
        <v>#VALUE!</v>
      </c>
      <c r="AF1989" s="117" t="e">
        <f t="shared" si="1264"/>
        <v>#VALUE!</v>
      </c>
      <c r="AG1989" s="117" t="e">
        <f t="shared" si="1265"/>
        <v>#VALUE!</v>
      </c>
      <c r="AH1989" s="116"/>
      <c r="AI1989">
        <f t="shared" si="1234"/>
        <v>283</v>
      </c>
      <c r="AJ1989" t="str">
        <f t="shared" si="1229"/>
        <v>SNP</v>
      </c>
      <c r="AK1989" t="str">
        <f>IF(ISERROR(MATCH(AI1989&amp;"."&amp;AJ1989,AK$91:AK1988,0)),AI1989&amp;"."&amp;AJ1989,AI1989&amp;"."&amp;AJ1989&amp;COUNTIFS(AI$91:AI1988,AI1989,AJ$91:AJ1988,AJ1989))</f>
        <v>283.SNP</v>
      </c>
    </row>
    <row r="1990" spans="1:37" ht="15" hidden="1">
      <c r="A1990" s="120">
        <f>ROW()</f>
        <v>1990</v>
      </c>
      <c r="B1990" s="120"/>
      <c r="E1990" s="121" t="s">
        <v>284</v>
      </c>
      <c r="F1990" s="138" t="str">
        <f>INDEX(FuncAllocOptions,ROW(A1990)-ROW($A$92)+1,[4]Inputs!$S$11)</f>
        <v>P</v>
      </c>
      <c r="G1990" s="117" t="e">
        <f t="shared" si="1251"/>
        <v>#VALUE!</v>
      </c>
      <c r="H1990" s="116" t="e">
        <f t="shared" si="1252"/>
        <v>#VALUE!</v>
      </c>
      <c r="I1990" s="116" t="e">
        <f t="shared" si="1252"/>
        <v>#VALUE!</v>
      </c>
      <c r="J1990" s="116" t="e">
        <f t="shared" si="1252"/>
        <v>#VALUE!</v>
      </c>
      <c r="K1990" s="116" t="e">
        <f t="shared" si="1252"/>
        <v>#VALUE!</v>
      </c>
      <c r="L1990" s="116" t="e">
        <f t="shared" si="1252"/>
        <v>#VALUE!</v>
      </c>
      <c r="N1990" s="108">
        <v>0.75</v>
      </c>
      <c r="O1990" s="116" t="e">
        <f t="shared" si="1253"/>
        <v>#VALUE!</v>
      </c>
      <c r="P1990" s="116" t="e">
        <f t="shared" si="1254"/>
        <v>#VALUE!</v>
      </c>
      <c r="Q1990" s="116" t="e">
        <f t="shared" si="1255"/>
        <v>#VALUE!</v>
      </c>
      <c r="R1990" s="116" t="e">
        <f t="shared" si="1256"/>
        <v>#VALUE!</v>
      </c>
      <c r="S1990" s="108">
        <v>0.75</v>
      </c>
      <c r="T1990" s="116" t="e">
        <f t="shared" si="1257"/>
        <v>#VALUE!</v>
      </c>
      <c r="U1990" s="116" t="e">
        <f t="shared" si="1258"/>
        <v>#VALUE!</v>
      </c>
      <c r="V1990" s="116" t="e">
        <f t="shared" si="1259"/>
        <v>#VALUE!</v>
      </c>
      <c r="W1990" s="116" t="e">
        <f t="shared" si="1260"/>
        <v>#VALUE!</v>
      </c>
      <c r="X1990" s="3" t="str">
        <f>INDEX(DistFuncAllocOptions,ROW(A1990)-ROW($A$92)+1,[4]Inputs!$S$11)</f>
        <v>PLNT</v>
      </c>
      <c r="Y1990" s="116" t="e">
        <f t="shared" si="1261"/>
        <v>#VALUE!</v>
      </c>
      <c r="Z1990" s="116" t="e">
        <f t="shared" si="1261"/>
        <v>#VALUE!</v>
      </c>
      <c r="AA1990" s="116" t="e">
        <f t="shared" si="1261"/>
        <v>#VALUE!</v>
      </c>
      <c r="AB1990" s="116" t="e">
        <f t="shared" si="1261"/>
        <v>#VALUE!</v>
      </c>
      <c r="AC1990" s="116" t="e">
        <f t="shared" si="1261"/>
        <v>#VALUE!</v>
      </c>
      <c r="AD1990" s="117" t="e">
        <f t="shared" si="1262"/>
        <v>#VALUE!</v>
      </c>
      <c r="AE1990" s="117" t="e">
        <f t="shared" si="1263"/>
        <v>#VALUE!</v>
      </c>
      <c r="AF1990" s="117" t="e">
        <f t="shared" si="1264"/>
        <v>#VALUE!</v>
      </c>
      <c r="AG1990" s="117" t="e">
        <f t="shared" si="1265"/>
        <v>#VALUE!</v>
      </c>
      <c r="AH1990" s="116"/>
      <c r="AI1990">
        <f t="shared" si="1234"/>
        <v>283</v>
      </c>
      <c r="AJ1990" t="str">
        <f t="shared" si="1229"/>
        <v>TROJP</v>
      </c>
      <c r="AK1990" t="str">
        <f>IF(ISERROR(MATCH(AI1990&amp;"."&amp;AJ1990,AK$91:AK1989,0)),AI1990&amp;"."&amp;AJ1990,AI1990&amp;"."&amp;AJ1990&amp;COUNTIFS(AI$91:AI1989,AI1990,AJ$91:AJ1989,AJ1990))</f>
        <v>283.TROJP</v>
      </c>
    </row>
    <row r="1991" spans="1:37" ht="15" hidden="1">
      <c r="A1991" s="120">
        <f>ROW()</f>
        <v>1991</v>
      </c>
      <c r="B1991" s="120"/>
      <c r="E1991" s="121" t="s">
        <v>15</v>
      </c>
      <c r="F1991" s="138" t="str">
        <f>INDEX(FuncAllocOptions,ROW(A1991)-ROW($A$92)+1,[4]Inputs!$S$11)</f>
        <v>P</v>
      </c>
      <c r="G1991" s="117" t="e">
        <f t="shared" si="1251"/>
        <v>#VALUE!</v>
      </c>
      <c r="H1991" s="116" t="e">
        <f t="shared" si="1252"/>
        <v>#VALUE!</v>
      </c>
      <c r="I1991" s="116" t="e">
        <f t="shared" si="1252"/>
        <v>#VALUE!</v>
      </c>
      <c r="J1991" s="116" t="e">
        <f t="shared" si="1252"/>
        <v>#VALUE!</v>
      </c>
      <c r="K1991" s="116" t="e">
        <f t="shared" si="1252"/>
        <v>#VALUE!</v>
      </c>
      <c r="L1991" s="116" t="e">
        <f t="shared" si="1252"/>
        <v>#VALUE!</v>
      </c>
      <c r="N1991" s="108">
        <v>0.75</v>
      </c>
      <c r="O1991" s="116" t="e">
        <f t="shared" si="1253"/>
        <v>#VALUE!</v>
      </c>
      <c r="P1991" s="116" t="e">
        <f t="shared" si="1254"/>
        <v>#VALUE!</v>
      </c>
      <c r="Q1991" s="116" t="e">
        <f t="shared" si="1255"/>
        <v>#VALUE!</v>
      </c>
      <c r="R1991" s="116" t="e">
        <f t="shared" si="1256"/>
        <v>#VALUE!</v>
      </c>
      <c r="S1991" s="108">
        <v>0.75</v>
      </c>
      <c r="T1991" s="116" t="e">
        <f t="shared" si="1257"/>
        <v>#VALUE!</v>
      </c>
      <c r="U1991" s="116" t="e">
        <f t="shared" si="1258"/>
        <v>#VALUE!</v>
      </c>
      <c r="V1991" s="116" t="e">
        <f t="shared" si="1259"/>
        <v>#VALUE!</v>
      </c>
      <c r="W1991" s="116" t="e">
        <f t="shared" si="1260"/>
        <v>#VALUE!</v>
      </c>
      <c r="X1991" s="3" t="str">
        <f>INDEX(DistFuncAllocOptions,ROW(A1991)-ROW($A$92)+1,[4]Inputs!$S$11)</f>
        <v>PLNT</v>
      </c>
      <c r="Y1991" s="116" t="e">
        <f t="shared" si="1261"/>
        <v>#VALUE!</v>
      </c>
      <c r="Z1991" s="116" t="e">
        <f t="shared" si="1261"/>
        <v>#VALUE!</v>
      </c>
      <c r="AA1991" s="116" t="e">
        <f t="shared" si="1261"/>
        <v>#VALUE!</v>
      </c>
      <c r="AB1991" s="116" t="e">
        <f t="shared" si="1261"/>
        <v>#VALUE!</v>
      </c>
      <c r="AC1991" s="116" t="e">
        <f t="shared" si="1261"/>
        <v>#VALUE!</v>
      </c>
      <c r="AD1991" s="117" t="e">
        <f t="shared" si="1262"/>
        <v>#VALUE!</v>
      </c>
      <c r="AE1991" s="117" t="e">
        <f t="shared" si="1263"/>
        <v>#VALUE!</v>
      </c>
      <c r="AF1991" s="117" t="e">
        <f t="shared" si="1264"/>
        <v>#VALUE!</v>
      </c>
      <c r="AG1991" s="117" t="e">
        <f t="shared" si="1265"/>
        <v>#VALUE!</v>
      </c>
      <c r="AH1991" s="116"/>
      <c r="AI1991">
        <f t="shared" si="1234"/>
        <v>283</v>
      </c>
      <c r="AJ1991" t="str">
        <f t="shared" si="1229"/>
        <v>SG</v>
      </c>
      <c r="AK1991" t="str">
        <f>IF(ISERROR(MATCH(AI1991&amp;"."&amp;AJ1991,AK$91:AK1990,0)),AI1991&amp;"."&amp;AJ1991,AI1991&amp;"."&amp;AJ1991&amp;COUNTIFS(AI$91:AI1990,AI1991,AJ$91:AJ1990,AJ1991))</f>
        <v>283.SG1</v>
      </c>
    </row>
    <row r="1992" spans="1:37" ht="15" hidden="1">
      <c r="A1992" s="120">
        <f>ROW()</f>
        <v>1992</v>
      </c>
      <c r="B1992" s="120"/>
      <c r="E1992" s="121" t="s">
        <v>283</v>
      </c>
      <c r="F1992" s="138" t="str">
        <f>INDEX(FuncAllocOptions,ROW(A1992)-ROW($A$92)+1,[4]Inputs!$S$11)</f>
        <v>P</v>
      </c>
      <c r="G1992" s="117" t="e">
        <f t="shared" si="1251"/>
        <v>#VALUE!</v>
      </c>
      <c r="H1992" s="116" t="e">
        <f t="shared" si="1252"/>
        <v>#VALUE!</v>
      </c>
      <c r="I1992" s="116" t="e">
        <f t="shared" si="1252"/>
        <v>#VALUE!</v>
      </c>
      <c r="J1992" s="116" t="e">
        <f t="shared" si="1252"/>
        <v>#VALUE!</v>
      </c>
      <c r="K1992" s="116" t="e">
        <f t="shared" si="1252"/>
        <v>#VALUE!</v>
      </c>
      <c r="L1992" s="116" t="e">
        <f t="shared" si="1252"/>
        <v>#VALUE!</v>
      </c>
      <c r="N1992" s="108">
        <v>0.75</v>
      </c>
      <c r="O1992" s="116" t="e">
        <f t="shared" si="1253"/>
        <v>#VALUE!</v>
      </c>
      <c r="P1992" s="116" t="e">
        <f t="shared" si="1254"/>
        <v>#VALUE!</v>
      </c>
      <c r="Q1992" s="116" t="e">
        <f t="shared" si="1255"/>
        <v>#VALUE!</v>
      </c>
      <c r="R1992" s="116" t="e">
        <f t="shared" si="1256"/>
        <v>#VALUE!</v>
      </c>
      <c r="S1992" s="108">
        <v>0.75</v>
      </c>
      <c r="T1992" s="116" t="e">
        <f t="shared" si="1257"/>
        <v>#VALUE!</v>
      </c>
      <c r="U1992" s="116" t="e">
        <f t="shared" si="1258"/>
        <v>#VALUE!</v>
      </c>
      <c r="V1992" s="116" t="e">
        <f t="shared" si="1259"/>
        <v>#VALUE!</v>
      </c>
      <c r="W1992" s="116" t="e">
        <f t="shared" si="1260"/>
        <v>#VALUE!</v>
      </c>
      <c r="X1992" s="3" t="str">
        <f>INDEX(DistFuncAllocOptions,ROW(A1992)-ROW($A$92)+1,[4]Inputs!$S$11)</f>
        <v>PLNT</v>
      </c>
      <c r="Y1992" s="116" t="e">
        <f t="shared" si="1261"/>
        <v>#VALUE!</v>
      </c>
      <c r="Z1992" s="116" t="e">
        <f t="shared" si="1261"/>
        <v>#VALUE!</v>
      </c>
      <c r="AA1992" s="116" t="e">
        <f t="shared" si="1261"/>
        <v>#VALUE!</v>
      </c>
      <c r="AB1992" s="116" t="e">
        <f t="shared" si="1261"/>
        <v>#VALUE!</v>
      </c>
      <c r="AC1992" s="116" t="e">
        <f t="shared" si="1261"/>
        <v>#VALUE!</v>
      </c>
      <c r="AD1992" s="117" t="e">
        <f t="shared" si="1262"/>
        <v>#VALUE!</v>
      </c>
      <c r="AE1992" s="117" t="e">
        <f t="shared" si="1263"/>
        <v>#VALUE!</v>
      </c>
      <c r="AF1992" s="117" t="e">
        <f t="shared" si="1264"/>
        <v>#VALUE!</v>
      </c>
      <c r="AG1992" s="117" t="e">
        <f t="shared" si="1265"/>
        <v>#VALUE!</v>
      </c>
      <c r="AH1992" s="116"/>
      <c r="AI1992">
        <f t="shared" si="1234"/>
        <v>283</v>
      </c>
      <c r="AJ1992" t="str">
        <f t="shared" si="1229"/>
        <v>SGCT</v>
      </c>
      <c r="AK1992" t="str">
        <f>IF(ISERROR(MATCH(AI1992&amp;"."&amp;AJ1992,AK$91:AK1991,0)),AI1992&amp;"."&amp;AJ1992,AI1992&amp;"."&amp;AJ1992&amp;COUNTIFS(AI$91:AI1991,AI1992,AJ$91:AJ1991,AJ1992))</f>
        <v>283.SGCT</v>
      </c>
    </row>
    <row r="1993" spans="1:37" ht="15" hidden="1">
      <c r="A1993" s="120">
        <f>ROW()</f>
        <v>1993</v>
      </c>
      <c r="B1993" s="120"/>
      <c r="E1993" s="121" t="s">
        <v>15</v>
      </c>
      <c r="F1993" s="138" t="str">
        <f>INDEX(FuncAllocOptions,ROW(A1993)-ROW($A$92)+1,[4]Inputs!$S$11)</f>
        <v>P</v>
      </c>
      <c r="G1993" s="133" t="e">
        <f t="shared" si="1251"/>
        <v>#VALUE!</v>
      </c>
      <c r="H1993" s="139" t="e">
        <f t="shared" si="1252"/>
        <v>#VALUE!</v>
      </c>
      <c r="I1993" s="139" t="e">
        <f t="shared" si="1252"/>
        <v>#VALUE!</v>
      </c>
      <c r="J1993" s="139" t="e">
        <f t="shared" si="1252"/>
        <v>#VALUE!</v>
      </c>
      <c r="K1993" s="139" t="e">
        <f t="shared" si="1252"/>
        <v>#VALUE!</v>
      </c>
      <c r="L1993" s="139" t="e">
        <f t="shared" si="1252"/>
        <v>#VALUE!</v>
      </c>
      <c r="N1993" s="108">
        <v>0.75</v>
      </c>
      <c r="O1993" s="116" t="e">
        <f t="shared" si="1253"/>
        <v>#VALUE!</v>
      </c>
      <c r="P1993" s="116" t="e">
        <f t="shared" si="1254"/>
        <v>#VALUE!</v>
      </c>
      <c r="Q1993" s="116" t="e">
        <f t="shared" si="1255"/>
        <v>#VALUE!</v>
      </c>
      <c r="R1993" s="116" t="e">
        <f t="shared" si="1256"/>
        <v>#VALUE!</v>
      </c>
      <c r="S1993" s="108">
        <v>0.75</v>
      </c>
      <c r="T1993" s="116" t="e">
        <f t="shared" si="1257"/>
        <v>#VALUE!</v>
      </c>
      <c r="U1993" s="116" t="e">
        <f t="shared" si="1258"/>
        <v>#VALUE!</v>
      </c>
      <c r="V1993" s="116" t="e">
        <f t="shared" si="1259"/>
        <v>#VALUE!</v>
      </c>
      <c r="W1993" s="116" t="e">
        <f t="shared" si="1260"/>
        <v>#VALUE!</v>
      </c>
      <c r="X1993" s="3" t="str">
        <f>INDEX(DistFuncAllocOptions,ROW(A1993)-ROW($A$92)+1,[4]Inputs!$S$11)</f>
        <v>PLNT</v>
      </c>
      <c r="Y1993" s="116" t="e">
        <f t="shared" si="1261"/>
        <v>#VALUE!</v>
      </c>
      <c r="Z1993" s="116" t="e">
        <f t="shared" si="1261"/>
        <v>#VALUE!</v>
      </c>
      <c r="AA1993" s="116" t="e">
        <f t="shared" si="1261"/>
        <v>#VALUE!</v>
      </c>
      <c r="AB1993" s="116" t="e">
        <f t="shared" si="1261"/>
        <v>#VALUE!</v>
      </c>
      <c r="AC1993" s="116" t="e">
        <f t="shared" si="1261"/>
        <v>#VALUE!</v>
      </c>
      <c r="AD1993" s="117" t="e">
        <f t="shared" si="1262"/>
        <v>#VALUE!</v>
      </c>
      <c r="AE1993" s="117" t="e">
        <f t="shared" si="1263"/>
        <v>#VALUE!</v>
      </c>
      <c r="AF1993" s="117" t="e">
        <f t="shared" si="1264"/>
        <v>#VALUE!</v>
      </c>
      <c r="AG1993" s="117" t="e">
        <f t="shared" si="1265"/>
        <v>#VALUE!</v>
      </c>
      <c r="AH1993" s="116"/>
      <c r="AI1993">
        <f t="shared" si="1234"/>
        <v>283</v>
      </c>
      <c r="AJ1993" t="str">
        <f t="shared" si="1229"/>
        <v>SG</v>
      </c>
      <c r="AK1993" t="str">
        <f>IF(ISERROR(MATCH(AI1993&amp;"."&amp;AJ1993,AK$91:AK1992,0)),AI1993&amp;"."&amp;AJ1993,AI1993&amp;"."&amp;AJ1993&amp;COUNTIFS(AI$91:AI1992,AI1993,AJ$91:AJ1992,AJ1993))</f>
        <v>283.SG2</v>
      </c>
    </row>
    <row r="1994" spans="1:37" ht="15" hidden="1">
      <c r="A1994" s="120">
        <f>ROW()</f>
        <v>1994</v>
      </c>
      <c r="B1994" s="120"/>
      <c r="E1994" s="121"/>
      <c r="F1994" s="138" t="str">
        <f>INDEX(FuncAllocOptions,ROW(A1994)-ROW($A$92)+1,[4]Inputs!$S$11)</f>
        <v xml:space="preserve"> </v>
      </c>
      <c r="G1994" s="117" t="e">
        <f t="shared" ref="G1994:L1994" si="1266">SUM(G1984:G1993)</f>
        <v>#VALUE!</v>
      </c>
      <c r="H1994" s="116" t="e">
        <f t="shared" si="1266"/>
        <v>#VALUE!</v>
      </c>
      <c r="I1994" s="116" t="e">
        <f t="shared" si="1266"/>
        <v>#VALUE!</v>
      </c>
      <c r="J1994" s="116" t="e">
        <f t="shared" si="1266"/>
        <v>#VALUE!</v>
      </c>
      <c r="K1994" s="116" t="e">
        <f t="shared" si="1266"/>
        <v>#VALUE!</v>
      </c>
      <c r="L1994" s="116" t="e">
        <f t="shared" si="1266"/>
        <v>#VALUE!</v>
      </c>
      <c r="O1994" s="116" t="e">
        <f>SUM(O1984:O1993)</f>
        <v>#VALUE!</v>
      </c>
      <c r="P1994" s="116" t="e">
        <f>SUM(P1984:P1993)</f>
        <v>#VALUE!</v>
      </c>
      <c r="Q1994" s="116" t="e">
        <f>SUM(Q1984:Q1993)</f>
        <v>#VALUE!</v>
      </c>
      <c r="R1994" s="116" t="e">
        <f>SUM(R1984:R1993)</f>
        <v>#VALUE!</v>
      </c>
      <c r="T1994" s="116" t="e">
        <f>SUM(T1984:T1993)</f>
        <v>#VALUE!</v>
      </c>
      <c r="U1994" s="116" t="e">
        <f>SUM(U1984:U1993)</f>
        <v>#VALUE!</v>
      </c>
      <c r="V1994" s="116" t="e">
        <f>SUM(V1984:V1993)</f>
        <v>#VALUE!</v>
      </c>
      <c r="W1994" s="116" t="e">
        <f>SUM(W1984:W1993)</f>
        <v>#VALUE!</v>
      </c>
      <c r="X1994" s="3"/>
      <c r="Y1994" s="116" t="e">
        <f>SUM(Y1984:Y1993)</f>
        <v>#VALUE!</v>
      </c>
      <c r="Z1994" s="116" t="e">
        <f>SUM(Z1984:Z1993)</f>
        <v>#VALUE!</v>
      </c>
      <c r="AA1994" s="116" t="e">
        <f>SUM(AA1984:AA1993)</f>
        <v>#VALUE!</v>
      </c>
      <c r="AB1994" s="116" t="e">
        <f>SUM(AB1984:AB1993)</f>
        <v>#VALUE!</v>
      </c>
      <c r="AC1994" s="116" t="e">
        <f>SUM(AC1984:AC1993)</f>
        <v>#VALUE!</v>
      </c>
      <c r="AD1994" s="117" t="e">
        <f t="shared" si="1262"/>
        <v>#VALUE!</v>
      </c>
      <c r="AE1994" s="117" t="e">
        <f t="shared" si="1263"/>
        <v>#VALUE!</v>
      </c>
      <c r="AF1994" s="117" t="e">
        <f t="shared" si="1264"/>
        <v>#VALUE!</v>
      </c>
      <c r="AG1994" s="117" t="e">
        <f t="shared" si="1265"/>
        <v>#VALUE!</v>
      </c>
      <c r="AH1994" s="116"/>
      <c r="AI1994">
        <f t="shared" si="1234"/>
        <v>283</v>
      </c>
      <c r="AJ1994" t="str">
        <f t="shared" si="1229"/>
        <v>NA</v>
      </c>
      <c r="AK1994" t="str">
        <f>IF(ISERROR(MATCH(AI1994&amp;"."&amp;AJ1994,AK$91:AK1993,0)),AI1994&amp;"."&amp;AJ1994,AI1994&amp;"."&amp;AJ1994&amp;COUNTIFS(AI$91:AI1993,AI1994,AJ$91:AJ1993,AJ1994))</f>
        <v>283.NA1</v>
      </c>
    </row>
    <row r="1995" spans="1:37" ht="15" hidden="1">
      <c r="A1995" s="120">
        <f>ROW()</f>
        <v>1995</v>
      </c>
      <c r="B1995" s="120"/>
      <c r="E1995" s="121"/>
      <c r="F1995" s="138"/>
      <c r="G1995" s="119"/>
      <c r="X1995" s="3"/>
      <c r="AD1995" s="119"/>
      <c r="AE1995" s="119"/>
      <c r="AF1995" s="119"/>
      <c r="AG1995" s="119"/>
      <c r="AI1995">
        <f t="shared" si="1234"/>
        <v>283</v>
      </c>
      <c r="AJ1995" t="str">
        <f t="shared" si="1229"/>
        <v>NA</v>
      </c>
      <c r="AK1995" t="str">
        <f>IF(ISERROR(MATCH(AI1995&amp;"."&amp;AJ1995,AK$91:AK1994,0)),AI1995&amp;"."&amp;AJ1995,AI1995&amp;"."&amp;AJ1995&amp;COUNTIFS(AI$91:AI1994,AI1995,AJ$91:AJ1994,AJ1995))</f>
        <v>283.NA2</v>
      </c>
    </row>
    <row r="1996" spans="1:37" ht="15" hidden="1">
      <c r="A1996" s="120">
        <f>ROW()</f>
        <v>1996</v>
      </c>
      <c r="B1996" s="120"/>
      <c r="C1996" s="110" t="s">
        <v>717</v>
      </c>
      <c r="E1996" s="121"/>
      <c r="F1996" s="138"/>
      <c r="G1996" s="117" t="e">
        <f t="shared" ref="G1996:L1996" si="1267">G1994+G1981+G1963+G1957</f>
        <v>#VALUE!</v>
      </c>
      <c r="H1996" s="116" t="e">
        <f t="shared" si="1267"/>
        <v>#VALUE!</v>
      </c>
      <c r="I1996" s="116" t="e">
        <f t="shared" si="1267"/>
        <v>#VALUE!</v>
      </c>
      <c r="J1996" s="116" t="e">
        <f t="shared" si="1267"/>
        <v>#VALUE!</v>
      </c>
      <c r="K1996" s="116" t="e">
        <f t="shared" si="1267"/>
        <v>#VALUE!</v>
      </c>
      <c r="L1996" s="116" t="e">
        <f t="shared" si="1267"/>
        <v>#VALUE!</v>
      </c>
      <c r="O1996" s="116" t="e">
        <f>O1994+O1981+O1963+O1957</f>
        <v>#VALUE!</v>
      </c>
      <c r="P1996" s="116" t="e">
        <f>P1994+P1981+P1963+P1957</f>
        <v>#VALUE!</v>
      </c>
      <c r="Q1996" s="116" t="e">
        <f>Q1994+Q1981+Q1963+Q1957</f>
        <v>#VALUE!</v>
      </c>
      <c r="R1996" s="116" t="e">
        <f>R1994+R1981+R1963+R1957</f>
        <v>#VALUE!</v>
      </c>
      <c r="T1996" s="116" t="e">
        <f>T1994+T1981+T1963+T1957</f>
        <v>#VALUE!</v>
      </c>
      <c r="U1996" s="116" t="e">
        <f>U1994+U1981+U1963+U1957</f>
        <v>#VALUE!</v>
      </c>
      <c r="V1996" s="116" t="e">
        <f>V1994+V1981+V1963+V1957</f>
        <v>#VALUE!</v>
      </c>
      <c r="W1996" s="116" t="e">
        <f>W1994+W1981+W1963+W1957</f>
        <v>#VALUE!</v>
      </c>
      <c r="X1996" s="3"/>
      <c r="Y1996" s="116" t="e">
        <f>Y1994+Y1981+Y1963+Y1957</f>
        <v>#VALUE!</v>
      </c>
      <c r="Z1996" s="116" t="e">
        <f>Z1994+Z1981+Z1963+Z1957</f>
        <v>#VALUE!</v>
      </c>
      <c r="AA1996" s="116" t="e">
        <f>AA1994+AA1981+AA1963+AA1957</f>
        <v>#VALUE!</v>
      </c>
      <c r="AB1996" s="116" t="e">
        <f>AB1994+AB1981+AB1963+AB1957</f>
        <v>#VALUE!</v>
      </c>
      <c r="AC1996" s="116" t="e">
        <f>AC1994+AC1981+AC1963+AC1957</f>
        <v>#VALUE!</v>
      </c>
      <c r="AD1996" s="117" t="e">
        <f>ROUND(SUM(-G1996,H1996:L1996),0)</f>
        <v>#VALUE!</v>
      </c>
      <c r="AE1996" s="117" t="e">
        <f>ROUND(H1996-O1996-P1996-Q1996-R1996,0)</f>
        <v>#VALUE!</v>
      </c>
      <c r="AF1996" s="117" t="e">
        <f>ROUND(I1996-T1996-U1996-V1996-W1996,0)</f>
        <v>#VALUE!</v>
      </c>
      <c r="AG1996" s="117" t="e">
        <f>ROUND(J1996-Y1996-Z1996-AA1996-AC1996-AB1996,0)</f>
        <v>#VALUE!</v>
      </c>
      <c r="AH1996" s="116"/>
      <c r="AI1996" t="str">
        <f t="shared" si="1234"/>
        <v>TOTAL ACCUMULATED DEF INCOME TAX</v>
      </c>
      <c r="AJ1996" t="str">
        <f t="shared" si="1229"/>
        <v>NA</v>
      </c>
      <c r="AK1996" t="str">
        <f>IF(ISERROR(MATCH(AI1996&amp;"."&amp;AJ1996,AK$91:AK1995,0)),AI1996&amp;"."&amp;AJ1996,AI1996&amp;"."&amp;AJ1996&amp;COUNTIFS(AI$91:AI1995,AI1996,AJ$91:AJ1995,AJ1996))</f>
        <v>TOTAL ACCUMULATED DEF INCOME TAX.NA</v>
      </c>
    </row>
    <row r="1997" spans="1:37" ht="15" hidden="1">
      <c r="A1997" s="120">
        <f>ROW()</f>
        <v>1997</v>
      </c>
      <c r="B1997" s="120"/>
      <c r="E1997" s="121"/>
      <c r="F1997" s="138"/>
      <c r="G1997" s="119"/>
      <c r="H1997" s="147"/>
      <c r="I1997" s="147"/>
      <c r="J1997" s="147"/>
      <c r="K1997" s="147"/>
      <c r="L1997" s="147"/>
      <c r="X1997" s="3"/>
      <c r="AD1997" s="119"/>
      <c r="AE1997" s="119"/>
      <c r="AF1997" s="119"/>
      <c r="AG1997" s="119"/>
      <c r="AI1997" t="str">
        <f t="shared" si="1234"/>
        <v>TOTAL ACCUMULATED DEF INCOME TAX</v>
      </c>
      <c r="AJ1997" t="str">
        <f t="shared" si="1229"/>
        <v>NA</v>
      </c>
      <c r="AK1997" t="str">
        <f>IF(ISERROR(MATCH(AI1997&amp;"."&amp;AJ1997,AK$91:AK1996,0)),AI1997&amp;"."&amp;AJ1997,AI1997&amp;"."&amp;AJ1997&amp;COUNTIFS(AI$91:AI1996,AI1997,AJ$91:AJ1996,AJ1997))</f>
        <v>TOTAL ACCUMULATED DEF INCOME TAX.NA1</v>
      </c>
    </row>
    <row r="1998" spans="1:37" ht="15" hidden="1">
      <c r="A1998" s="120">
        <f>ROW()</f>
        <v>1998</v>
      </c>
      <c r="B1998" s="120"/>
      <c r="C1998" s="1">
        <v>255</v>
      </c>
      <c r="D1998" s="2" t="s">
        <v>664</v>
      </c>
      <c r="E1998" s="121"/>
      <c r="F1998" s="138"/>
      <c r="G1998" s="119"/>
      <c r="X1998" s="3"/>
      <c r="AD1998" s="119"/>
      <c r="AE1998" s="119"/>
      <c r="AF1998" s="119"/>
      <c r="AG1998" s="119"/>
      <c r="AI1998">
        <f t="shared" si="1234"/>
        <v>255</v>
      </c>
      <c r="AJ1998" t="str">
        <f t="shared" si="1229"/>
        <v>NA</v>
      </c>
      <c r="AK1998" t="str">
        <f>IF(ISERROR(MATCH(AI1998&amp;"."&amp;AJ1998,AK$91:AK1997,0)),AI1998&amp;"."&amp;AJ1998,AI1998&amp;"."&amp;AJ1998&amp;COUNTIFS(AI$91:AI1997,AI1998,AJ$91:AJ1997,AJ1998))</f>
        <v>255.NA</v>
      </c>
    </row>
    <row r="1999" spans="1:37" ht="15" hidden="1">
      <c r="A1999" s="120">
        <f>ROW()</f>
        <v>1999</v>
      </c>
      <c r="B1999" s="120"/>
      <c r="E1999" s="121" t="s">
        <v>12</v>
      </c>
      <c r="F1999" s="138" t="str">
        <f>INDEX(FuncAllocOptions,ROW(A1999)-ROW($A$92)+1,[4]Inputs!$S$11)</f>
        <v>PTD</v>
      </c>
      <c r="G1999" s="117" t="e">
        <f t="shared" ref="G1999:G2006" si="1268">SUMIF(FERCJAMFactor,AK1999,JAMValue)</f>
        <v>#VALUE!</v>
      </c>
      <c r="H1999" s="116" t="e">
        <f t="shared" ref="H1999:L2006" si="1269">INDEX(FuncFactorTbl,MATCH($F1999,FuncFactors,0),MATCH(H$8,Functions,0))*$G1999</f>
        <v>#VALUE!</v>
      </c>
      <c r="I1999" s="116" t="e">
        <f t="shared" si="1269"/>
        <v>#VALUE!</v>
      </c>
      <c r="J1999" s="116" t="e">
        <f t="shared" si="1269"/>
        <v>#VALUE!</v>
      </c>
      <c r="K1999" s="116" t="e">
        <f t="shared" si="1269"/>
        <v>#VALUE!</v>
      </c>
      <c r="L1999" s="116" t="e">
        <f t="shared" si="1269"/>
        <v>#VALUE!</v>
      </c>
      <c r="N1999" s="108">
        <v>0.75</v>
      </c>
      <c r="O1999" s="116" t="e">
        <f t="shared" ref="O1999:O2006" si="1270">$H1999*$N1999*$M1999</f>
        <v>#VALUE!</v>
      </c>
      <c r="P1999" s="116" t="e">
        <f t="shared" ref="P1999:P2006" si="1271">$H1999*(1-$N1999)*$M1999</f>
        <v>#VALUE!</v>
      </c>
      <c r="Q1999" s="116" t="e">
        <f t="shared" ref="Q1999:Q2006" si="1272">$H1999*$N1999*(1-$M1999)</f>
        <v>#VALUE!</v>
      </c>
      <c r="R1999" s="116" t="e">
        <f t="shared" ref="R1999:R2006" si="1273">$H1999*(1-$N1999)*(1-$M1999)</f>
        <v>#VALUE!</v>
      </c>
      <c r="S1999" s="108">
        <v>0.75</v>
      </c>
      <c r="T1999" s="116" t="e">
        <f t="shared" ref="T1999:T2006" si="1274">$I1999*$S1999*$M1999</f>
        <v>#VALUE!</v>
      </c>
      <c r="U1999" s="116" t="e">
        <f t="shared" ref="U1999:U2006" si="1275">$I1999*(1-$S1999)*$M1999</f>
        <v>#VALUE!</v>
      </c>
      <c r="V1999" s="116" t="e">
        <f t="shared" ref="V1999:V2006" si="1276">$I1999*$S1999*(1-$M1999)</f>
        <v>#VALUE!</v>
      </c>
      <c r="W1999" s="116" t="e">
        <f t="shared" ref="W1999:W2006" si="1277">$I1999*(1-$S1999)*(1-$M1999)</f>
        <v>#VALUE!</v>
      </c>
      <c r="X1999" s="3" t="str">
        <f>INDEX(DistFuncAllocOptions,ROW(A1999)-ROW($A$92)+1,[4]Inputs!$S$11)</f>
        <v>PLNT</v>
      </c>
      <c r="Y1999" s="116" t="e">
        <f t="shared" ref="Y1999:AC2006" si="1278">INDEX(DistFuncFactorTbl,MATCH($X1999,DistFuncFactors,0),MATCH(Y$91,DistFunctions,0))*$J1999</f>
        <v>#VALUE!</v>
      </c>
      <c r="Z1999" s="116" t="e">
        <f t="shared" si="1278"/>
        <v>#VALUE!</v>
      </c>
      <c r="AA1999" s="116" t="e">
        <f t="shared" si="1278"/>
        <v>#VALUE!</v>
      </c>
      <c r="AB1999" s="116" t="e">
        <f t="shared" si="1278"/>
        <v>#VALUE!</v>
      </c>
      <c r="AC1999" s="116" t="e">
        <f t="shared" si="1278"/>
        <v>#VALUE!</v>
      </c>
      <c r="AD1999" s="117" t="e">
        <f t="shared" ref="AD1999:AD2007" si="1279">ROUND(SUM(-G1999,H1999:L1999),0)</f>
        <v>#VALUE!</v>
      </c>
      <c r="AE1999" s="117" t="e">
        <f t="shared" ref="AE1999:AE2007" si="1280">ROUND(H1999-O1999-P1999-Q1999-R1999,0)</f>
        <v>#VALUE!</v>
      </c>
      <c r="AF1999" s="117" t="e">
        <f t="shared" ref="AF1999:AF2007" si="1281">ROUND(I1999-T1999-U1999-V1999-W1999,0)</f>
        <v>#VALUE!</v>
      </c>
      <c r="AG1999" s="117" t="e">
        <f t="shared" ref="AG1999:AG2007" si="1282">ROUND(J1999-Y1999-Z1999-AA1999-AC1999-AB1999,0)</f>
        <v>#VALUE!</v>
      </c>
      <c r="AH1999" s="116"/>
      <c r="AI1999">
        <f t="shared" si="1234"/>
        <v>255</v>
      </c>
      <c r="AJ1999" t="str">
        <f t="shared" si="1229"/>
        <v>S</v>
      </c>
      <c r="AK1999" t="str">
        <f>IF(ISERROR(MATCH(AI1999&amp;"."&amp;AJ1999,AK$91:AK1998,0)),AI1999&amp;"."&amp;AJ1999,AI1999&amp;"."&amp;AJ1999&amp;COUNTIFS(AI$91:AI1998,AI1999,AJ$91:AJ1998,AJ1999))</f>
        <v>255.S</v>
      </c>
    </row>
    <row r="2000" spans="1:37" ht="15" hidden="1">
      <c r="A2000" s="120">
        <f>ROW()</f>
        <v>2000</v>
      </c>
      <c r="B2000" s="120"/>
      <c r="E2000" s="121" t="s">
        <v>665</v>
      </c>
      <c r="F2000" s="138" t="str">
        <f>INDEX(FuncAllocOptions,ROW(A2000)-ROW($A$92)+1,[4]Inputs!$S$11)</f>
        <v>PTD</v>
      </c>
      <c r="G2000" s="117" t="e">
        <f t="shared" si="1268"/>
        <v>#VALUE!</v>
      </c>
      <c r="H2000" s="116" t="e">
        <f t="shared" si="1269"/>
        <v>#VALUE!</v>
      </c>
      <c r="I2000" s="116" t="e">
        <f t="shared" si="1269"/>
        <v>#VALUE!</v>
      </c>
      <c r="J2000" s="116" t="e">
        <f t="shared" si="1269"/>
        <v>#VALUE!</v>
      </c>
      <c r="K2000" s="116" t="e">
        <f t="shared" si="1269"/>
        <v>#VALUE!</v>
      </c>
      <c r="L2000" s="116" t="e">
        <f t="shared" si="1269"/>
        <v>#VALUE!</v>
      </c>
      <c r="N2000" s="108">
        <v>0.75</v>
      </c>
      <c r="O2000" s="116" t="e">
        <f t="shared" si="1270"/>
        <v>#VALUE!</v>
      </c>
      <c r="P2000" s="116" t="e">
        <f t="shared" si="1271"/>
        <v>#VALUE!</v>
      </c>
      <c r="Q2000" s="116" t="e">
        <f t="shared" si="1272"/>
        <v>#VALUE!</v>
      </c>
      <c r="R2000" s="116" t="e">
        <f t="shared" si="1273"/>
        <v>#VALUE!</v>
      </c>
      <c r="S2000" s="108">
        <v>0.75</v>
      </c>
      <c r="T2000" s="116" t="e">
        <f t="shared" si="1274"/>
        <v>#VALUE!</v>
      </c>
      <c r="U2000" s="116" t="e">
        <f t="shared" si="1275"/>
        <v>#VALUE!</v>
      </c>
      <c r="V2000" s="116" t="e">
        <f t="shared" si="1276"/>
        <v>#VALUE!</v>
      </c>
      <c r="W2000" s="116" t="e">
        <f t="shared" si="1277"/>
        <v>#VALUE!</v>
      </c>
      <c r="X2000" s="3" t="str">
        <f>INDEX(DistFuncAllocOptions,ROW(A2000)-ROW($A$92)+1,[4]Inputs!$S$11)</f>
        <v>PLNT</v>
      </c>
      <c r="Y2000" s="116" t="e">
        <f t="shared" si="1278"/>
        <v>#VALUE!</v>
      </c>
      <c r="Z2000" s="116" t="e">
        <f t="shared" si="1278"/>
        <v>#VALUE!</v>
      </c>
      <c r="AA2000" s="116" t="e">
        <f t="shared" si="1278"/>
        <v>#VALUE!</v>
      </c>
      <c r="AB2000" s="116" t="e">
        <f t="shared" si="1278"/>
        <v>#VALUE!</v>
      </c>
      <c r="AC2000" s="116" t="e">
        <f t="shared" si="1278"/>
        <v>#VALUE!</v>
      </c>
      <c r="AD2000" s="117" t="e">
        <f t="shared" si="1279"/>
        <v>#VALUE!</v>
      </c>
      <c r="AE2000" s="117" t="e">
        <f t="shared" si="1280"/>
        <v>#VALUE!</v>
      </c>
      <c r="AF2000" s="117" t="e">
        <f t="shared" si="1281"/>
        <v>#VALUE!</v>
      </c>
      <c r="AG2000" s="117" t="e">
        <f t="shared" si="1282"/>
        <v>#VALUE!</v>
      </c>
      <c r="AH2000" s="116"/>
      <c r="AI2000">
        <f t="shared" si="1234"/>
        <v>255</v>
      </c>
      <c r="AJ2000" t="str">
        <f t="shared" si="1229"/>
        <v>ITC84</v>
      </c>
      <c r="AK2000" t="str">
        <f>IF(ISERROR(MATCH(AI2000&amp;"."&amp;AJ2000,AK$91:AK1999,0)),AI2000&amp;"."&amp;AJ2000,AI2000&amp;"."&amp;AJ2000&amp;COUNTIFS(AI$91:AI1999,AI2000,AJ$91:AJ1999,AJ2000))</f>
        <v>255.ITC84</v>
      </c>
    </row>
    <row r="2001" spans="1:37" ht="15" hidden="1">
      <c r="A2001" s="120">
        <f>ROW()</f>
        <v>2001</v>
      </c>
      <c r="B2001" s="120"/>
      <c r="E2001" s="121" t="s">
        <v>666</v>
      </c>
      <c r="F2001" s="138" t="str">
        <f>INDEX(FuncAllocOptions,ROW(A2001)-ROW($A$92)+1,[4]Inputs!$S$11)</f>
        <v>PTD</v>
      </c>
      <c r="G2001" s="117" t="e">
        <f t="shared" si="1268"/>
        <v>#VALUE!</v>
      </c>
      <c r="H2001" s="116" t="e">
        <f t="shared" si="1269"/>
        <v>#VALUE!</v>
      </c>
      <c r="I2001" s="116" t="e">
        <f t="shared" si="1269"/>
        <v>#VALUE!</v>
      </c>
      <c r="J2001" s="116" t="e">
        <f t="shared" si="1269"/>
        <v>#VALUE!</v>
      </c>
      <c r="K2001" s="116" t="e">
        <f t="shared" si="1269"/>
        <v>#VALUE!</v>
      </c>
      <c r="L2001" s="116" t="e">
        <f t="shared" si="1269"/>
        <v>#VALUE!</v>
      </c>
      <c r="N2001" s="108">
        <v>0.75</v>
      </c>
      <c r="O2001" s="116" t="e">
        <f t="shared" si="1270"/>
        <v>#VALUE!</v>
      </c>
      <c r="P2001" s="116" t="e">
        <f t="shared" si="1271"/>
        <v>#VALUE!</v>
      </c>
      <c r="Q2001" s="116" t="e">
        <f t="shared" si="1272"/>
        <v>#VALUE!</v>
      </c>
      <c r="R2001" s="116" t="e">
        <f t="shared" si="1273"/>
        <v>#VALUE!</v>
      </c>
      <c r="S2001" s="108">
        <v>0.75</v>
      </c>
      <c r="T2001" s="116" t="e">
        <f t="shared" si="1274"/>
        <v>#VALUE!</v>
      </c>
      <c r="U2001" s="116" t="e">
        <f t="shared" si="1275"/>
        <v>#VALUE!</v>
      </c>
      <c r="V2001" s="116" t="e">
        <f t="shared" si="1276"/>
        <v>#VALUE!</v>
      </c>
      <c r="W2001" s="116" t="e">
        <f t="shared" si="1277"/>
        <v>#VALUE!</v>
      </c>
      <c r="X2001" s="3" t="str">
        <f>INDEX(DistFuncAllocOptions,ROW(A2001)-ROW($A$92)+1,[4]Inputs!$S$11)</f>
        <v>PLNT</v>
      </c>
      <c r="Y2001" s="116" t="e">
        <f t="shared" si="1278"/>
        <v>#VALUE!</v>
      </c>
      <c r="Z2001" s="116" t="e">
        <f t="shared" si="1278"/>
        <v>#VALUE!</v>
      </c>
      <c r="AA2001" s="116" t="e">
        <f t="shared" si="1278"/>
        <v>#VALUE!</v>
      </c>
      <c r="AB2001" s="116" t="e">
        <f t="shared" si="1278"/>
        <v>#VALUE!</v>
      </c>
      <c r="AC2001" s="116" t="e">
        <f t="shared" si="1278"/>
        <v>#VALUE!</v>
      </c>
      <c r="AD2001" s="117" t="e">
        <f t="shared" si="1279"/>
        <v>#VALUE!</v>
      </c>
      <c r="AE2001" s="117" t="e">
        <f t="shared" si="1280"/>
        <v>#VALUE!</v>
      </c>
      <c r="AF2001" s="117" t="e">
        <f t="shared" si="1281"/>
        <v>#VALUE!</v>
      </c>
      <c r="AG2001" s="117" t="e">
        <f t="shared" si="1282"/>
        <v>#VALUE!</v>
      </c>
      <c r="AH2001" s="116"/>
      <c r="AI2001">
        <f t="shared" si="1234"/>
        <v>255</v>
      </c>
      <c r="AJ2001" t="str">
        <f t="shared" si="1229"/>
        <v>ITC85</v>
      </c>
      <c r="AK2001" t="str">
        <f>IF(ISERROR(MATCH(AI2001&amp;"."&amp;AJ2001,AK$91:AK2000,0)),AI2001&amp;"."&amp;AJ2001,AI2001&amp;"."&amp;AJ2001&amp;COUNTIFS(AI$91:AI2000,AI2001,AJ$91:AJ2000,AJ2001))</f>
        <v>255.ITC85</v>
      </c>
    </row>
    <row r="2002" spans="1:37" ht="15" hidden="1">
      <c r="A2002" s="120">
        <f>ROW()</f>
        <v>2002</v>
      </c>
      <c r="B2002" s="120"/>
      <c r="E2002" s="121" t="s">
        <v>667</v>
      </c>
      <c r="F2002" s="138" t="str">
        <f>INDEX(FuncAllocOptions,ROW(A2002)-ROW($A$92)+1,[4]Inputs!$S$11)</f>
        <v>PTD</v>
      </c>
      <c r="G2002" s="117" t="e">
        <f t="shared" si="1268"/>
        <v>#VALUE!</v>
      </c>
      <c r="H2002" s="116" t="e">
        <f t="shared" si="1269"/>
        <v>#VALUE!</v>
      </c>
      <c r="I2002" s="116" t="e">
        <f t="shared" si="1269"/>
        <v>#VALUE!</v>
      </c>
      <c r="J2002" s="116" t="e">
        <f t="shared" si="1269"/>
        <v>#VALUE!</v>
      </c>
      <c r="K2002" s="116" t="e">
        <f t="shared" si="1269"/>
        <v>#VALUE!</v>
      </c>
      <c r="L2002" s="116" t="e">
        <f t="shared" si="1269"/>
        <v>#VALUE!</v>
      </c>
      <c r="N2002" s="108">
        <v>0.75</v>
      </c>
      <c r="O2002" s="116" t="e">
        <f t="shared" si="1270"/>
        <v>#VALUE!</v>
      </c>
      <c r="P2002" s="116" t="e">
        <f t="shared" si="1271"/>
        <v>#VALUE!</v>
      </c>
      <c r="Q2002" s="116" t="e">
        <f t="shared" si="1272"/>
        <v>#VALUE!</v>
      </c>
      <c r="R2002" s="116" t="e">
        <f t="shared" si="1273"/>
        <v>#VALUE!</v>
      </c>
      <c r="S2002" s="108">
        <v>0.75</v>
      </c>
      <c r="T2002" s="116" t="e">
        <f t="shared" si="1274"/>
        <v>#VALUE!</v>
      </c>
      <c r="U2002" s="116" t="e">
        <f t="shared" si="1275"/>
        <v>#VALUE!</v>
      </c>
      <c r="V2002" s="116" t="e">
        <f t="shared" si="1276"/>
        <v>#VALUE!</v>
      </c>
      <c r="W2002" s="116" t="e">
        <f t="shared" si="1277"/>
        <v>#VALUE!</v>
      </c>
      <c r="X2002" s="3" t="str">
        <f>INDEX(DistFuncAllocOptions,ROW(A2002)-ROW($A$92)+1,[4]Inputs!$S$11)</f>
        <v>PLNT</v>
      </c>
      <c r="Y2002" s="116" t="e">
        <f t="shared" si="1278"/>
        <v>#VALUE!</v>
      </c>
      <c r="Z2002" s="116" t="e">
        <f t="shared" si="1278"/>
        <v>#VALUE!</v>
      </c>
      <c r="AA2002" s="116" t="e">
        <f t="shared" si="1278"/>
        <v>#VALUE!</v>
      </c>
      <c r="AB2002" s="116" t="e">
        <f t="shared" si="1278"/>
        <v>#VALUE!</v>
      </c>
      <c r="AC2002" s="116" t="e">
        <f t="shared" si="1278"/>
        <v>#VALUE!</v>
      </c>
      <c r="AD2002" s="117" t="e">
        <f t="shared" si="1279"/>
        <v>#VALUE!</v>
      </c>
      <c r="AE2002" s="117" t="e">
        <f t="shared" si="1280"/>
        <v>#VALUE!</v>
      </c>
      <c r="AF2002" s="117" t="e">
        <f t="shared" si="1281"/>
        <v>#VALUE!</v>
      </c>
      <c r="AG2002" s="117" t="e">
        <f t="shared" si="1282"/>
        <v>#VALUE!</v>
      </c>
      <c r="AH2002" s="116"/>
      <c r="AI2002">
        <f t="shared" si="1234"/>
        <v>255</v>
      </c>
      <c r="AJ2002" t="str">
        <f t="shared" si="1229"/>
        <v>ITC86</v>
      </c>
      <c r="AK2002" t="str">
        <f>IF(ISERROR(MATCH(AI2002&amp;"."&amp;AJ2002,AK$91:AK2001,0)),AI2002&amp;"."&amp;AJ2002,AI2002&amp;"."&amp;AJ2002&amp;COUNTIFS(AI$91:AI2001,AI2002,AJ$91:AJ2001,AJ2002))</f>
        <v>255.ITC86</v>
      </c>
    </row>
    <row r="2003" spans="1:37" ht="15" hidden="1">
      <c r="A2003" s="120">
        <f>ROW()</f>
        <v>2003</v>
      </c>
      <c r="B2003" s="120"/>
      <c r="E2003" s="121" t="s">
        <v>668</v>
      </c>
      <c r="F2003" s="138" t="str">
        <f>INDEX(FuncAllocOptions,ROW(A2003)-ROW($A$92)+1,[4]Inputs!$S$11)</f>
        <v>PTD</v>
      </c>
      <c r="G2003" s="117" t="e">
        <f t="shared" si="1268"/>
        <v>#VALUE!</v>
      </c>
      <c r="H2003" s="116" t="e">
        <f t="shared" si="1269"/>
        <v>#VALUE!</v>
      </c>
      <c r="I2003" s="116" t="e">
        <f t="shared" si="1269"/>
        <v>#VALUE!</v>
      </c>
      <c r="J2003" s="116" t="e">
        <f t="shared" si="1269"/>
        <v>#VALUE!</v>
      </c>
      <c r="K2003" s="116" t="e">
        <f t="shared" si="1269"/>
        <v>#VALUE!</v>
      </c>
      <c r="L2003" s="116" t="e">
        <f t="shared" si="1269"/>
        <v>#VALUE!</v>
      </c>
      <c r="N2003" s="108">
        <v>0.75</v>
      </c>
      <c r="O2003" s="116" t="e">
        <f t="shared" si="1270"/>
        <v>#VALUE!</v>
      </c>
      <c r="P2003" s="116" t="e">
        <f t="shared" si="1271"/>
        <v>#VALUE!</v>
      </c>
      <c r="Q2003" s="116" t="e">
        <f t="shared" si="1272"/>
        <v>#VALUE!</v>
      </c>
      <c r="R2003" s="116" t="e">
        <f t="shared" si="1273"/>
        <v>#VALUE!</v>
      </c>
      <c r="S2003" s="108">
        <v>0.75</v>
      </c>
      <c r="T2003" s="116" t="e">
        <f t="shared" si="1274"/>
        <v>#VALUE!</v>
      </c>
      <c r="U2003" s="116" t="e">
        <f t="shared" si="1275"/>
        <v>#VALUE!</v>
      </c>
      <c r="V2003" s="116" t="e">
        <f t="shared" si="1276"/>
        <v>#VALUE!</v>
      </c>
      <c r="W2003" s="116" t="e">
        <f t="shared" si="1277"/>
        <v>#VALUE!</v>
      </c>
      <c r="X2003" s="3" t="str">
        <f>INDEX(DistFuncAllocOptions,ROW(A2003)-ROW($A$92)+1,[4]Inputs!$S$11)</f>
        <v>PLNT</v>
      </c>
      <c r="Y2003" s="116" t="e">
        <f t="shared" si="1278"/>
        <v>#VALUE!</v>
      </c>
      <c r="Z2003" s="116" t="e">
        <f t="shared" si="1278"/>
        <v>#VALUE!</v>
      </c>
      <c r="AA2003" s="116" t="e">
        <f t="shared" si="1278"/>
        <v>#VALUE!</v>
      </c>
      <c r="AB2003" s="116" t="e">
        <f t="shared" si="1278"/>
        <v>#VALUE!</v>
      </c>
      <c r="AC2003" s="116" t="e">
        <f t="shared" si="1278"/>
        <v>#VALUE!</v>
      </c>
      <c r="AD2003" s="117" t="e">
        <f t="shared" si="1279"/>
        <v>#VALUE!</v>
      </c>
      <c r="AE2003" s="117" t="e">
        <f t="shared" si="1280"/>
        <v>#VALUE!</v>
      </c>
      <c r="AF2003" s="117" t="e">
        <f t="shared" si="1281"/>
        <v>#VALUE!</v>
      </c>
      <c r="AG2003" s="117" t="e">
        <f t="shared" si="1282"/>
        <v>#VALUE!</v>
      </c>
      <c r="AH2003" s="116"/>
      <c r="AI2003">
        <f t="shared" si="1234"/>
        <v>255</v>
      </c>
      <c r="AJ2003" t="str">
        <f t="shared" si="1229"/>
        <v>ITC88</v>
      </c>
      <c r="AK2003" t="str">
        <f>IF(ISERROR(MATCH(AI2003&amp;"."&amp;AJ2003,AK$91:AK2002,0)),AI2003&amp;"."&amp;AJ2003,AI2003&amp;"."&amp;AJ2003&amp;COUNTIFS(AI$91:AI2002,AI2003,AJ$91:AJ2002,AJ2003))</f>
        <v>255.ITC88</v>
      </c>
    </row>
    <row r="2004" spans="1:37" ht="15" hidden="1">
      <c r="A2004" s="120">
        <f>ROW()</f>
        <v>2004</v>
      </c>
      <c r="B2004" s="120"/>
      <c r="E2004" s="121" t="s">
        <v>669</v>
      </c>
      <c r="F2004" s="138" t="str">
        <f>INDEX(FuncAllocOptions,ROW(A2004)-ROW($A$92)+1,[4]Inputs!$S$11)</f>
        <v>PTD</v>
      </c>
      <c r="G2004" s="117" t="e">
        <f t="shared" si="1268"/>
        <v>#VALUE!</v>
      </c>
      <c r="H2004" s="116" t="e">
        <f t="shared" si="1269"/>
        <v>#VALUE!</v>
      </c>
      <c r="I2004" s="116" t="e">
        <f t="shared" si="1269"/>
        <v>#VALUE!</v>
      </c>
      <c r="J2004" s="116" t="e">
        <f t="shared" si="1269"/>
        <v>#VALUE!</v>
      </c>
      <c r="K2004" s="116" t="e">
        <f t="shared" si="1269"/>
        <v>#VALUE!</v>
      </c>
      <c r="L2004" s="116" t="e">
        <f t="shared" si="1269"/>
        <v>#VALUE!</v>
      </c>
      <c r="N2004" s="108">
        <v>0.75</v>
      </c>
      <c r="O2004" s="116" t="e">
        <f t="shared" si="1270"/>
        <v>#VALUE!</v>
      </c>
      <c r="P2004" s="116" t="e">
        <f t="shared" si="1271"/>
        <v>#VALUE!</v>
      </c>
      <c r="Q2004" s="116" t="e">
        <f t="shared" si="1272"/>
        <v>#VALUE!</v>
      </c>
      <c r="R2004" s="116" t="e">
        <f t="shared" si="1273"/>
        <v>#VALUE!</v>
      </c>
      <c r="S2004" s="108">
        <v>0.75</v>
      </c>
      <c r="T2004" s="116" t="e">
        <f t="shared" si="1274"/>
        <v>#VALUE!</v>
      </c>
      <c r="U2004" s="116" t="e">
        <f t="shared" si="1275"/>
        <v>#VALUE!</v>
      </c>
      <c r="V2004" s="116" t="e">
        <f t="shared" si="1276"/>
        <v>#VALUE!</v>
      </c>
      <c r="W2004" s="116" t="e">
        <f t="shared" si="1277"/>
        <v>#VALUE!</v>
      </c>
      <c r="X2004" s="3" t="str">
        <f>INDEX(DistFuncAllocOptions,ROW(A2004)-ROW($A$92)+1,[4]Inputs!$S$11)</f>
        <v>PLNT</v>
      </c>
      <c r="Y2004" s="116" t="e">
        <f t="shared" si="1278"/>
        <v>#VALUE!</v>
      </c>
      <c r="Z2004" s="116" t="e">
        <f t="shared" si="1278"/>
        <v>#VALUE!</v>
      </c>
      <c r="AA2004" s="116" t="e">
        <f t="shared" si="1278"/>
        <v>#VALUE!</v>
      </c>
      <c r="AB2004" s="116" t="e">
        <f t="shared" si="1278"/>
        <v>#VALUE!</v>
      </c>
      <c r="AC2004" s="116" t="e">
        <f t="shared" si="1278"/>
        <v>#VALUE!</v>
      </c>
      <c r="AD2004" s="117" t="e">
        <f t="shared" si="1279"/>
        <v>#VALUE!</v>
      </c>
      <c r="AE2004" s="117" t="e">
        <f t="shared" si="1280"/>
        <v>#VALUE!</v>
      </c>
      <c r="AF2004" s="117" t="e">
        <f t="shared" si="1281"/>
        <v>#VALUE!</v>
      </c>
      <c r="AG2004" s="117" t="e">
        <f t="shared" si="1282"/>
        <v>#VALUE!</v>
      </c>
      <c r="AH2004" s="116"/>
      <c r="AI2004">
        <f t="shared" si="1234"/>
        <v>255</v>
      </c>
      <c r="AJ2004" t="str">
        <f t="shared" si="1229"/>
        <v>ITC89</v>
      </c>
      <c r="AK2004" t="str">
        <f>IF(ISERROR(MATCH(AI2004&amp;"."&amp;AJ2004,AK$91:AK2003,0)),AI2004&amp;"."&amp;AJ2004,AI2004&amp;"."&amp;AJ2004&amp;COUNTIFS(AI$91:AI2003,AI2004,AJ$91:AJ2003,AJ2004))</f>
        <v>255.ITC89</v>
      </c>
    </row>
    <row r="2005" spans="1:37" ht="15" hidden="1">
      <c r="A2005" s="120">
        <f>ROW()</f>
        <v>2005</v>
      </c>
      <c r="B2005" s="120"/>
      <c r="E2005" s="121" t="s">
        <v>670</v>
      </c>
      <c r="F2005" s="138" t="str">
        <f>INDEX(FuncAllocOptions,ROW(A2005)-ROW($A$92)+1,[4]Inputs!$S$11)</f>
        <v>PTD</v>
      </c>
      <c r="G2005" s="117" t="e">
        <f t="shared" si="1268"/>
        <v>#VALUE!</v>
      </c>
      <c r="H2005" s="116" t="e">
        <f t="shared" si="1269"/>
        <v>#VALUE!</v>
      </c>
      <c r="I2005" s="116" t="e">
        <f t="shared" si="1269"/>
        <v>#VALUE!</v>
      </c>
      <c r="J2005" s="116" t="e">
        <f t="shared" si="1269"/>
        <v>#VALUE!</v>
      </c>
      <c r="K2005" s="116" t="e">
        <f t="shared" si="1269"/>
        <v>#VALUE!</v>
      </c>
      <c r="L2005" s="116" t="e">
        <f t="shared" si="1269"/>
        <v>#VALUE!</v>
      </c>
      <c r="N2005" s="108">
        <v>0.75</v>
      </c>
      <c r="O2005" s="116" t="e">
        <f t="shared" si="1270"/>
        <v>#VALUE!</v>
      </c>
      <c r="P2005" s="116" t="e">
        <f t="shared" si="1271"/>
        <v>#VALUE!</v>
      </c>
      <c r="Q2005" s="116" t="e">
        <f t="shared" si="1272"/>
        <v>#VALUE!</v>
      </c>
      <c r="R2005" s="116" t="e">
        <f t="shared" si="1273"/>
        <v>#VALUE!</v>
      </c>
      <c r="S2005" s="108">
        <v>0.75</v>
      </c>
      <c r="T2005" s="116" t="e">
        <f t="shared" si="1274"/>
        <v>#VALUE!</v>
      </c>
      <c r="U2005" s="116" t="e">
        <f t="shared" si="1275"/>
        <v>#VALUE!</v>
      </c>
      <c r="V2005" s="116" t="e">
        <f t="shared" si="1276"/>
        <v>#VALUE!</v>
      </c>
      <c r="W2005" s="116" t="e">
        <f t="shared" si="1277"/>
        <v>#VALUE!</v>
      </c>
      <c r="X2005" s="3" t="str">
        <f>INDEX(DistFuncAllocOptions,ROW(A2005)-ROW($A$92)+1,[4]Inputs!$S$11)</f>
        <v>PLNT</v>
      </c>
      <c r="Y2005" s="116" t="e">
        <f t="shared" si="1278"/>
        <v>#VALUE!</v>
      </c>
      <c r="Z2005" s="116" t="e">
        <f t="shared" si="1278"/>
        <v>#VALUE!</v>
      </c>
      <c r="AA2005" s="116" t="e">
        <f t="shared" si="1278"/>
        <v>#VALUE!</v>
      </c>
      <c r="AB2005" s="116" t="e">
        <f t="shared" si="1278"/>
        <v>#VALUE!</v>
      </c>
      <c r="AC2005" s="116" t="e">
        <f t="shared" si="1278"/>
        <v>#VALUE!</v>
      </c>
      <c r="AD2005" s="117" t="e">
        <f t="shared" si="1279"/>
        <v>#VALUE!</v>
      </c>
      <c r="AE2005" s="117" t="e">
        <f t="shared" si="1280"/>
        <v>#VALUE!</v>
      </c>
      <c r="AF2005" s="117" t="e">
        <f t="shared" si="1281"/>
        <v>#VALUE!</v>
      </c>
      <c r="AG2005" s="117" t="e">
        <f t="shared" si="1282"/>
        <v>#VALUE!</v>
      </c>
      <c r="AH2005" s="116"/>
      <c r="AI2005">
        <f t="shared" si="1234"/>
        <v>255</v>
      </c>
      <c r="AJ2005" t="str">
        <f t="shared" si="1229"/>
        <v>ITC90</v>
      </c>
      <c r="AK2005" t="str">
        <f>IF(ISERROR(MATCH(AI2005&amp;"."&amp;AJ2005,AK$91:AK2004,0)),AI2005&amp;"."&amp;AJ2005,AI2005&amp;"."&amp;AJ2005&amp;COUNTIFS(AI$91:AI2004,AI2005,AJ$91:AJ2004,AJ2005))</f>
        <v>255.ITC90</v>
      </c>
    </row>
    <row r="2006" spans="1:37" ht="15" hidden="1">
      <c r="A2006" s="120">
        <f>ROW()</f>
        <v>2006</v>
      </c>
      <c r="B2006" s="120"/>
      <c r="E2006" s="121" t="s">
        <v>15</v>
      </c>
      <c r="F2006" s="138" t="str">
        <f>INDEX(FuncAllocOptions,ROW(A2006)-ROW($A$92)+1,[4]Inputs!$S$11)</f>
        <v>PTD</v>
      </c>
      <c r="G2006" s="133" t="e">
        <f t="shared" si="1268"/>
        <v>#VALUE!</v>
      </c>
      <c r="H2006" s="116" t="e">
        <f t="shared" si="1269"/>
        <v>#VALUE!</v>
      </c>
      <c r="I2006" s="116" t="e">
        <f t="shared" si="1269"/>
        <v>#VALUE!</v>
      </c>
      <c r="J2006" s="116" t="e">
        <f t="shared" si="1269"/>
        <v>#VALUE!</v>
      </c>
      <c r="K2006" s="116" t="e">
        <f t="shared" si="1269"/>
        <v>#VALUE!</v>
      </c>
      <c r="L2006" s="116" t="e">
        <f t="shared" si="1269"/>
        <v>#VALUE!</v>
      </c>
      <c r="N2006" s="108">
        <v>0.75</v>
      </c>
      <c r="O2006" s="116" t="e">
        <f t="shared" si="1270"/>
        <v>#VALUE!</v>
      </c>
      <c r="P2006" s="116" t="e">
        <f t="shared" si="1271"/>
        <v>#VALUE!</v>
      </c>
      <c r="Q2006" s="116" t="e">
        <f t="shared" si="1272"/>
        <v>#VALUE!</v>
      </c>
      <c r="R2006" s="116" t="e">
        <f t="shared" si="1273"/>
        <v>#VALUE!</v>
      </c>
      <c r="S2006" s="108">
        <v>0.75</v>
      </c>
      <c r="T2006" s="116" t="e">
        <f t="shared" si="1274"/>
        <v>#VALUE!</v>
      </c>
      <c r="U2006" s="116" t="e">
        <f t="shared" si="1275"/>
        <v>#VALUE!</v>
      </c>
      <c r="V2006" s="116" t="e">
        <f t="shared" si="1276"/>
        <v>#VALUE!</v>
      </c>
      <c r="W2006" s="116" t="e">
        <f t="shared" si="1277"/>
        <v>#VALUE!</v>
      </c>
      <c r="X2006" s="3" t="str">
        <f>INDEX(DistFuncAllocOptions,ROW(A2006)-ROW($A$92)+1,[4]Inputs!$S$11)</f>
        <v>PLNT</v>
      </c>
      <c r="Y2006" s="116" t="e">
        <f t="shared" si="1278"/>
        <v>#VALUE!</v>
      </c>
      <c r="Z2006" s="116" t="e">
        <f t="shared" si="1278"/>
        <v>#VALUE!</v>
      </c>
      <c r="AA2006" s="116" t="e">
        <f t="shared" si="1278"/>
        <v>#VALUE!</v>
      </c>
      <c r="AB2006" s="116" t="e">
        <f t="shared" si="1278"/>
        <v>#VALUE!</v>
      </c>
      <c r="AC2006" s="116" t="e">
        <f t="shared" si="1278"/>
        <v>#VALUE!</v>
      </c>
      <c r="AD2006" s="117" t="e">
        <f t="shared" si="1279"/>
        <v>#VALUE!</v>
      </c>
      <c r="AE2006" s="117" t="e">
        <f t="shared" si="1280"/>
        <v>#VALUE!</v>
      </c>
      <c r="AF2006" s="117" t="e">
        <f t="shared" si="1281"/>
        <v>#VALUE!</v>
      </c>
      <c r="AG2006" s="117" t="e">
        <f t="shared" si="1282"/>
        <v>#VALUE!</v>
      </c>
      <c r="AH2006" s="116"/>
      <c r="AI2006">
        <f t="shared" si="1234"/>
        <v>255</v>
      </c>
      <c r="AJ2006" t="str">
        <f t="shared" si="1229"/>
        <v>SG</v>
      </c>
      <c r="AK2006" t="str">
        <f>IF(ISERROR(MATCH(AI2006&amp;"."&amp;AJ2006,AK$91:AK2005,0)),AI2006&amp;"."&amp;AJ2006,AI2006&amp;"."&amp;AJ2006&amp;COUNTIFS(AI$91:AI2005,AI2006,AJ$91:AJ2005,AJ2006))</f>
        <v>255.SG</v>
      </c>
    </row>
    <row r="2007" spans="1:37" ht="15" hidden="1">
      <c r="A2007" s="120">
        <f>ROW()</f>
        <v>2007</v>
      </c>
      <c r="B2007" s="120"/>
      <c r="E2007" s="121"/>
      <c r="F2007" s="138"/>
      <c r="G2007" s="146" t="e">
        <f t="shared" ref="G2007:L2007" si="1283">SUM(G1999:G2006)</f>
        <v>#VALUE!</v>
      </c>
      <c r="H2007" s="145" t="e">
        <f t="shared" si="1283"/>
        <v>#VALUE!</v>
      </c>
      <c r="I2007" s="145" t="e">
        <f t="shared" si="1283"/>
        <v>#VALUE!</v>
      </c>
      <c r="J2007" s="145" t="e">
        <f t="shared" si="1283"/>
        <v>#VALUE!</v>
      </c>
      <c r="K2007" s="145" t="e">
        <f t="shared" si="1283"/>
        <v>#VALUE!</v>
      </c>
      <c r="L2007" s="145" t="e">
        <f t="shared" si="1283"/>
        <v>#VALUE!</v>
      </c>
      <c r="O2007" s="116" t="e">
        <f>SUM(O1999:O2006)</f>
        <v>#VALUE!</v>
      </c>
      <c r="P2007" s="116" t="e">
        <f>SUM(P1999:P2006)</f>
        <v>#VALUE!</v>
      </c>
      <c r="Q2007" s="116" t="e">
        <f>SUM(Q1999:Q2006)</f>
        <v>#VALUE!</v>
      </c>
      <c r="R2007" s="116" t="e">
        <f>SUM(R1999:R2006)</f>
        <v>#VALUE!</v>
      </c>
      <c r="T2007" s="116" t="e">
        <f>SUM(T1999:T2006)</f>
        <v>#VALUE!</v>
      </c>
      <c r="U2007" s="116" t="e">
        <f>SUM(U1999:U2006)</f>
        <v>#VALUE!</v>
      </c>
      <c r="V2007" s="116" t="e">
        <f>SUM(V1999:V2006)</f>
        <v>#VALUE!</v>
      </c>
      <c r="W2007" s="116" t="e">
        <f>SUM(W1999:W2006)</f>
        <v>#VALUE!</v>
      </c>
      <c r="X2007" s="3"/>
      <c r="Y2007" s="116" t="e">
        <f>SUM(Y1999:Y2006)</f>
        <v>#VALUE!</v>
      </c>
      <c r="Z2007" s="116" t="e">
        <f>SUM(Z1999:Z2006)</f>
        <v>#VALUE!</v>
      </c>
      <c r="AA2007" s="116" t="e">
        <f>SUM(AA1999:AA2006)</f>
        <v>#VALUE!</v>
      </c>
      <c r="AB2007" s="116" t="e">
        <f>SUM(AB1999:AB2006)</f>
        <v>#VALUE!</v>
      </c>
      <c r="AC2007" s="116" t="e">
        <f>SUM(AC1999:AC2006)</f>
        <v>#VALUE!</v>
      </c>
      <c r="AD2007" s="117" t="e">
        <f t="shared" si="1279"/>
        <v>#VALUE!</v>
      </c>
      <c r="AE2007" s="117" t="e">
        <f t="shared" si="1280"/>
        <v>#VALUE!</v>
      </c>
      <c r="AF2007" s="117" t="e">
        <f t="shared" si="1281"/>
        <v>#VALUE!</v>
      </c>
      <c r="AG2007" s="117" t="e">
        <f t="shared" si="1282"/>
        <v>#VALUE!</v>
      </c>
      <c r="AH2007" s="116"/>
      <c r="AI2007">
        <f t="shared" si="1234"/>
        <v>255</v>
      </c>
      <c r="AJ2007" t="str">
        <f t="shared" si="1229"/>
        <v>NA</v>
      </c>
      <c r="AK2007" t="str">
        <f>IF(ISERROR(MATCH(AI2007&amp;"."&amp;AJ2007,AK$91:AK2006,0)),AI2007&amp;"."&amp;AJ2007,AI2007&amp;"."&amp;AJ2007&amp;COUNTIFS(AI$91:AI2006,AI2007,AJ$91:AJ2006,AJ2007))</f>
        <v>255.NA1</v>
      </c>
    </row>
    <row r="2008" spans="1:37" ht="15" hidden="1">
      <c r="A2008" s="120">
        <f>ROW()</f>
        <v>2008</v>
      </c>
      <c r="B2008" s="120"/>
      <c r="E2008" s="121"/>
      <c r="F2008" s="138"/>
      <c r="G2008" s="119"/>
      <c r="X2008" s="3"/>
      <c r="AD2008" s="119"/>
      <c r="AE2008" s="119"/>
      <c r="AF2008" s="119"/>
      <c r="AG2008" s="119"/>
      <c r="AI2008">
        <f t="shared" si="1234"/>
        <v>255</v>
      </c>
      <c r="AJ2008" t="str">
        <f t="shared" si="1229"/>
        <v>NA</v>
      </c>
      <c r="AK2008" t="str">
        <f>IF(ISERROR(MATCH(AI2008&amp;"."&amp;AJ2008,AK$91:AK2007,0)),AI2008&amp;"."&amp;AJ2008,AI2008&amp;"."&amp;AJ2008&amp;COUNTIFS(AI$91:AI2007,AI2008,AJ$91:AJ2007,AJ2008))</f>
        <v>255.NA2</v>
      </c>
    </row>
    <row r="2009" spans="1:37" ht="15" hidden="1">
      <c r="A2009" s="120">
        <f>ROW()</f>
        <v>2009</v>
      </c>
      <c r="B2009" s="120"/>
      <c r="C2009" s="110" t="s">
        <v>716</v>
      </c>
      <c r="E2009" s="121"/>
      <c r="F2009" s="138"/>
      <c r="G2009" s="117" t="e">
        <f t="shared" ref="G2009:L2009" si="1284">G2007+G1994+G1981+G1963+G1957+G1933+G1929+G1890+G1917+G1898+G1894+G1921+G1940+G1903+G1912+G1908</f>
        <v>#VALUE!</v>
      </c>
      <c r="H2009" s="144" t="e">
        <f t="shared" si="1284"/>
        <v>#VALUE!</v>
      </c>
      <c r="I2009" s="116" t="e">
        <f t="shared" si="1284"/>
        <v>#VALUE!</v>
      </c>
      <c r="J2009" s="116" t="e">
        <f t="shared" si="1284"/>
        <v>#VALUE!</v>
      </c>
      <c r="K2009" s="116" t="e">
        <f t="shared" si="1284"/>
        <v>#VALUE!</v>
      </c>
      <c r="L2009" s="116" t="e">
        <f t="shared" si="1284"/>
        <v>#VALUE!</v>
      </c>
      <c r="N2009" s="116"/>
      <c r="O2009" s="116" t="e">
        <f>O2007+O1994+O1981+O1963+O1957+O1933+O1929+O1890+O1917+O1898+O1894+O1921+O1940+O1903+O1912+O1908</f>
        <v>#VALUE!</v>
      </c>
      <c r="P2009" s="116" t="e">
        <f>P2007+P1994+P1981+P1963+P1957+P1933+P1929+P1890+P1917+P1898+P1894+P1921+P1940+P1903+P1912+P1908</f>
        <v>#VALUE!</v>
      </c>
      <c r="Q2009" s="116" t="e">
        <f>Q2007+Q1994+Q1981+Q1963+Q1957+Q1933+Q1929+Q1890+Q1917+Q1898+Q1894+Q1921+Q1940+Q1903+Q1912+Q1908</f>
        <v>#VALUE!</v>
      </c>
      <c r="R2009" s="116" t="e">
        <f>R2007+R1994+R1981+R1963+R1957+R1933+R1929+R1890+R1917+R1898+R1894+R1921+R1940+R1903+R1912+R1908</f>
        <v>#VALUE!</v>
      </c>
      <c r="S2009" s="116"/>
      <c r="T2009" s="116" t="e">
        <f>T2007+T1994+T1981+T1963+T1957+T1933+T1929+T1890+T1917+T1898+T1894+T1921+T1940+T1903+T1912+T1908</f>
        <v>#VALUE!</v>
      </c>
      <c r="U2009" s="116" t="e">
        <f>U2007+U1994+U1981+U1963+U1957+U1933+U1929+U1890+U1917+U1898+U1894+U1921+U1940+U1903+U1912+U1908</f>
        <v>#VALUE!</v>
      </c>
      <c r="V2009" s="116" t="e">
        <f>V2007+V1994+V1981+V1963+V1957+V1933+V1929+V1890+V1917+V1898+V1894+V1921+V1940+V1903+V1912+V1908</f>
        <v>#VALUE!</v>
      </c>
      <c r="W2009" s="116" t="e">
        <f>W2007+W1994+W1981+W1963+W1957+W1933+W1929+W1890+W1917+W1898+W1894+W1921+W1940+W1903+W1912+W1908</f>
        <v>#VALUE!</v>
      </c>
      <c r="X2009" s="3"/>
      <c r="Y2009" s="116" t="e">
        <f>Y2007+Y1994+Y1981+Y1963+Y1957+Y1933+Y1929+Y1890+Y1917+Y1898+Y1894+Y1921+Y1940+Y1903+Y1912+Y1908</f>
        <v>#VALUE!</v>
      </c>
      <c r="Z2009" s="116" t="e">
        <f>Z2007+Z1994+Z1981+Z1963+Z1957+Z1933+Z1929+Z1890+Z1917+Z1898+Z1894+Z1921+Z1940+Z1903+Z1912+Z1908</f>
        <v>#VALUE!</v>
      </c>
      <c r="AA2009" s="116" t="e">
        <f>AA2007+AA1994+AA1981+AA1963+AA1957+AA1933+AA1929+AA1890+AA1917+AA1898+AA1894+AA1921+AA1940+AA1903+AA1912+AA1908</f>
        <v>#VALUE!</v>
      </c>
      <c r="AB2009" s="116" t="e">
        <f>AB2007+AB1994+AB1981+AB1963+AB1957+AB1933+AB1929+AB1890+AB1917+AB1898+AB1894+AB1921+AB1940+AB1903+AB1912+AB1908</f>
        <v>#VALUE!</v>
      </c>
      <c r="AC2009" s="116" t="e">
        <f>AC2007+AC1994+AC1981+AC1963+AC1957+AC1933+AC1929+AC1890+AC1917+AC1898+AC1894+AC1921+AC1940+AC1903+AC1912+AC1908</f>
        <v>#VALUE!</v>
      </c>
      <c r="AD2009" s="117" t="e">
        <f>ROUND(SUM(-G2009,H2009:L2009),0)</f>
        <v>#VALUE!</v>
      </c>
      <c r="AE2009" s="117" t="e">
        <f>ROUND(H2009-O2009-P2009-Q2009-R2009,0)</f>
        <v>#VALUE!</v>
      </c>
      <c r="AF2009" s="117" t="e">
        <f>ROUND(I2009-T2009-U2009-V2009-W2009,0)</f>
        <v>#VALUE!</v>
      </c>
      <c r="AG2009" s="117" t="e">
        <f>ROUND(J2009-Y2009-Z2009-AA2009-AC2009-AB2009,0)</f>
        <v>#VALUE!</v>
      </c>
      <c r="AH2009" s="116"/>
      <c r="AI2009" t="str">
        <f t="shared" si="1234"/>
        <v>TOTAL MISC RATE DRB DEDUCTIONS</v>
      </c>
      <c r="AJ2009" t="str">
        <f t="shared" si="1229"/>
        <v>NA</v>
      </c>
      <c r="AK2009" t="str">
        <f>IF(ISERROR(MATCH(AI2009&amp;"."&amp;AJ2009,AK$91:AK2008,0)),AI2009&amp;"."&amp;AJ2009,AI2009&amp;"."&amp;AJ2009&amp;COUNTIFS(AI$91:AI2008,AI2009,AJ$91:AJ2008,AJ2009))</f>
        <v>TOTAL MISC RATE DRB DEDUCTIONS.NA</v>
      </c>
    </row>
    <row r="2010" spans="1:37" ht="15" hidden="1">
      <c r="A2010" s="120">
        <f>ROW()</f>
        <v>2010</v>
      </c>
      <c r="B2010" s="120"/>
      <c r="E2010" s="121"/>
      <c r="F2010" s="138"/>
      <c r="G2010" s="119"/>
      <c r="X2010" s="3"/>
      <c r="AD2010" s="119"/>
      <c r="AE2010" s="119"/>
      <c r="AF2010" s="119"/>
      <c r="AG2010" s="119"/>
      <c r="AI2010" t="str">
        <f t="shared" si="1234"/>
        <v>TOTAL MISC RATE DRB DEDUCTIONS</v>
      </c>
      <c r="AJ2010" t="str">
        <f t="shared" si="1229"/>
        <v>NA</v>
      </c>
      <c r="AK2010" t="str">
        <f>IF(ISERROR(MATCH(AI2010&amp;"."&amp;AJ2010,AK$91:AK2009,0)),AI2010&amp;"."&amp;AJ2010,AI2010&amp;"."&amp;AJ2010&amp;COUNTIFS(AI$91:AI2009,AI2010,AJ$91:AJ2009,AJ2010))</f>
        <v>TOTAL MISC RATE DRB DEDUCTIONS.NA1</v>
      </c>
    </row>
    <row r="2011" spans="1:37" ht="15" hidden="1">
      <c r="A2011" s="120">
        <f>ROW()</f>
        <v>2011</v>
      </c>
      <c r="B2011" s="120"/>
      <c r="C2011" s="1" t="s">
        <v>209</v>
      </c>
      <c r="D2011" s="2" t="s">
        <v>673</v>
      </c>
      <c r="E2011" s="121"/>
      <c r="F2011" s="143"/>
      <c r="G2011" s="119"/>
      <c r="X2011" s="3"/>
      <c r="AD2011" s="119"/>
      <c r="AE2011" s="119"/>
      <c r="AF2011" s="119"/>
      <c r="AG2011" s="119"/>
      <c r="AI2011" t="str">
        <f t="shared" si="1234"/>
        <v>108SP</v>
      </c>
      <c r="AJ2011" t="str">
        <f t="shared" si="1229"/>
        <v>NA</v>
      </c>
      <c r="AK2011" t="str">
        <f>IF(ISERROR(MATCH(AI2011&amp;"."&amp;AJ2011,AK$91:AK2010,0)),AI2011&amp;"."&amp;AJ2011,AI2011&amp;"."&amp;AJ2011&amp;COUNTIFS(AI$91:AI2010,AI2011,AJ$91:AJ2010,AJ2011))</f>
        <v>108SP.NA</v>
      </c>
    </row>
    <row r="2012" spans="1:37" ht="15" hidden="1">
      <c r="A2012" s="120">
        <f>ROW()</f>
        <v>2012</v>
      </c>
      <c r="B2012" s="120"/>
      <c r="C2012" s="1"/>
      <c r="E2012" s="121"/>
      <c r="F2012" s="138"/>
      <c r="G2012" s="119"/>
      <c r="X2012" s="3"/>
      <c r="AD2012" s="119"/>
      <c r="AE2012" s="119"/>
      <c r="AF2012" s="119"/>
      <c r="AG2012" s="119"/>
      <c r="AI2012" t="str">
        <f t="shared" si="1234"/>
        <v>108SP</v>
      </c>
      <c r="AJ2012" t="str">
        <f t="shared" si="1229"/>
        <v>NA</v>
      </c>
      <c r="AK2012" t="str">
        <f>IF(ISERROR(MATCH(AI2012&amp;"."&amp;AJ2012,AK$91:AK2011,0)),AI2012&amp;"."&amp;AJ2012,AI2012&amp;"."&amp;AJ2012&amp;COUNTIFS(AI$91:AI2011,AI2012,AJ$91:AJ2011,AJ2012))</f>
        <v>108SP.NA1</v>
      </c>
    </row>
    <row r="2013" spans="1:37" ht="15" hidden="1">
      <c r="A2013" s="120">
        <f>ROW()</f>
        <v>2013</v>
      </c>
      <c r="B2013" s="120"/>
      <c r="C2013" s="1"/>
      <c r="E2013" s="121" t="s">
        <v>12</v>
      </c>
      <c r="F2013" s="138" t="str">
        <f>INDEX(FuncAllocOptions,ROW(A2013)-ROW($A$92)+1,[4]Inputs!$S$11)</f>
        <v>P</v>
      </c>
      <c r="G2013" s="117" t="e">
        <f t="shared" ref="G2013:G2018" si="1285">SUMIF(FERCJAMFactor,AK2013,JAMValue)</f>
        <v>#VALUE!</v>
      </c>
      <c r="H2013" s="116" t="e">
        <f t="shared" ref="H2013:L2018" si="1286">INDEX(FuncFactorTbl,MATCH($F2013,FuncFactors,0),MATCH(H$8,Functions,0))*$G2013</f>
        <v>#VALUE!</v>
      </c>
      <c r="I2013" s="116" t="e">
        <f t="shared" si="1286"/>
        <v>#VALUE!</v>
      </c>
      <c r="J2013" s="116" t="e">
        <f t="shared" si="1286"/>
        <v>#VALUE!</v>
      </c>
      <c r="K2013" s="116" t="e">
        <f t="shared" si="1286"/>
        <v>#VALUE!</v>
      </c>
      <c r="L2013" s="116" t="e">
        <f t="shared" si="1286"/>
        <v>#VALUE!</v>
      </c>
      <c r="N2013" s="108">
        <v>0.75</v>
      </c>
      <c r="O2013" s="116" t="e">
        <f t="shared" ref="O2013:O2018" si="1287">$H2013*$N2013*$M2013</f>
        <v>#VALUE!</v>
      </c>
      <c r="P2013" s="116" t="e">
        <f t="shared" ref="P2013:P2018" si="1288">$H2013*(1-$N2013)*$M2013</f>
        <v>#VALUE!</v>
      </c>
      <c r="Q2013" s="116" t="e">
        <f t="shared" ref="Q2013:Q2018" si="1289">$H2013*$N2013*(1-$M2013)</f>
        <v>#VALUE!</v>
      </c>
      <c r="R2013" s="116" t="e">
        <f t="shared" ref="R2013:R2018" si="1290">$H2013*(1-$N2013)*(1-$M2013)</f>
        <v>#VALUE!</v>
      </c>
      <c r="T2013" s="116">
        <v>0</v>
      </c>
      <c r="U2013" s="116">
        <v>0</v>
      </c>
      <c r="V2013" s="116">
        <v>0</v>
      </c>
      <c r="W2013" s="116">
        <v>0</v>
      </c>
      <c r="X2013" s="3"/>
      <c r="AD2013" s="117" t="e">
        <f t="shared" ref="AD2013:AD2019" si="1291">ROUND(SUM(-G2013,H2013:L2013),0)</f>
        <v>#VALUE!</v>
      </c>
      <c r="AE2013" s="117" t="e">
        <f t="shared" ref="AE2013:AE2019" si="1292">ROUND(H2013-O2013-P2013-Q2013-R2013,0)</f>
        <v>#VALUE!</v>
      </c>
      <c r="AF2013" s="117" t="e">
        <f t="shared" ref="AF2013:AF2019" si="1293">ROUND(I2013-T2013-U2013-V2013-W2013,0)</f>
        <v>#VALUE!</v>
      </c>
      <c r="AG2013" s="117" t="e">
        <f t="shared" ref="AG2013:AG2019" si="1294">ROUND(J2013-Y2013-Z2013-AA2013-AC2013-AB2013,0)</f>
        <v>#VALUE!</v>
      </c>
      <c r="AH2013" s="116"/>
      <c r="AI2013" t="str">
        <f t="shared" si="1234"/>
        <v>108SP</v>
      </c>
      <c r="AJ2013" t="str">
        <f t="shared" ref="AJ2013:AJ2076" si="1295">IF(E2013="","NA",E2013)</f>
        <v>S</v>
      </c>
      <c r="AK2013" t="str">
        <f>IF(ISERROR(MATCH(AI2013&amp;"."&amp;AJ2013,AK$91:AK2012,0)),AI2013&amp;"."&amp;AJ2013,AI2013&amp;"."&amp;AJ2013&amp;COUNTIFS(AI$91:AI2012,AI2013,AJ$91:AJ2012,AJ2013))</f>
        <v>108SP.S</v>
      </c>
    </row>
    <row r="2014" spans="1:37" ht="15" hidden="1">
      <c r="A2014" s="120">
        <f>ROW()</f>
        <v>2014</v>
      </c>
      <c r="B2014" s="120"/>
      <c r="C2014" s="1"/>
      <c r="E2014" s="121" t="s">
        <v>15</v>
      </c>
      <c r="F2014" s="138" t="str">
        <f>INDEX(FuncAllocOptions,ROW(A2014)-ROW($A$92)+1,[4]Inputs!$S$11)</f>
        <v>P</v>
      </c>
      <c r="G2014" s="117" t="e">
        <f t="shared" si="1285"/>
        <v>#VALUE!</v>
      </c>
      <c r="H2014" s="116" t="e">
        <f t="shared" si="1286"/>
        <v>#VALUE!</v>
      </c>
      <c r="I2014" s="116" t="e">
        <f t="shared" si="1286"/>
        <v>#VALUE!</v>
      </c>
      <c r="J2014" s="116" t="e">
        <f t="shared" si="1286"/>
        <v>#VALUE!</v>
      </c>
      <c r="K2014" s="116" t="e">
        <f t="shared" si="1286"/>
        <v>#VALUE!</v>
      </c>
      <c r="L2014" s="116" t="e">
        <f t="shared" si="1286"/>
        <v>#VALUE!</v>
      </c>
      <c r="N2014" s="108">
        <v>0.75</v>
      </c>
      <c r="O2014" s="116" t="e">
        <f t="shared" si="1287"/>
        <v>#VALUE!</v>
      </c>
      <c r="P2014" s="116" t="e">
        <f t="shared" si="1288"/>
        <v>#VALUE!</v>
      </c>
      <c r="Q2014" s="116" t="e">
        <f t="shared" si="1289"/>
        <v>#VALUE!</v>
      </c>
      <c r="R2014" s="116" t="e">
        <f t="shared" si="1290"/>
        <v>#VALUE!</v>
      </c>
      <c r="T2014" s="116">
        <v>0</v>
      </c>
      <c r="U2014" s="116">
        <v>0</v>
      </c>
      <c r="V2014" s="116">
        <v>0</v>
      </c>
      <c r="W2014" s="116">
        <v>0</v>
      </c>
      <c r="X2014" s="3"/>
      <c r="AD2014" s="117" t="e">
        <f t="shared" si="1291"/>
        <v>#VALUE!</v>
      </c>
      <c r="AE2014" s="117" t="e">
        <f t="shared" si="1292"/>
        <v>#VALUE!</v>
      </c>
      <c r="AF2014" s="117" t="e">
        <f t="shared" si="1293"/>
        <v>#VALUE!</v>
      </c>
      <c r="AG2014" s="117" t="e">
        <f t="shared" si="1294"/>
        <v>#VALUE!</v>
      </c>
      <c r="AH2014" s="116"/>
      <c r="AI2014" t="str">
        <f t="shared" si="1234"/>
        <v>108SP</v>
      </c>
      <c r="AJ2014" t="str">
        <f t="shared" si="1295"/>
        <v>SG</v>
      </c>
      <c r="AK2014" t="str">
        <f>IF(ISERROR(MATCH(AI2014&amp;"."&amp;AJ2014,AK$91:AK2013,0)),AI2014&amp;"."&amp;AJ2014,AI2014&amp;"."&amp;AJ2014&amp;COUNTIFS(AI$91:AI2013,AI2014,AJ$91:AJ2013,AJ2014))</f>
        <v>108SP.SG</v>
      </c>
    </row>
    <row r="2015" spans="1:37" ht="15" hidden="1">
      <c r="A2015" s="120">
        <f>ROW()</f>
        <v>2015</v>
      </c>
      <c r="B2015" s="120"/>
      <c r="C2015" s="1"/>
      <c r="E2015" s="121" t="s">
        <v>15</v>
      </c>
      <c r="F2015" s="138" t="str">
        <f>INDEX(FuncAllocOptions,ROW(A2015)-ROW($A$92)+1,[4]Inputs!$S$11)</f>
        <v>P</v>
      </c>
      <c r="G2015" s="117" t="e">
        <f t="shared" si="1285"/>
        <v>#VALUE!</v>
      </c>
      <c r="H2015" s="116" t="e">
        <f t="shared" si="1286"/>
        <v>#VALUE!</v>
      </c>
      <c r="I2015" s="116" t="e">
        <f t="shared" si="1286"/>
        <v>#VALUE!</v>
      </c>
      <c r="J2015" s="116" t="e">
        <f t="shared" si="1286"/>
        <v>#VALUE!</v>
      </c>
      <c r="K2015" s="116" t="e">
        <f t="shared" si="1286"/>
        <v>#VALUE!</v>
      </c>
      <c r="L2015" s="116" t="e">
        <f t="shared" si="1286"/>
        <v>#VALUE!</v>
      </c>
      <c r="N2015" s="108">
        <v>0.75</v>
      </c>
      <c r="O2015" s="116" t="e">
        <f t="shared" si="1287"/>
        <v>#VALUE!</v>
      </c>
      <c r="P2015" s="116" t="e">
        <f t="shared" si="1288"/>
        <v>#VALUE!</v>
      </c>
      <c r="Q2015" s="116" t="e">
        <f t="shared" si="1289"/>
        <v>#VALUE!</v>
      </c>
      <c r="R2015" s="116" t="e">
        <f t="shared" si="1290"/>
        <v>#VALUE!</v>
      </c>
      <c r="T2015" s="116">
        <v>0</v>
      </c>
      <c r="U2015" s="116">
        <v>0</v>
      </c>
      <c r="V2015" s="116">
        <v>0</v>
      </c>
      <c r="W2015" s="116">
        <v>0</v>
      </c>
      <c r="X2015" s="3"/>
      <c r="AD2015" s="117" t="e">
        <f t="shared" si="1291"/>
        <v>#VALUE!</v>
      </c>
      <c r="AE2015" s="117" t="e">
        <f t="shared" si="1292"/>
        <v>#VALUE!</v>
      </c>
      <c r="AF2015" s="117" t="e">
        <f t="shared" si="1293"/>
        <v>#VALUE!</v>
      </c>
      <c r="AG2015" s="117" t="e">
        <f t="shared" si="1294"/>
        <v>#VALUE!</v>
      </c>
      <c r="AH2015" s="116"/>
      <c r="AI2015" t="str">
        <f t="shared" si="1234"/>
        <v>108SP</v>
      </c>
      <c r="AJ2015" t="str">
        <f t="shared" si="1295"/>
        <v>SG</v>
      </c>
      <c r="AK2015" t="str">
        <f>IF(ISERROR(MATCH(AI2015&amp;"."&amp;AJ2015,AK$91:AK2014,0)),AI2015&amp;"."&amp;AJ2015,AI2015&amp;"."&amp;AJ2015&amp;COUNTIFS(AI$91:AI2014,AI2015,AJ$91:AJ2014,AJ2015))</f>
        <v>108SP.SG1</v>
      </c>
    </row>
    <row r="2016" spans="1:37" ht="15" hidden="1">
      <c r="A2016" s="120">
        <f>ROW()</f>
        <v>2016</v>
      </c>
      <c r="B2016" s="120"/>
      <c r="C2016" s="1"/>
      <c r="E2016" s="121" t="s">
        <v>15</v>
      </c>
      <c r="F2016" s="138" t="str">
        <f>INDEX(FuncAllocOptions,ROW(A2016)-ROW($A$92)+1,[4]Inputs!$S$11)</f>
        <v>P</v>
      </c>
      <c r="G2016" s="117" t="e">
        <f t="shared" si="1285"/>
        <v>#VALUE!</v>
      </c>
      <c r="H2016" s="116" t="e">
        <f t="shared" si="1286"/>
        <v>#VALUE!</v>
      </c>
      <c r="I2016" s="116" t="e">
        <f t="shared" si="1286"/>
        <v>#VALUE!</v>
      </c>
      <c r="J2016" s="116" t="e">
        <f t="shared" si="1286"/>
        <v>#VALUE!</v>
      </c>
      <c r="K2016" s="116" t="e">
        <f t="shared" si="1286"/>
        <v>#VALUE!</v>
      </c>
      <c r="L2016" s="116" t="e">
        <f t="shared" si="1286"/>
        <v>#VALUE!</v>
      </c>
      <c r="N2016" s="108">
        <v>0.75</v>
      </c>
      <c r="O2016" s="116" t="e">
        <f t="shared" si="1287"/>
        <v>#VALUE!</v>
      </c>
      <c r="P2016" s="116" t="e">
        <f t="shared" si="1288"/>
        <v>#VALUE!</v>
      </c>
      <c r="Q2016" s="116" t="e">
        <f t="shared" si="1289"/>
        <v>#VALUE!</v>
      </c>
      <c r="R2016" s="116" t="e">
        <f t="shared" si="1290"/>
        <v>#VALUE!</v>
      </c>
      <c r="T2016" s="116">
        <v>0</v>
      </c>
      <c r="U2016" s="116">
        <v>0</v>
      </c>
      <c r="V2016" s="116">
        <v>0</v>
      </c>
      <c r="W2016" s="116">
        <v>0</v>
      </c>
      <c r="X2016" s="3"/>
      <c r="AD2016" s="117" t="e">
        <f t="shared" si="1291"/>
        <v>#VALUE!</v>
      </c>
      <c r="AE2016" s="117" t="e">
        <f t="shared" si="1292"/>
        <v>#VALUE!</v>
      </c>
      <c r="AF2016" s="117" t="e">
        <f t="shared" si="1293"/>
        <v>#VALUE!</v>
      </c>
      <c r="AG2016" s="117" t="e">
        <f t="shared" si="1294"/>
        <v>#VALUE!</v>
      </c>
      <c r="AH2016" s="116"/>
      <c r="AI2016" t="str">
        <f t="shared" si="1234"/>
        <v>108SP</v>
      </c>
      <c r="AJ2016" t="str">
        <f t="shared" si="1295"/>
        <v>SG</v>
      </c>
      <c r="AK2016" t="str">
        <f>IF(ISERROR(MATCH(AI2016&amp;"."&amp;AJ2016,AK$91:AK2015,0)),AI2016&amp;"."&amp;AJ2016,AI2016&amp;"."&amp;AJ2016&amp;COUNTIFS(AI$91:AI2015,AI2016,AJ$91:AJ2015,AJ2016))</f>
        <v>108SP.SG2</v>
      </c>
    </row>
    <row r="2017" spans="1:37" ht="15" hidden="1">
      <c r="A2017" s="120">
        <f>ROW()</f>
        <v>2017</v>
      </c>
      <c r="B2017" s="120"/>
      <c r="C2017" s="1"/>
      <c r="E2017" s="121" t="s">
        <v>15</v>
      </c>
      <c r="F2017" s="138" t="str">
        <f>INDEX(FuncAllocOptions,ROW(A2017)-ROW($A$92)+1,[4]Inputs!$S$11)</f>
        <v>P</v>
      </c>
      <c r="G2017" s="117" t="e">
        <f t="shared" si="1285"/>
        <v>#VALUE!</v>
      </c>
      <c r="H2017" s="116" t="e">
        <f t="shared" si="1286"/>
        <v>#VALUE!</v>
      </c>
      <c r="I2017" s="116" t="e">
        <f t="shared" si="1286"/>
        <v>#VALUE!</v>
      </c>
      <c r="J2017" s="116" t="e">
        <f t="shared" si="1286"/>
        <v>#VALUE!</v>
      </c>
      <c r="K2017" s="116" t="e">
        <f t="shared" si="1286"/>
        <v>#VALUE!</v>
      </c>
      <c r="L2017" s="116" t="e">
        <f t="shared" si="1286"/>
        <v>#VALUE!</v>
      </c>
      <c r="N2017" s="108">
        <v>0.75</v>
      </c>
      <c r="O2017" s="116" t="e">
        <f t="shared" si="1287"/>
        <v>#VALUE!</v>
      </c>
      <c r="P2017" s="116" t="e">
        <f t="shared" si="1288"/>
        <v>#VALUE!</v>
      </c>
      <c r="Q2017" s="116" t="e">
        <f t="shared" si="1289"/>
        <v>#VALUE!</v>
      </c>
      <c r="R2017" s="116" t="e">
        <f t="shared" si="1290"/>
        <v>#VALUE!</v>
      </c>
      <c r="T2017" s="116">
        <v>0</v>
      </c>
      <c r="U2017" s="116">
        <v>0</v>
      </c>
      <c r="V2017" s="116">
        <v>0</v>
      </c>
      <c r="W2017" s="116">
        <v>0</v>
      </c>
      <c r="X2017" s="3"/>
      <c r="AD2017" s="117" t="e">
        <f t="shared" si="1291"/>
        <v>#VALUE!</v>
      </c>
      <c r="AE2017" s="117" t="e">
        <f t="shared" si="1292"/>
        <v>#VALUE!</v>
      </c>
      <c r="AF2017" s="117" t="e">
        <f t="shared" si="1293"/>
        <v>#VALUE!</v>
      </c>
      <c r="AG2017" s="117" t="e">
        <f t="shared" si="1294"/>
        <v>#VALUE!</v>
      </c>
      <c r="AH2017" s="116"/>
      <c r="AI2017" t="str">
        <f t="shared" si="1234"/>
        <v>108SP</v>
      </c>
      <c r="AJ2017" t="str">
        <f t="shared" si="1295"/>
        <v>SG</v>
      </c>
      <c r="AK2017" t="str">
        <f>IF(ISERROR(MATCH(AI2017&amp;"."&amp;AJ2017,AK$91:AK2016,0)),AI2017&amp;"."&amp;AJ2017,AI2017&amp;"."&amp;AJ2017&amp;COUNTIFS(AI$91:AI2016,AI2017,AJ$91:AJ2016,AJ2017))</f>
        <v>108SP.SG3</v>
      </c>
    </row>
    <row r="2018" spans="1:37" ht="15" hidden="1">
      <c r="A2018" s="120">
        <f>ROW()</f>
        <v>2018</v>
      </c>
      <c r="B2018" s="120"/>
      <c r="C2018" s="1"/>
      <c r="E2018" s="121" t="s">
        <v>15</v>
      </c>
      <c r="F2018" s="138" t="str">
        <f>INDEX(FuncAllocOptions,ROW(A2018)-ROW($A$92)+1,[4]Inputs!$S$11)</f>
        <v>P</v>
      </c>
      <c r="G2018" s="133" t="e">
        <f t="shared" si="1285"/>
        <v>#VALUE!</v>
      </c>
      <c r="H2018" s="139" t="e">
        <f t="shared" si="1286"/>
        <v>#VALUE!</v>
      </c>
      <c r="I2018" s="139" t="e">
        <f t="shared" si="1286"/>
        <v>#VALUE!</v>
      </c>
      <c r="J2018" s="139" t="e">
        <f t="shared" si="1286"/>
        <v>#VALUE!</v>
      </c>
      <c r="K2018" s="139" t="e">
        <f t="shared" si="1286"/>
        <v>#VALUE!</v>
      </c>
      <c r="L2018" s="139" t="e">
        <f t="shared" si="1286"/>
        <v>#VALUE!</v>
      </c>
      <c r="N2018" s="108">
        <v>0.75</v>
      </c>
      <c r="O2018" s="116" t="e">
        <f t="shared" si="1287"/>
        <v>#VALUE!</v>
      </c>
      <c r="P2018" s="116" t="e">
        <f t="shared" si="1288"/>
        <v>#VALUE!</v>
      </c>
      <c r="Q2018" s="116" t="e">
        <f t="shared" si="1289"/>
        <v>#VALUE!</v>
      </c>
      <c r="R2018" s="116" t="e">
        <f t="shared" si="1290"/>
        <v>#VALUE!</v>
      </c>
      <c r="T2018" s="116"/>
      <c r="U2018" s="116"/>
      <c r="V2018" s="116"/>
      <c r="W2018" s="116"/>
      <c r="X2018" s="3"/>
      <c r="AD2018" s="117" t="e">
        <f t="shared" si="1291"/>
        <v>#VALUE!</v>
      </c>
      <c r="AE2018" s="117" t="e">
        <f t="shared" si="1292"/>
        <v>#VALUE!</v>
      </c>
      <c r="AF2018" s="117" t="e">
        <f t="shared" si="1293"/>
        <v>#VALUE!</v>
      </c>
      <c r="AG2018" s="117" t="e">
        <f t="shared" si="1294"/>
        <v>#VALUE!</v>
      </c>
      <c r="AH2018" s="116"/>
      <c r="AI2018" t="str">
        <f t="shared" si="1234"/>
        <v>108SP</v>
      </c>
      <c r="AJ2018" t="str">
        <f t="shared" si="1295"/>
        <v>SG</v>
      </c>
      <c r="AK2018" t="str">
        <f>IF(ISERROR(MATCH(AI2018&amp;"."&amp;AJ2018,AK$91:AK2017,0)),AI2018&amp;"."&amp;AJ2018,AI2018&amp;"."&amp;AJ2018&amp;COUNTIFS(AI$91:AI2017,AI2018,AJ$91:AJ2017,AJ2018))</f>
        <v>108SP.SG4</v>
      </c>
    </row>
    <row r="2019" spans="1:37" ht="15" hidden="1">
      <c r="A2019" s="120">
        <f>ROW()</f>
        <v>2019</v>
      </c>
      <c r="B2019" s="120"/>
      <c r="C2019" s="1"/>
      <c r="E2019" s="121"/>
      <c r="F2019" s="138"/>
      <c r="G2019" s="117" t="e">
        <f t="shared" ref="G2019:L2019" si="1296">SUM(G2013:G2018)</f>
        <v>#VALUE!</v>
      </c>
      <c r="H2019" s="116" t="e">
        <f t="shared" si="1296"/>
        <v>#VALUE!</v>
      </c>
      <c r="I2019" s="116" t="e">
        <f t="shared" si="1296"/>
        <v>#VALUE!</v>
      </c>
      <c r="J2019" s="116" t="e">
        <f t="shared" si="1296"/>
        <v>#VALUE!</v>
      </c>
      <c r="K2019" s="116" t="e">
        <f t="shared" si="1296"/>
        <v>#VALUE!</v>
      </c>
      <c r="L2019" s="116" t="e">
        <f t="shared" si="1296"/>
        <v>#VALUE!</v>
      </c>
      <c r="O2019" s="116" t="e">
        <f>SUM(O2013:O2018)</f>
        <v>#VALUE!</v>
      </c>
      <c r="P2019" s="116" t="e">
        <f>SUM(P2013:P2018)</f>
        <v>#VALUE!</v>
      </c>
      <c r="Q2019" s="116" t="e">
        <f>SUM(Q2013:Q2018)</f>
        <v>#VALUE!</v>
      </c>
      <c r="R2019" s="116" t="e">
        <f>SUM(R2013:R2018)</f>
        <v>#VALUE!</v>
      </c>
      <c r="S2019" s="116"/>
      <c r="T2019" s="116">
        <f>SUM(T2013:T2018)</f>
        <v>0</v>
      </c>
      <c r="U2019" s="116">
        <f>SUM(U2013:U2018)</f>
        <v>0</v>
      </c>
      <c r="V2019" s="116">
        <f>SUM(V2013:V2018)</f>
        <v>0</v>
      </c>
      <c r="W2019" s="116">
        <f>SUM(W2013:W2018)</f>
        <v>0</v>
      </c>
      <c r="X2019" s="3"/>
      <c r="Y2019" s="116">
        <f>SUM(Y2013:Y2018)</f>
        <v>0</v>
      </c>
      <c r="Z2019" s="116">
        <f>SUM(Z2013:Z2018)</f>
        <v>0</v>
      </c>
      <c r="AA2019" s="116">
        <f>SUM(AA2013:AA2018)</f>
        <v>0</v>
      </c>
      <c r="AB2019" s="116">
        <f>SUM(AB2013:AB2018)</f>
        <v>0</v>
      </c>
      <c r="AC2019" s="116">
        <f>SUM(AC2013:AC2018)</f>
        <v>0</v>
      </c>
      <c r="AD2019" s="117" t="e">
        <f t="shared" si="1291"/>
        <v>#VALUE!</v>
      </c>
      <c r="AE2019" s="117" t="e">
        <f t="shared" si="1292"/>
        <v>#VALUE!</v>
      </c>
      <c r="AF2019" s="117" t="e">
        <f t="shared" si="1293"/>
        <v>#VALUE!</v>
      </c>
      <c r="AG2019" s="117" t="e">
        <f t="shared" si="1294"/>
        <v>#VALUE!</v>
      </c>
      <c r="AH2019" s="116"/>
      <c r="AI2019" t="str">
        <f t="shared" si="1234"/>
        <v>108SP</v>
      </c>
      <c r="AJ2019" t="str">
        <f t="shared" si="1295"/>
        <v>NA</v>
      </c>
      <c r="AK2019" t="str">
        <f>IF(ISERROR(MATCH(AI2019&amp;"."&amp;AJ2019,AK$91:AK2018,0)),AI2019&amp;"."&amp;AJ2019,AI2019&amp;"."&amp;AJ2019&amp;COUNTIFS(AI$91:AI2018,AI2019,AJ$91:AJ2018,AJ2019))</f>
        <v>108SP.NA2</v>
      </c>
    </row>
    <row r="2020" spans="1:37" ht="15" hidden="1">
      <c r="A2020" s="120">
        <f>ROW()</f>
        <v>2020</v>
      </c>
      <c r="B2020" s="120"/>
      <c r="C2020" s="1"/>
      <c r="E2020" s="121"/>
      <c r="F2020" s="138"/>
      <c r="G2020" s="119"/>
      <c r="X2020" s="3"/>
      <c r="AD2020" s="119"/>
      <c r="AE2020" s="119"/>
      <c r="AF2020" s="119"/>
      <c r="AG2020" s="119"/>
      <c r="AI2020" t="str">
        <f t="shared" si="1234"/>
        <v>108SP</v>
      </c>
      <c r="AJ2020" t="str">
        <f t="shared" si="1295"/>
        <v>NA</v>
      </c>
      <c r="AK2020" t="str">
        <f>IF(ISERROR(MATCH(AI2020&amp;"."&amp;AJ2020,AK$91:AK2019,0)),AI2020&amp;"."&amp;AJ2020,AI2020&amp;"."&amp;AJ2020&amp;COUNTIFS(AI$91:AI2019,AI2020,AJ$91:AJ2019,AJ2020))</f>
        <v>108SP.NA3</v>
      </c>
    </row>
    <row r="2021" spans="1:37" ht="15" hidden="1">
      <c r="A2021" s="120">
        <f>ROW()</f>
        <v>2021</v>
      </c>
      <c r="B2021" s="120"/>
      <c r="C2021" s="1" t="s">
        <v>207</v>
      </c>
      <c r="D2021" s="2" t="s">
        <v>675</v>
      </c>
      <c r="E2021" s="121"/>
      <c r="F2021" s="138"/>
      <c r="G2021" s="119"/>
      <c r="X2021" s="3"/>
      <c r="AD2021" s="119"/>
      <c r="AE2021" s="119"/>
      <c r="AF2021" s="119"/>
      <c r="AG2021" s="119"/>
      <c r="AI2021" t="str">
        <f t="shared" si="1234"/>
        <v>108NP</v>
      </c>
      <c r="AJ2021" t="str">
        <f t="shared" si="1295"/>
        <v>NA</v>
      </c>
      <c r="AK2021" t="str">
        <f>IF(ISERROR(MATCH(AI2021&amp;"."&amp;AJ2021,AK$91:AK2020,0)),AI2021&amp;"."&amp;AJ2021,AI2021&amp;"."&amp;AJ2021&amp;COUNTIFS(AI$91:AI2020,AI2021,AJ$91:AJ2020,AJ2021))</f>
        <v>108NP.NA</v>
      </c>
    </row>
    <row r="2022" spans="1:37" ht="15" hidden="1">
      <c r="A2022" s="120">
        <f>ROW()</f>
        <v>2022</v>
      </c>
      <c r="B2022" s="120"/>
      <c r="C2022" s="1"/>
      <c r="E2022" s="121" t="s">
        <v>15</v>
      </c>
      <c r="F2022" s="138" t="str">
        <f>INDEX(FuncAllocOptions,ROW(A2022)-ROW($A$92)+1,[4]Inputs!$S$11)</f>
        <v>P</v>
      </c>
      <c r="G2022" s="117" t="e">
        <f>SUMIF(FERCJAMFactor,AK2022,JAMValue)</f>
        <v>#VALUE!</v>
      </c>
      <c r="H2022" s="116" t="e">
        <f t="shared" ref="H2022:L2024" si="1297">INDEX(FuncFactorTbl,MATCH($F2022,FuncFactors,0),MATCH(H$8,Functions,0))*$G2022</f>
        <v>#VALUE!</v>
      </c>
      <c r="I2022" s="116" t="e">
        <f t="shared" si="1297"/>
        <v>#VALUE!</v>
      </c>
      <c r="J2022" s="116" t="e">
        <f t="shared" si="1297"/>
        <v>#VALUE!</v>
      </c>
      <c r="K2022" s="116" t="e">
        <f t="shared" si="1297"/>
        <v>#VALUE!</v>
      </c>
      <c r="L2022" s="116" t="e">
        <f t="shared" si="1297"/>
        <v>#VALUE!</v>
      </c>
      <c r="N2022" s="108">
        <v>0.75</v>
      </c>
      <c r="O2022" s="116" t="e">
        <f>$H2022*$N2022*$M2022</f>
        <v>#VALUE!</v>
      </c>
      <c r="P2022" s="116" t="e">
        <f>$H2022*(1-$N2022)*$M2022</f>
        <v>#VALUE!</v>
      </c>
      <c r="Q2022" s="116" t="e">
        <f>$H2022*$N2022*(1-$M2022)</f>
        <v>#VALUE!</v>
      </c>
      <c r="R2022" s="116" t="e">
        <f>$H2022*(1-$N2022)*(1-$M2022)</f>
        <v>#VALUE!</v>
      </c>
      <c r="T2022" s="116">
        <v>0</v>
      </c>
      <c r="U2022" s="116">
        <v>0</v>
      </c>
      <c r="V2022" s="116">
        <v>0</v>
      </c>
      <c r="W2022" s="116">
        <v>0</v>
      </c>
      <c r="X2022" s="3"/>
      <c r="AD2022" s="117" t="e">
        <f>ROUND(SUM(-G2022,H2022:L2022),0)</f>
        <v>#VALUE!</v>
      </c>
      <c r="AE2022" s="117" t="e">
        <f>ROUND(H2022-O2022-P2022-Q2022-R2022,0)</f>
        <v>#VALUE!</v>
      </c>
      <c r="AF2022" s="117" t="e">
        <f>ROUND(I2022-T2022-U2022-V2022-W2022,0)</f>
        <v>#VALUE!</v>
      </c>
      <c r="AG2022" s="117" t="e">
        <f>ROUND(J2022-Y2022-Z2022-AA2022-AC2022-AB2022,0)</f>
        <v>#VALUE!</v>
      </c>
      <c r="AH2022" s="116"/>
      <c r="AI2022" t="str">
        <f t="shared" si="1234"/>
        <v>108NP</v>
      </c>
      <c r="AJ2022" t="str">
        <f t="shared" si="1295"/>
        <v>SG</v>
      </c>
      <c r="AK2022" t="str">
        <f>IF(ISERROR(MATCH(AI2022&amp;"."&amp;AJ2022,AK$91:AK2021,0)),AI2022&amp;"."&amp;AJ2022,AI2022&amp;"."&amp;AJ2022&amp;COUNTIFS(AI$91:AI2021,AI2022,AJ$91:AJ2021,AJ2022))</f>
        <v>108NP.SG</v>
      </c>
    </row>
    <row r="2023" spans="1:37" ht="15" hidden="1">
      <c r="A2023" s="120">
        <f>ROW()</f>
        <v>2023</v>
      </c>
      <c r="B2023" s="120"/>
      <c r="C2023" s="1"/>
      <c r="E2023" s="121" t="s">
        <v>15</v>
      </c>
      <c r="F2023" s="138" t="str">
        <f>INDEX(FuncAllocOptions,ROW(A2023)-ROW($A$92)+1,[4]Inputs!$S$11)</f>
        <v>P</v>
      </c>
      <c r="G2023" s="117" t="e">
        <f>SUMIF(FERCJAMFactor,AK2023,JAMValue)</f>
        <v>#VALUE!</v>
      </c>
      <c r="H2023" s="116" t="e">
        <f t="shared" si="1297"/>
        <v>#VALUE!</v>
      </c>
      <c r="I2023" s="116" t="e">
        <f t="shared" si="1297"/>
        <v>#VALUE!</v>
      </c>
      <c r="J2023" s="116" t="e">
        <f t="shared" si="1297"/>
        <v>#VALUE!</v>
      </c>
      <c r="K2023" s="116" t="e">
        <f t="shared" si="1297"/>
        <v>#VALUE!</v>
      </c>
      <c r="L2023" s="116" t="e">
        <f t="shared" si="1297"/>
        <v>#VALUE!</v>
      </c>
      <c r="N2023" s="108">
        <v>0.75</v>
      </c>
      <c r="O2023" s="116" t="e">
        <f>$H2023*$N2023*$M2023</f>
        <v>#VALUE!</v>
      </c>
      <c r="P2023" s="116" t="e">
        <f>$H2023*(1-$N2023)*$M2023</f>
        <v>#VALUE!</v>
      </c>
      <c r="Q2023" s="116" t="e">
        <f>$H2023*$N2023*(1-$M2023)</f>
        <v>#VALUE!</v>
      </c>
      <c r="R2023" s="116" t="e">
        <f>$H2023*(1-$N2023)*(1-$M2023)</f>
        <v>#VALUE!</v>
      </c>
      <c r="T2023" s="116">
        <v>0</v>
      </c>
      <c r="U2023" s="116">
        <v>0</v>
      </c>
      <c r="V2023" s="116">
        <v>0</v>
      </c>
      <c r="W2023" s="116">
        <v>0</v>
      </c>
      <c r="X2023" s="3"/>
      <c r="AD2023" s="117" t="e">
        <f>ROUND(SUM(-G2023,H2023:L2023),0)</f>
        <v>#VALUE!</v>
      </c>
      <c r="AE2023" s="117" t="e">
        <f>ROUND(H2023-O2023-P2023-Q2023-R2023,0)</f>
        <v>#VALUE!</v>
      </c>
      <c r="AF2023" s="117" t="e">
        <f>ROUND(I2023-T2023-U2023-V2023-W2023,0)</f>
        <v>#VALUE!</v>
      </c>
      <c r="AG2023" s="117" t="e">
        <f>ROUND(J2023-Y2023-Z2023-AA2023-AC2023-AB2023,0)</f>
        <v>#VALUE!</v>
      </c>
      <c r="AH2023" s="116"/>
      <c r="AI2023" t="str">
        <f t="shared" si="1234"/>
        <v>108NP</v>
      </c>
      <c r="AJ2023" t="str">
        <f t="shared" si="1295"/>
        <v>SG</v>
      </c>
      <c r="AK2023" t="str">
        <f>IF(ISERROR(MATCH(AI2023&amp;"."&amp;AJ2023,AK$91:AK2022,0)),AI2023&amp;"."&amp;AJ2023,AI2023&amp;"."&amp;AJ2023&amp;COUNTIFS(AI$91:AI2022,AI2023,AJ$91:AJ2022,AJ2023))</f>
        <v>108NP.SG1</v>
      </c>
    </row>
    <row r="2024" spans="1:37" ht="15" hidden="1">
      <c r="A2024" s="120">
        <f>ROW()</f>
        <v>2024</v>
      </c>
      <c r="B2024" s="120"/>
      <c r="C2024" s="1"/>
      <c r="E2024" s="121" t="s">
        <v>15</v>
      </c>
      <c r="F2024" s="138" t="str">
        <f>INDEX(FuncAllocOptions,ROW(A2024)-ROW($A$92)+1,[4]Inputs!$S$11)</f>
        <v>P</v>
      </c>
      <c r="G2024" s="133" t="e">
        <f>SUMIF(FERCJAMFactor,AK2024,JAMValue)</f>
        <v>#VALUE!</v>
      </c>
      <c r="H2024" s="139" t="e">
        <f t="shared" si="1297"/>
        <v>#VALUE!</v>
      </c>
      <c r="I2024" s="139" t="e">
        <f t="shared" si="1297"/>
        <v>#VALUE!</v>
      </c>
      <c r="J2024" s="139" t="e">
        <f t="shared" si="1297"/>
        <v>#VALUE!</v>
      </c>
      <c r="K2024" s="139" t="e">
        <f t="shared" si="1297"/>
        <v>#VALUE!</v>
      </c>
      <c r="L2024" s="139" t="e">
        <f t="shared" si="1297"/>
        <v>#VALUE!</v>
      </c>
      <c r="N2024" s="108">
        <v>0.75</v>
      </c>
      <c r="O2024" s="116" t="e">
        <f>$H2024*$N2024*$M2024</f>
        <v>#VALUE!</v>
      </c>
      <c r="P2024" s="116" t="e">
        <f>$H2024*(1-$N2024)*$M2024</f>
        <v>#VALUE!</v>
      </c>
      <c r="Q2024" s="116" t="e">
        <f>$H2024*$N2024*(1-$M2024)</f>
        <v>#VALUE!</v>
      </c>
      <c r="R2024" s="116" t="e">
        <f>$H2024*(1-$N2024)*(1-$M2024)</f>
        <v>#VALUE!</v>
      </c>
      <c r="T2024" s="116">
        <v>0</v>
      </c>
      <c r="U2024" s="116">
        <v>0</v>
      </c>
      <c r="V2024" s="116">
        <v>0</v>
      </c>
      <c r="W2024" s="116">
        <v>0</v>
      </c>
      <c r="X2024" s="3"/>
      <c r="AD2024" s="117" t="e">
        <f>ROUND(SUM(-G2024,H2024:L2024),0)</f>
        <v>#VALUE!</v>
      </c>
      <c r="AE2024" s="117" t="e">
        <f>ROUND(H2024-O2024-P2024-Q2024-R2024,0)</f>
        <v>#VALUE!</v>
      </c>
      <c r="AF2024" s="117" t="e">
        <f>ROUND(I2024-T2024-U2024-V2024-W2024,0)</f>
        <v>#VALUE!</v>
      </c>
      <c r="AG2024" s="117" t="e">
        <f>ROUND(J2024-Y2024-Z2024-AA2024-AC2024-AB2024,0)</f>
        <v>#VALUE!</v>
      </c>
      <c r="AH2024" s="116"/>
      <c r="AI2024" t="str">
        <f t="shared" si="1234"/>
        <v>108NP</v>
      </c>
      <c r="AJ2024" t="str">
        <f t="shared" si="1295"/>
        <v>SG</v>
      </c>
      <c r="AK2024" t="str">
        <f>IF(ISERROR(MATCH(AI2024&amp;"."&amp;AJ2024,AK$91:AK2023,0)),AI2024&amp;"."&amp;AJ2024,AI2024&amp;"."&amp;AJ2024&amp;COUNTIFS(AI$91:AI2023,AI2024,AJ$91:AJ2023,AJ2024))</f>
        <v>108NP.SG2</v>
      </c>
    </row>
    <row r="2025" spans="1:37" ht="15" hidden="1">
      <c r="A2025" s="120">
        <f>ROW()</f>
        <v>2025</v>
      </c>
      <c r="B2025" s="120"/>
      <c r="C2025" s="1"/>
      <c r="E2025" s="121"/>
      <c r="F2025" s="138"/>
      <c r="G2025" s="117" t="e">
        <f t="shared" ref="G2025:L2025" si="1298">SUM(G2022:G2024)</f>
        <v>#VALUE!</v>
      </c>
      <c r="H2025" s="116" t="e">
        <f t="shared" si="1298"/>
        <v>#VALUE!</v>
      </c>
      <c r="I2025" s="116" t="e">
        <f t="shared" si="1298"/>
        <v>#VALUE!</v>
      </c>
      <c r="J2025" s="116" t="e">
        <f t="shared" si="1298"/>
        <v>#VALUE!</v>
      </c>
      <c r="K2025" s="116" t="e">
        <f t="shared" si="1298"/>
        <v>#VALUE!</v>
      </c>
      <c r="L2025" s="116" t="e">
        <f t="shared" si="1298"/>
        <v>#VALUE!</v>
      </c>
      <c r="O2025" s="116" t="e">
        <f>SUM(O2022:O2024)</f>
        <v>#VALUE!</v>
      </c>
      <c r="P2025" s="116" t="e">
        <f>SUM(P2022:P2024)</f>
        <v>#VALUE!</v>
      </c>
      <c r="Q2025" s="116" t="e">
        <f>SUM(Q2022:Q2024)</f>
        <v>#VALUE!</v>
      </c>
      <c r="R2025" s="116" t="e">
        <f>SUM(R2022:R2024)</f>
        <v>#VALUE!</v>
      </c>
      <c r="T2025" s="116">
        <f>SUM(T2022:T2024)</f>
        <v>0</v>
      </c>
      <c r="U2025" s="116">
        <f>SUM(U2022:U2024)</f>
        <v>0</v>
      </c>
      <c r="V2025" s="116">
        <f>SUM(V2022:V2024)</f>
        <v>0</v>
      </c>
      <c r="W2025" s="116">
        <f>SUM(W2022:W2024)</f>
        <v>0</v>
      </c>
      <c r="X2025" s="3"/>
      <c r="Y2025" s="116">
        <f>SUM(Y2022:Y2024)</f>
        <v>0</v>
      </c>
      <c r="Z2025" s="116">
        <f>SUM(Z2022:Z2024)</f>
        <v>0</v>
      </c>
      <c r="AA2025" s="116">
        <f>SUM(AA2022:AA2024)</f>
        <v>0</v>
      </c>
      <c r="AB2025" s="116">
        <f>SUM(AB2022:AB2024)</f>
        <v>0</v>
      </c>
      <c r="AC2025" s="116">
        <f>SUM(AC2022:AC2024)</f>
        <v>0</v>
      </c>
      <c r="AD2025" s="117" t="e">
        <f>ROUND(SUM(-G2025,H2025:L2025),0)</f>
        <v>#VALUE!</v>
      </c>
      <c r="AE2025" s="117" t="e">
        <f>ROUND(H2025-O2025-P2025-Q2025-R2025,0)</f>
        <v>#VALUE!</v>
      </c>
      <c r="AF2025" s="117" t="e">
        <f>ROUND(I2025-T2025-U2025-V2025-W2025,0)</f>
        <v>#VALUE!</v>
      </c>
      <c r="AG2025" s="117" t="e">
        <f>ROUND(J2025-Y2025-Z2025-AA2025-AC2025-AB2025,0)</f>
        <v>#VALUE!</v>
      </c>
      <c r="AH2025" s="116"/>
      <c r="AI2025" t="str">
        <f t="shared" si="1234"/>
        <v>108NP</v>
      </c>
      <c r="AJ2025" t="str">
        <f t="shared" si="1295"/>
        <v>NA</v>
      </c>
      <c r="AK2025" t="str">
        <f>IF(ISERROR(MATCH(AI2025&amp;"."&amp;AJ2025,AK$91:AK2024,0)),AI2025&amp;"."&amp;AJ2025,AI2025&amp;"."&amp;AJ2025&amp;COUNTIFS(AI$91:AI2024,AI2025,AJ$91:AJ2024,AJ2025))</f>
        <v>108NP.NA1</v>
      </c>
    </row>
    <row r="2026" spans="1:37" ht="15" hidden="1">
      <c r="A2026" s="120">
        <f>ROW()</f>
        <v>2026</v>
      </c>
      <c r="B2026" s="120"/>
      <c r="C2026" s="1"/>
      <c r="E2026" s="121"/>
      <c r="F2026" s="138"/>
      <c r="G2026" s="119"/>
      <c r="X2026" s="3"/>
      <c r="AD2026" s="119"/>
      <c r="AE2026" s="119"/>
      <c r="AF2026" s="119"/>
      <c r="AG2026" s="119"/>
      <c r="AI2026" t="str">
        <f t="shared" si="1234"/>
        <v>108NP</v>
      </c>
      <c r="AJ2026" t="str">
        <f t="shared" si="1295"/>
        <v>NA</v>
      </c>
      <c r="AK2026" t="str">
        <f>IF(ISERROR(MATCH(AI2026&amp;"."&amp;AJ2026,AK$91:AK2025,0)),AI2026&amp;"."&amp;AJ2026,AI2026&amp;"."&amp;AJ2026&amp;COUNTIFS(AI$91:AI2025,AI2026,AJ$91:AJ2025,AJ2026))</f>
        <v>108NP.NA2</v>
      </c>
    </row>
    <row r="2027" spans="1:37" ht="15" hidden="1">
      <c r="A2027" s="120">
        <f>ROW()</f>
        <v>2027</v>
      </c>
      <c r="B2027" s="120"/>
      <c r="C2027" s="1"/>
      <c r="E2027" s="121"/>
      <c r="F2027" s="138"/>
      <c r="G2027" s="119"/>
      <c r="X2027" s="3"/>
      <c r="AD2027" s="119"/>
      <c r="AE2027" s="119"/>
      <c r="AF2027" s="119"/>
      <c r="AG2027" s="119"/>
      <c r="AI2027" t="str">
        <f t="shared" si="1234"/>
        <v>108NP</v>
      </c>
      <c r="AJ2027" t="str">
        <f t="shared" si="1295"/>
        <v>NA</v>
      </c>
      <c r="AK2027" t="str">
        <f>IF(ISERROR(MATCH(AI2027&amp;"."&amp;AJ2027,AK$91:AK2026,0)),AI2027&amp;"."&amp;AJ2027,AI2027&amp;"."&amp;AJ2027&amp;COUNTIFS(AI$91:AI2026,AI2027,AJ$91:AJ2026,AJ2027))</f>
        <v>108NP.NA3</v>
      </c>
    </row>
    <row r="2028" spans="1:37" ht="15" hidden="1">
      <c r="A2028" s="120">
        <f>ROW()</f>
        <v>2028</v>
      </c>
      <c r="B2028" s="120"/>
      <c r="C2028" s="1" t="s">
        <v>205</v>
      </c>
      <c r="D2028" s="2" t="s">
        <v>676</v>
      </c>
      <c r="E2028" s="121"/>
      <c r="F2028" s="138"/>
      <c r="G2028" s="119"/>
      <c r="X2028" s="3"/>
      <c r="AD2028" s="119"/>
      <c r="AE2028" s="119"/>
      <c r="AF2028" s="119"/>
      <c r="AG2028" s="119"/>
      <c r="AI2028" t="str">
        <f t="shared" ref="AI2028:AI2091" si="1299">IF(OR(C2028="",C2028=" ",C2028="  ",C2028="   "),AI2027,C2028)</f>
        <v>108HP</v>
      </c>
      <c r="AJ2028" t="str">
        <f t="shared" si="1295"/>
        <v>NA</v>
      </c>
      <c r="AK2028" t="str">
        <f>IF(ISERROR(MATCH(AI2028&amp;"."&amp;AJ2028,AK$91:AK2027,0)),AI2028&amp;"."&amp;AJ2028,AI2028&amp;"."&amp;AJ2028&amp;COUNTIFS(AI$91:AI2027,AI2028,AJ$91:AJ2027,AJ2028))</f>
        <v>108HP.NA</v>
      </c>
    </row>
    <row r="2029" spans="1:37" ht="15" hidden="1">
      <c r="A2029" s="120">
        <f>ROW()</f>
        <v>2029</v>
      </c>
      <c r="B2029" s="120"/>
      <c r="C2029" s="1"/>
      <c r="E2029" s="121" t="s">
        <v>15</v>
      </c>
      <c r="F2029" s="138" t="str">
        <f>INDEX(FuncAllocOptions,ROW(A2029)-ROW($A$92)+1,[4]Inputs!$S$11)</f>
        <v>P</v>
      </c>
      <c r="G2029" s="117" t="e">
        <f>SUMIF(FERCJAMFactor,AK2029,JAMValue)</f>
        <v>#VALUE!</v>
      </c>
      <c r="H2029" s="116" t="e">
        <f t="shared" ref="H2029:L2032" si="1300">INDEX(FuncFactorTbl,MATCH($F2029,FuncFactors,0),MATCH(H$8,Functions,0))*$G2029</f>
        <v>#VALUE!</v>
      </c>
      <c r="I2029" s="116" t="e">
        <f t="shared" si="1300"/>
        <v>#VALUE!</v>
      </c>
      <c r="J2029" s="116" t="e">
        <f t="shared" si="1300"/>
        <v>#VALUE!</v>
      </c>
      <c r="K2029" s="116" t="e">
        <f t="shared" si="1300"/>
        <v>#VALUE!</v>
      </c>
      <c r="L2029" s="116" t="e">
        <f t="shared" si="1300"/>
        <v>#VALUE!</v>
      </c>
      <c r="N2029" s="108">
        <v>0.75</v>
      </c>
      <c r="O2029" s="116" t="e">
        <f>$H2029*$N2029*$M2029</f>
        <v>#VALUE!</v>
      </c>
      <c r="P2029" s="116" t="e">
        <f>$H2029*(1-$N2029)*$M2029</f>
        <v>#VALUE!</v>
      </c>
      <c r="Q2029" s="116" t="e">
        <f>$H2029*$N2029*(1-$M2029)</f>
        <v>#VALUE!</v>
      </c>
      <c r="R2029" s="116" t="e">
        <f>$H2029*(1-$N2029)*(1-$M2029)</f>
        <v>#VALUE!</v>
      </c>
      <c r="T2029" s="116">
        <v>0</v>
      </c>
      <c r="U2029" s="116">
        <v>0</v>
      </c>
      <c r="V2029" s="116">
        <v>0</v>
      </c>
      <c r="W2029" s="116">
        <v>0</v>
      </c>
      <c r="X2029" s="3"/>
      <c r="AD2029" s="117" t="e">
        <f>ROUND(SUM(-G2029,H2029:L2029),0)</f>
        <v>#VALUE!</v>
      </c>
      <c r="AE2029" s="117" t="e">
        <f>ROUND(H2029-O2029-P2029-Q2029-R2029,0)</f>
        <v>#VALUE!</v>
      </c>
      <c r="AF2029" s="117" t="e">
        <f>ROUND(I2029-T2029-U2029-V2029-W2029,0)</f>
        <v>#VALUE!</v>
      </c>
      <c r="AG2029" s="117" t="e">
        <f>ROUND(J2029-Y2029-Z2029-AA2029-AC2029-AB2029,0)</f>
        <v>#VALUE!</v>
      </c>
      <c r="AH2029" s="116"/>
      <c r="AI2029" t="str">
        <f t="shared" si="1299"/>
        <v>108HP</v>
      </c>
      <c r="AJ2029" t="str">
        <f t="shared" si="1295"/>
        <v>SG</v>
      </c>
      <c r="AK2029" t="str">
        <f>IF(ISERROR(MATCH(AI2029&amp;"."&amp;AJ2029,AK$91:AK2028,0)),AI2029&amp;"."&amp;AJ2029,AI2029&amp;"."&amp;AJ2029&amp;COUNTIFS(AI$91:AI2028,AI2029,AJ$91:AJ2028,AJ2029))</f>
        <v>108HP.SG</v>
      </c>
    </row>
    <row r="2030" spans="1:37" ht="15" hidden="1">
      <c r="A2030" s="120">
        <f>ROW()</f>
        <v>2030</v>
      </c>
      <c r="B2030" s="120"/>
      <c r="C2030" s="1"/>
      <c r="E2030" s="121" t="s">
        <v>15</v>
      </c>
      <c r="F2030" s="138" t="str">
        <f>INDEX(FuncAllocOptions,ROW(A2030)-ROW($A$92)+1,[4]Inputs!$S$11)</f>
        <v>P</v>
      </c>
      <c r="G2030" s="117" t="e">
        <f>SUMIF(FERCJAMFactor,AK2030,JAMValue)</f>
        <v>#VALUE!</v>
      </c>
      <c r="H2030" s="116" t="e">
        <f t="shared" si="1300"/>
        <v>#VALUE!</v>
      </c>
      <c r="I2030" s="116" t="e">
        <f t="shared" si="1300"/>
        <v>#VALUE!</v>
      </c>
      <c r="J2030" s="116" t="e">
        <f t="shared" si="1300"/>
        <v>#VALUE!</v>
      </c>
      <c r="K2030" s="116" t="e">
        <f t="shared" si="1300"/>
        <v>#VALUE!</v>
      </c>
      <c r="L2030" s="116" t="e">
        <f t="shared" si="1300"/>
        <v>#VALUE!</v>
      </c>
      <c r="N2030" s="108">
        <v>0.75</v>
      </c>
      <c r="O2030" s="116" t="e">
        <f>$H2030*$N2030*$M2030</f>
        <v>#VALUE!</v>
      </c>
      <c r="P2030" s="116" t="e">
        <f>$H2030*(1-$N2030)*$M2030</f>
        <v>#VALUE!</v>
      </c>
      <c r="Q2030" s="116" t="e">
        <f>$H2030*$N2030*(1-$M2030)</f>
        <v>#VALUE!</v>
      </c>
      <c r="R2030" s="116" t="e">
        <f>$H2030*(1-$N2030)*(1-$M2030)</f>
        <v>#VALUE!</v>
      </c>
      <c r="T2030" s="116">
        <v>0</v>
      </c>
      <c r="U2030" s="116">
        <v>0</v>
      </c>
      <c r="V2030" s="116">
        <v>0</v>
      </c>
      <c r="W2030" s="116">
        <v>0</v>
      </c>
      <c r="X2030" s="3"/>
      <c r="AD2030" s="117" t="e">
        <f>ROUND(SUM(-G2030,H2030:L2030),0)</f>
        <v>#VALUE!</v>
      </c>
      <c r="AE2030" s="117" t="e">
        <f>ROUND(H2030-O2030-P2030-Q2030-R2030,0)</f>
        <v>#VALUE!</v>
      </c>
      <c r="AF2030" s="117" t="e">
        <f>ROUND(I2030-T2030-U2030-V2030-W2030,0)</f>
        <v>#VALUE!</v>
      </c>
      <c r="AG2030" s="117" t="e">
        <f>ROUND(J2030-Y2030-Z2030-AA2030-AC2030-AB2030,0)</f>
        <v>#VALUE!</v>
      </c>
      <c r="AH2030" s="116"/>
      <c r="AI2030" t="str">
        <f t="shared" si="1299"/>
        <v>108HP</v>
      </c>
      <c r="AJ2030" t="str">
        <f t="shared" si="1295"/>
        <v>SG</v>
      </c>
      <c r="AK2030" t="str">
        <f>IF(ISERROR(MATCH(AI2030&amp;"."&amp;AJ2030,AK$91:AK2029,0)),AI2030&amp;"."&amp;AJ2030,AI2030&amp;"."&amp;AJ2030&amp;COUNTIFS(AI$91:AI2029,AI2030,AJ$91:AJ2029,AJ2030))</f>
        <v>108HP.SG1</v>
      </c>
    </row>
    <row r="2031" spans="1:37" ht="15" hidden="1">
      <c r="A2031" s="120">
        <f>ROW()</f>
        <v>2031</v>
      </c>
      <c r="B2031" s="120"/>
      <c r="C2031" s="1"/>
      <c r="E2031" s="121" t="s">
        <v>15</v>
      </c>
      <c r="F2031" s="138" t="str">
        <f>INDEX(FuncAllocOptions,ROW(A2031)-ROW($A$92)+1,[4]Inputs!$S$11)</f>
        <v>P</v>
      </c>
      <c r="G2031" s="117" t="e">
        <f>SUMIF(FERCJAMFactor,AK2031,JAMValue)</f>
        <v>#VALUE!</v>
      </c>
      <c r="H2031" s="116" t="e">
        <f t="shared" si="1300"/>
        <v>#VALUE!</v>
      </c>
      <c r="I2031" s="116" t="e">
        <f t="shared" si="1300"/>
        <v>#VALUE!</v>
      </c>
      <c r="J2031" s="116" t="e">
        <f t="shared" si="1300"/>
        <v>#VALUE!</v>
      </c>
      <c r="K2031" s="116" t="e">
        <f t="shared" si="1300"/>
        <v>#VALUE!</v>
      </c>
      <c r="L2031" s="116" t="e">
        <f t="shared" si="1300"/>
        <v>#VALUE!</v>
      </c>
      <c r="N2031" s="108">
        <v>0.75</v>
      </c>
      <c r="O2031" s="116" t="e">
        <f>$H2031*$N2031*$M2031</f>
        <v>#VALUE!</v>
      </c>
      <c r="P2031" s="116" t="e">
        <f>$H2031*(1-$N2031)*$M2031</f>
        <v>#VALUE!</v>
      </c>
      <c r="Q2031" s="116" t="e">
        <f>$H2031*$N2031*(1-$M2031)</f>
        <v>#VALUE!</v>
      </c>
      <c r="R2031" s="116" t="e">
        <f>$H2031*(1-$N2031)*(1-$M2031)</f>
        <v>#VALUE!</v>
      </c>
      <c r="T2031" s="116">
        <v>0</v>
      </c>
      <c r="U2031" s="116">
        <v>0</v>
      </c>
      <c r="V2031" s="116">
        <v>0</v>
      </c>
      <c r="W2031" s="116">
        <v>0</v>
      </c>
      <c r="X2031" s="3"/>
      <c r="AD2031" s="117" t="e">
        <f>ROUND(SUM(-G2031,H2031:L2031),0)</f>
        <v>#VALUE!</v>
      </c>
      <c r="AE2031" s="117" t="e">
        <f>ROUND(H2031-O2031-P2031-Q2031-R2031,0)</f>
        <v>#VALUE!</v>
      </c>
      <c r="AF2031" s="117" t="e">
        <f>ROUND(I2031-T2031-U2031-V2031-W2031,0)</f>
        <v>#VALUE!</v>
      </c>
      <c r="AG2031" s="117" t="e">
        <f>ROUND(J2031-Y2031-Z2031-AA2031-AC2031-AB2031,0)</f>
        <v>#VALUE!</v>
      </c>
      <c r="AH2031" s="116"/>
      <c r="AI2031" t="str">
        <f t="shared" si="1299"/>
        <v>108HP</v>
      </c>
      <c r="AJ2031" t="str">
        <f t="shared" si="1295"/>
        <v>SG</v>
      </c>
      <c r="AK2031" t="str">
        <f>IF(ISERROR(MATCH(AI2031&amp;"."&amp;AJ2031,AK$91:AK2030,0)),AI2031&amp;"."&amp;AJ2031,AI2031&amp;"."&amp;AJ2031&amp;COUNTIFS(AI$91:AI2030,AI2031,AJ$91:AJ2030,AJ2031))</f>
        <v>108HP.SG2</v>
      </c>
    </row>
    <row r="2032" spans="1:37" ht="15" hidden="1">
      <c r="A2032" s="120">
        <f>ROW()</f>
        <v>2032</v>
      </c>
      <c r="B2032" s="120"/>
      <c r="C2032" s="1"/>
      <c r="E2032" s="121" t="s">
        <v>15</v>
      </c>
      <c r="F2032" s="138" t="str">
        <f>INDEX(FuncAllocOptions,ROW(A2032)-ROW($A$92)+1,[4]Inputs!$S$11)</f>
        <v>P</v>
      </c>
      <c r="G2032" s="133" t="e">
        <f>SUMIF(FERCJAMFactor,AK2032,JAMValue)</f>
        <v>#VALUE!</v>
      </c>
      <c r="H2032" s="139" t="e">
        <f t="shared" si="1300"/>
        <v>#VALUE!</v>
      </c>
      <c r="I2032" s="139" t="e">
        <f t="shared" si="1300"/>
        <v>#VALUE!</v>
      </c>
      <c r="J2032" s="139" t="e">
        <f t="shared" si="1300"/>
        <v>#VALUE!</v>
      </c>
      <c r="K2032" s="139" t="e">
        <f t="shared" si="1300"/>
        <v>#VALUE!</v>
      </c>
      <c r="L2032" s="139" t="e">
        <f t="shared" si="1300"/>
        <v>#VALUE!</v>
      </c>
      <c r="N2032" s="108">
        <v>0.75</v>
      </c>
      <c r="O2032" s="116" t="e">
        <f>$H2032*$N2032*$M2032</f>
        <v>#VALUE!</v>
      </c>
      <c r="P2032" s="116" t="e">
        <f>$H2032*(1-$N2032)*$M2032</f>
        <v>#VALUE!</v>
      </c>
      <c r="Q2032" s="116" t="e">
        <f>$H2032*$N2032*(1-$M2032)</f>
        <v>#VALUE!</v>
      </c>
      <c r="R2032" s="116" t="e">
        <f>$H2032*(1-$N2032)*(1-$M2032)</f>
        <v>#VALUE!</v>
      </c>
      <c r="T2032" s="116">
        <v>0</v>
      </c>
      <c r="U2032" s="116">
        <v>0</v>
      </c>
      <c r="V2032" s="116">
        <v>0</v>
      </c>
      <c r="W2032" s="116">
        <v>0</v>
      </c>
      <c r="X2032" s="3"/>
      <c r="AD2032" s="117" t="e">
        <f>ROUND(SUM(-G2032,H2032:L2032),0)</f>
        <v>#VALUE!</v>
      </c>
      <c r="AE2032" s="117" t="e">
        <f>ROUND(H2032-O2032-P2032-Q2032-R2032,0)</f>
        <v>#VALUE!</v>
      </c>
      <c r="AF2032" s="117" t="e">
        <f>ROUND(I2032-T2032-U2032-V2032-W2032,0)</f>
        <v>#VALUE!</v>
      </c>
      <c r="AG2032" s="117" t="e">
        <f>ROUND(J2032-Y2032-Z2032-AA2032-AC2032-AB2032,0)</f>
        <v>#VALUE!</v>
      </c>
      <c r="AH2032" s="116"/>
      <c r="AI2032" t="str">
        <f t="shared" si="1299"/>
        <v>108HP</v>
      </c>
      <c r="AJ2032" t="str">
        <f t="shared" si="1295"/>
        <v>SG</v>
      </c>
      <c r="AK2032" t="str">
        <f>IF(ISERROR(MATCH(AI2032&amp;"."&amp;AJ2032,AK$91:AK2031,0)),AI2032&amp;"."&amp;AJ2032,AI2032&amp;"."&amp;AJ2032&amp;COUNTIFS(AI$91:AI2031,AI2032,AJ$91:AJ2031,AJ2032))</f>
        <v>108HP.SG3</v>
      </c>
    </row>
    <row r="2033" spans="1:37" ht="15" hidden="1">
      <c r="A2033" s="120">
        <f>ROW()</f>
        <v>2033</v>
      </c>
      <c r="B2033" s="120"/>
      <c r="C2033" s="1"/>
      <c r="E2033" s="121"/>
      <c r="F2033" s="138"/>
      <c r="G2033" s="117" t="e">
        <f t="shared" ref="G2033:L2033" si="1301">SUM(G2029:G2032)</f>
        <v>#VALUE!</v>
      </c>
      <c r="H2033" s="116" t="e">
        <f t="shared" si="1301"/>
        <v>#VALUE!</v>
      </c>
      <c r="I2033" s="116" t="e">
        <f t="shared" si="1301"/>
        <v>#VALUE!</v>
      </c>
      <c r="J2033" s="116" t="e">
        <f t="shared" si="1301"/>
        <v>#VALUE!</v>
      </c>
      <c r="K2033" s="116" t="e">
        <f t="shared" si="1301"/>
        <v>#VALUE!</v>
      </c>
      <c r="L2033" s="116" t="e">
        <f t="shared" si="1301"/>
        <v>#VALUE!</v>
      </c>
      <c r="O2033" s="116" t="e">
        <f>SUM(O2029:O2032)</f>
        <v>#VALUE!</v>
      </c>
      <c r="P2033" s="116" t="e">
        <f>SUM(P2029:P2032)</f>
        <v>#VALUE!</v>
      </c>
      <c r="Q2033" s="116" t="e">
        <f>SUM(Q2029:Q2032)</f>
        <v>#VALUE!</v>
      </c>
      <c r="R2033" s="116" t="e">
        <f>SUM(R2029:R2032)</f>
        <v>#VALUE!</v>
      </c>
      <c r="T2033" s="116">
        <f>SUM(T2029:T2032)</f>
        <v>0</v>
      </c>
      <c r="U2033" s="116">
        <f>SUM(U2029:U2032)</f>
        <v>0</v>
      </c>
      <c r="V2033" s="116">
        <f>SUM(V2029:V2032)</f>
        <v>0</v>
      </c>
      <c r="W2033" s="116">
        <f>SUM(W2029:W2032)</f>
        <v>0</v>
      </c>
      <c r="X2033" s="3"/>
      <c r="Y2033" s="116">
        <f>SUM(Y2029:Y2032)</f>
        <v>0</v>
      </c>
      <c r="Z2033" s="116">
        <f>SUM(Z2029:Z2032)</f>
        <v>0</v>
      </c>
      <c r="AA2033" s="116">
        <f>SUM(AA2029:AA2032)</f>
        <v>0</v>
      </c>
      <c r="AB2033" s="116">
        <f>SUM(AB2029:AB2032)</f>
        <v>0</v>
      </c>
      <c r="AC2033" s="116">
        <f>SUM(AC2029:AC2032)</f>
        <v>0</v>
      </c>
      <c r="AD2033" s="117" t="e">
        <f>ROUND(SUM(-G2033,H2033:L2033),0)</f>
        <v>#VALUE!</v>
      </c>
      <c r="AE2033" s="117" t="e">
        <f>ROUND(H2033-O2033-P2033-Q2033-R2033,0)</f>
        <v>#VALUE!</v>
      </c>
      <c r="AF2033" s="117" t="e">
        <f>ROUND(I2033-T2033-U2033-V2033-W2033,0)</f>
        <v>#VALUE!</v>
      </c>
      <c r="AG2033" s="117" t="e">
        <f>ROUND(J2033-Y2033-Z2033-AA2033-AC2033-AB2033,0)</f>
        <v>#VALUE!</v>
      </c>
      <c r="AH2033" s="116"/>
      <c r="AI2033" t="str">
        <f t="shared" si="1299"/>
        <v>108HP</v>
      </c>
      <c r="AJ2033" t="str">
        <f t="shared" si="1295"/>
        <v>NA</v>
      </c>
      <c r="AK2033" t="str">
        <f>IF(ISERROR(MATCH(AI2033&amp;"."&amp;AJ2033,AK$91:AK2032,0)),AI2033&amp;"."&amp;AJ2033,AI2033&amp;"."&amp;AJ2033&amp;COUNTIFS(AI$91:AI2032,AI2033,AJ$91:AJ2032,AJ2033))</f>
        <v>108HP.NA1</v>
      </c>
    </row>
    <row r="2034" spans="1:37" ht="15" hidden="1">
      <c r="A2034" s="120">
        <f>ROW()</f>
        <v>2034</v>
      </c>
      <c r="B2034" s="120"/>
      <c r="C2034" s="1"/>
      <c r="E2034" s="121"/>
      <c r="F2034" s="138"/>
      <c r="G2034" s="119"/>
      <c r="X2034" s="3"/>
      <c r="AD2034" s="119"/>
      <c r="AE2034" s="119"/>
      <c r="AF2034" s="119"/>
      <c r="AG2034" s="119"/>
      <c r="AI2034" t="str">
        <f t="shared" si="1299"/>
        <v>108HP</v>
      </c>
      <c r="AJ2034" t="str">
        <f t="shared" si="1295"/>
        <v>NA</v>
      </c>
      <c r="AK2034" t="str">
        <f>IF(ISERROR(MATCH(AI2034&amp;"."&amp;AJ2034,AK$91:AK2033,0)),AI2034&amp;"."&amp;AJ2034,AI2034&amp;"."&amp;AJ2034&amp;COUNTIFS(AI$91:AI2033,AI2034,AJ$91:AJ2033,AJ2034))</f>
        <v>108HP.NA2</v>
      </c>
    </row>
    <row r="2035" spans="1:37" ht="15" hidden="1">
      <c r="A2035" s="120">
        <f>ROW()</f>
        <v>2035</v>
      </c>
      <c r="B2035" s="120"/>
      <c r="C2035" s="1" t="s">
        <v>208</v>
      </c>
      <c r="D2035" s="2" t="s">
        <v>677</v>
      </c>
      <c r="E2035" s="121"/>
      <c r="F2035" s="138"/>
      <c r="G2035" s="119"/>
      <c r="X2035" s="3"/>
      <c r="AD2035" s="119"/>
      <c r="AE2035" s="119"/>
      <c r="AF2035" s="119"/>
      <c r="AG2035" s="119"/>
      <c r="AI2035" t="str">
        <f t="shared" si="1299"/>
        <v>108OP</v>
      </c>
      <c r="AJ2035" t="str">
        <f t="shared" si="1295"/>
        <v>NA</v>
      </c>
      <c r="AK2035" t="str">
        <f>IF(ISERROR(MATCH(AI2035&amp;"."&amp;AJ2035,AK$91:AK2034,0)),AI2035&amp;"."&amp;AJ2035,AI2035&amp;"."&amp;AJ2035&amp;COUNTIFS(AI$91:AI2034,AI2035,AJ$91:AJ2034,AJ2035))</f>
        <v>108OP.NA</v>
      </c>
    </row>
    <row r="2036" spans="1:37" ht="15" hidden="1">
      <c r="A2036" s="120">
        <f>ROW()</f>
        <v>2036</v>
      </c>
      <c r="B2036" s="120"/>
      <c r="C2036" s="1"/>
      <c r="E2036" s="121" t="s">
        <v>12</v>
      </c>
      <c r="F2036" s="138" t="str">
        <f>INDEX(FuncAllocOptions,ROW(A2036)-ROW($A$92)+1,[4]Inputs!$S$11)</f>
        <v>P</v>
      </c>
      <c r="G2036" s="117" t="e">
        <f>SUMIF(FERCJAMFactor,AK2036,JAMValue)</f>
        <v>#VALUE!</v>
      </c>
      <c r="H2036" s="116" t="e">
        <f t="shared" ref="H2036:L2040" si="1302">INDEX(FuncFactorTbl,MATCH($F2036,FuncFactors,0),MATCH(H$8,Functions,0))*$G2036</f>
        <v>#VALUE!</v>
      </c>
      <c r="I2036" s="116" t="e">
        <f t="shared" si="1302"/>
        <v>#VALUE!</v>
      </c>
      <c r="J2036" s="116" t="e">
        <f t="shared" si="1302"/>
        <v>#VALUE!</v>
      </c>
      <c r="K2036" s="116" t="e">
        <f t="shared" si="1302"/>
        <v>#VALUE!</v>
      </c>
      <c r="L2036" s="116" t="e">
        <f t="shared" si="1302"/>
        <v>#VALUE!</v>
      </c>
      <c r="N2036" s="108">
        <v>0.75</v>
      </c>
      <c r="O2036" s="116" t="e">
        <f>$H2036*$N2036*$M2036</f>
        <v>#VALUE!</v>
      </c>
      <c r="P2036" s="116" t="e">
        <f>$H2036*(1-$N2036)*$M2036</f>
        <v>#VALUE!</v>
      </c>
      <c r="Q2036" s="116" t="e">
        <f>$H2036*$N2036*(1-$M2036)</f>
        <v>#VALUE!</v>
      </c>
      <c r="R2036" s="116" t="e">
        <f>$H2036*(1-$N2036)*(1-$M2036)</f>
        <v>#VALUE!</v>
      </c>
      <c r="T2036" s="116">
        <v>0</v>
      </c>
      <c r="U2036" s="116">
        <v>0</v>
      </c>
      <c r="V2036" s="116">
        <v>0</v>
      </c>
      <c r="W2036" s="116">
        <v>0</v>
      </c>
      <c r="X2036" s="3"/>
      <c r="AD2036" s="117" t="e">
        <f t="shared" ref="AD2036:AD2041" si="1303">ROUND(SUM(-G2036,H2036:L2036),0)</f>
        <v>#VALUE!</v>
      </c>
      <c r="AE2036" s="117" t="e">
        <f t="shared" ref="AE2036:AE2041" si="1304">ROUND(H2036-O2036-P2036-Q2036-R2036,0)</f>
        <v>#VALUE!</v>
      </c>
      <c r="AF2036" s="117" t="e">
        <f t="shared" ref="AF2036:AF2041" si="1305">ROUND(I2036-T2036-U2036-V2036-W2036,0)</f>
        <v>#VALUE!</v>
      </c>
      <c r="AG2036" s="117" t="e">
        <f t="shared" ref="AG2036:AG2041" si="1306">ROUND(J2036-Y2036-Z2036-AA2036-AC2036-AB2036,0)</f>
        <v>#VALUE!</v>
      </c>
      <c r="AH2036" s="116"/>
      <c r="AI2036" t="str">
        <f t="shared" si="1299"/>
        <v>108OP</v>
      </c>
      <c r="AJ2036" t="str">
        <f t="shared" si="1295"/>
        <v>S</v>
      </c>
      <c r="AK2036" t="str">
        <f>IF(ISERROR(MATCH(AI2036&amp;"."&amp;AJ2036,AK$91:AK2035,0)),AI2036&amp;"."&amp;AJ2036,AI2036&amp;"."&amp;AJ2036&amp;COUNTIFS(AI$91:AI2035,AI2036,AJ$91:AJ2035,AJ2036))</f>
        <v>108OP.S</v>
      </c>
    </row>
    <row r="2037" spans="1:37" ht="15" hidden="1">
      <c r="A2037" s="120">
        <f>ROW()</f>
        <v>2037</v>
      </c>
      <c r="B2037" s="120"/>
      <c r="C2037" s="1"/>
      <c r="E2037" s="121" t="s">
        <v>15</v>
      </c>
      <c r="F2037" s="138" t="str">
        <f>INDEX(FuncAllocOptions,ROW(A2037)-ROW($A$92)+1,[4]Inputs!$S$11)</f>
        <v>P</v>
      </c>
      <c r="G2037" s="117" t="e">
        <f>SUMIF(FERCJAMFactor,AK2037,JAMValue)</f>
        <v>#VALUE!</v>
      </c>
      <c r="H2037" s="116" t="e">
        <f t="shared" si="1302"/>
        <v>#VALUE!</v>
      </c>
      <c r="I2037" s="116" t="e">
        <f t="shared" si="1302"/>
        <v>#VALUE!</v>
      </c>
      <c r="J2037" s="116" t="e">
        <f t="shared" si="1302"/>
        <v>#VALUE!</v>
      </c>
      <c r="K2037" s="116" t="e">
        <f t="shared" si="1302"/>
        <v>#VALUE!</v>
      </c>
      <c r="L2037" s="116" t="e">
        <f t="shared" si="1302"/>
        <v>#VALUE!</v>
      </c>
      <c r="N2037" s="108">
        <v>0.75</v>
      </c>
      <c r="O2037" s="116" t="e">
        <f>$H2037*$N2037*$M2037</f>
        <v>#VALUE!</v>
      </c>
      <c r="P2037" s="116" t="e">
        <f>$H2037*(1-$N2037)*$M2037</f>
        <v>#VALUE!</v>
      </c>
      <c r="Q2037" s="116" t="e">
        <f>$H2037*$N2037*(1-$M2037)</f>
        <v>#VALUE!</v>
      </c>
      <c r="R2037" s="116" t="e">
        <f>$H2037*(1-$N2037)*(1-$M2037)</f>
        <v>#VALUE!</v>
      </c>
      <c r="T2037" s="116">
        <v>0</v>
      </c>
      <c r="U2037" s="116">
        <v>0</v>
      </c>
      <c r="V2037" s="116">
        <v>0</v>
      </c>
      <c r="W2037" s="116">
        <v>0</v>
      </c>
      <c r="X2037" s="3"/>
      <c r="AD2037" s="117" t="e">
        <f t="shared" si="1303"/>
        <v>#VALUE!</v>
      </c>
      <c r="AE2037" s="117" t="e">
        <f t="shared" si="1304"/>
        <v>#VALUE!</v>
      </c>
      <c r="AF2037" s="117" t="e">
        <f t="shared" si="1305"/>
        <v>#VALUE!</v>
      </c>
      <c r="AG2037" s="117" t="e">
        <f t="shared" si="1306"/>
        <v>#VALUE!</v>
      </c>
      <c r="AH2037" s="116"/>
      <c r="AI2037" t="str">
        <f t="shared" si="1299"/>
        <v>108OP</v>
      </c>
      <c r="AJ2037" t="str">
        <f t="shared" si="1295"/>
        <v>SG</v>
      </c>
      <c r="AK2037" t="str">
        <f>IF(ISERROR(MATCH(AI2037&amp;"."&amp;AJ2037,AK$91:AK2036,0)),AI2037&amp;"."&amp;AJ2037,AI2037&amp;"."&amp;AJ2037&amp;COUNTIFS(AI$91:AI2036,AI2037,AJ$91:AJ2036,AJ2037))</f>
        <v>108OP.SG</v>
      </c>
    </row>
    <row r="2038" spans="1:37" ht="15" hidden="1">
      <c r="A2038" s="120">
        <f>ROW()</f>
        <v>2038</v>
      </c>
      <c r="B2038" s="120"/>
      <c r="C2038" s="1"/>
      <c r="D2038" s="142" t="s">
        <v>715</v>
      </c>
      <c r="E2038" s="121" t="s">
        <v>15</v>
      </c>
      <c r="F2038" s="138" t="str">
        <f>INDEX(FuncAllocOptions,ROW(A2038)-ROW($A$92)+1,[4]Inputs!$S$11)</f>
        <v>P</v>
      </c>
      <c r="G2038" s="117" t="e">
        <f>SUMIF(FERCJAMFactor,AK2038,JAMValue)</f>
        <v>#VALUE!</v>
      </c>
      <c r="H2038" s="116" t="e">
        <f t="shared" si="1302"/>
        <v>#VALUE!</v>
      </c>
      <c r="I2038" s="116" t="e">
        <f t="shared" si="1302"/>
        <v>#VALUE!</v>
      </c>
      <c r="J2038" s="116" t="e">
        <f t="shared" si="1302"/>
        <v>#VALUE!</v>
      </c>
      <c r="K2038" s="116" t="e">
        <f t="shared" si="1302"/>
        <v>#VALUE!</v>
      </c>
      <c r="L2038" s="116" t="e">
        <f t="shared" si="1302"/>
        <v>#VALUE!</v>
      </c>
      <c r="N2038" s="108">
        <v>0.75</v>
      </c>
      <c r="O2038" s="116" t="e">
        <f>$H2038*$N2038*$M2038</f>
        <v>#VALUE!</v>
      </c>
      <c r="P2038" s="116" t="e">
        <f>$H2038*(1-$N2038)*$M2038</f>
        <v>#VALUE!</v>
      </c>
      <c r="Q2038" s="116" t="e">
        <f>$H2038*$N2038*(1-$M2038)</f>
        <v>#VALUE!</v>
      </c>
      <c r="R2038" s="116" t="e">
        <f>$H2038*(1-$N2038)*(1-$M2038)</f>
        <v>#VALUE!</v>
      </c>
      <c r="T2038" s="116">
        <v>0</v>
      </c>
      <c r="U2038" s="116">
        <v>0</v>
      </c>
      <c r="V2038" s="116">
        <v>0</v>
      </c>
      <c r="W2038" s="116">
        <v>0</v>
      </c>
      <c r="X2038" s="3"/>
      <c r="AD2038" s="117" t="e">
        <f t="shared" si="1303"/>
        <v>#VALUE!</v>
      </c>
      <c r="AE2038" s="117" t="e">
        <f t="shared" si="1304"/>
        <v>#VALUE!</v>
      </c>
      <c r="AF2038" s="117" t="e">
        <f t="shared" si="1305"/>
        <v>#VALUE!</v>
      </c>
      <c r="AG2038" s="117" t="e">
        <f t="shared" si="1306"/>
        <v>#VALUE!</v>
      </c>
      <c r="AH2038" s="116"/>
      <c r="AI2038" t="str">
        <f t="shared" si="1299"/>
        <v>108OP</v>
      </c>
      <c r="AJ2038" t="str">
        <f t="shared" si="1295"/>
        <v>SG</v>
      </c>
      <c r="AK2038" t="str">
        <f>IF(ISERROR(MATCH(AI2038&amp;"."&amp;AJ2038,AK$91:AK2037,0)),AI2038&amp;"."&amp;AJ2038,AI2038&amp;"."&amp;AJ2038&amp;COUNTIFS(AI$91:AI2037,AI2038,AJ$91:AJ2037,AJ2038))</f>
        <v>108OP.SG1</v>
      </c>
    </row>
    <row r="2039" spans="1:37" ht="15" hidden="1">
      <c r="A2039" s="120">
        <f>ROW()</f>
        <v>2039</v>
      </c>
      <c r="B2039" s="120"/>
      <c r="C2039" s="1"/>
      <c r="E2039" s="121" t="s">
        <v>15</v>
      </c>
      <c r="F2039" s="138" t="str">
        <f>INDEX(FuncAllocOptions,ROW(A2039)-ROW($A$92)+1,[4]Inputs!$S$11)</f>
        <v>P</v>
      </c>
      <c r="G2039" s="117" t="e">
        <f>SUMIF(FERCJAMFactor,AK2039,JAMValue)</f>
        <v>#VALUE!</v>
      </c>
      <c r="H2039" s="116" t="e">
        <f t="shared" si="1302"/>
        <v>#VALUE!</v>
      </c>
      <c r="I2039" s="116" t="e">
        <f t="shared" si="1302"/>
        <v>#VALUE!</v>
      </c>
      <c r="J2039" s="116" t="e">
        <f t="shared" si="1302"/>
        <v>#VALUE!</v>
      </c>
      <c r="K2039" s="116" t="e">
        <f t="shared" si="1302"/>
        <v>#VALUE!</v>
      </c>
      <c r="L2039" s="116" t="e">
        <f t="shared" si="1302"/>
        <v>#VALUE!</v>
      </c>
      <c r="N2039" s="108">
        <v>0.75</v>
      </c>
      <c r="O2039" s="116" t="e">
        <f>$H2039*$N2039*$M2039</f>
        <v>#VALUE!</v>
      </c>
      <c r="P2039" s="116" t="e">
        <f>$H2039*(1-$N2039)*$M2039</f>
        <v>#VALUE!</v>
      </c>
      <c r="Q2039" s="116" t="e">
        <f>$H2039*$N2039*(1-$M2039)</f>
        <v>#VALUE!</v>
      </c>
      <c r="R2039" s="116" t="e">
        <f>$H2039*(1-$N2039)*(1-$M2039)</f>
        <v>#VALUE!</v>
      </c>
      <c r="T2039" s="116">
        <v>0</v>
      </c>
      <c r="U2039" s="116">
        <v>0</v>
      </c>
      <c r="V2039" s="116">
        <v>0</v>
      </c>
      <c r="W2039" s="116">
        <v>0</v>
      </c>
      <c r="X2039" s="3"/>
      <c r="AD2039" s="117" t="e">
        <f t="shared" si="1303"/>
        <v>#VALUE!</v>
      </c>
      <c r="AE2039" s="117" t="e">
        <f t="shared" si="1304"/>
        <v>#VALUE!</v>
      </c>
      <c r="AF2039" s="117" t="e">
        <f t="shared" si="1305"/>
        <v>#VALUE!</v>
      </c>
      <c r="AG2039" s="117" t="e">
        <f t="shared" si="1306"/>
        <v>#VALUE!</v>
      </c>
      <c r="AH2039" s="116"/>
      <c r="AI2039" t="str">
        <f t="shared" si="1299"/>
        <v>108OP</v>
      </c>
      <c r="AJ2039" t="str">
        <f t="shared" si="1295"/>
        <v>SG</v>
      </c>
      <c r="AK2039" t="str">
        <f>IF(ISERROR(MATCH(AI2039&amp;"."&amp;AJ2039,AK$91:AK2038,0)),AI2039&amp;"."&amp;AJ2039,AI2039&amp;"."&amp;AJ2039&amp;COUNTIFS(AI$91:AI2038,AI2039,AJ$91:AJ2038,AJ2039))</f>
        <v>108OP.SG2</v>
      </c>
    </row>
    <row r="2040" spans="1:37" ht="15" hidden="1">
      <c r="A2040" s="120">
        <f>ROW()</f>
        <v>2040</v>
      </c>
      <c r="B2040" s="120"/>
      <c r="C2040" s="1"/>
      <c r="E2040" s="121" t="s">
        <v>15</v>
      </c>
      <c r="F2040" s="138" t="str">
        <f>INDEX(FuncAllocOptions,ROW(A2040)-ROW($A$92)+1,[4]Inputs!$S$11)</f>
        <v>P</v>
      </c>
      <c r="G2040" s="133" t="e">
        <f>SUMIF(FERCJAMFactor,AK2040,JAMValue)</f>
        <v>#VALUE!</v>
      </c>
      <c r="H2040" s="139" t="e">
        <f t="shared" si="1302"/>
        <v>#VALUE!</v>
      </c>
      <c r="I2040" s="139" t="e">
        <f t="shared" si="1302"/>
        <v>#VALUE!</v>
      </c>
      <c r="J2040" s="139" t="e">
        <f t="shared" si="1302"/>
        <v>#VALUE!</v>
      </c>
      <c r="K2040" s="139" t="e">
        <f t="shared" si="1302"/>
        <v>#VALUE!</v>
      </c>
      <c r="L2040" s="139" t="e">
        <f t="shared" si="1302"/>
        <v>#VALUE!</v>
      </c>
      <c r="N2040" s="108">
        <v>0.75</v>
      </c>
      <c r="O2040" s="116" t="e">
        <f>$H2040*$N2040*$M2040</f>
        <v>#VALUE!</v>
      </c>
      <c r="P2040" s="116" t="e">
        <f>$H2040*(1-$N2040)*$M2040</f>
        <v>#VALUE!</v>
      </c>
      <c r="Q2040" s="116" t="e">
        <f>$H2040*$N2040*(1-$M2040)</f>
        <v>#VALUE!</v>
      </c>
      <c r="R2040" s="116" t="e">
        <f>$H2040*(1-$N2040)*(1-$M2040)</f>
        <v>#VALUE!</v>
      </c>
      <c r="T2040" s="116"/>
      <c r="U2040" s="116"/>
      <c r="V2040" s="116"/>
      <c r="W2040" s="116"/>
      <c r="X2040" s="3"/>
      <c r="AD2040" s="117" t="e">
        <f t="shared" si="1303"/>
        <v>#VALUE!</v>
      </c>
      <c r="AE2040" s="117" t="e">
        <f t="shared" si="1304"/>
        <v>#VALUE!</v>
      </c>
      <c r="AF2040" s="117" t="e">
        <f t="shared" si="1305"/>
        <v>#VALUE!</v>
      </c>
      <c r="AG2040" s="117" t="e">
        <f t="shared" si="1306"/>
        <v>#VALUE!</v>
      </c>
      <c r="AH2040" s="116"/>
      <c r="AI2040" t="str">
        <f t="shared" si="1299"/>
        <v>108OP</v>
      </c>
      <c r="AJ2040" t="str">
        <f t="shared" si="1295"/>
        <v>SG</v>
      </c>
      <c r="AK2040" t="str">
        <f>IF(ISERROR(MATCH(AI2040&amp;"."&amp;AJ2040,AK$91:AK2039,0)),AI2040&amp;"."&amp;AJ2040,AI2040&amp;"."&amp;AJ2040&amp;COUNTIFS(AI$91:AI2039,AI2040,AJ$91:AJ2039,AJ2040))</f>
        <v>108OP.SG3</v>
      </c>
    </row>
    <row r="2041" spans="1:37" ht="15" hidden="1">
      <c r="A2041" s="120">
        <f>ROW()</f>
        <v>2041</v>
      </c>
      <c r="B2041" s="120"/>
      <c r="C2041" s="1"/>
      <c r="E2041" s="121"/>
      <c r="F2041" s="138"/>
      <c r="G2041" s="117" t="e">
        <f t="shared" ref="G2041:L2041" si="1307">SUM(G2036:G2040)</f>
        <v>#VALUE!</v>
      </c>
      <c r="H2041" s="116" t="e">
        <f t="shared" si="1307"/>
        <v>#VALUE!</v>
      </c>
      <c r="I2041" s="116" t="e">
        <f t="shared" si="1307"/>
        <v>#VALUE!</v>
      </c>
      <c r="J2041" s="116" t="e">
        <f t="shared" si="1307"/>
        <v>#VALUE!</v>
      </c>
      <c r="K2041" s="116" t="e">
        <f t="shared" si="1307"/>
        <v>#VALUE!</v>
      </c>
      <c r="L2041" s="116" t="e">
        <f t="shared" si="1307"/>
        <v>#VALUE!</v>
      </c>
      <c r="O2041" s="116" t="e">
        <f>SUM(O2036:O2040)</f>
        <v>#VALUE!</v>
      </c>
      <c r="P2041" s="116" t="e">
        <f>SUM(P2036:P2040)</f>
        <v>#VALUE!</v>
      </c>
      <c r="Q2041" s="116" t="e">
        <f>SUM(Q2036:Q2040)</f>
        <v>#VALUE!</v>
      </c>
      <c r="R2041" s="116" t="e">
        <f>SUM(R2036:R2040)</f>
        <v>#VALUE!</v>
      </c>
      <c r="T2041" s="116">
        <f>SUM(T2036:T2040)</f>
        <v>0</v>
      </c>
      <c r="U2041" s="116">
        <f>SUM(U2036:U2040)</f>
        <v>0</v>
      </c>
      <c r="V2041" s="116">
        <f>SUM(V2036:V2040)</f>
        <v>0</v>
      </c>
      <c r="W2041" s="116">
        <f>SUM(W2036:W2040)</f>
        <v>0</v>
      </c>
      <c r="X2041" s="3"/>
      <c r="Y2041" s="116">
        <f>SUM(Y2036:Y2040)</f>
        <v>0</v>
      </c>
      <c r="Z2041" s="116">
        <f>SUM(Z2036:Z2040)</f>
        <v>0</v>
      </c>
      <c r="AA2041" s="116">
        <f>SUM(AA2036:AA2040)</f>
        <v>0</v>
      </c>
      <c r="AB2041" s="116">
        <f>SUM(AB2036:AB2040)</f>
        <v>0</v>
      </c>
      <c r="AC2041" s="116">
        <f>SUM(AC2036:AC2040)</f>
        <v>0</v>
      </c>
      <c r="AD2041" s="117" t="e">
        <f t="shared" si="1303"/>
        <v>#VALUE!</v>
      </c>
      <c r="AE2041" s="117" t="e">
        <f t="shared" si="1304"/>
        <v>#VALUE!</v>
      </c>
      <c r="AF2041" s="117" t="e">
        <f t="shared" si="1305"/>
        <v>#VALUE!</v>
      </c>
      <c r="AG2041" s="117" t="e">
        <f t="shared" si="1306"/>
        <v>#VALUE!</v>
      </c>
      <c r="AH2041" s="116"/>
      <c r="AI2041" t="str">
        <f t="shared" si="1299"/>
        <v>108OP</v>
      </c>
      <c r="AJ2041" t="str">
        <f t="shared" si="1295"/>
        <v>NA</v>
      </c>
      <c r="AK2041" t="str">
        <f>IF(ISERROR(MATCH(AI2041&amp;"."&amp;AJ2041,AK$91:AK2040,0)),AI2041&amp;"."&amp;AJ2041,AI2041&amp;"."&amp;AJ2041&amp;COUNTIFS(AI$91:AI2040,AI2041,AJ$91:AJ2040,AJ2041))</f>
        <v>108OP.NA1</v>
      </c>
    </row>
    <row r="2042" spans="1:37" ht="15" hidden="1">
      <c r="A2042" s="120">
        <f>ROW()</f>
        <v>2042</v>
      </c>
      <c r="B2042" s="120"/>
      <c r="C2042" s="1"/>
      <c r="E2042" s="121"/>
      <c r="F2042" s="138"/>
      <c r="G2042" s="119"/>
      <c r="X2042" s="3"/>
      <c r="AD2042" s="119"/>
      <c r="AE2042" s="119"/>
      <c r="AF2042" s="119"/>
      <c r="AG2042" s="119"/>
      <c r="AI2042" t="str">
        <f t="shared" si="1299"/>
        <v>108OP</v>
      </c>
      <c r="AJ2042" t="str">
        <f t="shared" si="1295"/>
        <v>NA</v>
      </c>
      <c r="AK2042" t="str">
        <f>IF(ISERROR(MATCH(AI2042&amp;"."&amp;AJ2042,AK$91:AK2041,0)),AI2042&amp;"."&amp;AJ2042,AI2042&amp;"."&amp;AJ2042&amp;COUNTIFS(AI$91:AI2041,AI2042,AJ$91:AJ2041,AJ2042))</f>
        <v>108OP.NA2</v>
      </c>
    </row>
    <row r="2043" spans="1:37" ht="15" hidden="1">
      <c r="A2043" s="120">
        <f>ROW()</f>
        <v>2043</v>
      </c>
      <c r="B2043" s="120"/>
      <c r="C2043" s="1" t="s">
        <v>202</v>
      </c>
      <c r="D2043" s="2" t="s">
        <v>678</v>
      </c>
      <c r="E2043" s="121"/>
      <c r="F2043" s="138"/>
      <c r="G2043" s="119"/>
      <c r="X2043" s="3"/>
      <c r="AD2043" s="119"/>
      <c r="AE2043" s="119"/>
      <c r="AF2043" s="119"/>
      <c r="AG2043" s="119"/>
      <c r="AI2043" t="str">
        <f t="shared" si="1299"/>
        <v>108EP</v>
      </c>
      <c r="AJ2043" t="str">
        <f t="shared" si="1295"/>
        <v>NA</v>
      </c>
      <c r="AK2043" t="str">
        <f>IF(ISERROR(MATCH(AI2043&amp;"."&amp;AJ2043,AK$91:AK2042,0)),AI2043&amp;"."&amp;AJ2043,AI2043&amp;"."&amp;AJ2043&amp;COUNTIFS(AI$91:AI2042,AI2043,AJ$91:AJ2042,AJ2043))</f>
        <v>108EP.NA</v>
      </c>
    </row>
    <row r="2044" spans="1:37" ht="15" hidden="1">
      <c r="A2044" s="120">
        <f>ROW()</f>
        <v>2044</v>
      </c>
      <c r="B2044" s="120"/>
      <c r="C2044" s="1"/>
      <c r="E2044" s="121" t="s">
        <v>17</v>
      </c>
      <c r="F2044" s="138" t="str">
        <f>INDEX(FuncAllocOptions,ROW(A2044)-ROW($A$92)+1,[4]Inputs!$S$11)</f>
        <v>P</v>
      </c>
      <c r="G2044" s="117" t="e">
        <f>SUMIF(FERCJAMFactor,AK2044,JAMValue)</f>
        <v>#VALUE!</v>
      </c>
      <c r="H2044" s="116" t="e">
        <f t="shared" ref="H2044:L2045" si="1308">INDEX(FuncFactorTbl,MATCH($F2044,FuncFactors,0),MATCH(H$8,Functions,0))*$G2044</f>
        <v>#VALUE!</v>
      </c>
      <c r="I2044" s="116" t="e">
        <f t="shared" si="1308"/>
        <v>#VALUE!</v>
      </c>
      <c r="J2044" s="116" t="e">
        <f t="shared" si="1308"/>
        <v>#VALUE!</v>
      </c>
      <c r="K2044" s="116" t="e">
        <f t="shared" si="1308"/>
        <v>#VALUE!</v>
      </c>
      <c r="L2044" s="116" t="e">
        <f t="shared" si="1308"/>
        <v>#VALUE!</v>
      </c>
      <c r="N2044" s="108">
        <v>0.75</v>
      </c>
      <c r="O2044" s="116" t="e">
        <f>$H2044*$N2044*$M2044</f>
        <v>#VALUE!</v>
      </c>
      <c r="P2044" s="116" t="e">
        <f>$H2044*(1-$N2044)*$M2044</f>
        <v>#VALUE!</v>
      </c>
      <c r="Q2044" s="116" t="e">
        <f>$H2044*$N2044*(1-$M2044)</f>
        <v>#VALUE!</v>
      </c>
      <c r="R2044" s="116" t="e">
        <f>$H2044*(1-$N2044)*(1-$M2044)</f>
        <v>#VALUE!</v>
      </c>
      <c r="T2044" s="116">
        <v>0</v>
      </c>
      <c r="U2044" s="116">
        <v>0</v>
      </c>
      <c r="V2044" s="116">
        <v>0</v>
      </c>
      <c r="W2044" s="116">
        <v>0</v>
      </c>
      <c r="X2044" s="3"/>
      <c r="AD2044" s="117" t="e">
        <f>ROUND(SUM(-G2044,H2044:L2044),0)</f>
        <v>#VALUE!</v>
      </c>
      <c r="AE2044" s="117" t="e">
        <f>ROUND(H2044-O2044-P2044-Q2044-R2044,0)</f>
        <v>#VALUE!</v>
      </c>
      <c r="AF2044" s="117" t="e">
        <f>ROUND(I2044-T2044-U2044-V2044-W2044,0)</f>
        <v>#VALUE!</v>
      </c>
      <c r="AG2044" s="117" t="e">
        <f>ROUND(J2044-Y2044-Z2044-AA2044-AC2044-AB2044,0)</f>
        <v>#VALUE!</v>
      </c>
      <c r="AH2044" s="116"/>
      <c r="AI2044" t="str">
        <f t="shared" si="1299"/>
        <v>108EP</v>
      </c>
      <c r="AJ2044" t="str">
        <f t="shared" si="1295"/>
        <v>DGP</v>
      </c>
      <c r="AK2044" t="str">
        <f>IF(ISERROR(MATCH(AI2044&amp;"."&amp;AJ2044,AK$91:AK2043,0)),AI2044&amp;"."&amp;AJ2044,AI2044&amp;"."&amp;AJ2044&amp;COUNTIFS(AI$91:AI2043,AI2044,AJ$91:AJ2043,AJ2044))</f>
        <v>108EP.DGP</v>
      </c>
    </row>
    <row r="2045" spans="1:37" ht="15" hidden="1">
      <c r="A2045" s="120">
        <f>ROW()</f>
        <v>2045</v>
      </c>
      <c r="B2045" s="120"/>
      <c r="C2045" s="1"/>
      <c r="E2045" s="121"/>
      <c r="F2045" s="138" t="str">
        <f>INDEX(FuncAllocOptions,ROW(A2045)-ROW($A$92)+1,[4]Inputs!$S$11)</f>
        <v>P</v>
      </c>
      <c r="G2045" s="133" t="e">
        <f>SUMIF(FERCJAMFactor,AK2045,JAMValue)</f>
        <v>#VALUE!</v>
      </c>
      <c r="H2045" s="139" t="e">
        <f t="shared" si="1308"/>
        <v>#VALUE!</v>
      </c>
      <c r="I2045" s="139" t="e">
        <f t="shared" si="1308"/>
        <v>#VALUE!</v>
      </c>
      <c r="J2045" s="139" t="e">
        <f t="shared" si="1308"/>
        <v>#VALUE!</v>
      </c>
      <c r="K2045" s="139" t="e">
        <f t="shared" si="1308"/>
        <v>#VALUE!</v>
      </c>
      <c r="L2045" s="139" t="e">
        <f t="shared" si="1308"/>
        <v>#VALUE!</v>
      </c>
      <c r="N2045" s="108">
        <v>0.75</v>
      </c>
      <c r="O2045" s="116" t="e">
        <f>$H2045*$N2045*$M2045</f>
        <v>#VALUE!</v>
      </c>
      <c r="P2045" s="116" t="e">
        <f>$H2045*(1-$N2045)*$M2045</f>
        <v>#VALUE!</v>
      </c>
      <c r="Q2045" s="116" t="e">
        <f>$H2045*$N2045*(1-$M2045)</f>
        <v>#VALUE!</v>
      </c>
      <c r="R2045" s="116" t="e">
        <f>$H2045*(1-$N2045)*(1-$M2045)</f>
        <v>#VALUE!</v>
      </c>
      <c r="T2045" s="116">
        <v>0</v>
      </c>
      <c r="U2045" s="116">
        <v>0</v>
      </c>
      <c r="V2045" s="116">
        <v>0</v>
      </c>
      <c r="W2045" s="116">
        <v>0</v>
      </c>
      <c r="X2045" s="3"/>
      <c r="AD2045" s="117" t="e">
        <f>ROUND(SUM(-G2045,H2045:L2045),0)</f>
        <v>#VALUE!</v>
      </c>
      <c r="AE2045" s="117" t="e">
        <f>ROUND(H2045-O2045-P2045-Q2045-R2045,0)</f>
        <v>#VALUE!</v>
      </c>
      <c r="AF2045" s="117" t="e">
        <f>ROUND(I2045-T2045-U2045-V2045-W2045,0)</f>
        <v>#VALUE!</v>
      </c>
      <c r="AG2045" s="117" t="e">
        <f>ROUND(J2045-Y2045-Z2045-AA2045-AC2045-AB2045,0)</f>
        <v>#VALUE!</v>
      </c>
      <c r="AH2045" s="116"/>
      <c r="AI2045" t="str">
        <f t="shared" si="1299"/>
        <v>108EP</v>
      </c>
      <c r="AJ2045" t="str">
        <f t="shared" si="1295"/>
        <v>NA</v>
      </c>
      <c r="AK2045" t="str">
        <f>IF(ISERROR(MATCH(AI2045&amp;"."&amp;AJ2045,AK$91:AK2044,0)),AI2045&amp;"."&amp;AJ2045,AI2045&amp;"."&amp;AJ2045&amp;COUNTIFS(AI$91:AI2044,AI2045,AJ$91:AJ2044,AJ2045))</f>
        <v>108EP.NA1</v>
      </c>
    </row>
    <row r="2046" spans="1:37" ht="15" hidden="1">
      <c r="A2046" s="120">
        <f>ROW()</f>
        <v>2046</v>
      </c>
      <c r="B2046" s="120"/>
      <c r="E2046" s="121"/>
      <c r="F2046" s="138"/>
      <c r="G2046" s="117" t="e">
        <f t="shared" ref="G2046:L2046" si="1309">SUM(G2044:G2045)</f>
        <v>#VALUE!</v>
      </c>
      <c r="H2046" s="116" t="e">
        <f t="shared" si="1309"/>
        <v>#VALUE!</v>
      </c>
      <c r="I2046" s="116" t="e">
        <f t="shared" si="1309"/>
        <v>#VALUE!</v>
      </c>
      <c r="J2046" s="116" t="e">
        <f t="shared" si="1309"/>
        <v>#VALUE!</v>
      </c>
      <c r="K2046" s="116" t="e">
        <f t="shared" si="1309"/>
        <v>#VALUE!</v>
      </c>
      <c r="L2046" s="116" t="e">
        <f t="shared" si="1309"/>
        <v>#VALUE!</v>
      </c>
      <c r="O2046" s="116" t="e">
        <f>SUM(O2044:O2045)</f>
        <v>#VALUE!</v>
      </c>
      <c r="P2046" s="116" t="e">
        <f>SUM(P2044:P2045)</f>
        <v>#VALUE!</v>
      </c>
      <c r="Q2046" s="116" t="e">
        <f>SUM(Q2044:Q2045)</f>
        <v>#VALUE!</v>
      </c>
      <c r="R2046" s="116" t="e">
        <f>SUM(R2044:R2045)</f>
        <v>#VALUE!</v>
      </c>
      <c r="T2046" s="116">
        <f>SUM(T2044:T2045)</f>
        <v>0</v>
      </c>
      <c r="U2046" s="116">
        <f>SUM(U2044:U2045)</f>
        <v>0</v>
      </c>
      <c r="V2046" s="116">
        <f>SUM(V2044:V2045)</f>
        <v>0</v>
      </c>
      <c r="W2046" s="116">
        <f>SUM(W2044:W2045)</f>
        <v>0</v>
      </c>
      <c r="X2046" s="3"/>
      <c r="Y2046" s="116">
        <f>SUM(Y2044:Y2045)</f>
        <v>0</v>
      </c>
      <c r="Z2046" s="116">
        <f>SUM(Z2044:Z2045)</f>
        <v>0</v>
      </c>
      <c r="AA2046" s="116">
        <f>SUM(AA2044:AA2045)</f>
        <v>0</v>
      </c>
      <c r="AB2046" s="116">
        <f>SUM(AB2044:AB2045)</f>
        <v>0</v>
      </c>
      <c r="AC2046" s="116">
        <f>SUM(AC2044:AC2045)</f>
        <v>0</v>
      </c>
      <c r="AD2046" s="117" t="e">
        <f>ROUND(SUM(-G2046,H2046:L2046),0)</f>
        <v>#VALUE!</v>
      </c>
      <c r="AE2046" s="117" t="e">
        <f>ROUND(H2046-O2046-P2046-Q2046-R2046,0)</f>
        <v>#VALUE!</v>
      </c>
      <c r="AF2046" s="117" t="e">
        <f>ROUND(I2046-T2046-U2046-V2046-W2046,0)</f>
        <v>#VALUE!</v>
      </c>
      <c r="AG2046" s="117" t="e">
        <f>ROUND(J2046-Y2046-Z2046-AA2046-AC2046-AB2046,0)</f>
        <v>#VALUE!</v>
      </c>
      <c r="AH2046" s="116"/>
      <c r="AI2046" t="str">
        <f t="shared" si="1299"/>
        <v>108EP</v>
      </c>
      <c r="AJ2046" t="str">
        <f t="shared" si="1295"/>
        <v>NA</v>
      </c>
      <c r="AK2046" t="str">
        <f>IF(ISERROR(MATCH(AI2046&amp;"."&amp;AJ2046,AK$91:AK2045,0)),AI2046&amp;"."&amp;AJ2046,AI2046&amp;"."&amp;AJ2046&amp;COUNTIFS(AI$91:AI2045,AI2046,AJ$91:AJ2045,AJ2046))</f>
        <v>108EP.NA2</v>
      </c>
    </row>
    <row r="2047" spans="1:37" ht="15" hidden="1">
      <c r="A2047" s="120">
        <f>ROW()</f>
        <v>2047</v>
      </c>
      <c r="B2047" s="120"/>
      <c r="E2047" s="121"/>
      <c r="F2047" s="138"/>
      <c r="G2047" s="113"/>
      <c r="H2047" s="141"/>
      <c r="I2047" s="141"/>
      <c r="J2047" s="141"/>
      <c r="K2047" s="141"/>
      <c r="L2047" s="141"/>
      <c r="X2047" s="3"/>
      <c r="AD2047" s="119"/>
      <c r="AE2047" s="119"/>
      <c r="AF2047" s="119"/>
      <c r="AG2047" s="119"/>
      <c r="AI2047" t="str">
        <f t="shared" si="1299"/>
        <v>108EP</v>
      </c>
      <c r="AJ2047" t="str">
        <f t="shared" si="1295"/>
        <v>NA</v>
      </c>
      <c r="AK2047" t="str">
        <f>IF(ISERROR(MATCH(AI2047&amp;"."&amp;AJ2047,AK$91:AK2046,0)),AI2047&amp;"."&amp;AJ2047,AI2047&amp;"."&amp;AJ2047&amp;COUNTIFS(AI$91:AI2046,AI2047,AJ$91:AJ2046,AJ2047))</f>
        <v>108EP.NA3</v>
      </c>
    </row>
    <row r="2048" spans="1:37" ht="15" hidden="1">
      <c r="A2048" s="120">
        <f>ROW()</f>
        <v>2048</v>
      </c>
      <c r="B2048" s="120"/>
      <c r="C2048" s="110" t="s">
        <v>714</v>
      </c>
      <c r="E2048" s="121"/>
      <c r="F2048" s="138"/>
      <c r="G2048" s="117" t="e">
        <f t="shared" ref="G2048:L2048" si="1310">G2041+G2033+G2025+G2019+G2046</f>
        <v>#VALUE!</v>
      </c>
      <c r="H2048" s="116" t="e">
        <f t="shared" si="1310"/>
        <v>#VALUE!</v>
      </c>
      <c r="I2048" s="116" t="e">
        <f t="shared" si="1310"/>
        <v>#VALUE!</v>
      </c>
      <c r="J2048" s="116" t="e">
        <f t="shared" si="1310"/>
        <v>#VALUE!</v>
      </c>
      <c r="K2048" s="116" t="e">
        <f t="shared" si="1310"/>
        <v>#VALUE!</v>
      </c>
      <c r="L2048" s="116" t="e">
        <f t="shared" si="1310"/>
        <v>#VALUE!</v>
      </c>
      <c r="O2048" s="116" t="e">
        <f>O2041+O2033+O2025+O2019+O2046</f>
        <v>#VALUE!</v>
      </c>
      <c r="P2048" s="116" t="e">
        <f>P2041+P2033+P2025+P2019+P2046</f>
        <v>#VALUE!</v>
      </c>
      <c r="Q2048" s="116" t="e">
        <f>Q2041+Q2033+Q2025+Q2019+Q2046</f>
        <v>#VALUE!</v>
      </c>
      <c r="R2048" s="116" t="e">
        <f>R2041+R2033+R2025+R2019+R2046</f>
        <v>#VALUE!</v>
      </c>
      <c r="S2048" s="116"/>
      <c r="T2048" s="116">
        <f>T2041+T2033+T2025+T2019+T2046</f>
        <v>0</v>
      </c>
      <c r="U2048" s="116">
        <f>U2041+U2033+U2025+U2019+U2046</f>
        <v>0</v>
      </c>
      <c r="V2048" s="116">
        <f>V2041+V2033+V2025+V2019+V2046</f>
        <v>0</v>
      </c>
      <c r="W2048" s="116">
        <f>W2041+W2033+W2025+W2019+W2046</f>
        <v>0</v>
      </c>
      <c r="X2048" s="3"/>
      <c r="Y2048" s="116">
        <f>Y2041+Y2033+Y2025+Y2019+Y2046</f>
        <v>0</v>
      </c>
      <c r="Z2048" s="116">
        <f>Z2041+Z2033+Z2025+Z2019+Z2046</f>
        <v>0</v>
      </c>
      <c r="AA2048" s="116">
        <f>AA2041+AA2033+AA2025+AA2019+AA2046</f>
        <v>0</v>
      </c>
      <c r="AB2048" s="116">
        <f>AB2041+AB2033+AB2025+AB2019+AB2046</f>
        <v>0</v>
      </c>
      <c r="AC2048" s="116">
        <f>AC2041+AC2033+AC2025+AC2019+AC2046</f>
        <v>0</v>
      </c>
      <c r="AD2048" s="117" t="e">
        <f>ROUND(SUM(-G2048,H2048:L2048),0)</f>
        <v>#VALUE!</v>
      </c>
      <c r="AE2048" s="117" t="e">
        <f>ROUND(H2048-O2048-P2048-Q2048-R2048,0)</f>
        <v>#VALUE!</v>
      </c>
      <c r="AF2048" s="117" t="e">
        <f>ROUND(I2048-T2048-U2048-V2048-W2048,0)</f>
        <v>#VALUE!</v>
      </c>
      <c r="AG2048" s="117" t="e">
        <f>ROUND(J2048-Y2048-Z2048-AA2048-AC2048-AB2048,0)</f>
        <v>#VALUE!</v>
      </c>
      <c r="AH2048" s="116"/>
      <c r="AI2048" t="str">
        <f t="shared" si="1299"/>
        <v>TOTAL PRODUCTION PLANT DEPRECIATION</v>
      </c>
      <c r="AJ2048" t="str">
        <f t="shared" si="1295"/>
        <v>NA</v>
      </c>
      <c r="AK2048" t="str">
        <f>IF(ISERROR(MATCH(AI2048&amp;"."&amp;AJ2048,AK$91:AK2047,0)),AI2048&amp;"."&amp;AJ2048,AI2048&amp;"."&amp;AJ2048&amp;COUNTIFS(AI$91:AI2047,AI2048,AJ$91:AJ2047,AJ2048))</f>
        <v>TOTAL PRODUCTION PLANT DEPRECIATION.NA</v>
      </c>
    </row>
    <row r="2049" spans="1:37" ht="15" hidden="1">
      <c r="A2049" s="120">
        <f>ROW()</f>
        <v>2049</v>
      </c>
      <c r="B2049" s="120"/>
      <c r="E2049" s="121"/>
      <c r="F2049" s="138"/>
      <c r="G2049" s="119"/>
      <c r="X2049" s="3"/>
      <c r="AD2049" s="119"/>
      <c r="AE2049" s="119"/>
      <c r="AF2049" s="119"/>
      <c r="AG2049" s="119"/>
      <c r="AI2049" t="str">
        <f t="shared" si="1299"/>
        <v>TOTAL PRODUCTION PLANT DEPRECIATION</v>
      </c>
      <c r="AJ2049" t="str">
        <f t="shared" si="1295"/>
        <v>NA</v>
      </c>
      <c r="AK2049" t="str">
        <f>IF(ISERROR(MATCH(AI2049&amp;"."&amp;AJ2049,AK$91:AK2048,0)),AI2049&amp;"."&amp;AJ2049,AI2049&amp;"."&amp;AJ2049&amp;COUNTIFS(AI$91:AI2048,AI2049,AJ$91:AJ2048,AJ2049))</f>
        <v>TOTAL PRODUCTION PLANT DEPRECIATION.NA1</v>
      </c>
    </row>
    <row r="2050" spans="1:37" ht="15" hidden="1">
      <c r="A2050" s="120">
        <f>ROW()</f>
        <v>2050</v>
      </c>
      <c r="B2050" s="120"/>
      <c r="C2050" s="1" t="s">
        <v>210</v>
      </c>
      <c r="D2050" s="2" t="s">
        <v>682</v>
      </c>
      <c r="E2050" s="121"/>
      <c r="F2050" s="138"/>
      <c r="G2050" s="119"/>
      <c r="X2050" s="3"/>
      <c r="AD2050" s="119"/>
      <c r="AE2050" s="119"/>
      <c r="AF2050" s="119"/>
      <c r="AG2050" s="119"/>
      <c r="AI2050" t="str">
        <f t="shared" si="1299"/>
        <v>108TP</v>
      </c>
      <c r="AJ2050" t="str">
        <f t="shared" si="1295"/>
        <v>NA</v>
      </c>
      <c r="AK2050" t="str">
        <f>IF(ISERROR(MATCH(AI2050&amp;"."&amp;AJ2050,AK$91:AK2049,0)),AI2050&amp;"."&amp;AJ2050,AI2050&amp;"."&amp;AJ2050&amp;COUNTIFS(AI$91:AI2049,AI2050,AJ$91:AJ2049,AJ2050))</f>
        <v>108TP.NA</v>
      </c>
    </row>
    <row r="2051" spans="1:37" ht="15" hidden="1">
      <c r="A2051" s="120">
        <f>ROW()</f>
        <v>2051</v>
      </c>
      <c r="B2051" s="120"/>
      <c r="E2051" s="121" t="s">
        <v>15</v>
      </c>
      <c r="F2051" s="138" t="str">
        <f>INDEX(FuncAllocOptions,ROW(A2051)-ROW($A$92)+1,[4]Inputs!$S$11)</f>
        <v>T</v>
      </c>
      <c r="G2051" s="117" t="e">
        <f>SUMIF(FERCJAMFactor,AK2051,JAMValue)</f>
        <v>#VALUE!</v>
      </c>
      <c r="H2051" s="116" t="e">
        <f t="shared" ref="H2051:L2053" si="1311">INDEX(FuncFactorTbl,MATCH($F2051,FuncFactors,0),MATCH(H$8,Functions,0))*$G2051</f>
        <v>#VALUE!</v>
      </c>
      <c r="I2051" s="116" t="e">
        <f t="shared" si="1311"/>
        <v>#VALUE!</v>
      </c>
      <c r="J2051" s="116" t="e">
        <f t="shared" si="1311"/>
        <v>#VALUE!</v>
      </c>
      <c r="K2051" s="116" t="e">
        <f t="shared" si="1311"/>
        <v>#VALUE!</v>
      </c>
      <c r="L2051" s="116" t="e">
        <f t="shared" si="1311"/>
        <v>#VALUE!</v>
      </c>
      <c r="S2051" s="108">
        <v>0.75</v>
      </c>
      <c r="T2051" s="116" t="e">
        <f>$I2051*$S2051*$M2051</f>
        <v>#VALUE!</v>
      </c>
      <c r="U2051" s="116" t="e">
        <f>$I2051*(1-$S2051)*$M2051</f>
        <v>#VALUE!</v>
      </c>
      <c r="V2051" s="116" t="e">
        <f>$I2051*$S2051*(1-$M2051)</f>
        <v>#VALUE!</v>
      </c>
      <c r="W2051" s="116" t="e">
        <f>$I2051*(1-$S2051)*(1-$M2051)</f>
        <v>#VALUE!</v>
      </c>
      <c r="X2051" s="3"/>
      <c r="AD2051" s="117" t="e">
        <f>ROUND(SUM(-G2051,H2051:L2051),0)</f>
        <v>#VALUE!</v>
      </c>
      <c r="AE2051" s="117" t="e">
        <f>ROUND(H2051-O2051-P2051-Q2051-R2051,0)</f>
        <v>#VALUE!</v>
      </c>
      <c r="AF2051" s="117" t="e">
        <f>ROUND(I2051-T2051-U2051-V2051-W2051,0)</f>
        <v>#VALUE!</v>
      </c>
      <c r="AG2051" s="117" t="e">
        <f>ROUND(J2051-Y2051-Z2051-AA2051-AC2051-AB2051,0)</f>
        <v>#VALUE!</v>
      </c>
      <c r="AH2051" s="116"/>
      <c r="AI2051" t="str">
        <f t="shared" si="1299"/>
        <v>108TP</v>
      </c>
      <c r="AJ2051" t="str">
        <f t="shared" si="1295"/>
        <v>SG</v>
      </c>
      <c r="AK2051" t="str">
        <f>IF(ISERROR(MATCH(AI2051&amp;"."&amp;AJ2051,AK$91:AK2050,0)),AI2051&amp;"."&amp;AJ2051,AI2051&amp;"."&amp;AJ2051&amp;COUNTIFS(AI$91:AI2050,AI2051,AJ$91:AJ2050,AJ2051))</f>
        <v>108TP.SG</v>
      </c>
    </row>
    <row r="2052" spans="1:37" ht="15" hidden="1">
      <c r="A2052" s="120">
        <f>ROW()</f>
        <v>2052</v>
      </c>
      <c r="B2052" s="120"/>
      <c r="E2052" s="121" t="s">
        <v>15</v>
      </c>
      <c r="F2052" s="138" t="str">
        <f>INDEX(FuncAllocOptions,ROW(A2052)-ROW($A$92)+1,[4]Inputs!$S$11)</f>
        <v>T</v>
      </c>
      <c r="G2052" s="117" t="e">
        <f>SUMIF(FERCJAMFactor,AK2052,JAMValue)</f>
        <v>#VALUE!</v>
      </c>
      <c r="H2052" s="116" t="e">
        <f t="shared" si="1311"/>
        <v>#VALUE!</v>
      </c>
      <c r="I2052" s="116" t="e">
        <f t="shared" si="1311"/>
        <v>#VALUE!</v>
      </c>
      <c r="J2052" s="116" t="e">
        <f t="shared" si="1311"/>
        <v>#VALUE!</v>
      </c>
      <c r="K2052" s="116" t="e">
        <f t="shared" si="1311"/>
        <v>#VALUE!</v>
      </c>
      <c r="L2052" s="116" t="e">
        <f t="shared" si="1311"/>
        <v>#VALUE!</v>
      </c>
      <c r="S2052" s="108">
        <v>0.75</v>
      </c>
      <c r="T2052" s="116" t="e">
        <f>$I2052*$S2052*$M2052</f>
        <v>#VALUE!</v>
      </c>
      <c r="U2052" s="116" t="e">
        <f>$I2052*(1-$S2052)*$M2052</f>
        <v>#VALUE!</v>
      </c>
      <c r="V2052" s="116" t="e">
        <f>$I2052*$S2052*(1-$M2052)</f>
        <v>#VALUE!</v>
      </c>
      <c r="W2052" s="116" t="e">
        <f>$I2052*(1-$S2052)*(1-$M2052)</f>
        <v>#VALUE!</v>
      </c>
      <c r="X2052" s="3"/>
      <c r="AD2052" s="117" t="e">
        <f>ROUND(SUM(-G2052,H2052:L2052),0)</f>
        <v>#VALUE!</v>
      </c>
      <c r="AE2052" s="117" t="e">
        <f>ROUND(H2052-O2052-P2052-Q2052-R2052,0)</f>
        <v>#VALUE!</v>
      </c>
      <c r="AF2052" s="117" t="e">
        <f>ROUND(I2052-T2052-U2052-V2052-W2052,0)</f>
        <v>#VALUE!</v>
      </c>
      <c r="AG2052" s="117" t="e">
        <f>ROUND(J2052-Y2052-Z2052-AA2052-AC2052-AB2052,0)</f>
        <v>#VALUE!</v>
      </c>
      <c r="AH2052" s="116"/>
      <c r="AI2052" t="str">
        <f t="shared" si="1299"/>
        <v>108TP</v>
      </c>
      <c r="AJ2052" t="str">
        <f t="shared" si="1295"/>
        <v>SG</v>
      </c>
      <c r="AK2052" t="str">
        <f>IF(ISERROR(MATCH(AI2052&amp;"."&amp;AJ2052,AK$91:AK2051,0)),AI2052&amp;"."&amp;AJ2052,AI2052&amp;"."&amp;AJ2052&amp;COUNTIFS(AI$91:AI2051,AI2052,AJ$91:AJ2051,AJ2052))</f>
        <v>108TP.SG1</v>
      </c>
    </row>
    <row r="2053" spans="1:37" ht="15" hidden="1">
      <c r="A2053" s="120">
        <f>ROW()</f>
        <v>2053</v>
      </c>
      <c r="B2053" s="120"/>
      <c r="E2053" s="121" t="s">
        <v>15</v>
      </c>
      <c r="F2053" s="138" t="str">
        <f>INDEX(FuncAllocOptions,ROW(A2053)-ROW($A$92)+1,[4]Inputs!$S$11)</f>
        <v>T</v>
      </c>
      <c r="G2053" s="133" t="e">
        <f>SUMIF(FERCJAMFactor,AK2053,JAMValue)</f>
        <v>#VALUE!</v>
      </c>
      <c r="H2053" s="139" t="e">
        <f t="shared" si="1311"/>
        <v>#VALUE!</v>
      </c>
      <c r="I2053" s="139" t="e">
        <f t="shared" si="1311"/>
        <v>#VALUE!</v>
      </c>
      <c r="J2053" s="139" t="e">
        <f t="shared" si="1311"/>
        <v>#VALUE!</v>
      </c>
      <c r="K2053" s="139" t="e">
        <f t="shared" si="1311"/>
        <v>#VALUE!</v>
      </c>
      <c r="L2053" s="139" t="e">
        <f t="shared" si="1311"/>
        <v>#VALUE!</v>
      </c>
      <c r="S2053" s="108">
        <v>0.75</v>
      </c>
      <c r="T2053" s="116" t="e">
        <f>$I2053*$S2053*$M2053</f>
        <v>#VALUE!</v>
      </c>
      <c r="U2053" s="116" t="e">
        <f>$I2053*(1-$S2053)*$M2053</f>
        <v>#VALUE!</v>
      </c>
      <c r="V2053" s="116" t="e">
        <f>$I2053*$S2053*(1-$M2053)</f>
        <v>#VALUE!</v>
      </c>
      <c r="W2053" s="116" t="e">
        <f>$I2053*(1-$S2053)*(1-$M2053)</f>
        <v>#VALUE!</v>
      </c>
      <c r="X2053" s="3"/>
      <c r="AD2053" s="117" t="e">
        <f>ROUND(SUM(-G2053,H2053:L2053),0)</f>
        <v>#VALUE!</v>
      </c>
      <c r="AE2053" s="117" t="e">
        <f>ROUND(H2053-O2053-P2053-Q2053-R2053,0)</f>
        <v>#VALUE!</v>
      </c>
      <c r="AF2053" s="117" t="e">
        <f>ROUND(I2053-T2053-U2053-V2053-W2053,0)</f>
        <v>#VALUE!</v>
      </c>
      <c r="AG2053" s="117" t="e">
        <f>ROUND(J2053-Y2053-Z2053-AA2053-AC2053-AB2053,0)</f>
        <v>#VALUE!</v>
      </c>
      <c r="AH2053" s="116"/>
      <c r="AI2053" t="str">
        <f t="shared" si="1299"/>
        <v>108TP</v>
      </c>
      <c r="AJ2053" t="str">
        <f t="shared" si="1295"/>
        <v>SG</v>
      </c>
      <c r="AK2053" t="str">
        <f>IF(ISERROR(MATCH(AI2053&amp;"."&amp;AJ2053,AK$91:AK2052,0)),AI2053&amp;"."&amp;AJ2053,AI2053&amp;"."&amp;AJ2053&amp;COUNTIFS(AI$91:AI2052,AI2053,AJ$91:AJ2052,AJ2053))</f>
        <v>108TP.SG2</v>
      </c>
    </row>
    <row r="2054" spans="1:37" ht="15" hidden="1">
      <c r="A2054" s="120">
        <f>ROW()</f>
        <v>2054</v>
      </c>
      <c r="B2054" s="120"/>
      <c r="C2054" s="110" t="s">
        <v>713</v>
      </c>
      <c r="E2054" s="121"/>
      <c r="F2054" s="138"/>
      <c r="G2054" s="117" t="e">
        <f t="shared" ref="G2054:L2054" si="1312">SUM(G2051:G2053)</f>
        <v>#VALUE!</v>
      </c>
      <c r="H2054" s="116" t="e">
        <f t="shared" si="1312"/>
        <v>#VALUE!</v>
      </c>
      <c r="I2054" s="116" t="e">
        <f t="shared" si="1312"/>
        <v>#VALUE!</v>
      </c>
      <c r="J2054" s="116" t="e">
        <f t="shared" si="1312"/>
        <v>#VALUE!</v>
      </c>
      <c r="K2054" s="116" t="e">
        <f t="shared" si="1312"/>
        <v>#VALUE!</v>
      </c>
      <c r="L2054" s="116" t="e">
        <f t="shared" si="1312"/>
        <v>#VALUE!</v>
      </c>
      <c r="O2054" s="116">
        <f>SUM(O2051:O2053)</f>
        <v>0</v>
      </c>
      <c r="P2054" s="116">
        <f>SUM(P2051:P2053)</f>
        <v>0</v>
      </c>
      <c r="Q2054" s="116">
        <f>SUM(Q2051:Q2053)</f>
        <v>0</v>
      </c>
      <c r="R2054" s="116">
        <f>SUM(R2051:R2053)</f>
        <v>0</v>
      </c>
      <c r="T2054" s="116" t="e">
        <f>SUM(T2051:T2053)</f>
        <v>#VALUE!</v>
      </c>
      <c r="U2054" s="116" t="e">
        <f>SUM(U2051:U2053)</f>
        <v>#VALUE!</v>
      </c>
      <c r="V2054" s="116" t="e">
        <f>SUM(V2051:V2053)</f>
        <v>#VALUE!</v>
      </c>
      <c r="W2054" s="116" t="e">
        <f>SUM(W2051:W2053)</f>
        <v>#VALUE!</v>
      </c>
      <c r="X2054" s="3"/>
      <c r="Y2054" s="116">
        <f>SUM(Y2051:Y2053)</f>
        <v>0</v>
      </c>
      <c r="Z2054" s="116">
        <f>SUM(Z2051:Z2053)</f>
        <v>0</v>
      </c>
      <c r="AA2054" s="116">
        <f>SUM(AA2051:AA2053)</f>
        <v>0</v>
      </c>
      <c r="AB2054" s="116">
        <f>SUM(AB2051:AB2053)</f>
        <v>0</v>
      </c>
      <c r="AC2054" s="116">
        <f>SUM(AC2051:AC2053)</f>
        <v>0</v>
      </c>
      <c r="AD2054" s="117" t="e">
        <f>ROUND(SUM(-G2054,H2054:L2054),0)</f>
        <v>#VALUE!</v>
      </c>
      <c r="AE2054" s="117" t="e">
        <f>ROUND(H2054-O2054-P2054-Q2054-R2054,0)</f>
        <v>#VALUE!</v>
      </c>
      <c r="AF2054" s="117" t="e">
        <f>ROUND(I2054-T2054-U2054-V2054-W2054,0)</f>
        <v>#VALUE!</v>
      </c>
      <c r="AG2054" s="117" t="e">
        <f>ROUND(J2054-Y2054-Z2054-AA2054-AC2054-AB2054,0)</f>
        <v>#VALUE!</v>
      </c>
      <c r="AH2054" s="116"/>
      <c r="AI2054" t="str">
        <f t="shared" si="1299"/>
        <v>TOTAL TRANS PLANT ACCUM DEPR</v>
      </c>
      <c r="AJ2054" t="str">
        <f t="shared" si="1295"/>
        <v>NA</v>
      </c>
      <c r="AK2054" t="str">
        <f>IF(ISERROR(MATCH(AI2054&amp;"."&amp;AJ2054,AK$91:AK2053,0)),AI2054&amp;"."&amp;AJ2054,AI2054&amp;"."&amp;AJ2054&amp;COUNTIFS(AI$91:AI2053,AI2054,AJ$91:AJ2053,AJ2054))</f>
        <v>TOTAL TRANS PLANT ACCUM DEPR.NA</v>
      </c>
    </row>
    <row r="2055" spans="1:37" ht="15" hidden="1">
      <c r="A2055" s="120">
        <f>ROW()</f>
        <v>2055</v>
      </c>
      <c r="B2055" s="120"/>
      <c r="E2055" s="121"/>
      <c r="F2055" s="138"/>
      <c r="G2055" s="119"/>
      <c r="X2055" s="3"/>
      <c r="AD2055" s="119"/>
      <c r="AE2055" s="119"/>
      <c r="AF2055" s="119"/>
      <c r="AG2055" s="119"/>
      <c r="AI2055" t="str">
        <f t="shared" si="1299"/>
        <v>TOTAL TRANS PLANT ACCUM DEPR</v>
      </c>
      <c r="AJ2055" t="str">
        <f t="shared" si="1295"/>
        <v>NA</v>
      </c>
      <c r="AK2055" t="str">
        <f>IF(ISERROR(MATCH(AI2055&amp;"."&amp;AJ2055,AK$91:AK2054,0)),AI2055&amp;"."&amp;AJ2055,AI2055&amp;"."&amp;AJ2055&amp;COUNTIFS(AI$91:AI2054,AI2055,AJ$91:AJ2054,AJ2055))</f>
        <v>TOTAL TRANS PLANT ACCUM DEPR.NA1</v>
      </c>
    </row>
    <row r="2056" spans="1:37" ht="15" hidden="1">
      <c r="A2056" s="120">
        <f>ROW()</f>
        <v>2056</v>
      </c>
      <c r="B2056" s="120"/>
      <c r="C2056" s="1">
        <v>108360</v>
      </c>
      <c r="D2056" s="2" t="s">
        <v>500</v>
      </c>
      <c r="E2056" s="121"/>
      <c r="F2056" s="138"/>
      <c r="G2056" s="119"/>
      <c r="X2056" s="3"/>
      <c r="AD2056" s="119"/>
      <c r="AE2056" s="119"/>
      <c r="AF2056" s="119"/>
      <c r="AG2056" s="119"/>
      <c r="AI2056">
        <f t="shared" si="1299"/>
        <v>108360</v>
      </c>
      <c r="AJ2056" t="str">
        <f t="shared" si="1295"/>
        <v>NA</v>
      </c>
      <c r="AK2056" t="str">
        <f>IF(ISERROR(MATCH(AI2056&amp;"."&amp;AJ2056,AK$91:AK2055,0)),AI2056&amp;"."&amp;AJ2056,AI2056&amp;"."&amp;AJ2056&amp;COUNTIFS(AI$91:AI2055,AI2056,AJ$91:AJ2055,AJ2056))</f>
        <v>108360.NA</v>
      </c>
    </row>
    <row r="2057" spans="1:37" ht="15" hidden="1">
      <c r="A2057" s="120">
        <f>ROW()</f>
        <v>2057</v>
      </c>
      <c r="B2057" s="120"/>
      <c r="C2057" s="1"/>
      <c r="E2057" s="121" t="s">
        <v>12</v>
      </c>
      <c r="F2057" s="138" t="str">
        <f>INDEX(FuncAllocOptions,ROW(A2057)-ROW($A$92)+1,[4]Inputs!$S$11)</f>
        <v>DPW</v>
      </c>
      <c r="G2057" s="133" t="e">
        <f>SUMIF(FERCJAMFactor,AK2057,JAMValue)</f>
        <v>#VALUE!</v>
      </c>
      <c r="H2057" s="139" t="e">
        <f>INDEX(FuncFactorTbl,MATCH($F2057,FuncFactors,0),MATCH(H$8,Functions,0))*$G2057</f>
        <v>#VALUE!</v>
      </c>
      <c r="I2057" s="139" t="e">
        <f>INDEX(FuncFactorTbl,MATCH($F2057,FuncFactors,0),MATCH(I$8,Functions,0))*$G2057</f>
        <v>#VALUE!</v>
      </c>
      <c r="J2057" s="139" t="e">
        <f>INDEX(FuncFactorTbl,MATCH($F2057,FuncFactors,0),MATCH(J$8,Functions,0))*$G2057</f>
        <v>#VALUE!</v>
      </c>
      <c r="K2057" s="139" t="e">
        <f>INDEX(FuncFactorTbl,MATCH($F2057,FuncFactors,0),MATCH(K$8,Functions,0))*$G2057</f>
        <v>#VALUE!</v>
      </c>
      <c r="L2057" s="139" t="e">
        <f>INDEX(FuncFactorTbl,MATCH($F2057,FuncFactors,0),MATCH(L$8,Functions,0))*$G2057</f>
        <v>#VALUE!</v>
      </c>
      <c r="X2057" s="3" t="str">
        <f>INDEX(DistFuncAllocOptions,ROW(A2057)-ROW($A$92)+1,[4]Inputs!$S$11)</f>
        <v>PLNT2</v>
      </c>
      <c r="Y2057" s="116" t="e">
        <f>INDEX(DistFuncFactorTbl,MATCH($X2057,DistFuncFactors,0),MATCH(Y$91,DistFunctions,0))*$J2057</f>
        <v>#VALUE!</v>
      </c>
      <c r="Z2057" s="116" t="e">
        <f>INDEX(DistFuncFactorTbl,MATCH($X2057,DistFuncFactors,0),MATCH(Z$91,DistFunctions,0))*$J2057</f>
        <v>#VALUE!</v>
      </c>
      <c r="AA2057" s="116" t="e">
        <f>INDEX(DistFuncFactorTbl,MATCH($X2057,DistFuncFactors,0),MATCH(AA$91,DistFunctions,0))*$J2057</f>
        <v>#VALUE!</v>
      </c>
      <c r="AB2057" s="116" t="e">
        <f>INDEX(DistFuncFactorTbl,MATCH($X2057,DistFuncFactors,0),MATCH(AB$91,DistFunctions,0))*$J2057</f>
        <v>#VALUE!</v>
      </c>
      <c r="AC2057" s="116" t="e">
        <f>INDEX(DistFuncFactorTbl,MATCH($X2057,DistFuncFactors,0),MATCH(AC$91,DistFunctions,0))*$J2057</f>
        <v>#VALUE!</v>
      </c>
      <c r="AD2057" s="117" t="e">
        <f>ROUND(SUM(-G2057,H2057:L2057),0)</f>
        <v>#VALUE!</v>
      </c>
      <c r="AE2057" s="117" t="e">
        <f>ROUND(H2057-O2057-P2057-Q2057-R2057,0)</f>
        <v>#VALUE!</v>
      </c>
      <c r="AF2057" s="117" t="e">
        <f>ROUND(I2057-T2057-U2057-V2057-W2057,0)</f>
        <v>#VALUE!</v>
      </c>
      <c r="AG2057" s="117" t="e">
        <f>ROUND(J2057-Y2057-Z2057-AA2057-AC2057-AB2057,0)</f>
        <v>#VALUE!</v>
      </c>
      <c r="AH2057" s="116"/>
      <c r="AI2057">
        <f t="shared" si="1299"/>
        <v>108360</v>
      </c>
      <c r="AJ2057" t="str">
        <f t="shared" si="1295"/>
        <v>S</v>
      </c>
      <c r="AK2057" t="str">
        <f>IF(ISERROR(MATCH(AI2057&amp;"."&amp;AJ2057,AK$91:AK2056,0)),AI2057&amp;"."&amp;AJ2057,AI2057&amp;"."&amp;AJ2057&amp;COUNTIFS(AI$91:AI2056,AI2057,AJ$91:AJ2056,AJ2057))</f>
        <v>108360.S</v>
      </c>
    </row>
    <row r="2058" spans="1:37" ht="15" hidden="1">
      <c r="A2058" s="120">
        <f>ROW()</f>
        <v>2058</v>
      </c>
      <c r="B2058" s="120"/>
      <c r="C2058" s="1"/>
      <c r="E2058" s="121"/>
      <c r="F2058" s="138"/>
      <c r="G2058" s="117" t="e">
        <f t="shared" ref="G2058:L2058" si="1313">SUM(G2057)</f>
        <v>#VALUE!</v>
      </c>
      <c r="H2058" s="116" t="e">
        <f t="shared" si="1313"/>
        <v>#VALUE!</v>
      </c>
      <c r="I2058" s="116" t="e">
        <f t="shared" si="1313"/>
        <v>#VALUE!</v>
      </c>
      <c r="J2058" s="116" t="e">
        <f t="shared" si="1313"/>
        <v>#VALUE!</v>
      </c>
      <c r="K2058" s="116" t="e">
        <f t="shared" si="1313"/>
        <v>#VALUE!</v>
      </c>
      <c r="L2058" s="116" t="e">
        <f t="shared" si="1313"/>
        <v>#VALUE!</v>
      </c>
      <c r="O2058" s="116">
        <f>SUM(O2057)</f>
        <v>0</v>
      </c>
      <c r="P2058" s="116">
        <f>SUM(P2057)</f>
        <v>0</v>
      </c>
      <c r="Q2058" s="116">
        <f>SUM(Q2057)</f>
        <v>0</v>
      </c>
      <c r="R2058" s="116">
        <f>SUM(R2057)</f>
        <v>0</v>
      </c>
      <c r="T2058" s="116">
        <f>SUM(T2057)</f>
        <v>0</v>
      </c>
      <c r="U2058" s="116">
        <f>SUM(U2057)</f>
        <v>0</v>
      </c>
      <c r="V2058" s="116">
        <f>SUM(V2057)</f>
        <v>0</v>
      </c>
      <c r="W2058" s="116">
        <f>SUM(W2057)</f>
        <v>0</v>
      </c>
      <c r="X2058" s="3"/>
      <c r="Y2058" s="116" t="e">
        <f>SUM(Y2057)</f>
        <v>#VALUE!</v>
      </c>
      <c r="Z2058" s="116" t="e">
        <f>SUM(Z2057)</f>
        <v>#VALUE!</v>
      </c>
      <c r="AA2058" s="116" t="e">
        <f>SUM(AA2057)</f>
        <v>#VALUE!</v>
      </c>
      <c r="AB2058" s="116" t="e">
        <f>SUM(AB2057)</f>
        <v>#VALUE!</v>
      </c>
      <c r="AC2058" s="116" t="e">
        <f>SUM(AC2057)</f>
        <v>#VALUE!</v>
      </c>
      <c r="AD2058" s="117" t="e">
        <f>ROUND(SUM(-G2058,H2058:L2058),0)</f>
        <v>#VALUE!</v>
      </c>
      <c r="AE2058" s="117" t="e">
        <f>ROUND(H2058-O2058-P2058-Q2058-R2058,0)</f>
        <v>#VALUE!</v>
      </c>
      <c r="AF2058" s="117" t="e">
        <f>ROUND(I2058-T2058-U2058-V2058-W2058,0)</f>
        <v>#VALUE!</v>
      </c>
      <c r="AG2058" s="117" t="e">
        <f>ROUND(J2058-Y2058-Z2058-AA2058-AC2058-AB2058,0)</f>
        <v>#VALUE!</v>
      </c>
      <c r="AH2058" s="116"/>
      <c r="AI2058">
        <f t="shared" si="1299"/>
        <v>108360</v>
      </c>
      <c r="AJ2058" t="str">
        <f t="shared" si="1295"/>
        <v>NA</v>
      </c>
      <c r="AK2058" t="str">
        <f>IF(ISERROR(MATCH(AI2058&amp;"."&amp;AJ2058,AK$91:AK2057,0)),AI2058&amp;"."&amp;AJ2058,AI2058&amp;"."&amp;AJ2058&amp;COUNTIFS(AI$91:AI2057,AI2058,AJ$91:AJ2057,AJ2058))</f>
        <v>108360.NA1</v>
      </c>
    </row>
    <row r="2059" spans="1:37" ht="15" hidden="1">
      <c r="A2059" s="120">
        <f>ROW()</f>
        <v>2059</v>
      </c>
      <c r="B2059" s="120"/>
      <c r="C2059" s="1"/>
      <c r="E2059" s="121"/>
      <c r="F2059" s="138"/>
      <c r="G2059" s="119"/>
      <c r="X2059" s="3"/>
      <c r="AD2059" s="119"/>
      <c r="AE2059" s="119"/>
      <c r="AF2059" s="119"/>
      <c r="AG2059" s="119"/>
      <c r="AI2059">
        <f t="shared" si="1299"/>
        <v>108360</v>
      </c>
      <c r="AJ2059" t="str">
        <f t="shared" si="1295"/>
        <v>NA</v>
      </c>
      <c r="AK2059" t="str">
        <f>IF(ISERROR(MATCH(AI2059&amp;"."&amp;AJ2059,AK$91:AK2058,0)),AI2059&amp;"."&amp;AJ2059,AI2059&amp;"."&amp;AJ2059&amp;COUNTIFS(AI$91:AI2058,AI2059,AJ$91:AJ2058,AJ2059))</f>
        <v>108360.NA2</v>
      </c>
    </row>
    <row r="2060" spans="1:37" ht="15" hidden="1">
      <c r="A2060" s="120">
        <f>ROW()</f>
        <v>2060</v>
      </c>
      <c r="B2060" s="120"/>
      <c r="C2060" s="1">
        <v>108361</v>
      </c>
      <c r="D2060" s="2" t="s">
        <v>502</v>
      </c>
      <c r="E2060" s="121"/>
      <c r="F2060" s="138"/>
      <c r="G2060" s="119"/>
      <c r="X2060" s="3"/>
      <c r="AD2060" s="119"/>
      <c r="AE2060" s="119"/>
      <c r="AF2060" s="119"/>
      <c r="AG2060" s="119"/>
      <c r="AI2060">
        <f t="shared" si="1299"/>
        <v>108361</v>
      </c>
      <c r="AJ2060" t="str">
        <f t="shared" si="1295"/>
        <v>NA</v>
      </c>
      <c r="AK2060" t="str">
        <f>IF(ISERROR(MATCH(AI2060&amp;"."&amp;AJ2060,AK$91:AK2059,0)),AI2060&amp;"."&amp;AJ2060,AI2060&amp;"."&amp;AJ2060&amp;COUNTIFS(AI$91:AI2059,AI2060,AJ$91:AJ2059,AJ2060))</f>
        <v>108361.NA</v>
      </c>
    </row>
    <row r="2061" spans="1:37" ht="15" hidden="1">
      <c r="A2061" s="120">
        <f>ROW()</f>
        <v>2061</v>
      </c>
      <c r="B2061" s="120"/>
      <c r="C2061" s="1"/>
      <c r="E2061" s="121" t="s">
        <v>12</v>
      </c>
      <c r="F2061" s="138" t="str">
        <f>INDEX(FuncAllocOptions,ROW(A2061)-ROW($A$92)+1,[4]Inputs!$S$11)</f>
        <v>DPW</v>
      </c>
      <c r="G2061" s="133" t="e">
        <f>SUMIF(FERCJAMFactor,AK2061,JAMValue)</f>
        <v>#VALUE!</v>
      </c>
      <c r="H2061" s="139" t="e">
        <f>INDEX(FuncFactorTbl,MATCH($F2061,FuncFactors,0),MATCH(H$8,Functions,0))*$G2061</f>
        <v>#VALUE!</v>
      </c>
      <c r="I2061" s="139" t="e">
        <f>INDEX(FuncFactorTbl,MATCH($F2061,FuncFactors,0),MATCH(I$8,Functions,0))*$G2061</f>
        <v>#VALUE!</v>
      </c>
      <c r="J2061" s="139" t="e">
        <f>INDEX(FuncFactorTbl,MATCH($F2061,FuncFactors,0),MATCH(J$8,Functions,0))*$G2061</f>
        <v>#VALUE!</v>
      </c>
      <c r="K2061" s="139" t="e">
        <f>INDEX(FuncFactorTbl,MATCH($F2061,FuncFactors,0),MATCH(K$8,Functions,0))*$G2061</f>
        <v>#VALUE!</v>
      </c>
      <c r="L2061" s="139" t="e">
        <f>INDEX(FuncFactorTbl,MATCH($F2061,FuncFactors,0),MATCH(L$8,Functions,0))*$G2061</f>
        <v>#VALUE!</v>
      </c>
      <c r="X2061" s="3" t="str">
        <f>INDEX(DistFuncAllocOptions,ROW(A2061)-ROW($A$92)+1,[4]Inputs!$S$11)</f>
        <v>PLNT2</v>
      </c>
      <c r="Y2061" s="116" t="e">
        <f>INDEX(DistFuncFactorTbl,MATCH($X2061,DistFuncFactors,0),MATCH(Y$91,DistFunctions,0))*$J2061</f>
        <v>#VALUE!</v>
      </c>
      <c r="Z2061" s="116" t="e">
        <f>INDEX(DistFuncFactorTbl,MATCH($X2061,DistFuncFactors,0),MATCH(Z$91,DistFunctions,0))*$J2061</f>
        <v>#VALUE!</v>
      </c>
      <c r="AA2061" s="116" t="e">
        <f>INDEX(DistFuncFactorTbl,MATCH($X2061,DistFuncFactors,0),MATCH(AA$91,DistFunctions,0))*$J2061</f>
        <v>#VALUE!</v>
      </c>
      <c r="AB2061" s="116" t="e">
        <f>INDEX(DistFuncFactorTbl,MATCH($X2061,DistFuncFactors,0),MATCH(AB$91,DistFunctions,0))*$J2061</f>
        <v>#VALUE!</v>
      </c>
      <c r="AC2061" s="116" t="e">
        <f>INDEX(DistFuncFactorTbl,MATCH($X2061,DistFuncFactors,0),MATCH(AC$91,DistFunctions,0))*$J2061</f>
        <v>#VALUE!</v>
      </c>
      <c r="AD2061" s="117" t="e">
        <f>ROUND(SUM(-G2061,H2061:L2061),0)</f>
        <v>#VALUE!</v>
      </c>
      <c r="AE2061" s="117" t="e">
        <f>ROUND(H2061-O2061-P2061-Q2061-R2061,0)</f>
        <v>#VALUE!</v>
      </c>
      <c r="AF2061" s="117" t="e">
        <f>ROUND(I2061-T2061-U2061-V2061-W2061,0)</f>
        <v>#VALUE!</v>
      </c>
      <c r="AG2061" s="117" t="e">
        <f>ROUND(J2061-Y2061-Z2061-AA2061-AC2061-AB2061,0)</f>
        <v>#VALUE!</v>
      </c>
      <c r="AH2061" s="116"/>
      <c r="AI2061">
        <f t="shared" si="1299"/>
        <v>108361</v>
      </c>
      <c r="AJ2061" t="str">
        <f t="shared" si="1295"/>
        <v>S</v>
      </c>
      <c r="AK2061" t="str">
        <f>IF(ISERROR(MATCH(AI2061&amp;"."&amp;AJ2061,AK$91:AK2060,0)),AI2061&amp;"."&amp;AJ2061,AI2061&amp;"."&amp;AJ2061&amp;COUNTIFS(AI$91:AI2060,AI2061,AJ$91:AJ2060,AJ2061))</f>
        <v>108361.S</v>
      </c>
    </row>
    <row r="2062" spans="1:37" ht="15" hidden="1">
      <c r="A2062" s="120">
        <f>ROW()</f>
        <v>2062</v>
      </c>
      <c r="B2062" s="120"/>
      <c r="C2062" s="1"/>
      <c r="E2062" s="121"/>
      <c r="F2062" s="138"/>
      <c r="G2062" s="117" t="e">
        <f t="shared" ref="G2062:L2062" si="1314">SUM(G2061)</f>
        <v>#VALUE!</v>
      </c>
      <c r="H2062" s="116" t="e">
        <f t="shared" si="1314"/>
        <v>#VALUE!</v>
      </c>
      <c r="I2062" s="116" t="e">
        <f t="shared" si="1314"/>
        <v>#VALUE!</v>
      </c>
      <c r="J2062" s="116" t="e">
        <f t="shared" si="1314"/>
        <v>#VALUE!</v>
      </c>
      <c r="K2062" s="116" t="e">
        <f t="shared" si="1314"/>
        <v>#VALUE!</v>
      </c>
      <c r="L2062" s="116" t="e">
        <f t="shared" si="1314"/>
        <v>#VALUE!</v>
      </c>
      <c r="O2062" s="116">
        <f>SUM(O2061)</f>
        <v>0</v>
      </c>
      <c r="P2062" s="116">
        <f>SUM(P2061)</f>
        <v>0</v>
      </c>
      <c r="Q2062" s="116">
        <f>SUM(Q2061)</f>
        <v>0</v>
      </c>
      <c r="R2062" s="116">
        <f>SUM(R2061)</f>
        <v>0</v>
      </c>
      <c r="T2062" s="116">
        <f>SUM(T2061)</f>
        <v>0</v>
      </c>
      <c r="U2062" s="116">
        <f>SUM(U2061)</f>
        <v>0</v>
      </c>
      <c r="V2062" s="116">
        <f>SUM(V2061)</f>
        <v>0</v>
      </c>
      <c r="W2062" s="116">
        <f>SUM(W2061)</f>
        <v>0</v>
      </c>
      <c r="X2062" s="3"/>
      <c r="Y2062" s="116" t="e">
        <f>SUM(Y2061)</f>
        <v>#VALUE!</v>
      </c>
      <c r="Z2062" s="116" t="e">
        <f>SUM(Z2061)</f>
        <v>#VALUE!</v>
      </c>
      <c r="AA2062" s="116" t="e">
        <f>SUM(AA2061)</f>
        <v>#VALUE!</v>
      </c>
      <c r="AB2062" s="116" t="e">
        <f>SUM(AB2061)</f>
        <v>#VALUE!</v>
      </c>
      <c r="AC2062" s="116" t="e">
        <f>SUM(AC2061)</f>
        <v>#VALUE!</v>
      </c>
      <c r="AD2062" s="117" t="e">
        <f>ROUND(SUM(-G2062,H2062:L2062),0)</f>
        <v>#VALUE!</v>
      </c>
      <c r="AE2062" s="117" t="e">
        <f>ROUND(H2062-O2062-P2062-Q2062-R2062,0)</f>
        <v>#VALUE!</v>
      </c>
      <c r="AF2062" s="117" t="e">
        <f>ROUND(I2062-T2062-U2062-V2062-W2062,0)</f>
        <v>#VALUE!</v>
      </c>
      <c r="AG2062" s="117" t="e">
        <f>ROUND(J2062-Y2062-Z2062-AA2062-AC2062-AB2062,0)</f>
        <v>#VALUE!</v>
      </c>
      <c r="AH2062" s="116"/>
      <c r="AI2062">
        <f t="shared" si="1299"/>
        <v>108361</v>
      </c>
      <c r="AJ2062" t="str">
        <f t="shared" si="1295"/>
        <v>NA</v>
      </c>
      <c r="AK2062" t="str">
        <f>IF(ISERROR(MATCH(AI2062&amp;"."&amp;AJ2062,AK$91:AK2061,0)),AI2062&amp;"."&amp;AJ2062,AI2062&amp;"."&amp;AJ2062&amp;COUNTIFS(AI$91:AI2061,AI2062,AJ$91:AJ2061,AJ2062))</f>
        <v>108361.NA1</v>
      </c>
    </row>
    <row r="2063" spans="1:37" ht="15" hidden="1">
      <c r="A2063" s="120">
        <f>ROW()</f>
        <v>2063</v>
      </c>
      <c r="B2063" s="120"/>
      <c r="C2063" s="1"/>
      <c r="E2063" s="121"/>
      <c r="F2063" s="138"/>
      <c r="G2063" s="119"/>
      <c r="X2063" s="3"/>
      <c r="AD2063" s="119"/>
      <c r="AE2063" s="119"/>
      <c r="AF2063" s="119"/>
      <c r="AG2063" s="119"/>
      <c r="AI2063">
        <f t="shared" si="1299"/>
        <v>108361</v>
      </c>
      <c r="AJ2063" t="str">
        <f t="shared" si="1295"/>
        <v>NA</v>
      </c>
      <c r="AK2063" t="str">
        <f>IF(ISERROR(MATCH(AI2063&amp;"."&amp;AJ2063,AK$91:AK2062,0)),AI2063&amp;"."&amp;AJ2063,AI2063&amp;"."&amp;AJ2063&amp;COUNTIFS(AI$91:AI2062,AI2063,AJ$91:AJ2062,AJ2063))</f>
        <v>108361.NA2</v>
      </c>
    </row>
    <row r="2064" spans="1:37" ht="15" hidden="1">
      <c r="A2064" s="120">
        <f>ROW()</f>
        <v>2064</v>
      </c>
      <c r="B2064" s="120"/>
      <c r="C2064" s="1">
        <v>108362</v>
      </c>
      <c r="D2064" s="2" t="s">
        <v>380</v>
      </c>
      <c r="E2064" s="121"/>
      <c r="F2064" s="138"/>
      <c r="G2064" s="119"/>
      <c r="X2064" s="3"/>
      <c r="AD2064" s="119"/>
      <c r="AE2064" s="119"/>
      <c r="AF2064" s="119"/>
      <c r="AG2064" s="119"/>
      <c r="AI2064">
        <f t="shared" si="1299"/>
        <v>108362</v>
      </c>
      <c r="AJ2064" t="str">
        <f t="shared" si="1295"/>
        <v>NA</v>
      </c>
      <c r="AK2064" t="str">
        <f>IF(ISERROR(MATCH(AI2064&amp;"."&amp;AJ2064,AK$91:AK2063,0)),AI2064&amp;"."&amp;AJ2064,AI2064&amp;"."&amp;AJ2064&amp;COUNTIFS(AI$91:AI2063,AI2064,AJ$91:AJ2063,AJ2064))</f>
        <v>108362.NA</v>
      </c>
    </row>
    <row r="2065" spans="1:37" ht="15" hidden="1">
      <c r="A2065" s="120">
        <f>ROW()</f>
        <v>2065</v>
      </c>
      <c r="B2065" s="120"/>
      <c r="C2065" s="1"/>
      <c r="E2065" s="121" t="s">
        <v>12</v>
      </c>
      <c r="F2065" s="138" t="str">
        <f>INDEX(FuncAllocOptions,ROW(A2065)-ROW($A$92)+1,[4]Inputs!$S$11)</f>
        <v>DPW</v>
      </c>
      <c r="G2065" s="133" t="e">
        <f>SUMIF(FERCJAMFactor,AK2065,JAMValue)</f>
        <v>#VALUE!</v>
      </c>
      <c r="H2065" s="139" t="e">
        <f>INDEX(FuncFactorTbl,MATCH($F2065,FuncFactors,0),MATCH(H$8,Functions,0))*$G2065</f>
        <v>#VALUE!</v>
      </c>
      <c r="I2065" s="139" t="e">
        <f>INDEX(FuncFactorTbl,MATCH($F2065,FuncFactors,0),MATCH(I$8,Functions,0))*$G2065</f>
        <v>#VALUE!</v>
      </c>
      <c r="J2065" s="139" t="e">
        <f>INDEX(FuncFactorTbl,MATCH($F2065,FuncFactors,0),MATCH(J$8,Functions,0))*$G2065</f>
        <v>#VALUE!</v>
      </c>
      <c r="K2065" s="139" t="e">
        <f>INDEX(FuncFactorTbl,MATCH($F2065,FuncFactors,0),MATCH(K$8,Functions,0))*$G2065</f>
        <v>#VALUE!</v>
      </c>
      <c r="L2065" s="139" t="e">
        <f>INDEX(FuncFactorTbl,MATCH($F2065,FuncFactors,0),MATCH(L$8,Functions,0))*$G2065</f>
        <v>#VALUE!</v>
      </c>
      <c r="X2065" s="3" t="str">
        <f>INDEX(DistFuncAllocOptions,ROW(A2065)-ROW($A$92)+1,[4]Inputs!$S$11)</f>
        <v>SUBS</v>
      </c>
      <c r="Y2065" s="116" t="e">
        <f>INDEX(DistFuncFactorTbl,MATCH($X2065,DistFuncFactors,0),MATCH(Y$91,DistFunctions,0))*$J2065</f>
        <v>#VALUE!</v>
      </c>
      <c r="Z2065" s="116" t="e">
        <f>INDEX(DistFuncFactorTbl,MATCH($X2065,DistFuncFactors,0),MATCH(Z$91,DistFunctions,0))*$J2065</f>
        <v>#VALUE!</v>
      </c>
      <c r="AA2065" s="116" t="e">
        <f>INDEX(DistFuncFactorTbl,MATCH($X2065,DistFuncFactors,0),MATCH(AA$91,DistFunctions,0))*$J2065</f>
        <v>#VALUE!</v>
      </c>
      <c r="AB2065" s="116" t="e">
        <f>INDEX(DistFuncFactorTbl,MATCH($X2065,DistFuncFactors,0),MATCH(AB$91,DistFunctions,0))*$J2065</f>
        <v>#VALUE!</v>
      </c>
      <c r="AC2065" s="116" t="e">
        <f>INDEX(DistFuncFactorTbl,MATCH($X2065,DistFuncFactors,0),MATCH(AC$91,DistFunctions,0))*$J2065</f>
        <v>#VALUE!</v>
      </c>
      <c r="AD2065" s="117" t="e">
        <f>ROUND(SUM(-G2065,H2065:L2065),0)</f>
        <v>#VALUE!</v>
      </c>
      <c r="AE2065" s="117" t="e">
        <f>ROUND(H2065-O2065-P2065-Q2065-R2065,0)</f>
        <v>#VALUE!</v>
      </c>
      <c r="AF2065" s="117" t="e">
        <f>ROUND(I2065-T2065-U2065-V2065-W2065,0)</f>
        <v>#VALUE!</v>
      </c>
      <c r="AG2065" s="117" t="e">
        <f>ROUND(J2065-Y2065-Z2065-AA2065-AC2065-AB2065,0)</f>
        <v>#VALUE!</v>
      </c>
      <c r="AH2065" s="116"/>
      <c r="AI2065">
        <f t="shared" si="1299"/>
        <v>108362</v>
      </c>
      <c r="AJ2065" t="str">
        <f t="shared" si="1295"/>
        <v>S</v>
      </c>
      <c r="AK2065" t="str">
        <f>IF(ISERROR(MATCH(AI2065&amp;"."&amp;AJ2065,AK$91:AK2064,0)),AI2065&amp;"."&amp;AJ2065,AI2065&amp;"."&amp;AJ2065&amp;COUNTIFS(AI$91:AI2064,AI2065,AJ$91:AJ2064,AJ2065))</f>
        <v>108362.S</v>
      </c>
    </row>
    <row r="2066" spans="1:37" ht="15" hidden="1">
      <c r="A2066" s="120">
        <f>ROW()</f>
        <v>2066</v>
      </c>
      <c r="B2066" s="120"/>
      <c r="C2066" s="1"/>
      <c r="E2066" s="121"/>
      <c r="F2066" s="138"/>
      <c r="G2066" s="117" t="e">
        <f t="shared" ref="G2066:L2066" si="1315">SUM(G2065)</f>
        <v>#VALUE!</v>
      </c>
      <c r="H2066" s="116" t="e">
        <f t="shared" si="1315"/>
        <v>#VALUE!</v>
      </c>
      <c r="I2066" s="116" t="e">
        <f t="shared" si="1315"/>
        <v>#VALUE!</v>
      </c>
      <c r="J2066" s="116" t="e">
        <f t="shared" si="1315"/>
        <v>#VALUE!</v>
      </c>
      <c r="K2066" s="116" t="e">
        <f t="shared" si="1315"/>
        <v>#VALUE!</v>
      </c>
      <c r="L2066" s="116" t="e">
        <f t="shared" si="1315"/>
        <v>#VALUE!</v>
      </c>
      <c r="O2066" s="116">
        <f>SUM(O2065)</f>
        <v>0</v>
      </c>
      <c r="P2066" s="116">
        <f>SUM(P2065)</f>
        <v>0</v>
      </c>
      <c r="Q2066" s="116">
        <f>SUM(Q2065)</f>
        <v>0</v>
      </c>
      <c r="R2066" s="116">
        <f>SUM(R2065)</f>
        <v>0</v>
      </c>
      <c r="T2066" s="116">
        <f>SUM(T2065)</f>
        <v>0</v>
      </c>
      <c r="U2066" s="116">
        <f>SUM(U2065)</f>
        <v>0</v>
      </c>
      <c r="V2066" s="116">
        <f>SUM(V2065)</f>
        <v>0</v>
      </c>
      <c r="W2066" s="116">
        <f>SUM(W2065)</f>
        <v>0</v>
      </c>
      <c r="X2066" s="3"/>
      <c r="Y2066" s="116" t="e">
        <f>SUM(Y2065)</f>
        <v>#VALUE!</v>
      </c>
      <c r="Z2066" s="116" t="e">
        <f>SUM(Z2065)</f>
        <v>#VALUE!</v>
      </c>
      <c r="AA2066" s="116" t="e">
        <f>SUM(AA2065)</f>
        <v>#VALUE!</v>
      </c>
      <c r="AB2066" s="116" t="e">
        <f>SUM(AB2065)</f>
        <v>#VALUE!</v>
      </c>
      <c r="AC2066" s="116" t="e">
        <f>SUM(AC2065)</f>
        <v>#VALUE!</v>
      </c>
      <c r="AD2066" s="117" t="e">
        <f>ROUND(SUM(-G2066,H2066:L2066),0)</f>
        <v>#VALUE!</v>
      </c>
      <c r="AE2066" s="117" t="e">
        <f>ROUND(H2066-O2066-P2066-Q2066-R2066,0)</f>
        <v>#VALUE!</v>
      </c>
      <c r="AF2066" s="117" t="e">
        <f>ROUND(I2066-T2066-U2066-V2066-W2066,0)</f>
        <v>#VALUE!</v>
      </c>
      <c r="AG2066" s="117" t="e">
        <f>ROUND(J2066-Y2066-Z2066-AA2066-AC2066-AB2066,0)</f>
        <v>#VALUE!</v>
      </c>
      <c r="AH2066" s="116"/>
      <c r="AI2066">
        <f t="shared" si="1299"/>
        <v>108362</v>
      </c>
      <c r="AJ2066" t="str">
        <f t="shared" si="1295"/>
        <v>NA</v>
      </c>
      <c r="AK2066" t="str">
        <f>IF(ISERROR(MATCH(AI2066&amp;"."&amp;AJ2066,AK$91:AK2065,0)),AI2066&amp;"."&amp;AJ2066,AI2066&amp;"."&amp;AJ2066&amp;COUNTIFS(AI$91:AI2065,AI2066,AJ$91:AJ2065,AJ2066))</f>
        <v>108362.NA1</v>
      </c>
    </row>
    <row r="2067" spans="1:37" ht="15" hidden="1">
      <c r="A2067" s="120">
        <f>ROW()</f>
        <v>2067</v>
      </c>
      <c r="B2067" s="120"/>
      <c r="C2067" s="1"/>
      <c r="E2067" s="121"/>
      <c r="F2067" s="138"/>
      <c r="G2067" s="119"/>
      <c r="X2067" s="3"/>
      <c r="AD2067" s="119"/>
      <c r="AE2067" s="119"/>
      <c r="AF2067" s="119"/>
      <c r="AG2067" s="119"/>
      <c r="AI2067">
        <f t="shared" si="1299"/>
        <v>108362</v>
      </c>
      <c r="AJ2067" t="str">
        <f t="shared" si="1295"/>
        <v>NA</v>
      </c>
      <c r="AK2067" t="str">
        <f>IF(ISERROR(MATCH(AI2067&amp;"."&amp;AJ2067,AK$91:AK2066,0)),AI2067&amp;"."&amp;AJ2067,AI2067&amp;"."&amp;AJ2067&amp;COUNTIFS(AI$91:AI2066,AI2067,AJ$91:AJ2066,AJ2067))</f>
        <v>108362.NA2</v>
      </c>
    </row>
    <row r="2068" spans="1:37" ht="15" hidden="1">
      <c r="A2068" s="120">
        <f>ROW()</f>
        <v>2068</v>
      </c>
      <c r="B2068" s="120"/>
      <c r="C2068" s="1">
        <v>108364</v>
      </c>
      <c r="D2068" s="2" t="s">
        <v>549</v>
      </c>
      <c r="E2068" s="121"/>
      <c r="F2068" s="138"/>
      <c r="G2068" s="119"/>
      <c r="X2068" s="3"/>
      <c r="AD2068" s="119"/>
      <c r="AE2068" s="119"/>
      <c r="AF2068" s="119"/>
      <c r="AG2068" s="119"/>
      <c r="AI2068">
        <f t="shared" si="1299"/>
        <v>108364</v>
      </c>
      <c r="AJ2068" t="str">
        <f t="shared" si="1295"/>
        <v>NA</v>
      </c>
      <c r="AK2068" t="str">
        <f>IF(ISERROR(MATCH(AI2068&amp;"."&amp;AJ2068,AK$91:AK2067,0)),AI2068&amp;"."&amp;AJ2068,AI2068&amp;"."&amp;AJ2068&amp;COUNTIFS(AI$91:AI2067,AI2068,AJ$91:AJ2067,AJ2068))</f>
        <v>108364.NA</v>
      </c>
    </row>
    <row r="2069" spans="1:37" ht="15" hidden="1">
      <c r="A2069" s="120">
        <f>ROW()</f>
        <v>2069</v>
      </c>
      <c r="B2069" s="120"/>
      <c r="C2069" s="1"/>
      <c r="E2069" s="121" t="s">
        <v>12</v>
      </c>
      <c r="F2069" s="138" t="str">
        <f>INDEX(FuncAllocOptions,ROW(A2069)-ROW($A$92)+1,[4]Inputs!$S$11)</f>
        <v>DPW</v>
      </c>
      <c r="G2069" s="133" t="e">
        <f>SUMIF(FERCJAMFactor,AK2069,JAMValue)</f>
        <v>#VALUE!</v>
      </c>
      <c r="H2069" s="139" t="e">
        <f>INDEX(FuncFactorTbl,MATCH($F2069,FuncFactors,0),MATCH(H$8,Functions,0))*$G2069</f>
        <v>#VALUE!</v>
      </c>
      <c r="I2069" s="139" t="e">
        <f>INDEX(FuncFactorTbl,MATCH($F2069,FuncFactors,0),MATCH(I$8,Functions,0))*$G2069</f>
        <v>#VALUE!</v>
      </c>
      <c r="J2069" s="139" t="e">
        <f>INDEX(FuncFactorTbl,MATCH($F2069,FuncFactors,0),MATCH(J$8,Functions,0))*$G2069</f>
        <v>#VALUE!</v>
      </c>
      <c r="K2069" s="139" t="e">
        <f>INDEX(FuncFactorTbl,MATCH($F2069,FuncFactors,0),MATCH(K$8,Functions,0))*$G2069</f>
        <v>#VALUE!</v>
      </c>
      <c r="L2069" s="139" t="e">
        <f>INDEX(FuncFactorTbl,MATCH($F2069,FuncFactors,0),MATCH(L$8,Functions,0))*$G2069</f>
        <v>#VALUE!</v>
      </c>
      <c r="X2069" s="3" t="str">
        <f>INDEX(DistFuncAllocOptions,ROW(A2069)-ROW($A$92)+1,[4]Inputs!$S$11)</f>
        <v>PC</v>
      </c>
      <c r="Y2069" s="116" t="e">
        <f>INDEX(DistFuncFactorTbl,MATCH($X2069,DistFuncFactors,0),MATCH(Y$91,DistFunctions,0))*$J2069</f>
        <v>#VALUE!</v>
      </c>
      <c r="Z2069" s="116" t="e">
        <f>INDEX(DistFuncFactorTbl,MATCH($X2069,DistFuncFactors,0),MATCH(Z$91,DistFunctions,0))*$J2069</f>
        <v>#VALUE!</v>
      </c>
      <c r="AA2069" s="116" t="e">
        <f>INDEX(DistFuncFactorTbl,MATCH($X2069,DistFuncFactors,0),MATCH(AA$91,DistFunctions,0))*$J2069</f>
        <v>#VALUE!</v>
      </c>
      <c r="AB2069" s="116" t="e">
        <f>INDEX(DistFuncFactorTbl,MATCH($X2069,DistFuncFactors,0),MATCH(AB$91,DistFunctions,0))*$J2069</f>
        <v>#VALUE!</v>
      </c>
      <c r="AC2069" s="116" t="e">
        <f>INDEX(DistFuncFactorTbl,MATCH($X2069,DistFuncFactors,0),MATCH(AC$91,DistFunctions,0))*$J2069</f>
        <v>#VALUE!</v>
      </c>
      <c r="AD2069" s="117" t="e">
        <f>ROUND(SUM(-G2069,H2069:L2069),0)</f>
        <v>#VALUE!</v>
      </c>
      <c r="AE2069" s="117" t="e">
        <f>ROUND(H2069-O2069-P2069-Q2069-R2069,0)</f>
        <v>#VALUE!</v>
      </c>
      <c r="AF2069" s="117" t="e">
        <f>ROUND(I2069-T2069-U2069-V2069-W2069,0)</f>
        <v>#VALUE!</v>
      </c>
      <c r="AG2069" s="117" t="e">
        <f>ROUND(J2069-Y2069-Z2069-AA2069-AC2069-AB2069,0)</f>
        <v>#VALUE!</v>
      </c>
      <c r="AH2069" s="116"/>
      <c r="AI2069">
        <f t="shared" si="1299"/>
        <v>108364</v>
      </c>
      <c r="AJ2069" t="str">
        <f t="shared" si="1295"/>
        <v>S</v>
      </c>
      <c r="AK2069" t="str">
        <f>IF(ISERROR(MATCH(AI2069&amp;"."&amp;AJ2069,AK$91:AK2068,0)),AI2069&amp;"."&amp;AJ2069,AI2069&amp;"."&amp;AJ2069&amp;COUNTIFS(AI$91:AI2068,AI2069,AJ$91:AJ2068,AJ2069))</f>
        <v>108364.S</v>
      </c>
    </row>
    <row r="2070" spans="1:37" ht="15" hidden="1">
      <c r="A2070" s="120">
        <f>ROW()</f>
        <v>2070</v>
      </c>
      <c r="B2070" s="120"/>
      <c r="C2070" s="1"/>
      <c r="E2070" s="121"/>
      <c r="F2070" s="138"/>
      <c r="G2070" s="117" t="e">
        <f t="shared" ref="G2070:L2070" si="1316">SUM(G2069)</f>
        <v>#VALUE!</v>
      </c>
      <c r="H2070" s="116" t="e">
        <f t="shared" si="1316"/>
        <v>#VALUE!</v>
      </c>
      <c r="I2070" s="116" t="e">
        <f t="shared" si="1316"/>
        <v>#VALUE!</v>
      </c>
      <c r="J2070" s="116" t="e">
        <f t="shared" si="1316"/>
        <v>#VALUE!</v>
      </c>
      <c r="K2070" s="116" t="e">
        <f t="shared" si="1316"/>
        <v>#VALUE!</v>
      </c>
      <c r="L2070" s="116" t="e">
        <f t="shared" si="1316"/>
        <v>#VALUE!</v>
      </c>
      <c r="O2070" s="116">
        <f>SUM(O2069)</f>
        <v>0</v>
      </c>
      <c r="P2070" s="116">
        <f>SUM(P2069)</f>
        <v>0</v>
      </c>
      <c r="Q2070" s="116">
        <f>SUM(Q2069)</f>
        <v>0</v>
      </c>
      <c r="R2070" s="116">
        <f>SUM(R2069)</f>
        <v>0</v>
      </c>
      <c r="T2070" s="116">
        <f>SUM(T2069)</f>
        <v>0</v>
      </c>
      <c r="U2070" s="116">
        <f>SUM(U2069)</f>
        <v>0</v>
      </c>
      <c r="V2070" s="116">
        <f>SUM(V2069)</f>
        <v>0</v>
      </c>
      <c r="W2070" s="116">
        <f>SUM(W2069)</f>
        <v>0</v>
      </c>
      <c r="X2070" s="3"/>
      <c r="Y2070" s="116" t="e">
        <f>SUM(Y2069)</f>
        <v>#VALUE!</v>
      </c>
      <c r="Z2070" s="116" t="e">
        <f>SUM(Z2069)</f>
        <v>#VALUE!</v>
      </c>
      <c r="AA2070" s="116" t="e">
        <f>SUM(AA2069)</f>
        <v>#VALUE!</v>
      </c>
      <c r="AB2070" s="116" t="e">
        <f>SUM(AB2069)</f>
        <v>#VALUE!</v>
      </c>
      <c r="AC2070" s="116" t="e">
        <f>SUM(AC2069)</f>
        <v>#VALUE!</v>
      </c>
      <c r="AD2070" s="117" t="e">
        <f>ROUND(SUM(-G2070,H2070:L2070),0)</f>
        <v>#VALUE!</v>
      </c>
      <c r="AE2070" s="117" t="e">
        <f>ROUND(H2070-O2070-P2070-Q2070-R2070,0)</f>
        <v>#VALUE!</v>
      </c>
      <c r="AF2070" s="117" t="e">
        <f>ROUND(I2070-T2070-U2070-V2070-W2070,0)</f>
        <v>#VALUE!</v>
      </c>
      <c r="AG2070" s="117" t="e">
        <f>ROUND(J2070-Y2070-Z2070-AA2070-AC2070-AB2070,0)</f>
        <v>#VALUE!</v>
      </c>
      <c r="AH2070" s="116"/>
      <c r="AI2070">
        <f t="shared" si="1299"/>
        <v>108364</v>
      </c>
      <c r="AJ2070" t="str">
        <f t="shared" si="1295"/>
        <v>NA</v>
      </c>
      <c r="AK2070" t="str">
        <f>IF(ISERROR(MATCH(AI2070&amp;"."&amp;AJ2070,AK$91:AK2069,0)),AI2070&amp;"."&amp;AJ2070,AI2070&amp;"."&amp;AJ2070&amp;COUNTIFS(AI$91:AI2069,AI2070,AJ$91:AJ2069,AJ2070))</f>
        <v>108364.NA1</v>
      </c>
    </row>
    <row r="2071" spans="1:37" ht="15" hidden="1">
      <c r="A2071" s="120">
        <f>ROW()</f>
        <v>2071</v>
      </c>
      <c r="B2071" s="120"/>
      <c r="C2071" s="1"/>
      <c r="E2071" s="121"/>
      <c r="F2071" s="138"/>
      <c r="G2071" s="119"/>
      <c r="X2071" s="3"/>
      <c r="AD2071" s="119"/>
      <c r="AE2071" s="119"/>
      <c r="AF2071" s="119"/>
      <c r="AG2071" s="119"/>
      <c r="AI2071">
        <f t="shared" si="1299"/>
        <v>108364</v>
      </c>
      <c r="AJ2071" t="str">
        <f t="shared" si="1295"/>
        <v>NA</v>
      </c>
      <c r="AK2071" t="str">
        <f>IF(ISERROR(MATCH(AI2071&amp;"."&amp;AJ2071,AK$91:AK2070,0)),AI2071&amp;"."&amp;AJ2071,AI2071&amp;"."&amp;AJ2071&amp;COUNTIFS(AI$91:AI2070,AI2071,AJ$91:AJ2070,AJ2071))</f>
        <v>108364.NA2</v>
      </c>
    </row>
    <row r="2072" spans="1:37" ht="15" hidden="1">
      <c r="A2072" s="120">
        <f>ROW()</f>
        <v>2072</v>
      </c>
      <c r="B2072" s="120"/>
      <c r="C2072" s="1">
        <v>108365</v>
      </c>
      <c r="D2072" s="2" t="s">
        <v>550</v>
      </c>
      <c r="E2072" s="121"/>
      <c r="F2072" s="138"/>
      <c r="G2072" s="119"/>
      <c r="X2072" s="3"/>
      <c r="AD2072" s="119"/>
      <c r="AE2072" s="119"/>
      <c r="AF2072" s="119"/>
      <c r="AG2072" s="119"/>
      <c r="AI2072">
        <f t="shared" si="1299"/>
        <v>108365</v>
      </c>
      <c r="AJ2072" t="str">
        <f t="shared" si="1295"/>
        <v>NA</v>
      </c>
      <c r="AK2072" t="str">
        <f>IF(ISERROR(MATCH(AI2072&amp;"."&amp;AJ2072,AK$91:AK2071,0)),AI2072&amp;"."&amp;AJ2072,AI2072&amp;"."&amp;AJ2072&amp;COUNTIFS(AI$91:AI2071,AI2072,AJ$91:AJ2071,AJ2072))</f>
        <v>108365.NA</v>
      </c>
    </row>
    <row r="2073" spans="1:37" ht="15" hidden="1">
      <c r="A2073" s="120">
        <f>ROW()</f>
        <v>2073</v>
      </c>
      <c r="B2073" s="120"/>
      <c r="C2073" s="1"/>
      <c r="E2073" s="121" t="s">
        <v>12</v>
      </c>
      <c r="F2073" s="138" t="str">
        <f>INDEX(FuncAllocOptions,ROW(A2073)-ROW($A$92)+1,[4]Inputs!$S$11)</f>
        <v>DPW</v>
      </c>
      <c r="G2073" s="133" t="e">
        <f>SUMIF(FERCJAMFactor,AK2073,JAMValue)</f>
        <v>#VALUE!</v>
      </c>
      <c r="H2073" s="139" t="e">
        <f>INDEX(FuncFactorTbl,MATCH($F2073,FuncFactors,0),MATCH(H$8,Functions,0))*$G2073</f>
        <v>#VALUE!</v>
      </c>
      <c r="I2073" s="139" t="e">
        <f>INDEX(FuncFactorTbl,MATCH($F2073,FuncFactors,0),MATCH(I$8,Functions,0))*$G2073</f>
        <v>#VALUE!</v>
      </c>
      <c r="J2073" s="139" t="e">
        <f>INDEX(FuncFactorTbl,MATCH($F2073,FuncFactors,0),MATCH(J$8,Functions,0))*$G2073</f>
        <v>#VALUE!</v>
      </c>
      <c r="K2073" s="139" t="e">
        <f>INDEX(FuncFactorTbl,MATCH($F2073,FuncFactors,0),MATCH(K$8,Functions,0))*$G2073</f>
        <v>#VALUE!</v>
      </c>
      <c r="L2073" s="139" t="e">
        <f>INDEX(FuncFactorTbl,MATCH($F2073,FuncFactors,0),MATCH(L$8,Functions,0))*$G2073</f>
        <v>#VALUE!</v>
      </c>
      <c r="X2073" s="3" t="str">
        <f>INDEX(DistFuncAllocOptions,ROW(A2073)-ROW($A$92)+1,[4]Inputs!$S$11)</f>
        <v>PC</v>
      </c>
      <c r="Y2073" s="116" t="e">
        <f>INDEX(DistFuncFactorTbl,MATCH($X2073,DistFuncFactors,0),MATCH(Y$91,DistFunctions,0))*$J2073</f>
        <v>#VALUE!</v>
      </c>
      <c r="Z2073" s="116" t="e">
        <f>INDEX(DistFuncFactorTbl,MATCH($X2073,DistFuncFactors,0),MATCH(Z$91,DistFunctions,0))*$J2073</f>
        <v>#VALUE!</v>
      </c>
      <c r="AA2073" s="116" t="e">
        <f>INDEX(DistFuncFactorTbl,MATCH($X2073,DistFuncFactors,0),MATCH(AA$91,DistFunctions,0))*$J2073</f>
        <v>#VALUE!</v>
      </c>
      <c r="AB2073" s="116" t="e">
        <f>INDEX(DistFuncFactorTbl,MATCH($X2073,DistFuncFactors,0),MATCH(AB$91,DistFunctions,0))*$J2073</f>
        <v>#VALUE!</v>
      </c>
      <c r="AC2073" s="116" t="e">
        <f>INDEX(DistFuncFactorTbl,MATCH($X2073,DistFuncFactors,0),MATCH(AC$91,DistFunctions,0))*$J2073</f>
        <v>#VALUE!</v>
      </c>
      <c r="AD2073" s="117" t="e">
        <f>ROUND(SUM(-G2073,H2073:L2073),0)</f>
        <v>#VALUE!</v>
      </c>
      <c r="AE2073" s="117" t="e">
        <f>ROUND(H2073-O2073-P2073-Q2073-R2073,0)</f>
        <v>#VALUE!</v>
      </c>
      <c r="AF2073" s="117" t="e">
        <f>ROUND(I2073-T2073-U2073-V2073-W2073,0)</f>
        <v>#VALUE!</v>
      </c>
      <c r="AG2073" s="117" t="e">
        <f>ROUND(J2073-Y2073-Z2073-AA2073-AC2073-AB2073,0)</f>
        <v>#VALUE!</v>
      </c>
      <c r="AH2073" s="116"/>
      <c r="AI2073">
        <f t="shared" si="1299"/>
        <v>108365</v>
      </c>
      <c r="AJ2073" t="str">
        <f t="shared" si="1295"/>
        <v>S</v>
      </c>
      <c r="AK2073" t="str">
        <f>IF(ISERROR(MATCH(AI2073&amp;"."&amp;AJ2073,AK$91:AK2072,0)),AI2073&amp;"."&amp;AJ2073,AI2073&amp;"."&amp;AJ2073&amp;COUNTIFS(AI$91:AI2072,AI2073,AJ$91:AJ2072,AJ2073))</f>
        <v>108365.S</v>
      </c>
    </row>
    <row r="2074" spans="1:37" ht="15" hidden="1">
      <c r="A2074" s="120">
        <f>ROW()</f>
        <v>2074</v>
      </c>
      <c r="B2074" s="120"/>
      <c r="C2074" s="1"/>
      <c r="E2074" s="121"/>
      <c r="F2074" s="138"/>
      <c r="G2074" s="117" t="e">
        <f t="shared" ref="G2074:L2074" si="1317">SUM(G2073)</f>
        <v>#VALUE!</v>
      </c>
      <c r="H2074" s="116" t="e">
        <f t="shared" si="1317"/>
        <v>#VALUE!</v>
      </c>
      <c r="I2074" s="116" t="e">
        <f t="shared" si="1317"/>
        <v>#VALUE!</v>
      </c>
      <c r="J2074" s="116" t="e">
        <f t="shared" si="1317"/>
        <v>#VALUE!</v>
      </c>
      <c r="K2074" s="116" t="e">
        <f t="shared" si="1317"/>
        <v>#VALUE!</v>
      </c>
      <c r="L2074" s="116" t="e">
        <f t="shared" si="1317"/>
        <v>#VALUE!</v>
      </c>
      <c r="O2074" s="116">
        <f>SUM(O2073)</f>
        <v>0</v>
      </c>
      <c r="P2074" s="116">
        <f>SUM(P2073)</f>
        <v>0</v>
      </c>
      <c r="Q2074" s="116">
        <f>SUM(Q2073)</f>
        <v>0</v>
      </c>
      <c r="R2074" s="116">
        <f>SUM(R2073)</f>
        <v>0</v>
      </c>
      <c r="T2074" s="116">
        <f>SUM(T2073)</f>
        <v>0</v>
      </c>
      <c r="U2074" s="116">
        <f>SUM(U2073)</f>
        <v>0</v>
      </c>
      <c r="V2074" s="116">
        <f>SUM(V2073)</f>
        <v>0</v>
      </c>
      <c r="W2074" s="116">
        <f>SUM(W2073)</f>
        <v>0</v>
      </c>
      <c r="X2074" s="3"/>
      <c r="Y2074" s="116" t="e">
        <f>SUM(Y2073)</f>
        <v>#VALUE!</v>
      </c>
      <c r="Z2074" s="116" t="e">
        <f>SUM(Z2073)</f>
        <v>#VALUE!</v>
      </c>
      <c r="AA2074" s="116" t="e">
        <f>SUM(AA2073)</f>
        <v>#VALUE!</v>
      </c>
      <c r="AB2074" s="116" t="e">
        <f>SUM(AB2073)</f>
        <v>#VALUE!</v>
      </c>
      <c r="AC2074" s="116" t="e">
        <f>SUM(AC2073)</f>
        <v>#VALUE!</v>
      </c>
      <c r="AD2074" s="117" t="e">
        <f>ROUND(SUM(-G2074,H2074:L2074),0)</f>
        <v>#VALUE!</v>
      </c>
      <c r="AE2074" s="117" t="e">
        <f>ROUND(H2074-O2074-P2074-Q2074-R2074,0)</f>
        <v>#VALUE!</v>
      </c>
      <c r="AF2074" s="117" t="e">
        <f>ROUND(I2074-T2074-U2074-V2074-W2074,0)</f>
        <v>#VALUE!</v>
      </c>
      <c r="AG2074" s="117" t="e">
        <f>ROUND(J2074-Y2074-Z2074-AA2074-AC2074-AB2074,0)</f>
        <v>#VALUE!</v>
      </c>
      <c r="AH2074" s="116"/>
      <c r="AI2074">
        <f t="shared" si="1299"/>
        <v>108365</v>
      </c>
      <c r="AJ2074" t="str">
        <f t="shared" si="1295"/>
        <v>NA</v>
      </c>
      <c r="AK2074" t="str">
        <f>IF(ISERROR(MATCH(AI2074&amp;"."&amp;AJ2074,AK$91:AK2073,0)),AI2074&amp;"."&amp;AJ2074,AI2074&amp;"."&amp;AJ2074&amp;COUNTIFS(AI$91:AI2073,AI2074,AJ$91:AJ2073,AJ2074))</f>
        <v>108365.NA1</v>
      </c>
    </row>
    <row r="2075" spans="1:37" ht="15" hidden="1">
      <c r="A2075" s="120">
        <f>ROW()</f>
        <v>2075</v>
      </c>
      <c r="B2075" s="120"/>
      <c r="C2075" s="1"/>
      <c r="E2075" s="121"/>
      <c r="F2075" s="138"/>
      <c r="G2075" s="119"/>
      <c r="X2075" s="3"/>
      <c r="AD2075" s="119"/>
      <c r="AE2075" s="119"/>
      <c r="AF2075" s="119"/>
      <c r="AG2075" s="119"/>
      <c r="AI2075">
        <f t="shared" si="1299"/>
        <v>108365</v>
      </c>
      <c r="AJ2075" t="str">
        <f t="shared" si="1295"/>
        <v>NA</v>
      </c>
      <c r="AK2075" t="str">
        <f>IF(ISERROR(MATCH(AI2075&amp;"."&amp;AJ2075,AK$91:AK2074,0)),AI2075&amp;"."&amp;AJ2075,AI2075&amp;"."&amp;AJ2075&amp;COUNTIFS(AI$91:AI2074,AI2075,AJ$91:AJ2074,AJ2075))</f>
        <v>108365.NA2</v>
      </c>
    </row>
    <row r="2076" spans="1:37" ht="15" hidden="1">
      <c r="A2076" s="120">
        <f>ROW()</f>
        <v>2076</v>
      </c>
      <c r="B2076" s="120"/>
      <c r="C2076" s="1">
        <v>108366</v>
      </c>
      <c r="D2076" s="2" t="s">
        <v>541</v>
      </c>
      <c r="E2076" s="121"/>
      <c r="F2076" s="138"/>
      <c r="G2076" s="119"/>
      <c r="X2076" s="3"/>
      <c r="AD2076" s="119"/>
      <c r="AE2076" s="119"/>
      <c r="AF2076" s="119"/>
      <c r="AG2076" s="119"/>
      <c r="AI2076">
        <f t="shared" si="1299"/>
        <v>108366</v>
      </c>
      <c r="AJ2076" t="str">
        <f t="shared" si="1295"/>
        <v>NA</v>
      </c>
      <c r="AK2076" t="str">
        <f>IF(ISERROR(MATCH(AI2076&amp;"."&amp;AJ2076,AK$91:AK2075,0)),AI2076&amp;"."&amp;AJ2076,AI2076&amp;"."&amp;AJ2076&amp;COUNTIFS(AI$91:AI2075,AI2076,AJ$91:AJ2075,AJ2076))</f>
        <v>108366.NA</v>
      </c>
    </row>
    <row r="2077" spans="1:37" ht="15" hidden="1">
      <c r="A2077" s="120">
        <f>ROW()</f>
        <v>2077</v>
      </c>
      <c r="B2077" s="120"/>
      <c r="C2077" s="1"/>
      <c r="E2077" s="121" t="s">
        <v>12</v>
      </c>
      <c r="F2077" s="138" t="str">
        <f>INDEX(FuncAllocOptions,ROW(A2077)-ROW($A$92)+1,[4]Inputs!$S$11)</f>
        <v>DPW</v>
      </c>
      <c r="G2077" s="133" t="e">
        <f>SUMIF(FERCJAMFactor,AK2077,JAMValue)</f>
        <v>#VALUE!</v>
      </c>
      <c r="H2077" s="139" t="e">
        <f>INDEX(FuncFactorTbl,MATCH($F2077,FuncFactors,0),MATCH(H$8,Functions,0))*$G2077</f>
        <v>#VALUE!</v>
      </c>
      <c r="I2077" s="139" t="e">
        <f>INDEX(FuncFactorTbl,MATCH($F2077,FuncFactors,0),MATCH(I$8,Functions,0))*$G2077</f>
        <v>#VALUE!</v>
      </c>
      <c r="J2077" s="139" t="e">
        <f>INDEX(FuncFactorTbl,MATCH($F2077,FuncFactors,0),MATCH(J$8,Functions,0))*$G2077</f>
        <v>#VALUE!</v>
      </c>
      <c r="K2077" s="139" t="e">
        <f>INDEX(FuncFactorTbl,MATCH($F2077,FuncFactors,0),MATCH(K$8,Functions,0))*$G2077</f>
        <v>#VALUE!</v>
      </c>
      <c r="L2077" s="139" t="e">
        <f>INDEX(FuncFactorTbl,MATCH($F2077,FuncFactors,0),MATCH(L$8,Functions,0))*$G2077</f>
        <v>#VALUE!</v>
      </c>
      <c r="X2077" s="3" t="str">
        <f>INDEX(DistFuncAllocOptions,ROW(A2077)-ROW($A$92)+1,[4]Inputs!$S$11)</f>
        <v>PC</v>
      </c>
      <c r="Y2077" s="116" t="e">
        <f>INDEX(DistFuncFactorTbl,MATCH($X2077,DistFuncFactors,0),MATCH(Y$91,DistFunctions,0))*$J2077</f>
        <v>#VALUE!</v>
      </c>
      <c r="Z2077" s="116" t="e">
        <f>INDEX(DistFuncFactorTbl,MATCH($X2077,DistFuncFactors,0),MATCH(Z$91,DistFunctions,0))*$J2077</f>
        <v>#VALUE!</v>
      </c>
      <c r="AA2077" s="116" t="e">
        <f>INDEX(DistFuncFactorTbl,MATCH($X2077,DistFuncFactors,0),MATCH(AA$91,DistFunctions,0))*$J2077</f>
        <v>#VALUE!</v>
      </c>
      <c r="AB2077" s="116" t="e">
        <f>INDEX(DistFuncFactorTbl,MATCH($X2077,DistFuncFactors,0),MATCH(AB$91,DistFunctions,0))*$J2077</f>
        <v>#VALUE!</v>
      </c>
      <c r="AC2077" s="116" t="e">
        <f>INDEX(DistFuncFactorTbl,MATCH($X2077,DistFuncFactors,0),MATCH(AC$91,DistFunctions,0))*$J2077</f>
        <v>#VALUE!</v>
      </c>
      <c r="AD2077" s="117" t="e">
        <f>ROUND(SUM(-G2077,H2077:L2077),0)</f>
        <v>#VALUE!</v>
      </c>
      <c r="AE2077" s="117" t="e">
        <f>ROUND(H2077-O2077-P2077-Q2077-R2077,0)</f>
        <v>#VALUE!</v>
      </c>
      <c r="AF2077" s="117" t="e">
        <f>ROUND(I2077-T2077-U2077-V2077-W2077,0)</f>
        <v>#VALUE!</v>
      </c>
      <c r="AG2077" s="117" t="e">
        <f>ROUND(J2077-Y2077-Z2077-AA2077-AC2077-AB2077,0)</f>
        <v>#VALUE!</v>
      </c>
      <c r="AH2077" s="116"/>
      <c r="AI2077">
        <f t="shared" si="1299"/>
        <v>108366</v>
      </c>
      <c r="AJ2077" t="str">
        <f t="shared" ref="AJ2077:AJ2140" si="1318">IF(E2077="","NA",E2077)</f>
        <v>S</v>
      </c>
      <c r="AK2077" t="str">
        <f>IF(ISERROR(MATCH(AI2077&amp;"."&amp;AJ2077,AK$91:AK2076,0)),AI2077&amp;"."&amp;AJ2077,AI2077&amp;"."&amp;AJ2077&amp;COUNTIFS(AI$91:AI2076,AI2077,AJ$91:AJ2076,AJ2077))</f>
        <v>108366.S</v>
      </c>
    </row>
    <row r="2078" spans="1:37" ht="15" hidden="1">
      <c r="A2078" s="120">
        <f>ROW()</f>
        <v>2078</v>
      </c>
      <c r="B2078" s="120"/>
      <c r="C2078" s="1"/>
      <c r="E2078" s="121"/>
      <c r="F2078" s="138"/>
      <c r="G2078" s="117" t="e">
        <f t="shared" ref="G2078:L2078" si="1319">SUM(G2077)</f>
        <v>#VALUE!</v>
      </c>
      <c r="H2078" s="116" t="e">
        <f t="shared" si="1319"/>
        <v>#VALUE!</v>
      </c>
      <c r="I2078" s="116" t="e">
        <f t="shared" si="1319"/>
        <v>#VALUE!</v>
      </c>
      <c r="J2078" s="116" t="e">
        <f t="shared" si="1319"/>
        <v>#VALUE!</v>
      </c>
      <c r="K2078" s="116" t="e">
        <f t="shared" si="1319"/>
        <v>#VALUE!</v>
      </c>
      <c r="L2078" s="116" t="e">
        <f t="shared" si="1319"/>
        <v>#VALUE!</v>
      </c>
      <c r="O2078" s="116">
        <f>SUM(O2077)</f>
        <v>0</v>
      </c>
      <c r="P2078" s="116">
        <f>SUM(P2077)</f>
        <v>0</v>
      </c>
      <c r="Q2078" s="116">
        <f>SUM(Q2077)</f>
        <v>0</v>
      </c>
      <c r="R2078" s="116">
        <f>SUM(R2077)</f>
        <v>0</v>
      </c>
      <c r="T2078" s="116">
        <f>SUM(T2077)</f>
        <v>0</v>
      </c>
      <c r="U2078" s="116">
        <f>SUM(U2077)</f>
        <v>0</v>
      </c>
      <c r="V2078" s="116">
        <f>SUM(V2077)</f>
        <v>0</v>
      </c>
      <c r="W2078" s="116">
        <f>SUM(W2077)</f>
        <v>0</v>
      </c>
      <c r="X2078" s="3"/>
      <c r="Y2078" s="116" t="e">
        <f>SUM(Y2077)</f>
        <v>#VALUE!</v>
      </c>
      <c r="Z2078" s="116" t="e">
        <f>SUM(Z2077)</f>
        <v>#VALUE!</v>
      </c>
      <c r="AA2078" s="116" t="e">
        <f>SUM(AA2077)</f>
        <v>#VALUE!</v>
      </c>
      <c r="AB2078" s="116" t="e">
        <f>SUM(AB2077)</f>
        <v>#VALUE!</v>
      </c>
      <c r="AC2078" s="116" t="e">
        <f>SUM(AC2077)</f>
        <v>#VALUE!</v>
      </c>
      <c r="AD2078" s="117" t="e">
        <f>ROUND(SUM(-G2078,H2078:L2078),0)</f>
        <v>#VALUE!</v>
      </c>
      <c r="AE2078" s="117" t="e">
        <f>ROUND(H2078-O2078-P2078-Q2078-R2078,0)</f>
        <v>#VALUE!</v>
      </c>
      <c r="AF2078" s="117" t="e">
        <f>ROUND(I2078-T2078-U2078-V2078-W2078,0)</f>
        <v>#VALUE!</v>
      </c>
      <c r="AG2078" s="117" t="e">
        <f>ROUND(J2078-Y2078-Z2078-AA2078-AC2078-AB2078,0)</f>
        <v>#VALUE!</v>
      </c>
      <c r="AH2078" s="116"/>
      <c r="AI2078">
        <f t="shared" si="1299"/>
        <v>108366</v>
      </c>
      <c r="AJ2078" t="str">
        <f t="shared" si="1318"/>
        <v>NA</v>
      </c>
      <c r="AK2078" t="str">
        <f>IF(ISERROR(MATCH(AI2078&amp;"."&amp;AJ2078,AK$91:AK2077,0)),AI2078&amp;"."&amp;AJ2078,AI2078&amp;"."&amp;AJ2078&amp;COUNTIFS(AI$91:AI2077,AI2078,AJ$91:AJ2077,AJ2078))</f>
        <v>108366.NA1</v>
      </c>
    </row>
    <row r="2079" spans="1:37" ht="15" hidden="1">
      <c r="A2079" s="120">
        <f>ROW()</f>
        <v>2079</v>
      </c>
      <c r="B2079" s="120"/>
      <c r="C2079" s="1"/>
      <c r="E2079" s="121"/>
      <c r="F2079" s="138"/>
      <c r="G2079" s="119"/>
      <c r="X2079" s="3"/>
      <c r="AD2079" s="119"/>
      <c r="AE2079" s="119"/>
      <c r="AF2079" s="119"/>
      <c r="AG2079" s="119"/>
      <c r="AI2079">
        <f t="shared" si="1299"/>
        <v>108366</v>
      </c>
      <c r="AJ2079" t="str">
        <f t="shared" si="1318"/>
        <v>NA</v>
      </c>
      <c r="AK2079" t="str">
        <f>IF(ISERROR(MATCH(AI2079&amp;"."&amp;AJ2079,AK$91:AK2078,0)),AI2079&amp;"."&amp;AJ2079,AI2079&amp;"."&amp;AJ2079&amp;COUNTIFS(AI$91:AI2078,AI2079,AJ$91:AJ2078,AJ2079))</f>
        <v>108366.NA2</v>
      </c>
    </row>
    <row r="2080" spans="1:37" ht="15" hidden="1">
      <c r="A2080" s="120">
        <f>ROW()</f>
        <v>2080</v>
      </c>
      <c r="B2080" s="120"/>
      <c r="C2080" s="1">
        <v>108367</v>
      </c>
      <c r="D2080" s="2" t="s">
        <v>542</v>
      </c>
      <c r="E2080" s="121"/>
      <c r="F2080" s="138"/>
      <c r="G2080" s="119"/>
      <c r="X2080" s="3"/>
      <c r="AD2080" s="119"/>
      <c r="AE2080" s="119"/>
      <c r="AF2080" s="119"/>
      <c r="AG2080" s="119"/>
      <c r="AI2080">
        <f t="shared" si="1299"/>
        <v>108367</v>
      </c>
      <c r="AJ2080" t="str">
        <f t="shared" si="1318"/>
        <v>NA</v>
      </c>
      <c r="AK2080" t="str">
        <f>IF(ISERROR(MATCH(AI2080&amp;"."&amp;AJ2080,AK$91:AK2079,0)),AI2080&amp;"."&amp;AJ2080,AI2080&amp;"."&amp;AJ2080&amp;COUNTIFS(AI$91:AI2079,AI2080,AJ$91:AJ2079,AJ2080))</f>
        <v>108367.NA</v>
      </c>
    </row>
    <row r="2081" spans="1:37" ht="15" hidden="1">
      <c r="A2081" s="120">
        <f>ROW()</f>
        <v>2081</v>
      </c>
      <c r="B2081" s="120"/>
      <c r="C2081" s="1"/>
      <c r="E2081" s="121" t="s">
        <v>12</v>
      </c>
      <c r="F2081" s="138" t="str">
        <f>INDEX(FuncAllocOptions,ROW(A2081)-ROW($A$92)+1,[4]Inputs!$S$11)</f>
        <v>DPW</v>
      </c>
      <c r="G2081" s="133" t="e">
        <f>SUMIF(FERCJAMFactor,AK2081,JAMValue)</f>
        <v>#VALUE!</v>
      </c>
      <c r="H2081" s="139" t="e">
        <f>INDEX(FuncFactorTbl,MATCH($F2081,FuncFactors,0),MATCH(H$8,Functions,0))*$G2081</f>
        <v>#VALUE!</v>
      </c>
      <c r="I2081" s="139" t="e">
        <f>INDEX(FuncFactorTbl,MATCH($F2081,FuncFactors,0),MATCH(I$8,Functions,0))*$G2081</f>
        <v>#VALUE!</v>
      </c>
      <c r="J2081" s="139" t="e">
        <f>INDEX(FuncFactorTbl,MATCH($F2081,FuncFactors,0),MATCH(J$8,Functions,0))*$G2081</f>
        <v>#VALUE!</v>
      </c>
      <c r="K2081" s="139" t="e">
        <f>INDEX(FuncFactorTbl,MATCH($F2081,FuncFactors,0),MATCH(K$8,Functions,0))*$G2081</f>
        <v>#VALUE!</v>
      </c>
      <c r="L2081" s="139" t="e">
        <f>INDEX(FuncFactorTbl,MATCH($F2081,FuncFactors,0),MATCH(L$8,Functions,0))*$G2081</f>
        <v>#VALUE!</v>
      </c>
      <c r="X2081" s="3" t="str">
        <f>INDEX(DistFuncAllocOptions,ROW(A2081)-ROW($A$92)+1,[4]Inputs!$S$11)</f>
        <v>PC</v>
      </c>
      <c r="Y2081" s="116" t="e">
        <f>INDEX(DistFuncFactorTbl,MATCH($X2081,DistFuncFactors,0),MATCH(Y$91,DistFunctions,0))*$J2081</f>
        <v>#VALUE!</v>
      </c>
      <c r="Z2081" s="116" t="e">
        <f>INDEX(DistFuncFactorTbl,MATCH($X2081,DistFuncFactors,0),MATCH(Z$91,DistFunctions,0))*$J2081</f>
        <v>#VALUE!</v>
      </c>
      <c r="AA2081" s="116" t="e">
        <f>INDEX(DistFuncFactorTbl,MATCH($X2081,DistFuncFactors,0),MATCH(AA$91,DistFunctions,0))*$J2081</f>
        <v>#VALUE!</v>
      </c>
      <c r="AB2081" s="116" t="e">
        <f>INDEX(DistFuncFactorTbl,MATCH($X2081,DistFuncFactors,0),MATCH(AB$91,DistFunctions,0))*$J2081</f>
        <v>#VALUE!</v>
      </c>
      <c r="AC2081" s="116" t="e">
        <f>INDEX(DistFuncFactorTbl,MATCH($X2081,DistFuncFactors,0),MATCH(AC$91,DistFunctions,0))*$J2081</f>
        <v>#VALUE!</v>
      </c>
      <c r="AD2081" s="117" t="e">
        <f>ROUND(SUM(-G2081,H2081:L2081),0)</f>
        <v>#VALUE!</v>
      </c>
      <c r="AE2081" s="117" t="e">
        <f>ROUND(H2081-O2081-P2081-Q2081-R2081,0)</f>
        <v>#VALUE!</v>
      </c>
      <c r="AF2081" s="117" t="e">
        <f>ROUND(I2081-T2081-U2081-V2081-W2081,0)</f>
        <v>#VALUE!</v>
      </c>
      <c r="AG2081" s="117" t="e">
        <f>ROUND(J2081-Y2081-Z2081-AA2081-AC2081-AB2081,0)</f>
        <v>#VALUE!</v>
      </c>
      <c r="AH2081" s="116"/>
      <c r="AI2081">
        <f t="shared" si="1299"/>
        <v>108367</v>
      </c>
      <c r="AJ2081" t="str">
        <f t="shared" si="1318"/>
        <v>S</v>
      </c>
      <c r="AK2081" t="str">
        <f>IF(ISERROR(MATCH(AI2081&amp;"."&amp;AJ2081,AK$91:AK2080,0)),AI2081&amp;"."&amp;AJ2081,AI2081&amp;"."&amp;AJ2081&amp;COUNTIFS(AI$91:AI2080,AI2081,AJ$91:AJ2080,AJ2081))</f>
        <v>108367.S</v>
      </c>
    </row>
    <row r="2082" spans="1:37" ht="15" hidden="1">
      <c r="A2082" s="120">
        <f>ROW()</f>
        <v>2082</v>
      </c>
      <c r="B2082" s="120"/>
      <c r="C2082" s="1"/>
      <c r="E2082" s="121"/>
      <c r="F2082" s="138"/>
      <c r="G2082" s="117" t="e">
        <f t="shared" ref="G2082:L2082" si="1320">SUM(G2081)</f>
        <v>#VALUE!</v>
      </c>
      <c r="H2082" s="116" t="e">
        <f t="shared" si="1320"/>
        <v>#VALUE!</v>
      </c>
      <c r="I2082" s="116" t="e">
        <f t="shared" si="1320"/>
        <v>#VALUE!</v>
      </c>
      <c r="J2082" s="116" t="e">
        <f t="shared" si="1320"/>
        <v>#VALUE!</v>
      </c>
      <c r="K2082" s="116" t="e">
        <f t="shared" si="1320"/>
        <v>#VALUE!</v>
      </c>
      <c r="L2082" s="116" t="e">
        <f t="shared" si="1320"/>
        <v>#VALUE!</v>
      </c>
      <c r="O2082" s="116">
        <f>SUM(O2081)</f>
        <v>0</v>
      </c>
      <c r="P2082" s="116">
        <f>SUM(P2081)</f>
        <v>0</v>
      </c>
      <c r="Q2082" s="116">
        <f>SUM(Q2081)</f>
        <v>0</v>
      </c>
      <c r="R2082" s="116">
        <f>SUM(R2081)</f>
        <v>0</v>
      </c>
      <c r="T2082" s="116">
        <f>SUM(T2081)</f>
        <v>0</v>
      </c>
      <c r="U2082" s="116">
        <f>SUM(U2081)</f>
        <v>0</v>
      </c>
      <c r="V2082" s="116">
        <f>SUM(V2081)</f>
        <v>0</v>
      </c>
      <c r="W2082" s="116">
        <f>SUM(W2081)</f>
        <v>0</v>
      </c>
      <c r="X2082" s="3"/>
      <c r="Y2082" s="116" t="e">
        <f>SUM(Y2081)</f>
        <v>#VALUE!</v>
      </c>
      <c r="Z2082" s="116" t="e">
        <f>SUM(Z2081)</f>
        <v>#VALUE!</v>
      </c>
      <c r="AA2082" s="116" t="e">
        <f>SUM(AA2081)</f>
        <v>#VALUE!</v>
      </c>
      <c r="AB2082" s="116" t="e">
        <f>SUM(AB2081)</f>
        <v>#VALUE!</v>
      </c>
      <c r="AC2082" s="116" t="e">
        <f>SUM(AC2081)</f>
        <v>#VALUE!</v>
      </c>
      <c r="AD2082" s="117" t="e">
        <f>ROUND(SUM(-G2082,H2082:L2082),0)</f>
        <v>#VALUE!</v>
      </c>
      <c r="AE2082" s="117" t="e">
        <f>ROUND(H2082-O2082-P2082-Q2082-R2082,0)</f>
        <v>#VALUE!</v>
      </c>
      <c r="AF2082" s="117" t="e">
        <f>ROUND(I2082-T2082-U2082-V2082-W2082,0)</f>
        <v>#VALUE!</v>
      </c>
      <c r="AG2082" s="117" t="e">
        <f>ROUND(J2082-Y2082-Z2082-AA2082-AC2082-AB2082,0)</f>
        <v>#VALUE!</v>
      </c>
      <c r="AH2082" s="116"/>
      <c r="AI2082">
        <f t="shared" si="1299"/>
        <v>108367</v>
      </c>
      <c r="AJ2082" t="str">
        <f t="shared" si="1318"/>
        <v>NA</v>
      </c>
      <c r="AK2082" t="str">
        <f>IF(ISERROR(MATCH(AI2082&amp;"."&amp;AJ2082,AK$91:AK2081,0)),AI2082&amp;"."&amp;AJ2082,AI2082&amp;"."&amp;AJ2082&amp;COUNTIFS(AI$91:AI2081,AI2082,AJ$91:AJ2081,AJ2082))</f>
        <v>108367.NA1</v>
      </c>
    </row>
    <row r="2083" spans="1:37" ht="15" hidden="1">
      <c r="A2083" s="120">
        <f>ROW()</f>
        <v>2083</v>
      </c>
      <c r="B2083" s="120"/>
      <c r="C2083" s="1"/>
      <c r="E2083" s="121"/>
      <c r="F2083" s="138"/>
      <c r="G2083" s="119"/>
      <c r="X2083" s="3"/>
      <c r="AD2083" s="119"/>
      <c r="AE2083" s="119"/>
      <c r="AF2083" s="119"/>
      <c r="AG2083" s="119"/>
      <c r="AI2083">
        <f t="shared" si="1299"/>
        <v>108367</v>
      </c>
      <c r="AJ2083" t="str">
        <f t="shared" si="1318"/>
        <v>NA</v>
      </c>
      <c r="AK2083" t="str">
        <f>IF(ISERROR(MATCH(AI2083&amp;"."&amp;AJ2083,AK$91:AK2082,0)),AI2083&amp;"."&amp;AJ2083,AI2083&amp;"."&amp;AJ2083&amp;COUNTIFS(AI$91:AI2082,AI2083,AJ$91:AJ2082,AJ2083))</f>
        <v>108367.NA2</v>
      </c>
    </row>
    <row r="2084" spans="1:37" ht="15" hidden="1">
      <c r="A2084" s="120">
        <f>ROW()</f>
        <v>2084</v>
      </c>
      <c r="B2084" s="120"/>
      <c r="C2084" s="1">
        <v>108368</v>
      </c>
      <c r="D2084" s="2" t="s">
        <v>551</v>
      </c>
      <c r="E2084" s="121"/>
      <c r="F2084" s="138"/>
      <c r="G2084" s="119"/>
      <c r="X2084" s="3"/>
      <c r="AD2084" s="119"/>
      <c r="AE2084" s="119"/>
      <c r="AF2084" s="119"/>
      <c r="AG2084" s="119"/>
      <c r="AI2084">
        <f t="shared" si="1299"/>
        <v>108368</v>
      </c>
      <c r="AJ2084" t="str">
        <f t="shared" si="1318"/>
        <v>NA</v>
      </c>
      <c r="AK2084" t="str">
        <f>IF(ISERROR(MATCH(AI2084&amp;"."&amp;AJ2084,AK$91:AK2083,0)),AI2084&amp;"."&amp;AJ2084,AI2084&amp;"."&amp;AJ2084&amp;COUNTIFS(AI$91:AI2083,AI2084,AJ$91:AJ2083,AJ2084))</f>
        <v>108368.NA</v>
      </c>
    </row>
    <row r="2085" spans="1:37" ht="15" hidden="1">
      <c r="A2085" s="120">
        <f>ROW()</f>
        <v>2085</v>
      </c>
      <c r="B2085" s="120"/>
      <c r="C2085" s="1"/>
      <c r="E2085" s="121" t="s">
        <v>12</v>
      </c>
      <c r="F2085" s="138" t="str">
        <f>INDEX(FuncAllocOptions,ROW(A2085)-ROW($A$92)+1,[4]Inputs!$S$11)</f>
        <v>DPW</v>
      </c>
      <c r="G2085" s="133" t="e">
        <f>SUMIF(FERCJAMFactor,AK2085,JAMValue)</f>
        <v>#VALUE!</v>
      </c>
      <c r="H2085" s="139" t="e">
        <f>INDEX(FuncFactorTbl,MATCH($F2085,FuncFactors,0),MATCH(H$8,Functions,0))*$G2085</f>
        <v>#VALUE!</v>
      </c>
      <c r="I2085" s="139" t="e">
        <f>INDEX(FuncFactorTbl,MATCH($F2085,FuncFactors,0),MATCH(I$8,Functions,0))*$G2085</f>
        <v>#VALUE!</v>
      </c>
      <c r="J2085" s="139" t="e">
        <f>INDEX(FuncFactorTbl,MATCH($F2085,FuncFactors,0),MATCH(J$8,Functions,0))*$G2085</f>
        <v>#VALUE!</v>
      </c>
      <c r="K2085" s="139" t="e">
        <f>INDEX(FuncFactorTbl,MATCH($F2085,FuncFactors,0),MATCH(K$8,Functions,0))*$G2085</f>
        <v>#VALUE!</v>
      </c>
      <c r="L2085" s="139" t="e">
        <f>INDEX(FuncFactorTbl,MATCH($F2085,FuncFactors,0),MATCH(L$8,Functions,0))*$G2085</f>
        <v>#VALUE!</v>
      </c>
      <c r="X2085" s="3" t="str">
        <f>INDEX(DistFuncAllocOptions,ROW(A2085)-ROW($A$92)+1,[4]Inputs!$S$11)</f>
        <v>XFMR</v>
      </c>
      <c r="Y2085" s="116" t="e">
        <f>INDEX(DistFuncFactorTbl,MATCH($X2085,DistFuncFactors,0),MATCH(Y$91,DistFunctions,0))*$J2085</f>
        <v>#VALUE!</v>
      </c>
      <c r="Z2085" s="116" t="e">
        <f>INDEX(DistFuncFactorTbl,MATCH($X2085,DistFuncFactors,0),MATCH(Z$91,DistFunctions,0))*$J2085</f>
        <v>#VALUE!</v>
      </c>
      <c r="AA2085" s="116" t="e">
        <f>INDEX(DistFuncFactorTbl,MATCH($X2085,DistFuncFactors,0),MATCH(AA$91,DistFunctions,0))*$J2085</f>
        <v>#VALUE!</v>
      </c>
      <c r="AB2085" s="116" t="e">
        <f>INDEX(DistFuncFactorTbl,MATCH($X2085,DistFuncFactors,0),MATCH(AB$91,DistFunctions,0))*$J2085</f>
        <v>#VALUE!</v>
      </c>
      <c r="AC2085" s="116" t="e">
        <f>INDEX(DistFuncFactorTbl,MATCH($X2085,DistFuncFactors,0),MATCH(AC$91,DistFunctions,0))*$J2085</f>
        <v>#VALUE!</v>
      </c>
      <c r="AD2085" s="117" t="e">
        <f>ROUND(SUM(-G2085,H2085:L2085),0)</f>
        <v>#VALUE!</v>
      </c>
      <c r="AE2085" s="117" t="e">
        <f>ROUND(H2085-O2085-P2085-Q2085-R2085,0)</f>
        <v>#VALUE!</v>
      </c>
      <c r="AF2085" s="117" t="e">
        <f>ROUND(I2085-T2085-U2085-V2085-W2085,0)</f>
        <v>#VALUE!</v>
      </c>
      <c r="AG2085" s="117" t="e">
        <f>ROUND(J2085-Y2085-Z2085-AA2085-AC2085-AB2085,0)</f>
        <v>#VALUE!</v>
      </c>
      <c r="AH2085" s="116"/>
      <c r="AI2085">
        <f t="shared" si="1299"/>
        <v>108368</v>
      </c>
      <c r="AJ2085" t="str">
        <f t="shared" si="1318"/>
        <v>S</v>
      </c>
      <c r="AK2085" t="str">
        <f>IF(ISERROR(MATCH(AI2085&amp;"."&amp;AJ2085,AK$91:AK2084,0)),AI2085&amp;"."&amp;AJ2085,AI2085&amp;"."&amp;AJ2085&amp;COUNTIFS(AI$91:AI2084,AI2085,AJ$91:AJ2084,AJ2085))</f>
        <v>108368.S</v>
      </c>
    </row>
    <row r="2086" spans="1:37" ht="15" hidden="1">
      <c r="A2086" s="120">
        <f>ROW()</f>
        <v>2086</v>
      </c>
      <c r="B2086" s="120"/>
      <c r="C2086" s="1"/>
      <c r="E2086" s="121"/>
      <c r="F2086" s="138"/>
      <c r="G2086" s="117" t="e">
        <f t="shared" ref="G2086:L2086" si="1321">SUM(G2085)</f>
        <v>#VALUE!</v>
      </c>
      <c r="H2086" s="116" t="e">
        <f t="shared" si="1321"/>
        <v>#VALUE!</v>
      </c>
      <c r="I2086" s="116" t="e">
        <f t="shared" si="1321"/>
        <v>#VALUE!</v>
      </c>
      <c r="J2086" s="116" t="e">
        <f t="shared" si="1321"/>
        <v>#VALUE!</v>
      </c>
      <c r="K2086" s="116" t="e">
        <f t="shared" si="1321"/>
        <v>#VALUE!</v>
      </c>
      <c r="L2086" s="116" t="e">
        <f t="shared" si="1321"/>
        <v>#VALUE!</v>
      </c>
      <c r="O2086" s="116">
        <f>SUM(O2085)</f>
        <v>0</v>
      </c>
      <c r="P2086" s="116">
        <f>SUM(P2085)</f>
        <v>0</v>
      </c>
      <c r="Q2086" s="116">
        <f>SUM(Q2085)</f>
        <v>0</v>
      </c>
      <c r="R2086" s="116">
        <f>SUM(R2085)</f>
        <v>0</v>
      </c>
      <c r="T2086" s="116">
        <f>SUM(T2085)</f>
        <v>0</v>
      </c>
      <c r="U2086" s="116">
        <f>SUM(U2085)</f>
        <v>0</v>
      </c>
      <c r="V2086" s="116">
        <f>SUM(V2085)</f>
        <v>0</v>
      </c>
      <c r="W2086" s="116">
        <f>SUM(W2085)</f>
        <v>0</v>
      </c>
      <c r="X2086" s="3"/>
      <c r="Y2086" s="116" t="e">
        <f>SUM(Y2085)</f>
        <v>#VALUE!</v>
      </c>
      <c r="Z2086" s="116" t="e">
        <f>SUM(Z2085)</f>
        <v>#VALUE!</v>
      </c>
      <c r="AA2086" s="116" t="e">
        <f>SUM(AA2085)</f>
        <v>#VALUE!</v>
      </c>
      <c r="AB2086" s="116" t="e">
        <f>SUM(AB2085)</f>
        <v>#VALUE!</v>
      </c>
      <c r="AC2086" s="116" t="e">
        <f>SUM(AC2085)</f>
        <v>#VALUE!</v>
      </c>
      <c r="AD2086" s="117" t="e">
        <f>ROUND(SUM(-G2086,H2086:L2086),0)</f>
        <v>#VALUE!</v>
      </c>
      <c r="AE2086" s="117" t="e">
        <f>ROUND(H2086-O2086-P2086-Q2086-R2086,0)</f>
        <v>#VALUE!</v>
      </c>
      <c r="AF2086" s="117" t="e">
        <f>ROUND(I2086-T2086-U2086-V2086-W2086,0)</f>
        <v>#VALUE!</v>
      </c>
      <c r="AG2086" s="117" t="e">
        <f>ROUND(J2086-Y2086-Z2086-AA2086-AC2086-AB2086,0)</f>
        <v>#VALUE!</v>
      </c>
      <c r="AH2086" s="116"/>
      <c r="AI2086">
        <f t="shared" si="1299"/>
        <v>108368</v>
      </c>
      <c r="AJ2086" t="str">
        <f t="shared" si="1318"/>
        <v>NA</v>
      </c>
      <c r="AK2086" t="str">
        <f>IF(ISERROR(MATCH(AI2086&amp;"."&amp;AJ2086,AK$91:AK2085,0)),AI2086&amp;"."&amp;AJ2086,AI2086&amp;"."&amp;AJ2086&amp;COUNTIFS(AI$91:AI2085,AI2086,AJ$91:AJ2085,AJ2086))</f>
        <v>108368.NA1</v>
      </c>
    </row>
    <row r="2087" spans="1:37" ht="15" hidden="1">
      <c r="A2087" s="120">
        <f>ROW()</f>
        <v>2087</v>
      </c>
      <c r="B2087" s="120"/>
      <c r="C2087" s="1"/>
      <c r="E2087" s="121"/>
      <c r="F2087" s="138"/>
      <c r="G2087" s="119"/>
      <c r="X2087" s="3"/>
      <c r="AD2087" s="119"/>
      <c r="AE2087" s="119"/>
      <c r="AF2087" s="119"/>
      <c r="AG2087" s="119"/>
      <c r="AI2087">
        <f t="shared" si="1299"/>
        <v>108368</v>
      </c>
      <c r="AJ2087" t="str">
        <f t="shared" si="1318"/>
        <v>NA</v>
      </c>
      <c r="AK2087" t="str">
        <f>IF(ISERROR(MATCH(AI2087&amp;"."&amp;AJ2087,AK$91:AK2086,0)),AI2087&amp;"."&amp;AJ2087,AI2087&amp;"."&amp;AJ2087&amp;COUNTIFS(AI$91:AI2086,AI2087,AJ$91:AJ2086,AJ2087))</f>
        <v>108368.NA2</v>
      </c>
    </row>
    <row r="2088" spans="1:37" ht="15" hidden="1">
      <c r="A2088" s="120">
        <f>ROW()</f>
        <v>2088</v>
      </c>
      <c r="B2088" s="120"/>
      <c r="C2088" s="1">
        <v>108369</v>
      </c>
      <c r="D2088" s="2" t="s">
        <v>387</v>
      </c>
      <c r="E2088" s="121"/>
      <c r="F2088" s="138"/>
      <c r="G2088" s="119"/>
      <c r="X2088" s="3"/>
      <c r="AD2088" s="119"/>
      <c r="AE2088" s="119"/>
      <c r="AF2088" s="119"/>
      <c r="AG2088" s="119"/>
      <c r="AI2088">
        <f t="shared" si="1299"/>
        <v>108369</v>
      </c>
      <c r="AJ2088" t="str">
        <f t="shared" si="1318"/>
        <v>NA</v>
      </c>
      <c r="AK2088" t="str">
        <f>IF(ISERROR(MATCH(AI2088&amp;"."&amp;AJ2088,AK$91:AK2087,0)),AI2088&amp;"."&amp;AJ2088,AI2088&amp;"."&amp;AJ2088&amp;COUNTIFS(AI$91:AI2087,AI2088,AJ$91:AJ2087,AJ2088))</f>
        <v>108369.NA</v>
      </c>
    </row>
    <row r="2089" spans="1:37" ht="15" hidden="1">
      <c r="A2089" s="120">
        <f>ROW()</f>
        <v>2089</v>
      </c>
      <c r="B2089" s="120"/>
      <c r="C2089" s="1"/>
      <c r="E2089" s="121" t="s">
        <v>12</v>
      </c>
      <c r="F2089" s="138" t="str">
        <f>INDEX(FuncAllocOptions,ROW(A2089)-ROW($A$92)+1,[4]Inputs!$S$11)</f>
        <v>DPW</v>
      </c>
      <c r="G2089" s="133" t="e">
        <f>SUMIF(FERCJAMFactor,AK2089,JAMValue)</f>
        <v>#VALUE!</v>
      </c>
      <c r="H2089" s="139" t="e">
        <f>INDEX(FuncFactorTbl,MATCH($F2089,FuncFactors,0),MATCH(H$8,Functions,0))*$G2089</f>
        <v>#VALUE!</v>
      </c>
      <c r="I2089" s="139" t="e">
        <f>INDEX(FuncFactorTbl,MATCH($F2089,FuncFactors,0),MATCH(I$8,Functions,0))*$G2089</f>
        <v>#VALUE!</v>
      </c>
      <c r="J2089" s="139" t="e">
        <f>INDEX(FuncFactorTbl,MATCH($F2089,FuncFactors,0),MATCH(J$8,Functions,0))*$G2089</f>
        <v>#VALUE!</v>
      </c>
      <c r="K2089" s="139" t="e">
        <f>INDEX(FuncFactorTbl,MATCH($F2089,FuncFactors,0),MATCH(K$8,Functions,0))*$G2089</f>
        <v>#VALUE!</v>
      </c>
      <c r="L2089" s="139" t="e">
        <f>INDEX(FuncFactorTbl,MATCH($F2089,FuncFactors,0),MATCH(L$8,Functions,0))*$G2089</f>
        <v>#VALUE!</v>
      </c>
      <c r="X2089" s="3" t="str">
        <f>INDEX(DistFuncAllocOptions,ROW(A2089)-ROW($A$92)+1,[4]Inputs!$S$11)</f>
        <v>SERV</v>
      </c>
      <c r="Y2089" s="116" t="e">
        <f>INDEX(DistFuncFactorTbl,MATCH($X2089,DistFuncFactors,0),MATCH(Y$91,DistFunctions,0))*$J2089</f>
        <v>#VALUE!</v>
      </c>
      <c r="Z2089" s="116" t="e">
        <f>INDEX(DistFuncFactorTbl,MATCH($X2089,DistFuncFactors,0),MATCH(Z$91,DistFunctions,0))*$J2089</f>
        <v>#VALUE!</v>
      </c>
      <c r="AA2089" s="116" t="e">
        <f>INDEX(DistFuncFactorTbl,MATCH($X2089,DistFuncFactors,0),MATCH(AA$91,DistFunctions,0))*$J2089</f>
        <v>#VALUE!</v>
      </c>
      <c r="AB2089" s="116" t="e">
        <f>INDEX(DistFuncFactorTbl,MATCH($X2089,DistFuncFactors,0),MATCH(AB$91,DistFunctions,0))*$J2089</f>
        <v>#VALUE!</v>
      </c>
      <c r="AC2089" s="116" t="e">
        <f>INDEX(DistFuncFactorTbl,MATCH($X2089,DistFuncFactors,0),MATCH(AC$91,DistFunctions,0))*$J2089</f>
        <v>#VALUE!</v>
      </c>
      <c r="AD2089" s="117" t="e">
        <f>ROUND(SUM(-G2089,H2089:L2089),0)</f>
        <v>#VALUE!</v>
      </c>
      <c r="AE2089" s="117" t="e">
        <f>ROUND(H2089-O2089-P2089-Q2089-R2089,0)</f>
        <v>#VALUE!</v>
      </c>
      <c r="AF2089" s="117" t="e">
        <f>ROUND(I2089-T2089-U2089-V2089-W2089,0)</f>
        <v>#VALUE!</v>
      </c>
      <c r="AG2089" s="117" t="e">
        <f>ROUND(J2089-Y2089-Z2089-AA2089-AC2089-AB2089,0)</f>
        <v>#VALUE!</v>
      </c>
      <c r="AH2089" s="116"/>
      <c r="AI2089">
        <f t="shared" si="1299"/>
        <v>108369</v>
      </c>
      <c r="AJ2089" t="str">
        <f t="shared" si="1318"/>
        <v>S</v>
      </c>
      <c r="AK2089" t="str">
        <f>IF(ISERROR(MATCH(AI2089&amp;"."&amp;AJ2089,AK$91:AK2088,0)),AI2089&amp;"."&amp;AJ2089,AI2089&amp;"."&amp;AJ2089&amp;COUNTIFS(AI$91:AI2088,AI2089,AJ$91:AJ2088,AJ2089))</f>
        <v>108369.S</v>
      </c>
    </row>
    <row r="2090" spans="1:37" ht="15" hidden="1">
      <c r="A2090" s="120">
        <f>ROW()</f>
        <v>2090</v>
      </c>
      <c r="B2090" s="120"/>
      <c r="C2090" s="1"/>
      <c r="E2090" s="121"/>
      <c r="F2090" s="138"/>
      <c r="G2090" s="117" t="e">
        <f t="shared" ref="G2090:L2090" si="1322">SUM(G2089)</f>
        <v>#VALUE!</v>
      </c>
      <c r="H2090" s="116" t="e">
        <f t="shared" si="1322"/>
        <v>#VALUE!</v>
      </c>
      <c r="I2090" s="116" t="e">
        <f t="shared" si="1322"/>
        <v>#VALUE!</v>
      </c>
      <c r="J2090" s="116" t="e">
        <f t="shared" si="1322"/>
        <v>#VALUE!</v>
      </c>
      <c r="K2090" s="116" t="e">
        <f t="shared" si="1322"/>
        <v>#VALUE!</v>
      </c>
      <c r="L2090" s="116" t="e">
        <f t="shared" si="1322"/>
        <v>#VALUE!</v>
      </c>
      <c r="O2090" s="116">
        <f>SUM(O2089)</f>
        <v>0</v>
      </c>
      <c r="P2090" s="116">
        <f>SUM(P2089)</f>
        <v>0</v>
      </c>
      <c r="Q2090" s="116">
        <f>SUM(Q2089)</f>
        <v>0</v>
      </c>
      <c r="R2090" s="116">
        <f>SUM(R2089)</f>
        <v>0</v>
      </c>
      <c r="T2090" s="116">
        <f>SUM(T2089)</f>
        <v>0</v>
      </c>
      <c r="U2090" s="116">
        <f>SUM(U2089)</f>
        <v>0</v>
      </c>
      <c r="V2090" s="116">
        <f>SUM(V2089)</f>
        <v>0</v>
      </c>
      <c r="W2090" s="116">
        <f>SUM(W2089)</f>
        <v>0</v>
      </c>
      <c r="X2090" s="3"/>
      <c r="Y2090" s="116" t="e">
        <f>SUM(Y2089)</f>
        <v>#VALUE!</v>
      </c>
      <c r="Z2090" s="116" t="e">
        <f>SUM(Z2089)</f>
        <v>#VALUE!</v>
      </c>
      <c r="AA2090" s="116" t="e">
        <f>SUM(AA2089)</f>
        <v>#VALUE!</v>
      </c>
      <c r="AB2090" s="116" t="e">
        <f>SUM(AB2089)</f>
        <v>#VALUE!</v>
      </c>
      <c r="AC2090" s="116" t="e">
        <f>SUM(AC2089)</f>
        <v>#VALUE!</v>
      </c>
      <c r="AD2090" s="117" t="e">
        <f>ROUND(SUM(-G2090,H2090:L2090),0)</f>
        <v>#VALUE!</v>
      </c>
      <c r="AE2090" s="117" t="e">
        <f>ROUND(H2090-O2090-P2090-Q2090-R2090,0)</f>
        <v>#VALUE!</v>
      </c>
      <c r="AF2090" s="117" t="e">
        <f>ROUND(I2090-T2090-U2090-V2090-W2090,0)</f>
        <v>#VALUE!</v>
      </c>
      <c r="AG2090" s="117" t="e">
        <f>ROUND(J2090-Y2090-Z2090-AA2090-AC2090-AB2090,0)</f>
        <v>#VALUE!</v>
      </c>
      <c r="AH2090" s="116"/>
      <c r="AI2090">
        <f t="shared" si="1299"/>
        <v>108369</v>
      </c>
      <c r="AJ2090" t="str">
        <f t="shared" si="1318"/>
        <v>NA</v>
      </c>
      <c r="AK2090" t="str">
        <f>IF(ISERROR(MATCH(AI2090&amp;"."&amp;AJ2090,AK$91:AK2089,0)),AI2090&amp;"."&amp;AJ2090,AI2090&amp;"."&amp;AJ2090&amp;COUNTIFS(AI$91:AI2089,AI2090,AJ$91:AJ2089,AJ2090))</f>
        <v>108369.NA1</v>
      </c>
    </row>
    <row r="2091" spans="1:37" ht="15" hidden="1">
      <c r="A2091" s="120">
        <f>ROW()</f>
        <v>2091</v>
      </c>
      <c r="B2091" s="120"/>
      <c r="C2091" s="1"/>
      <c r="E2091" s="121"/>
      <c r="F2091" s="138"/>
      <c r="G2091" s="119"/>
      <c r="X2091" s="3"/>
      <c r="AD2091" s="119"/>
      <c r="AE2091" s="119"/>
      <c r="AF2091" s="119"/>
      <c r="AG2091" s="119"/>
      <c r="AI2091">
        <f t="shared" si="1299"/>
        <v>108369</v>
      </c>
      <c r="AJ2091" t="str">
        <f t="shared" si="1318"/>
        <v>NA</v>
      </c>
      <c r="AK2091" t="str">
        <f>IF(ISERROR(MATCH(AI2091&amp;"."&amp;AJ2091,AK$91:AK2090,0)),AI2091&amp;"."&amp;AJ2091,AI2091&amp;"."&amp;AJ2091&amp;COUNTIFS(AI$91:AI2090,AI2091,AJ$91:AJ2090,AJ2091))</f>
        <v>108369.NA2</v>
      </c>
    </row>
    <row r="2092" spans="1:37" ht="15" hidden="1">
      <c r="A2092" s="120">
        <f>ROW()</f>
        <v>2092</v>
      </c>
      <c r="B2092" s="120"/>
      <c r="C2092" s="1">
        <v>108370</v>
      </c>
      <c r="D2092" s="2" t="s">
        <v>388</v>
      </c>
      <c r="E2092" s="121"/>
      <c r="F2092" s="138"/>
      <c r="G2092" s="119"/>
      <c r="X2092" s="3"/>
      <c r="AD2092" s="119"/>
      <c r="AE2092" s="119"/>
      <c r="AF2092" s="119"/>
      <c r="AG2092" s="119"/>
      <c r="AI2092">
        <f t="shared" ref="AI2092:AI2155" si="1323">IF(OR(C2092="",C2092=" ",C2092="  ",C2092="   "),AI2091,C2092)</f>
        <v>108370</v>
      </c>
      <c r="AJ2092" t="str">
        <f t="shared" si="1318"/>
        <v>NA</v>
      </c>
      <c r="AK2092" t="str">
        <f>IF(ISERROR(MATCH(AI2092&amp;"."&amp;AJ2092,AK$91:AK2091,0)),AI2092&amp;"."&amp;AJ2092,AI2092&amp;"."&amp;AJ2092&amp;COUNTIFS(AI$91:AI2091,AI2092,AJ$91:AJ2091,AJ2092))</f>
        <v>108370.NA</v>
      </c>
    </row>
    <row r="2093" spans="1:37" ht="15" hidden="1">
      <c r="A2093" s="120">
        <f>ROW()</f>
        <v>2093</v>
      </c>
      <c r="B2093" s="120"/>
      <c r="C2093" s="1"/>
      <c r="E2093" s="121" t="s">
        <v>12</v>
      </c>
      <c r="F2093" s="138" t="str">
        <f>INDEX(FuncAllocOptions,ROW(A2093)-ROW($A$92)+1,[4]Inputs!$S$11)</f>
        <v>DPW</v>
      </c>
      <c r="G2093" s="133" t="e">
        <f>SUMIF(FERCJAMFactor,AK2093,JAMValue)</f>
        <v>#VALUE!</v>
      </c>
      <c r="H2093" s="139" t="e">
        <f>INDEX(FuncFactorTbl,MATCH($F2093,FuncFactors,0),MATCH(H$8,Functions,0))*$G2093</f>
        <v>#VALUE!</v>
      </c>
      <c r="I2093" s="139" t="e">
        <f>INDEX(FuncFactorTbl,MATCH($F2093,FuncFactors,0),MATCH(I$8,Functions,0))*$G2093</f>
        <v>#VALUE!</v>
      </c>
      <c r="J2093" s="139" t="e">
        <f>INDEX(FuncFactorTbl,MATCH($F2093,FuncFactors,0),MATCH(J$8,Functions,0))*$G2093</f>
        <v>#VALUE!</v>
      </c>
      <c r="K2093" s="139" t="e">
        <f>INDEX(FuncFactorTbl,MATCH($F2093,FuncFactors,0),MATCH(K$8,Functions,0))*$G2093</f>
        <v>#VALUE!</v>
      </c>
      <c r="L2093" s="139" t="e">
        <f>INDEX(FuncFactorTbl,MATCH($F2093,FuncFactors,0),MATCH(L$8,Functions,0))*$G2093</f>
        <v>#VALUE!</v>
      </c>
      <c r="X2093" s="3" t="str">
        <f>INDEX(DistFuncAllocOptions,ROW(A2093)-ROW($A$92)+1,[4]Inputs!$S$11)</f>
        <v>METR</v>
      </c>
      <c r="Y2093" s="116" t="e">
        <f>INDEX(DistFuncFactorTbl,MATCH($X2093,DistFuncFactors,0),MATCH(Y$91,DistFunctions,0))*$J2093</f>
        <v>#VALUE!</v>
      </c>
      <c r="Z2093" s="116" t="e">
        <f>INDEX(DistFuncFactorTbl,MATCH($X2093,DistFuncFactors,0),MATCH(Z$91,DistFunctions,0))*$J2093</f>
        <v>#VALUE!</v>
      </c>
      <c r="AA2093" s="116" t="e">
        <f>INDEX(DistFuncFactorTbl,MATCH($X2093,DistFuncFactors,0),MATCH(AA$91,DistFunctions,0))*$J2093</f>
        <v>#VALUE!</v>
      </c>
      <c r="AB2093" s="116" t="e">
        <f>INDEX(DistFuncFactorTbl,MATCH($X2093,DistFuncFactors,0),MATCH(AB$91,DistFunctions,0))*$J2093</f>
        <v>#VALUE!</v>
      </c>
      <c r="AC2093" s="116" t="e">
        <f>INDEX(DistFuncFactorTbl,MATCH($X2093,DistFuncFactors,0),MATCH(AC$91,DistFunctions,0))*$J2093</f>
        <v>#VALUE!</v>
      </c>
      <c r="AD2093" s="117" t="e">
        <f>ROUND(SUM(-G2093,H2093:L2093),0)</f>
        <v>#VALUE!</v>
      </c>
      <c r="AE2093" s="117" t="e">
        <f>ROUND(H2093-O2093-P2093-Q2093-R2093,0)</f>
        <v>#VALUE!</v>
      </c>
      <c r="AF2093" s="117" t="e">
        <f>ROUND(I2093-T2093-U2093-V2093-W2093,0)</f>
        <v>#VALUE!</v>
      </c>
      <c r="AG2093" s="117" t="e">
        <f>ROUND(J2093-Y2093-Z2093-AA2093-AC2093-AB2093,0)</f>
        <v>#VALUE!</v>
      </c>
      <c r="AH2093" s="116"/>
      <c r="AI2093">
        <f t="shared" si="1323"/>
        <v>108370</v>
      </c>
      <c r="AJ2093" t="str">
        <f t="shared" si="1318"/>
        <v>S</v>
      </c>
      <c r="AK2093" t="str">
        <f>IF(ISERROR(MATCH(AI2093&amp;"."&amp;AJ2093,AK$91:AK2092,0)),AI2093&amp;"."&amp;AJ2093,AI2093&amp;"."&amp;AJ2093&amp;COUNTIFS(AI$91:AI2092,AI2093,AJ$91:AJ2092,AJ2093))</f>
        <v>108370.S</v>
      </c>
    </row>
    <row r="2094" spans="1:37" ht="15" hidden="1">
      <c r="A2094" s="120">
        <f>ROW()</f>
        <v>2094</v>
      </c>
      <c r="B2094" s="120"/>
      <c r="C2094" s="1"/>
      <c r="E2094" s="121"/>
      <c r="F2094" s="138"/>
      <c r="G2094" s="117" t="e">
        <f t="shared" ref="G2094:L2094" si="1324">SUM(G2093)</f>
        <v>#VALUE!</v>
      </c>
      <c r="H2094" s="116" t="e">
        <f t="shared" si="1324"/>
        <v>#VALUE!</v>
      </c>
      <c r="I2094" s="116" t="e">
        <f t="shared" si="1324"/>
        <v>#VALUE!</v>
      </c>
      <c r="J2094" s="116" t="e">
        <f t="shared" si="1324"/>
        <v>#VALUE!</v>
      </c>
      <c r="K2094" s="116" t="e">
        <f t="shared" si="1324"/>
        <v>#VALUE!</v>
      </c>
      <c r="L2094" s="116" t="e">
        <f t="shared" si="1324"/>
        <v>#VALUE!</v>
      </c>
      <c r="O2094" s="116">
        <f>SUM(O2093)</f>
        <v>0</v>
      </c>
      <c r="P2094" s="116">
        <f>SUM(P2093)</f>
        <v>0</v>
      </c>
      <c r="Q2094" s="116">
        <f>SUM(Q2093)</f>
        <v>0</v>
      </c>
      <c r="R2094" s="116">
        <f>SUM(R2093)</f>
        <v>0</v>
      </c>
      <c r="T2094" s="116">
        <f>SUM(T2093)</f>
        <v>0</v>
      </c>
      <c r="U2094" s="116">
        <f>SUM(U2093)</f>
        <v>0</v>
      </c>
      <c r="V2094" s="116">
        <f>SUM(V2093)</f>
        <v>0</v>
      </c>
      <c r="W2094" s="116">
        <f>SUM(W2093)</f>
        <v>0</v>
      </c>
      <c r="X2094" s="3"/>
      <c r="Y2094" s="116" t="e">
        <f>SUM(Y2093)</f>
        <v>#VALUE!</v>
      </c>
      <c r="Z2094" s="116" t="e">
        <f>SUM(Z2093)</f>
        <v>#VALUE!</v>
      </c>
      <c r="AA2094" s="116" t="e">
        <f>SUM(AA2093)</f>
        <v>#VALUE!</v>
      </c>
      <c r="AB2094" s="116" t="e">
        <f>SUM(AB2093)</f>
        <v>#VALUE!</v>
      </c>
      <c r="AC2094" s="116" t="e">
        <f>SUM(AC2093)</f>
        <v>#VALUE!</v>
      </c>
      <c r="AD2094" s="117" t="e">
        <f>ROUND(SUM(-G2094,H2094:L2094),0)</f>
        <v>#VALUE!</v>
      </c>
      <c r="AE2094" s="117" t="e">
        <f>ROUND(H2094-O2094-P2094-Q2094-R2094,0)</f>
        <v>#VALUE!</v>
      </c>
      <c r="AF2094" s="117" t="e">
        <f>ROUND(I2094-T2094-U2094-V2094-W2094,0)</f>
        <v>#VALUE!</v>
      </c>
      <c r="AG2094" s="117" t="e">
        <f>ROUND(J2094-Y2094-Z2094-AA2094-AC2094-AB2094,0)</f>
        <v>#VALUE!</v>
      </c>
      <c r="AH2094" s="116"/>
      <c r="AI2094">
        <f t="shared" si="1323"/>
        <v>108370</v>
      </c>
      <c r="AJ2094" t="str">
        <f t="shared" si="1318"/>
        <v>NA</v>
      </c>
      <c r="AK2094" t="str">
        <f>IF(ISERROR(MATCH(AI2094&amp;"."&amp;AJ2094,AK$91:AK2093,0)),AI2094&amp;"."&amp;AJ2094,AI2094&amp;"."&amp;AJ2094&amp;COUNTIFS(AI$91:AI2093,AI2094,AJ$91:AJ2093,AJ2094))</f>
        <v>108370.NA1</v>
      </c>
    </row>
    <row r="2095" spans="1:37" ht="15" hidden="1">
      <c r="A2095" s="120">
        <f>ROW()</f>
        <v>2095</v>
      </c>
      <c r="B2095" s="120"/>
      <c r="C2095" s="1"/>
      <c r="E2095" s="121"/>
      <c r="F2095" s="138"/>
      <c r="G2095" s="119"/>
      <c r="X2095" s="3"/>
      <c r="AD2095" s="119"/>
      <c r="AE2095" s="119"/>
      <c r="AF2095" s="119"/>
      <c r="AG2095" s="119"/>
      <c r="AI2095">
        <f t="shared" si="1323"/>
        <v>108370</v>
      </c>
      <c r="AJ2095" t="str">
        <f t="shared" si="1318"/>
        <v>NA</v>
      </c>
      <c r="AK2095" t="str">
        <f>IF(ISERROR(MATCH(AI2095&amp;"."&amp;AJ2095,AK$91:AK2094,0)),AI2095&amp;"."&amp;AJ2095,AI2095&amp;"."&amp;AJ2095&amp;COUNTIFS(AI$91:AI2094,AI2095,AJ$91:AJ2094,AJ2095))</f>
        <v>108370.NA2</v>
      </c>
    </row>
    <row r="2096" spans="1:37" ht="15" hidden="1">
      <c r="A2096" s="120">
        <f>ROW()</f>
        <v>2096</v>
      </c>
      <c r="B2096" s="120"/>
      <c r="C2096" s="1">
        <v>108371</v>
      </c>
      <c r="D2096" s="2" t="s">
        <v>552</v>
      </c>
      <c r="E2096" s="121"/>
      <c r="F2096" s="138"/>
      <c r="G2096" s="119"/>
      <c r="X2096" s="3"/>
      <c r="AD2096" s="119"/>
      <c r="AE2096" s="119"/>
      <c r="AF2096" s="119"/>
      <c r="AG2096" s="119"/>
      <c r="AI2096">
        <f t="shared" si="1323"/>
        <v>108371</v>
      </c>
      <c r="AJ2096" t="str">
        <f t="shared" si="1318"/>
        <v>NA</v>
      </c>
      <c r="AK2096" t="str">
        <f>IF(ISERROR(MATCH(AI2096&amp;"."&amp;AJ2096,AK$91:AK2095,0)),AI2096&amp;"."&amp;AJ2096,AI2096&amp;"."&amp;AJ2096&amp;COUNTIFS(AI$91:AI2095,AI2096,AJ$91:AJ2095,AJ2096))</f>
        <v>108371.NA</v>
      </c>
    </row>
    <row r="2097" spans="1:37" ht="15" hidden="1">
      <c r="A2097" s="120">
        <f>ROW()</f>
        <v>2097</v>
      </c>
      <c r="B2097" s="120"/>
      <c r="C2097" s="1"/>
      <c r="E2097" s="121" t="s">
        <v>12</v>
      </c>
      <c r="F2097" s="138" t="str">
        <f>INDEX(FuncAllocOptions,ROW(A2097)-ROW($A$92)+1,[4]Inputs!$S$11)</f>
        <v>DPW</v>
      </c>
      <c r="G2097" s="133" t="e">
        <f>SUMIF(FERCJAMFactor,AK2097,JAMValue)</f>
        <v>#VALUE!</v>
      </c>
      <c r="H2097" s="139" t="e">
        <f>INDEX(FuncFactorTbl,MATCH($F2097,FuncFactors,0),MATCH(H$8,Functions,0))*$G2097</f>
        <v>#VALUE!</v>
      </c>
      <c r="I2097" s="139" t="e">
        <f>INDEX(FuncFactorTbl,MATCH($F2097,FuncFactors,0),MATCH(I$8,Functions,0))*$G2097</f>
        <v>#VALUE!</v>
      </c>
      <c r="J2097" s="139" t="e">
        <f>INDEX(FuncFactorTbl,MATCH($F2097,FuncFactors,0),MATCH(J$8,Functions,0))*$G2097</f>
        <v>#VALUE!</v>
      </c>
      <c r="K2097" s="139" t="e">
        <f>INDEX(FuncFactorTbl,MATCH($F2097,FuncFactors,0),MATCH(K$8,Functions,0))*$G2097</f>
        <v>#VALUE!</v>
      </c>
      <c r="L2097" s="139" t="e">
        <f>INDEX(FuncFactorTbl,MATCH($F2097,FuncFactors,0),MATCH(L$8,Functions,0))*$G2097</f>
        <v>#VALUE!</v>
      </c>
      <c r="X2097" s="3" t="str">
        <f>INDEX(DistFuncAllocOptions,ROW(A2097)-ROW($A$92)+1,[4]Inputs!$S$11)</f>
        <v>PC</v>
      </c>
      <c r="Y2097" s="116" t="e">
        <f>INDEX(DistFuncFactorTbl,MATCH($X2097,DistFuncFactors,0),MATCH(Y$91,DistFunctions,0))*$J2097</f>
        <v>#VALUE!</v>
      </c>
      <c r="Z2097" s="116" t="e">
        <f>INDEX(DistFuncFactorTbl,MATCH($X2097,DistFuncFactors,0),MATCH(Z$91,DistFunctions,0))*$J2097</f>
        <v>#VALUE!</v>
      </c>
      <c r="AA2097" s="116" t="e">
        <f>INDEX(DistFuncFactorTbl,MATCH($X2097,DistFuncFactors,0),MATCH(AA$91,DistFunctions,0))*$J2097</f>
        <v>#VALUE!</v>
      </c>
      <c r="AB2097" s="116" t="e">
        <f>INDEX(DistFuncFactorTbl,MATCH($X2097,DistFuncFactors,0),MATCH(AB$91,DistFunctions,0))*$J2097</f>
        <v>#VALUE!</v>
      </c>
      <c r="AC2097" s="116" t="e">
        <f>INDEX(DistFuncFactorTbl,MATCH($X2097,DistFuncFactors,0),MATCH(AC$91,DistFunctions,0))*$J2097</f>
        <v>#VALUE!</v>
      </c>
      <c r="AD2097" s="117" t="e">
        <f>ROUND(SUM(-G2097,H2097:L2097),0)</f>
        <v>#VALUE!</v>
      </c>
      <c r="AE2097" s="117" t="e">
        <f>ROUND(H2097-O2097-P2097-Q2097-R2097,0)</f>
        <v>#VALUE!</v>
      </c>
      <c r="AF2097" s="117" t="e">
        <f>ROUND(I2097-T2097-U2097-V2097-W2097,0)</f>
        <v>#VALUE!</v>
      </c>
      <c r="AG2097" s="117" t="e">
        <f>ROUND(J2097-Y2097-Z2097-AA2097-AC2097-AB2097,0)</f>
        <v>#VALUE!</v>
      </c>
      <c r="AH2097" s="116"/>
      <c r="AI2097">
        <f t="shared" si="1323"/>
        <v>108371</v>
      </c>
      <c r="AJ2097" t="str">
        <f t="shared" si="1318"/>
        <v>S</v>
      </c>
      <c r="AK2097" t="str">
        <f>IF(ISERROR(MATCH(AI2097&amp;"."&amp;AJ2097,AK$91:AK2096,0)),AI2097&amp;"."&amp;AJ2097,AI2097&amp;"."&amp;AJ2097&amp;COUNTIFS(AI$91:AI2096,AI2097,AJ$91:AJ2096,AJ2097))</f>
        <v>108371.S</v>
      </c>
    </row>
    <row r="2098" spans="1:37" ht="15" hidden="1">
      <c r="A2098" s="120">
        <f>ROW()</f>
        <v>2098</v>
      </c>
      <c r="B2098" s="120"/>
      <c r="C2098" s="1"/>
      <c r="E2098" s="121"/>
      <c r="F2098" s="138"/>
      <c r="G2098" s="117" t="e">
        <f t="shared" ref="G2098:L2098" si="1325">SUM(G2097)</f>
        <v>#VALUE!</v>
      </c>
      <c r="H2098" s="116" t="e">
        <f t="shared" si="1325"/>
        <v>#VALUE!</v>
      </c>
      <c r="I2098" s="116" t="e">
        <f t="shared" si="1325"/>
        <v>#VALUE!</v>
      </c>
      <c r="J2098" s="116" t="e">
        <f t="shared" si="1325"/>
        <v>#VALUE!</v>
      </c>
      <c r="K2098" s="116" t="e">
        <f t="shared" si="1325"/>
        <v>#VALUE!</v>
      </c>
      <c r="L2098" s="116" t="e">
        <f t="shared" si="1325"/>
        <v>#VALUE!</v>
      </c>
      <c r="O2098" s="116">
        <f>SUM(O2097)</f>
        <v>0</v>
      </c>
      <c r="P2098" s="116">
        <f>SUM(P2097)</f>
        <v>0</v>
      </c>
      <c r="Q2098" s="116">
        <f>SUM(Q2097)</f>
        <v>0</v>
      </c>
      <c r="R2098" s="116">
        <f>SUM(R2097)</f>
        <v>0</v>
      </c>
      <c r="T2098" s="116">
        <f>SUM(T2097)</f>
        <v>0</v>
      </c>
      <c r="U2098" s="116">
        <f>SUM(U2097)</f>
        <v>0</v>
      </c>
      <c r="V2098" s="116">
        <f>SUM(V2097)</f>
        <v>0</v>
      </c>
      <c r="W2098" s="116">
        <f>SUM(W2097)</f>
        <v>0</v>
      </c>
      <c r="X2098" s="3"/>
      <c r="Y2098" s="116" t="e">
        <f>SUM(Y2097)</f>
        <v>#VALUE!</v>
      </c>
      <c r="Z2098" s="116" t="e">
        <f>SUM(Z2097)</f>
        <v>#VALUE!</v>
      </c>
      <c r="AA2098" s="116" t="e">
        <f>SUM(AA2097)</f>
        <v>#VALUE!</v>
      </c>
      <c r="AB2098" s="116" t="e">
        <f>SUM(AB2097)</f>
        <v>#VALUE!</v>
      </c>
      <c r="AC2098" s="116" t="e">
        <f>SUM(AC2097)</f>
        <v>#VALUE!</v>
      </c>
      <c r="AD2098" s="117" t="e">
        <f>ROUND(SUM(-G2098,H2098:L2098),0)</f>
        <v>#VALUE!</v>
      </c>
      <c r="AE2098" s="117" t="e">
        <f>ROUND(H2098-O2098-P2098-Q2098-R2098,0)</f>
        <v>#VALUE!</v>
      </c>
      <c r="AF2098" s="117" t="e">
        <f>ROUND(I2098-T2098-U2098-V2098-W2098,0)</f>
        <v>#VALUE!</v>
      </c>
      <c r="AG2098" s="117" t="e">
        <f>ROUND(J2098-Y2098-Z2098-AA2098-AC2098-AB2098,0)</f>
        <v>#VALUE!</v>
      </c>
      <c r="AH2098" s="116"/>
      <c r="AI2098">
        <f t="shared" si="1323"/>
        <v>108371</v>
      </c>
      <c r="AJ2098" t="str">
        <f t="shared" si="1318"/>
        <v>NA</v>
      </c>
      <c r="AK2098" t="str">
        <f>IF(ISERROR(MATCH(AI2098&amp;"."&amp;AJ2098,AK$91:AK2097,0)),AI2098&amp;"."&amp;AJ2098,AI2098&amp;"."&amp;AJ2098&amp;COUNTIFS(AI$91:AI2097,AI2098,AJ$91:AJ2097,AJ2098))</f>
        <v>108371.NA1</v>
      </c>
    </row>
    <row r="2099" spans="1:37" ht="15" hidden="1">
      <c r="A2099" s="120">
        <f>ROW()</f>
        <v>2099</v>
      </c>
      <c r="B2099" s="120"/>
      <c r="C2099" s="1"/>
      <c r="E2099" s="121"/>
      <c r="F2099" s="138"/>
      <c r="G2099" s="119"/>
      <c r="X2099" s="3"/>
      <c r="AD2099" s="119"/>
      <c r="AE2099" s="119"/>
      <c r="AF2099" s="119"/>
      <c r="AG2099" s="119"/>
      <c r="AI2099">
        <f t="shared" si="1323"/>
        <v>108371</v>
      </c>
      <c r="AJ2099" t="str">
        <f t="shared" si="1318"/>
        <v>NA</v>
      </c>
      <c r="AK2099" t="str">
        <f>IF(ISERROR(MATCH(AI2099&amp;"."&amp;AJ2099,AK$91:AK2098,0)),AI2099&amp;"."&amp;AJ2099,AI2099&amp;"."&amp;AJ2099&amp;COUNTIFS(AI$91:AI2098,AI2099,AJ$91:AJ2098,AJ2099))</f>
        <v>108371.NA2</v>
      </c>
    </row>
    <row r="2100" spans="1:37" ht="15" hidden="1">
      <c r="A2100" s="120">
        <f>ROW()</f>
        <v>2100</v>
      </c>
      <c r="B2100" s="120"/>
      <c r="C2100" s="1">
        <v>108372</v>
      </c>
      <c r="D2100" s="2" t="s">
        <v>390</v>
      </c>
      <c r="E2100" s="121"/>
      <c r="F2100" s="138"/>
      <c r="G2100" s="119"/>
      <c r="X2100" s="3"/>
      <c r="AD2100" s="119"/>
      <c r="AE2100" s="119"/>
      <c r="AF2100" s="119"/>
      <c r="AG2100" s="119"/>
      <c r="AI2100">
        <f t="shared" si="1323"/>
        <v>108372</v>
      </c>
      <c r="AJ2100" t="str">
        <f t="shared" si="1318"/>
        <v>NA</v>
      </c>
      <c r="AK2100" t="str">
        <f>IF(ISERROR(MATCH(AI2100&amp;"."&amp;AJ2100,AK$91:AK2099,0)),AI2100&amp;"."&amp;AJ2100,AI2100&amp;"."&amp;AJ2100&amp;COUNTIFS(AI$91:AI2099,AI2100,AJ$91:AJ2099,AJ2100))</f>
        <v>108372.NA</v>
      </c>
    </row>
    <row r="2101" spans="1:37" ht="15" hidden="1">
      <c r="A2101" s="120">
        <f>ROW()</f>
        <v>2101</v>
      </c>
      <c r="B2101" s="120"/>
      <c r="C2101" s="1"/>
      <c r="E2101" s="121" t="s">
        <v>12</v>
      </c>
      <c r="F2101" s="138" t="str">
        <f>INDEX(FuncAllocOptions,ROW(A2101)-ROW($A$92)+1,[4]Inputs!$S$11)</f>
        <v>DPW</v>
      </c>
      <c r="G2101" s="133" t="e">
        <f>SUMIF(FERCJAMFactor,AK2101,JAMValue)</f>
        <v>#VALUE!</v>
      </c>
      <c r="H2101" s="139" t="e">
        <f>INDEX(FuncFactorTbl,MATCH($F2101,FuncFactors,0),MATCH(H$8,Functions,0))*$G2101</f>
        <v>#VALUE!</v>
      </c>
      <c r="I2101" s="139" t="e">
        <f>INDEX(FuncFactorTbl,MATCH($F2101,FuncFactors,0),MATCH(I$8,Functions,0))*$G2101</f>
        <v>#VALUE!</v>
      </c>
      <c r="J2101" s="139" t="e">
        <f>INDEX(FuncFactorTbl,MATCH($F2101,FuncFactors,0),MATCH(J$8,Functions,0))*$G2101</f>
        <v>#VALUE!</v>
      </c>
      <c r="K2101" s="139" t="e">
        <f>INDEX(FuncFactorTbl,MATCH($F2101,FuncFactors,0),MATCH(K$8,Functions,0))*$G2101</f>
        <v>#VALUE!</v>
      </c>
      <c r="L2101" s="139" t="e">
        <f>INDEX(FuncFactorTbl,MATCH($F2101,FuncFactors,0),MATCH(L$8,Functions,0))*$G2101</f>
        <v>#VALUE!</v>
      </c>
      <c r="X2101" s="3" t="str">
        <f>INDEX(DistFuncAllocOptions,ROW(A2101)-ROW($A$92)+1,[4]Inputs!$S$11)</f>
        <v>PLNT2</v>
      </c>
      <c r="Y2101" s="116" t="e">
        <f>INDEX(DistFuncFactorTbl,MATCH($X2101,DistFuncFactors,0),MATCH(Y$91,DistFunctions,0))*$J2101</f>
        <v>#VALUE!</v>
      </c>
      <c r="Z2101" s="116" t="e">
        <f>INDEX(DistFuncFactorTbl,MATCH($X2101,DistFuncFactors,0),MATCH(Z$91,DistFunctions,0))*$J2101</f>
        <v>#VALUE!</v>
      </c>
      <c r="AA2101" s="116" t="e">
        <f>INDEX(DistFuncFactorTbl,MATCH($X2101,DistFuncFactors,0),MATCH(AA$91,DistFunctions,0))*$J2101</f>
        <v>#VALUE!</v>
      </c>
      <c r="AB2101" s="116" t="e">
        <f>INDEX(DistFuncFactorTbl,MATCH($X2101,DistFuncFactors,0),MATCH(AB$91,DistFunctions,0))*$J2101</f>
        <v>#VALUE!</v>
      </c>
      <c r="AC2101" s="116" t="e">
        <f>INDEX(DistFuncFactorTbl,MATCH($X2101,DistFuncFactors,0),MATCH(AC$91,DistFunctions,0))*$J2101</f>
        <v>#VALUE!</v>
      </c>
      <c r="AD2101" s="117" t="e">
        <f>ROUND(SUM(-G2101,H2101:L2101),0)</f>
        <v>#VALUE!</v>
      </c>
      <c r="AE2101" s="117" t="e">
        <f>ROUND(H2101-O2101-P2101-Q2101-R2101,0)</f>
        <v>#VALUE!</v>
      </c>
      <c r="AF2101" s="117" t="e">
        <f>ROUND(I2101-T2101-U2101-V2101-W2101,0)</f>
        <v>#VALUE!</v>
      </c>
      <c r="AG2101" s="117" t="e">
        <f>ROUND(J2101-Y2101-Z2101-AA2101-AC2101-AB2101,0)</f>
        <v>#VALUE!</v>
      </c>
      <c r="AH2101" s="116"/>
      <c r="AI2101">
        <f t="shared" si="1323"/>
        <v>108372</v>
      </c>
      <c r="AJ2101" t="str">
        <f t="shared" si="1318"/>
        <v>S</v>
      </c>
      <c r="AK2101" t="str">
        <f>IF(ISERROR(MATCH(AI2101&amp;"."&amp;AJ2101,AK$91:AK2100,0)),AI2101&amp;"."&amp;AJ2101,AI2101&amp;"."&amp;AJ2101&amp;COUNTIFS(AI$91:AI2100,AI2101,AJ$91:AJ2100,AJ2101))</f>
        <v>108372.S</v>
      </c>
    </row>
    <row r="2102" spans="1:37" ht="15" hidden="1">
      <c r="A2102" s="120">
        <f>ROW()</f>
        <v>2102</v>
      </c>
      <c r="B2102" s="120"/>
      <c r="C2102" s="1"/>
      <c r="E2102" s="121"/>
      <c r="F2102" s="138"/>
      <c r="G2102" s="117" t="e">
        <f t="shared" ref="G2102:L2102" si="1326">SUM(G2101)</f>
        <v>#VALUE!</v>
      </c>
      <c r="H2102" s="116" t="e">
        <f t="shared" si="1326"/>
        <v>#VALUE!</v>
      </c>
      <c r="I2102" s="116" t="e">
        <f t="shared" si="1326"/>
        <v>#VALUE!</v>
      </c>
      <c r="J2102" s="116" t="e">
        <f t="shared" si="1326"/>
        <v>#VALUE!</v>
      </c>
      <c r="K2102" s="116" t="e">
        <f t="shared" si="1326"/>
        <v>#VALUE!</v>
      </c>
      <c r="L2102" s="116" t="e">
        <f t="shared" si="1326"/>
        <v>#VALUE!</v>
      </c>
      <c r="O2102" s="116">
        <f>SUM(O2101)</f>
        <v>0</v>
      </c>
      <c r="P2102" s="116">
        <f>SUM(P2101)</f>
        <v>0</v>
      </c>
      <c r="Q2102" s="116">
        <f>SUM(Q2101)</f>
        <v>0</v>
      </c>
      <c r="R2102" s="116">
        <f>SUM(R2101)</f>
        <v>0</v>
      </c>
      <c r="T2102" s="116">
        <f>SUM(T2101)</f>
        <v>0</v>
      </c>
      <c r="U2102" s="116">
        <f>SUM(U2101)</f>
        <v>0</v>
      </c>
      <c r="V2102" s="116">
        <f>SUM(V2101)</f>
        <v>0</v>
      </c>
      <c r="W2102" s="116">
        <f>SUM(W2101)</f>
        <v>0</v>
      </c>
      <c r="X2102" s="3"/>
      <c r="Y2102" s="116" t="e">
        <f>SUM(Y2101)</f>
        <v>#VALUE!</v>
      </c>
      <c r="Z2102" s="116" t="e">
        <f>SUM(Z2101)</f>
        <v>#VALUE!</v>
      </c>
      <c r="AA2102" s="116" t="e">
        <f>SUM(AA2101)</f>
        <v>#VALUE!</v>
      </c>
      <c r="AB2102" s="116" t="e">
        <f>SUM(AB2101)</f>
        <v>#VALUE!</v>
      </c>
      <c r="AC2102" s="116" t="e">
        <f>SUM(AC2101)</f>
        <v>#VALUE!</v>
      </c>
      <c r="AD2102" s="117" t="e">
        <f>ROUND(SUM(-G2102,H2102:L2102),0)</f>
        <v>#VALUE!</v>
      </c>
      <c r="AE2102" s="117" t="e">
        <f>ROUND(H2102-O2102-P2102-Q2102-R2102,0)</f>
        <v>#VALUE!</v>
      </c>
      <c r="AF2102" s="117" t="e">
        <f>ROUND(I2102-T2102-U2102-V2102-W2102,0)</f>
        <v>#VALUE!</v>
      </c>
      <c r="AG2102" s="117" t="e">
        <f>ROUND(J2102-Y2102-Z2102-AA2102-AC2102-AB2102,0)</f>
        <v>#VALUE!</v>
      </c>
      <c r="AH2102" s="116"/>
      <c r="AI2102">
        <f t="shared" si="1323"/>
        <v>108372</v>
      </c>
      <c r="AJ2102" t="str">
        <f t="shared" si="1318"/>
        <v>NA</v>
      </c>
      <c r="AK2102" t="str">
        <f>IF(ISERROR(MATCH(AI2102&amp;"."&amp;AJ2102,AK$91:AK2101,0)),AI2102&amp;"."&amp;AJ2102,AI2102&amp;"."&amp;AJ2102&amp;COUNTIFS(AI$91:AI2101,AI2102,AJ$91:AJ2101,AJ2102))</f>
        <v>108372.NA1</v>
      </c>
    </row>
    <row r="2103" spans="1:37" ht="15" hidden="1">
      <c r="A2103" s="120">
        <f>ROW()</f>
        <v>2103</v>
      </c>
      <c r="B2103" s="120"/>
      <c r="C2103" s="1"/>
      <c r="E2103" s="121"/>
      <c r="F2103" s="138"/>
      <c r="G2103" s="119"/>
      <c r="X2103" s="3"/>
      <c r="AD2103" s="119"/>
      <c r="AE2103" s="119"/>
      <c r="AF2103" s="119"/>
      <c r="AG2103" s="119"/>
      <c r="AI2103">
        <f t="shared" si="1323"/>
        <v>108372</v>
      </c>
      <c r="AJ2103" t="str">
        <f t="shared" si="1318"/>
        <v>NA</v>
      </c>
      <c r="AK2103" t="str">
        <f>IF(ISERROR(MATCH(AI2103&amp;"."&amp;AJ2103,AK$91:AK2102,0)),AI2103&amp;"."&amp;AJ2103,AI2103&amp;"."&amp;AJ2103&amp;COUNTIFS(AI$91:AI2102,AI2103,AJ$91:AJ2102,AJ2103))</f>
        <v>108372.NA2</v>
      </c>
    </row>
    <row r="2104" spans="1:37" ht="15" hidden="1">
      <c r="A2104" s="120">
        <f>ROW()</f>
        <v>2104</v>
      </c>
      <c r="B2104" s="120"/>
      <c r="C2104" s="1">
        <v>108373</v>
      </c>
      <c r="D2104" s="2" t="s">
        <v>553</v>
      </c>
      <c r="E2104" s="121"/>
      <c r="F2104" s="138"/>
      <c r="G2104" s="119"/>
      <c r="X2104" s="3"/>
      <c r="AD2104" s="119"/>
      <c r="AE2104" s="119"/>
      <c r="AF2104" s="119"/>
      <c r="AG2104" s="119"/>
      <c r="AI2104">
        <f t="shared" si="1323"/>
        <v>108373</v>
      </c>
      <c r="AJ2104" t="str">
        <f t="shared" si="1318"/>
        <v>NA</v>
      </c>
      <c r="AK2104" t="str">
        <f>IF(ISERROR(MATCH(AI2104&amp;"."&amp;AJ2104,AK$91:AK2103,0)),AI2104&amp;"."&amp;AJ2104,AI2104&amp;"."&amp;AJ2104&amp;COUNTIFS(AI$91:AI2103,AI2104,AJ$91:AJ2103,AJ2104))</f>
        <v>108373.NA</v>
      </c>
    </row>
    <row r="2105" spans="1:37" ht="15" hidden="1">
      <c r="A2105" s="120">
        <f>ROW()</f>
        <v>2105</v>
      </c>
      <c r="B2105" s="120"/>
      <c r="C2105" s="1"/>
      <c r="E2105" s="121" t="s">
        <v>12</v>
      </c>
      <c r="F2105" s="138" t="str">
        <f>INDEX(FuncAllocOptions,ROW(A2105)-ROW($A$92)+1,[4]Inputs!$S$11)</f>
        <v>DPW</v>
      </c>
      <c r="G2105" s="133" t="e">
        <f>SUMIF(FERCJAMFactor,AK2105,JAMValue)</f>
        <v>#VALUE!</v>
      </c>
      <c r="H2105" s="139" t="e">
        <f>INDEX(FuncFactorTbl,MATCH($F2105,FuncFactors,0),MATCH(H$8,Functions,0))*$G2105</f>
        <v>#VALUE!</v>
      </c>
      <c r="I2105" s="139" t="e">
        <f>INDEX(FuncFactorTbl,MATCH($F2105,FuncFactors,0),MATCH(I$8,Functions,0))*$G2105</f>
        <v>#VALUE!</v>
      </c>
      <c r="J2105" s="139" t="e">
        <f>INDEX(FuncFactorTbl,MATCH($F2105,FuncFactors,0),MATCH(J$8,Functions,0))*$G2105</f>
        <v>#VALUE!</v>
      </c>
      <c r="K2105" s="139" t="e">
        <f>INDEX(FuncFactorTbl,MATCH($F2105,FuncFactors,0),MATCH(K$8,Functions,0))*$G2105</f>
        <v>#VALUE!</v>
      </c>
      <c r="L2105" s="139" t="e">
        <f>INDEX(FuncFactorTbl,MATCH($F2105,FuncFactors,0),MATCH(L$8,Functions,0))*$G2105</f>
        <v>#VALUE!</v>
      </c>
      <c r="X2105" s="3" t="str">
        <f>INDEX(DistFuncAllocOptions,ROW(A2105)-ROW($A$92)+1,[4]Inputs!$S$11)</f>
        <v>PC</v>
      </c>
      <c r="Y2105" s="116" t="e">
        <f>INDEX(DistFuncFactorTbl,MATCH($X2105,DistFuncFactors,0),MATCH(Y$91,DistFunctions,0))*$J2105</f>
        <v>#VALUE!</v>
      </c>
      <c r="Z2105" s="116" t="e">
        <f>INDEX(DistFuncFactorTbl,MATCH($X2105,DistFuncFactors,0),MATCH(Z$91,DistFunctions,0))*$J2105</f>
        <v>#VALUE!</v>
      </c>
      <c r="AA2105" s="116" t="e">
        <f>INDEX(DistFuncFactorTbl,MATCH($X2105,DistFuncFactors,0),MATCH(AA$91,DistFunctions,0))*$J2105</f>
        <v>#VALUE!</v>
      </c>
      <c r="AB2105" s="116" t="e">
        <f>INDEX(DistFuncFactorTbl,MATCH($X2105,DistFuncFactors,0),MATCH(AB$91,DistFunctions,0))*$J2105</f>
        <v>#VALUE!</v>
      </c>
      <c r="AC2105" s="116" t="e">
        <f>INDEX(DistFuncFactorTbl,MATCH($X2105,DistFuncFactors,0),MATCH(AC$91,DistFunctions,0))*$J2105</f>
        <v>#VALUE!</v>
      </c>
      <c r="AD2105" s="117" t="e">
        <f>ROUND(SUM(-G2105,H2105:L2105),0)</f>
        <v>#VALUE!</v>
      </c>
      <c r="AE2105" s="117" t="e">
        <f>ROUND(H2105-O2105-P2105-Q2105-R2105,0)</f>
        <v>#VALUE!</v>
      </c>
      <c r="AF2105" s="117" t="e">
        <f>ROUND(I2105-T2105-U2105-V2105-W2105,0)</f>
        <v>#VALUE!</v>
      </c>
      <c r="AG2105" s="117" t="e">
        <f>ROUND(J2105-Y2105-Z2105-AA2105-AC2105-AB2105,0)</f>
        <v>#VALUE!</v>
      </c>
      <c r="AH2105" s="116"/>
      <c r="AI2105">
        <f t="shared" si="1323"/>
        <v>108373</v>
      </c>
      <c r="AJ2105" t="str">
        <f t="shared" si="1318"/>
        <v>S</v>
      </c>
      <c r="AK2105" t="str">
        <f>IF(ISERROR(MATCH(AI2105&amp;"."&amp;AJ2105,AK$91:AK2104,0)),AI2105&amp;"."&amp;AJ2105,AI2105&amp;"."&amp;AJ2105&amp;COUNTIFS(AI$91:AI2104,AI2105,AJ$91:AJ2104,AJ2105))</f>
        <v>108373.S</v>
      </c>
    </row>
    <row r="2106" spans="1:37" ht="15" hidden="1">
      <c r="A2106" s="120">
        <f>ROW()</f>
        <v>2106</v>
      </c>
      <c r="B2106" s="120"/>
      <c r="C2106" s="1"/>
      <c r="E2106" s="121"/>
      <c r="F2106" s="138"/>
      <c r="G2106" s="117" t="e">
        <f t="shared" ref="G2106:L2106" si="1327">SUM(G2105)</f>
        <v>#VALUE!</v>
      </c>
      <c r="H2106" s="116" t="e">
        <f t="shared" si="1327"/>
        <v>#VALUE!</v>
      </c>
      <c r="I2106" s="116" t="e">
        <f t="shared" si="1327"/>
        <v>#VALUE!</v>
      </c>
      <c r="J2106" s="116" t="e">
        <f t="shared" si="1327"/>
        <v>#VALUE!</v>
      </c>
      <c r="K2106" s="116" t="e">
        <f t="shared" si="1327"/>
        <v>#VALUE!</v>
      </c>
      <c r="L2106" s="116" t="e">
        <f t="shared" si="1327"/>
        <v>#VALUE!</v>
      </c>
      <c r="O2106" s="116">
        <f>SUM(O2105)</f>
        <v>0</v>
      </c>
      <c r="P2106" s="116">
        <f>SUM(P2105)</f>
        <v>0</v>
      </c>
      <c r="Q2106" s="116">
        <f>SUM(Q2105)</f>
        <v>0</v>
      </c>
      <c r="R2106" s="116">
        <f>SUM(R2105)</f>
        <v>0</v>
      </c>
      <c r="T2106" s="116">
        <f>SUM(T2105)</f>
        <v>0</v>
      </c>
      <c r="U2106" s="116">
        <f>SUM(U2105)</f>
        <v>0</v>
      </c>
      <c r="V2106" s="116">
        <f>SUM(V2105)</f>
        <v>0</v>
      </c>
      <c r="W2106" s="116">
        <f>SUM(W2105)</f>
        <v>0</v>
      </c>
      <c r="X2106" s="3"/>
      <c r="Y2106" s="116" t="e">
        <f>SUM(Y2105)</f>
        <v>#VALUE!</v>
      </c>
      <c r="Z2106" s="116" t="e">
        <f>SUM(Z2105)</f>
        <v>#VALUE!</v>
      </c>
      <c r="AA2106" s="116" t="e">
        <f>SUM(AA2105)</f>
        <v>#VALUE!</v>
      </c>
      <c r="AB2106" s="116" t="e">
        <f>SUM(AB2105)</f>
        <v>#VALUE!</v>
      </c>
      <c r="AC2106" s="116" t="e">
        <f>SUM(AC2105)</f>
        <v>#VALUE!</v>
      </c>
      <c r="AD2106" s="117" t="e">
        <f>ROUND(SUM(-G2106,H2106:L2106),0)</f>
        <v>#VALUE!</v>
      </c>
      <c r="AE2106" s="117" t="e">
        <f>ROUND(H2106-O2106-P2106-Q2106-R2106,0)</f>
        <v>#VALUE!</v>
      </c>
      <c r="AF2106" s="117" t="e">
        <f>ROUND(I2106-T2106-U2106-V2106-W2106,0)</f>
        <v>#VALUE!</v>
      </c>
      <c r="AG2106" s="117" t="e">
        <f>ROUND(J2106-Y2106-Z2106-AA2106-AC2106-AB2106,0)</f>
        <v>#VALUE!</v>
      </c>
      <c r="AH2106" s="116"/>
      <c r="AI2106">
        <f t="shared" si="1323"/>
        <v>108373</v>
      </c>
      <c r="AJ2106" t="str">
        <f t="shared" si="1318"/>
        <v>NA</v>
      </c>
      <c r="AK2106" t="str">
        <f>IF(ISERROR(MATCH(AI2106&amp;"."&amp;AJ2106,AK$91:AK2105,0)),AI2106&amp;"."&amp;AJ2106,AI2106&amp;"."&amp;AJ2106&amp;COUNTIFS(AI$91:AI2105,AI2106,AJ$91:AJ2105,AJ2106))</f>
        <v>108373.NA1</v>
      </c>
    </row>
    <row r="2107" spans="1:37" ht="15" hidden="1">
      <c r="A2107" s="120">
        <f>ROW()</f>
        <v>2107</v>
      </c>
      <c r="B2107" s="120"/>
      <c r="C2107" s="1"/>
      <c r="E2107" s="121"/>
      <c r="F2107" s="138"/>
      <c r="G2107" s="119"/>
      <c r="X2107" s="3"/>
      <c r="AD2107" s="119"/>
      <c r="AE2107" s="119"/>
      <c r="AF2107" s="119"/>
      <c r="AG2107" s="119"/>
      <c r="AI2107">
        <f t="shared" si="1323"/>
        <v>108373</v>
      </c>
      <c r="AJ2107" t="str">
        <f t="shared" si="1318"/>
        <v>NA</v>
      </c>
      <c r="AK2107" t="str">
        <f>IF(ISERROR(MATCH(AI2107&amp;"."&amp;AJ2107,AK$91:AK2106,0)),AI2107&amp;"."&amp;AJ2107,AI2107&amp;"."&amp;AJ2107&amp;COUNTIFS(AI$91:AI2106,AI2107,AJ$91:AJ2106,AJ2107))</f>
        <v>108373.NA2</v>
      </c>
    </row>
    <row r="2108" spans="1:37" ht="15" hidden="1">
      <c r="A2108" s="120">
        <f>ROW()</f>
        <v>2108</v>
      </c>
      <c r="B2108" s="120"/>
      <c r="C2108" s="1" t="s">
        <v>199</v>
      </c>
      <c r="D2108" s="2" t="s">
        <v>554</v>
      </c>
      <c r="E2108" s="121"/>
      <c r="F2108" s="138"/>
      <c r="G2108" s="119"/>
      <c r="X2108" s="3"/>
      <c r="AD2108" s="119"/>
      <c r="AE2108" s="119"/>
      <c r="AF2108" s="119"/>
      <c r="AG2108" s="119"/>
      <c r="AI2108" t="str">
        <f t="shared" si="1323"/>
        <v>108D00</v>
      </c>
      <c r="AJ2108" t="str">
        <f t="shared" si="1318"/>
        <v>NA</v>
      </c>
      <c r="AK2108" t="str">
        <f>IF(ISERROR(MATCH(AI2108&amp;"."&amp;AJ2108,AK$91:AK2107,0)),AI2108&amp;"."&amp;AJ2108,AI2108&amp;"."&amp;AJ2108&amp;COUNTIFS(AI$91:AI2107,AI2108,AJ$91:AJ2107,AJ2108))</f>
        <v>108D00.NA</v>
      </c>
    </row>
    <row r="2109" spans="1:37" ht="15" hidden="1">
      <c r="A2109" s="120">
        <f>ROW()</f>
        <v>2109</v>
      </c>
      <c r="B2109" s="120"/>
      <c r="C2109" s="1"/>
      <c r="E2109" s="121" t="s">
        <v>12</v>
      </c>
      <c r="F2109" s="138" t="str">
        <f>INDEX(FuncAllocOptions,ROW(A2109)-ROW($A$92)+1,[4]Inputs!$S$11)</f>
        <v>DPW</v>
      </c>
      <c r="G2109" s="133" t="e">
        <f>SUMIF(FERCJAMFactor,AK2109,JAMValue)</f>
        <v>#VALUE!</v>
      </c>
      <c r="H2109" s="139" t="e">
        <f>INDEX(FuncFactorTbl,MATCH($F2109,FuncFactors,0),MATCH(H$8,Functions,0))*$G2109</f>
        <v>#VALUE!</v>
      </c>
      <c r="I2109" s="139" t="e">
        <f>INDEX(FuncFactorTbl,MATCH($F2109,FuncFactors,0),MATCH(I$8,Functions,0))*$G2109</f>
        <v>#VALUE!</v>
      </c>
      <c r="J2109" s="139" t="e">
        <f>INDEX(FuncFactorTbl,MATCH($F2109,FuncFactors,0),MATCH(J$8,Functions,0))*$G2109</f>
        <v>#VALUE!</v>
      </c>
      <c r="K2109" s="139" t="e">
        <f>INDEX(FuncFactorTbl,MATCH($F2109,FuncFactors,0),MATCH(K$8,Functions,0))*$G2109</f>
        <v>#VALUE!</v>
      </c>
      <c r="L2109" s="139" t="e">
        <f>INDEX(FuncFactorTbl,MATCH($F2109,FuncFactors,0),MATCH(L$8,Functions,0))*$G2109</f>
        <v>#VALUE!</v>
      </c>
      <c r="X2109" s="3" t="str">
        <f>INDEX(DistFuncAllocOptions,ROW(A2109)-ROW($A$92)+1,[4]Inputs!$S$11)</f>
        <v>PLNT</v>
      </c>
      <c r="Y2109" s="116" t="e">
        <f>INDEX(DistFuncFactorTbl,MATCH($X2109,DistFuncFactors,0),MATCH(Y$91,DistFunctions,0))*$J2109</f>
        <v>#VALUE!</v>
      </c>
      <c r="Z2109" s="116" t="e">
        <f>INDEX(DistFuncFactorTbl,MATCH($X2109,DistFuncFactors,0),MATCH(Z$91,DistFunctions,0))*$J2109</f>
        <v>#VALUE!</v>
      </c>
      <c r="AA2109" s="116" t="e">
        <f>INDEX(DistFuncFactorTbl,MATCH($X2109,DistFuncFactors,0),MATCH(AA$91,DistFunctions,0))*$J2109</f>
        <v>#VALUE!</v>
      </c>
      <c r="AB2109" s="116" t="e">
        <f>INDEX(DistFuncFactorTbl,MATCH($X2109,DistFuncFactors,0),MATCH(AB$91,DistFunctions,0))*$J2109</f>
        <v>#VALUE!</v>
      </c>
      <c r="AC2109" s="116" t="e">
        <f>INDEX(DistFuncFactorTbl,MATCH($X2109,DistFuncFactors,0),MATCH(AC$91,DistFunctions,0))*$J2109</f>
        <v>#VALUE!</v>
      </c>
      <c r="AD2109" s="117" t="e">
        <f>ROUND(SUM(-G2109,H2109:L2109),0)</f>
        <v>#VALUE!</v>
      </c>
      <c r="AE2109" s="117" t="e">
        <f>ROUND(H2109-O2109-P2109-Q2109-R2109,0)</f>
        <v>#VALUE!</v>
      </c>
      <c r="AF2109" s="117" t="e">
        <f>ROUND(I2109-T2109-U2109-V2109-W2109,0)</f>
        <v>#VALUE!</v>
      </c>
      <c r="AG2109" s="117" t="e">
        <f>ROUND(J2109-Y2109-Z2109-AA2109-AC2109-AB2109,0)</f>
        <v>#VALUE!</v>
      </c>
      <c r="AH2109" s="116"/>
      <c r="AI2109" t="str">
        <f t="shared" si="1323"/>
        <v>108D00</v>
      </c>
      <c r="AJ2109" t="str">
        <f t="shared" si="1318"/>
        <v>S</v>
      </c>
      <c r="AK2109" t="str">
        <f>IF(ISERROR(MATCH(AI2109&amp;"."&amp;AJ2109,AK$91:AK2108,0)),AI2109&amp;"."&amp;AJ2109,AI2109&amp;"."&amp;AJ2109&amp;COUNTIFS(AI$91:AI2108,AI2109,AJ$91:AJ2108,AJ2109))</f>
        <v>108D00.S</v>
      </c>
    </row>
    <row r="2110" spans="1:37" ht="15" hidden="1">
      <c r="A2110" s="120">
        <f>ROW()</f>
        <v>2110</v>
      </c>
      <c r="B2110" s="120"/>
      <c r="C2110" s="1"/>
      <c r="E2110" s="121"/>
      <c r="F2110" s="138"/>
      <c r="G2110" s="117" t="e">
        <f t="shared" ref="G2110:L2110" si="1328">SUM(G2109)</f>
        <v>#VALUE!</v>
      </c>
      <c r="H2110" s="116" t="e">
        <f t="shared" si="1328"/>
        <v>#VALUE!</v>
      </c>
      <c r="I2110" s="116" t="e">
        <f t="shared" si="1328"/>
        <v>#VALUE!</v>
      </c>
      <c r="J2110" s="116" t="e">
        <f t="shared" si="1328"/>
        <v>#VALUE!</v>
      </c>
      <c r="K2110" s="116" t="e">
        <f t="shared" si="1328"/>
        <v>#VALUE!</v>
      </c>
      <c r="L2110" s="116" t="e">
        <f t="shared" si="1328"/>
        <v>#VALUE!</v>
      </c>
      <c r="O2110" s="116">
        <f>SUM(O2109)</f>
        <v>0</v>
      </c>
      <c r="P2110" s="116">
        <f>SUM(P2109)</f>
        <v>0</v>
      </c>
      <c r="Q2110" s="116">
        <f>SUM(Q2109)</f>
        <v>0</v>
      </c>
      <c r="R2110" s="116">
        <f>SUM(R2109)</f>
        <v>0</v>
      </c>
      <c r="T2110" s="116">
        <f>SUM(T2109)</f>
        <v>0</v>
      </c>
      <c r="U2110" s="116">
        <f>SUM(U2109)</f>
        <v>0</v>
      </c>
      <c r="V2110" s="116">
        <f>SUM(V2109)</f>
        <v>0</v>
      </c>
      <c r="W2110" s="116">
        <f>SUM(W2109)</f>
        <v>0</v>
      </c>
      <c r="X2110" s="3"/>
      <c r="Y2110" s="116" t="e">
        <f>SUM(Y2109)</f>
        <v>#VALUE!</v>
      </c>
      <c r="Z2110" s="116" t="e">
        <f>SUM(Z2109)</f>
        <v>#VALUE!</v>
      </c>
      <c r="AA2110" s="116" t="e">
        <f>SUM(AA2109)</f>
        <v>#VALUE!</v>
      </c>
      <c r="AB2110" s="116" t="e">
        <f>SUM(AB2109)</f>
        <v>#VALUE!</v>
      </c>
      <c r="AC2110" s="116" t="e">
        <f>SUM(AC2109)</f>
        <v>#VALUE!</v>
      </c>
      <c r="AD2110" s="117" t="e">
        <f>ROUND(SUM(-G2110,H2110:L2110),0)</f>
        <v>#VALUE!</v>
      </c>
      <c r="AE2110" s="117" t="e">
        <f>ROUND(H2110-O2110-P2110-Q2110-R2110,0)</f>
        <v>#VALUE!</v>
      </c>
      <c r="AF2110" s="117" t="e">
        <f>ROUND(I2110-T2110-U2110-V2110-W2110,0)</f>
        <v>#VALUE!</v>
      </c>
      <c r="AG2110" s="117" t="e">
        <f>ROUND(J2110-Y2110-Z2110-AA2110-AC2110-AB2110,0)</f>
        <v>#VALUE!</v>
      </c>
      <c r="AH2110" s="116"/>
      <c r="AI2110" t="str">
        <f t="shared" si="1323"/>
        <v>108D00</v>
      </c>
      <c r="AJ2110" t="str">
        <f t="shared" si="1318"/>
        <v>NA</v>
      </c>
      <c r="AK2110" t="str">
        <f>IF(ISERROR(MATCH(AI2110&amp;"."&amp;AJ2110,AK$91:AK2109,0)),AI2110&amp;"."&amp;AJ2110,AI2110&amp;"."&amp;AJ2110&amp;COUNTIFS(AI$91:AI2109,AI2110,AJ$91:AJ2109,AJ2110))</f>
        <v>108D00.NA1</v>
      </c>
    </row>
    <row r="2111" spans="1:37" ht="15" hidden="1">
      <c r="A2111" s="120">
        <f>ROW()</f>
        <v>2111</v>
      </c>
      <c r="B2111" s="120"/>
      <c r="C2111" s="1"/>
      <c r="E2111" s="121"/>
      <c r="F2111" s="138"/>
      <c r="G2111" s="119"/>
      <c r="X2111" s="3"/>
      <c r="AD2111" s="119"/>
      <c r="AE2111" s="119"/>
      <c r="AF2111" s="119"/>
      <c r="AG2111" s="119"/>
      <c r="AI2111" t="str">
        <f t="shared" si="1323"/>
        <v>108D00</v>
      </c>
      <c r="AJ2111" t="str">
        <f t="shared" si="1318"/>
        <v>NA</v>
      </c>
      <c r="AK2111" t="str">
        <f>IF(ISERROR(MATCH(AI2111&amp;"."&amp;AJ2111,AK$91:AK2110,0)),AI2111&amp;"."&amp;AJ2111,AI2111&amp;"."&amp;AJ2111&amp;COUNTIFS(AI$91:AI2110,AI2111,AJ$91:AJ2110,AJ2111))</f>
        <v>108D00.NA2</v>
      </c>
    </row>
    <row r="2112" spans="1:37" ht="15" hidden="1">
      <c r="A2112" s="120">
        <f>ROW()</f>
        <v>2112</v>
      </c>
      <c r="B2112" s="120"/>
      <c r="C2112" s="1" t="s">
        <v>201</v>
      </c>
      <c r="D2112" s="2" t="s">
        <v>555</v>
      </c>
      <c r="E2112" s="121"/>
      <c r="F2112" s="138"/>
      <c r="G2112" s="119"/>
      <c r="X2112" s="3"/>
      <c r="AD2112" s="119"/>
      <c r="AE2112" s="119"/>
      <c r="AF2112" s="119"/>
      <c r="AG2112" s="119"/>
      <c r="AI2112" t="str">
        <f t="shared" si="1323"/>
        <v>108DS</v>
      </c>
      <c r="AJ2112" t="str">
        <f t="shared" si="1318"/>
        <v>NA</v>
      </c>
      <c r="AK2112" t="str">
        <f>IF(ISERROR(MATCH(AI2112&amp;"."&amp;AJ2112,AK$91:AK2111,0)),AI2112&amp;"."&amp;AJ2112,AI2112&amp;"."&amp;AJ2112&amp;COUNTIFS(AI$91:AI2111,AI2112,AJ$91:AJ2111,AJ2112))</f>
        <v>108DS.NA</v>
      </c>
    </row>
    <row r="2113" spans="1:37" ht="15" hidden="1">
      <c r="A2113" s="120">
        <f>ROW()</f>
        <v>2113</v>
      </c>
      <c r="B2113" s="120"/>
      <c r="C2113" s="1"/>
      <c r="E2113" s="121" t="s">
        <v>12</v>
      </c>
      <c r="F2113" s="138" t="str">
        <f>INDEX(FuncAllocOptions,ROW(A2113)-ROW($A$92)+1,[4]Inputs!$S$11)</f>
        <v>DPW</v>
      </c>
      <c r="G2113" s="133" t="e">
        <f>SUMIF(FERCJAMFactor,AK2113,JAMValue)</f>
        <v>#VALUE!</v>
      </c>
      <c r="H2113" s="139" t="e">
        <f>INDEX(FuncFactorTbl,MATCH($F2113,FuncFactors,0),MATCH(H$8,Functions,0))*$G2113</f>
        <v>#VALUE!</v>
      </c>
      <c r="I2113" s="139" t="e">
        <f>INDEX(FuncFactorTbl,MATCH($F2113,FuncFactors,0),MATCH(I$8,Functions,0))*$G2113</f>
        <v>#VALUE!</v>
      </c>
      <c r="J2113" s="139" t="e">
        <f>INDEX(FuncFactorTbl,MATCH($F2113,FuncFactors,0),MATCH(J$8,Functions,0))*$G2113</f>
        <v>#VALUE!</v>
      </c>
      <c r="K2113" s="139" t="e">
        <f>INDEX(FuncFactorTbl,MATCH($F2113,FuncFactors,0),MATCH(K$8,Functions,0))*$G2113</f>
        <v>#VALUE!</v>
      </c>
      <c r="L2113" s="139" t="e">
        <f>INDEX(FuncFactorTbl,MATCH($F2113,FuncFactors,0),MATCH(L$8,Functions,0))*$G2113</f>
        <v>#VALUE!</v>
      </c>
      <c r="X2113" s="3" t="str">
        <f>INDEX(DistFuncAllocOptions,ROW(A2113)-ROW($A$92)+1,[4]Inputs!$S$11)</f>
        <v>PLNT</v>
      </c>
      <c r="Y2113" s="116" t="e">
        <f>INDEX(DistFuncFactorTbl,MATCH($X2113,DistFuncFactors,0),MATCH(Y$91,DistFunctions,0))*$J2113</f>
        <v>#VALUE!</v>
      </c>
      <c r="Z2113" s="116" t="e">
        <f>INDEX(DistFuncFactorTbl,MATCH($X2113,DistFuncFactors,0),MATCH(Z$91,DistFunctions,0))*$J2113</f>
        <v>#VALUE!</v>
      </c>
      <c r="AA2113" s="116" t="e">
        <f>INDEX(DistFuncFactorTbl,MATCH($X2113,DistFuncFactors,0),MATCH(AA$91,DistFunctions,0))*$J2113</f>
        <v>#VALUE!</v>
      </c>
      <c r="AB2113" s="116" t="e">
        <f>INDEX(DistFuncFactorTbl,MATCH($X2113,DistFuncFactors,0),MATCH(AB$91,DistFunctions,0))*$J2113</f>
        <v>#VALUE!</v>
      </c>
      <c r="AC2113" s="116" t="e">
        <f>INDEX(DistFuncFactorTbl,MATCH($X2113,DistFuncFactors,0),MATCH(AC$91,DistFunctions,0))*$J2113</f>
        <v>#VALUE!</v>
      </c>
      <c r="AD2113" s="117" t="e">
        <f>ROUND(SUM(-G2113,H2113:L2113),0)</f>
        <v>#VALUE!</v>
      </c>
      <c r="AE2113" s="117" t="e">
        <f>ROUND(H2113-O2113-P2113-Q2113-R2113,0)</f>
        <v>#VALUE!</v>
      </c>
      <c r="AF2113" s="117" t="e">
        <f>ROUND(I2113-T2113-U2113-V2113-W2113,0)</f>
        <v>#VALUE!</v>
      </c>
      <c r="AG2113" s="117" t="e">
        <f>ROUND(J2113-Y2113-Z2113-AA2113-AC2113-AB2113,0)</f>
        <v>#VALUE!</v>
      </c>
      <c r="AH2113" s="116"/>
      <c r="AI2113" t="str">
        <f t="shared" si="1323"/>
        <v>108DS</v>
      </c>
      <c r="AJ2113" t="str">
        <f t="shared" si="1318"/>
        <v>S</v>
      </c>
      <c r="AK2113" t="str">
        <f>IF(ISERROR(MATCH(AI2113&amp;"."&amp;AJ2113,AK$91:AK2112,0)),AI2113&amp;"."&amp;AJ2113,AI2113&amp;"."&amp;AJ2113&amp;COUNTIFS(AI$91:AI2112,AI2113,AJ$91:AJ2112,AJ2113))</f>
        <v>108DS.S</v>
      </c>
    </row>
    <row r="2114" spans="1:37" ht="15" hidden="1">
      <c r="A2114" s="120">
        <f>ROW()</f>
        <v>2114</v>
      </c>
      <c r="B2114" s="120"/>
      <c r="C2114" s="1"/>
      <c r="E2114" s="121"/>
      <c r="F2114" s="138"/>
      <c r="G2114" s="117" t="e">
        <f t="shared" ref="G2114:L2114" si="1329">SUM(G2113)</f>
        <v>#VALUE!</v>
      </c>
      <c r="H2114" s="116" t="e">
        <f t="shared" si="1329"/>
        <v>#VALUE!</v>
      </c>
      <c r="I2114" s="116" t="e">
        <f t="shared" si="1329"/>
        <v>#VALUE!</v>
      </c>
      <c r="J2114" s="116" t="e">
        <f t="shared" si="1329"/>
        <v>#VALUE!</v>
      </c>
      <c r="K2114" s="116" t="e">
        <f t="shared" si="1329"/>
        <v>#VALUE!</v>
      </c>
      <c r="L2114" s="116" t="e">
        <f t="shared" si="1329"/>
        <v>#VALUE!</v>
      </c>
      <c r="O2114" s="116">
        <f>SUM(O2113)</f>
        <v>0</v>
      </c>
      <c r="P2114" s="116">
        <f>SUM(P2113)</f>
        <v>0</v>
      </c>
      <c r="Q2114" s="116">
        <f>SUM(Q2113)</f>
        <v>0</v>
      </c>
      <c r="R2114" s="116">
        <f>SUM(R2113)</f>
        <v>0</v>
      </c>
      <c r="T2114" s="116">
        <f>SUM(T2113)</f>
        <v>0</v>
      </c>
      <c r="U2114" s="116">
        <f>SUM(U2113)</f>
        <v>0</v>
      </c>
      <c r="V2114" s="116">
        <f>SUM(V2113)</f>
        <v>0</v>
      </c>
      <c r="W2114" s="116">
        <f>SUM(W2113)</f>
        <v>0</v>
      </c>
      <c r="X2114" s="3"/>
      <c r="Y2114" s="116" t="e">
        <f>SUM(Y2113)</f>
        <v>#VALUE!</v>
      </c>
      <c r="Z2114" s="116" t="e">
        <f>SUM(Z2113)</f>
        <v>#VALUE!</v>
      </c>
      <c r="AA2114" s="116" t="e">
        <f>SUM(AA2113)</f>
        <v>#VALUE!</v>
      </c>
      <c r="AB2114" s="116" t="e">
        <f>SUM(AB2113)</f>
        <v>#VALUE!</v>
      </c>
      <c r="AC2114" s="116" t="e">
        <f>SUM(AC2113)</f>
        <v>#VALUE!</v>
      </c>
      <c r="AD2114" s="117" t="e">
        <f>ROUND(SUM(-G2114,H2114:L2114),0)</f>
        <v>#VALUE!</v>
      </c>
      <c r="AE2114" s="117" t="e">
        <f>ROUND(H2114-O2114-P2114-Q2114-R2114,0)</f>
        <v>#VALUE!</v>
      </c>
      <c r="AF2114" s="117" t="e">
        <f>ROUND(I2114-T2114-U2114-V2114-W2114,0)</f>
        <v>#VALUE!</v>
      </c>
      <c r="AG2114" s="117" t="e">
        <f>ROUND(J2114-Y2114-Z2114-AA2114-AC2114-AB2114,0)</f>
        <v>#VALUE!</v>
      </c>
      <c r="AH2114" s="116"/>
      <c r="AI2114" t="str">
        <f t="shared" si="1323"/>
        <v>108DS</v>
      </c>
      <c r="AJ2114" t="str">
        <f t="shared" si="1318"/>
        <v>NA</v>
      </c>
      <c r="AK2114" t="str">
        <f>IF(ISERROR(MATCH(AI2114&amp;"."&amp;AJ2114,AK$91:AK2113,0)),AI2114&amp;"."&amp;AJ2114,AI2114&amp;"."&amp;AJ2114&amp;COUNTIFS(AI$91:AI2113,AI2114,AJ$91:AJ2113,AJ2114))</f>
        <v>108DS.NA1</v>
      </c>
    </row>
    <row r="2115" spans="1:37" ht="15" hidden="1">
      <c r="A2115" s="120">
        <f>ROW()</f>
        <v>2115</v>
      </c>
      <c r="B2115" s="120"/>
      <c r="C2115" s="1"/>
      <c r="E2115" s="121"/>
      <c r="F2115" s="138"/>
      <c r="G2115" s="119"/>
      <c r="X2115" s="3"/>
      <c r="AD2115" s="119"/>
      <c r="AE2115" s="119"/>
      <c r="AF2115" s="119"/>
      <c r="AG2115" s="119"/>
      <c r="AI2115" t="str">
        <f t="shared" si="1323"/>
        <v>108DS</v>
      </c>
      <c r="AJ2115" t="str">
        <f t="shared" si="1318"/>
        <v>NA</v>
      </c>
      <c r="AK2115" t="str">
        <f>IF(ISERROR(MATCH(AI2115&amp;"."&amp;AJ2115,AK$91:AK2114,0)),AI2115&amp;"."&amp;AJ2115,AI2115&amp;"."&amp;AJ2115&amp;COUNTIFS(AI$91:AI2114,AI2115,AJ$91:AJ2114,AJ2115))</f>
        <v>108DS.NA2</v>
      </c>
    </row>
    <row r="2116" spans="1:37" ht="15" hidden="1">
      <c r="A2116" s="120">
        <f>ROW()</f>
        <v>2116</v>
      </c>
      <c r="B2116" s="120"/>
      <c r="C2116" s="1" t="s">
        <v>200</v>
      </c>
      <c r="D2116" s="2" t="s">
        <v>555</v>
      </c>
      <c r="E2116" s="121"/>
      <c r="F2116" s="138"/>
      <c r="G2116" s="119"/>
      <c r="X2116" s="3"/>
      <c r="AD2116" s="119"/>
      <c r="AE2116" s="119"/>
      <c r="AF2116" s="119"/>
      <c r="AG2116" s="119"/>
      <c r="AI2116" t="str">
        <f t="shared" si="1323"/>
        <v>108DP</v>
      </c>
      <c r="AJ2116" t="str">
        <f t="shared" si="1318"/>
        <v>NA</v>
      </c>
      <c r="AK2116" t="str">
        <f>IF(ISERROR(MATCH(AI2116&amp;"."&amp;AJ2116,AK$91:AK2115,0)),AI2116&amp;"."&amp;AJ2116,AI2116&amp;"."&amp;AJ2116&amp;COUNTIFS(AI$91:AI2115,AI2116,AJ$91:AJ2115,AJ2116))</f>
        <v>108DP.NA</v>
      </c>
    </row>
    <row r="2117" spans="1:37" ht="15" hidden="1">
      <c r="A2117" s="120">
        <f>ROW()</f>
        <v>2117</v>
      </c>
      <c r="B2117" s="120"/>
      <c r="C2117" s="1"/>
      <c r="E2117" s="121" t="s">
        <v>12</v>
      </c>
      <c r="F2117" s="138" t="str">
        <f>INDEX(FuncAllocOptions,ROW(A2117)-ROW($A$92)+1,[4]Inputs!$S$11)</f>
        <v>DPW</v>
      </c>
      <c r="G2117" s="133" t="e">
        <f>SUMIF(FERCJAMFactor,AK2117,JAMValue)</f>
        <v>#VALUE!</v>
      </c>
      <c r="H2117" s="139" t="e">
        <f>INDEX(FuncFactorTbl,MATCH($F2117,FuncFactors,0),MATCH(H$8,Functions,0))*$G2117</f>
        <v>#VALUE!</v>
      </c>
      <c r="I2117" s="139" t="e">
        <f>INDEX(FuncFactorTbl,MATCH($F2117,FuncFactors,0),MATCH(I$8,Functions,0))*$G2117</f>
        <v>#VALUE!</v>
      </c>
      <c r="J2117" s="139" t="e">
        <f>INDEX(FuncFactorTbl,MATCH($F2117,FuncFactors,0),MATCH(J$8,Functions,0))*$G2117</f>
        <v>#VALUE!</v>
      </c>
      <c r="K2117" s="139" t="e">
        <f>INDEX(FuncFactorTbl,MATCH($F2117,FuncFactors,0),MATCH(K$8,Functions,0))*$G2117</f>
        <v>#VALUE!</v>
      </c>
      <c r="L2117" s="139" t="e">
        <f>INDEX(FuncFactorTbl,MATCH($F2117,FuncFactors,0),MATCH(L$8,Functions,0))*$G2117</f>
        <v>#VALUE!</v>
      </c>
      <c r="X2117" s="3" t="str">
        <f>INDEX(DistFuncAllocOptions,ROW(A2117)-ROW($A$92)+1,[4]Inputs!$S$11)</f>
        <v>PLNT</v>
      </c>
      <c r="Y2117" s="116" t="e">
        <f>INDEX(DistFuncFactorTbl,MATCH($X2117,DistFuncFactors,0),MATCH(Y$91,DistFunctions,0))*$J2117</f>
        <v>#VALUE!</v>
      </c>
      <c r="Z2117" s="116" t="e">
        <f>INDEX(DistFuncFactorTbl,MATCH($X2117,DistFuncFactors,0),MATCH(Z$91,DistFunctions,0))*$J2117</f>
        <v>#VALUE!</v>
      </c>
      <c r="AA2117" s="116" t="e">
        <f>INDEX(DistFuncFactorTbl,MATCH($X2117,DistFuncFactors,0),MATCH(AA$91,DistFunctions,0))*$J2117</f>
        <v>#VALUE!</v>
      </c>
      <c r="AB2117" s="116" t="e">
        <f>INDEX(DistFuncFactorTbl,MATCH($X2117,DistFuncFactors,0),MATCH(AB$91,DistFunctions,0))*$J2117</f>
        <v>#VALUE!</v>
      </c>
      <c r="AC2117" s="116" t="e">
        <f>INDEX(DistFuncFactorTbl,MATCH($X2117,DistFuncFactors,0),MATCH(AC$91,DistFunctions,0))*$J2117</f>
        <v>#VALUE!</v>
      </c>
      <c r="AD2117" s="117" t="e">
        <f>ROUND(SUM(-G2117,H2117:L2117),0)</f>
        <v>#VALUE!</v>
      </c>
      <c r="AE2117" s="117" t="e">
        <f>ROUND(H2117-O2117-P2117-Q2117-R2117,0)</f>
        <v>#VALUE!</v>
      </c>
      <c r="AF2117" s="117" t="e">
        <f>ROUND(I2117-T2117-U2117-V2117-W2117,0)</f>
        <v>#VALUE!</v>
      </c>
      <c r="AG2117" s="117" t="e">
        <f>ROUND(J2117-Y2117-Z2117-AA2117-AC2117-AB2117,0)</f>
        <v>#VALUE!</v>
      </c>
      <c r="AH2117" s="116"/>
      <c r="AI2117" t="str">
        <f t="shared" si="1323"/>
        <v>108DP</v>
      </c>
      <c r="AJ2117" t="str">
        <f t="shared" si="1318"/>
        <v>S</v>
      </c>
      <c r="AK2117" t="str">
        <f>IF(ISERROR(MATCH(AI2117&amp;"."&amp;AJ2117,AK$91:AK2116,0)),AI2117&amp;"."&amp;AJ2117,AI2117&amp;"."&amp;AJ2117&amp;COUNTIFS(AI$91:AI2116,AI2117,AJ$91:AJ2116,AJ2117))</f>
        <v>108DP.S</v>
      </c>
    </row>
    <row r="2118" spans="1:37" ht="15" hidden="1">
      <c r="A2118" s="120">
        <f>ROW()</f>
        <v>2118</v>
      </c>
      <c r="B2118" s="120"/>
      <c r="C2118" s="1"/>
      <c r="E2118" s="121"/>
      <c r="F2118" s="138"/>
      <c r="G2118" s="117" t="e">
        <f t="shared" ref="G2118:L2118" si="1330">SUM(G2117)</f>
        <v>#VALUE!</v>
      </c>
      <c r="H2118" s="116" t="e">
        <f t="shared" si="1330"/>
        <v>#VALUE!</v>
      </c>
      <c r="I2118" s="116" t="e">
        <f t="shared" si="1330"/>
        <v>#VALUE!</v>
      </c>
      <c r="J2118" s="116" t="e">
        <f t="shared" si="1330"/>
        <v>#VALUE!</v>
      </c>
      <c r="K2118" s="116" t="e">
        <f t="shared" si="1330"/>
        <v>#VALUE!</v>
      </c>
      <c r="L2118" s="116" t="e">
        <f t="shared" si="1330"/>
        <v>#VALUE!</v>
      </c>
      <c r="O2118" s="116">
        <f>SUM(O2117)</f>
        <v>0</v>
      </c>
      <c r="P2118" s="116">
        <f>SUM(P2117)</f>
        <v>0</v>
      </c>
      <c r="Q2118" s="116">
        <f>SUM(Q2117)</f>
        <v>0</v>
      </c>
      <c r="R2118" s="116">
        <f>SUM(R2117)</f>
        <v>0</v>
      </c>
      <c r="T2118" s="116">
        <f>SUM(T2117)</f>
        <v>0</v>
      </c>
      <c r="U2118" s="116">
        <f>SUM(U2117)</f>
        <v>0</v>
      </c>
      <c r="V2118" s="116">
        <f>SUM(V2117)</f>
        <v>0</v>
      </c>
      <c r="W2118" s="116">
        <f>SUM(W2117)</f>
        <v>0</v>
      </c>
      <c r="X2118" s="3"/>
      <c r="Y2118" s="116" t="e">
        <f>SUM(Y2117)</f>
        <v>#VALUE!</v>
      </c>
      <c r="Z2118" s="116" t="e">
        <f>SUM(Z2117)</f>
        <v>#VALUE!</v>
      </c>
      <c r="AA2118" s="116" t="e">
        <f>SUM(AA2117)</f>
        <v>#VALUE!</v>
      </c>
      <c r="AB2118" s="116" t="e">
        <f>SUM(AB2117)</f>
        <v>#VALUE!</v>
      </c>
      <c r="AC2118" s="116" t="e">
        <f>SUM(AC2117)</f>
        <v>#VALUE!</v>
      </c>
      <c r="AD2118" s="117" t="e">
        <f>ROUND(SUM(-G2118,H2118:L2118),0)</f>
        <v>#VALUE!</v>
      </c>
      <c r="AE2118" s="117" t="e">
        <f>ROUND(H2118-O2118-P2118-Q2118-R2118,0)</f>
        <v>#VALUE!</v>
      </c>
      <c r="AF2118" s="117" t="e">
        <f>ROUND(I2118-T2118-U2118-V2118-W2118,0)</f>
        <v>#VALUE!</v>
      </c>
      <c r="AG2118" s="117" t="e">
        <f>ROUND(J2118-Y2118-Z2118-AA2118-AC2118-AB2118,0)</f>
        <v>#VALUE!</v>
      </c>
      <c r="AH2118" s="116"/>
      <c r="AI2118" t="str">
        <f t="shared" si="1323"/>
        <v>108DP</v>
      </c>
      <c r="AJ2118" t="str">
        <f t="shared" si="1318"/>
        <v>NA</v>
      </c>
      <c r="AK2118" t="str">
        <f>IF(ISERROR(MATCH(AI2118&amp;"."&amp;AJ2118,AK$91:AK2117,0)),AI2118&amp;"."&amp;AJ2118,AI2118&amp;"."&amp;AJ2118&amp;COUNTIFS(AI$91:AI2117,AI2118,AJ$91:AJ2117,AJ2118))</f>
        <v>108DP.NA1</v>
      </c>
    </row>
    <row r="2119" spans="1:37" ht="15" hidden="1">
      <c r="A2119" s="120">
        <f>ROW()</f>
        <v>2119</v>
      </c>
      <c r="B2119" s="120"/>
      <c r="C2119" s="1"/>
      <c r="E2119" s="121"/>
      <c r="F2119" s="138"/>
      <c r="G2119" s="119"/>
      <c r="X2119" s="3"/>
      <c r="AD2119" s="119"/>
      <c r="AE2119" s="119"/>
      <c r="AF2119" s="119"/>
      <c r="AG2119" s="119"/>
      <c r="AI2119" t="str">
        <f t="shared" si="1323"/>
        <v>108DP</v>
      </c>
      <c r="AJ2119" t="str">
        <f t="shared" si="1318"/>
        <v>NA</v>
      </c>
      <c r="AK2119" t="str">
        <f>IF(ISERROR(MATCH(AI2119&amp;"."&amp;AJ2119,AK$91:AK2118,0)),AI2119&amp;"."&amp;AJ2119,AI2119&amp;"."&amp;AJ2119&amp;COUNTIFS(AI$91:AI2118,AI2119,AJ$91:AJ2118,AJ2119))</f>
        <v>108DP.NA2</v>
      </c>
    </row>
    <row r="2120" spans="1:37" ht="15" hidden="1">
      <c r="A2120" s="120">
        <f>ROW()</f>
        <v>2120</v>
      </c>
      <c r="B2120" s="120"/>
      <c r="E2120" s="121"/>
      <c r="F2120" s="138"/>
      <c r="G2120" s="113"/>
      <c r="H2120" s="141"/>
      <c r="I2120" s="141"/>
      <c r="J2120" s="141"/>
      <c r="K2120" s="141"/>
      <c r="L2120" s="141"/>
      <c r="X2120" s="3"/>
      <c r="AD2120" s="119"/>
      <c r="AE2120" s="119"/>
      <c r="AF2120" s="119"/>
      <c r="AG2120" s="119"/>
      <c r="AI2120" t="str">
        <f t="shared" si="1323"/>
        <v>108DP</v>
      </c>
      <c r="AJ2120" t="str">
        <f t="shared" si="1318"/>
        <v>NA</v>
      </c>
      <c r="AK2120" t="str">
        <f>IF(ISERROR(MATCH(AI2120&amp;"."&amp;AJ2120,AK$91:AK2119,0)),AI2120&amp;"."&amp;AJ2120,AI2120&amp;"."&amp;AJ2120&amp;COUNTIFS(AI$91:AI2119,AI2120,AJ$91:AJ2119,AJ2120))</f>
        <v>108DP.NA3</v>
      </c>
    </row>
    <row r="2121" spans="1:37" ht="15" hidden="1">
      <c r="A2121" s="120">
        <f>ROW()</f>
        <v>2121</v>
      </c>
      <c r="B2121" s="120"/>
      <c r="C2121" s="110" t="s">
        <v>712</v>
      </c>
      <c r="E2121" s="121"/>
      <c r="F2121" s="138"/>
      <c r="G2121" s="117" t="e">
        <f t="shared" ref="G2121:L2121" si="1331">G2106+G2102+G2098+G2094+G2090+G2086+G2082+G2078+G2074+G2070+G2066+G2062+G2058+G2114+G2110+G2118</f>
        <v>#VALUE!</v>
      </c>
      <c r="H2121" s="116" t="e">
        <f t="shared" si="1331"/>
        <v>#VALUE!</v>
      </c>
      <c r="I2121" s="116" t="e">
        <f t="shared" si="1331"/>
        <v>#VALUE!</v>
      </c>
      <c r="J2121" s="116" t="e">
        <f t="shared" si="1331"/>
        <v>#VALUE!</v>
      </c>
      <c r="K2121" s="116" t="e">
        <f t="shared" si="1331"/>
        <v>#VALUE!</v>
      </c>
      <c r="L2121" s="116" t="e">
        <f t="shared" si="1331"/>
        <v>#VALUE!</v>
      </c>
      <c r="O2121" s="116">
        <f>O2106+O2102+O2098+O2094+O2090+O2086+O2082+O2078+O2074+O2070+O2066+O2062+O2058+O2114+O2110+O2118</f>
        <v>0</v>
      </c>
      <c r="P2121" s="116">
        <f>P2106+P2102+P2098+P2094+P2090+P2086+P2082+P2078+P2074+P2070+P2066+P2062+P2058+P2114+P2110+P2118</f>
        <v>0</v>
      </c>
      <c r="Q2121" s="116">
        <f>Q2106+Q2102+Q2098+Q2094+Q2090+Q2086+Q2082+Q2078+Q2074+Q2070+Q2066+Q2062+Q2058+Q2114+Q2110+Q2118</f>
        <v>0</v>
      </c>
      <c r="R2121" s="116">
        <f>R2106+R2102+R2098+R2094+R2090+R2086+R2082+R2078+R2074+R2070+R2066+R2062+R2058+R2114+R2110+R2118</f>
        <v>0</v>
      </c>
      <c r="S2121" s="116"/>
      <c r="T2121" s="116">
        <f>T2106+T2102+T2098+T2094+T2090+T2086+T2082+T2078+T2074+T2070+T2066+T2062+T2058+T2114+T2110+T2118</f>
        <v>0</v>
      </c>
      <c r="U2121" s="116">
        <f>U2106+U2102+U2098+U2094+U2090+U2086+U2082+U2078+U2074+U2070+U2066+U2062+U2058+U2114+U2110+U2118</f>
        <v>0</v>
      </c>
      <c r="V2121" s="116">
        <f>V2106+V2102+V2098+V2094+V2090+V2086+V2082+V2078+V2074+V2070+V2066+V2062+V2058+V2114+V2110+V2118</f>
        <v>0</v>
      </c>
      <c r="W2121" s="116">
        <f>W2106+W2102+W2098+W2094+W2090+W2086+W2082+W2078+W2074+W2070+W2066+W2062+W2058+W2114+W2110+W2118</f>
        <v>0</v>
      </c>
      <c r="X2121" s="3"/>
      <c r="Y2121" s="116" t="e">
        <f>Y2106+Y2102+Y2098+Y2094+Y2090+Y2086+Y2082+Y2078+Y2074+Y2070+Y2066+Y2062+Y2058+Y2114+Y2110+Y2118</f>
        <v>#VALUE!</v>
      </c>
      <c r="Z2121" s="116" t="e">
        <f>Z2106+Z2102+Z2098+Z2094+Z2090+Z2086+Z2082+Z2078+Z2074+Z2070+Z2066+Z2062+Z2058+Z2114+Z2110+Z2118</f>
        <v>#VALUE!</v>
      </c>
      <c r="AA2121" s="116" t="e">
        <f>AA2106+AA2102+AA2098+AA2094+AA2090+AA2086+AA2082+AA2078+AA2074+AA2070+AA2066+AA2062+AA2058+AA2114+AA2110+AA2118</f>
        <v>#VALUE!</v>
      </c>
      <c r="AB2121" s="116" t="e">
        <f>AB2106+AB2102+AB2098+AB2094+AB2090+AB2086+AB2082+AB2078+AB2074+AB2070+AB2066+AB2062+AB2058+AB2114+AB2110+AB2118</f>
        <v>#VALUE!</v>
      </c>
      <c r="AC2121" s="116" t="e">
        <f>AC2106+AC2102+AC2098+AC2094+AC2090+AC2086+AC2082+AC2078+AC2074+AC2070+AC2066+AC2062+AC2058+AC2114+AC2110+AC2118</f>
        <v>#VALUE!</v>
      </c>
      <c r="AD2121" s="117" t="e">
        <f>ROUND(SUM(-G2121,H2121:L2121),0)</f>
        <v>#VALUE!</v>
      </c>
      <c r="AE2121" s="117" t="e">
        <f>ROUND(H2121-O2121-P2121-Q2121-R2121,0)</f>
        <v>#VALUE!</v>
      </c>
      <c r="AF2121" s="117" t="e">
        <f>ROUND(I2121-T2121-U2121-V2121-W2121,0)</f>
        <v>#VALUE!</v>
      </c>
      <c r="AG2121" s="117" t="e">
        <f>ROUND(J2121-Y2121-Z2121-AA2121-AC2121-AB2121,0)</f>
        <v>#VALUE!</v>
      </c>
      <c r="AH2121" s="116"/>
      <c r="AI2121" t="str">
        <f t="shared" si="1323"/>
        <v>TOTAL DISTRIBUTION PLANT DEPR</v>
      </c>
      <c r="AJ2121" t="str">
        <f t="shared" si="1318"/>
        <v>NA</v>
      </c>
      <c r="AK2121" t="str">
        <f>IF(ISERROR(MATCH(AI2121&amp;"."&amp;AJ2121,AK$91:AK2120,0)),AI2121&amp;"."&amp;AJ2121,AI2121&amp;"."&amp;AJ2121&amp;COUNTIFS(AI$91:AI2120,AI2121,AJ$91:AJ2120,AJ2121))</f>
        <v>TOTAL DISTRIBUTION PLANT DEPR.NA</v>
      </c>
    </row>
    <row r="2122" spans="1:37" ht="15" hidden="1">
      <c r="A2122" s="120">
        <f>ROW()</f>
        <v>2122</v>
      </c>
      <c r="B2122" s="120"/>
      <c r="E2122" s="121"/>
      <c r="F2122" s="138"/>
      <c r="G2122" s="119"/>
      <c r="X2122" s="3"/>
      <c r="AD2122" s="119"/>
      <c r="AE2122" s="119"/>
      <c r="AF2122" s="119"/>
      <c r="AG2122" s="119"/>
      <c r="AI2122" t="str">
        <f t="shared" si="1323"/>
        <v>TOTAL DISTRIBUTION PLANT DEPR</v>
      </c>
      <c r="AJ2122" t="str">
        <f t="shared" si="1318"/>
        <v>NA</v>
      </c>
      <c r="AK2122" t="str">
        <f>IF(ISERROR(MATCH(AI2122&amp;"."&amp;AJ2122,AK$91:AK2121,0)),AI2122&amp;"."&amp;AJ2122,AI2122&amp;"."&amp;AJ2122&amp;COUNTIFS(AI$91:AI2121,AI2122,AJ$91:AJ2121,AJ2122))</f>
        <v>TOTAL DISTRIBUTION PLANT DEPR.NA1</v>
      </c>
    </row>
    <row r="2123" spans="1:37" ht="15" hidden="1">
      <c r="A2123" s="120">
        <f>ROW()</f>
        <v>2123</v>
      </c>
      <c r="B2123" s="120"/>
      <c r="C2123" s="1" t="s">
        <v>204</v>
      </c>
      <c r="D2123" s="2" t="s">
        <v>687</v>
      </c>
      <c r="E2123" s="121"/>
      <c r="F2123" s="138"/>
      <c r="G2123" s="119"/>
      <c r="X2123" s="3"/>
      <c r="AD2123" s="119"/>
      <c r="AE2123" s="119"/>
      <c r="AF2123" s="119"/>
      <c r="AG2123" s="119"/>
      <c r="AI2123" t="str">
        <f t="shared" si="1323"/>
        <v>108GP</v>
      </c>
      <c r="AJ2123" t="str">
        <f t="shared" si="1318"/>
        <v>NA</v>
      </c>
      <c r="AK2123" t="str">
        <f>IF(ISERROR(MATCH(AI2123&amp;"."&amp;AJ2123,AK$91:AK2122,0)),AI2123&amp;"."&amp;AJ2123,AI2123&amp;"."&amp;AJ2123&amp;COUNTIFS(AI$91:AI2122,AI2123,AJ$91:AJ2122,AJ2123))</f>
        <v>108GP.NA</v>
      </c>
    </row>
    <row r="2124" spans="1:37" ht="15" hidden="1">
      <c r="A2124" s="120">
        <f>ROW()</f>
        <v>2124</v>
      </c>
      <c r="B2124" s="120"/>
      <c r="C2124" s="1"/>
      <c r="E2124" s="121" t="s">
        <v>12</v>
      </c>
      <c r="F2124" s="138" t="str">
        <f>INDEX(FuncAllocOptions,ROW(A2124)-ROW($A$92)+1,[4]Inputs!$S$11)</f>
        <v>G-SITUS</v>
      </c>
      <c r="G2124" s="117" t="e">
        <f t="shared" ref="G2124:G2132" si="1332">SUMIF(FERCJAMFactor,AK2124,JAMValue)</f>
        <v>#VALUE!</v>
      </c>
      <c r="H2124" s="116" t="e">
        <f t="shared" ref="H2124:L2132" si="1333">INDEX(FuncFactorTbl,MATCH($F2124,FuncFactors,0),MATCH(H$8,Functions,0))*$G2124</f>
        <v>#VALUE!</v>
      </c>
      <c r="I2124" s="116" t="e">
        <f t="shared" si="1333"/>
        <v>#VALUE!</v>
      </c>
      <c r="J2124" s="116" t="e">
        <f t="shared" si="1333"/>
        <v>#VALUE!</v>
      </c>
      <c r="K2124" s="116" t="e">
        <f t="shared" si="1333"/>
        <v>#VALUE!</v>
      </c>
      <c r="L2124" s="116" t="e">
        <f t="shared" si="1333"/>
        <v>#VALUE!</v>
      </c>
      <c r="N2124" s="108">
        <v>0.75</v>
      </c>
      <c r="O2124" s="116" t="e">
        <f t="shared" ref="O2124:O2132" si="1334">$H2124*$N2124*$M2124</f>
        <v>#VALUE!</v>
      </c>
      <c r="P2124" s="116" t="e">
        <f t="shared" ref="P2124:P2132" si="1335">$H2124*(1-$N2124)*$M2124</f>
        <v>#VALUE!</v>
      </c>
      <c r="Q2124" s="116" t="e">
        <f t="shared" ref="Q2124:Q2132" si="1336">$H2124*$N2124*(1-$M2124)</f>
        <v>#VALUE!</v>
      </c>
      <c r="R2124" s="116" t="e">
        <f t="shared" ref="R2124:R2132" si="1337">$H2124*(1-$N2124)*(1-$M2124)</f>
        <v>#VALUE!</v>
      </c>
      <c r="S2124" s="108">
        <v>0.75</v>
      </c>
      <c r="T2124" s="116" t="e">
        <f t="shared" ref="T2124:T2132" si="1338">$I2124*$S2124*$M2124</f>
        <v>#VALUE!</v>
      </c>
      <c r="U2124" s="116" t="e">
        <f t="shared" ref="U2124:U2132" si="1339">$I2124*(1-$S2124)*$M2124</f>
        <v>#VALUE!</v>
      </c>
      <c r="V2124" s="116" t="e">
        <f t="shared" ref="V2124:V2132" si="1340">$I2124*$S2124*(1-$M2124)</f>
        <v>#VALUE!</v>
      </c>
      <c r="W2124" s="116" t="e">
        <f t="shared" ref="W2124:W2132" si="1341">$I2124*(1-$S2124)*(1-$M2124)</f>
        <v>#VALUE!</v>
      </c>
      <c r="X2124" s="3" t="str">
        <f>INDEX(DistFuncAllocOptions,ROW(A2124)-ROW($A$92)+1,[4]Inputs!$S$11)</f>
        <v>PLNT</v>
      </c>
      <c r="Y2124" s="116" t="e">
        <f t="shared" ref="Y2124:AC2132" si="1342">INDEX(DistFuncFactorTbl,MATCH($X2124,DistFuncFactors,0),MATCH(Y$91,DistFunctions,0))*$J2124</f>
        <v>#VALUE!</v>
      </c>
      <c r="Z2124" s="116" t="e">
        <f t="shared" si="1342"/>
        <v>#VALUE!</v>
      </c>
      <c r="AA2124" s="116" t="e">
        <f t="shared" si="1342"/>
        <v>#VALUE!</v>
      </c>
      <c r="AB2124" s="116" t="e">
        <f t="shared" si="1342"/>
        <v>#VALUE!</v>
      </c>
      <c r="AC2124" s="116" t="e">
        <f t="shared" si="1342"/>
        <v>#VALUE!</v>
      </c>
      <c r="AD2124" s="117" t="e">
        <f t="shared" ref="AD2124:AD2133" si="1343">ROUND(SUM(-G2124,H2124:L2124),0)</f>
        <v>#VALUE!</v>
      </c>
      <c r="AE2124" s="117" t="e">
        <f t="shared" ref="AE2124:AE2133" si="1344">ROUND(H2124-O2124-P2124-Q2124-R2124,0)</f>
        <v>#VALUE!</v>
      </c>
      <c r="AF2124" s="117" t="e">
        <f t="shared" ref="AF2124:AF2133" si="1345">ROUND(I2124-T2124-U2124-V2124-W2124,0)</f>
        <v>#VALUE!</v>
      </c>
      <c r="AG2124" s="117" t="e">
        <f t="shared" ref="AG2124:AG2133" si="1346">ROUND(J2124-Y2124-Z2124-AA2124-AC2124-AB2124,0)</f>
        <v>#VALUE!</v>
      </c>
      <c r="AH2124" s="116"/>
      <c r="AI2124" t="str">
        <f t="shared" si="1323"/>
        <v>108GP</v>
      </c>
      <c r="AJ2124" t="str">
        <f t="shared" si="1318"/>
        <v>S</v>
      </c>
      <c r="AK2124" t="str">
        <f>IF(ISERROR(MATCH(AI2124&amp;"."&amp;AJ2124,AK$91:AK2123,0)),AI2124&amp;"."&amp;AJ2124,AI2124&amp;"."&amp;AJ2124&amp;COUNTIFS(AI$91:AI2123,AI2124,AJ$91:AJ2123,AJ2124))</f>
        <v>108GP.S</v>
      </c>
    </row>
    <row r="2125" spans="1:37" ht="15" hidden="1">
      <c r="A2125" s="120">
        <f>ROW()</f>
        <v>2125</v>
      </c>
      <c r="B2125" s="120"/>
      <c r="C2125" s="1"/>
      <c r="E2125" s="121" t="s">
        <v>15</v>
      </c>
      <c r="F2125" s="138" t="str">
        <f>INDEX(FuncAllocOptions,ROW(A2125)-ROW($A$92)+1,[4]Inputs!$S$11)</f>
        <v>G-DGP</v>
      </c>
      <c r="G2125" s="117" t="e">
        <f t="shared" si="1332"/>
        <v>#VALUE!</v>
      </c>
      <c r="H2125" s="116" t="e">
        <f t="shared" si="1333"/>
        <v>#VALUE!</v>
      </c>
      <c r="I2125" s="116" t="e">
        <f t="shared" si="1333"/>
        <v>#VALUE!</v>
      </c>
      <c r="J2125" s="116" t="e">
        <f t="shared" si="1333"/>
        <v>#VALUE!</v>
      </c>
      <c r="K2125" s="116" t="e">
        <f t="shared" si="1333"/>
        <v>#VALUE!</v>
      </c>
      <c r="L2125" s="116" t="e">
        <f t="shared" si="1333"/>
        <v>#VALUE!</v>
      </c>
      <c r="N2125" s="108">
        <v>0.75</v>
      </c>
      <c r="O2125" s="116" t="e">
        <f t="shared" si="1334"/>
        <v>#VALUE!</v>
      </c>
      <c r="P2125" s="116" t="e">
        <f t="shared" si="1335"/>
        <v>#VALUE!</v>
      </c>
      <c r="Q2125" s="116" t="e">
        <f t="shared" si="1336"/>
        <v>#VALUE!</v>
      </c>
      <c r="R2125" s="116" t="e">
        <f t="shared" si="1337"/>
        <v>#VALUE!</v>
      </c>
      <c r="S2125" s="108">
        <v>0.75</v>
      </c>
      <c r="T2125" s="116" t="e">
        <f t="shared" si="1338"/>
        <v>#VALUE!</v>
      </c>
      <c r="U2125" s="116" t="e">
        <f t="shared" si="1339"/>
        <v>#VALUE!</v>
      </c>
      <c r="V2125" s="116" t="e">
        <f t="shared" si="1340"/>
        <v>#VALUE!</v>
      </c>
      <c r="W2125" s="116" t="e">
        <f t="shared" si="1341"/>
        <v>#VALUE!</v>
      </c>
      <c r="X2125" s="3" t="str">
        <f>INDEX(DistFuncAllocOptions,ROW(A2125)-ROW($A$92)+1,[4]Inputs!$S$11)</f>
        <v>PLNT</v>
      </c>
      <c r="Y2125" s="116" t="e">
        <f t="shared" si="1342"/>
        <v>#VALUE!</v>
      </c>
      <c r="Z2125" s="116" t="e">
        <f t="shared" si="1342"/>
        <v>#VALUE!</v>
      </c>
      <c r="AA2125" s="116" t="e">
        <f t="shared" si="1342"/>
        <v>#VALUE!</v>
      </c>
      <c r="AB2125" s="116" t="e">
        <f t="shared" si="1342"/>
        <v>#VALUE!</v>
      </c>
      <c r="AC2125" s="116" t="e">
        <f t="shared" si="1342"/>
        <v>#VALUE!</v>
      </c>
      <c r="AD2125" s="117" t="e">
        <f t="shared" si="1343"/>
        <v>#VALUE!</v>
      </c>
      <c r="AE2125" s="117" t="e">
        <f t="shared" si="1344"/>
        <v>#VALUE!</v>
      </c>
      <c r="AF2125" s="117" t="e">
        <f t="shared" si="1345"/>
        <v>#VALUE!</v>
      </c>
      <c r="AG2125" s="117" t="e">
        <f t="shared" si="1346"/>
        <v>#VALUE!</v>
      </c>
      <c r="AH2125" s="116"/>
      <c r="AI2125" t="str">
        <f t="shared" si="1323"/>
        <v>108GP</v>
      </c>
      <c r="AJ2125" t="str">
        <f t="shared" si="1318"/>
        <v>SG</v>
      </c>
      <c r="AK2125" t="str">
        <f>IF(ISERROR(MATCH(AI2125&amp;"."&amp;AJ2125,AK$91:AK2124,0)),AI2125&amp;"."&amp;AJ2125,AI2125&amp;"."&amp;AJ2125&amp;COUNTIFS(AI$91:AI2124,AI2125,AJ$91:AJ2124,AJ2125))</f>
        <v>108GP.SG</v>
      </c>
    </row>
    <row r="2126" spans="1:37" ht="15" hidden="1">
      <c r="A2126" s="120">
        <f>ROW()</f>
        <v>2126</v>
      </c>
      <c r="B2126" s="120"/>
      <c r="C2126" s="1"/>
      <c r="E2126" s="121" t="s">
        <v>15</v>
      </c>
      <c r="F2126" s="138" t="str">
        <f>INDEX(FuncAllocOptions,ROW(A2126)-ROW($A$92)+1,[4]Inputs!$S$11)</f>
        <v>G-DGU</v>
      </c>
      <c r="G2126" s="117" t="e">
        <f t="shared" si="1332"/>
        <v>#VALUE!</v>
      </c>
      <c r="H2126" s="116" t="e">
        <f t="shared" si="1333"/>
        <v>#VALUE!</v>
      </c>
      <c r="I2126" s="116" t="e">
        <f t="shared" si="1333"/>
        <v>#VALUE!</v>
      </c>
      <c r="J2126" s="116" t="e">
        <f t="shared" si="1333"/>
        <v>#VALUE!</v>
      </c>
      <c r="K2126" s="116" t="e">
        <f t="shared" si="1333"/>
        <v>#VALUE!</v>
      </c>
      <c r="L2126" s="116" t="e">
        <f t="shared" si="1333"/>
        <v>#VALUE!</v>
      </c>
      <c r="N2126" s="108">
        <v>0.75</v>
      </c>
      <c r="O2126" s="116" t="e">
        <f t="shared" si="1334"/>
        <v>#VALUE!</v>
      </c>
      <c r="P2126" s="116" t="e">
        <f t="shared" si="1335"/>
        <v>#VALUE!</v>
      </c>
      <c r="Q2126" s="116" t="e">
        <f t="shared" si="1336"/>
        <v>#VALUE!</v>
      </c>
      <c r="R2126" s="116" t="e">
        <f t="shared" si="1337"/>
        <v>#VALUE!</v>
      </c>
      <c r="S2126" s="108">
        <v>0.75</v>
      </c>
      <c r="T2126" s="116" t="e">
        <f t="shared" si="1338"/>
        <v>#VALUE!</v>
      </c>
      <c r="U2126" s="116" t="e">
        <f t="shared" si="1339"/>
        <v>#VALUE!</v>
      </c>
      <c r="V2126" s="116" t="e">
        <f t="shared" si="1340"/>
        <v>#VALUE!</v>
      </c>
      <c r="W2126" s="116" t="e">
        <f t="shared" si="1341"/>
        <v>#VALUE!</v>
      </c>
      <c r="X2126" s="3" t="str">
        <f>INDEX(DistFuncAllocOptions,ROW(A2126)-ROW($A$92)+1,[4]Inputs!$S$11)</f>
        <v>PLNT</v>
      </c>
      <c r="Y2126" s="116" t="e">
        <f t="shared" si="1342"/>
        <v>#VALUE!</v>
      </c>
      <c r="Z2126" s="116" t="e">
        <f t="shared" si="1342"/>
        <v>#VALUE!</v>
      </c>
      <c r="AA2126" s="116" t="e">
        <f t="shared" si="1342"/>
        <v>#VALUE!</v>
      </c>
      <c r="AB2126" s="116" t="e">
        <f t="shared" si="1342"/>
        <v>#VALUE!</v>
      </c>
      <c r="AC2126" s="116" t="e">
        <f t="shared" si="1342"/>
        <v>#VALUE!</v>
      </c>
      <c r="AD2126" s="117" t="e">
        <f t="shared" si="1343"/>
        <v>#VALUE!</v>
      </c>
      <c r="AE2126" s="117" t="e">
        <f t="shared" si="1344"/>
        <v>#VALUE!</v>
      </c>
      <c r="AF2126" s="117" t="e">
        <f t="shared" si="1345"/>
        <v>#VALUE!</v>
      </c>
      <c r="AG2126" s="117" t="e">
        <f t="shared" si="1346"/>
        <v>#VALUE!</v>
      </c>
      <c r="AH2126" s="116"/>
      <c r="AI2126" t="str">
        <f t="shared" si="1323"/>
        <v>108GP</v>
      </c>
      <c r="AJ2126" t="str">
        <f t="shared" si="1318"/>
        <v>SG</v>
      </c>
      <c r="AK2126" t="str">
        <f>IF(ISERROR(MATCH(AI2126&amp;"."&amp;AJ2126,AK$91:AK2125,0)),AI2126&amp;"."&amp;AJ2126,AI2126&amp;"."&amp;AJ2126&amp;COUNTIFS(AI$91:AI2125,AI2126,AJ$91:AJ2125,AJ2126))</f>
        <v>108GP.SG1</v>
      </c>
    </row>
    <row r="2127" spans="1:37" ht="15" hidden="1">
      <c r="A2127" s="120">
        <f>ROW()</f>
        <v>2127</v>
      </c>
      <c r="B2127" s="120"/>
      <c r="C2127" s="1"/>
      <c r="E2127" s="121" t="s">
        <v>15</v>
      </c>
      <c r="F2127" s="138" t="str">
        <f>INDEX(FuncAllocOptions,ROW(A2127)-ROW($A$92)+1,[4]Inputs!$S$11)</f>
        <v>G-SG</v>
      </c>
      <c r="G2127" s="117" t="e">
        <f t="shared" si="1332"/>
        <v>#VALUE!</v>
      </c>
      <c r="H2127" s="116" t="e">
        <f t="shared" si="1333"/>
        <v>#VALUE!</v>
      </c>
      <c r="I2127" s="116" t="e">
        <f t="shared" si="1333"/>
        <v>#VALUE!</v>
      </c>
      <c r="J2127" s="116" t="e">
        <f t="shared" si="1333"/>
        <v>#VALUE!</v>
      </c>
      <c r="K2127" s="116" t="e">
        <f t="shared" si="1333"/>
        <v>#VALUE!</v>
      </c>
      <c r="L2127" s="116" t="e">
        <f t="shared" si="1333"/>
        <v>#VALUE!</v>
      </c>
      <c r="N2127" s="108">
        <v>0.75</v>
      </c>
      <c r="O2127" s="116" t="e">
        <f t="shared" si="1334"/>
        <v>#VALUE!</v>
      </c>
      <c r="P2127" s="116" t="e">
        <f t="shared" si="1335"/>
        <v>#VALUE!</v>
      </c>
      <c r="Q2127" s="116" t="e">
        <f t="shared" si="1336"/>
        <v>#VALUE!</v>
      </c>
      <c r="R2127" s="116" t="e">
        <f t="shared" si="1337"/>
        <v>#VALUE!</v>
      </c>
      <c r="S2127" s="108">
        <v>0.75</v>
      </c>
      <c r="T2127" s="116" t="e">
        <f t="shared" si="1338"/>
        <v>#VALUE!</v>
      </c>
      <c r="U2127" s="116" t="e">
        <f t="shared" si="1339"/>
        <v>#VALUE!</v>
      </c>
      <c r="V2127" s="116" t="e">
        <f t="shared" si="1340"/>
        <v>#VALUE!</v>
      </c>
      <c r="W2127" s="116" t="e">
        <f t="shared" si="1341"/>
        <v>#VALUE!</v>
      </c>
      <c r="X2127" s="3" t="str">
        <f>INDEX(DistFuncAllocOptions,ROW(A2127)-ROW($A$92)+1,[4]Inputs!$S$11)</f>
        <v>PLNT</v>
      </c>
      <c r="Y2127" s="116" t="e">
        <f t="shared" si="1342"/>
        <v>#VALUE!</v>
      </c>
      <c r="Z2127" s="116" t="e">
        <f t="shared" si="1342"/>
        <v>#VALUE!</v>
      </c>
      <c r="AA2127" s="116" t="e">
        <f t="shared" si="1342"/>
        <v>#VALUE!</v>
      </c>
      <c r="AB2127" s="116" t="e">
        <f t="shared" si="1342"/>
        <v>#VALUE!</v>
      </c>
      <c r="AC2127" s="116" t="e">
        <f t="shared" si="1342"/>
        <v>#VALUE!</v>
      </c>
      <c r="AD2127" s="117" t="e">
        <f t="shared" si="1343"/>
        <v>#VALUE!</v>
      </c>
      <c r="AE2127" s="117" t="e">
        <f t="shared" si="1344"/>
        <v>#VALUE!</v>
      </c>
      <c r="AF2127" s="117" t="e">
        <f t="shared" si="1345"/>
        <v>#VALUE!</v>
      </c>
      <c r="AG2127" s="117" t="e">
        <f t="shared" si="1346"/>
        <v>#VALUE!</v>
      </c>
      <c r="AH2127" s="116"/>
      <c r="AI2127" t="str">
        <f t="shared" si="1323"/>
        <v>108GP</v>
      </c>
      <c r="AJ2127" t="str">
        <f t="shared" si="1318"/>
        <v>SG</v>
      </c>
      <c r="AK2127" t="str">
        <f>IF(ISERROR(MATCH(AI2127&amp;"."&amp;AJ2127,AK$91:AK2126,0)),AI2127&amp;"."&amp;AJ2127,AI2127&amp;"."&amp;AJ2127&amp;COUNTIFS(AI$91:AI2126,AI2127,AJ$91:AJ2126,AJ2127))</f>
        <v>108GP.SG2</v>
      </c>
    </row>
    <row r="2128" spans="1:37" ht="15" hidden="1">
      <c r="A2128" s="120">
        <f>ROW()</f>
        <v>2128</v>
      </c>
      <c r="B2128" s="120"/>
      <c r="C2128" s="1"/>
      <c r="E2128" s="121" t="s">
        <v>155</v>
      </c>
      <c r="F2128" s="138" t="str">
        <f>INDEX(FuncAllocOptions,ROW(A2128)-ROW($A$92)+1,[4]Inputs!$S$11)</f>
        <v>CUST</v>
      </c>
      <c r="G2128" s="117" t="e">
        <f t="shared" si="1332"/>
        <v>#VALUE!</v>
      </c>
      <c r="H2128" s="116" t="e">
        <f t="shared" si="1333"/>
        <v>#VALUE!</v>
      </c>
      <c r="I2128" s="116" t="e">
        <f t="shared" si="1333"/>
        <v>#VALUE!</v>
      </c>
      <c r="J2128" s="116" t="e">
        <f t="shared" si="1333"/>
        <v>#VALUE!</v>
      </c>
      <c r="K2128" s="116" t="e">
        <f t="shared" si="1333"/>
        <v>#VALUE!</v>
      </c>
      <c r="L2128" s="116" t="e">
        <f t="shared" si="1333"/>
        <v>#VALUE!</v>
      </c>
      <c r="N2128" s="108">
        <v>0.75</v>
      </c>
      <c r="O2128" s="116" t="e">
        <f t="shared" si="1334"/>
        <v>#VALUE!</v>
      </c>
      <c r="P2128" s="116" t="e">
        <f t="shared" si="1335"/>
        <v>#VALUE!</v>
      </c>
      <c r="Q2128" s="116" t="e">
        <f t="shared" si="1336"/>
        <v>#VALUE!</v>
      </c>
      <c r="R2128" s="116" t="e">
        <f t="shared" si="1337"/>
        <v>#VALUE!</v>
      </c>
      <c r="S2128" s="108">
        <v>0.75</v>
      </c>
      <c r="T2128" s="116" t="e">
        <f t="shared" si="1338"/>
        <v>#VALUE!</v>
      </c>
      <c r="U2128" s="116" t="e">
        <f t="shared" si="1339"/>
        <v>#VALUE!</v>
      </c>
      <c r="V2128" s="116" t="e">
        <f t="shared" si="1340"/>
        <v>#VALUE!</v>
      </c>
      <c r="W2128" s="116" t="e">
        <f t="shared" si="1341"/>
        <v>#VALUE!</v>
      </c>
      <c r="X2128" s="3" t="str">
        <f>INDEX(DistFuncAllocOptions,ROW(A2128)-ROW($A$92)+1,[4]Inputs!$S$11)</f>
        <v>CUST</v>
      </c>
      <c r="Y2128" s="116" t="e">
        <f t="shared" si="1342"/>
        <v>#VALUE!</v>
      </c>
      <c r="Z2128" s="116" t="e">
        <f t="shared" si="1342"/>
        <v>#VALUE!</v>
      </c>
      <c r="AA2128" s="116" t="e">
        <f t="shared" si="1342"/>
        <v>#VALUE!</v>
      </c>
      <c r="AB2128" s="116" t="e">
        <f t="shared" si="1342"/>
        <v>#VALUE!</v>
      </c>
      <c r="AC2128" s="116" t="e">
        <f t="shared" si="1342"/>
        <v>#VALUE!</v>
      </c>
      <c r="AD2128" s="117" t="e">
        <f t="shared" si="1343"/>
        <v>#VALUE!</v>
      </c>
      <c r="AE2128" s="117" t="e">
        <f t="shared" si="1344"/>
        <v>#VALUE!</v>
      </c>
      <c r="AF2128" s="117" t="e">
        <f t="shared" si="1345"/>
        <v>#VALUE!</v>
      </c>
      <c r="AG2128" s="117" t="e">
        <f t="shared" si="1346"/>
        <v>#VALUE!</v>
      </c>
      <c r="AH2128" s="116"/>
      <c r="AI2128" t="str">
        <f t="shared" si="1323"/>
        <v>108GP</v>
      </c>
      <c r="AJ2128" t="str">
        <f t="shared" si="1318"/>
        <v>CN</v>
      </c>
      <c r="AK2128" t="str">
        <f>IF(ISERROR(MATCH(AI2128&amp;"."&amp;AJ2128,AK$91:AK2127,0)),AI2128&amp;"."&amp;AJ2128,AI2128&amp;"."&amp;AJ2128&amp;COUNTIFS(AI$91:AI2127,AI2128,AJ$91:AJ2127,AJ2128))</f>
        <v>108GP.CN</v>
      </c>
    </row>
    <row r="2129" spans="1:37" ht="15" hidden="1">
      <c r="A2129" s="120">
        <f>ROW()</f>
        <v>2129</v>
      </c>
      <c r="B2129" s="120"/>
      <c r="C2129" s="1"/>
      <c r="E2129" s="121" t="s">
        <v>136</v>
      </c>
      <c r="F2129" s="138" t="str">
        <f>INDEX(FuncAllocOptions,ROW(A2129)-ROW($A$92)+1,[4]Inputs!$S$11)</f>
        <v>PTD</v>
      </c>
      <c r="G2129" s="117" t="e">
        <f t="shared" si="1332"/>
        <v>#VALUE!</v>
      </c>
      <c r="H2129" s="116" t="e">
        <f t="shared" si="1333"/>
        <v>#VALUE!</v>
      </c>
      <c r="I2129" s="116" t="e">
        <f t="shared" si="1333"/>
        <v>#VALUE!</v>
      </c>
      <c r="J2129" s="116" t="e">
        <f t="shared" si="1333"/>
        <v>#VALUE!</v>
      </c>
      <c r="K2129" s="116" t="e">
        <f t="shared" si="1333"/>
        <v>#VALUE!</v>
      </c>
      <c r="L2129" s="116" t="e">
        <f t="shared" si="1333"/>
        <v>#VALUE!</v>
      </c>
      <c r="N2129" s="108">
        <v>0.75</v>
      </c>
      <c r="O2129" s="116" t="e">
        <f t="shared" si="1334"/>
        <v>#VALUE!</v>
      </c>
      <c r="P2129" s="116" t="e">
        <f t="shared" si="1335"/>
        <v>#VALUE!</v>
      </c>
      <c r="Q2129" s="116" t="e">
        <f t="shared" si="1336"/>
        <v>#VALUE!</v>
      </c>
      <c r="R2129" s="116" t="e">
        <f t="shared" si="1337"/>
        <v>#VALUE!</v>
      </c>
      <c r="S2129" s="108">
        <v>0.75</v>
      </c>
      <c r="T2129" s="116" t="e">
        <f t="shared" si="1338"/>
        <v>#VALUE!</v>
      </c>
      <c r="U2129" s="116" t="e">
        <f t="shared" si="1339"/>
        <v>#VALUE!</v>
      </c>
      <c r="V2129" s="116" t="e">
        <f t="shared" si="1340"/>
        <v>#VALUE!</v>
      </c>
      <c r="W2129" s="116" t="e">
        <f t="shared" si="1341"/>
        <v>#VALUE!</v>
      </c>
      <c r="X2129" s="3" t="str">
        <f>INDEX(DistFuncAllocOptions,ROW(A2129)-ROW($A$92)+1,[4]Inputs!$S$11)</f>
        <v>PLNT</v>
      </c>
      <c r="Y2129" s="116" t="e">
        <f t="shared" si="1342"/>
        <v>#VALUE!</v>
      </c>
      <c r="Z2129" s="116" t="e">
        <f t="shared" si="1342"/>
        <v>#VALUE!</v>
      </c>
      <c r="AA2129" s="116" t="e">
        <f t="shared" si="1342"/>
        <v>#VALUE!</v>
      </c>
      <c r="AB2129" s="116" t="e">
        <f t="shared" si="1342"/>
        <v>#VALUE!</v>
      </c>
      <c r="AC2129" s="116" t="e">
        <f t="shared" si="1342"/>
        <v>#VALUE!</v>
      </c>
      <c r="AD2129" s="117" t="e">
        <f t="shared" si="1343"/>
        <v>#VALUE!</v>
      </c>
      <c r="AE2129" s="117" t="e">
        <f t="shared" si="1344"/>
        <v>#VALUE!</v>
      </c>
      <c r="AF2129" s="117" t="e">
        <f t="shared" si="1345"/>
        <v>#VALUE!</v>
      </c>
      <c r="AG2129" s="117" t="e">
        <f t="shared" si="1346"/>
        <v>#VALUE!</v>
      </c>
      <c r="AH2129" s="116"/>
      <c r="AI2129" t="str">
        <f t="shared" si="1323"/>
        <v>108GP</v>
      </c>
      <c r="AJ2129" t="str">
        <f t="shared" si="1318"/>
        <v>SO</v>
      </c>
      <c r="AK2129" t="str">
        <f>IF(ISERROR(MATCH(AI2129&amp;"."&amp;AJ2129,AK$91:AK2128,0)),AI2129&amp;"."&amp;AJ2129,AI2129&amp;"."&amp;AJ2129&amp;COUNTIFS(AI$91:AI2128,AI2129,AJ$91:AJ2128,AJ2129))</f>
        <v>108GP.SO</v>
      </c>
    </row>
    <row r="2130" spans="1:37" ht="15" hidden="1">
      <c r="A2130" s="120">
        <f>ROW()</f>
        <v>2130</v>
      </c>
      <c r="B2130" s="120"/>
      <c r="C2130" s="1"/>
      <c r="E2130" s="121" t="s">
        <v>16</v>
      </c>
      <c r="F2130" s="138" t="str">
        <f>INDEX(FuncAllocOptions,ROW(A2130)-ROW($A$92)+1,[4]Inputs!$S$11)</f>
        <v>P</v>
      </c>
      <c r="G2130" s="117" t="e">
        <f t="shared" si="1332"/>
        <v>#VALUE!</v>
      </c>
      <c r="H2130" s="116" t="e">
        <f t="shared" si="1333"/>
        <v>#VALUE!</v>
      </c>
      <c r="I2130" s="116" t="e">
        <f t="shared" si="1333"/>
        <v>#VALUE!</v>
      </c>
      <c r="J2130" s="116" t="e">
        <f t="shared" si="1333"/>
        <v>#VALUE!</v>
      </c>
      <c r="K2130" s="116" t="e">
        <f t="shared" si="1333"/>
        <v>#VALUE!</v>
      </c>
      <c r="L2130" s="116" t="e">
        <f t="shared" si="1333"/>
        <v>#VALUE!</v>
      </c>
      <c r="N2130" s="108">
        <v>0</v>
      </c>
      <c r="O2130" s="116" t="e">
        <f t="shared" si="1334"/>
        <v>#VALUE!</v>
      </c>
      <c r="P2130" s="116" t="e">
        <f t="shared" si="1335"/>
        <v>#VALUE!</v>
      </c>
      <c r="Q2130" s="116" t="e">
        <f t="shared" si="1336"/>
        <v>#VALUE!</v>
      </c>
      <c r="R2130" s="116" t="e">
        <f t="shared" si="1337"/>
        <v>#VALUE!</v>
      </c>
      <c r="S2130" s="108">
        <v>0</v>
      </c>
      <c r="T2130" s="116" t="e">
        <f t="shared" si="1338"/>
        <v>#VALUE!</v>
      </c>
      <c r="U2130" s="116" t="e">
        <f t="shared" si="1339"/>
        <v>#VALUE!</v>
      </c>
      <c r="V2130" s="116" t="e">
        <f t="shared" si="1340"/>
        <v>#VALUE!</v>
      </c>
      <c r="W2130" s="116" t="e">
        <f t="shared" si="1341"/>
        <v>#VALUE!</v>
      </c>
      <c r="X2130" s="3" t="str">
        <f>INDEX(DistFuncAllocOptions,ROW(A2130)-ROW($A$92)+1,[4]Inputs!$S$11)</f>
        <v>PLNT</v>
      </c>
      <c r="Y2130" s="116" t="e">
        <f t="shared" si="1342"/>
        <v>#VALUE!</v>
      </c>
      <c r="Z2130" s="116" t="e">
        <f t="shared" si="1342"/>
        <v>#VALUE!</v>
      </c>
      <c r="AA2130" s="116" t="e">
        <f t="shared" si="1342"/>
        <v>#VALUE!</v>
      </c>
      <c r="AB2130" s="116" t="e">
        <f t="shared" si="1342"/>
        <v>#VALUE!</v>
      </c>
      <c r="AC2130" s="116" t="e">
        <f t="shared" si="1342"/>
        <v>#VALUE!</v>
      </c>
      <c r="AD2130" s="117" t="e">
        <f t="shared" si="1343"/>
        <v>#VALUE!</v>
      </c>
      <c r="AE2130" s="117" t="e">
        <f t="shared" si="1344"/>
        <v>#VALUE!</v>
      </c>
      <c r="AF2130" s="117" t="e">
        <f t="shared" si="1345"/>
        <v>#VALUE!</v>
      </c>
      <c r="AG2130" s="117" t="e">
        <f t="shared" si="1346"/>
        <v>#VALUE!</v>
      </c>
      <c r="AH2130" s="116"/>
      <c r="AI2130" t="str">
        <f t="shared" si="1323"/>
        <v>108GP</v>
      </c>
      <c r="AJ2130" t="str">
        <f t="shared" si="1318"/>
        <v>SE</v>
      </c>
      <c r="AK2130" t="str">
        <f>IF(ISERROR(MATCH(AI2130&amp;"."&amp;AJ2130,AK$91:AK2129,0)),AI2130&amp;"."&amp;AJ2130,AI2130&amp;"."&amp;AJ2130&amp;COUNTIFS(AI$91:AI2129,AI2130,AJ$91:AJ2129,AJ2130))</f>
        <v>108GP.SE</v>
      </c>
    </row>
    <row r="2131" spans="1:37" ht="15" hidden="1">
      <c r="A2131" s="120">
        <f>ROW()</f>
        <v>2131</v>
      </c>
      <c r="B2131" s="120"/>
      <c r="C2131" s="1"/>
      <c r="E2131" s="121" t="s">
        <v>15</v>
      </c>
      <c r="F2131" s="138" t="str">
        <f>INDEX(FuncAllocOptions,ROW(A2131)-ROW($A$92)+1,[4]Inputs!$S$11)</f>
        <v>G-SG</v>
      </c>
      <c r="G2131" s="117" t="e">
        <f t="shared" si="1332"/>
        <v>#VALUE!</v>
      </c>
      <c r="H2131" s="116" t="e">
        <f t="shared" si="1333"/>
        <v>#VALUE!</v>
      </c>
      <c r="I2131" s="116" t="e">
        <f t="shared" si="1333"/>
        <v>#VALUE!</v>
      </c>
      <c r="J2131" s="116" t="e">
        <f t="shared" si="1333"/>
        <v>#VALUE!</v>
      </c>
      <c r="K2131" s="116" t="e">
        <f t="shared" si="1333"/>
        <v>#VALUE!</v>
      </c>
      <c r="L2131" s="116" t="e">
        <f t="shared" si="1333"/>
        <v>#VALUE!</v>
      </c>
      <c r="N2131" s="108">
        <v>0.75</v>
      </c>
      <c r="O2131" s="116" t="e">
        <f t="shared" si="1334"/>
        <v>#VALUE!</v>
      </c>
      <c r="P2131" s="116" t="e">
        <f t="shared" si="1335"/>
        <v>#VALUE!</v>
      </c>
      <c r="Q2131" s="116" t="e">
        <f t="shared" si="1336"/>
        <v>#VALUE!</v>
      </c>
      <c r="R2131" s="116" t="e">
        <f t="shared" si="1337"/>
        <v>#VALUE!</v>
      </c>
      <c r="S2131" s="108">
        <v>0.75</v>
      </c>
      <c r="T2131" s="116" t="e">
        <f t="shared" si="1338"/>
        <v>#VALUE!</v>
      </c>
      <c r="U2131" s="116" t="e">
        <f t="shared" si="1339"/>
        <v>#VALUE!</v>
      </c>
      <c r="V2131" s="116" t="e">
        <f t="shared" si="1340"/>
        <v>#VALUE!</v>
      </c>
      <c r="W2131" s="116" t="e">
        <f t="shared" si="1341"/>
        <v>#VALUE!</v>
      </c>
      <c r="X2131" s="3" t="str">
        <f>INDEX(DistFuncAllocOptions,ROW(A2131)-ROW($A$92)+1,[4]Inputs!$S$11)</f>
        <v>PLNT</v>
      </c>
      <c r="Y2131" s="116" t="e">
        <f t="shared" si="1342"/>
        <v>#VALUE!</v>
      </c>
      <c r="Z2131" s="116" t="e">
        <f t="shared" si="1342"/>
        <v>#VALUE!</v>
      </c>
      <c r="AA2131" s="116" t="e">
        <f t="shared" si="1342"/>
        <v>#VALUE!</v>
      </c>
      <c r="AB2131" s="116" t="e">
        <f t="shared" si="1342"/>
        <v>#VALUE!</v>
      </c>
      <c r="AC2131" s="116" t="e">
        <f t="shared" si="1342"/>
        <v>#VALUE!</v>
      </c>
      <c r="AD2131" s="117" t="e">
        <f t="shared" si="1343"/>
        <v>#VALUE!</v>
      </c>
      <c r="AE2131" s="117" t="e">
        <f t="shared" si="1344"/>
        <v>#VALUE!</v>
      </c>
      <c r="AF2131" s="117" t="e">
        <f t="shared" si="1345"/>
        <v>#VALUE!</v>
      </c>
      <c r="AG2131" s="117" t="e">
        <f t="shared" si="1346"/>
        <v>#VALUE!</v>
      </c>
      <c r="AH2131" s="116"/>
      <c r="AI2131" t="str">
        <f t="shared" si="1323"/>
        <v>108GP</v>
      </c>
      <c r="AJ2131" t="str">
        <f t="shared" si="1318"/>
        <v>SG</v>
      </c>
      <c r="AK2131" t="str">
        <f>IF(ISERROR(MATCH(AI2131&amp;"."&amp;AJ2131,AK$91:AK2130,0)),AI2131&amp;"."&amp;AJ2131,AI2131&amp;"."&amp;AJ2131&amp;COUNTIFS(AI$91:AI2130,AI2131,AJ$91:AJ2130,AJ2131))</f>
        <v>108GP.SG3</v>
      </c>
    </row>
    <row r="2132" spans="1:37" ht="15" hidden="1">
      <c r="A2132" s="120">
        <f>ROW()</f>
        <v>2132</v>
      </c>
      <c r="B2132" s="120"/>
      <c r="C2132" s="1"/>
      <c r="E2132" s="121" t="s">
        <v>15</v>
      </c>
      <c r="F2132" s="138" t="str">
        <f>INDEX(FuncAllocOptions,ROW(A2132)-ROW($A$92)+1,[4]Inputs!$S$11)</f>
        <v>G-SG</v>
      </c>
      <c r="G2132" s="133" t="e">
        <f t="shared" si="1332"/>
        <v>#VALUE!</v>
      </c>
      <c r="H2132" s="139" t="e">
        <f t="shared" si="1333"/>
        <v>#VALUE!</v>
      </c>
      <c r="I2132" s="139" t="e">
        <f t="shared" si="1333"/>
        <v>#VALUE!</v>
      </c>
      <c r="J2132" s="139" t="e">
        <f t="shared" si="1333"/>
        <v>#VALUE!</v>
      </c>
      <c r="K2132" s="139" t="e">
        <f t="shared" si="1333"/>
        <v>#VALUE!</v>
      </c>
      <c r="L2132" s="139" t="e">
        <f t="shared" si="1333"/>
        <v>#VALUE!</v>
      </c>
      <c r="N2132" s="108">
        <v>0.75</v>
      </c>
      <c r="O2132" s="116" t="e">
        <f t="shared" si="1334"/>
        <v>#VALUE!</v>
      </c>
      <c r="P2132" s="116" t="e">
        <f t="shared" si="1335"/>
        <v>#VALUE!</v>
      </c>
      <c r="Q2132" s="116" t="e">
        <f t="shared" si="1336"/>
        <v>#VALUE!</v>
      </c>
      <c r="R2132" s="116" t="e">
        <f t="shared" si="1337"/>
        <v>#VALUE!</v>
      </c>
      <c r="S2132" s="108">
        <v>0.75</v>
      </c>
      <c r="T2132" s="116" t="e">
        <f t="shared" si="1338"/>
        <v>#VALUE!</v>
      </c>
      <c r="U2132" s="116" t="e">
        <f t="shared" si="1339"/>
        <v>#VALUE!</v>
      </c>
      <c r="V2132" s="116" t="e">
        <f t="shared" si="1340"/>
        <v>#VALUE!</v>
      </c>
      <c r="W2132" s="116" t="e">
        <f t="shared" si="1341"/>
        <v>#VALUE!</v>
      </c>
      <c r="X2132" s="3" t="str">
        <f>INDEX(DistFuncAllocOptions,ROW(A2132)-ROW($A$92)+1,[4]Inputs!$S$11)</f>
        <v>PLNT</v>
      </c>
      <c r="Y2132" s="116" t="e">
        <f t="shared" si="1342"/>
        <v>#VALUE!</v>
      </c>
      <c r="Z2132" s="116" t="e">
        <f t="shared" si="1342"/>
        <v>#VALUE!</v>
      </c>
      <c r="AA2132" s="116" t="e">
        <f t="shared" si="1342"/>
        <v>#VALUE!</v>
      </c>
      <c r="AB2132" s="116" t="e">
        <f t="shared" si="1342"/>
        <v>#VALUE!</v>
      </c>
      <c r="AC2132" s="116" t="e">
        <f t="shared" si="1342"/>
        <v>#VALUE!</v>
      </c>
      <c r="AD2132" s="117" t="e">
        <f t="shared" si="1343"/>
        <v>#VALUE!</v>
      </c>
      <c r="AE2132" s="117" t="e">
        <f t="shared" si="1344"/>
        <v>#VALUE!</v>
      </c>
      <c r="AF2132" s="117" t="e">
        <f t="shared" si="1345"/>
        <v>#VALUE!</v>
      </c>
      <c r="AG2132" s="117" t="e">
        <f t="shared" si="1346"/>
        <v>#VALUE!</v>
      </c>
      <c r="AH2132" s="116"/>
      <c r="AI2132" t="str">
        <f t="shared" si="1323"/>
        <v>108GP</v>
      </c>
      <c r="AJ2132" t="str">
        <f t="shared" si="1318"/>
        <v>SG</v>
      </c>
      <c r="AK2132" t="str">
        <f>IF(ISERROR(MATCH(AI2132&amp;"."&amp;AJ2132,AK$91:AK2131,0)),AI2132&amp;"."&amp;AJ2132,AI2132&amp;"."&amp;AJ2132&amp;COUNTIFS(AI$91:AI2131,AI2132,AJ$91:AJ2131,AJ2132))</f>
        <v>108GP.SG4</v>
      </c>
    </row>
    <row r="2133" spans="1:37" ht="15" hidden="1">
      <c r="A2133" s="120">
        <f>ROW()</f>
        <v>2133</v>
      </c>
      <c r="B2133" s="120"/>
      <c r="C2133" s="1"/>
      <c r="E2133" s="121"/>
      <c r="F2133" s="138"/>
      <c r="G2133" s="117" t="e">
        <f t="shared" ref="G2133:L2133" si="1347">SUM(G2124:G2132)</f>
        <v>#VALUE!</v>
      </c>
      <c r="H2133" s="116" t="e">
        <f t="shared" si="1347"/>
        <v>#VALUE!</v>
      </c>
      <c r="I2133" s="116" t="e">
        <f t="shared" si="1347"/>
        <v>#VALUE!</v>
      </c>
      <c r="J2133" s="116" t="e">
        <f t="shared" si="1347"/>
        <v>#VALUE!</v>
      </c>
      <c r="K2133" s="116" t="e">
        <f t="shared" si="1347"/>
        <v>#VALUE!</v>
      </c>
      <c r="L2133" s="116" t="e">
        <f t="shared" si="1347"/>
        <v>#VALUE!</v>
      </c>
      <c r="O2133" s="116" t="e">
        <f>SUM(O2124:O2132)</f>
        <v>#VALUE!</v>
      </c>
      <c r="P2133" s="116" t="e">
        <f>SUM(P2124:P2132)</f>
        <v>#VALUE!</v>
      </c>
      <c r="Q2133" s="116" t="e">
        <f>SUM(Q2124:Q2132)</f>
        <v>#VALUE!</v>
      </c>
      <c r="R2133" s="116" t="e">
        <f>SUM(R2124:R2132)</f>
        <v>#VALUE!</v>
      </c>
      <c r="T2133" s="116" t="e">
        <f>SUM(T2124:T2132)</f>
        <v>#VALUE!</v>
      </c>
      <c r="U2133" s="116" t="e">
        <f>SUM(U2124:U2132)</f>
        <v>#VALUE!</v>
      </c>
      <c r="V2133" s="116" t="e">
        <f>SUM(V2124:V2132)</f>
        <v>#VALUE!</v>
      </c>
      <c r="W2133" s="116" t="e">
        <f>SUM(W2124:W2132)</f>
        <v>#VALUE!</v>
      </c>
      <c r="X2133" s="3"/>
      <c r="Y2133" s="116" t="e">
        <f>SUM(Y2124:Y2132)</f>
        <v>#VALUE!</v>
      </c>
      <c r="Z2133" s="116" t="e">
        <f>SUM(Z2124:Z2132)</f>
        <v>#VALUE!</v>
      </c>
      <c r="AA2133" s="116" t="e">
        <f>SUM(AA2124:AA2132)</f>
        <v>#VALUE!</v>
      </c>
      <c r="AB2133" s="116" t="e">
        <f>SUM(AB2124:AB2132)</f>
        <v>#VALUE!</v>
      </c>
      <c r="AC2133" s="116" t="e">
        <f>SUM(AC2124:AC2132)</f>
        <v>#VALUE!</v>
      </c>
      <c r="AD2133" s="117" t="e">
        <f t="shared" si="1343"/>
        <v>#VALUE!</v>
      </c>
      <c r="AE2133" s="117" t="e">
        <f t="shared" si="1344"/>
        <v>#VALUE!</v>
      </c>
      <c r="AF2133" s="117" t="e">
        <f t="shared" si="1345"/>
        <v>#VALUE!</v>
      </c>
      <c r="AG2133" s="117" t="e">
        <f t="shared" si="1346"/>
        <v>#VALUE!</v>
      </c>
      <c r="AH2133" s="116"/>
      <c r="AI2133" t="str">
        <f t="shared" si="1323"/>
        <v>108GP</v>
      </c>
      <c r="AJ2133" t="str">
        <f t="shared" si="1318"/>
        <v>NA</v>
      </c>
      <c r="AK2133" t="str">
        <f>IF(ISERROR(MATCH(AI2133&amp;"."&amp;AJ2133,AK$91:AK2132,0)),AI2133&amp;"."&amp;AJ2133,AI2133&amp;"."&amp;AJ2133&amp;COUNTIFS(AI$91:AI2132,AI2133,AJ$91:AJ2132,AJ2133))</f>
        <v>108GP.NA1</v>
      </c>
    </row>
    <row r="2134" spans="1:37" ht="15" hidden="1">
      <c r="A2134" s="120">
        <f>ROW()</f>
        <v>2134</v>
      </c>
      <c r="B2134" s="120"/>
      <c r="C2134" s="1"/>
      <c r="E2134" s="121"/>
      <c r="F2134" s="138"/>
      <c r="G2134" s="119"/>
      <c r="X2134" s="3"/>
      <c r="AD2134" s="119"/>
      <c r="AE2134" s="119"/>
      <c r="AF2134" s="119"/>
      <c r="AG2134" s="119"/>
      <c r="AI2134" t="str">
        <f t="shared" si="1323"/>
        <v>108GP</v>
      </c>
      <c r="AJ2134" t="str">
        <f t="shared" si="1318"/>
        <v>NA</v>
      </c>
      <c r="AK2134" t="str">
        <f>IF(ISERROR(MATCH(AI2134&amp;"."&amp;AJ2134,AK$91:AK2133,0)),AI2134&amp;"."&amp;AJ2134,AI2134&amp;"."&amp;AJ2134&amp;COUNTIFS(AI$91:AI2133,AI2134,AJ$91:AJ2133,AJ2134))</f>
        <v>108GP.NA2</v>
      </c>
    </row>
    <row r="2135" spans="1:37" ht="15" hidden="1">
      <c r="A2135" s="120">
        <f>ROW()</f>
        <v>2135</v>
      </c>
      <c r="B2135" s="120"/>
      <c r="C2135" s="1"/>
      <c r="E2135" s="121"/>
      <c r="F2135" s="138"/>
      <c r="G2135" s="119"/>
      <c r="X2135" s="3"/>
      <c r="AD2135" s="119"/>
      <c r="AE2135" s="119"/>
      <c r="AF2135" s="119"/>
      <c r="AG2135" s="119"/>
      <c r="AI2135" t="str">
        <f t="shared" si="1323"/>
        <v>108GP</v>
      </c>
      <c r="AJ2135" t="str">
        <f t="shared" si="1318"/>
        <v>NA</v>
      </c>
      <c r="AK2135" t="str">
        <f>IF(ISERROR(MATCH(AI2135&amp;"."&amp;AJ2135,AK$91:AK2134,0)),AI2135&amp;"."&amp;AJ2135,AI2135&amp;"."&amp;AJ2135&amp;COUNTIFS(AI$91:AI2134,AI2135,AJ$91:AJ2134,AJ2135))</f>
        <v>108GP.NA3</v>
      </c>
    </row>
    <row r="2136" spans="1:37" ht="15" hidden="1">
      <c r="A2136" s="120">
        <f>ROW()</f>
        <v>2136</v>
      </c>
      <c r="B2136" s="120"/>
      <c r="C2136" s="1" t="s">
        <v>206</v>
      </c>
      <c r="D2136" s="2" t="s">
        <v>688</v>
      </c>
      <c r="E2136" s="121"/>
      <c r="F2136" s="138"/>
      <c r="G2136" s="119"/>
      <c r="X2136" s="3"/>
      <c r="AD2136" s="119"/>
      <c r="AE2136" s="119"/>
      <c r="AF2136" s="119"/>
      <c r="AG2136" s="119"/>
      <c r="AI2136" t="str">
        <f t="shared" si="1323"/>
        <v>108MP</v>
      </c>
      <c r="AJ2136" t="str">
        <f t="shared" si="1318"/>
        <v>NA</v>
      </c>
      <c r="AK2136" t="str">
        <f>IF(ISERROR(MATCH(AI2136&amp;"."&amp;AJ2136,AK$91:AK2135,0)),AI2136&amp;"."&amp;AJ2136,AI2136&amp;"."&amp;AJ2136&amp;COUNTIFS(AI$91:AI2135,AI2136,AJ$91:AJ2135,AJ2136))</f>
        <v>108MP.NA</v>
      </c>
    </row>
    <row r="2137" spans="1:37" ht="15" hidden="1">
      <c r="A2137" s="120">
        <f>ROW()</f>
        <v>2137</v>
      </c>
      <c r="B2137" s="120"/>
      <c r="C2137" s="1"/>
      <c r="E2137" s="121" t="s">
        <v>12</v>
      </c>
      <c r="F2137" s="138" t="str">
        <f>INDEX(FuncAllocOptions,ROW(A2137)-ROW($A$92)+1,[4]Inputs!$S$11)</f>
        <v>P</v>
      </c>
      <c r="G2137" s="117" t="e">
        <f>SUMIF(FERCJAMFactor,AK2137,JAMValue)</f>
        <v>#VALUE!</v>
      </c>
      <c r="H2137" s="116" t="e">
        <f t="shared" ref="H2137:L2139" si="1348">INDEX(FuncFactorTbl,MATCH($F2137,FuncFactors,0),MATCH(H$8,Functions,0))*$G2137</f>
        <v>#VALUE!</v>
      </c>
      <c r="I2137" s="116" t="e">
        <f t="shared" si="1348"/>
        <v>#VALUE!</v>
      </c>
      <c r="J2137" s="116" t="e">
        <f t="shared" si="1348"/>
        <v>#VALUE!</v>
      </c>
      <c r="K2137" s="116" t="e">
        <f t="shared" si="1348"/>
        <v>#VALUE!</v>
      </c>
      <c r="L2137" s="116" t="e">
        <f t="shared" si="1348"/>
        <v>#VALUE!</v>
      </c>
      <c r="N2137" s="108">
        <v>0</v>
      </c>
      <c r="O2137" s="116" t="e">
        <f>$H2137*$N2137*$M2137</f>
        <v>#VALUE!</v>
      </c>
      <c r="P2137" s="116" t="e">
        <f>$H2137*(1-$N2137)*$M2137</f>
        <v>#VALUE!</v>
      </c>
      <c r="Q2137" s="116" t="e">
        <f>$H2137*$N2137*(1-$M2137)</f>
        <v>#VALUE!</v>
      </c>
      <c r="R2137" s="116" t="e">
        <f>$H2137*(1-$N2137)*(1-$M2137)</f>
        <v>#VALUE!</v>
      </c>
      <c r="S2137" s="108">
        <v>0</v>
      </c>
      <c r="T2137" s="116" t="e">
        <f>$I2137*$S2137*$M2137</f>
        <v>#VALUE!</v>
      </c>
      <c r="U2137" s="116" t="e">
        <f>$I2137*(1-$S2137)*$M2137</f>
        <v>#VALUE!</v>
      </c>
      <c r="V2137" s="116" t="e">
        <f>$I2137*$S2137*(1-$M2137)</f>
        <v>#VALUE!</v>
      </c>
      <c r="W2137" s="116" t="e">
        <f>$I2137*(1-$S2137)*(1-$M2137)</f>
        <v>#VALUE!</v>
      </c>
      <c r="X2137" s="3"/>
      <c r="AD2137" s="117" t="e">
        <f>ROUND(SUM(-G2137,H2137:L2137),0)</f>
        <v>#VALUE!</v>
      </c>
      <c r="AE2137" s="117" t="e">
        <f>ROUND(H2137-O2137-P2137-Q2137-R2137,0)</f>
        <v>#VALUE!</v>
      </c>
      <c r="AF2137" s="117" t="e">
        <f>ROUND(I2137-T2137-U2137-V2137-W2137,0)</f>
        <v>#VALUE!</v>
      </c>
      <c r="AG2137" s="117" t="e">
        <f>ROUND(J2137-Y2137-Z2137-AA2137-AC2137-AB2137,0)</f>
        <v>#VALUE!</v>
      </c>
      <c r="AH2137" s="116"/>
      <c r="AI2137" t="str">
        <f t="shared" si="1323"/>
        <v>108MP</v>
      </c>
      <c r="AJ2137" t="str">
        <f t="shared" si="1318"/>
        <v>S</v>
      </c>
      <c r="AK2137" t="str">
        <f>IF(ISERROR(MATCH(AI2137&amp;"."&amp;AJ2137,AK$91:AK2136,0)),AI2137&amp;"."&amp;AJ2137,AI2137&amp;"."&amp;AJ2137&amp;COUNTIFS(AI$91:AI2136,AI2137,AJ$91:AJ2136,AJ2137))</f>
        <v>108MP.S</v>
      </c>
    </row>
    <row r="2138" spans="1:37" ht="15" hidden="1">
      <c r="A2138" s="120">
        <f>ROW()</f>
        <v>2138</v>
      </c>
      <c r="B2138" s="120"/>
      <c r="C2138" s="1"/>
      <c r="E2138" s="121" t="s">
        <v>294</v>
      </c>
      <c r="F2138" s="138" t="str">
        <f>INDEX(FuncAllocOptions,ROW(A2138)-ROW($A$92)+1,[4]Inputs!$S$11)</f>
        <v>P</v>
      </c>
      <c r="G2138" s="117" t="e">
        <f>SUMIF(FERCJAMFactor,AK2138,JAMValue)</f>
        <v>#VALUE!</v>
      </c>
      <c r="H2138" s="116" t="e">
        <f t="shared" si="1348"/>
        <v>#VALUE!</v>
      </c>
      <c r="I2138" s="116" t="e">
        <f t="shared" si="1348"/>
        <v>#VALUE!</v>
      </c>
      <c r="J2138" s="116" t="e">
        <f t="shared" si="1348"/>
        <v>#VALUE!</v>
      </c>
      <c r="K2138" s="116" t="e">
        <f t="shared" si="1348"/>
        <v>#VALUE!</v>
      </c>
      <c r="L2138" s="116" t="e">
        <f t="shared" si="1348"/>
        <v>#VALUE!</v>
      </c>
      <c r="N2138" s="108">
        <v>0</v>
      </c>
      <c r="O2138" s="116" t="e">
        <f>$H2138*$N2138*$M2138</f>
        <v>#VALUE!</v>
      </c>
      <c r="P2138" s="116" t="e">
        <f>$H2138*(1-$N2138)*$M2138</f>
        <v>#VALUE!</v>
      </c>
      <c r="Q2138" s="116" t="e">
        <f>$H2138*$N2138*(1-$M2138)</f>
        <v>#VALUE!</v>
      </c>
      <c r="R2138" s="116" t="e">
        <f>$H2138*(1-$N2138)*(1-$M2138)</f>
        <v>#VALUE!</v>
      </c>
      <c r="S2138" s="108">
        <v>0</v>
      </c>
      <c r="T2138" s="116" t="e">
        <f>$I2138*$S2138*$M2138</f>
        <v>#VALUE!</v>
      </c>
      <c r="U2138" s="116" t="e">
        <f>$I2138*(1-$S2138)*$M2138</f>
        <v>#VALUE!</v>
      </c>
      <c r="V2138" s="116" t="e">
        <f>$I2138*$S2138*(1-$M2138)</f>
        <v>#VALUE!</v>
      </c>
      <c r="W2138" s="116" t="e">
        <f>$I2138*(1-$S2138)*(1-$M2138)</f>
        <v>#VALUE!</v>
      </c>
      <c r="X2138" s="3"/>
      <c r="AD2138" s="117" t="e">
        <f>ROUND(SUM(-G2138,H2138:L2138),0)</f>
        <v>#VALUE!</v>
      </c>
      <c r="AE2138" s="117" t="e">
        <f>ROUND(H2138-O2138-P2138-Q2138-R2138,0)</f>
        <v>#VALUE!</v>
      </c>
      <c r="AF2138" s="117" t="e">
        <f>ROUND(I2138-T2138-U2138-V2138-W2138,0)</f>
        <v>#VALUE!</v>
      </c>
      <c r="AG2138" s="117" t="e">
        <f>ROUND(J2138-Y2138-Z2138-AA2138-AC2138-AB2138,0)</f>
        <v>#VALUE!</v>
      </c>
      <c r="AH2138" s="116"/>
      <c r="AI2138" t="str">
        <f t="shared" si="1323"/>
        <v>108MP</v>
      </c>
      <c r="AJ2138" t="str">
        <f t="shared" si="1318"/>
        <v>DEU</v>
      </c>
      <c r="AK2138" t="str">
        <f>IF(ISERROR(MATCH(AI2138&amp;"."&amp;AJ2138,AK$91:AK2137,0)),AI2138&amp;"."&amp;AJ2138,AI2138&amp;"."&amp;AJ2138&amp;COUNTIFS(AI$91:AI2137,AI2138,AJ$91:AJ2137,AJ2138))</f>
        <v>108MP.DEU</v>
      </c>
    </row>
    <row r="2139" spans="1:37" ht="15" hidden="1">
      <c r="A2139" s="120">
        <f>ROW()</f>
        <v>2139</v>
      </c>
      <c r="B2139" s="120"/>
      <c r="C2139" s="1"/>
      <c r="E2139" s="121" t="s">
        <v>16</v>
      </c>
      <c r="F2139" s="138" t="str">
        <f>INDEX(FuncAllocOptions,ROW(A2139)-ROW($A$92)+1,[4]Inputs!$S$11)</f>
        <v>P</v>
      </c>
      <c r="G2139" s="133" t="e">
        <f>SUMIF(FERCJAMFactor,AK2139,JAMValue)</f>
        <v>#VALUE!</v>
      </c>
      <c r="H2139" s="139" t="e">
        <f t="shared" si="1348"/>
        <v>#VALUE!</v>
      </c>
      <c r="I2139" s="139" t="e">
        <f t="shared" si="1348"/>
        <v>#VALUE!</v>
      </c>
      <c r="J2139" s="139" t="e">
        <f t="shared" si="1348"/>
        <v>#VALUE!</v>
      </c>
      <c r="K2139" s="139" t="e">
        <f t="shared" si="1348"/>
        <v>#VALUE!</v>
      </c>
      <c r="L2139" s="139" t="e">
        <f t="shared" si="1348"/>
        <v>#VALUE!</v>
      </c>
      <c r="N2139" s="108">
        <v>0</v>
      </c>
      <c r="O2139" s="116" t="e">
        <f>$H2139*$N2139*$M2139</f>
        <v>#VALUE!</v>
      </c>
      <c r="P2139" s="116" t="e">
        <f>$H2139*(1-$N2139)*$M2139</f>
        <v>#VALUE!</v>
      </c>
      <c r="Q2139" s="116" t="e">
        <f>$H2139*$N2139*(1-$M2139)</f>
        <v>#VALUE!</v>
      </c>
      <c r="R2139" s="116" t="e">
        <f>$H2139*(1-$N2139)*(1-$M2139)</f>
        <v>#VALUE!</v>
      </c>
      <c r="S2139" s="108">
        <v>0</v>
      </c>
      <c r="T2139" s="116" t="e">
        <f>$I2139*$S2139*$M2139</f>
        <v>#VALUE!</v>
      </c>
      <c r="U2139" s="116" t="e">
        <f>$I2139*(1-$S2139)*$M2139</f>
        <v>#VALUE!</v>
      </c>
      <c r="V2139" s="116" t="e">
        <f>$I2139*$S2139*(1-$M2139)</f>
        <v>#VALUE!</v>
      </c>
      <c r="W2139" s="116" t="e">
        <f>$I2139*(1-$S2139)*(1-$M2139)</f>
        <v>#VALUE!</v>
      </c>
      <c r="X2139" s="3"/>
      <c r="AD2139" s="117" t="e">
        <f>ROUND(SUM(-G2139,H2139:L2139),0)</f>
        <v>#VALUE!</v>
      </c>
      <c r="AE2139" s="117" t="e">
        <f>ROUND(H2139-O2139-P2139-Q2139-R2139,0)</f>
        <v>#VALUE!</v>
      </c>
      <c r="AF2139" s="117" t="e">
        <f>ROUND(I2139-T2139-U2139-V2139-W2139,0)</f>
        <v>#VALUE!</v>
      </c>
      <c r="AG2139" s="117" t="e">
        <f>ROUND(J2139-Y2139-Z2139-AA2139-AC2139-AB2139,0)</f>
        <v>#VALUE!</v>
      </c>
      <c r="AH2139" s="116"/>
      <c r="AI2139" t="str">
        <f t="shared" si="1323"/>
        <v>108MP</v>
      </c>
      <c r="AJ2139" t="str">
        <f t="shared" si="1318"/>
        <v>SE</v>
      </c>
      <c r="AK2139" t="str">
        <f>IF(ISERROR(MATCH(AI2139&amp;"."&amp;AJ2139,AK$91:AK2138,0)),AI2139&amp;"."&amp;AJ2139,AI2139&amp;"."&amp;AJ2139&amp;COUNTIFS(AI$91:AI2138,AI2139,AJ$91:AJ2138,AJ2139))</f>
        <v>108MP.SE</v>
      </c>
    </row>
    <row r="2140" spans="1:37" ht="15" hidden="1">
      <c r="A2140" s="120">
        <f>ROW()</f>
        <v>2140</v>
      </c>
      <c r="B2140" s="120"/>
      <c r="C2140" s="1"/>
      <c r="E2140" s="121"/>
      <c r="F2140" s="138"/>
      <c r="G2140" s="117" t="e">
        <f t="shared" ref="G2140:L2140" si="1349">SUM(G2137:G2139)</f>
        <v>#VALUE!</v>
      </c>
      <c r="H2140" s="116" t="e">
        <f t="shared" si="1349"/>
        <v>#VALUE!</v>
      </c>
      <c r="I2140" s="116" t="e">
        <f t="shared" si="1349"/>
        <v>#VALUE!</v>
      </c>
      <c r="J2140" s="116" t="e">
        <f t="shared" si="1349"/>
        <v>#VALUE!</v>
      </c>
      <c r="K2140" s="116" t="e">
        <f t="shared" si="1349"/>
        <v>#VALUE!</v>
      </c>
      <c r="L2140" s="116" t="e">
        <f t="shared" si="1349"/>
        <v>#VALUE!</v>
      </c>
      <c r="O2140" s="116" t="e">
        <f>SUM(O2137:O2139)</f>
        <v>#VALUE!</v>
      </c>
      <c r="P2140" s="116" t="e">
        <f>SUM(P2137:P2139)</f>
        <v>#VALUE!</v>
      </c>
      <c r="Q2140" s="116" t="e">
        <f>SUM(Q2137:Q2139)</f>
        <v>#VALUE!</v>
      </c>
      <c r="R2140" s="116" t="e">
        <f>SUM(R2137:R2139)</f>
        <v>#VALUE!</v>
      </c>
      <c r="T2140" s="116" t="e">
        <f>SUM(T2137:T2139)</f>
        <v>#VALUE!</v>
      </c>
      <c r="U2140" s="116" t="e">
        <f>SUM(U2137:U2139)</f>
        <v>#VALUE!</v>
      </c>
      <c r="V2140" s="116"/>
      <c r="W2140" s="116"/>
      <c r="X2140" s="3"/>
      <c r="Y2140" s="116">
        <f>SUM(Y2137:Y2139)</f>
        <v>0</v>
      </c>
      <c r="Z2140" s="116">
        <f>SUM(Z2137:Z2139)</f>
        <v>0</v>
      </c>
      <c r="AA2140" s="116">
        <f>SUM(AA2137:AA2139)</f>
        <v>0</v>
      </c>
      <c r="AB2140" s="116">
        <f>SUM(AB2137:AB2139)</f>
        <v>0</v>
      </c>
      <c r="AC2140" s="116">
        <f>SUM(AC2137:AC2139)</f>
        <v>0</v>
      </c>
      <c r="AD2140" s="117"/>
      <c r="AE2140" s="117"/>
      <c r="AF2140" s="117"/>
      <c r="AG2140" s="117"/>
      <c r="AH2140" s="116"/>
      <c r="AI2140" t="str">
        <f t="shared" si="1323"/>
        <v>108MP</v>
      </c>
      <c r="AJ2140" t="str">
        <f t="shared" si="1318"/>
        <v>NA</v>
      </c>
      <c r="AK2140" t="str">
        <f>IF(ISERROR(MATCH(AI2140&amp;"."&amp;AJ2140,AK$91:AK2139,0)),AI2140&amp;"."&amp;AJ2140,AI2140&amp;"."&amp;AJ2140&amp;COUNTIFS(AI$91:AI2139,AI2140,AJ$91:AJ2139,AJ2140))</f>
        <v>108MP.NA1</v>
      </c>
    </row>
    <row r="2141" spans="1:37" ht="15" hidden="1">
      <c r="A2141" s="120">
        <f>ROW()</f>
        <v>2141</v>
      </c>
      <c r="B2141" s="120"/>
      <c r="C2141" s="1"/>
      <c r="E2141" s="121"/>
      <c r="F2141" s="138"/>
      <c r="G2141" s="119"/>
      <c r="X2141" s="3"/>
      <c r="AD2141" s="119"/>
      <c r="AE2141" s="119"/>
      <c r="AF2141" s="119"/>
      <c r="AG2141" s="119"/>
      <c r="AI2141" t="str">
        <f t="shared" si="1323"/>
        <v>108MP</v>
      </c>
      <c r="AJ2141" t="str">
        <f t="shared" ref="AJ2141:AJ2204" si="1350">IF(E2141="","NA",E2141)</f>
        <v>NA</v>
      </c>
      <c r="AK2141" t="str">
        <f>IF(ISERROR(MATCH(AI2141&amp;"."&amp;AJ2141,AK$91:AK2140,0)),AI2141&amp;"."&amp;AJ2141,AI2141&amp;"."&amp;AJ2141&amp;COUNTIFS(AI$91:AI2140,AI2141,AJ$91:AJ2140,AJ2141))</f>
        <v>108MP.NA2</v>
      </c>
    </row>
    <row r="2142" spans="1:37" ht="15" hidden="1">
      <c r="A2142" s="120">
        <f>ROW()</f>
        <v>2142</v>
      </c>
      <c r="B2142" s="120"/>
      <c r="C2142" s="1" t="s">
        <v>206</v>
      </c>
      <c r="D2142" s="2" t="s">
        <v>689</v>
      </c>
      <c r="E2142" s="121"/>
      <c r="F2142" s="138"/>
      <c r="G2142" s="119"/>
      <c r="X2142" s="3"/>
      <c r="AD2142" s="119"/>
      <c r="AE2142" s="119"/>
      <c r="AF2142" s="119"/>
      <c r="AG2142" s="119"/>
      <c r="AI2142" t="str">
        <f t="shared" si="1323"/>
        <v>108MP</v>
      </c>
      <c r="AJ2142" t="str">
        <f t="shared" si="1350"/>
        <v>NA</v>
      </c>
      <c r="AK2142" t="str">
        <f>IF(ISERROR(MATCH(AI2142&amp;"."&amp;AJ2142,AK$91:AK2141,0)),AI2142&amp;"."&amp;AJ2142,AI2142&amp;"."&amp;AJ2142&amp;COUNTIFS(AI$91:AI2141,AI2142,AJ$91:AJ2141,AJ2142))</f>
        <v>108MP.NA3</v>
      </c>
    </row>
    <row r="2143" spans="1:37" ht="15" hidden="1">
      <c r="A2143" s="120">
        <f>ROW()</f>
        <v>2143</v>
      </c>
      <c r="B2143" s="120"/>
      <c r="C2143" s="1"/>
      <c r="E2143" s="121" t="s">
        <v>12</v>
      </c>
      <c r="F2143" s="138" t="str">
        <f>INDEX(FuncAllocOptions,ROW(A2143)-ROW($A$92)+1,[4]Inputs!$S$11)</f>
        <v>P</v>
      </c>
      <c r="G2143" s="133" t="e">
        <f>SUMIF(FERCJAMFactor,AK2143,JAMValue)</f>
        <v>#VALUE!</v>
      </c>
      <c r="H2143" s="139" t="e">
        <f>INDEX(FuncFactorTbl,MATCH($F2143,FuncFactors,0),MATCH(H$8,Functions,0))*$G2143</f>
        <v>#VALUE!</v>
      </c>
      <c r="I2143" s="139" t="e">
        <f>INDEX(FuncFactorTbl,MATCH($F2143,FuncFactors,0),MATCH(I$8,Functions,0))*$G2143</f>
        <v>#VALUE!</v>
      </c>
      <c r="J2143" s="139" t="e">
        <f>INDEX(FuncFactorTbl,MATCH($F2143,FuncFactors,0),MATCH(J$8,Functions,0))*$G2143</f>
        <v>#VALUE!</v>
      </c>
      <c r="K2143" s="139" t="e">
        <f>INDEX(FuncFactorTbl,MATCH($F2143,FuncFactors,0),MATCH(K$8,Functions,0))*$G2143</f>
        <v>#VALUE!</v>
      </c>
      <c r="L2143" s="139" t="e">
        <f>INDEX(FuncFactorTbl,MATCH($F2143,FuncFactors,0),MATCH(L$8,Functions,0))*$G2143</f>
        <v>#VALUE!</v>
      </c>
      <c r="N2143" s="108">
        <v>0</v>
      </c>
      <c r="O2143" s="116" t="e">
        <f>$H2143*$N2143*$M2143</f>
        <v>#VALUE!</v>
      </c>
      <c r="P2143" s="116" t="e">
        <f>$H2143*(1-$N2143)*$M2143</f>
        <v>#VALUE!</v>
      </c>
      <c r="Q2143" s="116" t="e">
        <f>$H2143*$N2143*(1-$M2143)</f>
        <v>#VALUE!</v>
      </c>
      <c r="R2143" s="116" t="e">
        <f>$H2143*(1-$N2143)*(1-$M2143)</f>
        <v>#VALUE!</v>
      </c>
      <c r="S2143" s="108">
        <v>0</v>
      </c>
      <c r="T2143" s="116" t="e">
        <f>$I2143*$S2143*$M2143</f>
        <v>#VALUE!</v>
      </c>
      <c r="U2143" s="116" t="e">
        <f>$I2143*(1-$S2143)*$M2143</f>
        <v>#VALUE!</v>
      </c>
      <c r="V2143" s="116" t="e">
        <f>$I2143*$S2143*(1-$M2143)</f>
        <v>#VALUE!</v>
      </c>
      <c r="W2143" s="116" t="e">
        <f>$I2143*(1-$S2143)*(1-$M2143)</f>
        <v>#VALUE!</v>
      </c>
      <c r="X2143" s="3"/>
      <c r="AD2143" s="117" t="e">
        <f>ROUND(SUM(-G2143,H2143:L2143),0)</f>
        <v>#VALUE!</v>
      </c>
      <c r="AE2143" s="117" t="e">
        <f>ROUND(H2143-O2143-P2143-Q2143-R2143,0)</f>
        <v>#VALUE!</v>
      </c>
      <c r="AF2143" s="117" t="e">
        <f>ROUND(I2143-T2143-U2143-V2143-W2143,0)</f>
        <v>#VALUE!</v>
      </c>
      <c r="AG2143" s="117" t="e">
        <f>ROUND(J2143-Y2143-Z2143-AA2143-AC2143-AB2143,0)</f>
        <v>#VALUE!</v>
      </c>
      <c r="AH2143" s="116"/>
      <c r="AI2143" t="str">
        <f t="shared" si="1323"/>
        <v>108MP</v>
      </c>
      <c r="AJ2143" t="str">
        <f t="shared" si="1350"/>
        <v>S</v>
      </c>
      <c r="AK2143" t="str">
        <f>IF(ISERROR(MATCH(AI2143&amp;"."&amp;AJ2143,AK$91:AK2142,0)),AI2143&amp;"."&amp;AJ2143,AI2143&amp;"."&amp;AJ2143&amp;COUNTIFS(AI$91:AI2142,AI2143,AJ$91:AJ2142,AJ2143))</f>
        <v>108MP.S1</v>
      </c>
    </row>
    <row r="2144" spans="1:37" ht="15" hidden="1">
      <c r="A2144" s="120">
        <f>ROW()</f>
        <v>2144</v>
      </c>
      <c r="B2144" s="120"/>
      <c r="C2144" s="1"/>
      <c r="E2144" s="121"/>
      <c r="F2144" s="138"/>
      <c r="G2144" s="117" t="e">
        <f t="shared" ref="G2144:L2144" si="1351">SUM(G2143)</f>
        <v>#VALUE!</v>
      </c>
      <c r="H2144" s="116" t="e">
        <f t="shared" si="1351"/>
        <v>#VALUE!</v>
      </c>
      <c r="I2144" s="116" t="e">
        <f t="shared" si="1351"/>
        <v>#VALUE!</v>
      </c>
      <c r="J2144" s="116" t="e">
        <f t="shared" si="1351"/>
        <v>#VALUE!</v>
      </c>
      <c r="K2144" s="116" t="e">
        <f t="shared" si="1351"/>
        <v>#VALUE!</v>
      </c>
      <c r="L2144" s="116" t="e">
        <f t="shared" si="1351"/>
        <v>#VALUE!</v>
      </c>
      <c r="O2144" s="116" t="e">
        <f>SUM(O2143)</f>
        <v>#VALUE!</v>
      </c>
      <c r="P2144" s="116" t="e">
        <f>SUM(P2143)</f>
        <v>#VALUE!</v>
      </c>
      <c r="Q2144" s="116" t="e">
        <f>SUM(Q2143)</f>
        <v>#VALUE!</v>
      </c>
      <c r="R2144" s="116" t="e">
        <f>SUM(R2143)</f>
        <v>#VALUE!</v>
      </c>
      <c r="T2144" s="116" t="e">
        <f>SUM(T2143)</f>
        <v>#VALUE!</v>
      </c>
      <c r="U2144" s="116" t="e">
        <f>SUM(U2143)</f>
        <v>#VALUE!</v>
      </c>
      <c r="V2144" s="116"/>
      <c r="W2144" s="116"/>
      <c r="X2144" s="3"/>
      <c r="Y2144" s="116">
        <f>SUM(Y2143)</f>
        <v>0</v>
      </c>
      <c r="Z2144" s="116">
        <f>SUM(Z2143)</f>
        <v>0</v>
      </c>
      <c r="AA2144" s="116">
        <f>SUM(AA2143)</f>
        <v>0</v>
      </c>
      <c r="AB2144" s="116">
        <f>SUM(AB2143)</f>
        <v>0</v>
      </c>
      <c r="AC2144" s="116">
        <f>SUM(AC2143)</f>
        <v>0</v>
      </c>
      <c r="AD2144" s="117" t="e">
        <f>ROUND(SUM(-G2144,H2144:L2144),0)</f>
        <v>#VALUE!</v>
      </c>
      <c r="AE2144" s="117" t="e">
        <f>ROUND(H2144-O2144-P2144-Q2144-R2144,0)</f>
        <v>#VALUE!</v>
      </c>
      <c r="AF2144" s="117" t="e">
        <f>ROUND(I2144-T2144-U2144-V2144-W2144,0)</f>
        <v>#VALUE!</v>
      </c>
      <c r="AG2144" s="117" t="e">
        <f>ROUND(J2144-Y2144-Z2144-AA2144-AC2144-AB2144,0)</f>
        <v>#VALUE!</v>
      </c>
      <c r="AH2144" s="116"/>
      <c r="AI2144" t="str">
        <f t="shared" si="1323"/>
        <v>108MP</v>
      </c>
      <c r="AJ2144" t="str">
        <f t="shared" si="1350"/>
        <v>NA</v>
      </c>
      <c r="AK2144" t="str">
        <f>IF(ISERROR(MATCH(AI2144&amp;"."&amp;AJ2144,AK$91:AK2143,0)),AI2144&amp;"."&amp;AJ2144,AI2144&amp;"."&amp;AJ2144&amp;COUNTIFS(AI$91:AI2143,AI2144,AJ$91:AJ2143,AJ2144))</f>
        <v>108MP.NA4</v>
      </c>
    </row>
    <row r="2145" spans="1:37" ht="15" hidden="1">
      <c r="A2145" s="120">
        <f>ROW()</f>
        <v>2145</v>
      </c>
      <c r="B2145" s="120"/>
      <c r="C2145" s="1"/>
      <c r="E2145" s="121"/>
      <c r="F2145" s="138"/>
      <c r="G2145" s="119"/>
      <c r="X2145" s="3"/>
      <c r="AD2145" s="119"/>
      <c r="AE2145" s="119"/>
      <c r="AF2145" s="119"/>
      <c r="AG2145" s="119"/>
      <c r="AI2145" t="str">
        <f t="shared" si="1323"/>
        <v>108MP</v>
      </c>
      <c r="AJ2145" t="str">
        <f t="shared" si="1350"/>
        <v>NA</v>
      </c>
      <c r="AK2145" t="str">
        <f>IF(ISERROR(MATCH(AI2145&amp;"."&amp;AJ2145,AK$91:AK2144,0)),AI2145&amp;"."&amp;AJ2145,AI2145&amp;"."&amp;AJ2145&amp;COUNTIFS(AI$91:AI2144,AI2145,AJ$91:AJ2144,AJ2145))</f>
        <v>108MP.NA5</v>
      </c>
    </row>
    <row r="2146" spans="1:37" ht="15" hidden="1">
      <c r="A2146" s="120">
        <f>ROW()</f>
        <v>2146</v>
      </c>
      <c r="B2146" s="120"/>
      <c r="C2146" s="1">
        <v>1081390</v>
      </c>
      <c r="D2146" s="2" t="s">
        <v>690</v>
      </c>
      <c r="E2146" s="121"/>
      <c r="F2146" s="138"/>
      <c r="G2146" s="119"/>
      <c r="X2146" s="3"/>
      <c r="AD2146" s="119"/>
      <c r="AE2146" s="119"/>
      <c r="AF2146" s="119"/>
      <c r="AG2146" s="119"/>
      <c r="AI2146">
        <f t="shared" si="1323"/>
        <v>1081390</v>
      </c>
      <c r="AJ2146" t="str">
        <f t="shared" si="1350"/>
        <v>NA</v>
      </c>
      <c r="AK2146" t="str">
        <f>IF(ISERROR(MATCH(AI2146&amp;"."&amp;AJ2146,AK$91:AK2145,0)),AI2146&amp;"."&amp;AJ2146,AI2146&amp;"."&amp;AJ2146&amp;COUNTIFS(AI$91:AI2145,AI2146,AJ$91:AJ2145,AJ2146))</f>
        <v>1081390.NA</v>
      </c>
    </row>
    <row r="2147" spans="1:37" ht="15" hidden="1">
      <c r="A2147" s="120">
        <f>ROW()</f>
        <v>2147</v>
      </c>
      <c r="B2147" s="120"/>
      <c r="C2147" s="1"/>
      <c r="E2147" s="121" t="s">
        <v>136</v>
      </c>
      <c r="F2147" s="138" t="str">
        <f>INDEX(FuncAllocOptions,ROW(A2147)-ROW($A$92)+1,[4]Inputs!$S$11)</f>
        <v>PTD</v>
      </c>
      <c r="G2147" s="117" t="e">
        <f>SUMIF(FERCJAMFactor,AK2147,JAMValue)</f>
        <v>#VALUE!</v>
      </c>
      <c r="H2147" s="116" t="e">
        <f>INDEX(FuncFactorTbl,MATCH($F2147,FuncFactors,0),MATCH(H$8,Functions,0))*$G2147</f>
        <v>#VALUE!</v>
      </c>
      <c r="I2147" s="116" t="e">
        <f>INDEX(FuncFactorTbl,MATCH($F2147,FuncFactors,0),MATCH(I$8,Functions,0))*$G2147</f>
        <v>#VALUE!</v>
      </c>
      <c r="J2147" s="116" t="e">
        <f>INDEX(FuncFactorTbl,MATCH($F2147,FuncFactors,0),MATCH(J$8,Functions,0))*$G2147</f>
        <v>#VALUE!</v>
      </c>
      <c r="K2147" s="116" t="e">
        <f>INDEX(FuncFactorTbl,MATCH($F2147,FuncFactors,0),MATCH(K$8,Functions,0))*$G2147</f>
        <v>#VALUE!</v>
      </c>
      <c r="L2147" s="116" t="e">
        <f>INDEX(FuncFactorTbl,MATCH($F2147,FuncFactors,0),MATCH(L$8,Functions,0))*$G2147</f>
        <v>#VALUE!</v>
      </c>
      <c r="N2147" s="108">
        <v>0</v>
      </c>
      <c r="O2147" s="116" t="e">
        <f>$H2147*$N2147*$M2147</f>
        <v>#VALUE!</v>
      </c>
      <c r="P2147" s="116" t="e">
        <f>$H2147*(1-$N2147)*$M2147</f>
        <v>#VALUE!</v>
      </c>
      <c r="Q2147" s="116" t="e">
        <f>$H2147*$N2147*(1-$M2147)</f>
        <v>#VALUE!</v>
      </c>
      <c r="R2147" s="116" t="e">
        <f>$H2147*(1-$N2147)*(1-$M2147)</f>
        <v>#VALUE!</v>
      </c>
      <c r="S2147" s="108">
        <v>0</v>
      </c>
      <c r="T2147" s="116" t="e">
        <f>$I2147*$S2147*$M2147</f>
        <v>#VALUE!</v>
      </c>
      <c r="U2147" s="116" t="e">
        <f>$I2147*(1-$S2147)*$M2147</f>
        <v>#VALUE!</v>
      </c>
      <c r="V2147" s="116" t="e">
        <f>$I2147*$S2147*(1-$M2147)</f>
        <v>#VALUE!</v>
      </c>
      <c r="W2147" s="116" t="e">
        <f>$I2147*(1-$S2147)*(1-$M2147)</f>
        <v>#VALUE!</v>
      </c>
      <c r="X2147" s="3" t="str">
        <f>INDEX(DistFuncAllocOptions,ROW(A2147)-ROW($A$92)+1,[4]Inputs!$S$11)</f>
        <v>PLNT</v>
      </c>
      <c r="Y2147" s="116" t="e">
        <f>INDEX(DistFuncFactorTbl,MATCH($X2147,DistFuncFactors,0),MATCH(Y$91,DistFunctions,0))*$J2147</f>
        <v>#VALUE!</v>
      </c>
      <c r="Z2147" s="116" t="e">
        <f>INDEX(DistFuncFactorTbl,MATCH($X2147,DistFuncFactors,0),MATCH(Z$91,DistFunctions,0))*$J2147</f>
        <v>#VALUE!</v>
      </c>
      <c r="AA2147" s="116" t="e">
        <f>INDEX(DistFuncFactorTbl,MATCH($X2147,DistFuncFactors,0),MATCH(AA$91,DistFunctions,0))*$J2147</f>
        <v>#VALUE!</v>
      </c>
      <c r="AB2147" s="116" t="e">
        <f>INDEX(DistFuncFactorTbl,MATCH($X2147,DistFuncFactors,0),MATCH(AB$91,DistFunctions,0))*$J2147</f>
        <v>#VALUE!</v>
      </c>
      <c r="AC2147" s="116" t="e">
        <f>INDEX(DistFuncFactorTbl,MATCH($X2147,DistFuncFactors,0),MATCH(AC$91,DistFunctions,0))*$J2147</f>
        <v>#VALUE!</v>
      </c>
      <c r="AD2147" s="117" t="e">
        <f>ROUND(SUM(-G2147,H2147:L2147),0)</f>
        <v>#VALUE!</v>
      </c>
      <c r="AE2147" s="117" t="e">
        <f>ROUND(H2147-O2147-P2147-Q2147-R2147,0)</f>
        <v>#VALUE!</v>
      </c>
      <c r="AF2147" s="117" t="e">
        <f>ROUND(I2147-T2147-U2147-V2147-W2147,0)</f>
        <v>#VALUE!</v>
      </c>
      <c r="AG2147" s="117" t="e">
        <f>ROUND(J2147-Y2147-Z2147-AA2147-AC2147-AB2147,0)</f>
        <v>#VALUE!</v>
      </c>
      <c r="AH2147" s="116"/>
      <c r="AI2147">
        <f t="shared" si="1323"/>
        <v>1081390</v>
      </c>
      <c r="AJ2147" t="str">
        <f t="shared" si="1350"/>
        <v>SO</v>
      </c>
      <c r="AK2147" t="str">
        <f>IF(ISERROR(MATCH(AI2147&amp;"."&amp;AJ2147,AK$91:AK2146,0)),AI2147&amp;"."&amp;AJ2147,AI2147&amp;"."&amp;AJ2147&amp;COUNTIFS(AI$91:AI2146,AI2147,AJ$91:AJ2146,AJ2147))</f>
        <v>1081390.SO</v>
      </c>
    </row>
    <row r="2148" spans="1:37" ht="15" hidden="1">
      <c r="A2148" s="120">
        <f>ROW()</f>
        <v>2148</v>
      </c>
      <c r="B2148" s="120"/>
      <c r="C2148" s="1"/>
      <c r="E2148" s="121"/>
      <c r="F2148" s="138"/>
      <c r="G2148" s="119"/>
      <c r="X2148" s="3"/>
      <c r="AD2148" s="119"/>
      <c r="AE2148" s="117"/>
      <c r="AF2148" s="117"/>
      <c r="AG2148" s="119"/>
      <c r="AI2148">
        <f t="shared" si="1323"/>
        <v>1081390</v>
      </c>
      <c r="AJ2148" t="str">
        <f t="shared" si="1350"/>
        <v>NA</v>
      </c>
      <c r="AK2148" t="str">
        <f>IF(ISERROR(MATCH(AI2148&amp;"."&amp;AJ2148,AK$91:AK2147,0)),AI2148&amp;"."&amp;AJ2148,AI2148&amp;"."&amp;AJ2148&amp;COUNTIFS(AI$91:AI2147,AI2148,AJ$91:AJ2147,AJ2148))</f>
        <v>1081390.NA1</v>
      </c>
    </row>
    <row r="2149" spans="1:37" ht="15" hidden="1">
      <c r="A2149" s="120">
        <f>ROW()</f>
        <v>2149</v>
      </c>
      <c r="B2149" s="120"/>
      <c r="C2149" s="1"/>
      <c r="E2149" s="121"/>
      <c r="F2149" s="138"/>
      <c r="G2149" s="119"/>
      <c r="X2149" s="3"/>
      <c r="AD2149" s="119"/>
      <c r="AE2149" s="119"/>
      <c r="AF2149" s="119"/>
      <c r="AG2149" s="119"/>
      <c r="AI2149">
        <f t="shared" si="1323"/>
        <v>1081390</v>
      </c>
      <c r="AJ2149" t="str">
        <f t="shared" si="1350"/>
        <v>NA</v>
      </c>
      <c r="AK2149" t="str">
        <f>IF(ISERROR(MATCH(AI2149&amp;"."&amp;AJ2149,AK$91:AK2148,0)),AI2149&amp;"."&amp;AJ2149,AI2149&amp;"."&amp;AJ2149&amp;COUNTIFS(AI$91:AI2148,AI2149,AJ$91:AJ2148,AJ2149))</f>
        <v>1081390.NA2</v>
      </c>
    </row>
    <row r="2150" spans="1:37" ht="15" hidden="1">
      <c r="A2150" s="120">
        <f>ROW()</f>
        <v>2150</v>
      </c>
      <c r="B2150" s="120"/>
      <c r="C2150" s="1"/>
      <c r="D2150" s="2" t="s">
        <v>569</v>
      </c>
      <c r="E2150" s="121"/>
      <c r="F2150" s="138" t="str">
        <f>INDEX(FuncAllocOptions,ROW(A2150)-ROW($A$92)+1,[4]Inputs!$S$11)</f>
        <v>P</v>
      </c>
      <c r="G2150" s="133" t="e">
        <f>SUMIF(FERCJAMFactor,AK2150,JAMValue)</f>
        <v>#VALUE!</v>
      </c>
      <c r="H2150" s="139" t="e">
        <f>INDEX(FuncFactorTbl,MATCH($F2150,FuncFactors,0),MATCH(H$8,Functions,0))*$G2150</f>
        <v>#VALUE!</v>
      </c>
      <c r="I2150" s="139" t="e">
        <f>INDEX(FuncFactorTbl,MATCH($F2150,FuncFactors,0),MATCH(I$8,Functions,0))*$G2150</f>
        <v>#VALUE!</v>
      </c>
      <c r="J2150" s="139" t="e">
        <f>INDEX(FuncFactorTbl,MATCH($F2150,FuncFactors,0),MATCH(J$8,Functions,0))*$G2150</f>
        <v>#VALUE!</v>
      </c>
      <c r="K2150" s="139" t="e">
        <f>INDEX(FuncFactorTbl,MATCH($F2150,FuncFactors,0),MATCH(K$8,Functions,0))*$G2150</f>
        <v>#VALUE!</v>
      </c>
      <c r="L2150" s="139" t="e">
        <f>INDEX(FuncFactorTbl,MATCH($F2150,FuncFactors,0),MATCH(L$8,Functions,0))*$G2150</f>
        <v>#VALUE!</v>
      </c>
      <c r="N2150" s="108">
        <v>0</v>
      </c>
      <c r="O2150" s="116" t="e">
        <f>$H2150*$N2150*$M2150</f>
        <v>#VALUE!</v>
      </c>
      <c r="P2150" s="116" t="e">
        <f>$H2150*(1-$N2150)*$M2150</f>
        <v>#VALUE!</v>
      </c>
      <c r="Q2150" s="116" t="e">
        <f>$H2150*$N2150*(1-$M2150)</f>
        <v>#VALUE!</v>
      </c>
      <c r="R2150" s="116" t="e">
        <f>$H2150*(1-$N2150)*(1-$M2150)</f>
        <v>#VALUE!</v>
      </c>
      <c r="S2150" s="108">
        <v>0</v>
      </c>
      <c r="T2150" s="116" t="e">
        <f>$I2150*$S2150*$M2150</f>
        <v>#VALUE!</v>
      </c>
      <c r="U2150" s="116" t="e">
        <f>$I2150*(1-$S2150)*$M2150</f>
        <v>#VALUE!</v>
      </c>
      <c r="V2150" s="116" t="e">
        <f>$I2150*$S2150*(1-$M2150)</f>
        <v>#VALUE!</v>
      </c>
      <c r="W2150" s="116" t="e">
        <f>$I2150*(1-$S2150)*(1-$M2150)</f>
        <v>#VALUE!</v>
      </c>
      <c r="X2150" s="3"/>
      <c r="AD2150" s="117" t="e">
        <f>ROUND(SUM(-G2150,H2150:L2150),0)</f>
        <v>#VALUE!</v>
      </c>
      <c r="AE2150" s="117" t="e">
        <f>ROUND(H2150-O2150-P2150-Q2150-R2150,0)</f>
        <v>#VALUE!</v>
      </c>
      <c r="AF2150" s="117" t="e">
        <f>ROUND(I2150-T2150-U2150-V2150-W2150,0)</f>
        <v>#VALUE!</v>
      </c>
      <c r="AG2150" s="117" t="e">
        <f>ROUND(J2150-Y2150-Z2150-AA2150-AC2150-AB2150,0)</f>
        <v>#VALUE!</v>
      </c>
      <c r="AH2150" s="116"/>
      <c r="AI2150">
        <f t="shared" si="1323"/>
        <v>1081390</v>
      </c>
      <c r="AJ2150" t="str">
        <f t="shared" si="1350"/>
        <v>NA</v>
      </c>
      <c r="AK2150" t="str">
        <f>IF(ISERROR(MATCH(AI2150&amp;"."&amp;AJ2150,AK$91:AK2149,0)),AI2150&amp;"."&amp;AJ2150,AI2150&amp;"."&amp;AJ2150&amp;COUNTIFS(AI$91:AI2149,AI2150,AJ$91:AJ2149,AJ2150))</f>
        <v>1081390.NA3</v>
      </c>
    </row>
    <row r="2151" spans="1:37" ht="15" hidden="1">
      <c r="A2151" s="120">
        <f>ROW()</f>
        <v>2151</v>
      </c>
      <c r="B2151" s="120"/>
      <c r="C2151" s="1"/>
      <c r="E2151" s="121"/>
      <c r="F2151" s="138"/>
      <c r="G2151" s="117" t="e">
        <f t="shared" ref="G2151:L2151" si="1352">SUM(G2150)</f>
        <v>#VALUE!</v>
      </c>
      <c r="H2151" s="116" t="e">
        <f t="shared" si="1352"/>
        <v>#VALUE!</v>
      </c>
      <c r="I2151" s="116" t="e">
        <f t="shared" si="1352"/>
        <v>#VALUE!</v>
      </c>
      <c r="J2151" s="116" t="e">
        <f t="shared" si="1352"/>
        <v>#VALUE!</v>
      </c>
      <c r="K2151" s="116" t="e">
        <f t="shared" si="1352"/>
        <v>#VALUE!</v>
      </c>
      <c r="L2151" s="116" t="e">
        <f t="shared" si="1352"/>
        <v>#VALUE!</v>
      </c>
      <c r="O2151" s="116" t="e">
        <f>SUM(O2150)</f>
        <v>#VALUE!</v>
      </c>
      <c r="P2151" s="116" t="e">
        <f>SUM(P2150)</f>
        <v>#VALUE!</v>
      </c>
      <c r="Q2151" s="116" t="e">
        <f>SUM(Q2150)</f>
        <v>#VALUE!</v>
      </c>
      <c r="R2151" s="116" t="e">
        <f>SUM(R2150)</f>
        <v>#VALUE!</v>
      </c>
      <c r="T2151" s="116" t="e">
        <f>SUM(T2150)</f>
        <v>#VALUE!</v>
      </c>
      <c r="U2151" s="116" t="e">
        <f>SUM(U2150)</f>
        <v>#VALUE!</v>
      </c>
      <c r="V2151" s="116"/>
      <c r="W2151" s="116"/>
      <c r="X2151" s="3"/>
      <c r="Y2151" s="116">
        <f>SUM(Y2150)</f>
        <v>0</v>
      </c>
      <c r="Z2151" s="116">
        <f>SUM(Z2150)</f>
        <v>0</v>
      </c>
      <c r="AA2151" s="116">
        <f>SUM(AA2150)</f>
        <v>0</v>
      </c>
      <c r="AB2151" s="116">
        <f>SUM(AB2150)</f>
        <v>0</v>
      </c>
      <c r="AC2151" s="116">
        <f>SUM(AC2150)</f>
        <v>0</v>
      </c>
      <c r="AD2151" s="117" t="e">
        <f>ROUND(SUM(-G2151,H2151:L2151),0)</f>
        <v>#VALUE!</v>
      </c>
      <c r="AE2151" s="117" t="e">
        <f>ROUND(H2151-O2151-P2151-Q2151-R2151,0)</f>
        <v>#VALUE!</v>
      </c>
      <c r="AF2151" s="117" t="e">
        <f>ROUND(I2151-T2151-U2151-V2151-W2151,0)</f>
        <v>#VALUE!</v>
      </c>
      <c r="AG2151" s="117" t="e">
        <f>ROUND(J2151-Y2151-Z2151-AA2151-AC2151-AB2151,0)</f>
        <v>#VALUE!</v>
      </c>
      <c r="AH2151" s="116"/>
      <c r="AI2151">
        <f t="shared" si="1323"/>
        <v>1081390</v>
      </c>
      <c r="AJ2151" t="str">
        <f t="shared" si="1350"/>
        <v>NA</v>
      </c>
      <c r="AK2151" t="str">
        <f>IF(ISERROR(MATCH(AI2151&amp;"."&amp;AJ2151,AK$91:AK2150,0)),AI2151&amp;"."&amp;AJ2151,AI2151&amp;"."&amp;AJ2151&amp;COUNTIFS(AI$91:AI2150,AI2151,AJ$91:AJ2150,AJ2151))</f>
        <v>1081390.NA4</v>
      </c>
    </row>
    <row r="2152" spans="1:37" ht="15" hidden="1">
      <c r="A2152" s="120">
        <f>ROW()</f>
        <v>2152</v>
      </c>
      <c r="B2152" s="120"/>
      <c r="C2152" s="1"/>
      <c r="E2152" s="121"/>
      <c r="F2152" s="138"/>
      <c r="G2152" s="119"/>
      <c r="X2152" s="3"/>
      <c r="AD2152" s="119"/>
      <c r="AE2152" s="119"/>
      <c r="AF2152" s="119"/>
      <c r="AG2152" s="119"/>
      <c r="AI2152">
        <f t="shared" si="1323"/>
        <v>1081390</v>
      </c>
      <c r="AJ2152" t="str">
        <f t="shared" si="1350"/>
        <v>NA</v>
      </c>
      <c r="AK2152" t="str">
        <f>IF(ISERROR(MATCH(AI2152&amp;"."&amp;AJ2152,AK$91:AK2151,0)),AI2152&amp;"."&amp;AJ2152,AI2152&amp;"."&amp;AJ2152&amp;COUNTIFS(AI$91:AI2151,AI2152,AJ$91:AJ2151,AJ2152))</f>
        <v>1081390.NA5</v>
      </c>
    </row>
    <row r="2153" spans="1:37" ht="15" hidden="1">
      <c r="A2153" s="120">
        <f>ROW()</f>
        <v>2153</v>
      </c>
      <c r="B2153" s="120"/>
      <c r="C2153" s="1">
        <v>1081399</v>
      </c>
      <c r="D2153" s="2" t="s">
        <v>690</v>
      </c>
      <c r="E2153" s="121"/>
      <c r="F2153" s="138"/>
      <c r="G2153" s="119"/>
      <c r="X2153" s="3"/>
      <c r="AD2153" s="119"/>
      <c r="AE2153" s="119"/>
      <c r="AF2153" s="119"/>
      <c r="AG2153" s="119"/>
      <c r="AI2153">
        <f t="shared" si="1323"/>
        <v>1081399</v>
      </c>
      <c r="AJ2153" t="str">
        <f t="shared" si="1350"/>
        <v>NA</v>
      </c>
      <c r="AK2153" t="str">
        <f>IF(ISERROR(MATCH(AI2153&amp;"."&amp;AJ2153,AK$91:AK2152,0)),AI2153&amp;"."&amp;AJ2153,AI2153&amp;"."&amp;AJ2153&amp;COUNTIFS(AI$91:AI2152,AI2153,AJ$91:AJ2152,AJ2153))</f>
        <v>1081399.NA</v>
      </c>
    </row>
    <row r="2154" spans="1:37" ht="15" hidden="1">
      <c r="A2154" s="120">
        <f>ROW()</f>
        <v>2154</v>
      </c>
      <c r="B2154" s="120"/>
      <c r="C2154" s="1"/>
      <c r="E2154" s="121" t="s">
        <v>12</v>
      </c>
      <c r="F2154" s="138" t="str">
        <f>INDEX(FuncAllocOptions,ROW(A2154)-ROW($A$92)+1,[4]Inputs!$S$11)</f>
        <v>P</v>
      </c>
      <c r="G2154" s="117" t="e">
        <f>SUMIF(FERCJAMFactor,AK2154,JAMValue)</f>
        <v>#VALUE!</v>
      </c>
      <c r="H2154" s="116" t="e">
        <f t="shared" ref="H2154:L2155" si="1353">INDEX(FuncFactorTbl,MATCH($F2154,FuncFactors,0),MATCH(H$8,Functions,0))*$G2154</f>
        <v>#VALUE!</v>
      </c>
      <c r="I2154" s="116" t="e">
        <f t="shared" si="1353"/>
        <v>#VALUE!</v>
      </c>
      <c r="J2154" s="116" t="e">
        <f t="shared" si="1353"/>
        <v>#VALUE!</v>
      </c>
      <c r="K2154" s="116" t="e">
        <f t="shared" si="1353"/>
        <v>#VALUE!</v>
      </c>
      <c r="L2154" s="116" t="e">
        <f t="shared" si="1353"/>
        <v>#VALUE!</v>
      </c>
      <c r="N2154" s="108">
        <v>0</v>
      </c>
      <c r="O2154" s="116" t="e">
        <f>$H2154*$N2154*$M2154</f>
        <v>#VALUE!</v>
      </c>
      <c r="P2154" s="116" t="e">
        <f>$H2154*(1-$N2154)*$M2154</f>
        <v>#VALUE!</v>
      </c>
      <c r="Q2154" s="116" t="e">
        <f>$H2154*$N2154*(1-$M2154)</f>
        <v>#VALUE!</v>
      </c>
      <c r="R2154" s="116" t="e">
        <f>$H2154*(1-$N2154)*(1-$M2154)</f>
        <v>#VALUE!</v>
      </c>
      <c r="S2154" s="108">
        <v>0</v>
      </c>
      <c r="T2154" s="116" t="e">
        <f>$I2154*$S2154*$M2154</f>
        <v>#VALUE!</v>
      </c>
      <c r="U2154" s="116" t="e">
        <f>$I2154*(1-$S2154)*$M2154</f>
        <v>#VALUE!</v>
      </c>
      <c r="V2154" s="116" t="e">
        <f>$I2154*$S2154*(1-$M2154)</f>
        <v>#VALUE!</v>
      </c>
      <c r="W2154" s="116" t="e">
        <f>$I2154*(1-$S2154)*(1-$M2154)</f>
        <v>#VALUE!</v>
      </c>
      <c r="X2154" s="3" t="str">
        <f>INDEX(DistFuncAllocOptions,ROW(A2154)-ROW($A$92)+1,[4]Inputs!$S$11)</f>
        <v>PLNT</v>
      </c>
      <c r="Y2154" s="116" t="e">
        <f t="shared" ref="Y2154:AC2155" si="1354">INDEX(DistFuncFactorTbl,MATCH($X2154,DistFuncFactors,0),MATCH(Y$91,DistFunctions,0))*$J2154</f>
        <v>#VALUE!</v>
      </c>
      <c r="Z2154" s="116" t="e">
        <f t="shared" si="1354"/>
        <v>#VALUE!</v>
      </c>
      <c r="AA2154" s="116" t="e">
        <f t="shared" si="1354"/>
        <v>#VALUE!</v>
      </c>
      <c r="AB2154" s="116" t="e">
        <f t="shared" si="1354"/>
        <v>#VALUE!</v>
      </c>
      <c r="AC2154" s="116" t="e">
        <f t="shared" si="1354"/>
        <v>#VALUE!</v>
      </c>
      <c r="AD2154" s="117" t="e">
        <f>ROUND(SUM(-G2154,H2154:L2154),0)</f>
        <v>#VALUE!</v>
      </c>
      <c r="AE2154" s="117" t="e">
        <f>ROUND(H2154-O2154-P2154-Q2154-R2154,0)</f>
        <v>#VALUE!</v>
      </c>
      <c r="AF2154" s="117" t="e">
        <f>ROUND(I2154-T2154-U2154-V2154-W2154,0)</f>
        <v>#VALUE!</v>
      </c>
      <c r="AG2154" s="117" t="e">
        <f>ROUND(J2154-Y2154-Z2154-AA2154-AC2154-AB2154,0)</f>
        <v>#VALUE!</v>
      </c>
      <c r="AH2154" s="116"/>
      <c r="AI2154">
        <f t="shared" si="1323"/>
        <v>1081399</v>
      </c>
      <c r="AJ2154" t="str">
        <f t="shared" si="1350"/>
        <v>S</v>
      </c>
      <c r="AK2154" t="str">
        <f>IF(ISERROR(MATCH(AI2154&amp;"."&amp;AJ2154,AK$91:AK2153,0)),AI2154&amp;"."&amp;AJ2154,AI2154&amp;"."&amp;AJ2154&amp;COUNTIFS(AI$91:AI2153,AI2154,AJ$91:AJ2153,AJ2154))</f>
        <v>1081399.S</v>
      </c>
    </row>
    <row r="2155" spans="1:37" ht="15" hidden="1">
      <c r="A2155" s="120">
        <f>ROW()</f>
        <v>2155</v>
      </c>
      <c r="B2155" s="120"/>
      <c r="C2155" s="1"/>
      <c r="E2155" s="121" t="s">
        <v>16</v>
      </c>
      <c r="F2155" s="138" t="str">
        <f>INDEX(FuncAllocOptions,ROW(A2155)-ROW($A$92)+1,[4]Inputs!$S$11)</f>
        <v>P</v>
      </c>
      <c r="G2155" s="117" t="e">
        <f>SUMIF(FERCJAMFactor,AK2155,JAMValue)</f>
        <v>#VALUE!</v>
      </c>
      <c r="H2155" s="116" t="e">
        <f t="shared" si="1353"/>
        <v>#VALUE!</v>
      </c>
      <c r="I2155" s="116" t="e">
        <f t="shared" si="1353"/>
        <v>#VALUE!</v>
      </c>
      <c r="J2155" s="116" t="e">
        <f t="shared" si="1353"/>
        <v>#VALUE!</v>
      </c>
      <c r="K2155" s="116" t="e">
        <f t="shared" si="1353"/>
        <v>#VALUE!</v>
      </c>
      <c r="L2155" s="116" t="e">
        <f t="shared" si="1353"/>
        <v>#VALUE!</v>
      </c>
      <c r="N2155" s="108">
        <v>0</v>
      </c>
      <c r="O2155" s="116" t="e">
        <f>$H2155*$N2155*$M2155</f>
        <v>#VALUE!</v>
      </c>
      <c r="P2155" s="116" t="e">
        <f>$H2155*(1-$N2155)*$M2155</f>
        <v>#VALUE!</v>
      </c>
      <c r="Q2155" s="116" t="e">
        <f>$H2155*$N2155*(1-$M2155)</f>
        <v>#VALUE!</v>
      </c>
      <c r="R2155" s="116" t="e">
        <f>$H2155*(1-$N2155)*(1-$M2155)</f>
        <v>#VALUE!</v>
      </c>
      <c r="S2155" s="108">
        <v>0</v>
      </c>
      <c r="T2155" s="116" t="e">
        <f>$I2155*$S2155*$M2155</f>
        <v>#VALUE!</v>
      </c>
      <c r="U2155" s="116" t="e">
        <f>$I2155*(1-$S2155)*$M2155</f>
        <v>#VALUE!</v>
      </c>
      <c r="V2155" s="116" t="e">
        <f>$I2155*$S2155*(1-$M2155)</f>
        <v>#VALUE!</v>
      </c>
      <c r="W2155" s="116" t="e">
        <f>$I2155*(1-$S2155)*(1-$M2155)</f>
        <v>#VALUE!</v>
      </c>
      <c r="X2155" s="3" t="str">
        <f>INDEX(DistFuncAllocOptions,ROW(A2155)-ROW($A$92)+1,[4]Inputs!$S$11)</f>
        <v>PLNT</v>
      </c>
      <c r="Y2155" s="116" t="e">
        <f t="shared" si="1354"/>
        <v>#VALUE!</v>
      </c>
      <c r="Z2155" s="116" t="e">
        <f t="shared" si="1354"/>
        <v>#VALUE!</v>
      </c>
      <c r="AA2155" s="116" t="e">
        <f t="shared" si="1354"/>
        <v>#VALUE!</v>
      </c>
      <c r="AB2155" s="116" t="e">
        <f t="shared" si="1354"/>
        <v>#VALUE!</v>
      </c>
      <c r="AC2155" s="116" t="e">
        <f t="shared" si="1354"/>
        <v>#VALUE!</v>
      </c>
      <c r="AD2155" s="117" t="e">
        <f>ROUND(SUM(-G2155,H2155:L2155),0)</f>
        <v>#VALUE!</v>
      </c>
      <c r="AE2155" s="117" t="e">
        <f>ROUND(H2155-O2155-P2155-Q2155-R2155,0)</f>
        <v>#VALUE!</v>
      </c>
      <c r="AF2155" s="117" t="e">
        <f>ROUND(I2155-T2155-U2155-V2155-W2155,0)</f>
        <v>#VALUE!</v>
      </c>
      <c r="AG2155" s="117" t="e">
        <f>ROUND(J2155-Y2155-Z2155-AA2155-AC2155-AB2155,0)</f>
        <v>#VALUE!</v>
      </c>
      <c r="AH2155" s="116"/>
      <c r="AI2155">
        <f t="shared" si="1323"/>
        <v>1081399</v>
      </c>
      <c r="AJ2155" t="str">
        <f t="shared" si="1350"/>
        <v>SE</v>
      </c>
      <c r="AK2155" t="str">
        <f>IF(ISERROR(MATCH(AI2155&amp;"."&amp;AJ2155,AK$91:AK2154,0)),AI2155&amp;"."&amp;AJ2155,AI2155&amp;"."&amp;AJ2155&amp;COUNTIFS(AI$91:AI2154,AI2155,AJ$91:AJ2154,AJ2155))</f>
        <v>1081399.SE</v>
      </c>
    </row>
    <row r="2156" spans="1:37" ht="15" hidden="1">
      <c r="A2156" s="120">
        <f>ROW()</f>
        <v>2156</v>
      </c>
      <c r="B2156" s="120"/>
      <c r="C2156" s="1"/>
      <c r="E2156" s="121"/>
      <c r="F2156" s="138"/>
      <c r="G2156" s="119"/>
      <c r="X2156" s="3"/>
      <c r="AD2156" s="119"/>
      <c r="AE2156" s="119"/>
      <c r="AF2156" s="119"/>
      <c r="AG2156" s="119"/>
      <c r="AI2156">
        <f t="shared" ref="AI2156:AI2216" si="1355">IF(OR(C2156="",C2156=" ",C2156="  ",C2156="   "),AI2155,C2156)</f>
        <v>1081399</v>
      </c>
      <c r="AJ2156" t="str">
        <f t="shared" si="1350"/>
        <v>NA</v>
      </c>
      <c r="AK2156" t="str">
        <f>IF(ISERROR(MATCH(AI2156&amp;"."&amp;AJ2156,AK$91:AK2155,0)),AI2156&amp;"."&amp;AJ2156,AI2156&amp;"."&amp;AJ2156&amp;COUNTIFS(AI$91:AI2155,AI2156,AJ$91:AJ2155,AJ2156))</f>
        <v>1081399.NA1</v>
      </c>
    </row>
    <row r="2157" spans="1:37" ht="15" hidden="1">
      <c r="A2157" s="120">
        <f>ROW()</f>
        <v>2157</v>
      </c>
      <c r="B2157" s="120"/>
      <c r="C2157" s="1"/>
      <c r="E2157" s="121"/>
      <c r="F2157" s="138"/>
      <c r="G2157" s="119"/>
      <c r="X2157" s="3"/>
      <c r="AD2157" s="119"/>
      <c r="AE2157" s="119"/>
      <c r="AF2157" s="119"/>
      <c r="AG2157" s="119"/>
      <c r="AI2157">
        <f t="shared" si="1355"/>
        <v>1081399</v>
      </c>
      <c r="AJ2157" t="str">
        <f t="shared" si="1350"/>
        <v>NA</v>
      </c>
      <c r="AK2157" t="str">
        <f>IF(ISERROR(MATCH(AI2157&amp;"."&amp;AJ2157,AK$91:AK2156,0)),AI2157&amp;"."&amp;AJ2157,AI2157&amp;"."&amp;AJ2157&amp;COUNTIFS(AI$91:AI2156,AI2157,AJ$91:AJ2156,AJ2157))</f>
        <v>1081399.NA2</v>
      </c>
    </row>
    <row r="2158" spans="1:37" ht="15" hidden="1">
      <c r="A2158" s="120">
        <f>ROW()</f>
        <v>2158</v>
      </c>
      <c r="B2158" s="120"/>
      <c r="D2158" s="2" t="s">
        <v>569</v>
      </c>
      <c r="E2158" s="121"/>
      <c r="F2158" s="138" t="str">
        <f>INDEX(FuncAllocOptions,ROW(A2158)-ROW($A$92)+1,[4]Inputs!$S$11)</f>
        <v>P</v>
      </c>
      <c r="G2158" s="133" t="e">
        <f>SUMIF(FERCJAMFactor,AK2158,JAMValue)</f>
        <v>#VALUE!</v>
      </c>
      <c r="H2158" s="139" t="e">
        <f>INDEX(FuncFactorTbl,MATCH($F2158,FuncFactors,0),MATCH(H$8,Functions,0))*$G2158</f>
        <v>#VALUE!</v>
      </c>
      <c r="I2158" s="139" t="e">
        <f>INDEX(FuncFactorTbl,MATCH($F2158,FuncFactors,0),MATCH(I$8,Functions,0))*$G2158</f>
        <v>#VALUE!</v>
      </c>
      <c r="J2158" s="139" t="e">
        <f>INDEX(FuncFactorTbl,MATCH($F2158,FuncFactors,0),MATCH(J$8,Functions,0))*$G2158</f>
        <v>#VALUE!</v>
      </c>
      <c r="K2158" s="139" t="e">
        <f>INDEX(FuncFactorTbl,MATCH($F2158,FuncFactors,0),MATCH(K$8,Functions,0))*$G2158</f>
        <v>#VALUE!</v>
      </c>
      <c r="L2158" s="139" t="e">
        <f>INDEX(FuncFactorTbl,MATCH($F2158,FuncFactors,0),MATCH(L$8,Functions,0))*$G2158</f>
        <v>#VALUE!</v>
      </c>
      <c r="N2158" s="108">
        <v>0</v>
      </c>
      <c r="O2158" s="116" t="e">
        <f>$H2158*$N2158*$M2158</f>
        <v>#VALUE!</v>
      </c>
      <c r="P2158" s="116" t="e">
        <f>$H2158*(1-$N2158)*$M2158</f>
        <v>#VALUE!</v>
      </c>
      <c r="Q2158" s="116" t="e">
        <f>$H2158*$N2158*(1-$M2158)</f>
        <v>#VALUE!</v>
      </c>
      <c r="R2158" s="116" t="e">
        <f>$H2158*(1-$N2158)*(1-$M2158)</f>
        <v>#VALUE!</v>
      </c>
      <c r="S2158" s="108">
        <v>0</v>
      </c>
      <c r="T2158" s="116" t="e">
        <f>$I2158*$S2158*$M2158</f>
        <v>#VALUE!</v>
      </c>
      <c r="U2158" s="116" t="e">
        <f>$I2158*(1-$S2158)*$M2158</f>
        <v>#VALUE!</v>
      </c>
      <c r="V2158" s="116" t="e">
        <f>$I2158*$S2158*(1-$M2158)</f>
        <v>#VALUE!</v>
      </c>
      <c r="W2158" s="116" t="e">
        <f>$I2158*(1-$S2158)*(1-$M2158)</f>
        <v>#VALUE!</v>
      </c>
      <c r="X2158" s="3"/>
      <c r="AD2158" s="117" t="e">
        <f>ROUND(SUM(-G2158,H2158:L2158),0)</f>
        <v>#VALUE!</v>
      </c>
      <c r="AE2158" s="117" t="e">
        <f>ROUND(H2158-O2158-P2158-Q2158-R2158,0)</f>
        <v>#VALUE!</v>
      </c>
      <c r="AF2158" s="117" t="e">
        <f>ROUND(I2158-T2158-U2158-V2158-W2158,0)</f>
        <v>#VALUE!</v>
      </c>
      <c r="AG2158" s="117" t="e">
        <f>ROUND(J2158-Y2158-Z2158-AA2158-AC2158-AB2158,0)</f>
        <v>#VALUE!</v>
      </c>
      <c r="AH2158" s="116"/>
      <c r="AI2158">
        <f t="shared" si="1355"/>
        <v>1081399</v>
      </c>
      <c r="AJ2158" t="str">
        <f t="shared" si="1350"/>
        <v>NA</v>
      </c>
      <c r="AK2158" t="str">
        <f>IF(ISERROR(MATCH(AI2158&amp;"."&amp;AJ2158,AK$91:AK2157,0)),AI2158&amp;"."&amp;AJ2158,AI2158&amp;"."&amp;AJ2158&amp;COUNTIFS(AI$91:AI2157,AI2158,AJ$91:AJ2157,AJ2158))</f>
        <v>1081399.NA3</v>
      </c>
    </row>
    <row r="2159" spans="1:37" ht="15" hidden="1">
      <c r="A2159" s="120">
        <f>ROW()</f>
        <v>2159</v>
      </c>
      <c r="B2159" s="120"/>
      <c r="E2159" s="121"/>
      <c r="F2159" s="138"/>
      <c r="G2159" s="117" t="e">
        <f t="shared" ref="G2159:L2159" si="1356">SUM(G2158)</f>
        <v>#VALUE!</v>
      </c>
      <c r="H2159" s="116" t="e">
        <f t="shared" si="1356"/>
        <v>#VALUE!</v>
      </c>
      <c r="I2159" s="116" t="e">
        <f t="shared" si="1356"/>
        <v>#VALUE!</v>
      </c>
      <c r="J2159" s="116" t="e">
        <f t="shared" si="1356"/>
        <v>#VALUE!</v>
      </c>
      <c r="K2159" s="116" t="e">
        <f t="shared" si="1356"/>
        <v>#VALUE!</v>
      </c>
      <c r="L2159" s="116" t="e">
        <f t="shared" si="1356"/>
        <v>#VALUE!</v>
      </c>
      <c r="O2159" s="116" t="e">
        <f>SUM(O2158)</f>
        <v>#VALUE!</v>
      </c>
      <c r="P2159" s="116" t="e">
        <f>SUM(P2158)</f>
        <v>#VALUE!</v>
      </c>
      <c r="Q2159" s="116" t="e">
        <f>SUM(Q2158)</f>
        <v>#VALUE!</v>
      </c>
      <c r="R2159" s="116" t="e">
        <f>SUM(R2158)</f>
        <v>#VALUE!</v>
      </c>
      <c r="T2159" s="116" t="e">
        <f>SUM(T2158)</f>
        <v>#VALUE!</v>
      </c>
      <c r="U2159" s="116" t="e">
        <f>SUM(U2158)</f>
        <v>#VALUE!</v>
      </c>
      <c r="V2159" s="116"/>
      <c r="W2159" s="116"/>
      <c r="X2159" s="3"/>
      <c r="Y2159" s="116">
        <f>SUM(Y2158)</f>
        <v>0</v>
      </c>
      <c r="Z2159" s="116">
        <f>SUM(Z2158)</f>
        <v>0</v>
      </c>
      <c r="AA2159" s="116">
        <f>SUM(AA2158)</f>
        <v>0</v>
      </c>
      <c r="AB2159" s="116">
        <f>SUM(AB2158)</f>
        <v>0</v>
      </c>
      <c r="AC2159" s="116">
        <f>SUM(AC2158)</f>
        <v>0</v>
      </c>
      <c r="AD2159" s="117" t="e">
        <f>ROUND(SUM(-G2159,H2159:L2159),0)</f>
        <v>#VALUE!</v>
      </c>
      <c r="AE2159" s="117" t="e">
        <f>ROUND(H2159-O2159-P2159-Q2159-R2159,0)</f>
        <v>#VALUE!</v>
      </c>
      <c r="AF2159" s="117" t="e">
        <f>ROUND(I2159-T2159-U2159-V2159-W2159,0)</f>
        <v>#VALUE!</v>
      </c>
      <c r="AG2159" s="117" t="e">
        <f>ROUND(J2159-Y2159-Z2159-AA2159-AC2159-AB2159,0)</f>
        <v>#VALUE!</v>
      </c>
      <c r="AH2159" s="116"/>
      <c r="AI2159">
        <f t="shared" si="1355"/>
        <v>1081399</v>
      </c>
      <c r="AJ2159" t="str">
        <f t="shared" si="1350"/>
        <v>NA</v>
      </c>
      <c r="AK2159" t="str">
        <f>IF(ISERROR(MATCH(AI2159&amp;"."&amp;AJ2159,AK$91:AK2158,0)),AI2159&amp;"."&amp;AJ2159,AI2159&amp;"."&amp;AJ2159&amp;COUNTIFS(AI$91:AI2158,AI2159,AJ$91:AJ2158,AJ2159))</f>
        <v>1081399.NA4</v>
      </c>
    </row>
    <row r="2160" spans="1:37" ht="15" hidden="1">
      <c r="A2160" s="120">
        <f>ROW()</f>
        <v>2160</v>
      </c>
      <c r="B2160" s="120"/>
      <c r="E2160" s="121"/>
      <c r="F2160" s="138"/>
      <c r="G2160" s="119"/>
      <c r="X2160" s="3"/>
      <c r="AD2160" s="119"/>
      <c r="AE2160" s="119"/>
      <c r="AF2160" s="119"/>
      <c r="AG2160" s="119"/>
      <c r="AI2160">
        <f t="shared" si="1355"/>
        <v>1081399</v>
      </c>
      <c r="AJ2160" t="str">
        <f t="shared" si="1350"/>
        <v>NA</v>
      </c>
      <c r="AK2160" t="str">
        <f>IF(ISERROR(MATCH(AI2160&amp;"."&amp;AJ2160,AK$91:AK2159,0)),AI2160&amp;"."&amp;AJ2160,AI2160&amp;"."&amp;AJ2160&amp;COUNTIFS(AI$91:AI2159,AI2160,AJ$91:AJ2159,AJ2160))</f>
        <v>1081399.NA5</v>
      </c>
    </row>
    <row r="2161" spans="1:37" ht="15" hidden="1">
      <c r="A2161" s="120">
        <f>ROW()</f>
        <v>2161</v>
      </c>
      <c r="B2161" s="120"/>
      <c r="E2161" s="121"/>
      <c r="F2161" s="138"/>
      <c r="G2161" s="119"/>
      <c r="X2161" s="3"/>
      <c r="AD2161" s="119"/>
      <c r="AE2161" s="119"/>
      <c r="AF2161" s="119"/>
      <c r="AG2161" s="119"/>
      <c r="AI2161">
        <f t="shared" si="1355"/>
        <v>1081399</v>
      </c>
      <c r="AJ2161" t="str">
        <f t="shared" si="1350"/>
        <v>NA</v>
      </c>
      <c r="AK2161" t="str">
        <f>IF(ISERROR(MATCH(AI2161&amp;"."&amp;AJ2161,AK$91:AK2160,0)),AI2161&amp;"."&amp;AJ2161,AI2161&amp;"."&amp;AJ2161&amp;COUNTIFS(AI$91:AI2160,AI2161,AJ$91:AJ2160,AJ2161))</f>
        <v>1081399.NA6</v>
      </c>
    </row>
    <row r="2162" spans="1:37" ht="15" hidden="1">
      <c r="A2162" s="120">
        <f>ROW()</f>
        <v>2162</v>
      </c>
      <c r="B2162" s="120"/>
      <c r="C2162" s="110" t="s">
        <v>711</v>
      </c>
      <c r="E2162" s="121"/>
      <c r="F2162" s="138"/>
      <c r="G2162" s="117" t="e">
        <f t="shared" ref="G2162:L2162" si="1357">G2133+G2140</f>
        <v>#VALUE!</v>
      </c>
      <c r="H2162" s="116" t="e">
        <f t="shared" si="1357"/>
        <v>#VALUE!</v>
      </c>
      <c r="I2162" s="116" t="e">
        <f t="shared" si="1357"/>
        <v>#VALUE!</v>
      </c>
      <c r="J2162" s="116" t="e">
        <f t="shared" si="1357"/>
        <v>#VALUE!</v>
      </c>
      <c r="K2162" s="116" t="e">
        <f t="shared" si="1357"/>
        <v>#VALUE!</v>
      </c>
      <c r="L2162" s="116" t="e">
        <f t="shared" si="1357"/>
        <v>#VALUE!</v>
      </c>
      <c r="O2162" s="116" t="e">
        <f>O2133+O2140</f>
        <v>#VALUE!</v>
      </c>
      <c r="P2162" s="116" t="e">
        <f>P2133+P2140</f>
        <v>#VALUE!</v>
      </c>
      <c r="Q2162" s="116" t="e">
        <f>Q2133+Q2140</f>
        <v>#VALUE!</v>
      </c>
      <c r="R2162" s="116" t="e">
        <f>R2133+R2140</f>
        <v>#VALUE!</v>
      </c>
      <c r="S2162" s="116"/>
      <c r="T2162" s="116" t="e">
        <f>T2133+T2140</f>
        <v>#VALUE!</v>
      </c>
      <c r="U2162" s="116" t="e">
        <f>U2133+U2140</f>
        <v>#VALUE!</v>
      </c>
      <c r="V2162" s="116" t="e">
        <f>V2133+V2140</f>
        <v>#VALUE!</v>
      </c>
      <c r="W2162" s="116" t="e">
        <f>W2133+W2140</f>
        <v>#VALUE!</v>
      </c>
      <c r="X2162" s="3"/>
      <c r="Y2162" s="116" t="e">
        <f>Y2133+Y2140</f>
        <v>#VALUE!</v>
      </c>
      <c r="Z2162" s="116" t="e">
        <f>Z2133+Z2140</f>
        <v>#VALUE!</v>
      </c>
      <c r="AA2162" s="116" t="e">
        <f>AA2133+AA2140</f>
        <v>#VALUE!</v>
      </c>
      <c r="AB2162" s="116" t="e">
        <f>AB2133+AB2140</f>
        <v>#VALUE!</v>
      </c>
      <c r="AC2162" s="116" t="e">
        <f>AC2133+AC2140</f>
        <v>#VALUE!</v>
      </c>
      <c r="AD2162" s="117" t="e">
        <f>ROUND(SUM(-G2162,H2162:L2162),0)</f>
        <v>#VALUE!</v>
      </c>
      <c r="AE2162" s="117" t="e">
        <f>ROUND(H2162-O2162-P2162-Q2162-R2162,0)</f>
        <v>#VALUE!</v>
      </c>
      <c r="AF2162" s="117" t="e">
        <f>ROUND(I2162-T2162-U2162-V2162-W2162,0)</f>
        <v>#VALUE!</v>
      </c>
      <c r="AG2162" s="117" t="e">
        <f>ROUND(J2162-Y2162-Z2162-AA2162-AC2162-AB2162,0)</f>
        <v>#VALUE!</v>
      </c>
      <c r="AH2162" s="116"/>
      <c r="AI2162" t="str">
        <f t="shared" si="1355"/>
        <v>TOTAL GENERAL PLANT ACCUM DEPR</v>
      </c>
      <c r="AJ2162" t="str">
        <f t="shared" si="1350"/>
        <v>NA</v>
      </c>
      <c r="AK2162" t="str">
        <f>IF(ISERROR(MATCH(AI2162&amp;"."&amp;AJ2162,AK$91:AK2161,0)),AI2162&amp;"."&amp;AJ2162,AI2162&amp;"."&amp;AJ2162&amp;COUNTIFS(AI$91:AI2161,AI2162,AJ$91:AJ2161,AJ2162))</f>
        <v>TOTAL GENERAL PLANT ACCUM DEPR.NA</v>
      </c>
    </row>
    <row r="2163" spans="1:37" ht="15" hidden="1">
      <c r="A2163" s="120">
        <f>ROW()</f>
        <v>2163</v>
      </c>
      <c r="B2163" s="120"/>
      <c r="E2163" s="121"/>
      <c r="F2163" s="138"/>
      <c r="G2163" s="119"/>
      <c r="X2163" s="3"/>
      <c r="AD2163" s="119"/>
      <c r="AE2163" s="119"/>
      <c r="AF2163" s="119"/>
      <c r="AG2163" s="119"/>
      <c r="AI2163" t="str">
        <f t="shared" si="1355"/>
        <v>TOTAL GENERAL PLANT ACCUM DEPR</v>
      </c>
      <c r="AJ2163" t="str">
        <f t="shared" si="1350"/>
        <v>NA</v>
      </c>
      <c r="AK2163" t="str">
        <f>IF(ISERROR(MATCH(AI2163&amp;"."&amp;AJ2163,AK$91:AK2162,0)),AI2163&amp;"."&amp;AJ2163,AI2163&amp;"."&amp;AJ2163&amp;COUNTIFS(AI$91:AI2162,AI2163,AJ$91:AJ2162,AJ2163))</f>
        <v>TOTAL GENERAL PLANT ACCUM DEPR.NA1</v>
      </c>
    </row>
    <row r="2164" spans="1:37" ht="15" hidden="1">
      <c r="A2164" s="120">
        <f>ROW()</f>
        <v>2164</v>
      </c>
      <c r="B2164" s="120"/>
      <c r="E2164" s="121"/>
      <c r="F2164" s="138"/>
      <c r="G2164" s="119"/>
      <c r="X2164" s="3"/>
      <c r="AD2164" s="119"/>
      <c r="AE2164" s="119"/>
      <c r="AF2164" s="119"/>
      <c r="AG2164" s="119"/>
      <c r="AI2164" t="str">
        <f t="shared" si="1355"/>
        <v>TOTAL GENERAL PLANT ACCUM DEPR</v>
      </c>
      <c r="AJ2164" t="str">
        <f t="shared" si="1350"/>
        <v>NA</v>
      </c>
      <c r="AK2164" t="str">
        <f>IF(ISERROR(MATCH(AI2164&amp;"."&amp;AJ2164,AK$91:AK2163,0)),AI2164&amp;"."&amp;AJ2164,AI2164&amp;"."&amp;AJ2164&amp;COUNTIFS(AI$91:AI2163,AI2164,AJ$91:AJ2163,AJ2164))</f>
        <v>TOTAL GENERAL PLANT ACCUM DEPR.NA2</v>
      </c>
    </row>
    <row r="2165" spans="1:37" ht="15" hidden="1">
      <c r="A2165" s="120">
        <f>ROW()</f>
        <v>2165</v>
      </c>
      <c r="B2165" s="120"/>
      <c r="C2165" s="110" t="s">
        <v>710</v>
      </c>
      <c r="E2165" s="121"/>
      <c r="F2165" s="138"/>
      <c r="G2165" s="117" t="e">
        <f t="shared" ref="G2165:L2165" si="1358">G2162+G2121+G2054+G2048</f>
        <v>#VALUE!</v>
      </c>
      <c r="H2165" s="116" t="e">
        <f t="shared" si="1358"/>
        <v>#VALUE!</v>
      </c>
      <c r="I2165" s="116" t="e">
        <f t="shared" si="1358"/>
        <v>#VALUE!</v>
      </c>
      <c r="J2165" s="116" t="e">
        <f t="shared" si="1358"/>
        <v>#VALUE!</v>
      </c>
      <c r="K2165" s="116" t="e">
        <f t="shared" si="1358"/>
        <v>#VALUE!</v>
      </c>
      <c r="L2165" s="116" t="e">
        <f t="shared" si="1358"/>
        <v>#VALUE!</v>
      </c>
      <c r="O2165" s="116" t="e">
        <f>O2162+O2121+O2054+O2048</f>
        <v>#VALUE!</v>
      </c>
      <c r="P2165" s="116" t="e">
        <f>P2162+P2121+P2054+P2048</f>
        <v>#VALUE!</v>
      </c>
      <c r="Q2165" s="116" t="e">
        <f>Q2162+Q2121+Q2054+Q2048</f>
        <v>#VALUE!</v>
      </c>
      <c r="R2165" s="116" t="e">
        <f>R2162+R2121+R2054+R2048</f>
        <v>#VALUE!</v>
      </c>
      <c r="S2165" s="116"/>
      <c r="T2165" s="116" t="e">
        <f>T2162+T2121+T2054+T2048</f>
        <v>#VALUE!</v>
      </c>
      <c r="U2165" s="116" t="e">
        <f>U2162+U2121+U2054+U2048</f>
        <v>#VALUE!</v>
      </c>
      <c r="V2165" s="116" t="e">
        <f>V2162+V2121+V2054+V2048</f>
        <v>#VALUE!</v>
      </c>
      <c r="W2165" s="116" t="e">
        <f>W2162+W2121+W2054+W2048</f>
        <v>#VALUE!</v>
      </c>
      <c r="X2165" s="3"/>
      <c r="Y2165" s="116" t="e">
        <f>Y2162+Y2121+Y2054+Y2048</f>
        <v>#VALUE!</v>
      </c>
      <c r="Z2165" s="116" t="e">
        <f>Z2162+Z2121+Z2054+Z2048</f>
        <v>#VALUE!</v>
      </c>
      <c r="AA2165" s="116" t="e">
        <f>AA2162+AA2121+AA2054+AA2048</f>
        <v>#VALUE!</v>
      </c>
      <c r="AB2165" s="116" t="e">
        <f>AB2162+AB2121+AB2054+AB2048</f>
        <v>#VALUE!</v>
      </c>
      <c r="AC2165" s="116" t="e">
        <f>AC2162+AC2121+AC2054+AC2048</f>
        <v>#VALUE!</v>
      </c>
      <c r="AD2165" s="117" t="e">
        <f>ROUND(SUM(-G2165,H2165:L2165),0)</f>
        <v>#VALUE!</v>
      </c>
      <c r="AE2165" s="117" t="e">
        <f>ROUND(H2165-O2165-P2165-Q2165-R2165,0)</f>
        <v>#VALUE!</v>
      </c>
      <c r="AF2165" s="117" t="e">
        <f>ROUND(I2165-T2165-U2165-V2165-W2165,0)</f>
        <v>#VALUE!</v>
      </c>
      <c r="AG2165" s="117" t="e">
        <f>ROUND(J2165-Y2165-Z2165-AA2165-AC2165-AB2165,0)</f>
        <v>#VALUE!</v>
      </c>
      <c r="AH2165" s="116"/>
      <c r="AI2165" t="str">
        <f t="shared" si="1355"/>
        <v>TOTAL ACCUM DEPR - PLANT IN SERVICE</v>
      </c>
      <c r="AJ2165" t="str">
        <f t="shared" si="1350"/>
        <v>NA</v>
      </c>
      <c r="AK2165" t="str">
        <f>IF(ISERROR(MATCH(AI2165&amp;"."&amp;AJ2165,AK$91:AK2164,0)),AI2165&amp;"."&amp;AJ2165,AI2165&amp;"."&amp;AJ2165&amp;COUNTIFS(AI$91:AI2164,AI2165,AJ$91:AJ2164,AJ2165))</f>
        <v>TOTAL ACCUM DEPR - PLANT IN SERVICE.NA</v>
      </c>
    </row>
    <row r="2166" spans="1:37" ht="15" hidden="1">
      <c r="A2166" s="120">
        <f>ROW()</f>
        <v>2166</v>
      </c>
      <c r="B2166" s="120"/>
      <c r="E2166" s="121"/>
      <c r="F2166" s="138"/>
      <c r="G2166" s="119"/>
      <c r="X2166" s="3"/>
      <c r="AD2166" s="119"/>
      <c r="AE2166" s="119"/>
      <c r="AF2166" s="119"/>
      <c r="AG2166" s="119"/>
      <c r="AI2166" t="str">
        <f t="shared" si="1355"/>
        <v>TOTAL ACCUM DEPR - PLANT IN SERVICE</v>
      </c>
      <c r="AJ2166" t="str">
        <f t="shared" si="1350"/>
        <v>NA</v>
      </c>
      <c r="AK2166" t="str">
        <f>IF(ISERROR(MATCH(AI2166&amp;"."&amp;AJ2166,AK$91:AK2165,0)),AI2166&amp;"."&amp;AJ2166,AI2166&amp;"."&amp;AJ2166&amp;COUNTIFS(AI$91:AI2165,AI2166,AJ$91:AJ2165,AJ2166))</f>
        <v>TOTAL ACCUM DEPR - PLANT IN SERVICE.NA1</v>
      </c>
    </row>
    <row r="2167" spans="1:37" ht="15" hidden="1">
      <c r="A2167" s="120">
        <f>ROW()</f>
        <v>2167</v>
      </c>
      <c r="B2167" s="120"/>
      <c r="C2167" s="1"/>
      <c r="E2167" s="121"/>
      <c r="F2167" s="138"/>
      <c r="G2167" s="119"/>
      <c r="X2167" s="3"/>
      <c r="AD2167" s="119"/>
      <c r="AE2167" s="119"/>
      <c r="AF2167" s="119"/>
      <c r="AG2167" s="119"/>
      <c r="AI2167" t="str">
        <f t="shared" si="1355"/>
        <v>TOTAL ACCUM DEPR - PLANT IN SERVICE</v>
      </c>
      <c r="AJ2167" t="str">
        <f t="shared" si="1350"/>
        <v>NA</v>
      </c>
      <c r="AK2167" t="str">
        <f>IF(ISERROR(MATCH(AI2167&amp;"."&amp;AJ2167,AK$91:AK2166,0)),AI2167&amp;"."&amp;AJ2167,AI2167&amp;"."&amp;AJ2167&amp;COUNTIFS(AI$91:AI2166,AI2167,AJ$91:AJ2166,AJ2167))</f>
        <v>TOTAL ACCUM DEPR - PLANT IN SERVICE.NA2</v>
      </c>
    </row>
    <row r="2168" spans="1:37" ht="15" hidden="1">
      <c r="A2168" s="120">
        <f>ROW()</f>
        <v>2168</v>
      </c>
      <c r="B2168" s="120"/>
      <c r="C2168" s="1" t="s">
        <v>215</v>
      </c>
      <c r="D2168" s="2" t="s">
        <v>695</v>
      </c>
      <c r="E2168" s="121"/>
      <c r="F2168" s="138"/>
      <c r="G2168" s="119"/>
      <c r="X2168" s="3"/>
      <c r="AD2168" s="119"/>
      <c r="AE2168" s="119"/>
      <c r="AF2168" s="119"/>
      <c r="AG2168" s="119"/>
      <c r="AI2168" t="str">
        <f t="shared" si="1355"/>
        <v>111SP</v>
      </c>
      <c r="AJ2168" t="str">
        <f t="shared" si="1350"/>
        <v>NA</v>
      </c>
      <c r="AK2168" t="str">
        <f>IF(ISERROR(MATCH(AI2168&amp;"."&amp;AJ2168,AK$91:AK2167,0)),AI2168&amp;"."&amp;AJ2168,AI2168&amp;"."&amp;AJ2168&amp;COUNTIFS(AI$91:AI2167,AI2168,AJ$91:AJ2167,AJ2168))</f>
        <v>111SP.NA</v>
      </c>
    </row>
    <row r="2169" spans="1:37" ht="15" hidden="1">
      <c r="A2169" s="120">
        <f>ROW()</f>
        <v>2169</v>
      </c>
      <c r="B2169" s="120"/>
      <c r="C2169" s="1"/>
      <c r="E2169" s="121" t="s">
        <v>15</v>
      </c>
      <c r="F2169" s="138" t="str">
        <f>INDEX(FuncAllocOptions,ROW(A2169)-ROW($A$92)+1,[4]Inputs!$S$11)</f>
        <v>P</v>
      </c>
      <c r="G2169" s="117" t="e">
        <f>SUMIF(FERCJAMFactor,AK2169,JAMValue)</f>
        <v>#VALUE!</v>
      </c>
      <c r="H2169" s="116" t="e">
        <f t="shared" ref="H2169:L2170" si="1359">INDEX(FuncFactorTbl,MATCH($F2169,FuncFactors,0),MATCH(H$8,Functions,0))*$G2169</f>
        <v>#VALUE!</v>
      </c>
      <c r="I2169" s="116" t="e">
        <f t="shared" si="1359"/>
        <v>#VALUE!</v>
      </c>
      <c r="J2169" s="116" t="e">
        <f t="shared" si="1359"/>
        <v>#VALUE!</v>
      </c>
      <c r="K2169" s="116" t="e">
        <f t="shared" si="1359"/>
        <v>#VALUE!</v>
      </c>
      <c r="L2169" s="116" t="e">
        <f t="shared" si="1359"/>
        <v>#VALUE!</v>
      </c>
      <c r="N2169" s="108">
        <v>0.75</v>
      </c>
      <c r="O2169" s="116" t="e">
        <f>$H2169*$N2169*$M2169</f>
        <v>#VALUE!</v>
      </c>
      <c r="P2169" s="116" t="e">
        <f>$H2169*(1-$N2169)*$M2169</f>
        <v>#VALUE!</v>
      </c>
      <c r="Q2169" s="116" t="e">
        <f>$H2169*$N2169*(1-$M2169)</f>
        <v>#VALUE!</v>
      </c>
      <c r="R2169" s="116" t="e">
        <f>$H2169*(1-$N2169)*(1-$M2169)</f>
        <v>#VALUE!</v>
      </c>
      <c r="S2169" s="108">
        <v>0.75</v>
      </c>
      <c r="T2169" s="116" t="e">
        <f>$I2169*$S2169*$M2169</f>
        <v>#VALUE!</v>
      </c>
      <c r="U2169" s="116" t="e">
        <f>$I2169*(1-$S2169)*$M2169</f>
        <v>#VALUE!</v>
      </c>
      <c r="V2169" s="116" t="e">
        <f>$I2169*$S2169*(1-$M2169)</f>
        <v>#VALUE!</v>
      </c>
      <c r="W2169" s="116" t="e">
        <f>$I2169*(1-$S2169)*(1-$M2169)</f>
        <v>#VALUE!</v>
      </c>
      <c r="X2169" s="3" t="str">
        <f>INDEX(DistFuncAllocOptions,ROW(A2169)-ROW($A$92)+1,[4]Inputs!$S$11)</f>
        <v>PLNT</v>
      </c>
      <c r="Y2169" s="116" t="e">
        <f t="shared" ref="Y2169:AC2170" si="1360">INDEX(DistFuncFactorTbl,MATCH($X2169,DistFuncFactors,0),MATCH(Y$91,DistFunctions,0))*$J2169</f>
        <v>#VALUE!</v>
      </c>
      <c r="Z2169" s="116" t="e">
        <f t="shared" si="1360"/>
        <v>#VALUE!</v>
      </c>
      <c r="AA2169" s="116" t="e">
        <f t="shared" si="1360"/>
        <v>#VALUE!</v>
      </c>
      <c r="AB2169" s="116" t="e">
        <f t="shared" si="1360"/>
        <v>#VALUE!</v>
      </c>
      <c r="AC2169" s="116" t="e">
        <f t="shared" si="1360"/>
        <v>#VALUE!</v>
      </c>
      <c r="AD2169" s="117" t="e">
        <f>ROUND(SUM(-G2169,H2169:L2169),0)</f>
        <v>#VALUE!</v>
      </c>
      <c r="AE2169" s="117" t="e">
        <f>ROUND(H2169-O2169-P2169-Q2169-R2169,0)</f>
        <v>#VALUE!</v>
      </c>
      <c r="AF2169" s="117" t="e">
        <f>ROUND(I2169-T2169-U2169-V2169-W2169,0)</f>
        <v>#VALUE!</v>
      </c>
      <c r="AG2169" s="117" t="e">
        <f>ROUND(J2169-Y2169-Z2169-AA2169-AC2169-AB2169,0)</f>
        <v>#VALUE!</v>
      </c>
      <c r="AH2169" s="116"/>
      <c r="AI2169" t="str">
        <f t="shared" si="1355"/>
        <v>111SP</v>
      </c>
      <c r="AJ2169" t="str">
        <f t="shared" si="1350"/>
        <v>SG</v>
      </c>
      <c r="AK2169" t="str">
        <f>IF(ISERROR(MATCH(AI2169&amp;"."&amp;AJ2169,AK$91:AK2168,0)),AI2169&amp;"."&amp;AJ2169,AI2169&amp;"."&amp;AJ2169&amp;COUNTIFS(AI$91:AI2168,AI2169,AJ$91:AJ2168,AJ2169))</f>
        <v>111SP.SG</v>
      </c>
    </row>
    <row r="2170" spans="1:37" ht="15" hidden="1">
      <c r="A2170" s="120">
        <f>ROW()</f>
        <v>2170</v>
      </c>
      <c r="B2170" s="120"/>
      <c r="C2170" s="1"/>
      <c r="E2170" s="121" t="s">
        <v>15</v>
      </c>
      <c r="F2170" s="138" t="str">
        <f>INDEX(FuncAllocOptions,ROW(A2170)-ROW($A$92)+1,[4]Inputs!$S$11)</f>
        <v>P</v>
      </c>
      <c r="G2170" s="133" t="e">
        <f>SUMIF(FERCJAMFactor,AK2170,JAMValue)</f>
        <v>#VALUE!</v>
      </c>
      <c r="H2170" s="139" t="e">
        <f t="shared" si="1359"/>
        <v>#VALUE!</v>
      </c>
      <c r="I2170" s="139" t="e">
        <f t="shared" si="1359"/>
        <v>#VALUE!</v>
      </c>
      <c r="J2170" s="139" t="e">
        <f t="shared" si="1359"/>
        <v>#VALUE!</v>
      </c>
      <c r="K2170" s="139" t="e">
        <f t="shared" si="1359"/>
        <v>#VALUE!</v>
      </c>
      <c r="L2170" s="139" t="e">
        <f t="shared" si="1359"/>
        <v>#VALUE!</v>
      </c>
      <c r="N2170" s="108">
        <v>0.75</v>
      </c>
      <c r="O2170" s="116" t="e">
        <f>$H2170*$N2170*$M2170</f>
        <v>#VALUE!</v>
      </c>
      <c r="P2170" s="116" t="e">
        <f>$H2170*(1-$N2170)*$M2170</f>
        <v>#VALUE!</v>
      </c>
      <c r="Q2170" s="116" t="e">
        <f>$H2170*$N2170*(1-$M2170)</f>
        <v>#VALUE!</v>
      </c>
      <c r="R2170" s="116" t="e">
        <f>$H2170*(1-$N2170)*(1-$M2170)</f>
        <v>#VALUE!</v>
      </c>
      <c r="S2170" s="108">
        <v>0.75</v>
      </c>
      <c r="T2170" s="116" t="e">
        <f>$I2170*$S2170*$M2170</f>
        <v>#VALUE!</v>
      </c>
      <c r="U2170" s="116" t="e">
        <f>$I2170*(1-$S2170)*$M2170</f>
        <v>#VALUE!</v>
      </c>
      <c r="V2170" s="116" t="e">
        <f>$I2170*$S2170*(1-$M2170)</f>
        <v>#VALUE!</v>
      </c>
      <c r="W2170" s="116" t="e">
        <f>$I2170*(1-$S2170)*(1-$M2170)</f>
        <v>#VALUE!</v>
      </c>
      <c r="X2170" s="3" t="str">
        <f>INDEX(DistFuncAllocOptions,ROW(A2170)-ROW($A$92)+1,[4]Inputs!$S$11)</f>
        <v>PLNT</v>
      </c>
      <c r="Y2170" s="116" t="e">
        <f t="shared" si="1360"/>
        <v>#VALUE!</v>
      </c>
      <c r="Z2170" s="116" t="e">
        <f t="shared" si="1360"/>
        <v>#VALUE!</v>
      </c>
      <c r="AA2170" s="116" t="e">
        <f t="shared" si="1360"/>
        <v>#VALUE!</v>
      </c>
      <c r="AB2170" s="116" t="e">
        <f t="shared" si="1360"/>
        <v>#VALUE!</v>
      </c>
      <c r="AC2170" s="116" t="e">
        <f t="shared" si="1360"/>
        <v>#VALUE!</v>
      </c>
      <c r="AD2170" s="117" t="e">
        <f>ROUND(SUM(-G2170,H2170:L2170),0)</f>
        <v>#VALUE!</v>
      </c>
      <c r="AE2170" s="117" t="e">
        <f>ROUND(H2170-O2170-P2170-Q2170-R2170,0)</f>
        <v>#VALUE!</v>
      </c>
      <c r="AF2170" s="117" t="e">
        <f>ROUND(I2170-T2170-U2170-V2170-W2170,0)</f>
        <v>#VALUE!</v>
      </c>
      <c r="AG2170" s="117" t="e">
        <f>ROUND(J2170-Y2170-Z2170-AA2170-AC2170-AB2170,0)</f>
        <v>#VALUE!</v>
      </c>
      <c r="AH2170" s="116"/>
      <c r="AI2170" t="str">
        <f t="shared" si="1355"/>
        <v>111SP</v>
      </c>
      <c r="AJ2170" t="str">
        <f t="shared" si="1350"/>
        <v>SG</v>
      </c>
      <c r="AK2170" t="str">
        <f>IF(ISERROR(MATCH(AI2170&amp;"."&amp;AJ2170,AK$91:AK2169,0)),AI2170&amp;"."&amp;AJ2170,AI2170&amp;"."&amp;AJ2170&amp;COUNTIFS(AI$91:AI2169,AI2170,AJ$91:AJ2169,AJ2170))</f>
        <v>111SP.SG1</v>
      </c>
    </row>
    <row r="2171" spans="1:37" ht="15" hidden="1">
      <c r="A2171" s="120">
        <f>ROW()</f>
        <v>2171</v>
      </c>
      <c r="B2171" s="120"/>
      <c r="C2171" s="1"/>
      <c r="E2171" s="121"/>
      <c r="F2171" s="138"/>
      <c r="G2171" s="117" t="e">
        <f t="shared" ref="G2171:L2171" si="1361">SUM(G2169:G2170)</f>
        <v>#VALUE!</v>
      </c>
      <c r="H2171" s="116" t="e">
        <f t="shared" si="1361"/>
        <v>#VALUE!</v>
      </c>
      <c r="I2171" s="116" t="e">
        <f t="shared" si="1361"/>
        <v>#VALUE!</v>
      </c>
      <c r="J2171" s="116" t="e">
        <f t="shared" si="1361"/>
        <v>#VALUE!</v>
      </c>
      <c r="K2171" s="116" t="e">
        <f t="shared" si="1361"/>
        <v>#VALUE!</v>
      </c>
      <c r="L2171" s="116" t="e">
        <f t="shared" si="1361"/>
        <v>#VALUE!</v>
      </c>
      <c r="O2171" s="116" t="e">
        <f>SUM(O2169:O2170)</f>
        <v>#VALUE!</v>
      </c>
      <c r="P2171" s="116" t="e">
        <f>SUM(P2169:P2170)</f>
        <v>#VALUE!</v>
      </c>
      <c r="Q2171" s="116" t="e">
        <f>SUM(Q2169:Q2170)</f>
        <v>#VALUE!</v>
      </c>
      <c r="R2171" s="116" t="e">
        <f>SUM(R2169:R2170)</f>
        <v>#VALUE!</v>
      </c>
      <c r="T2171" s="116" t="e">
        <f>SUM(T2169:T2170)</f>
        <v>#VALUE!</v>
      </c>
      <c r="U2171" s="116" t="e">
        <f>SUM(U2169:U2170)</f>
        <v>#VALUE!</v>
      </c>
      <c r="V2171" s="116" t="e">
        <f>SUM(V2169:V2170)</f>
        <v>#VALUE!</v>
      </c>
      <c r="W2171" s="116" t="e">
        <f>SUM(W2169:W2170)</f>
        <v>#VALUE!</v>
      </c>
      <c r="X2171" s="3"/>
      <c r="Y2171" s="116" t="e">
        <f>SUM(Y2169:Y2170)</f>
        <v>#VALUE!</v>
      </c>
      <c r="Z2171" s="116" t="e">
        <f>SUM(Z2169:Z2170)</f>
        <v>#VALUE!</v>
      </c>
      <c r="AA2171" s="116" t="e">
        <f>SUM(AA2169:AA2170)</f>
        <v>#VALUE!</v>
      </c>
      <c r="AB2171" s="116" t="e">
        <f>SUM(AB2169:AB2170)</f>
        <v>#VALUE!</v>
      </c>
      <c r="AC2171" s="116" t="e">
        <f>SUM(AC2169:AC2170)</f>
        <v>#VALUE!</v>
      </c>
      <c r="AD2171" s="117" t="e">
        <f>ROUND(SUM(-G2171,H2171:L2171),0)</f>
        <v>#VALUE!</v>
      </c>
      <c r="AE2171" s="117" t="e">
        <f>ROUND(H2171-O2171-P2171-Q2171-R2171,0)</f>
        <v>#VALUE!</v>
      </c>
      <c r="AF2171" s="117" t="e">
        <f>ROUND(I2171-T2171-U2171-V2171-W2171,0)</f>
        <v>#VALUE!</v>
      </c>
      <c r="AG2171" s="117" t="e">
        <f>ROUND(J2171-Y2171-Z2171-AA2171-AC2171-AB2171,0)</f>
        <v>#VALUE!</v>
      </c>
      <c r="AH2171" s="116"/>
      <c r="AI2171" t="str">
        <f t="shared" si="1355"/>
        <v>111SP</v>
      </c>
      <c r="AJ2171" t="str">
        <f t="shared" si="1350"/>
        <v>NA</v>
      </c>
      <c r="AK2171" t="str">
        <f>IF(ISERROR(MATCH(AI2171&amp;"."&amp;AJ2171,AK$91:AK2170,0)),AI2171&amp;"."&amp;AJ2171,AI2171&amp;"."&amp;AJ2171&amp;COUNTIFS(AI$91:AI2170,AI2171,AJ$91:AJ2170,AJ2171))</f>
        <v>111SP.NA1</v>
      </c>
    </row>
    <row r="2172" spans="1:37" ht="15" hidden="1">
      <c r="A2172" s="120">
        <f>ROW()</f>
        <v>2172</v>
      </c>
      <c r="B2172" s="120"/>
      <c r="C2172" s="1"/>
      <c r="E2172" s="121"/>
      <c r="F2172" s="138"/>
      <c r="G2172" s="119"/>
      <c r="X2172" s="3"/>
      <c r="AD2172" s="119"/>
      <c r="AE2172" s="119"/>
      <c r="AF2172" s="119"/>
      <c r="AG2172" s="119"/>
      <c r="AI2172" t="str">
        <f t="shared" si="1355"/>
        <v>111SP</v>
      </c>
      <c r="AJ2172" t="str">
        <f t="shared" si="1350"/>
        <v>NA</v>
      </c>
      <c r="AK2172" t="str">
        <f>IF(ISERROR(MATCH(AI2172&amp;"."&amp;AJ2172,AK$91:AK2171,0)),AI2172&amp;"."&amp;AJ2172,AI2172&amp;"."&amp;AJ2172&amp;COUNTIFS(AI$91:AI2171,AI2172,AJ$91:AJ2171,AJ2172))</f>
        <v>111SP.NA2</v>
      </c>
    </row>
    <row r="2173" spans="1:37" ht="15" hidden="1">
      <c r="A2173" s="120">
        <f>ROW()</f>
        <v>2173</v>
      </c>
      <c r="B2173" s="120"/>
      <c r="C2173" s="1"/>
      <c r="E2173" s="121"/>
      <c r="F2173" s="138"/>
      <c r="G2173" s="119"/>
      <c r="X2173" s="3"/>
      <c r="AD2173" s="119"/>
      <c r="AE2173" s="119"/>
      <c r="AF2173" s="119"/>
      <c r="AG2173" s="119"/>
      <c r="AI2173" t="str">
        <f t="shared" si="1355"/>
        <v>111SP</v>
      </c>
      <c r="AJ2173" t="str">
        <f t="shared" si="1350"/>
        <v>NA</v>
      </c>
      <c r="AK2173" t="str">
        <f>IF(ISERROR(MATCH(AI2173&amp;"."&amp;AJ2173,AK$91:AK2172,0)),AI2173&amp;"."&amp;AJ2173,AI2173&amp;"."&amp;AJ2173&amp;COUNTIFS(AI$91:AI2172,AI2173,AJ$91:AJ2172,AJ2173))</f>
        <v>111SP.NA3</v>
      </c>
    </row>
    <row r="2174" spans="1:37" ht="15" hidden="1">
      <c r="A2174" s="120">
        <f>ROW()</f>
        <v>2174</v>
      </c>
      <c r="B2174" s="120"/>
      <c r="C2174" s="1" t="s">
        <v>211</v>
      </c>
      <c r="D2174" s="2" t="s">
        <v>697</v>
      </c>
      <c r="E2174" s="121"/>
      <c r="F2174" s="138"/>
      <c r="G2174" s="140"/>
      <c r="X2174" s="3"/>
      <c r="AD2174" s="119"/>
      <c r="AE2174" s="119"/>
      <c r="AF2174" s="119"/>
      <c r="AG2174" s="119"/>
      <c r="AI2174" t="str">
        <f t="shared" si="1355"/>
        <v>111GP</v>
      </c>
      <c r="AJ2174" t="str">
        <f t="shared" si="1350"/>
        <v>NA</v>
      </c>
      <c r="AK2174" t="str">
        <f>IF(ISERROR(MATCH(AI2174&amp;"."&amp;AJ2174,AK$91:AK2173,0)),AI2174&amp;"."&amp;AJ2174,AI2174&amp;"."&amp;AJ2174&amp;COUNTIFS(AI$91:AI2173,AI2174,AJ$91:AJ2173,AJ2174))</f>
        <v>111GP.NA</v>
      </c>
    </row>
    <row r="2175" spans="1:37" ht="15" hidden="1">
      <c r="A2175" s="120">
        <f>ROW()</f>
        <v>2175</v>
      </c>
      <c r="B2175" s="120"/>
      <c r="C2175" s="1"/>
      <c r="E2175" s="121" t="s">
        <v>12</v>
      </c>
      <c r="F2175" s="138" t="str">
        <f>INDEX(FuncAllocOptions,ROW(A2175)-ROW($A$92)+1,[4]Inputs!$S$11)</f>
        <v>G-SITUS</v>
      </c>
      <c r="G2175" s="117" t="e">
        <f>SUMIF(FERCJAMFactor,AK2175,JAMValue)</f>
        <v>#VALUE!</v>
      </c>
      <c r="H2175" s="116" t="e">
        <f t="shared" ref="H2175:L2179" si="1362">INDEX(FuncFactorTbl,MATCH($F2175,FuncFactors,0),MATCH(H$8,Functions,0))*$G2175</f>
        <v>#VALUE!</v>
      </c>
      <c r="I2175" s="116" t="e">
        <f t="shared" si="1362"/>
        <v>#VALUE!</v>
      </c>
      <c r="J2175" s="116" t="e">
        <f t="shared" si="1362"/>
        <v>#VALUE!</v>
      </c>
      <c r="K2175" s="116" t="e">
        <f t="shared" si="1362"/>
        <v>#VALUE!</v>
      </c>
      <c r="L2175" s="116" t="e">
        <f t="shared" si="1362"/>
        <v>#VALUE!</v>
      </c>
      <c r="N2175" s="108">
        <v>0.75</v>
      </c>
      <c r="O2175" s="116" t="e">
        <f>$H2175*$N2175*$M2175</f>
        <v>#VALUE!</v>
      </c>
      <c r="P2175" s="116" t="e">
        <f>$H2175*(1-$N2175)*$M2175</f>
        <v>#VALUE!</v>
      </c>
      <c r="Q2175" s="116" t="e">
        <f>$H2175*$N2175*(1-$M2175)</f>
        <v>#VALUE!</v>
      </c>
      <c r="R2175" s="116" t="e">
        <f>$H2175*(1-$N2175)*(1-$M2175)</f>
        <v>#VALUE!</v>
      </c>
      <c r="S2175" s="108">
        <v>0.75</v>
      </c>
      <c r="T2175" s="116" t="e">
        <f>$I2175*$S2175*$M2175</f>
        <v>#VALUE!</v>
      </c>
      <c r="U2175" s="116" t="e">
        <f>$I2175*(1-$S2175)*$M2175</f>
        <v>#VALUE!</v>
      </c>
      <c r="V2175" s="116" t="e">
        <f>$I2175*$S2175*(1-$M2175)</f>
        <v>#VALUE!</v>
      </c>
      <c r="W2175" s="116" t="e">
        <f>$I2175*(1-$S2175)*(1-$M2175)</f>
        <v>#VALUE!</v>
      </c>
      <c r="X2175" s="3" t="str">
        <f>INDEX(DistFuncAllocOptions,ROW(A2175)-ROW($A$92)+1,[4]Inputs!$S$11)</f>
        <v>PLNT</v>
      </c>
      <c r="Y2175" s="116" t="e">
        <f t="shared" ref="Y2175:AC2179" si="1363">INDEX(DistFuncFactorTbl,MATCH($X2175,DistFuncFactors,0),MATCH(Y$91,DistFunctions,0))*$J2175</f>
        <v>#VALUE!</v>
      </c>
      <c r="Z2175" s="116" t="e">
        <f t="shared" si="1363"/>
        <v>#VALUE!</v>
      </c>
      <c r="AA2175" s="116" t="e">
        <f t="shared" si="1363"/>
        <v>#VALUE!</v>
      </c>
      <c r="AB2175" s="116" t="e">
        <f t="shared" si="1363"/>
        <v>#VALUE!</v>
      </c>
      <c r="AC2175" s="116" t="e">
        <f t="shared" si="1363"/>
        <v>#VALUE!</v>
      </c>
      <c r="AD2175" s="117" t="e">
        <f t="shared" ref="AD2175:AD2180" si="1364">ROUND(SUM(-G2175,H2175:L2175),0)</f>
        <v>#VALUE!</v>
      </c>
      <c r="AE2175" s="117" t="e">
        <f t="shared" ref="AE2175:AE2180" si="1365">ROUND(H2175-O2175-P2175-Q2175-R2175,0)</f>
        <v>#VALUE!</v>
      </c>
      <c r="AF2175" s="117" t="e">
        <f t="shared" ref="AF2175:AF2180" si="1366">ROUND(I2175-T2175-U2175-V2175-W2175,0)</f>
        <v>#VALUE!</v>
      </c>
      <c r="AG2175" s="117" t="e">
        <f t="shared" ref="AG2175:AG2180" si="1367">ROUND(J2175-Y2175-Z2175-AA2175-AC2175-AB2175,0)</f>
        <v>#VALUE!</v>
      </c>
      <c r="AH2175" s="116"/>
      <c r="AI2175" t="str">
        <f t="shared" si="1355"/>
        <v>111GP</v>
      </c>
      <c r="AJ2175" t="str">
        <f t="shared" si="1350"/>
        <v>S</v>
      </c>
      <c r="AK2175" t="str">
        <f>IF(ISERROR(MATCH(AI2175&amp;"."&amp;AJ2175,AK$91:AK2174,0)),AI2175&amp;"."&amp;AJ2175,AI2175&amp;"."&amp;AJ2175&amp;COUNTIFS(AI$91:AI2174,AI2175,AJ$91:AJ2174,AJ2175))</f>
        <v>111GP.S</v>
      </c>
    </row>
    <row r="2176" spans="1:37" ht="15" hidden="1">
      <c r="A2176" s="120">
        <f>ROW()</f>
        <v>2176</v>
      </c>
      <c r="B2176" s="120"/>
      <c r="C2176" s="1"/>
      <c r="E2176" s="121" t="s">
        <v>155</v>
      </c>
      <c r="F2176" s="138" t="str">
        <f>INDEX(FuncAllocOptions,ROW(A2176)-ROW($A$92)+1,[4]Inputs!$S$11)</f>
        <v>CUST</v>
      </c>
      <c r="G2176" s="117" t="e">
        <f>SUMIF(FERCJAMFactor,AK2176,JAMValue)</f>
        <v>#VALUE!</v>
      </c>
      <c r="H2176" s="116" t="e">
        <f t="shared" si="1362"/>
        <v>#VALUE!</v>
      </c>
      <c r="I2176" s="116" t="e">
        <f t="shared" si="1362"/>
        <v>#VALUE!</v>
      </c>
      <c r="J2176" s="116" t="e">
        <f t="shared" si="1362"/>
        <v>#VALUE!</v>
      </c>
      <c r="K2176" s="116" t="e">
        <f t="shared" si="1362"/>
        <v>#VALUE!</v>
      </c>
      <c r="L2176" s="116" t="e">
        <f t="shared" si="1362"/>
        <v>#VALUE!</v>
      </c>
      <c r="N2176" s="108">
        <v>0.75</v>
      </c>
      <c r="O2176" s="116" t="e">
        <f>$H2176*$N2176*$M2176</f>
        <v>#VALUE!</v>
      </c>
      <c r="P2176" s="116" t="e">
        <f>$H2176*(1-$N2176)*$M2176</f>
        <v>#VALUE!</v>
      </c>
      <c r="Q2176" s="116" t="e">
        <f>$H2176*$N2176*(1-$M2176)</f>
        <v>#VALUE!</v>
      </c>
      <c r="R2176" s="116" t="e">
        <f>$H2176*(1-$N2176)*(1-$M2176)</f>
        <v>#VALUE!</v>
      </c>
      <c r="S2176" s="108">
        <v>0.75</v>
      </c>
      <c r="T2176" s="116" t="e">
        <f>$I2176*$S2176*$M2176</f>
        <v>#VALUE!</v>
      </c>
      <c r="U2176" s="116" t="e">
        <f>$I2176*(1-$S2176)*$M2176</f>
        <v>#VALUE!</v>
      </c>
      <c r="V2176" s="116" t="e">
        <f>$I2176*$S2176*(1-$M2176)</f>
        <v>#VALUE!</v>
      </c>
      <c r="W2176" s="116" t="e">
        <f>$I2176*(1-$S2176)*(1-$M2176)</f>
        <v>#VALUE!</v>
      </c>
      <c r="X2176" s="3" t="str">
        <f>INDEX(DistFuncAllocOptions,ROW(A2176)-ROW($A$92)+1,[4]Inputs!$S$11)</f>
        <v>CUST</v>
      </c>
      <c r="Y2176" s="116" t="e">
        <f t="shared" si="1363"/>
        <v>#VALUE!</v>
      </c>
      <c r="Z2176" s="116" t="e">
        <f t="shared" si="1363"/>
        <v>#VALUE!</v>
      </c>
      <c r="AA2176" s="116" t="e">
        <f t="shared" si="1363"/>
        <v>#VALUE!</v>
      </c>
      <c r="AB2176" s="116" t="e">
        <f t="shared" si="1363"/>
        <v>#VALUE!</v>
      </c>
      <c r="AC2176" s="116" t="e">
        <f t="shared" si="1363"/>
        <v>#VALUE!</v>
      </c>
      <c r="AD2176" s="117" t="e">
        <f t="shared" si="1364"/>
        <v>#VALUE!</v>
      </c>
      <c r="AE2176" s="117" t="e">
        <f t="shared" si="1365"/>
        <v>#VALUE!</v>
      </c>
      <c r="AF2176" s="117" t="e">
        <f t="shared" si="1366"/>
        <v>#VALUE!</v>
      </c>
      <c r="AG2176" s="117" t="e">
        <f t="shared" si="1367"/>
        <v>#VALUE!</v>
      </c>
      <c r="AH2176" s="116"/>
      <c r="AI2176" t="str">
        <f t="shared" si="1355"/>
        <v>111GP</v>
      </c>
      <c r="AJ2176" t="str">
        <f t="shared" si="1350"/>
        <v>CN</v>
      </c>
      <c r="AK2176" t="str">
        <f>IF(ISERROR(MATCH(AI2176&amp;"."&amp;AJ2176,AK$91:AK2175,0)),AI2176&amp;"."&amp;AJ2176,AI2176&amp;"."&amp;AJ2176&amp;COUNTIFS(AI$91:AI2175,AI2176,AJ$91:AJ2175,AJ2176))</f>
        <v>111GP.CN</v>
      </c>
    </row>
    <row r="2177" spans="1:37" ht="15" hidden="1">
      <c r="A2177" s="120">
        <f>ROW()</f>
        <v>2177</v>
      </c>
      <c r="B2177" s="120"/>
      <c r="C2177" s="1"/>
      <c r="E2177" s="121" t="s">
        <v>15</v>
      </c>
      <c r="F2177" s="138" t="str">
        <f>INDEX(FuncAllocOptions,ROW(A2177)-ROW($A$92)+1,[4]Inputs!$S$11)</f>
        <v>I-SG</v>
      </c>
      <c r="G2177" s="117" t="e">
        <f>SUMIF(FERCJAMFactor,AK2177,JAMValue)</f>
        <v>#VALUE!</v>
      </c>
      <c r="H2177" s="116" t="e">
        <f t="shared" si="1362"/>
        <v>#VALUE!</v>
      </c>
      <c r="I2177" s="116" t="e">
        <f t="shared" si="1362"/>
        <v>#VALUE!</v>
      </c>
      <c r="J2177" s="116" t="e">
        <f t="shared" si="1362"/>
        <v>#VALUE!</v>
      </c>
      <c r="K2177" s="116" t="e">
        <f t="shared" si="1362"/>
        <v>#VALUE!</v>
      </c>
      <c r="L2177" s="116" t="e">
        <f t="shared" si="1362"/>
        <v>#VALUE!</v>
      </c>
      <c r="N2177" s="108">
        <v>0.75</v>
      </c>
      <c r="O2177" s="116" t="e">
        <f>$H2177*$N2177*$M2177</f>
        <v>#VALUE!</v>
      </c>
      <c r="P2177" s="116" t="e">
        <f>$H2177*(1-$N2177)*$M2177</f>
        <v>#VALUE!</v>
      </c>
      <c r="Q2177" s="116" t="e">
        <f>$H2177*$N2177*(1-$M2177)</f>
        <v>#VALUE!</v>
      </c>
      <c r="R2177" s="116" t="e">
        <f>$H2177*(1-$N2177)*(1-$M2177)</f>
        <v>#VALUE!</v>
      </c>
      <c r="S2177" s="108">
        <v>0.75</v>
      </c>
      <c r="T2177" s="116" t="e">
        <f>$I2177*$S2177*$M2177</f>
        <v>#VALUE!</v>
      </c>
      <c r="U2177" s="116" t="e">
        <f>$I2177*(1-$S2177)*$M2177</f>
        <v>#VALUE!</v>
      </c>
      <c r="V2177" s="116" t="e">
        <f>$I2177*$S2177*(1-$M2177)</f>
        <v>#VALUE!</v>
      </c>
      <c r="W2177" s="116" t="e">
        <f>$I2177*(1-$S2177)*(1-$M2177)</f>
        <v>#VALUE!</v>
      </c>
      <c r="X2177" s="3" t="str">
        <f>INDEX(DistFuncAllocOptions,ROW(A2177)-ROW($A$92)+1,[4]Inputs!$S$11)</f>
        <v>PLNT</v>
      </c>
      <c r="Y2177" s="116" t="e">
        <f t="shared" si="1363"/>
        <v>#VALUE!</v>
      </c>
      <c r="Z2177" s="116" t="e">
        <f t="shared" si="1363"/>
        <v>#VALUE!</v>
      </c>
      <c r="AA2177" s="116" t="e">
        <f t="shared" si="1363"/>
        <v>#VALUE!</v>
      </c>
      <c r="AB2177" s="116" t="e">
        <f t="shared" si="1363"/>
        <v>#VALUE!</v>
      </c>
      <c r="AC2177" s="116" t="e">
        <f t="shared" si="1363"/>
        <v>#VALUE!</v>
      </c>
      <c r="AD2177" s="117" t="e">
        <f t="shared" si="1364"/>
        <v>#VALUE!</v>
      </c>
      <c r="AE2177" s="117" t="e">
        <f t="shared" si="1365"/>
        <v>#VALUE!</v>
      </c>
      <c r="AF2177" s="117" t="e">
        <f t="shared" si="1366"/>
        <v>#VALUE!</v>
      </c>
      <c r="AG2177" s="117" t="e">
        <f t="shared" si="1367"/>
        <v>#VALUE!</v>
      </c>
      <c r="AH2177" s="116"/>
      <c r="AI2177" t="str">
        <f t="shared" si="1355"/>
        <v>111GP</v>
      </c>
      <c r="AJ2177" t="str">
        <f t="shared" si="1350"/>
        <v>SG</v>
      </c>
      <c r="AK2177" t="str">
        <f>IF(ISERROR(MATCH(AI2177&amp;"."&amp;AJ2177,AK$91:AK2176,0)),AI2177&amp;"."&amp;AJ2177,AI2177&amp;"."&amp;AJ2177&amp;COUNTIFS(AI$91:AI2176,AI2177,AJ$91:AJ2176,AJ2177))</f>
        <v>111GP.SG</v>
      </c>
    </row>
    <row r="2178" spans="1:37" ht="15" hidden="1">
      <c r="A2178" s="120">
        <f>ROW()</f>
        <v>2178</v>
      </c>
      <c r="B2178" s="120"/>
      <c r="C2178" s="1"/>
      <c r="E2178" s="121" t="s">
        <v>136</v>
      </c>
      <c r="F2178" s="138" t="str">
        <f>INDEX(FuncAllocOptions,ROW(A2178)-ROW($A$92)+1,[4]Inputs!$S$11)</f>
        <v>PTD</v>
      </c>
      <c r="G2178" s="117" t="e">
        <f>SUMIF(FERCJAMFactor,AK2178,JAMValue)</f>
        <v>#VALUE!</v>
      </c>
      <c r="H2178" s="116" t="e">
        <f t="shared" si="1362"/>
        <v>#VALUE!</v>
      </c>
      <c r="I2178" s="116" t="e">
        <f t="shared" si="1362"/>
        <v>#VALUE!</v>
      </c>
      <c r="J2178" s="116" t="e">
        <f t="shared" si="1362"/>
        <v>#VALUE!</v>
      </c>
      <c r="K2178" s="116" t="e">
        <f t="shared" si="1362"/>
        <v>#VALUE!</v>
      </c>
      <c r="L2178" s="116" t="e">
        <f t="shared" si="1362"/>
        <v>#VALUE!</v>
      </c>
      <c r="N2178" s="108">
        <v>0.75</v>
      </c>
      <c r="O2178" s="116" t="e">
        <f>$H2178*$N2178*$M2178</f>
        <v>#VALUE!</v>
      </c>
      <c r="P2178" s="116" t="e">
        <f>$H2178*(1-$N2178)*$M2178</f>
        <v>#VALUE!</v>
      </c>
      <c r="Q2178" s="116" t="e">
        <f>$H2178*$N2178*(1-$M2178)</f>
        <v>#VALUE!</v>
      </c>
      <c r="R2178" s="116" t="e">
        <f>$H2178*(1-$N2178)*(1-$M2178)</f>
        <v>#VALUE!</v>
      </c>
      <c r="S2178" s="108">
        <v>0.75</v>
      </c>
      <c r="T2178" s="116" t="e">
        <f>$I2178*$S2178*$M2178</f>
        <v>#VALUE!</v>
      </c>
      <c r="U2178" s="116" t="e">
        <f>$I2178*(1-$S2178)*$M2178</f>
        <v>#VALUE!</v>
      </c>
      <c r="V2178" s="116" t="e">
        <f>$I2178*$S2178*(1-$M2178)</f>
        <v>#VALUE!</v>
      </c>
      <c r="W2178" s="116" t="e">
        <f>$I2178*(1-$S2178)*(1-$M2178)</f>
        <v>#VALUE!</v>
      </c>
      <c r="X2178" s="3" t="str">
        <f>INDEX(DistFuncAllocOptions,ROW(A2178)-ROW($A$92)+1,[4]Inputs!$S$11)</f>
        <v>PLNT</v>
      </c>
      <c r="Y2178" s="116" t="e">
        <f t="shared" si="1363"/>
        <v>#VALUE!</v>
      </c>
      <c r="Z2178" s="116" t="e">
        <f t="shared" si="1363"/>
        <v>#VALUE!</v>
      </c>
      <c r="AA2178" s="116" t="e">
        <f t="shared" si="1363"/>
        <v>#VALUE!</v>
      </c>
      <c r="AB2178" s="116" t="e">
        <f t="shared" si="1363"/>
        <v>#VALUE!</v>
      </c>
      <c r="AC2178" s="116" t="e">
        <f t="shared" si="1363"/>
        <v>#VALUE!</v>
      </c>
      <c r="AD2178" s="117" t="e">
        <f t="shared" si="1364"/>
        <v>#VALUE!</v>
      </c>
      <c r="AE2178" s="117" t="e">
        <f t="shared" si="1365"/>
        <v>#VALUE!</v>
      </c>
      <c r="AF2178" s="117" t="e">
        <f t="shared" si="1366"/>
        <v>#VALUE!</v>
      </c>
      <c r="AG2178" s="117" t="e">
        <f t="shared" si="1367"/>
        <v>#VALUE!</v>
      </c>
      <c r="AH2178" s="116"/>
      <c r="AI2178" t="str">
        <f t="shared" si="1355"/>
        <v>111GP</v>
      </c>
      <c r="AJ2178" t="str">
        <f t="shared" si="1350"/>
        <v>SO</v>
      </c>
      <c r="AK2178" t="str">
        <f>IF(ISERROR(MATCH(AI2178&amp;"."&amp;AJ2178,AK$91:AK2177,0)),AI2178&amp;"."&amp;AJ2178,AI2178&amp;"."&amp;AJ2178&amp;COUNTIFS(AI$91:AI2177,AI2178,AJ$91:AJ2177,AJ2178))</f>
        <v>111GP.SO</v>
      </c>
    </row>
    <row r="2179" spans="1:37" ht="15" hidden="1">
      <c r="A2179" s="120">
        <f>ROW()</f>
        <v>2179</v>
      </c>
      <c r="B2179" s="120"/>
      <c r="C2179" s="1"/>
      <c r="E2179" s="121" t="s">
        <v>16</v>
      </c>
      <c r="F2179" s="138" t="str">
        <f>INDEX(FuncAllocOptions,ROW(A2179)-ROW($A$92)+1,[4]Inputs!$S$11)</f>
        <v>P</v>
      </c>
      <c r="G2179" s="133" t="e">
        <f>SUMIF(FERCJAMFactor,AK2179,JAMValue)</f>
        <v>#VALUE!</v>
      </c>
      <c r="H2179" s="139" t="e">
        <f t="shared" si="1362"/>
        <v>#VALUE!</v>
      </c>
      <c r="I2179" s="139" t="e">
        <f t="shared" si="1362"/>
        <v>#VALUE!</v>
      </c>
      <c r="J2179" s="139" t="e">
        <f t="shared" si="1362"/>
        <v>#VALUE!</v>
      </c>
      <c r="K2179" s="139" t="e">
        <f t="shared" si="1362"/>
        <v>#VALUE!</v>
      </c>
      <c r="L2179" s="139" t="e">
        <f t="shared" si="1362"/>
        <v>#VALUE!</v>
      </c>
      <c r="N2179" s="108">
        <v>0.75</v>
      </c>
      <c r="O2179" s="116" t="e">
        <f>$H2179*$N2179*$M2179</f>
        <v>#VALUE!</v>
      </c>
      <c r="P2179" s="116" t="e">
        <f>$H2179*(1-$N2179)*$M2179</f>
        <v>#VALUE!</v>
      </c>
      <c r="Q2179" s="116" t="e">
        <f>$H2179*$N2179*(1-$M2179)</f>
        <v>#VALUE!</v>
      </c>
      <c r="R2179" s="116" t="e">
        <f>$H2179*(1-$N2179)*(1-$M2179)</f>
        <v>#VALUE!</v>
      </c>
      <c r="S2179" s="108">
        <v>0.75</v>
      </c>
      <c r="T2179" s="116" t="e">
        <f>$I2179*$S2179*$M2179</f>
        <v>#VALUE!</v>
      </c>
      <c r="U2179" s="116" t="e">
        <f>$I2179*(1-$S2179)*$M2179</f>
        <v>#VALUE!</v>
      </c>
      <c r="V2179" s="116" t="e">
        <f>$I2179*$S2179*(1-$M2179)</f>
        <v>#VALUE!</v>
      </c>
      <c r="W2179" s="116" t="e">
        <f>$I2179*(1-$S2179)*(1-$M2179)</f>
        <v>#VALUE!</v>
      </c>
      <c r="X2179" s="3" t="str">
        <f>INDEX(DistFuncAllocOptions,ROW(A2179)-ROW($A$92)+1,[4]Inputs!$S$11)</f>
        <v>PLNT</v>
      </c>
      <c r="Y2179" s="116" t="e">
        <f t="shared" si="1363"/>
        <v>#VALUE!</v>
      </c>
      <c r="Z2179" s="116" t="e">
        <f t="shared" si="1363"/>
        <v>#VALUE!</v>
      </c>
      <c r="AA2179" s="116" t="e">
        <f t="shared" si="1363"/>
        <v>#VALUE!</v>
      </c>
      <c r="AB2179" s="116" t="e">
        <f t="shared" si="1363"/>
        <v>#VALUE!</v>
      </c>
      <c r="AC2179" s="116" t="e">
        <f t="shared" si="1363"/>
        <v>#VALUE!</v>
      </c>
      <c r="AD2179" s="117" t="e">
        <f t="shared" si="1364"/>
        <v>#VALUE!</v>
      </c>
      <c r="AE2179" s="117" t="e">
        <f t="shared" si="1365"/>
        <v>#VALUE!</v>
      </c>
      <c r="AF2179" s="117" t="e">
        <f t="shared" si="1366"/>
        <v>#VALUE!</v>
      </c>
      <c r="AG2179" s="117" t="e">
        <f t="shared" si="1367"/>
        <v>#VALUE!</v>
      </c>
      <c r="AH2179" s="116"/>
      <c r="AI2179" t="str">
        <f t="shared" si="1355"/>
        <v>111GP</v>
      </c>
      <c r="AJ2179" t="str">
        <f t="shared" si="1350"/>
        <v>SE</v>
      </c>
      <c r="AK2179" t="str">
        <f>IF(ISERROR(MATCH(AI2179&amp;"."&amp;AJ2179,AK$91:AK2178,0)),AI2179&amp;"."&amp;AJ2179,AI2179&amp;"."&amp;AJ2179&amp;COUNTIFS(AI$91:AI2178,AI2179,AJ$91:AJ2178,AJ2179))</f>
        <v>111GP.SE</v>
      </c>
    </row>
    <row r="2180" spans="1:37" ht="15" hidden="1">
      <c r="A2180" s="120">
        <f>ROW()</f>
        <v>2180</v>
      </c>
      <c r="B2180" s="120"/>
      <c r="C2180" s="1"/>
      <c r="E2180" s="121"/>
      <c r="F2180" s="138"/>
      <c r="G2180" s="117" t="e">
        <f t="shared" ref="G2180:L2180" si="1368">SUM(G2175:G2179)</f>
        <v>#VALUE!</v>
      </c>
      <c r="H2180" s="116" t="e">
        <f t="shared" si="1368"/>
        <v>#VALUE!</v>
      </c>
      <c r="I2180" s="116" t="e">
        <f t="shared" si="1368"/>
        <v>#VALUE!</v>
      </c>
      <c r="J2180" s="116" t="e">
        <f t="shared" si="1368"/>
        <v>#VALUE!</v>
      </c>
      <c r="K2180" s="116" t="e">
        <f t="shared" si="1368"/>
        <v>#VALUE!</v>
      </c>
      <c r="L2180" s="116" t="e">
        <f t="shared" si="1368"/>
        <v>#VALUE!</v>
      </c>
      <c r="O2180" s="116" t="e">
        <f>SUM(O2175:O2179)</f>
        <v>#VALUE!</v>
      </c>
      <c r="P2180" s="116" t="e">
        <f>SUM(P2175:P2179)</f>
        <v>#VALUE!</v>
      </c>
      <c r="Q2180" s="116" t="e">
        <f>SUM(Q2175:Q2179)</f>
        <v>#VALUE!</v>
      </c>
      <c r="R2180" s="116" t="e">
        <f>SUM(R2175:R2179)</f>
        <v>#VALUE!</v>
      </c>
      <c r="T2180" s="116" t="e">
        <f>SUM(T2175:T2179)</f>
        <v>#VALUE!</v>
      </c>
      <c r="U2180" s="116" t="e">
        <f>SUM(U2175:U2179)</f>
        <v>#VALUE!</v>
      </c>
      <c r="V2180" s="116" t="e">
        <f>SUM(V2175:V2179)</f>
        <v>#VALUE!</v>
      </c>
      <c r="W2180" s="116" t="e">
        <f>SUM(W2175:W2179)</f>
        <v>#VALUE!</v>
      </c>
      <c r="X2180" s="3"/>
      <c r="Y2180" s="116" t="e">
        <f>SUM(Y2175:Y2179)</f>
        <v>#VALUE!</v>
      </c>
      <c r="Z2180" s="116" t="e">
        <f>SUM(Z2175:Z2179)</f>
        <v>#VALUE!</v>
      </c>
      <c r="AA2180" s="116" t="e">
        <f>SUM(AA2175:AA2179)</f>
        <v>#VALUE!</v>
      </c>
      <c r="AB2180" s="116" t="e">
        <f>SUM(AB2175:AB2179)</f>
        <v>#VALUE!</v>
      </c>
      <c r="AC2180" s="116" t="e">
        <f>SUM(AC2175:AC2179)</f>
        <v>#VALUE!</v>
      </c>
      <c r="AD2180" s="117" t="e">
        <f t="shared" si="1364"/>
        <v>#VALUE!</v>
      </c>
      <c r="AE2180" s="117" t="e">
        <f t="shared" si="1365"/>
        <v>#VALUE!</v>
      </c>
      <c r="AF2180" s="117" t="e">
        <f t="shared" si="1366"/>
        <v>#VALUE!</v>
      </c>
      <c r="AG2180" s="117" t="e">
        <f t="shared" si="1367"/>
        <v>#VALUE!</v>
      </c>
      <c r="AH2180" s="116"/>
      <c r="AI2180" t="str">
        <f t="shared" si="1355"/>
        <v>111GP</v>
      </c>
      <c r="AJ2180" t="str">
        <f t="shared" si="1350"/>
        <v>NA</v>
      </c>
      <c r="AK2180" t="str">
        <f>IF(ISERROR(MATCH(AI2180&amp;"."&amp;AJ2180,AK$91:AK2179,0)),AI2180&amp;"."&amp;AJ2180,AI2180&amp;"."&amp;AJ2180&amp;COUNTIFS(AI$91:AI2179,AI2180,AJ$91:AJ2179,AJ2180))</f>
        <v>111GP.NA1</v>
      </c>
    </row>
    <row r="2181" spans="1:37" ht="15" hidden="1">
      <c r="A2181" s="120">
        <f>ROW()</f>
        <v>2181</v>
      </c>
      <c r="B2181" s="120"/>
      <c r="C2181" s="1"/>
      <c r="E2181" s="121"/>
      <c r="F2181" s="138"/>
      <c r="G2181" s="119"/>
      <c r="X2181" s="3"/>
      <c r="AD2181" s="119"/>
      <c r="AE2181" s="119"/>
      <c r="AF2181" s="119"/>
      <c r="AG2181" s="119"/>
      <c r="AI2181" t="str">
        <f t="shared" si="1355"/>
        <v>111GP</v>
      </c>
      <c r="AJ2181" t="str">
        <f t="shared" si="1350"/>
        <v>NA</v>
      </c>
      <c r="AK2181" t="str">
        <f>IF(ISERROR(MATCH(AI2181&amp;"."&amp;AJ2181,AK$91:AK2180,0)),AI2181&amp;"."&amp;AJ2181,AI2181&amp;"."&amp;AJ2181&amp;COUNTIFS(AI$91:AI2180,AI2181,AJ$91:AJ2180,AJ2181))</f>
        <v>111GP.NA2</v>
      </c>
    </row>
    <row r="2182" spans="1:37" ht="15" hidden="1">
      <c r="A2182" s="120">
        <f>ROW()</f>
        <v>2182</v>
      </c>
      <c r="B2182" s="120"/>
      <c r="C2182" s="1"/>
      <c r="E2182" s="121"/>
      <c r="F2182" s="138"/>
      <c r="G2182" s="119"/>
      <c r="X2182" s="3"/>
      <c r="AD2182" s="119"/>
      <c r="AE2182" s="119"/>
      <c r="AF2182" s="119"/>
      <c r="AG2182" s="119"/>
      <c r="AI2182" t="str">
        <f t="shared" si="1355"/>
        <v>111GP</v>
      </c>
      <c r="AJ2182" t="str">
        <f t="shared" si="1350"/>
        <v>NA</v>
      </c>
      <c r="AK2182" t="str">
        <f>IF(ISERROR(MATCH(AI2182&amp;"."&amp;AJ2182,AK$91:AK2181,0)),AI2182&amp;"."&amp;AJ2182,AI2182&amp;"."&amp;AJ2182&amp;COUNTIFS(AI$91:AI2181,AI2182,AJ$91:AJ2181,AJ2182))</f>
        <v>111GP.NA3</v>
      </c>
    </row>
    <row r="2183" spans="1:37" ht="15" hidden="1">
      <c r="A2183" s="120">
        <f>ROW()</f>
        <v>2183</v>
      </c>
      <c r="B2183" s="120"/>
      <c r="C2183" s="1" t="s">
        <v>213</v>
      </c>
      <c r="D2183" s="2" t="s">
        <v>698</v>
      </c>
      <c r="E2183" s="121"/>
      <c r="F2183" s="138"/>
      <c r="G2183" s="119"/>
      <c r="X2183" s="3"/>
      <c r="AD2183" s="119"/>
      <c r="AE2183" s="119"/>
      <c r="AF2183" s="119"/>
      <c r="AG2183" s="119"/>
      <c r="AI2183" t="str">
        <f t="shared" si="1355"/>
        <v>111HP</v>
      </c>
      <c r="AJ2183" t="str">
        <f t="shared" si="1350"/>
        <v>NA</v>
      </c>
      <c r="AK2183" t="str">
        <f>IF(ISERROR(MATCH(AI2183&amp;"."&amp;AJ2183,AK$91:AK2182,0)),AI2183&amp;"."&amp;AJ2183,AI2183&amp;"."&amp;AJ2183&amp;COUNTIFS(AI$91:AI2182,AI2183,AJ$91:AJ2182,AJ2183))</f>
        <v>111HP.NA</v>
      </c>
    </row>
    <row r="2184" spans="1:37" ht="15" hidden="1">
      <c r="A2184" s="120">
        <f>ROW()</f>
        <v>2184</v>
      </c>
      <c r="B2184" s="120"/>
      <c r="C2184" s="1"/>
      <c r="E2184" s="121" t="s">
        <v>15</v>
      </c>
      <c r="F2184" s="138" t="str">
        <f>INDEX(FuncAllocOptions,ROW(A2184)-ROW($A$92)+1,[4]Inputs!$S$11)</f>
        <v>P</v>
      </c>
      <c r="G2184" s="117" t="e">
        <f>SUMIF(FERCJAMFactor,AK2184,JAMValue)</f>
        <v>#VALUE!</v>
      </c>
      <c r="H2184" s="116" t="e">
        <f t="shared" ref="H2184:L2187" si="1369">INDEX(FuncFactorTbl,MATCH($F2184,FuncFactors,0),MATCH(H$8,Functions,0))*$G2184</f>
        <v>#VALUE!</v>
      </c>
      <c r="I2184" s="116" t="e">
        <f t="shared" si="1369"/>
        <v>#VALUE!</v>
      </c>
      <c r="J2184" s="116" t="e">
        <f t="shared" si="1369"/>
        <v>#VALUE!</v>
      </c>
      <c r="K2184" s="116" t="e">
        <f t="shared" si="1369"/>
        <v>#VALUE!</v>
      </c>
      <c r="L2184" s="116" t="e">
        <f t="shared" si="1369"/>
        <v>#VALUE!</v>
      </c>
      <c r="N2184" s="108">
        <v>0.75</v>
      </c>
      <c r="O2184" s="116" t="e">
        <f>$H2184*$N2184*$M2184</f>
        <v>#VALUE!</v>
      </c>
      <c r="P2184" s="116" t="e">
        <f>$H2184*(1-$N2184)*$M2184</f>
        <v>#VALUE!</v>
      </c>
      <c r="Q2184" s="116" t="e">
        <f>$H2184*$N2184*(1-$M2184)</f>
        <v>#VALUE!</v>
      </c>
      <c r="R2184" s="116" t="e">
        <f>$H2184*(1-$N2184)*(1-$M2184)</f>
        <v>#VALUE!</v>
      </c>
      <c r="S2184" s="108">
        <v>0.75</v>
      </c>
      <c r="T2184" s="116" t="e">
        <f>$I2184*$S2184*$M2184</f>
        <v>#VALUE!</v>
      </c>
      <c r="U2184" s="116" t="e">
        <f>$I2184*(1-$S2184)*$M2184</f>
        <v>#VALUE!</v>
      </c>
      <c r="V2184" s="116" t="e">
        <f>$I2184*$S2184*(1-$M2184)</f>
        <v>#VALUE!</v>
      </c>
      <c r="W2184" s="116" t="e">
        <f>$I2184*(1-$S2184)*(1-$M2184)</f>
        <v>#VALUE!</v>
      </c>
      <c r="X2184" s="3" t="str">
        <f>INDEX(DistFuncAllocOptions,ROW(A2184)-ROW($A$92)+1,[4]Inputs!$S$11)</f>
        <v>PLNT</v>
      </c>
      <c r="Y2184" s="116" t="e">
        <f t="shared" ref="Y2184:AC2187" si="1370">INDEX(DistFuncFactorTbl,MATCH($X2184,DistFuncFactors,0),MATCH(Y$91,DistFunctions,0))*$J2184</f>
        <v>#VALUE!</v>
      </c>
      <c r="Z2184" s="116" t="e">
        <f t="shared" si="1370"/>
        <v>#VALUE!</v>
      </c>
      <c r="AA2184" s="116" t="e">
        <f t="shared" si="1370"/>
        <v>#VALUE!</v>
      </c>
      <c r="AB2184" s="116" t="e">
        <f t="shared" si="1370"/>
        <v>#VALUE!</v>
      </c>
      <c r="AC2184" s="116" t="e">
        <f t="shared" si="1370"/>
        <v>#VALUE!</v>
      </c>
      <c r="AD2184" s="117" t="e">
        <f>ROUND(SUM(-G2184,H2184:L2184),0)</f>
        <v>#VALUE!</v>
      </c>
      <c r="AE2184" s="117" t="e">
        <f>ROUND(H2184-O2184-P2184-Q2184-R2184,0)</f>
        <v>#VALUE!</v>
      </c>
      <c r="AF2184" s="117" t="e">
        <f>ROUND(I2184-T2184-U2184-V2184-W2184,0)</f>
        <v>#VALUE!</v>
      </c>
      <c r="AG2184" s="117" t="e">
        <f>ROUND(J2184-Y2184-Z2184-AA2184-AC2184-AB2184,0)</f>
        <v>#VALUE!</v>
      </c>
      <c r="AH2184" s="116"/>
      <c r="AI2184" t="str">
        <f t="shared" si="1355"/>
        <v>111HP</v>
      </c>
      <c r="AJ2184" t="str">
        <f t="shared" si="1350"/>
        <v>SG</v>
      </c>
      <c r="AK2184" t="str">
        <f>IF(ISERROR(MATCH(AI2184&amp;"."&amp;AJ2184,AK$91:AK2183,0)),AI2184&amp;"."&amp;AJ2184,AI2184&amp;"."&amp;AJ2184&amp;COUNTIFS(AI$91:AI2183,AI2184,AJ$91:AJ2183,AJ2184))</f>
        <v>111HP.SG</v>
      </c>
    </row>
    <row r="2185" spans="1:37" ht="15" hidden="1">
      <c r="A2185" s="120">
        <f>ROW()</f>
        <v>2185</v>
      </c>
      <c r="B2185" s="120"/>
      <c r="C2185" s="1"/>
      <c r="E2185" s="121" t="s">
        <v>15</v>
      </c>
      <c r="F2185" s="138" t="str">
        <f>INDEX(FuncAllocOptions,ROW(A2185)-ROW($A$92)+1,[4]Inputs!$S$11)</f>
        <v>P</v>
      </c>
      <c r="G2185" s="117" t="e">
        <f>SUMIF(FERCJAMFactor,AK2185,JAMValue)</f>
        <v>#VALUE!</v>
      </c>
      <c r="H2185" s="116" t="e">
        <f t="shared" si="1369"/>
        <v>#VALUE!</v>
      </c>
      <c r="I2185" s="116" t="e">
        <f t="shared" si="1369"/>
        <v>#VALUE!</v>
      </c>
      <c r="J2185" s="116" t="e">
        <f t="shared" si="1369"/>
        <v>#VALUE!</v>
      </c>
      <c r="K2185" s="116" t="e">
        <f t="shared" si="1369"/>
        <v>#VALUE!</v>
      </c>
      <c r="L2185" s="116" t="e">
        <f t="shared" si="1369"/>
        <v>#VALUE!</v>
      </c>
      <c r="N2185" s="108">
        <v>0.75</v>
      </c>
      <c r="O2185" s="116" t="e">
        <f>$H2185*$N2185*$M2185</f>
        <v>#VALUE!</v>
      </c>
      <c r="P2185" s="116" t="e">
        <f>$H2185*(1-$N2185)*$M2185</f>
        <v>#VALUE!</v>
      </c>
      <c r="Q2185" s="116" t="e">
        <f>$H2185*$N2185*(1-$M2185)</f>
        <v>#VALUE!</v>
      </c>
      <c r="R2185" s="116" t="e">
        <f>$H2185*(1-$N2185)*(1-$M2185)</f>
        <v>#VALUE!</v>
      </c>
      <c r="S2185" s="108">
        <v>0.75</v>
      </c>
      <c r="T2185" s="116" t="e">
        <f>$I2185*$S2185*$M2185</f>
        <v>#VALUE!</v>
      </c>
      <c r="U2185" s="116" t="e">
        <f>$I2185*(1-$S2185)*$M2185</f>
        <v>#VALUE!</v>
      </c>
      <c r="V2185" s="116" t="e">
        <f>$I2185*$S2185*(1-$M2185)</f>
        <v>#VALUE!</v>
      </c>
      <c r="W2185" s="116" t="e">
        <f>$I2185*(1-$S2185)*(1-$M2185)</f>
        <v>#VALUE!</v>
      </c>
      <c r="X2185" s="3" t="str">
        <f>INDEX(DistFuncAllocOptions,ROW(A2185)-ROW($A$92)+1,[4]Inputs!$S$11)</f>
        <v>PLNT</v>
      </c>
      <c r="Y2185" s="116" t="e">
        <f t="shared" si="1370"/>
        <v>#VALUE!</v>
      </c>
      <c r="Z2185" s="116" t="e">
        <f t="shared" si="1370"/>
        <v>#VALUE!</v>
      </c>
      <c r="AA2185" s="116" t="e">
        <f t="shared" si="1370"/>
        <v>#VALUE!</v>
      </c>
      <c r="AB2185" s="116" t="e">
        <f t="shared" si="1370"/>
        <v>#VALUE!</v>
      </c>
      <c r="AC2185" s="116" t="e">
        <f t="shared" si="1370"/>
        <v>#VALUE!</v>
      </c>
      <c r="AD2185" s="117" t="e">
        <f>ROUND(SUM(-G2185,H2185:L2185),0)</f>
        <v>#VALUE!</v>
      </c>
      <c r="AE2185" s="117" t="e">
        <f>ROUND(H2185-O2185-P2185-Q2185-R2185,0)</f>
        <v>#VALUE!</v>
      </c>
      <c r="AF2185" s="117" t="e">
        <f>ROUND(I2185-T2185-U2185-V2185-W2185,0)</f>
        <v>#VALUE!</v>
      </c>
      <c r="AG2185" s="117" t="e">
        <f>ROUND(J2185-Y2185-Z2185-AA2185-AC2185-AB2185,0)</f>
        <v>#VALUE!</v>
      </c>
      <c r="AH2185" s="116"/>
      <c r="AI2185" t="str">
        <f t="shared" si="1355"/>
        <v>111HP</v>
      </c>
      <c r="AJ2185" t="str">
        <f t="shared" si="1350"/>
        <v>SG</v>
      </c>
      <c r="AK2185" t="str">
        <f>IF(ISERROR(MATCH(AI2185&amp;"."&amp;AJ2185,AK$91:AK2184,0)),AI2185&amp;"."&amp;AJ2185,AI2185&amp;"."&amp;AJ2185&amp;COUNTIFS(AI$91:AI2184,AI2185,AJ$91:AJ2184,AJ2185))</f>
        <v>111HP.SG1</v>
      </c>
    </row>
    <row r="2186" spans="1:37" ht="15" hidden="1">
      <c r="A2186" s="120">
        <f>ROW()</f>
        <v>2186</v>
      </c>
      <c r="B2186" s="120"/>
      <c r="C2186" s="1"/>
      <c r="E2186" s="121" t="s">
        <v>15</v>
      </c>
      <c r="F2186" s="138" t="str">
        <f>INDEX(FuncAllocOptions,ROW(A2186)-ROW($A$92)+1,[4]Inputs!$S$11)</f>
        <v>P</v>
      </c>
      <c r="G2186" s="117" t="e">
        <f>SUMIF(FERCJAMFactor,AK2186,JAMValue)</f>
        <v>#VALUE!</v>
      </c>
      <c r="H2186" s="116" t="e">
        <f t="shared" si="1369"/>
        <v>#VALUE!</v>
      </c>
      <c r="I2186" s="116" t="e">
        <f t="shared" si="1369"/>
        <v>#VALUE!</v>
      </c>
      <c r="J2186" s="116" t="e">
        <f t="shared" si="1369"/>
        <v>#VALUE!</v>
      </c>
      <c r="K2186" s="116" t="e">
        <f t="shared" si="1369"/>
        <v>#VALUE!</v>
      </c>
      <c r="L2186" s="116" t="e">
        <f t="shared" si="1369"/>
        <v>#VALUE!</v>
      </c>
      <c r="N2186" s="108">
        <v>0.75</v>
      </c>
      <c r="O2186" s="116" t="e">
        <f>$H2186*$N2186*$M2186</f>
        <v>#VALUE!</v>
      </c>
      <c r="P2186" s="116" t="e">
        <f>$H2186*(1-$N2186)*$M2186</f>
        <v>#VALUE!</v>
      </c>
      <c r="Q2186" s="116" t="e">
        <f>$H2186*$N2186*(1-$M2186)</f>
        <v>#VALUE!</v>
      </c>
      <c r="R2186" s="116" t="e">
        <f>$H2186*(1-$N2186)*(1-$M2186)</f>
        <v>#VALUE!</v>
      </c>
      <c r="S2186" s="108">
        <v>0.75</v>
      </c>
      <c r="T2186" s="116" t="e">
        <f>$I2186*$S2186*$M2186</f>
        <v>#VALUE!</v>
      </c>
      <c r="U2186" s="116" t="e">
        <f>$I2186*(1-$S2186)*$M2186</f>
        <v>#VALUE!</v>
      </c>
      <c r="V2186" s="116" t="e">
        <f>$I2186*$S2186*(1-$M2186)</f>
        <v>#VALUE!</v>
      </c>
      <c r="W2186" s="116" t="e">
        <f>$I2186*(1-$S2186)*(1-$M2186)</f>
        <v>#VALUE!</v>
      </c>
      <c r="X2186" s="3" t="str">
        <f>INDEX(DistFuncAllocOptions,ROW(A2186)-ROW($A$92)+1,[4]Inputs!$S$11)</f>
        <v>PLNT</v>
      </c>
      <c r="Y2186" s="116" t="e">
        <f t="shared" si="1370"/>
        <v>#VALUE!</v>
      </c>
      <c r="Z2186" s="116" t="e">
        <f t="shared" si="1370"/>
        <v>#VALUE!</v>
      </c>
      <c r="AA2186" s="116" t="e">
        <f t="shared" si="1370"/>
        <v>#VALUE!</v>
      </c>
      <c r="AB2186" s="116" t="e">
        <f t="shared" si="1370"/>
        <v>#VALUE!</v>
      </c>
      <c r="AC2186" s="116" t="e">
        <f t="shared" si="1370"/>
        <v>#VALUE!</v>
      </c>
      <c r="AD2186" s="117" t="e">
        <f>ROUND(SUM(-G2186,H2186:L2186),0)</f>
        <v>#VALUE!</v>
      </c>
      <c r="AE2186" s="117" t="e">
        <f>ROUND(H2186-O2186-P2186-Q2186-R2186,0)</f>
        <v>#VALUE!</v>
      </c>
      <c r="AF2186" s="117" t="e">
        <f>ROUND(I2186-T2186-U2186-V2186-W2186,0)</f>
        <v>#VALUE!</v>
      </c>
      <c r="AG2186" s="117" t="e">
        <f>ROUND(J2186-Y2186-Z2186-AA2186-AC2186-AB2186,0)</f>
        <v>#VALUE!</v>
      </c>
      <c r="AH2186" s="116"/>
      <c r="AI2186" t="str">
        <f t="shared" si="1355"/>
        <v>111HP</v>
      </c>
      <c r="AJ2186" t="str">
        <f t="shared" si="1350"/>
        <v>SG</v>
      </c>
      <c r="AK2186" t="str">
        <f>IF(ISERROR(MATCH(AI2186&amp;"."&amp;AJ2186,AK$91:AK2185,0)),AI2186&amp;"."&amp;AJ2186,AI2186&amp;"."&amp;AJ2186&amp;COUNTIFS(AI$91:AI2185,AI2186,AJ$91:AJ2185,AJ2186))</f>
        <v>111HP.SG2</v>
      </c>
    </row>
    <row r="2187" spans="1:37" ht="15" hidden="1">
      <c r="A2187" s="120">
        <f>ROW()</f>
        <v>2187</v>
      </c>
      <c r="B2187" s="120"/>
      <c r="C2187" s="1"/>
      <c r="E2187" s="121" t="s">
        <v>15</v>
      </c>
      <c r="F2187" s="138" t="str">
        <f>INDEX(FuncAllocOptions,ROW(A2187)-ROW($A$92)+1,[4]Inputs!$S$11)</f>
        <v>P</v>
      </c>
      <c r="G2187" s="133" t="e">
        <f>SUMIF(FERCJAMFactor,AK2187,JAMValue)</f>
        <v>#VALUE!</v>
      </c>
      <c r="H2187" s="139" t="e">
        <f t="shared" si="1369"/>
        <v>#VALUE!</v>
      </c>
      <c r="I2187" s="139" t="e">
        <f t="shared" si="1369"/>
        <v>#VALUE!</v>
      </c>
      <c r="J2187" s="139" t="e">
        <f t="shared" si="1369"/>
        <v>#VALUE!</v>
      </c>
      <c r="K2187" s="139" t="e">
        <f t="shared" si="1369"/>
        <v>#VALUE!</v>
      </c>
      <c r="L2187" s="139" t="e">
        <f t="shared" si="1369"/>
        <v>#VALUE!</v>
      </c>
      <c r="N2187" s="108">
        <v>0.75</v>
      </c>
      <c r="O2187" s="116" t="e">
        <f>$H2187*$N2187*$M2187</f>
        <v>#VALUE!</v>
      </c>
      <c r="P2187" s="116" t="e">
        <f>$H2187*(1-$N2187)*$M2187</f>
        <v>#VALUE!</v>
      </c>
      <c r="Q2187" s="116" t="e">
        <f>$H2187*$N2187*(1-$M2187)</f>
        <v>#VALUE!</v>
      </c>
      <c r="R2187" s="116" t="e">
        <f>$H2187*(1-$N2187)*(1-$M2187)</f>
        <v>#VALUE!</v>
      </c>
      <c r="S2187" s="108">
        <v>0.75</v>
      </c>
      <c r="T2187" s="116" t="e">
        <f>$I2187*$S2187*$M2187</f>
        <v>#VALUE!</v>
      </c>
      <c r="U2187" s="116" t="e">
        <f>$I2187*(1-$S2187)*$M2187</f>
        <v>#VALUE!</v>
      </c>
      <c r="V2187" s="116" t="e">
        <f>$I2187*$S2187*(1-$M2187)</f>
        <v>#VALUE!</v>
      </c>
      <c r="W2187" s="116" t="e">
        <f>$I2187*(1-$S2187)*(1-$M2187)</f>
        <v>#VALUE!</v>
      </c>
      <c r="X2187" s="3" t="str">
        <f>INDEX(DistFuncAllocOptions,ROW(A2187)-ROW($A$92)+1,[4]Inputs!$S$11)</f>
        <v>PLNT</v>
      </c>
      <c r="Y2187" s="116" t="e">
        <f t="shared" si="1370"/>
        <v>#VALUE!</v>
      </c>
      <c r="Z2187" s="116" t="e">
        <f t="shared" si="1370"/>
        <v>#VALUE!</v>
      </c>
      <c r="AA2187" s="116" t="e">
        <f t="shared" si="1370"/>
        <v>#VALUE!</v>
      </c>
      <c r="AB2187" s="116" t="e">
        <f t="shared" si="1370"/>
        <v>#VALUE!</v>
      </c>
      <c r="AC2187" s="116" t="e">
        <f t="shared" si="1370"/>
        <v>#VALUE!</v>
      </c>
      <c r="AD2187" s="117" t="e">
        <f>ROUND(SUM(-G2187,H2187:L2187),0)</f>
        <v>#VALUE!</v>
      </c>
      <c r="AE2187" s="117" t="e">
        <f>ROUND(H2187-O2187-P2187-Q2187-R2187,0)</f>
        <v>#VALUE!</v>
      </c>
      <c r="AF2187" s="117" t="e">
        <f>ROUND(I2187-T2187-U2187-V2187-W2187,0)</f>
        <v>#VALUE!</v>
      </c>
      <c r="AG2187" s="117" t="e">
        <f>ROUND(J2187-Y2187-Z2187-AA2187-AC2187-AB2187,0)</f>
        <v>#VALUE!</v>
      </c>
      <c r="AH2187" s="116"/>
      <c r="AI2187" t="str">
        <f t="shared" si="1355"/>
        <v>111HP</v>
      </c>
      <c r="AJ2187" t="str">
        <f t="shared" si="1350"/>
        <v>SG</v>
      </c>
      <c r="AK2187" t="str">
        <f>IF(ISERROR(MATCH(AI2187&amp;"."&amp;AJ2187,AK$91:AK2186,0)),AI2187&amp;"."&amp;AJ2187,AI2187&amp;"."&amp;AJ2187&amp;COUNTIFS(AI$91:AI2186,AI2187,AJ$91:AJ2186,AJ2187))</f>
        <v>111HP.SG3</v>
      </c>
    </row>
    <row r="2188" spans="1:37" ht="15" hidden="1">
      <c r="A2188" s="120">
        <f>ROW()</f>
        <v>2188</v>
      </c>
      <c r="B2188" s="120"/>
      <c r="C2188" s="1"/>
      <c r="E2188" s="121"/>
      <c r="F2188" s="138"/>
      <c r="G2188" s="117" t="e">
        <f t="shared" ref="G2188:L2188" si="1371">SUM(G2184:G2187)</f>
        <v>#VALUE!</v>
      </c>
      <c r="H2188" s="116" t="e">
        <f t="shared" si="1371"/>
        <v>#VALUE!</v>
      </c>
      <c r="I2188" s="116" t="e">
        <f t="shared" si="1371"/>
        <v>#VALUE!</v>
      </c>
      <c r="J2188" s="116" t="e">
        <f t="shared" si="1371"/>
        <v>#VALUE!</v>
      </c>
      <c r="K2188" s="116" t="e">
        <f t="shared" si="1371"/>
        <v>#VALUE!</v>
      </c>
      <c r="L2188" s="116" t="e">
        <f t="shared" si="1371"/>
        <v>#VALUE!</v>
      </c>
      <c r="O2188" s="116" t="e">
        <f>SUM(O2184:O2187)</f>
        <v>#VALUE!</v>
      </c>
      <c r="P2188" s="116" t="e">
        <f>SUM(P2184:P2187)</f>
        <v>#VALUE!</v>
      </c>
      <c r="Q2188" s="116" t="e">
        <f>SUM(Q2184:Q2187)</f>
        <v>#VALUE!</v>
      </c>
      <c r="R2188" s="116" t="e">
        <f>SUM(R2184:R2187)</f>
        <v>#VALUE!</v>
      </c>
      <c r="T2188" s="116" t="e">
        <f>SUM(T2184:T2187)</f>
        <v>#VALUE!</v>
      </c>
      <c r="U2188" s="116" t="e">
        <f>SUM(U2184:U2187)</f>
        <v>#VALUE!</v>
      </c>
      <c r="V2188" s="116" t="e">
        <f>SUM(V2184:V2187)</f>
        <v>#VALUE!</v>
      </c>
      <c r="W2188" s="116" t="e">
        <f>SUM(W2184:W2187)</f>
        <v>#VALUE!</v>
      </c>
      <c r="X2188" s="3"/>
      <c r="Y2188" s="116" t="e">
        <f>SUM(Y2184:Y2187)</f>
        <v>#VALUE!</v>
      </c>
      <c r="Z2188" s="116" t="e">
        <f>SUM(Z2184:Z2187)</f>
        <v>#VALUE!</v>
      </c>
      <c r="AA2188" s="116" t="e">
        <f>SUM(AA2184:AA2187)</f>
        <v>#VALUE!</v>
      </c>
      <c r="AB2188" s="116" t="e">
        <f>SUM(AB2184:AB2187)</f>
        <v>#VALUE!</v>
      </c>
      <c r="AC2188" s="116" t="e">
        <f>SUM(AC2184:AC2187)</f>
        <v>#VALUE!</v>
      </c>
      <c r="AD2188" s="117" t="e">
        <f>ROUND(SUM(-G2188,H2188:L2188),0)</f>
        <v>#VALUE!</v>
      </c>
      <c r="AE2188" s="117" t="e">
        <f>ROUND(H2188-O2188-P2188-Q2188-R2188,0)</f>
        <v>#VALUE!</v>
      </c>
      <c r="AF2188" s="117" t="e">
        <f>ROUND(I2188-T2188-U2188-V2188-W2188,0)</f>
        <v>#VALUE!</v>
      </c>
      <c r="AG2188" s="117" t="e">
        <f>ROUND(J2188-Y2188-Z2188-AA2188-AC2188-AB2188,0)</f>
        <v>#VALUE!</v>
      </c>
      <c r="AH2188" s="116"/>
      <c r="AI2188" t="str">
        <f t="shared" si="1355"/>
        <v>111HP</v>
      </c>
      <c r="AJ2188" t="str">
        <f t="shared" si="1350"/>
        <v>NA</v>
      </c>
      <c r="AK2188" t="str">
        <f>IF(ISERROR(MATCH(AI2188&amp;"."&amp;AJ2188,AK$91:AK2187,0)),AI2188&amp;"."&amp;AJ2188,AI2188&amp;"."&amp;AJ2188&amp;COUNTIFS(AI$91:AI2187,AI2188,AJ$91:AJ2187,AJ2188))</f>
        <v>111HP.NA1</v>
      </c>
    </row>
    <row r="2189" spans="1:37" ht="15" hidden="1">
      <c r="A2189" s="120">
        <f>ROW()</f>
        <v>2189</v>
      </c>
      <c r="B2189" s="120"/>
      <c r="C2189" s="1"/>
      <c r="E2189" s="121"/>
      <c r="F2189" s="138"/>
      <c r="G2189" s="119"/>
      <c r="X2189" s="3"/>
      <c r="AD2189" s="119"/>
      <c r="AE2189" s="119"/>
      <c r="AF2189" s="119"/>
      <c r="AG2189" s="119"/>
      <c r="AI2189" t="str">
        <f t="shared" si="1355"/>
        <v>111HP</v>
      </c>
      <c r="AJ2189" t="str">
        <f t="shared" si="1350"/>
        <v>NA</v>
      </c>
      <c r="AK2189" t="str">
        <f>IF(ISERROR(MATCH(AI2189&amp;"."&amp;AJ2189,AK$91:AK2188,0)),AI2189&amp;"."&amp;AJ2189,AI2189&amp;"."&amp;AJ2189&amp;COUNTIFS(AI$91:AI2188,AI2189,AJ$91:AJ2188,AJ2189))</f>
        <v>111HP.NA2</v>
      </c>
    </row>
    <row r="2190" spans="1:37" ht="15" hidden="1">
      <c r="A2190" s="120">
        <f>ROW()</f>
        <v>2190</v>
      </c>
      <c r="B2190" s="120"/>
      <c r="C2190" s="1"/>
      <c r="E2190" s="121"/>
      <c r="F2190" s="138"/>
      <c r="G2190" s="119"/>
      <c r="X2190" s="3"/>
      <c r="AD2190" s="119"/>
      <c r="AE2190" s="119"/>
      <c r="AF2190" s="119"/>
      <c r="AG2190" s="119"/>
      <c r="AI2190" t="str">
        <f t="shared" si="1355"/>
        <v>111HP</v>
      </c>
      <c r="AJ2190" t="str">
        <f t="shared" si="1350"/>
        <v>NA</v>
      </c>
      <c r="AK2190" t="str">
        <f>IF(ISERROR(MATCH(AI2190&amp;"."&amp;AJ2190,AK$91:AK2189,0)),AI2190&amp;"."&amp;AJ2190,AI2190&amp;"."&amp;AJ2190&amp;COUNTIFS(AI$91:AI2189,AI2190,AJ$91:AJ2189,AJ2190))</f>
        <v>111HP.NA3</v>
      </c>
    </row>
    <row r="2191" spans="1:37" ht="15" hidden="1">
      <c r="A2191" s="120">
        <f>ROW()</f>
        <v>2191</v>
      </c>
      <c r="B2191" s="120"/>
      <c r="C2191" s="1" t="s">
        <v>214</v>
      </c>
      <c r="D2191" s="2" t="s">
        <v>699</v>
      </c>
      <c r="E2191" s="121"/>
      <c r="F2191" s="138"/>
      <c r="G2191" s="119"/>
      <c r="X2191" s="3"/>
      <c r="AD2191" s="119"/>
      <c r="AE2191" s="119"/>
      <c r="AF2191" s="119"/>
      <c r="AG2191" s="119"/>
      <c r="AI2191" t="str">
        <f t="shared" si="1355"/>
        <v>111IP</v>
      </c>
      <c r="AJ2191" t="str">
        <f t="shared" si="1350"/>
        <v>NA</v>
      </c>
      <c r="AK2191" t="str">
        <f>IF(ISERROR(MATCH(AI2191&amp;"."&amp;AJ2191,AK$91:AK2190,0)),AI2191&amp;"."&amp;AJ2191,AI2191&amp;"."&amp;AJ2191&amp;COUNTIFS(AI$91:AI2190,AI2191,AJ$91:AJ2190,AJ2191))</f>
        <v>111IP.NA</v>
      </c>
    </row>
    <row r="2192" spans="1:37" ht="15" hidden="1">
      <c r="A2192" s="120">
        <f>ROW()</f>
        <v>2192</v>
      </c>
      <c r="B2192" s="120"/>
      <c r="C2192" s="1"/>
      <c r="E2192" s="121" t="s">
        <v>12</v>
      </c>
      <c r="F2192" s="138" t="str">
        <f>INDEX(FuncAllocOptions,ROW(A2192)-ROW($A$92)+1,[4]Inputs!$S$11)</f>
        <v>I-SITUS</v>
      </c>
      <c r="G2192" s="117" t="e">
        <f t="shared" ref="G2192:G2202" si="1372">SUMIF(FERCJAMFactor,AK2192,JAMValue)</f>
        <v>#VALUE!</v>
      </c>
      <c r="H2192" s="116" t="e">
        <f t="shared" ref="H2192:L2202" si="1373">INDEX(FuncFactorTbl,MATCH($F2192,FuncFactors,0),MATCH(H$8,Functions,0))*$G2192</f>
        <v>#VALUE!</v>
      </c>
      <c r="I2192" s="116" t="e">
        <f t="shared" si="1373"/>
        <v>#VALUE!</v>
      </c>
      <c r="J2192" s="116" t="e">
        <f t="shared" si="1373"/>
        <v>#VALUE!</v>
      </c>
      <c r="K2192" s="116" t="e">
        <f t="shared" si="1373"/>
        <v>#VALUE!</v>
      </c>
      <c r="L2192" s="116" t="e">
        <f t="shared" si="1373"/>
        <v>#VALUE!</v>
      </c>
      <c r="N2192" s="108">
        <v>0.75</v>
      </c>
      <c r="O2192" s="116" t="e">
        <f t="shared" ref="O2192:O2202" si="1374">$H2192*$N2192*$M2192</f>
        <v>#VALUE!</v>
      </c>
      <c r="P2192" s="116" t="e">
        <f t="shared" ref="P2192:P2202" si="1375">$H2192*(1-$N2192)*$M2192</f>
        <v>#VALUE!</v>
      </c>
      <c r="Q2192" s="116" t="e">
        <f t="shared" ref="Q2192:Q2202" si="1376">$H2192*$N2192*(1-$M2192)</f>
        <v>#VALUE!</v>
      </c>
      <c r="R2192" s="116" t="e">
        <f t="shared" ref="R2192:R2202" si="1377">$H2192*(1-$N2192)*(1-$M2192)</f>
        <v>#VALUE!</v>
      </c>
      <c r="S2192" s="108">
        <v>0.75</v>
      </c>
      <c r="T2192" s="116" t="e">
        <f t="shared" ref="T2192:T2202" si="1378">$I2192*$S2192*$M2192</f>
        <v>#VALUE!</v>
      </c>
      <c r="U2192" s="116" t="e">
        <f t="shared" ref="U2192:U2202" si="1379">$I2192*(1-$S2192)*$M2192</f>
        <v>#VALUE!</v>
      </c>
      <c r="V2192" s="116" t="e">
        <f t="shared" ref="V2192:V2202" si="1380">$I2192*$S2192*(1-$M2192)</f>
        <v>#VALUE!</v>
      </c>
      <c r="W2192" s="116" t="e">
        <f t="shared" ref="W2192:W2202" si="1381">$I2192*(1-$S2192)*(1-$M2192)</f>
        <v>#VALUE!</v>
      </c>
      <c r="X2192" s="3" t="str">
        <f>INDEX(DistFuncAllocOptions,ROW(A2192)-ROW($A$92)+1,[4]Inputs!$S$11)</f>
        <v>PLNT</v>
      </c>
      <c r="Y2192" s="116" t="e">
        <f t="shared" ref="Y2192:AC2202" si="1382">INDEX(DistFuncFactorTbl,MATCH($X2192,DistFuncFactors,0),MATCH(Y$91,DistFunctions,0))*$J2192</f>
        <v>#VALUE!</v>
      </c>
      <c r="Z2192" s="116" t="e">
        <f t="shared" si="1382"/>
        <v>#VALUE!</v>
      </c>
      <c r="AA2192" s="116" t="e">
        <f t="shared" si="1382"/>
        <v>#VALUE!</v>
      </c>
      <c r="AB2192" s="116" t="e">
        <f t="shared" si="1382"/>
        <v>#VALUE!</v>
      </c>
      <c r="AC2192" s="116" t="e">
        <f t="shared" si="1382"/>
        <v>#VALUE!</v>
      </c>
      <c r="AD2192" s="117" t="e">
        <f t="shared" ref="AD2192:AD2203" si="1383">ROUND(SUM(-G2192,H2192:L2192),0)</f>
        <v>#VALUE!</v>
      </c>
      <c r="AE2192" s="117" t="e">
        <f t="shared" ref="AE2192:AE2203" si="1384">ROUND(H2192-O2192-P2192-Q2192-R2192,0)</f>
        <v>#VALUE!</v>
      </c>
      <c r="AF2192" s="117" t="e">
        <f t="shared" ref="AF2192:AF2203" si="1385">ROUND(I2192-T2192-U2192-V2192-W2192,0)</f>
        <v>#VALUE!</v>
      </c>
      <c r="AG2192" s="117" t="e">
        <f t="shared" ref="AG2192:AG2203" si="1386">ROUND(J2192-Y2192-Z2192-AA2192-AC2192-AB2192,0)</f>
        <v>#VALUE!</v>
      </c>
      <c r="AH2192" s="116"/>
      <c r="AI2192" t="str">
        <f t="shared" si="1355"/>
        <v>111IP</v>
      </c>
      <c r="AJ2192" t="str">
        <f t="shared" si="1350"/>
        <v>S</v>
      </c>
      <c r="AK2192" t="str">
        <f>IF(ISERROR(MATCH(AI2192&amp;"."&amp;AJ2192,AK$91:AK2191,0)),AI2192&amp;"."&amp;AJ2192,AI2192&amp;"."&amp;AJ2192&amp;COUNTIFS(AI$91:AI2191,AI2192,AJ$91:AJ2191,AJ2192))</f>
        <v>111IP.S</v>
      </c>
    </row>
    <row r="2193" spans="1:37" ht="15" hidden="1">
      <c r="A2193" s="120">
        <f>ROW()</f>
        <v>2193</v>
      </c>
      <c r="B2193" s="120"/>
      <c r="C2193" s="1"/>
      <c r="E2193" s="121" t="s">
        <v>15</v>
      </c>
      <c r="F2193" s="138" t="str">
        <f>INDEX(FuncAllocOptions,ROW(A2193)-ROW($A$92)+1,[4]Inputs!$S$11)</f>
        <v>I-DGP</v>
      </c>
      <c r="G2193" s="117" t="e">
        <f t="shared" si="1372"/>
        <v>#VALUE!</v>
      </c>
      <c r="H2193" s="116" t="e">
        <f t="shared" si="1373"/>
        <v>#VALUE!</v>
      </c>
      <c r="I2193" s="116" t="e">
        <f t="shared" si="1373"/>
        <v>#VALUE!</v>
      </c>
      <c r="J2193" s="116" t="e">
        <f t="shared" si="1373"/>
        <v>#VALUE!</v>
      </c>
      <c r="K2193" s="116" t="e">
        <f t="shared" si="1373"/>
        <v>#VALUE!</v>
      </c>
      <c r="L2193" s="116" t="e">
        <f t="shared" si="1373"/>
        <v>#VALUE!</v>
      </c>
      <c r="N2193" s="108">
        <v>0.75</v>
      </c>
      <c r="O2193" s="116" t="e">
        <f t="shared" si="1374"/>
        <v>#VALUE!</v>
      </c>
      <c r="P2193" s="116" t="e">
        <f t="shared" si="1375"/>
        <v>#VALUE!</v>
      </c>
      <c r="Q2193" s="116" t="e">
        <f t="shared" si="1376"/>
        <v>#VALUE!</v>
      </c>
      <c r="R2193" s="116" t="e">
        <f t="shared" si="1377"/>
        <v>#VALUE!</v>
      </c>
      <c r="S2193" s="108">
        <v>0.75</v>
      </c>
      <c r="T2193" s="116" t="e">
        <f t="shared" si="1378"/>
        <v>#VALUE!</v>
      </c>
      <c r="U2193" s="116" t="e">
        <f t="shared" si="1379"/>
        <v>#VALUE!</v>
      </c>
      <c r="V2193" s="116" t="e">
        <f t="shared" si="1380"/>
        <v>#VALUE!</v>
      </c>
      <c r="W2193" s="116" t="e">
        <f t="shared" si="1381"/>
        <v>#VALUE!</v>
      </c>
      <c r="X2193" s="3" t="str">
        <f>INDEX(DistFuncAllocOptions,ROW(A2193)-ROW($A$92)+1,[4]Inputs!$S$11)</f>
        <v>PLNT</v>
      </c>
      <c r="Y2193" s="116" t="e">
        <f t="shared" si="1382"/>
        <v>#VALUE!</v>
      </c>
      <c r="Z2193" s="116" t="e">
        <f t="shared" si="1382"/>
        <v>#VALUE!</v>
      </c>
      <c r="AA2193" s="116" t="e">
        <f t="shared" si="1382"/>
        <v>#VALUE!</v>
      </c>
      <c r="AB2193" s="116" t="e">
        <f t="shared" si="1382"/>
        <v>#VALUE!</v>
      </c>
      <c r="AC2193" s="116" t="e">
        <f t="shared" si="1382"/>
        <v>#VALUE!</v>
      </c>
      <c r="AD2193" s="117" t="e">
        <f t="shared" si="1383"/>
        <v>#VALUE!</v>
      </c>
      <c r="AE2193" s="117" t="e">
        <f t="shared" si="1384"/>
        <v>#VALUE!</v>
      </c>
      <c r="AF2193" s="117" t="e">
        <f t="shared" si="1385"/>
        <v>#VALUE!</v>
      </c>
      <c r="AG2193" s="117" t="e">
        <f t="shared" si="1386"/>
        <v>#VALUE!</v>
      </c>
      <c r="AH2193" s="116"/>
      <c r="AI2193" t="str">
        <f t="shared" si="1355"/>
        <v>111IP</v>
      </c>
      <c r="AJ2193" t="str">
        <f t="shared" si="1350"/>
        <v>SG</v>
      </c>
      <c r="AK2193" t="str">
        <f>IF(ISERROR(MATCH(AI2193&amp;"."&amp;AJ2193,AK$91:AK2192,0)),AI2193&amp;"."&amp;AJ2193,AI2193&amp;"."&amp;AJ2193&amp;COUNTIFS(AI$91:AI2192,AI2193,AJ$91:AJ2192,AJ2193))</f>
        <v>111IP.SG</v>
      </c>
    </row>
    <row r="2194" spans="1:37" ht="15" hidden="1">
      <c r="A2194" s="120">
        <f>ROW()</f>
        <v>2194</v>
      </c>
      <c r="B2194" s="120"/>
      <c r="C2194" s="1"/>
      <c r="E2194" s="121" t="s">
        <v>15</v>
      </c>
      <c r="F2194" s="138" t="str">
        <f>INDEX(FuncAllocOptions,ROW(A2194)-ROW($A$92)+1,[4]Inputs!$S$11)</f>
        <v>I-DGU</v>
      </c>
      <c r="G2194" s="117" t="e">
        <f t="shared" si="1372"/>
        <v>#VALUE!</v>
      </c>
      <c r="H2194" s="116" t="e">
        <f t="shared" si="1373"/>
        <v>#VALUE!</v>
      </c>
      <c r="I2194" s="116" t="e">
        <f t="shared" si="1373"/>
        <v>#VALUE!</v>
      </c>
      <c r="J2194" s="116" t="e">
        <f t="shared" si="1373"/>
        <v>#VALUE!</v>
      </c>
      <c r="K2194" s="116" t="e">
        <f t="shared" si="1373"/>
        <v>#VALUE!</v>
      </c>
      <c r="L2194" s="116" t="e">
        <f t="shared" si="1373"/>
        <v>#VALUE!</v>
      </c>
      <c r="N2194" s="108">
        <v>0.75</v>
      </c>
      <c r="O2194" s="116" t="e">
        <f t="shared" si="1374"/>
        <v>#VALUE!</v>
      </c>
      <c r="P2194" s="116" t="e">
        <f t="shared" si="1375"/>
        <v>#VALUE!</v>
      </c>
      <c r="Q2194" s="116" t="e">
        <f t="shared" si="1376"/>
        <v>#VALUE!</v>
      </c>
      <c r="R2194" s="116" t="e">
        <f t="shared" si="1377"/>
        <v>#VALUE!</v>
      </c>
      <c r="S2194" s="108">
        <v>0.75</v>
      </c>
      <c r="T2194" s="116" t="e">
        <f t="shared" si="1378"/>
        <v>#VALUE!</v>
      </c>
      <c r="U2194" s="116" t="e">
        <f t="shared" si="1379"/>
        <v>#VALUE!</v>
      </c>
      <c r="V2194" s="116" t="e">
        <f t="shared" si="1380"/>
        <v>#VALUE!</v>
      </c>
      <c r="W2194" s="116" t="e">
        <f t="shared" si="1381"/>
        <v>#VALUE!</v>
      </c>
      <c r="X2194" s="3" t="str">
        <f>INDEX(DistFuncAllocOptions,ROW(A2194)-ROW($A$92)+1,[4]Inputs!$S$11)</f>
        <v>PLNT</v>
      </c>
      <c r="Y2194" s="116" t="e">
        <f t="shared" si="1382"/>
        <v>#VALUE!</v>
      </c>
      <c r="Z2194" s="116" t="e">
        <f t="shared" si="1382"/>
        <v>#VALUE!</v>
      </c>
      <c r="AA2194" s="116" t="e">
        <f t="shared" si="1382"/>
        <v>#VALUE!</v>
      </c>
      <c r="AB2194" s="116" t="e">
        <f t="shared" si="1382"/>
        <v>#VALUE!</v>
      </c>
      <c r="AC2194" s="116" t="e">
        <f t="shared" si="1382"/>
        <v>#VALUE!</v>
      </c>
      <c r="AD2194" s="117" t="e">
        <f t="shared" si="1383"/>
        <v>#VALUE!</v>
      </c>
      <c r="AE2194" s="117" t="e">
        <f t="shared" si="1384"/>
        <v>#VALUE!</v>
      </c>
      <c r="AF2194" s="117" t="e">
        <f t="shared" si="1385"/>
        <v>#VALUE!</v>
      </c>
      <c r="AG2194" s="117" t="e">
        <f t="shared" si="1386"/>
        <v>#VALUE!</v>
      </c>
      <c r="AH2194" s="116"/>
      <c r="AI2194" t="str">
        <f t="shared" si="1355"/>
        <v>111IP</v>
      </c>
      <c r="AJ2194" t="str">
        <f t="shared" si="1350"/>
        <v>SG</v>
      </c>
      <c r="AK2194" t="str">
        <f>IF(ISERROR(MATCH(AI2194&amp;"."&amp;AJ2194,AK$91:AK2193,0)),AI2194&amp;"."&amp;AJ2194,AI2194&amp;"."&amp;AJ2194&amp;COUNTIFS(AI$91:AI2193,AI2194,AJ$91:AJ2193,AJ2194))</f>
        <v>111IP.SG1</v>
      </c>
    </row>
    <row r="2195" spans="1:37" ht="15" hidden="1">
      <c r="A2195" s="120">
        <f>ROW()</f>
        <v>2195</v>
      </c>
      <c r="B2195" s="120"/>
      <c r="C2195" s="1"/>
      <c r="E2195" s="121" t="s">
        <v>16</v>
      </c>
      <c r="F2195" s="138" t="str">
        <f>INDEX(FuncAllocOptions,ROW(A2195)-ROW($A$92)+1,[4]Inputs!$S$11)</f>
        <v>P</v>
      </c>
      <c r="G2195" s="117" t="e">
        <f t="shared" si="1372"/>
        <v>#VALUE!</v>
      </c>
      <c r="H2195" s="116" t="e">
        <f t="shared" si="1373"/>
        <v>#VALUE!</v>
      </c>
      <c r="I2195" s="116" t="e">
        <f t="shared" si="1373"/>
        <v>#VALUE!</v>
      </c>
      <c r="J2195" s="116" t="e">
        <f t="shared" si="1373"/>
        <v>#VALUE!</v>
      </c>
      <c r="K2195" s="116" t="e">
        <f t="shared" si="1373"/>
        <v>#VALUE!</v>
      </c>
      <c r="L2195" s="116" t="e">
        <f t="shared" si="1373"/>
        <v>#VALUE!</v>
      </c>
      <c r="N2195" s="108">
        <v>0</v>
      </c>
      <c r="O2195" s="116" t="e">
        <f t="shared" si="1374"/>
        <v>#VALUE!</v>
      </c>
      <c r="P2195" s="116" t="e">
        <f t="shared" si="1375"/>
        <v>#VALUE!</v>
      </c>
      <c r="Q2195" s="116" t="e">
        <f t="shared" si="1376"/>
        <v>#VALUE!</v>
      </c>
      <c r="R2195" s="116" t="e">
        <f t="shared" si="1377"/>
        <v>#VALUE!</v>
      </c>
      <c r="S2195" s="108">
        <v>0</v>
      </c>
      <c r="T2195" s="116" t="e">
        <f t="shared" si="1378"/>
        <v>#VALUE!</v>
      </c>
      <c r="U2195" s="116" t="e">
        <f t="shared" si="1379"/>
        <v>#VALUE!</v>
      </c>
      <c r="V2195" s="116" t="e">
        <f t="shared" si="1380"/>
        <v>#VALUE!</v>
      </c>
      <c r="W2195" s="116" t="e">
        <f t="shared" si="1381"/>
        <v>#VALUE!</v>
      </c>
      <c r="X2195" s="3" t="str">
        <f>INDEX(DistFuncAllocOptions,ROW(A2195)-ROW($A$92)+1,[4]Inputs!$S$11)</f>
        <v>PLNT</v>
      </c>
      <c r="Y2195" s="116" t="e">
        <f t="shared" si="1382"/>
        <v>#VALUE!</v>
      </c>
      <c r="Z2195" s="116" t="e">
        <f t="shared" si="1382"/>
        <v>#VALUE!</v>
      </c>
      <c r="AA2195" s="116" t="e">
        <f t="shared" si="1382"/>
        <v>#VALUE!</v>
      </c>
      <c r="AB2195" s="116" t="e">
        <f t="shared" si="1382"/>
        <v>#VALUE!</v>
      </c>
      <c r="AC2195" s="116" t="e">
        <f t="shared" si="1382"/>
        <v>#VALUE!</v>
      </c>
      <c r="AD2195" s="117" t="e">
        <f t="shared" si="1383"/>
        <v>#VALUE!</v>
      </c>
      <c r="AE2195" s="117" t="e">
        <f t="shared" si="1384"/>
        <v>#VALUE!</v>
      </c>
      <c r="AF2195" s="117" t="e">
        <f t="shared" si="1385"/>
        <v>#VALUE!</v>
      </c>
      <c r="AG2195" s="117" t="e">
        <f t="shared" si="1386"/>
        <v>#VALUE!</v>
      </c>
      <c r="AH2195" s="116"/>
      <c r="AI2195" t="str">
        <f t="shared" si="1355"/>
        <v>111IP</v>
      </c>
      <c r="AJ2195" t="str">
        <f t="shared" si="1350"/>
        <v>SE</v>
      </c>
      <c r="AK2195" t="str">
        <f>IF(ISERROR(MATCH(AI2195&amp;"."&amp;AJ2195,AK$91:AK2194,0)),AI2195&amp;"."&amp;AJ2195,AI2195&amp;"."&amp;AJ2195&amp;COUNTIFS(AI$91:AI2194,AI2195,AJ$91:AJ2194,AJ2195))</f>
        <v>111IP.SE</v>
      </c>
    </row>
    <row r="2196" spans="1:37" ht="15" hidden="1">
      <c r="A2196" s="120">
        <f>ROW()</f>
        <v>2196</v>
      </c>
      <c r="B2196" s="120"/>
      <c r="C2196" s="1"/>
      <c r="E2196" s="121" t="s">
        <v>15</v>
      </c>
      <c r="F2196" s="138" t="str">
        <f>INDEX(FuncAllocOptions,ROW(A2196)-ROW($A$92)+1,[4]Inputs!$S$11)</f>
        <v>I-SG</v>
      </c>
      <c r="G2196" s="117" t="e">
        <f t="shared" si="1372"/>
        <v>#VALUE!</v>
      </c>
      <c r="H2196" s="116" t="e">
        <f t="shared" si="1373"/>
        <v>#VALUE!</v>
      </c>
      <c r="I2196" s="116" t="e">
        <f t="shared" si="1373"/>
        <v>#VALUE!</v>
      </c>
      <c r="J2196" s="116" t="e">
        <f t="shared" si="1373"/>
        <v>#VALUE!</v>
      </c>
      <c r="K2196" s="116" t="e">
        <f t="shared" si="1373"/>
        <v>#VALUE!</v>
      </c>
      <c r="L2196" s="116" t="e">
        <f t="shared" si="1373"/>
        <v>#VALUE!</v>
      </c>
      <c r="N2196" s="108">
        <v>0.75</v>
      </c>
      <c r="O2196" s="116" t="e">
        <f t="shared" si="1374"/>
        <v>#VALUE!</v>
      </c>
      <c r="P2196" s="116" t="e">
        <f t="shared" si="1375"/>
        <v>#VALUE!</v>
      </c>
      <c r="Q2196" s="116" t="e">
        <f t="shared" si="1376"/>
        <v>#VALUE!</v>
      </c>
      <c r="R2196" s="116" t="e">
        <f t="shared" si="1377"/>
        <v>#VALUE!</v>
      </c>
      <c r="S2196" s="108">
        <v>0.75</v>
      </c>
      <c r="T2196" s="116" t="e">
        <f t="shared" si="1378"/>
        <v>#VALUE!</v>
      </c>
      <c r="U2196" s="116" t="e">
        <f t="shared" si="1379"/>
        <v>#VALUE!</v>
      </c>
      <c r="V2196" s="116" t="e">
        <f t="shared" si="1380"/>
        <v>#VALUE!</v>
      </c>
      <c r="W2196" s="116" t="e">
        <f t="shared" si="1381"/>
        <v>#VALUE!</v>
      </c>
      <c r="X2196" s="3" t="str">
        <f>INDEX(DistFuncAllocOptions,ROW(A2196)-ROW($A$92)+1,[4]Inputs!$S$11)</f>
        <v>PLNT</v>
      </c>
      <c r="Y2196" s="116" t="e">
        <f t="shared" si="1382"/>
        <v>#VALUE!</v>
      </c>
      <c r="Z2196" s="116" t="e">
        <f t="shared" si="1382"/>
        <v>#VALUE!</v>
      </c>
      <c r="AA2196" s="116" t="e">
        <f t="shared" si="1382"/>
        <v>#VALUE!</v>
      </c>
      <c r="AB2196" s="116" t="e">
        <f t="shared" si="1382"/>
        <v>#VALUE!</v>
      </c>
      <c r="AC2196" s="116" t="e">
        <f t="shared" si="1382"/>
        <v>#VALUE!</v>
      </c>
      <c r="AD2196" s="117" t="e">
        <f t="shared" si="1383"/>
        <v>#VALUE!</v>
      </c>
      <c r="AE2196" s="117" t="e">
        <f t="shared" si="1384"/>
        <v>#VALUE!</v>
      </c>
      <c r="AF2196" s="117" t="e">
        <f t="shared" si="1385"/>
        <v>#VALUE!</v>
      </c>
      <c r="AG2196" s="117" t="e">
        <f t="shared" si="1386"/>
        <v>#VALUE!</v>
      </c>
      <c r="AH2196" s="116"/>
      <c r="AI2196" t="str">
        <f t="shared" si="1355"/>
        <v>111IP</v>
      </c>
      <c r="AJ2196" t="str">
        <f t="shared" si="1350"/>
        <v>SG</v>
      </c>
      <c r="AK2196" t="str">
        <f>IF(ISERROR(MATCH(AI2196&amp;"."&amp;AJ2196,AK$91:AK2195,0)),AI2196&amp;"."&amp;AJ2196,AI2196&amp;"."&amp;AJ2196&amp;COUNTIFS(AI$91:AI2195,AI2196,AJ$91:AJ2195,AJ2196))</f>
        <v>111IP.SG2</v>
      </c>
    </row>
    <row r="2197" spans="1:37" ht="15" hidden="1">
      <c r="A2197" s="120">
        <f>ROW()</f>
        <v>2197</v>
      </c>
      <c r="B2197" s="120"/>
      <c r="C2197" s="1"/>
      <c r="E2197" s="121" t="s">
        <v>15</v>
      </c>
      <c r="F2197" s="138" t="str">
        <f>INDEX(FuncAllocOptions,ROW(A2197)-ROW($A$92)+1,[4]Inputs!$S$11)</f>
        <v>I-SG</v>
      </c>
      <c r="G2197" s="117" t="e">
        <f t="shared" si="1372"/>
        <v>#VALUE!</v>
      </c>
      <c r="H2197" s="116" t="e">
        <f t="shared" si="1373"/>
        <v>#VALUE!</v>
      </c>
      <c r="I2197" s="116" t="e">
        <f t="shared" si="1373"/>
        <v>#VALUE!</v>
      </c>
      <c r="J2197" s="116" t="e">
        <f t="shared" si="1373"/>
        <v>#VALUE!</v>
      </c>
      <c r="K2197" s="116" t="e">
        <f t="shared" si="1373"/>
        <v>#VALUE!</v>
      </c>
      <c r="L2197" s="116" t="e">
        <f t="shared" si="1373"/>
        <v>#VALUE!</v>
      </c>
      <c r="N2197" s="108">
        <v>0.75</v>
      </c>
      <c r="O2197" s="116" t="e">
        <f t="shared" si="1374"/>
        <v>#VALUE!</v>
      </c>
      <c r="P2197" s="116" t="e">
        <f t="shared" si="1375"/>
        <v>#VALUE!</v>
      </c>
      <c r="Q2197" s="116" t="e">
        <f t="shared" si="1376"/>
        <v>#VALUE!</v>
      </c>
      <c r="R2197" s="116" t="e">
        <f t="shared" si="1377"/>
        <v>#VALUE!</v>
      </c>
      <c r="S2197" s="108">
        <v>0.75</v>
      </c>
      <c r="T2197" s="116" t="e">
        <f t="shared" si="1378"/>
        <v>#VALUE!</v>
      </c>
      <c r="U2197" s="116" t="e">
        <f t="shared" si="1379"/>
        <v>#VALUE!</v>
      </c>
      <c r="V2197" s="116" t="e">
        <f t="shared" si="1380"/>
        <v>#VALUE!</v>
      </c>
      <c r="W2197" s="116" t="e">
        <f t="shared" si="1381"/>
        <v>#VALUE!</v>
      </c>
      <c r="X2197" s="3" t="str">
        <f>INDEX(DistFuncAllocOptions,ROW(A2197)-ROW($A$92)+1,[4]Inputs!$S$11)</f>
        <v>PLNT</v>
      </c>
      <c r="Y2197" s="116" t="e">
        <f t="shared" si="1382"/>
        <v>#VALUE!</v>
      </c>
      <c r="Z2197" s="116" t="e">
        <f t="shared" si="1382"/>
        <v>#VALUE!</v>
      </c>
      <c r="AA2197" s="116" t="e">
        <f t="shared" si="1382"/>
        <v>#VALUE!</v>
      </c>
      <c r="AB2197" s="116" t="e">
        <f t="shared" si="1382"/>
        <v>#VALUE!</v>
      </c>
      <c r="AC2197" s="116" t="e">
        <f t="shared" si="1382"/>
        <v>#VALUE!</v>
      </c>
      <c r="AD2197" s="117" t="e">
        <f t="shared" si="1383"/>
        <v>#VALUE!</v>
      </c>
      <c r="AE2197" s="117" t="e">
        <f t="shared" si="1384"/>
        <v>#VALUE!</v>
      </c>
      <c r="AF2197" s="117" t="e">
        <f t="shared" si="1385"/>
        <v>#VALUE!</v>
      </c>
      <c r="AG2197" s="117" t="e">
        <f t="shared" si="1386"/>
        <v>#VALUE!</v>
      </c>
      <c r="AH2197" s="116"/>
      <c r="AI2197" t="str">
        <f t="shared" si="1355"/>
        <v>111IP</v>
      </c>
      <c r="AJ2197" t="str">
        <f t="shared" si="1350"/>
        <v>SG</v>
      </c>
      <c r="AK2197" t="str">
        <f>IF(ISERROR(MATCH(AI2197&amp;"."&amp;AJ2197,AK$91:AK2196,0)),AI2197&amp;"."&amp;AJ2197,AI2197&amp;"."&amp;AJ2197&amp;COUNTIFS(AI$91:AI2196,AI2197,AJ$91:AJ2196,AJ2197))</f>
        <v>111IP.SG3</v>
      </c>
    </row>
    <row r="2198" spans="1:37" ht="15" hidden="1">
      <c r="A2198" s="120">
        <f>ROW()</f>
        <v>2198</v>
      </c>
      <c r="B2198" s="120"/>
      <c r="C2198" s="1"/>
      <c r="E2198" s="121" t="s">
        <v>15</v>
      </c>
      <c r="F2198" s="138" t="str">
        <f>INDEX(FuncAllocOptions,ROW(A2198)-ROW($A$92)+1,[4]Inputs!$S$11)</f>
        <v>I-SG</v>
      </c>
      <c r="G2198" s="117" t="e">
        <f t="shared" si="1372"/>
        <v>#VALUE!</v>
      </c>
      <c r="H2198" s="116" t="e">
        <f t="shared" si="1373"/>
        <v>#VALUE!</v>
      </c>
      <c r="I2198" s="116" t="e">
        <f t="shared" si="1373"/>
        <v>#VALUE!</v>
      </c>
      <c r="J2198" s="116" t="e">
        <f t="shared" si="1373"/>
        <v>#VALUE!</v>
      </c>
      <c r="K2198" s="116" t="e">
        <f t="shared" si="1373"/>
        <v>#VALUE!</v>
      </c>
      <c r="L2198" s="116" t="e">
        <f t="shared" si="1373"/>
        <v>#VALUE!</v>
      </c>
      <c r="N2198" s="108">
        <v>0.75</v>
      </c>
      <c r="O2198" s="116" t="e">
        <f t="shared" si="1374"/>
        <v>#VALUE!</v>
      </c>
      <c r="P2198" s="116" t="e">
        <f t="shared" si="1375"/>
        <v>#VALUE!</v>
      </c>
      <c r="Q2198" s="116" t="e">
        <f t="shared" si="1376"/>
        <v>#VALUE!</v>
      </c>
      <c r="R2198" s="116" t="e">
        <f t="shared" si="1377"/>
        <v>#VALUE!</v>
      </c>
      <c r="S2198" s="108">
        <v>0.75</v>
      </c>
      <c r="T2198" s="116" t="e">
        <f t="shared" si="1378"/>
        <v>#VALUE!</v>
      </c>
      <c r="U2198" s="116" t="e">
        <f t="shared" si="1379"/>
        <v>#VALUE!</v>
      </c>
      <c r="V2198" s="116" t="e">
        <f t="shared" si="1380"/>
        <v>#VALUE!</v>
      </c>
      <c r="W2198" s="116" t="e">
        <f t="shared" si="1381"/>
        <v>#VALUE!</v>
      </c>
      <c r="X2198" s="3" t="str">
        <f>INDEX(DistFuncAllocOptions,ROW(A2198)-ROW($A$92)+1,[4]Inputs!$S$11)</f>
        <v>PLNT</v>
      </c>
      <c r="Y2198" s="116" t="e">
        <f t="shared" si="1382"/>
        <v>#VALUE!</v>
      </c>
      <c r="Z2198" s="116" t="e">
        <f t="shared" si="1382"/>
        <v>#VALUE!</v>
      </c>
      <c r="AA2198" s="116" t="e">
        <f t="shared" si="1382"/>
        <v>#VALUE!</v>
      </c>
      <c r="AB2198" s="116" t="e">
        <f t="shared" si="1382"/>
        <v>#VALUE!</v>
      </c>
      <c r="AC2198" s="116" t="e">
        <f t="shared" si="1382"/>
        <v>#VALUE!</v>
      </c>
      <c r="AD2198" s="117" t="e">
        <f t="shared" si="1383"/>
        <v>#VALUE!</v>
      </c>
      <c r="AE2198" s="117" t="e">
        <f t="shared" si="1384"/>
        <v>#VALUE!</v>
      </c>
      <c r="AF2198" s="117" t="e">
        <f t="shared" si="1385"/>
        <v>#VALUE!</v>
      </c>
      <c r="AG2198" s="117" t="e">
        <f t="shared" si="1386"/>
        <v>#VALUE!</v>
      </c>
      <c r="AH2198" s="116"/>
      <c r="AI2198" t="str">
        <f t="shared" si="1355"/>
        <v>111IP</v>
      </c>
      <c r="AJ2198" t="str">
        <f t="shared" si="1350"/>
        <v>SG</v>
      </c>
      <c r="AK2198" t="str">
        <f>IF(ISERROR(MATCH(AI2198&amp;"."&amp;AJ2198,AK$91:AK2197,0)),AI2198&amp;"."&amp;AJ2198,AI2198&amp;"."&amp;AJ2198&amp;COUNTIFS(AI$91:AI2197,AI2198,AJ$91:AJ2197,AJ2198))</f>
        <v>111IP.SG4</v>
      </c>
    </row>
    <row r="2199" spans="1:37" ht="15" hidden="1">
      <c r="A2199" s="120">
        <f>ROW()</f>
        <v>2199</v>
      </c>
      <c r="B2199" s="120"/>
      <c r="C2199" s="1"/>
      <c r="E2199" s="121" t="s">
        <v>155</v>
      </c>
      <c r="F2199" s="138" t="str">
        <f>INDEX(FuncAllocOptions,ROW(A2199)-ROW($A$92)+1,[4]Inputs!$S$11)</f>
        <v>CUST</v>
      </c>
      <c r="G2199" s="117" t="e">
        <f t="shared" si="1372"/>
        <v>#VALUE!</v>
      </c>
      <c r="H2199" s="116" t="e">
        <f t="shared" si="1373"/>
        <v>#VALUE!</v>
      </c>
      <c r="I2199" s="116" t="e">
        <f t="shared" si="1373"/>
        <v>#VALUE!</v>
      </c>
      <c r="J2199" s="116" t="e">
        <f t="shared" si="1373"/>
        <v>#VALUE!</v>
      </c>
      <c r="K2199" s="116" t="e">
        <f t="shared" si="1373"/>
        <v>#VALUE!</v>
      </c>
      <c r="L2199" s="116" t="e">
        <f t="shared" si="1373"/>
        <v>#VALUE!</v>
      </c>
      <c r="N2199" s="108">
        <v>0.75</v>
      </c>
      <c r="O2199" s="116" t="e">
        <f t="shared" si="1374"/>
        <v>#VALUE!</v>
      </c>
      <c r="P2199" s="116" t="e">
        <f t="shared" si="1375"/>
        <v>#VALUE!</v>
      </c>
      <c r="Q2199" s="116" t="e">
        <f t="shared" si="1376"/>
        <v>#VALUE!</v>
      </c>
      <c r="R2199" s="116" t="e">
        <f t="shared" si="1377"/>
        <v>#VALUE!</v>
      </c>
      <c r="S2199" s="108">
        <v>0.75</v>
      </c>
      <c r="T2199" s="116" t="e">
        <f t="shared" si="1378"/>
        <v>#VALUE!</v>
      </c>
      <c r="U2199" s="116" t="e">
        <f t="shared" si="1379"/>
        <v>#VALUE!</v>
      </c>
      <c r="V2199" s="116" t="e">
        <f t="shared" si="1380"/>
        <v>#VALUE!</v>
      </c>
      <c r="W2199" s="116" t="e">
        <f t="shared" si="1381"/>
        <v>#VALUE!</v>
      </c>
      <c r="X2199" s="3" t="str">
        <f>INDEX(DistFuncAllocOptions,ROW(A2199)-ROW($A$92)+1,[4]Inputs!$S$11)</f>
        <v>CUST</v>
      </c>
      <c r="Y2199" s="116" t="e">
        <f t="shared" si="1382"/>
        <v>#VALUE!</v>
      </c>
      <c r="Z2199" s="116" t="e">
        <f t="shared" si="1382"/>
        <v>#VALUE!</v>
      </c>
      <c r="AA2199" s="116" t="e">
        <f t="shared" si="1382"/>
        <v>#VALUE!</v>
      </c>
      <c r="AB2199" s="116" t="e">
        <f t="shared" si="1382"/>
        <v>#VALUE!</v>
      </c>
      <c r="AC2199" s="116" t="e">
        <f t="shared" si="1382"/>
        <v>#VALUE!</v>
      </c>
      <c r="AD2199" s="117" t="e">
        <f t="shared" si="1383"/>
        <v>#VALUE!</v>
      </c>
      <c r="AE2199" s="117" t="e">
        <f t="shared" si="1384"/>
        <v>#VALUE!</v>
      </c>
      <c r="AF2199" s="117" t="e">
        <f t="shared" si="1385"/>
        <v>#VALUE!</v>
      </c>
      <c r="AG2199" s="117" t="e">
        <f t="shared" si="1386"/>
        <v>#VALUE!</v>
      </c>
      <c r="AH2199" s="116"/>
      <c r="AI2199" t="str">
        <f t="shared" si="1355"/>
        <v>111IP</v>
      </c>
      <c r="AJ2199" t="str">
        <f t="shared" si="1350"/>
        <v>CN</v>
      </c>
      <c r="AK2199" t="str">
        <f>IF(ISERROR(MATCH(AI2199&amp;"."&amp;AJ2199,AK$91:AK2198,0)),AI2199&amp;"."&amp;AJ2199,AI2199&amp;"."&amp;AJ2199&amp;COUNTIFS(AI$91:AI2198,AI2199,AJ$91:AJ2198,AJ2199))</f>
        <v>111IP.CN</v>
      </c>
    </row>
    <row r="2200" spans="1:37" ht="15" hidden="1">
      <c r="A2200" s="120">
        <f>ROW()</f>
        <v>2200</v>
      </c>
      <c r="B2200" s="120"/>
      <c r="C2200" s="1"/>
      <c r="E2200" s="121" t="s">
        <v>15</v>
      </c>
      <c r="F2200" s="138" t="str">
        <f>INDEX(FuncAllocOptions,ROW(A2200)-ROW($A$92)+1,[4]Inputs!$S$11)</f>
        <v>P</v>
      </c>
      <c r="G2200" s="117" t="e">
        <f t="shared" si="1372"/>
        <v>#VALUE!</v>
      </c>
      <c r="H2200" s="116" t="e">
        <f t="shared" si="1373"/>
        <v>#VALUE!</v>
      </c>
      <c r="I2200" s="116" t="e">
        <f t="shared" si="1373"/>
        <v>#VALUE!</v>
      </c>
      <c r="J2200" s="116" t="e">
        <f t="shared" si="1373"/>
        <v>#VALUE!</v>
      </c>
      <c r="K2200" s="116" t="e">
        <f t="shared" si="1373"/>
        <v>#VALUE!</v>
      </c>
      <c r="L2200" s="116" t="e">
        <f t="shared" si="1373"/>
        <v>#VALUE!</v>
      </c>
      <c r="N2200" s="108">
        <v>0.75</v>
      </c>
      <c r="O2200" s="116" t="e">
        <f t="shared" si="1374"/>
        <v>#VALUE!</v>
      </c>
      <c r="P2200" s="116" t="e">
        <f t="shared" si="1375"/>
        <v>#VALUE!</v>
      </c>
      <c r="Q2200" s="116" t="e">
        <f t="shared" si="1376"/>
        <v>#VALUE!</v>
      </c>
      <c r="R2200" s="116" t="e">
        <f t="shared" si="1377"/>
        <v>#VALUE!</v>
      </c>
      <c r="S2200" s="108">
        <v>0.75</v>
      </c>
      <c r="T2200" s="116" t="e">
        <f t="shared" si="1378"/>
        <v>#VALUE!</v>
      </c>
      <c r="U2200" s="116" t="e">
        <f t="shared" si="1379"/>
        <v>#VALUE!</v>
      </c>
      <c r="V2200" s="116" t="e">
        <f t="shared" si="1380"/>
        <v>#VALUE!</v>
      </c>
      <c r="W2200" s="116" t="e">
        <f t="shared" si="1381"/>
        <v>#VALUE!</v>
      </c>
      <c r="X2200" s="3" t="str">
        <f>INDEX(DistFuncAllocOptions,ROW(A2200)-ROW($A$92)+1,[4]Inputs!$S$11)</f>
        <v>PLNT</v>
      </c>
      <c r="Y2200" s="116" t="e">
        <f t="shared" si="1382"/>
        <v>#VALUE!</v>
      </c>
      <c r="Z2200" s="116" t="e">
        <f t="shared" si="1382"/>
        <v>#VALUE!</v>
      </c>
      <c r="AA2200" s="116" t="e">
        <f t="shared" si="1382"/>
        <v>#VALUE!</v>
      </c>
      <c r="AB2200" s="116" t="e">
        <f t="shared" si="1382"/>
        <v>#VALUE!</v>
      </c>
      <c r="AC2200" s="116" t="e">
        <f t="shared" si="1382"/>
        <v>#VALUE!</v>
      </c>
      <c r="AD2200" s="117" t="e">
        <f t="shared" si="1383"/>
        <v>#VALUE!</v>
      </c>
      <c r="AE2200" s="117" t="e">
        <f t="shared" si="1384"/>
        <v>#VALUE!</v>
      </c>
      <c r="AF2200" s="117" t="e">
        <f t="shared" si="1385"/>
        <v>#VALUE!</v>
      </c>
      <c r="AG2200" s="117" t="e">
        <f t="shared" si="1386"/>
        <v>#VALUE!</v>
      </c>
      <c r="AH2200" s="116"/>
      <c r="AI2200" t="str">
        <f t="shared" si="1355"/>
        <v>111IP</v>
      </c>
      <c r="AJ2200" t="str">
        <f t="shared" si="1350"/>
        <v>SG</v>
      </c>
      <c r="AK2200" t="str">
        <f>IF(ISERROR(MATCH(AI2200&amp;"."&amp;AJ2200,AK$91:AK2199,0)),AI2200&amp;"."&amp;AJ2200,AI2200&amp;"."&amp;AJ2200&amp;COUNTIFS(AI$91:AI2199,AI2200,AJ$91:AJ2199,AJ2200))</f>
        <v>111IP.SG5</v>
      </c>
    </row>
    <row r="2201" spans="1:37" ht="15" hidden="1">
      <c r="A2201" s="120">
        <f>ROW()</f>
        <v>2201</v>
      </c>
      <c r="B2201" s="120"/>
      <c r="C2201" s="1"/>
      <c r="E2201" s="121" t="s">
        <v>15</v>
      </c>
      <c r="F2201" s="138" t="str">
        <f>INDEX(FuncAllocOptions,ROW(A2201)-ROW($A$92)+1,[4]Inputs!$S$11)</f>
        <v>P</v>
      </c>
      <c r="G2201" s="117" t="e">
        <f t="shared" si="1372"/>
        <v>#VALUE!</v>
      </c>
      <c r="H2201" s="116" t="e">
        <f t="shared" si="1373"/>
        <v>#VALUE!</v>
      </c>
      <c r="I2201" s="116" t="e">
        <f t="shared" si="1373"/>
        <v>#VALUE!</v>
      </c>
      <c r="J2201" s="116" t="e">
        <f t="shared" si="1373"/>
        <v>#VALUE!</v>
      </c>
      <c r="K2201" s="116" t="e">
        <f t="shared" si="1373"/>
        <v>#VALUE!</v>
      </c>
      <c r="L2201" s="116" t="e">
        <f t="shared" si="1373"/>
        <v>#VALUE!</v>
      </c>
      <c r="N2201" s="108">
        <v>0.75</v>
      </c>
      <c r="O2201" s="116" t="e">
        <f t="shared" si="1374"/>
        <v>#VALUE!</v>
      </c>
      <c r="P2201" s="116" t="e">
        <f t="shared" si="1375"/>
        <v>#VALUE!</v>
      </c>
      <c r="Q2201" s="116" t="e">
        <f t="shared" si="1376"/>
        <v>#VALUE!</v>
      </c>
      <c r="R2201" s="116" t="e">
        <f t="shared" si="1377"/>
        <v>#VALUE!</v>
      </c>
      <c r="S2201" s="108">
        <v>0.75</v>
      </c>
      <c r="T2201" s="116" t="e">
        <f t="shared" si="1378"/>
        <v>#VALUE!</v>
      </c>
      <c r="U2201" s="116" t="e">
        <f t="shared" si="1379"/>
        <v>#VALUE!</v>
      </c>
      <c r="V2201" s="116" t="e">
        <f t="shared" si="1380"/>
        <v>#VALUE!</v>
      </c>
      <c r="W2201" s="116" t="e">
        <f t="shared" si="1381"/>
        <v>#VALUE!</v>
      </c>
      <c r="X2201" s="3" t="str">
        <f>INDEX(DistFuncAllocOptions,ROW(A2201)-ROW($A$92)+1,[4]Inputs!$S$11)</f>
        <v>PLNT</v>
      </c>
      <c r="Y2201" s="116" t="e">
        <f t="shared" si="1382"/>
        <v>#VALUE!</v>
      </c>
      <c r="Z2201" s="116" t="e">
        <f t="shared" si="1382"/>
        <v>#VALUE!</v>
      </c>
      <c r="AA2201" s="116" t="e">
        <f t="shared" si="1382"/>
        <v>#VALUE!</v>
      </c>
      <c r="AB2201" s="116" t="e">
        <f t="shared" si="1382"/>
        <v>#VALUE!</v>
      </c>
      <c r="AC2201" s="116" t="e">
        <f t="shared" si="1382"/>
        <v>#VALUE!</v>
      </c>
      <c r="AD2201" s="117" t="e">
        <f t="shared" si="1383"/>
        <v>#VALUE!</v>
      </c>
      <c r="AE2201" s="117" t="e">
        <f t="shared" si="1384"/>
        <v>#VALUE!</v>
      </c>
      <c r="AF2201" s="117" t="e">
        <f t="shared" si="1385"/>
        <v>#VALUE!</v>
      </c>
      <c r="AG2201" s="117" t="e">
        <f t="shared" si="1386"/>
        <v>#VALUE!</v>
      </c>
      <c r="AH2201" s="116"/>
      <c r="AI2201" t="str">
        <f t="shared" si="1355"/>
        <v>111IP</v>
      </c>
      <c r="AJ2201" t="str">
        <f t="shared" si="1350"/>
        <v>SG</v>
      </c>
      <c r="AK2201" t="str">
        <f>IF(ISERROR(MATCH(AI2201&amp;"."&amp;AJ2201,AK$91:AK2200,0)),AI2201&amp;"."&amp;AJ2201,AI2201&amp;"."&amp;AJ2201&amp;COUNTIFS(AI$91:AI2200,AI2201,AJ$91:AJ2200,AJ2201))</f>
        <v>111IP.SG6</v>
      </c>
    </row>
    <row r="2202" spans="1:37" ht="15" hidden="1">
      <c r="A2202" s="120">
        <f>ROW()</f>
        <v>2202</v>
      </c>
      <c r="B2202" s="120"/>
      <c r="C2202" s="1"/>
      <c r="E2202" s="121" t="s">
        <v>136</v>
      </c>
      <c r="F2202" s="138" t="str">
        <f>INDEX(FuncAllocOptions,ROW(A2202)-ROW($A$92)+1,[4]Inputs!$S$11)</f>
        <v>PTD</v>
      </c>
      <c r="G2202" s="133" t="e">
        <f t="shared" si="1372"/>
        <v>#VALUE!</v>
      </c>
      <c r="H2202" s="139" t="e">
        <f t="shared" si="1373"/>
        <v>#VALUE!</v>
      </c>
      <c r="I2202" s="139" t="e">
        <f t="shared" si="1373"/>
        <v>#VALUE!</v>
      </c>
      <c r="J2202" s="139" t="e">
        <f t="shared" si="1373"/>
        <v>#VALUE!</v>
      </c>
      <c r="K2202" s="139" t="e">
        <f t="shared" si="1373"/>
        <v>#VALUE!</v>
      </c>
      <c r="L2202" s="139" t="e">
        <f t="shared" si="1373"/>
        <v>#VALUE!</v>
      </c>
      <c r="N2202" s="108">
        <v>0.75</v>
      </c>
      <c r="O2202" s="116" t="e">
        <f t="shared" si="1374"/>
        <v>#VALUE!</v>
      </c>
      <c r="P2202" s="116" t="e">
        <f t="shared" si="1375"/>
        <v>#VALUE!</v>
      </c>
      <c r="Q2202" s="116" t="e">
        <f t="shared" si="1376"/>
        <v>#VALUE!</v>
      </c>
      <c r="R2202" s="116" t="e">
        <f t="shared" si="1377"/>
        <v>#VALUE!</v>
      </c>
      <c r="S2202" s="108">
        <v>0.75</v>
      </c>
      <c r="T2202" s="116" t="e">
        <f t="shared" si="1378"/>
        <v>#VALUE!</v>
      </c>
      <c r="U2202" s="116" t="e">
        <f t="shared" si="1379"/>
        <v>#VALUE!</v>
      </c>
      <c r="V2202" s="116" t="e">
        <f t="shared" si="1380"/>
        <v>#VALUE!</v>
      </c>
      <c r="W2202" s="116" t="e">
        <f t="shared" si="1381"/>
        <v>#VALUE!</v>
      </c>
      <c r="X2202" s="3" t="str">
        <f>INDEX(DistFuncAllocOptions,ROW(A2202)-ROW($A$92)+1,[4]Inputs!$S$11)</f>
        <v>PLNT</v>
      </c>
      <c r="Y2202" s="116" t="e">
        <f t="shared" si="1382"/>
        <v>#VALUE!</v>
      </c>
      <c r="Z2202" s="116" t="e">
        <f t="shared" si="1382"/>
        <v>#VALUE!</v>
      </c>
      <c r="AA2202" s="116" t="e">
        <f t="shared" si="1382"/>
        <v>#VALUE!</v>
      </c>
      <c r="AB2202" s="116" t="e">
        <f t="shared" si="1382"/>
        <v>#VALUE!</v>
      </c>
      <c r="AC2202" s="116" t="e">
        <f t="shared" si="1382"/>
        <v>#VALUE!</v>
      </c>
      <c r="AD2202" s="117" t="e">
        <f t="shared" si="1383"/>
        <v>#VALUE!</v>
      </c>
      <c r="AE2202" s="117" t="e">
        <f t="shared" si="1384"/>
        <v>#VALUE!</v>
      </c>
      <c r="AF2202" s="117" t="e">
        <f t="shared" si="1385"/>
        <v>#VALUE!</v>
      </c>
      <c r="AG2202" s="117" t="e">
        <f t="shared" si="1386"/>
        <v>#VALUE!</v>
      </c>
      <c r="AH2202" s="116"/>
      <c r="AI2202" t="str">
        <f t="shared" si="1355"/>
        <v>111IP</v>
      </c>
      <c r="AJ2202" t="str">
        <f t="shared" si="1350"/>
        <v>SO</v>
      </c>
      <c r="AK2202" t="str">
        <f>IF(ISERROR(MATCH(AI2202&amp;"."&amp;AJ2202,AK$91:AK2201,0)),AI2202&amp;"."&amp;AJ2202,AI2202&amp;"."&amp;AJ2202&amp;COUNTIFS(AI$91:AI2201,AI2202,AJ$91:AJ2201,AJ2202))</f>
        <v>111IP.SO</v>
      </c>
    </row>
    <row r="2203" spans="1:37" ht="15" hidden="1">
      <c r="A2203" s="120">
        <f>ROW()</f>
        <v>2203</v>
      </c>
      <c r="B2203" s="120"/>
      <c r="C2203" s="1"/>
      <c r="E2203" s="121"/>
      <c r="F2203" s="138"/>
      <c r="G2203" s="117" t="e">
        <f t="shared" ref="G2203:L2203" si="1387">SUM(G2192:G2202)</f>
        <v>#VALUE!</v>
      </c>
      <c r="H2203" s="116" t="e">
        <f t="shared" si="1387"/>
        <v>#VALUE!</v>
      </c>
      <c r="I2203" s="116" t="e">
        <f t="shared" si="1387"/>
        <v>#VALUE!</v>
      </c>
      <c r="J2203" s="116" t="e">
        <f t="shared" si="1387"/>
        <v>#VALUE!</v>
      </c>
      <c r="K2203" s="116" t="e">
        <f t="shared" si="1387"/>
        <v>#VALUE!</v>
      </c>
      <c r="L2203" s="116" t="e">
        <f t="shared" si="1387"/>
        <v>#VALUE!</v>
      </c>
      <c r="O2203" s="116" t="e">
        <f>SUM(O2192:O2202)</f>
        <v>#VALUE!</v>
      </c>
      <c r="P2203" s="116" t="e">
        <f>SUM(P2192:P2202)</f>
        <v>#VALUE!</v>
      </c>
      <c r="Q2203" s="116" t="e">
        <f>SUM(Q2192:Q2202)</f>
        <v>#VALUE!</v>
      </c>
      <c r="R2203" s="116" t="e">
        <f>SUM(R2192:R2202)</f>
        <v>#VALUE!</v>
      </c>
      <c r="T2203" s="116" t="e">
        <f>SUM(T2192:T2202)</f>
        <v>#VALUE!</v>
      </c>
      <c r="U2203" s="116" t="e">
        <f>SUM(U2192:U2202)</f>
        <v>#VALUE!</v>
      </c>
      <c r="V2203" s="116" t="e">
        <f>SUM(V2192:V2202)</f>
        <v>#VALUE!</v>
      </c>
      <c r="W2203" s="116" t="e">
        <f>SUM(W2192:W2202)</f>
        <v>#VALUE!</v>
      </c>
      <c r="X2203" s="3"/>
      <c r="Y2203" s="116" t="e">
        <f>SUM(Y2192:Y2202)</f>
        <v>#VALUE!</v>
      </c>
      <c r="Z2203" s="116" t="e">
        <f>SUM(Z2192:Z2202)</f>
        <v>#VALUE!</v>
      </c>
      <c r="AA2203" s="116" t="e">
        <f>SUM(AA2192:AA2202)</f>
        <v>#VALUE!</v>
      </c>
      <c r="AB2203" s="116" t="e">
        <f>SUM(AB2192:AB2202)</f>
        <v>#VALUE!</v>
      </c>
      <c r="AC2203" s="116" t="e">
        <f>SUM(AC2192:AC2202)</f>
        <v>#VALUE!</v>
      </c>
      <c r="AD2203" s="117" t="e">
        <f t="shared" si="1383"/>
        <v>#VALUE!</v>
      </c>
      <c r="AE2203" s="117" t="e">
        <f t="shared" si="1384"/>
        <v>#VALUE!</v>
      </c>
      <c r="AF2203" s="117" t="e">
        <f t="shared" si="1385"/>
        <v>#VALUE!</v>
      </c>
      <c r="AG2203" s="117" t="e">
        <f t="shared" si="1386"/>
        <v>#VALUE!</v>
      </c>
      <c r="AH2203" s="116"/>
      <c r="AI2203" t="str">
        <f t="shared" si="1355"/>
        <v>111IP</v>
      </c>
      <c r="AJ2203" t="str">
        <f t="shared" si="1350"/>
        <v>NA</v>
      </c>
      <c r="AK2203" t="str">
        <f>IF(ISERROR(MATCH(AI2203&amp;"."&amp;AJ2203,AK$91:AK2202,0)),AI2203&amp;"."&amp;AJ2203,AI2203&amp;"."&amp;AJ2203&amp;COUNTIFS(AI$91:AI2202,AI2203,AJ$91:AJ2202,AJ2203))</f>
        <v>111IP.NA1</v>
      </c>
    </row>
    <row r="2204" spans="1:37" ht="15" hidden="1">
      <c r="A2204" s="120">
        <f>ROW()</f>
        <v>2204</v>
      </c>
      <c r="B2204" s="120"/>
      <c r="C2204" s="1" t="s">
        <v>214</v>
      </c>
      <c r="D2204" s="2" t="s">
        <v>709</v>
      </c>
      <c r="E2204" s="121"/>
      <c r="F2204" s="138"/>
      <c r="G2204" s="119"/>
      <c r="X2204" s="3"/>
      <c r="AD2204" s="119"/>
      <c r="AE2204" s="119"/>
      <c r="AF2204" s="119"/>
      <c r="AG2204" s="119"/>
      <c r="AI2204" t="str">
        <f t="shared" si="1355"/>
        <v>111IP</v>
      </c>
      <c r="AJ2204" t="str">
        <f t="shared" si="1350"/>
        <v>NA</v>
      </c>
      <c r="AK2204" t="str">
        <f>IF(ISERROR(MATCH(AI2204&amp;"."&amp;AJ2204,AK$91:AK2203,0)),AI2204&amp;"."&amp;AJ2204,AI2204&amp;"."&amp;AJ2204&amp;COUNTIFS(AI$91:AI2203,AI2204,AJ$91:AJ2203,AJ2204))</f>
        <v>111IP.NA2</v>
      </c>
    </row>
    <row r="2205" spans="1:37" ht="15" hidden="1">
      <c r="A2205" s="120">
        <f>ROW()</f>
        <v>2205</v>
      </c>
      <c r="B2205" s="120"/>
      <c r="C2205" s="1"/>
      <c r="E2205" s="121" t="s">
        <v>438</v>
      </c>
      <c r="F2205" s="138" t="str">
        <f>INDEX(FuncAllocOptions,ROW(A2205)-ROW($A$92)+1,[4]Inputs!$S$11)</f>
        <v>NUTIL</v>
      </c>
      <c r="G2205" s="117" t="e">
        <f>SUMIF(FERCJAMFactor,AK2205,JAMValue)</f>
        <v>#VALUE!</v>
      </c>
      <c r="H2205" s="116" t="e">
        <f>INDEX(FuncFactorTbl,MATCH($F2205,FuncFactors,0),MATCH(H$8,Functions,0))*$G2205</f>
        <v>#VALUE!</v>
      </c>
      <c r="I2205" s="116" t="e">
        <f>INDEX(FuncFactorTbl,MATCH($F2205,FuncFactors,0),MATCH(I$8,Functions,0))*$G2205</f>
        <v>#VALUE!</v>
      </c>
      <c r="J2205" s="116" t="e">
        <f>INDEX(FuncFactorTbl,MATCH($F2205,FuncFactors,0),MATCH(J$8,Functions,0))*$G2205</f>
        <v>#VALUE!</v>
      </c>
      <c r="K2205" s="116" t="e">
        <f>INDEX(FuncFactorTbl,MATCH($F2205,FuncFactors,0),MATCH(K$8,Functions,0))*$G2205</f>
        <v>#VALUE!</v>
      </c>
      <c r="L2205" s="116" t="e">
        <f>INDEX(FuncFactorTbl,MATCH($F2205,FuncFactors,0),MATCH(L$8,Functions,0))*$G2205</f>
        <v>#VALUE!</v>
      </c>
      <c r="N2205" s="108">
        <v>0.75</v>
      </c>
      <c r="O2205" s="116" t="e">
        <f>$H2205*$N2205*$M2205</f>
        <v>#VALUE!</v>
      </c>
      <c r="P2205" s="116" t="e">
        <f>$H2205*(1-$N2205)*$M2205</f>
        <v>#VALUE!</v>
      </c>
      <c r="Q2205" s="116" t="e">
        <f>$H2205*$N2205*(1-$M2205)</f>
        <v>#VALUE!</v>
      </c>
      <c r="R2205" s="116" t="e">
        <f>$H2205*(1-$N2205)*(1-$M2205)</f>
        <v>#VALUE!</v>
      </c>
      <c r="S2205" s="108">
        <v>0.75</v>
      </c>
      <c r="T2205" s="116" t="e">
        <f>$I2205*$S2205*$M2205</f>
        <v>#VALUE!</v>
      </c>
      <c r="U2205" s="116" t="e">
        <f>$I2205*(1-$S2205)*$M2205</f>
        <v>#VALUE!</v>
      </c>
      <c r="V2205" s="116" t="e">
        <f>$I2205*$S2205*(1-$M2205)</f>
        <v>#VALUE!</v>
      </c>
      <c r="W2205" s="116" t="e">
        <f>$I2205*(1-$S2205)*(1-$M2205)</f>
        <v>#VALUE!</v>
      </c>
      <c r="X2205" s="3"/>
      <c r="AD2205" s="117" t="e">
        <f>ROUND(SUM(-G2205,H2205:L2205),0)</f>
        <v>#VALUE!</v>
      </c>
      <c r="AE2205" s="117" t="e">
        <f>ROUND(H2205-O2205-P2205-Q2205-R2205,0)</f>
        <v>#VALUE!</v>
      </c>
      <c r="AF2205" s="117" t="e">
        <f>ROUND(I2205-T2205-U2205-V2205-W2205,0)</f>
        <v>#VALUE!</v>
      </c>
      <c r="AG2205" s="117" t="e">
        <f>ROUND(J2205-Y2205-Z2205-AA2205-AC2205-AB2205,0)</f>
        <v>#VALUE!</v>
      </c>
      <c r="AH2205" s="116"/>
      <c r="AI2205" t="str">
        <f t="shared" si="1355"/>
        <v>111IP</v>
      </c>
      <c r="AJ2205" t="str">
        <f t="shared" ref="AJ2205:AJ2216" si="1388">IF(E2205="","NA",E2205)</f>
        <v>OTH</v>
      </c>
      <c r="AK2205" t="str">
        <f>IF(ISERROR(MATCH(AI2205&amp;"."&amp;AJ2205,AK$91:AK2204,0)),AI2205&amp;"."&amp;AJ2205,AI2205&amp;"."&amp;AJ2205&amp;COUNTIFS(AI$91:AI2204,AI2205,AJ$91:AJ2204,AJ2205))</f>
        <v>111IP.OTH</v>
      </c>
    </row>
    <row r="2206" spans="1:37" ht="15" hidden="1">
      <c r="A2206" s="120">
        <f>ROW()</f>
        <v>2206</v>
      </c>
      <c r="B2206" s="120"/>
      <c r="C2206" s="1"/>
      <c r="E2206" s="121"/>
      <c r="F2206" s="138"/>
      <c r="G2206" s="117" t="e">
        <f t="shared" ref="G2206:L2206" si="1389">SUM(G2203:G2205)</f>
        <v>#VALUE!</v>
      </c>
      <c r="H2206" s="116" t="e">
        <f t="shared" si="1389"/>
        <v>#VALUE!</v>
      </c>
      <c r="I2206" s="116" t="e">
        <f t="shared" si="1389"/>
        <v>#VALUE!</v>
      </c>
      <c r="J2206" s="116" t="e">
        <f t="shared" si="1389"/>
        <v>#VALUE!</v>
      </c>
      <c r="K2206" s="116" t="e">
        <f t="shared" si="1389"/>
        <v>#VALUE!</v>
      </c>
      <c r="L2206" s="116" t="e">
        <f t="shared" si="1389"/>
        <v>#VALUE!</v>
      </c>
      <c r="O2206" s="116" t="e">
        <f>SUM(O2203:O2205)</f>
        <v>#VALUE!</v>
      </c>
      <c r="P2206" s="116" t="e">
        <f>SUM(P2203:P2205)</f>
        <v>#VALUE!</v>
      </c>
      <c r="Q2206" s="116" t="e">
        <f>SUM(Q2203:Q2205)</f>
        <v>#VALUE!</v>
      </c>
      <c r="R2206" s="116" t="e">
        <f>SUM(R2203:R2205)</f>
        <v>#VALUE!</v>
      </c>
      <c r="T2206" s="116" t="e">
        <f>SUM(T2203:T2205)</f>
        <v>#VALUE!</v>
      </c>
      <c r="U2206" s="116" t="e">
        <f>SUM(U2203:U2205)</f>
        <v>#VALUE!</v>
      </c>
      <c r="V2206" s="116" t="e">
        <f>SUM(V2203:V2205)</f>
        <v>#VALUE!</v>
      </c>
      <c r="W2206" s="116" t="e">
        <f>SUM(W2203:W2205)</f>
        <v>#VALUE!</v>
      </c>
      <c r="X2206" s="3"/>
      <c r="Y2206" s="116" t="e">
        <f>SUM(Y2203:Y2205)</f>
        <v>#VALUE!</v>
      </c>
      <c r="Z2206" s="116" t="e">
        <f>SUM(Z2203:Z2205)</f>
        <v>#VALUE!</v>
      </c>
      <c r="AA2206" s="116" t="e">
        <f>SUM(AA2203:AA2205)</f>
        <v>#VALUE!</v>
      </c>
      <c r="AB2206" s="116" t="e">
        <f>SUM(AB2203:AB2205)</f>
        <v>#VALUE!</v>
      </c>
      <c r="AC2206" s="116" t="e">
        <f>SUM(AC2203:AC2205)</f>
        <v>#VALUE!</v>
      </c>
      <c r="AD2206" s="117" t="e">
        <f>ROUND(SUM(-G2206,H2206:L2206),0)</f>
        <v>#VALUE!</v>
      </c>
      <c r="AE2206" s="117" t="e">
        <f>ROUND(H2206-O2206-P2206-Q2206-R2206,0)</f>
        <v>#VALUE!</v>
      </c>
      <c r="AF2206" s="117" t="e">
        <f>ROUND(I2206-T2206-U2206-V2206-W2206,0)</f>
        <v>#VALUE!</v>
      </c>
      <c r="AG2206" s="117" t="e">
        <f>ROUND(J2206-Y2206-Z2206-AA2206-AC2206-AB2206,0)</f>
        <v>#VALUE!</v>
      </c>
      <c r="AH2206" s="116"/>
      <c r="AI2206" t="str">
        <f t="shared" si="1355"/>
        <v>111IP</v>
      </c>
      <c r="AJ2206" t="str">
        <f t="shared" si="1388"/>
        <v>NA</v>
      </c>
      <c r="AK2206" t="str">
        <f>IF(ISERROR(MATCH(AI2206&amp;"."&amp;AJ2206,AK$91:AK2205,0)),AI2206&amp;"."&amp;AJ2206,AI2206&amp;"."&amp;AJ2206&amp;COUNTIFS(AI$91:AI2205,AI2206,AJ$91:AJ2205,AJ2206))</f>
        <v>111IP.NA3</v>
      </c>
    </row>
    <row r="2207" spans="1:37" ht="15" hidden="1">
      <c r="A2207" s="120">
        <f>ROW()</f>
        <v>2207</v>
      </c>
      <c r="B2207" s="120"/>
      <c r="C2207" s="1"/>
      <c r="E2207" s="121"/>
      <c r="F2207" s="138"/>
      <c r="G2207" s="119"/>
      <c r="X2207" s="3"/>
      <c r="AD2207" s="119"/>
      <c r="AE2207" s="119"/>
      <c r="AF2207" s="119"/>
      <c r="AG2207" s="119"/>
      <c r="AI2207" t="str">
        <f t="shared" si="1355"/>
        <v>111IP</v>
      </c>
      <c r="AJ2207" t="str">
        <f t="shared" si="1388"/>
        <v>NA</v>
      </c>
      <c r="AK2207" t="str">
        <f>IF(ISERROR(MATCH(AI2207&amp;"."&amp;AJ2207,AK$91:AK2206,0)),AI2207&amp;"."&amp;AJ2207,AI2207&amp;"."&amp;AJ2207&amp;COUNTIFS(AI$91:AI2206,AI2207,AJ$91:AJ2206,AJ2207))</f>
        <v>111IP.NA4</v>
      </c>
    </row>
    <row r="2208" spans="1:37" ht="15" hidden="1">
      <c r="A2208" s="120">
        <f>ROW()</f>
        <v>2208</v>
      </c>
      <c r="B2208" s="120"/>
      <c r="C2208" s="1">
        <v>111390</v>
      </c>
      <c r="D2208" s="2" t="s">
        <v>708</v>
      </c>
      <c r="E2208" s="121"/>
      <c r="F2208" s="138"/>
      <c r="G2208" s="119"/>
      <c r="X2208" s="3"/>
      <c r="AD2208" s="119"/>
      <c r="AE2208" s="119"/>
      <c r="AF2208" s="119"/>
      <c r="AG2208" s="119"/>
      <c r="AI2208">
        <f t="shared" si="1355"/>
        <v>111390</v>
      </c>
      <c r="AJ2208" t="str">
        <f t="shared" si="1388"/>
        <v>NA</v>
      </c>
      <c r="AK2208" t="str">
        <f>IF(ISERROR(MATCH(AI2208&amp;"."&amp;AJ2208,AK$91:AK2207,0)),AI2208&amp;"."&amp;AJ2208,AI2208&amp;"."&amp;AJ2208&amp;COUNTIFS(AI$91:AI2207,AI2208,AJ$91:AJ2207,AJ2208))</f>
        <v>111390.NA</v>
      </c>
    </row>
    <row r="2209" spans="1:41" ht="15" hidden="1">
      <c r="A2209" s="120">
        <f>ROW()</f>
        <v>2209</v>
      </c>
      <c r="B2209" s="120"/>
      <c r="C2209" s="1"/>
      <c r="E2209" s="121" t="s">
        <v>12</v>
      </c>
      <c r="F2209" s="138" t="str">
        <f>INDEX(FuncAllocOptions,ROW(A2209)-ROW($A$92)+1,[4]Inputs!$S$11)</f>
        <v>G-SITUS</v>
      </c>
      <c r="G2209" s="117" t="e">
        <f>SUMIF(FERCJAMFactor,AK2209,JAMValue)</f>
        <v>#VALUE!</v>
      </c>
      <c r="H2209" s="135" t="e">
        <f t="shared" ref="H2209:L2211" si="1390">INDEX(FuncFactorTbl,MATCH($F2209,FuncFactors,0),MATCH(H$8,Functions,0))*$G2209</f>
        <v>#VALUE!</v>
      </c>
      <c r="I2209" s="135" t="e">
        <f t="shared" si="1390"/>
        <v>#VALUE!</v>
      </c>
      <c r="J2209" s="135" t="e">
        <f t="shared" si="1390"/>
        <v>#VALUE!</v>
      </c>
      <c r="K2209" s="135" t="e">
        <f t="shared" si="1390"/>
        <v>#VALUE!</v>
      </c>
      <c r="L2209" s="135" t="e">
        <f t="shared" si="1390"/>
        <v>#VALUE!</v>
      </c>
      <c r="N2209" s="108">
        <v>0.75</v>
      </c>
      <c r="O2209" s="116" t="e">
        <f>$H2209*$N2209*$M2209</f>
        <v>#VALUE!</v>
      </c>
      <c r="P2209" s="116" t="e">
        <f>$H2209*(1-$N2209)*$M2209</f>
        <v>#VALUE!</v>
      </c>
      <c r="Q2209" s="116" t="e">
        <f>$H2209*$N2209*(1-$M2209)</f>
        <v>#VALUE!</v>
      </c>
      <c r="R2209" s="116" t="e">
        <f>$H2209*(1-$N2209)*(1-$M2209)</f>
        <v>#VALUE!</v>
      </c>
      <c r="S2209" s="108">
        <v>0.75</v>
      </c>
      <c r="T2209" s="116" t="e">
        <f>$I2209*$S2209*$M2209</f>
        <v>#VALUE!</v>
      </c>
      <c r="U2209" s="116" t="e">
        <f>$I2209*(1-$S2209)*$M2209</f>
        <v>#VALUE!</v>
      </c>
      <c r="V2209" s="116" t="e">
        <f>$I2209*$S2209*(1-$M2209)</f>
        <v>#VALUE!</v>
      </c>
      <c r="W2209" s="116" t="e">
        <f>$I2209*(1-$S2209)*(1-$M2209)</f>
        <v>#VALUE!</v>
      </c>
      <c r="X2209" s="3" t="str">
        <f>INDEX(DistFuncAllocOptions,ROW(A2209)-ROW($A$92)+1,[4]Inputs!$S$11)</f>
        <v>PLNT</v>
      </c>
      <c r="Y2209" s="116" t="e">
        <f t="shared" ref="Y2209:AC2211" si="1391">INDEX(DistFuncFactorTbl,MATCH($X2209,DistFuncFactors,0),MATCH(Y$91,DistFunctions,0))*$J2209</f>
        <v>#VALUE!</v>
      </c>
      <c r="Z2209" s="116" t="e">
        <f t="shared" si="1391"/>
        <v>#VALUE!</v>
      </c>
      <c r="AA2209" s="116" t="e">
        <f t="shared" si="1391"/>
        <v>#VALUE!</v>
      </c>
      <c r="AB2209" s="116" t="e">
        <f t="shared" si="1391"/>
        <v>#VALUE!</v>
      </c>
      <c r="AC2209" s="116" t="e">
        <f t="shared" si="1391"/>
        <v>#VALUE!</v>
      </c>
      <c r="AD2209" s="117" t="e">
        <f>ROUND(SUM(-G2209,H2209:L2209),0)</f>
        <v>#VALUE!</v>
      </c>
      <c r="AE2209" s="117" t="e">
        <f>ROUND(H2209-O2209-P2209-Q2209-R2209,0)</f>
        <v>#VALUE!</v>
      </c>
      <c r="AF2209" s="117" t="e">
        <f>ROUND(I2209-T2209-U2209-V2209-W2209,0)</f>
        <v>#VALUE!</v>
      </c>
      <c r="AG2209" s="117" t="e">
        <f>ROUND(J2209-Y2209-Z2209-AA2209-AC2209-AB2209,0)</f>
        <v>#VALUE!</v>
      </c>
      <c r="AH2209" s="116"/>
      <c r="AI2209">
        <f t="shared" si="1355"/>
        <v>111390</v>
      </c>
      <c r="AJ2209" t="str">
        <f t="shared" si="1388"/>
        <v>S</v>
      </c>
      <c r="AK2209" t="str">
        <f>IF(ISERROR(MATCH(AI2209&amp;"."&amp;AJ2209,AK$91:AK2208,0)),AI2209&amp;"."&amp;AJ2209,AI2209&amp;"."&amp;AJ2209&amp;COUNTIFS(AI$91:AI2208,AI2209,AJ$91:AJ2208,AJ2209))</f>
        <v>111390.S</v>
      </c>
    </row>
    <row r="2210" spans="1:41" ht="15" hidden="1">
      <c r="A2210" s="120">
        <f>ROW()</f>
        <v>2210</v>
      </c>
      <c r="B2210" s="120"/>
      <c r="C2210" s="1"/>
      <c r="E2210" s="121" t="s">
        <v>15</v>
      </c>
      <c r="F2210" s="138" t="str">
        <f>INDEX(FuncAllocOptions,ROW(A2210)-ROW($A$92)+1,[4]Inputs!$S$11)</f>
        <v>P</v>
      </c>
      <c r="G2210" s="117" t="e">
        <f>SUMIF(FERCJAMFactor,AK2210,JAMValue)</f>
        <v>#VALUE!</v>
      </c>
      <c r="H2210" s="135" t="e">
        <f t="shared" si="1390"/>
        <v>#VALUE!</v>
      </c>
      <c r="I2210" s="135" t="e">
        <f t="shared" si="1390"/>
        <v>#VALUE!</v>
      </c>
      <c r="J2210" s="135" t="e">
        <f t="shared" si="1390"/>
        <v>#VALUE!</v>
      </c>
      <c r="K2210" s="135" t="e">
        <f t="shared" si="1390"/>
        <v>#VALUE!</v>
      </c>
      <c r="L2210" s="135" t="e">
        <f t="shared" si="1390"/>
        <v>#VALUE!</v>
      </c>
      <c r="N2210" s="108">
        <v>0.75</v>
      </c>
      <c r="O2210" s="116" t="e">
        <f>$H2210*$N2210*$M2210</f>
        <v>#VALUE!</v>
      </c>
      <c r="P2210" s="116" t="e">
        <f>$H2210*(1-$N2210)*$M2210</f>
        <v>#VALUE!</v>
      </c>
      <c r="Q2210" s="116" t="e">
        <f>$H2210*$N2210*(1-$M2210)</f>
        <v>#VALUE!</v>
      </c>
      <c r="R2210" s="116" t="e">
        <f>$H2210*(1-$N2210)*(1-$M2210)</f>
        <v>#VALUE!</v>
      </c>
      <c r="S2210" s="108">
        <v>0.75</v>
      </c>
      <c r="T2210" s="116" t="e">
        <f>$I2210*$S2210*$M2210</f>
        <v>#VALUE!</v>
      </c>
      <c r="U2210" s="116" t="e">
        <f>$I2210*(1-$S2210)*$M2210</f>
        <v>#VALUE!</v>
      </c>
      <c r="V2210" s="116" t="e">
        <f>$I2210*$S2210*(1-$M2210)</f>
        <v>#VALUE!</v>
      </c>
      <c r="W2210" s="116" t="e">
        <f>$I2210*(1-$S2210)*(1-$M2210)</f>
        <v>#VALUE!</v>
      </c>
      <c r="X2210" s="3" t="str">
        <f>INDEX(DistFuncAllocOptions,ROW(A2210)-ROW($A$92)+1,[4]Inputs!$S$11)</f>
        <v>PLNT</v>
      </c>
      <c r="Y2210" s="116" t="e">
        <f t="shared" si="1391"/>
        <v>#VALUE!</v>
      </c>
      <c r="Z2210" s="116" t="e">
        <f t="shared" si="1391"/>
        <v>#VALUE!</v>
      </c>
      <c r="AA2210" s="116" t="e">
        <f t="shared" si="1391"/>
        <v>#VALUE!</v>
      </c>
      <c r="AB2210" s="116" t="e">
        <f t="shared" si="1391"/>
        <v>#VALUE!</v>
      </c>
      <c r="AC2210" s="116" t="e">
        <f t="shared" si="1391"/>
        <v>#VALUE!</v>
      </c>
      <c r="AD2210" s="117" t="e">
        <f>ROUND(SUM(-G2210,H2210:L2210),0)</f>
        <v>#VALUE!</v>
      </c>
      <c r="AE2210" s="117" t="e">
        <f>ROUND(H2210-O2210-P2210-Q2210-R2210,0)</f>
        <v>#VALUE!</v>
      </c>
      <c r="AF2210" s="117" t="e">
        <f>ROUND(I2210-T2210-U2210-V2210-W2210,0)</f>
        <v>#VALUE!</v>
      </c>
      <c r="AG2210" s="117" t="e">
        <f>ROUND(J2210-Y2210-Z2210-AA2210-AC2210-AB2210,0)</f>
        <v>#VALUE!</v>
      </c>
      <c r="AH2210" s="116"/>
      <c r="AI2210">
        <f t="shared" si="1355"/>
        <v>111390</v>
      </c>
      <c r="AJ2210" t="str">
        <f t="shared" si="1388"/>
        <v>SG</v>
      </c>
      <c r="AK2210" t="str">
        <f>IF(ISERROR(MATCH(AI2210&amp;"."&amp;AJ2210,AK$91:AK2209,0)),AI2210&amp;"."&amp;AJ2210,AI2210&amp;"."&amp;AJ2210&amp;COUNTIFS(AI$91:AI2209,AI2210,AJ$91:AJ2209,AJ2210))</f>
        <v>111390.SG</v>
      </c>
    </row>
    <row r="2211" spans="1:41" ht="15" hidden="1">
      <c r="A2211" s="120">
        <f>ROW()</f>
        <v>2211</v>
      </c>
      <c r="B2211" s="120"/>
      <c r="E2211" s="121" t="s">
        <v>136</v>
      </c>
      <c r="F2211" s="138" t="str">
        <f>INDEX(FuncAllocOptions,ROW(A2211)-ROW($A$92)+1,[4]Inputs!$S$11)</f>
        <v>PTD</v>
      </c>
      <c r="G2211" s="133" t="e">
        <f>SUMIF(FERCJAMFactor,AK2211,JAMValue)</f>
        <v>#VALUE!</v>
      </c>
      <c r="H2211" s="137" t="e">
        <f t="shared" si="1390"/>
        <v>#VALUE!</v>
      </c>
      <c r="I2211" s="137" t="e">
        <f t="shared" si="1390"/>
        <v>#VALUE!</v>
      </c>
      <c r="J2211" s="137" t="e">
        <f t="shared" si="1390"/>
        <v>#VALUE!</v>
      </c>
      <c r="K2211" s="137" t="e">
        <f t="shared" si="1390"/>
        <v>#VALUE!</v>
      </c>
      <c r="L2211" s="137" t="e">
        <f t="shared" si="1390"/>
        <v>#VALUE!</v>
      </c>
      <c r="N2211" s="108">
        <v>0.75</v>
      </c>
      <c r="O2211" s="116" t="e">
        <f>$H2211*$N2211*$M2211</f>
        <v>#VALUE!</v>
      </c>
      <c r="P2211" s="116" t="e">
        <f>$H2211*(1-$N2211)*$M2211</f>
        <v>#VALUE!</v>
      </c>
      <c r="Q2211" s="116" t="e">
        <f>$H2211*$N2211*(1-$M2211)</f>
        <v>#VALUE!</v>
      </c>
      <c r="R2211" s="116" t="e">
        <f>$H2211*(1-$N2211)*(1-$M2211)</f>
        <v>#VALUE!</v>
      </c>
      <c r="S2211" s="108">
        <v>0.75</v>
      </c>
      <c r="T2211" s="116" t="e">
        <f>$I2211*$S2211*$M2211</f>
        <v>#VALUE!</v>
      </c>
      <c r="U2211" s="116" t="e">
        <f>$I2211*(1-$S2211)*$M2211</f>
        <v>#VALUE!</v>
      </c>
      <c r="V2211" s="116" t="e">
        <f>$I2211*$S2211*(1-$M2211)</f>
        <v>#VALUE!</v>
      </c>
      <c r="W2211" s="116" t="e">
        <f>$I2211*(1-$S2211)*(1-$M2211)</f>
        <v>#VALUE!</v>
      </c>
      <c r="X2211" s="3" t="str">
        <f>INDEX(DistFuncAllocOptions,ROW(A2211)-ROW($A$92)+1,[4]Inputs!$S$11)</f>
        <v>PLNT</v>
      </c>
      <c r="Y2211" s="116" t="e">
        <f t="shared" si="1391"/>
        <v>#VALUE!</v>
      </c>
      <c r="Z2211" s="116" t="e">
        <f t="shared" si="1391"/>
        <v>#VALUE!</v>
      </c>
      <c r="AA2211" s="116" t="e">
        <f t="shared" si="1391"/>
        <v>#VALUE!</v>
      </c>
      <c r="AB2211" s="116" t="e">
        <f t="shared" si="1391"/>
        <v>#VALUE!</v>
      </c>
      <c r="AC2211" s="116" t="e">
        <f t="shared" si="1391"/>
        <v>#VALUE!</v>
      </c>
      <c r="AD2211" s="117" t="e">
        <f>ROUND(SUM(-G2211,H2211:L2211),0)</f>
        <v>#VALUE!</v>
      </c>
      <c r="AE2211" s="117" t="e">
        <f>ROUND(H2211-O2211-P2211-Q2211-R2211,0)</f>
        <v>#VALUE!</v>
      </c>
      <c r="AF2211" s="117" t="e">
        <f>ROUND(I2211-T2211-U2211-V2211-W2211,0)</f>
        <v>#VALUE!</v>
      </c>
      <c r="AG2211" s="117" t="e">
        <f>ROUND(J2211-Y2211-Z2211-AA2211-AC2211-AB2211,0)</f>
        <v>#VALUE!</v>
      </c>
      <c r="AH2211" s="116"/>
      <c r="AI2211">
        <f t="shared" si="1355"/>
        <v>111390</v>
      </c>
      <c r="AJ2211" t="str">
        <f t="shared" si="1388"/>
        <v>SO</v>
      </c>
      <c r="AK2211" t="str">
        <f>IF(ISERROR(MATCH(AI2211&amp;"."&amp;AJ2211,AK$91:AK2210,0)),AI2211&amp;"."&amp;AJ2211,AI2211&amp;"."&amp;AJ2211&amp;COUNTIFS(AI$91:AI2210,AI2211,AJ$91:AJ2210,AJ2211))</f>
        <v>111390.SO</v>
      </c>
    </row>
    <row r="2212" spans="1:41" ht="15" hidden="1">
      <c r="A2212" s="120">
        <f>ROW()</f>
        <v>2212</v>
      </c>
      <c r="B2212" s="120"/>
      <c r="E2212" s="121"/>
      <c r="F2212" s="118"/>
      <c r="G2212" s="117" t="e">
        <f t="shared" ref="G2212:L2212" si="1392">SUM(G2209:G2211)</f>
        <v>#VALUE!</v>
      </c>
      <c r="H2212" s="135" t="e">
        <f t="shared" si="1392"/>
        <v>#VALUE!</v>
      </c>
      <c r="I2212" s="135" t="e">
        <f t="shared" si="1392"/>
        <v>#VALUE!</v>
      </c>
      <c r="J2212" s="135" t="e">
        <f t="shared" si="1392"/>
        <v>#VALUE!</v>
      </c>
      <c r="K2212" s="135" t="e">
        <f t="shared" si="1392"/>
        <v>#VALUE!</v>
      </c>
      <c r="L2212" s="135" t="e">
        <f t="shared" si="1392"/>
        <v>#VALUE!</v>
      </c>
      <c r="O2212" s="135" t="e">
        <f>SUM(O2209:O2211)</f>
        <v>#VALUE!</v>
      </c>
      <c r="P2212" s="135" t="e">
        <f>SUM(P2209:P2211)</f>
        <v>#VALUE!</v>
      </c>
      <c r="Q2212" s="135" t="e">
        <f>SUM(Q2209:Q2211)</f>
        <v>#VALUE!</v>
      </c>
      <c r="R2212" s="135" t="e">
        <f>SUM(R2209:R2211)</f>
        <v>#VALUE!</v>
      </c>
      <c r="T2212" s="135" t="e">
        <f>SUM(T2209:T2211)</f>
        <v>#VALUE!</v>
      </c>
      <c r="U2212" s="135" t="e">
        <f>SUM(U2209:U2211)</f>
        <v>#VALUE!</v>
      </c>
      <c r="V2212" s="135" t="e">
        <f>SUM(V2209:V2211)</f>
        <v>#VALUE!</v>
      </c>
      <c r="W2212" s="135" t="e">
        <f>SUM(W2209:W2211)</f>
        <v>#VALUE!</v>
      </c>
      <c r="X2212" s="3"/>
      <c r="Y2212" s="135" t="e">
        <f>SUM(Y2209:Y2211)</f>
        <v>#VALUE!</v>
      </c>
      <c r="Z2212" s="135" t="e">
        <f>SUM(Z2209:Z2211)</f>
        <v>#VALUE!</v>
      </c>
      <c r="AA2212" s="135" t="e">
        <f>SUM(AA2209:AA2211)</f>
        <v>#VALUE!</v>
      </c>
      <c r="AB2212" s="135" t="e">
        <f>SUM(AB2209:AB2211)</f>
        <v>#VALUE!</v>
      </c>
      <c r="AC2212" s="135" t="e">
        <f>SUM(AC2209:AC2211)</f>
        <v>#VALUE!</v>
      </c>
      <c r="AD2212" s="117"/>
      <c r="AE2212" s="117"/>
      <c r="AF2212" s="117"/>
      <c r="AG2212" s="117"/>
      <c r="AH2212" s="116"/>
      <c r="AI2212">
        <f t="shared" si="1355"/>
        <v>111390</v>
      </c>
      <c r="AJ2212" t="str">
        <f t="shared" si="1388"/>
        <v>NA</v>
      </c>
      <c r="AK2212" t="str">
        <f>IF(ISERROR(MATCH(AI2212&amp;"."&amp;AJ2212,AK$91:AK2211,0)),AI2212&amp;"."&amp;AJ2212,AI2212&amp;"."&amp;AJ2212&amp;COUNTIFS(AI$91:AI2211,AI2212,AJ$91:AJ2211,AJ2212))</f>
        <v>111390.NA1</v>
      </c>
    </row>
    <row r="2213" spans="1:41" ht="15" hidden="1">
      <c r="A2213" s="120">
        <f>ROW()</f>
        <v>2213</v>
      </c>
      <c r="B2213" s="120"/>
      <c r="E2213" s="121"/>
      <c r="F2213" s="118"/>
      <c r="G2213" s="117"/>
      <c r="H2213" s="135"/>
      <c r="I2213" s="135"/>
      <c r="J2213" s="135"/>
      <c r="K2213" s="135"/>
      <c r="L2213" s="135"/>
      <c r="O2213" s="135"/>
      <c r="P2213" s="135"/>
      <c r="Q2213" s="135"/>
      <c r="R2213" s="135"/>
      <c r="T2213" s="135"/>
      <c r="U2213" s="135"/>
      <c r="V2213" s="135"/>
      <c r="W2213" s="135"/>
      <c r="X2213" s="3"/>
      <c r="AD2213" s="117"/>
      <c r="AE2213" s="117"/>
      <c r="AF2213" s="117"/>
      <c r="AG2213" s="117"/>
      <c r="AH2213" s="116"/>
      <c r="AI2213">
        <f t="shared" si="1355"/>
        <v>111390</v>
      </c>
      <c r="AJ2213" t="str">
        <f t="shared" si="1388"/>
        <v>NA</v>
      </c>
      <c r="AK2213" t="str">
        <f>IF(ISERROR(MATCH(AI2213&amp;"."&amp;AJ2213,AK$91:AK2212,0)),AI2213&amp;"."&amp;AJ2213,AI2213&amp;"."&amp;AJ2213&amp;COUNTIFS(AI$91:AI2212,AI2213,AJ$91:AJ2212,AJ2213))</f>
        <v>111390.NA2</v>
      </c>
    </row>
    <row r="2214" spans="1:41" ht="15" hidden="1">
      <c r="A2214" s="120">
        <f>ROW()</f>
        <v>2214</v>
      </c>
      <c r="B2214" s="120"/>
      <c r="D2214" s="2" t="s">
        <v>707</v>
      </c>
      <c r="E2214" s="121"/>
      <c r="F2214" s="118"/>
      <c r="G2214" s="136" t="e">
        <f t="shared" ref="G2214:L2214" si="1393">-G2212</f>
        <v>#VALUE!</v>
      </c>
      <c r="H2214" s="135" t="e">
        <f t="shared" si="1393"/>
        <v>#VALUE!</v>
      </c>
      <c r="I2214" s="135" t="e">
        <f t="shared" si="1393"/>
        <v>#VALUE!</v>
      </c>
      <c r="J2214" s="135" t="e">
        <f t="shared" si="1393"/>
        <v>#VALUE!</v>
      </c>
      <c r="K2214" s="135" t="e">
        <f t="shared" si="1393"/>
        <v>#VALUE!</v>
      </c>
      <c r="L2214" s="135" t="e">
        <f t="shared" si="1393"/>
        <v>#VALUE!</v>
      </c>
      <c r="O2214" s="135" t="e">
        <f>-O2212</f>
        <v>#VALUE!</v>
      </c>
      <c r="P2214" s="135" t="e">
        <f>-P2212</f>
        <v>#VALUE!</v>
      </c>
      <c r="Q2214" s="135" t="e">
        <f>-Q2212</f>
        <v>#VALUE!</v>
      </c>
      <c r="R2214" s="135" t="e">
        <f>-R2212</f>
        <v>#VALUE!</v>
      </c>
      <c r="S2214" s="135"/>
      <c r="T2214" s="135" t="e">
        <f>-T2212</f>
        <v>#VALUE!</v>
      </c>
      <c r="U2214" s="135" t="e">
        <f>-U2212</f>
        <v>#VALUE!</v>
      </c>
      <c r="V2214" s="135" t="e">
        <f>-V2212</f>
        <v>#VALUE!</v>
      </c>
      <c r="W2214" s="135" t="e">
        <f>-W2212</f>
        <v>#VALUE!</v>
      </c>
      <c r="X2214" s="3"/>
      <c r="Y2214" s="135" t="e">
        <f>-Y2212</f>
        <v>#VALUE!</v>
      </c>
      <c r="Z2214" s="135" t="e">
        <f>-Z2212</f>
        <v>#VALUE!</v>
      </c>
      <c r="AA2214" s="135" t="e">
        <f>-AA2212</f>
        <v>#VALUE!</v>
      </c>
      <c r="AB2214" s="135" t="e">
        <f>-AB2212</f>
        <v>#VALUE!</v>
      </c>
      <c r="AC2214" s="135" t="e">
        <f>-AC2212</f>
        <v>#VALUE!</v>
      </c>
      <c r="AD2214" s="119"/>
      <c r="AE2214" s="119"/>
      <c r="AF2214" s="119"/>
      <c r="AG2214" s="119"/>
      <c r="AI2214">
        <f t="shared" si="1355"/>
        <v>111390</v>
      </c>
      <c r="AJ2214" t="str">
        <f t="shared" si="1388"/>
        <v>NA</v>
      </c>
      <c r="AK2214" t="str">
        <f>IF(ISERROR(MATCH(AI2214&amp;"."&amp;AJ2214,AK$91:AK2213,0)),AI2214&amp;"."&amp;AJ2214,AI2214&amp;"."&amp;AJ2214&amp;COUNTIFS(AI$91:AI2213,AI2214,AJ$91:AJ2213,AJ2214))</f>
        <v>111390.NA3</v>
      </c>
    </row>
    <row r="2215" spans="1:41" ht="15" hidden="1">
      <c r="A2215" s="120">
        <f>ROW()</f>
        <v>2215</v>
      </c>
      <c r="B2215" s="120"/>
      <c r="F2215" s="118"/>
      <c r="G2215" s="136"/>
      <c r="H2215" s="135" t="e">
        <f>H2212+H2214</f>
        <v>#VALUE!</v>
      </c>
      <c r="I2215" s="135" t="e">
        <f>I2212+I2214</f>
        <v>#VALUE!</v>
      </c>
      <c r="J2215" s="135" t="e">
        <f>J2212+J2214</f>
        <v>#VALUE!</v>
      </c>
      <c r="K2215" s="135" t="e">
        <f>K2212+K2214</f>
        <v>#VALUE!</v>
      </c>
      <c r="L2215" s="135" t="e">
        <f>L2212+L2214</f>
        <v>#VALUE!</v>
      </c>
      <c r="O2215" s="135" t="e">
        <f>O2212+O2214</f>
        <v>#VALUE!</v>
      </c>
      <c r="P2215" s="135" t="e">
        <f>P2212+P2214</f>
        <v>#VALUE!</v>
      </c>
      <c r="Q2215" s="135" t="e">
        <f>Q2212+Q2214</f>
        <v>#VALUE!</v>
      </c>
      <c r="R2215" s="135" t="e">
        <f>R2212+R2214</f>
        <v>#VALUE!</v>
      </c>
      <c r="S2215" s="135"/>
      <c r="T2215" s="135" t="e">
        <f>T2212+T2214</f>
        <v>#VALUE!</v>
      </c>
      <c r="U2215" s="135" t="e">
        <f>U2212+U2214</f>
        <v>#VALUE!</v>
      </c>
      <c r="V2215" s="135" t="e">
        <f>V2212+V2214</f>
        <v>#VALUE!</v>
      </c>
      <c r="W2215" s="135" t="e">
        <f>W2212+W2214</f>
        <v>#VALUE!</v>
      </c>
      <c r="X2215" s="3"/>
      <c r="Y2215" s="135" t="e">
        <f>Y2212+Y2214</f>
        <v>#VALUE!</v>
      </c>
      <c r="Z2215" s="135" t="e">
        <f>Z2212+Z2214</f>
        <v>#VALUE!</v>
      </c>
      <c r="AA2215" s="135" t="e">
        <f>AA2212+AA2214</f>
        <v>#VALUE!</v>
      </c>
      <c r="AB2215" s="135" t="e">
        <f>AB2212+AB2214</f>
        <v>#VALUE!</v>
      </c>
      <c r="AC2215" s="135" t="e">
        <f>AC2212+AC2214</f>
        <v>#VALUE!</v>
      </c>
      <c r="AD2215" s="119"/>
      <c r="AE2215" s="119"/>
      <c r="AF2215" s="119"/>
      <c r="AG2215" s="119"/>
      <c r="AI2215">
        <f t="shared" si="1355"/>
        <v>111390</v>
      </c>
      <c r="AJ2215" t="str">
        <f t="shared" si="1388"/>
        <v>NA</v>
      </c>
      <c r="AK2215" t="str">
        <f>IF(ISERROR(MATCH(AI2215&amp;"."&amp;AJ2215,AK$91:AK2214,0)),AI2215&amp;"."&amp;AJ2215,AI2215&amp;"."&amp;AJ2215&amp;COUNTIFS(AI$91:AI2214,AI2215,AJ$91:AJ2214,AJ2215))</f>
        <v>111390.NA4</v>
      </c>
    </row>
    <row r="2216" spans="1:41" ht="15" hidden="1">
      <c r="A2216" s="120"/>
      <c r="B2216" s="120"/>
      <c r="C2216" s="110" t="s">
        <v>706</v>
      </c>
      <c r="F2216" s="118"/>
      <c r="G2216" s="133" t="e">
        <f t="shared" ref="G2216:L2216" si="1394">G2206+G2188+G2180+G2171+G2212+G2214</f>
        <v>#VALUE!</v>
      </c>
      <c r="H2216" s="116" t="e">
        <f t="shared" si="1394"/>
        <v>#VALUE!</v>
      </c>
      <c r="I2216" s="116" t="e">
        <f t="shared" si="1394"/>
        <v>#VALUE!</v>
      </c>
      <c r="J2216" s="116" t="e">
        <f t="shared" si="1394"/>
        <v>#VALUE!</v>
      </c>
      <c r="K2216" s="116" t="e">
        <f t="shared" si="1394"/>
        <v>#VALUE!</v>
      </c>
      <c r="L2216" s="116" t="e">
        <f t="shared" si="1394"/>
        <v>#VALUE!</v>
      </c>
      <c r="O2216" s="116" t="e">
        <f>O2206+O2188+O2180+O2171+O2212+O2214</f>
        <v>#VALUE!</v>
      </c>
      <c r="P2216" s="116" t="e">
        <f>P2206+P2188+P2180+P2171+P2212+P2214</f>
        <v>#VALUE!</v>
      </c>
      <c r="Q2216" s="116" t="e">
        <f>Q2206+Q2188+Q2180+Q2171+Q2212+Q2214</f>
        <v>#VALUE!</v>
      </c>
      <c r="R2216" s="116" t="e">
        <f>R2206+R2188+R2180+R2171+R2212+R2214</f>
        <v>#VALUE!</v>
      </c>
      <c r="S2216" s="116"/>
      <c r="T2216" s="116" t="e">
        <f>T2206+T2188+T2180+T2171+T2212+T2214</f>
        <v>#VALUE!</v>
      </c>
      <c r="U2216" s="116" t="e">
        <f>U2206+U2188+U2180+U2171+U2212+U2214</f>
        <v>#VALUE!</v>
      </c>
      <c r="V2216" s="116" t="e">
        <f>V2206+V2188+V2180+V2171+V2212+V2214</f>
        <v>#VALUE!</v>
      </c>
      <c r="W2216" s="116" t="e">
        <f>W2206+W2188+W2180+W2171+W2212+W2214</f>
        <v>#VALUE!</v>
      </c>
      <c r="X2216" s="134"/>
      <c r="Y2216" s="116" t="e">
        <f>Y2206+Y2188+Y2180+Y2171+Y2212+Y2214</f>
        <v>#VALUE!</v>
      </c>
      <c r="Z2216" s="116" t="e">
        <f>Z2206+Z2188+Z2180+Z2171+Z2212+Z2214</f>
        <v>#VALUE!</v>
      </c>
      <c r="AA2216" s="116" t="e">
        <f>AA2206+AA2188+AA2180+AA2171+AA2212+AA2214</f>
        <v>#VALUE!</v>
      </c>
      <c r="AB2216" s="116" t="e">
        <f>AB2206+AB2188+AB2180+AB2171+AB2212+AB2214</f>
        <v>#VALUE!</v>
      </c>
      <c r="AC2216" s="116" t="e">
        <f>AC2206+AC2188+AC2180+AC2171+AC2212+AC2214</f>
        <v>#VALUE!</v>
      </c>
      <c r="AD2216" s="133" t="e">
        <f>ROUND(SUM(-G2216,H2216:L2216),0)</f>
        <v>#VALUE!</v>
      </c>
      <c r="AE2216" s="133" t="e">
        <f>ROUND(H2216-O2216-P2216-Q2216-R2216,0)</f>
        <v>#VALUE!</v>
      </c>
      <c r="AF2216" s="133" t="e">
        <f>ROUND(I2216-T2216-U2216-V2216-W2216,0)</f>
        <v>#VALUE!</v>
      </c>
      <c r="AG2216" s="133" t="e">
        <f>ROUND(J2216-Y2216-Z2216-AA2216-AC2216-AB2216,0)</f>
        <v>#VALUE!</v>
      </c>
      <c r="AH2216" s="116"/>
      <c r="AI2216" t="str">
        <f t="shared" si="1355"/>
        <v>TOTAL ACCUM PROV FOR AMORTIZATION</v>
      </c>
      <c r="AJ2216" t="str">
        <f t="shared" si="1388"/>
        <v>NA</v>
      </c>
      <c r="AK2216" t="str">
        <f>IF(ISERROR(MATCH(AI2216&amp;"."&amp;AJ2216,AK$91:AK2215,0)),AI2216&amp;"."&amp;AJ2216,AI2216&amp;"."&amp;AJ2216&amp;COUNTIFS(AI$91:AI2215,AI2216,AJ$91:AJ2215,AJ2216))</f>
        <v>TOTAL ACCUM PROV FOR AMORTIZATION.NA</v>
      </c>
    </row>
    <row r="2217" spans="1:41" hidden="1">
      <c r="A2217" s="121"/>
      <c r="B2217" s="121"/>
      <c r="C2217" s="111"/>
      <c r="D2217" s="111"/>
      <c r="E2217" s="111"/>
      <c r="G2217" s="132"/>
      <c r="H2217" s="111"/>
      <c r="I2217" s="111"/>
      <c r="J2217" s="111"/>
      <c r="K2217" s="111"/>
      <c r="L2217" s="111"/>
      <c r="M2217" s="111"/>
      <c r="N2217" s="111"/>
      <c r="O2217" s="111"/>
      <c r="P2217" s="111"/>
      <c r="Q2217" s="111"/>
      <c r="R2217" s="111"/>
      <c r="S2217" s="111"/>
      <c r="T2217" s="111"/>
      <c r="U2217" s="111"/>
      <c r="V2217" s="111"/>
      <c r="W2217" s="111"/>
      <c r="X2217" s="111"/>
      <c r="Y2217" s="111"/>
      <c r="Z2217" s="111"/>
      <c r="AA2217" s="111"/>
      <c r="AB2217" s="111"/>
      <c r="AC2217" s="111"/>
      <c r="AD2217" s="111"/>
      <c r="AE2217" s="111"/>
      <c r="AF2217" s="111"/>
      <c r="AG2217" s="111"/>
      <c r="AH2217" s="111"/>
      <c r="AI2217" s="111"/>
      <c r="AJ2217" s="111"/>
      <c r="AK2217" s="111"/>
      <c r="AL2217" s="131"/>
      <c r="AM2217" s="131"/>
      <c r="AN2217" s="131"/>
      <c r="AO2217" s="131"/>
    </row>
    <row r="2218" spans="1:41" s="126" customFormat="1" ht="15.75" hidden="1">
      <c r="A2218" s="120"/>
      <c r="B2218" s="120"/>
      <c r="C2218" s="128"/>
      <c r="D2218" s="128"/>
      <c r="E2218" s="128"/>
      <c r="F2218" s="2"/>
      <c r="G2218" s="127"/>
      <c r="H2218" s="128"/>
      <c r="I2218" s="128"/>
      <c r="J2218" s="128"/>
      <c r="K2218" s="128"/>
      <c r="L2218" s="128"/>
      <c r="M2218" s="130"/>
      <c r="N2218" s="129"/>
      <c r="O2218" s="128"/>
      <c r="P2218" s="128"/>
      <c r="Q2218" s="128"/>
      <c r="R2218" s="128"/>
      <c r="S2218" s="129"/>
      <c r="T2218" s="128"/>
      <c r="U2218" s="128"/>
      <c r="V2218" s="128"/>
      <c r="W2218" s="128"/>
      <c r="X2218" s="128"/>
      <c r="Y2218" s="128"/>
      <c r="Z2218" s="128"/>
      <c r="AA2218" s="128"/>
      <c r="AB2218" s="128"/>
      <c r="AC2218" s="128"/>
      <c r="AD2218" s="127"/>
      <c r="AE2218" s="127"/>
      <c r="AF2218" s="127"/>
      <c r="AG2218" s="127"/>
      <c r="AH2218" s="127"/>
      <c r="AI2218" s="127"/>
      <c r="AJ2218" s="127"/>
      <c r="AK2218" s="127"/>
    </row>
    <row r="2219" spans="1:41" hidden="1">
      <c r="A2219" s="120"/>
      <c r="B2219" s="120"/>
      <c r="X2219" s="6"/>
    </row>
    <row r="2220" spans="1:41" hidden="1">
      <c r="A2220" s="120"/>
      <c r="B2220" s="120"/>
      <c r="C2220" s="1"/>
      <c r="D2220" s="1"/>
      <c r="E2220" s="1"/>
      <c r="F2220" s="1"/>
      <c r="G2220" s="1"/>
      <c r="X2220" s="6"/>
    </row>
    <row r="2221" spans="1:41" hidden="1">
      <c r="A2221" s="120"/>
      <c r="B2221" s="120"/>
      <c r="AD2221" s="125" t="s">
        <v>27</v>
      </c>
      <c r="AE2221" s="125" t="s">
        <v>28</v>
      </c>
      <c r="AF2221" s="125" t="s">
        <v>23</v>
      </c>
      <c r="AG2221" s="124" t="s">
        <v>24</v>
      </c>
      <c r="AH2221" s="121"/>
      <c r="AI2221" s="121"/>
      <c r="AJ2221" s="121"/>
      <c r="AK2221" s="121"/>
    </row>
    <row r="2222" spans="1:41" hidden="1">
      <c r="A2222" s="120"/>
      <c r="B2222" s="120"/>
      <c r="AD2222" s="123" t="s">
        <v>41</v>
      </c>
      <c r="AE2222" s="123" t="s">
        <v>41</v>
      </c>
      <c r="AF2222" s="123" t="s">
        <v>41</v>
      </c>
      <c r="AG2222" s="122" t="s">
        <v>41</v>
      </c>
      <c r="AH2222" s="121"/>
      <c r="AI2222" s="121"/>
      <c r="AJ2222" s="121"/>
      <c r="AK2222" s="121"/>
    </row>
    <row r="2223" spans="1:41" hidden="1">
      <c r="A2223" s="120"/>
      <c r="B2223" s="120"/>
      <c r="AD2223" s="119"/>
      <c r="AE2223" s="119"/>
      <c r="AF2223" s="119"/>
      <c r="AG2223" s="118"/>
    </row>
    <row r="2224" spans="1:41" hidden="1">
      <c r="AD2224" s="117" t="e">
        <f>IF(MAX(AD$94:AD$2216)&gt;ABS(MIN(AD$94:AD$2216)),MAX(AD$94:AD$2216),MIN(AD$94:AD$2216))</f>
        <v>#VALUE!</v>
      </c>
      <c r="AE2224" s="117" t="e">
        <f>IF(MAX(AE$94:AE$2216)&gt;ABS(MIN(AE$94:AE$2216)),MAX(AE$94:AE$2216),MIN(AE$94:AE$2216))</f>
        <v>#VALUE!</v>
      </c>
      <c r="AF2224" s="117" t="e">
        <f>IF(MAX(AF$94:AF$2216)&gt;ABS(MIN(AF$94:AF$2216)),MAX(AF$94:AF$2216),MIN(AF$94:AF$2216))</f>
        <v>#VALUE!</v>
      </c>
      <c r="AG2224" s="117" t="e">
        <f>IF(MAX(AG$94:AG$2216)&gt;ABS(MIN(AG$94:AG$2216)),MAX(AG$94:AG$2216),MIN(AG$94:AG$2216))</f>
        <v>#VALUE!</v>
      </c>
      <c r="AH2224" s="116"/>
      <c r="AI2224" s="116"/>
      <c r="AJ2224" s="116"/>
      <c r="AK2224" s="116"/>
    </row>
    <row r="2225" spans="6:37" hidden="1">
      <c r="AD2225" s="115" t="e">
        <f>IF(AD2224&lt;&gt;0,MATCH(AD2224,AD96:AD2216,0)+ROW(AF93),0)</f>
        <v>#VALUE!</v>
      </c>
      <c r="AE2225" s="115" t="e">
        <f>IF(AE2224&lt;&gt;0,MATCH(AE2224,AE96:AE2216,0)+ROW(AG93),0)</f>
        <v>#VALUE!</v>
      </c>
      <c r="AF2225" s="115" t="e">
        <f>IF(AF2224&lt;&gt;0,MATCH(AF2224,AF96:AF2216,0)+ROW(#REF!),0)</f>
        <v>#VALUE!</v>
      </c>
      <c r="AG2225" s="115" t="e">
        <f>IF(AG2224&lt;&gt;0,MATCH(AG2224,AG96:AG2216,0)+ROW(AL93),0)</f>
        <v>#VALUE!</v>
      </c>
      <c r="AH2225" s="114"/>
      <c r="AI2225" s="114"/>
      <c r="AJ2225" s="114"/>
      <c r="AK2225" s="114"/>
    </row>
    <row r="2226" spans="6:37" hidden="1">
      <c r="AD2226" s="113"/>
      <c r="AE2226" s="113"/>
      <c r="AF2226" s="113"/>
      <c r="AG2226" s="112"/>
    </row>
    <row r="2230" spans="6:37">
      <c r="G2230" s="2" t="e">
        <f>-G131+G243+G246+G258+G414+G415+G460+G462+G461-G525</f>
        <v>#VALUE!</v>
      </c>
      <c r="H2230" s="2" t="e">
        <f t="shared" ref="H2230:I2230" si="1395">-H131+H243+H246+H258+H414+H415+H460+H462+H461+H525</f>
        <v>#VALUE!</v>
      </c>
      <c r="I2230" s="2" t="e">
        <f t="shared" si="1395"/>
        <v>#VALUE!</v>
      </c>
    </row>
    <row r="2233" spans="6:37">
      <c r="F2233" s="259">
        <v>193466579</v>
      </c>
      <c r="G2233" s="259">
        <v>85120454</v>
      </c>
    </row>
    <row r="2234" spans="6:37">
      <c r="G2234" s="2" t="e">
        <f>G2230-G2233</f>
        <v>#VALUE!</v>
      </c>
    </row>
  </sheetData>
  <autoFilter ref="B1:B2226">
    <filterColumn colId="0">
      <customFilters>
        <customFilter operator="notEqual" val=" "/>
      </customFilters>
    </filterColumn>
  </autoFilter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8"/>
  <sheetViews>
    <sheetView topLeftCell="A40" zoomScale="85" zoomScaleNormal="85" workbookViewId="0">
      <selection activeCell="E91" sqref="E91"/>
    </sheetView>
  </sheetViews>
  <sheetFormatPr defaultColWidth="9.140625" defaultRowHeight="12.75"/>
  <cols>
    <col min="1" max="1" width="5.5703125" style="260" bestFit="1" customWidth="1"/>
    <col min="2" max="2" width="3" style="260" customWidth="1"/>
    <col min="3" max="3" width="48.5703125" style="260" bestFit="1" customWidth="1"/>
    <col min="4" max="4" width="7.7109375" style="262" bestFit="1" customWidth="1"/>
    <col min="5" max="5" width="17.28515625" style="260" customWidth="1"/>
    <col min="6" max="7" width="17.28515625" style="260" bestFit="1" customWidth="1"/>
    <col min="8" max="8" width="16.28515625" style="260" bestFit="1" customWidth="1"/>
    <col min="9" max="9" width="17.42578125" style="260" bestFit="1" customWidth="1"/>
    <col min="10" max="10" width="16.7109375" style="260" bestFit="1" customWidth="1"/>
    <col min="11" max="11" width="15" style="260" bestFit="1" customWidth="1"/>
    <col min="12" max="12" width="12.42578125" style="260" bestFit="1" customWidth="1"/>
    <col min="13" max="13" width="12.85546875" style="260" bestFit="1" customWidth="1"/>
    <col min="14" max="14" width="15.85546875" style="260" bestFit="1" customWidth="1"/>
    <col min="15" max="16" width="15.42578125" style="260" bestFit="1" customWidth="1"/>
    <col min="17" max="17" width="14.5703125" style="260" bestFit="1" customWidth="1"/>
    <col min="18" max="18" width="11.7109375" style="260" customWidth="1"/>
    <col min="19" max="19" width="9.7109375" style="260" customWidth="1"/>
    <col min="20" max="20" width="11.7109375" style="260" customWidth="1"/>
    <col min="21" max="21" width="9.7109375" style="260" customWidth="1"/>
    <col min="22" max="22" width="10.7109375" style="260" customWidth="1"/>
    <col min="23" max="23" width="9.7109375" style="260" customWidth="1"/>
    <col min="24" max="24" width="8.140625" style="260" customWidth="1"/>
    <col min="25" max="25" width="7.140625" style="260" customWidth="1"/>
    <col min="26" max="26" width="9.7109375" style="260" customWidth="1"/>
    <col min="27" max="27" width="8.140625" style="260" customWidth="1"/>
    <col min="28" max="28" width="10.7109375" style="260" customWidth="1"/>
    <col min="29" max="29" width="8.140625" style="260" customWidth="1"/>
    <col min="30" max="31" width="9.7109375" style="260" customWidth="1"/>
    <col min="32" max="16384" width="9.140625" style="260"/>
  </cols>
  <sheetData>
    <row r="1" spans="1:32" ht="12.75" customHeight="1">
      <c r="C1" s="261" t="s">
        <v>885</v>
      </c>
    </row>
    <row r="2" spans="1:32" ht="12.75" customHeight="1">
      <c r="A2" s="263"/>
      <c r="B2" s="264"/>
      <c r="C2" s="264" t="str">
        <f>[4]Inputs!$C$4</f>
        <v>Rocky Mountain Power</v>
      </c>
      <c r="D2" s="265"/>
      <c r="E2" s="266"/>
      <c r="F2" s="264"/>
      <c r="G2" s="266"/>
      <c r="H2" s="266"/>
      <c r="I2" s="266"/>
      <c r="J2" s="264"/>
      <c r="K2" s="264"/>
      <c r="L2" s="264"/>
      <c r="M2" s="264"/>
      <c r="N2" s="264"/>
      <c r="O2" s="266"/>
      <c r="P2" s="266"/>
    </row>
    <row r="3" spans="1:32" ht="12.75" customHeight="1">
      <c r="A3" s="263"/>
      <c r="B3" s="264"/>
      <c r="C3" s="266" t="s">
        <v>886</v>
      </c>
      <c r="D3" s="265"/>
      <c r="E3" s="266"/>
      <c r="F3" s="264"/>
      <c r="G3" s="266"/>
      <c r="H3" s="264"/>
      <c r="I3" s="264"/>
      <c r="J3" s="264"/>
      <c r="K3" s="264"/>
      <c r="L3" s="264"/>
      <c r="M3" s="264"/>
      <c r="N3" s="264"/>
      <c r="O3" s="266"/>
      <c r="P3" s="266"/>
    </row>
    <row r="4" spans="1:32" ht="12.75" customHeight="1">
      <c r="A4" s="263"/>
      <c r="B4" s="264"/>
      <c r="C4" s="264" t="str">
        <f>[4]Inputs!$C$5</f>
        <v>State of Utah</v>
      </c>
      <c r="D4" s="265"/>
      <c r="E4" s="266"/>
      <c r="F4" s="264"/>
      <c r="G4" s="266"/>
      <c r="H4" s="264"/>
      <c r="I4" s="264"/>
      <c r="J4" s="264"/>
      <c r="K4" s="264"/>
      <c r="L4" s="264"/>
      <c r="M4" s="264"/>
      <c r="N4" s="264"/>
      <c r="O4" s="266"/>
      <c r="P4" s="266"/>
    </row>
    <row r="5" spans="1:32" ht="12.75" customHeight="1">
      <c r="A5" s="263"/>
      <c r="B5" s="264"/>
      <c r="C5" s="264" t="str">
        <f>[4]Inputs!$C$7</f>
        <v>2020 Protocol (Non Wgt)</v>
      </c>
      <c r="D5" s="265"/>
      <c r="E5" s="266"/>
      <c r="F5" s="264"/>
      <c r="G5" s="266"/>
      <c r="H5" s="264"/>
      <c r="I5" s="264"/>
      <c r="J5" s="264"/>
      <c r="K5" s="264"/>
      <c r="L5" s="264"/>
      <c r="M5" s="264"/>
      <c r="N5" s="264"/>
      <c r="O5" s="264"/>
      <c r="P5" s="264"/>
    </row>
    <row r="6" spans="1:32" ht="12.75" customHeight="1">
      <c r="A6" s="263"/>
      <c r="B6" s="267"/>
      <c r="C6" s="264" t="str">
        <f>[4]Inputs!C6</f>
        <v>12 Months Ended Dec 2021</v>
      </c>
      <c r="D6" s="265"/>
      <c r="E6" s="266"/>
      <c r="F6" s="264"/>
      <c r="G6" s="266"/>
      <c r="H6" s="264"/>
      <c r="I6" s="264"/>
      <c r="J6" s="264"/>
      <c r="K6" s="264"/>
      <c r="L6" s="264"/>
      <c r="M6" s="264"/>
      <c r="N6" s="264"/>
      <c r="O6" s="264"/>
      <c r="P6" s="264"/>
    </row>
    <row r="7" spans="1:32" ht="12.75" customHeight="1">
      <c r="A7" s="263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</row>
    <row r="8" spans="1:32" ht="12.75" customHeight="1">
      <c r="A8" s="263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</row>
    <row r="9" spans="1:32" ht="12.75" customHeight="1">
      <c r="A9" s="263"/>
      <c r="B9" s="261"/>
      <c r="C9" s="269" t="s">
        <v>887</v>
      </c>
      <c r="D9" s="270" t="s">
        <v>888</v>
      </c>
      <c r="E9" s="269" t="s">
        <v>889</v>
      </c>
      <c r="F9" s="269" t="s">
        <v>789</v>
      </c>
      <c r="G9" s="269" t="s">
        <v>890</v>
      </c>
      <c r="H9" s="269" t="s">
        <v>891</v>
      </c>
      <c r="I9" s="269" t="s">
        <v>164</v>
      </c>
      <c r="J9" s="269" t="s">
        <v>892</v>
      </c>
      <c r="K9" s="269" t="s">
        <v>893</v>
      </c>
      <c r="L9" s="269" t="s">
        <v>894</v>
      </c>
      <c r="M9" s="269" t="s">
        <v>895</v>
      </c>
      <c r="N9" s="269" t="s">
        <v>896</v>
      </c>
      <c r="O9" s="269" t="s">
        <v>897</v>
      </c>
      <c r="P9" s="269" t="s">
        <v>898</v>
      </c>
      <c r="Q9" s="269"/>
    </row>
    <row r="10" spans="1:32" ht="12.75" customHeight="1">
      <c r="A10" s="263"/>
      <c r="B10" s="261"/>
      <c r="C10" s="261"/>
      <c r="D10" s="271"/>
      <c r="E10" s="269"/>
      <c r="F10" s="272"/>
      <c r="G10" s="263"/>
      <c r="H10" s="263"/>
      <c r="I10" s="263"/>
      <c r="J10" s="263"/>
      <c r="K10" s="272"/>
      <c r="L10" s="263"/>
      <c r="M10" s="263"/>
      <c r="N10" s="263"/>
      <c r="O10" s="268"/>
      <c r="P10" s="268"/>
      <c r="Q10" s="273" t="s">
        <v>899</v>
      </c>
    </row>
    <row r="11" spans="1:32" ht="38.25">
      <c r="A11" s="263"/>
      <c r="B11" s="274"/>
      <c r="C11" s="275" t="s">
        <v>900</v>
      </c>
      <c r="D11" s="276"/>
      <c r="E11" s="277" t="str">
        <f>'[4]P+T+D+R+M'!H$10</f>
        <v>Utah
Jurisdiction
Normalized</v>
      </c>
      <c r="F11" s="277" t="str">
        <f>'[4]P+T+D+R+M'!I$10</f>
        <v>Residential
Sch 1</v>
      </c>
      <c r="G11" s="277" t="str">
        <f>'[4]P+T+D+R+M'!J$10</f>
        <v>General
Large Dist.
Sch 6</v>
      </c>
      <c r="H11" s="277" t="str">
        <f>'[4]P+T+D+R+M'!K$10</f>
        <v>General
+1 MW
Sch 8</v>
      </c>
      <c r="I11" s="277" t="str">
        <f>'[4]P+T+D+R+M'!L$10</f>
        <v>Street &amp; Area
Lighting
Sch. 7,11,12</v>
      </c>
      <c r="J11" s="277" t="str">
        <f>'[4]P+T+D+R+M'!M$10</f>
        <v>General
Trans
Sch 9</v>
      </c>
      <c r="K11" s="277" t="str">
        <f>'[4]P+T+D+R+M'!N$10</f>
        <v>Irrigation
Sch 10</v>
      </c>
      <c r="L11" s="277" t="str">
        <f>'[4]P+T+D+R+M'!O$10</f>
        <v>Traffic
Signals
Sch 15</v>
      </c>
      <c r="M11" s="277" t="str">
        <f>'[4]P+T+D+R+M'!P$10</f>
        <v>Outdoor
Lighting
Sch 15</v>
      </c>
      <c r="N11" s="277" t="str">
        <f>'[4]P+T+D+R+M'!Q$10</f>
        <v>General
Small Dist.
Sch 23</v>
      </c>
      <c r="O11" s="277" t="str">
        <f>'[4]P+T+D+R+M'!R$10</f>
        <v>Industrial
Cust 1</v>
      </c>
      <c r="P11" s="277" t="str">
        <f>'[4]P+T+D+R+M'!S$10</f>
        <v>Industrial
Cust 2</v>
      </c>
      <c r="Q11" s="278" t="e">
        <f>ROUND(SUM(Q14:Q68),0)</f>
        <v>#DIV/0!</v>
      </c>
    </row>
    <row r="12" spans="1:32" ht="12.75" customHeight="1">
      <c r="A12" s="263"/>
      <c r="B12" s="261"/>
      <c r="C12" s="261"/>
      <c r="D12" s="271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</row>
    <row r="13" spans="1:32" ht="12.75" customHeight="1">
      <c r="A13" s="263">
        <f>ROW()</f>
        <v>13</v>
      </c>
      <c r="B13" s="261"/>
      <c r="C13" s="261" t="s">
        <v>878</v>
      </c>
      <c r="D13" s="271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</row>
    <row r="14" spans="1:32" ht="12.75" customHeight="1">
      <c r="A14" s="263">
        <f>ROW()</f>
        <v>14</v>
      </c>
      <c r="B14" s="261"/>
      <c r="C14" s="261" t="s">
        <v>901</v>
      </c>
      <c r="D14" s="271"/>
      <c r="E14" s="272">
        <f>SUM(F14:P14)</f>
        <v>878119749.38482606</v>
      </c>
      <c r="F14" s="261">
        <f>[4]Production!I15</f>
        <v>290854156.0855006</v>
      </c>
      <c r="G14" s="261">
        <f>[4]Production!J15</f>
        <v>239231338.65290576</v>
      </c>
      <c r="H14" s="261">
        <f>[4]Production!K15</f>
        <v>73476057.899156228</v>
      </c>
      <c r="I14" s="261">
        <f>[4]Production!L15</f>
        <v>1172145.9706861116</v>
      </c>
      <c r="J14" s="261">
        <f>[4]Production!M15</f>
        <v>169385964.72423205</v>
      </c>
      <c r="K14" s="261">
        <f>[4]Production!N15</f>
        <v>7854789.6761991708</v>
      </c>
      <c r="L14" s="261">
        <f>[4]Production!O15</f>
        <v>23175.880282724422</v>
      </c>
      <c r="M14" s="261">
        <f>[4]Production!P15</f>
        <v>208580.35406528189</v>
      </c>
      <c r="N14" s="261">
        <f>[4]Production!Q15</f>
        <v>54811136.636642165</v>
      </c>
      <c r="O14" s="261">
        <f>[4]Production!R15</f>
        <v>21027294.792901415</v>
      </c>
      <c r="P14" s="261">
        <f>[4]Production!S15</f>
        <v>20075108.712254412</v>
      </c>
      <c r="Q14" s="260">
        <f>ROUND(SUM(F14:P14)-E14,0)</f>
        <v>0</v>
      </c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</row>
    <row r="15" spans="1:32" ht="12.75" customHeight="1">
      <c r="A15" s="263">
        <f>ROW()</f>
        <v>15</v>
      </c>
      <c r="B15" s="261"/>
      <c r="C15" s="261" t="s">
        <v>841</v>
      </c>
      <c r="D15" s="271"/>
      <c r="E15" s="272">
        <f t="shared" ref="E15:E22" si="0">SUM(F15:P15)</f>
        <v>275901628.83118141</v>
      </c>
      <c r="F15" s="261">
        <f>[4]Production!I16</f>
        <v>97277780.453164741</v>
      </c>
      <c r="G15" s="261">
        <f>[4]Production!J16</f>
        <v>73880041.824171066</v>
      </c>
      <c r="H15" s="261">
        <f>[4]Production!K16</f>
        <v>22073524.917650905</v>
      </c>
      <c r="I15" s="261">
        <f>[4]Production!L16</f>
        <v>810700.73079341114</v>
      </c>
      <c r="J15" s="261">
        <f>[4]Production!M16</f>
        <v>48660722.415088803</v>
      </c>
      <c r="K15" s="261">
        <f>[4]Production!N16</f>
        <v>2789065.3728528689</v>
      </c>
      <c r="L15" s="261">
        <f>[4]Production!O16</f>
        <v>596857.87052716315</v>
      </c>
      <c r="M15" s="261">
        <f>[4]Production!P16</f>
        <v>618900.06577122153</v>
      </c>
      <c r="N15" s="261">
        <f>[4]Production!Q16</f>
        <v>17578098.799253684</v>
      </c>
      <c r="O15" s="261">
        <f>[4]Production!R16</f>
        <v>6520410.2357231341</v>
      </c>
      <c r="P15" s="261">
        <f>[4]Production!S16</f>
        <v>5095526.1461844724</v>
      </c>
      <c r="Q15" s="260">
        <f t="shared" ref="Q15:Q24" si="1">ROUND(SUM(F15:P15)-E15,0)</f>
        <v>0</v>
      </c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</row>
    <row r="16" spans="1:32" ht="12.75" customHeight="1">
      <c r="A16" s="263">
        <f>ROW()</f>
        <v>16</v>
      </c>
      <c r="B16" s="261"/>
      <c r="C16" s="261" t="s">
        <v>840</v>
      </c>
      <c r="D16" s="271"/>
      <c r="E16" s="272">
        <f t="shared" si="0"/>
        <v>7167694.0926010273</v>
      </c>
      <c r="F16" s="261">
        <f>[4]Production!I17</f>
        <v>1515279.806368513</v>
      </c>
      <c r="G16" s="261">
        <f>[4]Production!J17</f>
        <v>1736549.0219033998</v>
      </c>
      <c r="H16" s="261">
        <f>[4]Production!K17</f>
        <v>686781.28532937798</v>
      </c>
      <c r="I16" s="261">
        <f>[4]Production!L17</f>
        <v>193825.24826671975</v>
      </c>
      <c r="J16" s="261">
        <f>[4]Production!M17</f>
        <v>1317350.0711103925</v>
      </c>
      <c r="K16" s="261">
        <f>[4]Production!N17</f>
        <v>227979.02703240456</v>
      </c>
      <c r="L16" s="261">
        <f>[4]Production!O17</f>
        <v>193920.57038036693</v>
      </c>
      <c r="M16" s="261">
        <f>[4]Production!P17</f>
        <v>195376.02519236703</v>
      </c>
      <c r="N16" s="261">
        <f>[4]Production!Q17</f>
        <v>465076.26440646406</v>
      </c>
      <c r="O16" s="261">
        <f>[4]Production!R17</f>
        <v>334503.00667572708</v>
      </c>
      <c r="P16" s="261">
        <f>[4]Production!S17</f>
        <v>301053.76593529503</v>
      </c>
      <c r="Q16" s="260">
        <f t="shared" si="1"/>
        <v>0</v>
      </c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</row>
    <row r="17" spans="1:32" ht="12.75" customHeight="1">
      <c r="A17" s="263">
        <f>ROW()</f>
        <v>17</v>
      </c>
      <c r="B17" s="261"/>
      <c r="C17" s="261" t="s">
        <v>422</v>
      </c>
      <c r="D17" s="271"/>
      <c r="E17" s="272">
        <f t="shared" si="0"/>
        <v>41811470.251698107</v>
      </c>
      <c r="F17" s="261">
        <f>[4]Production!I18</f>
        <v>3801042.7501543728</v>
      </c>
      <c r="G17" s="261">
        <f>[4]Production!J18</f>
        <v>3801042.7501543728</v>
      </c>
      <c r="H17" s="261">
        <f>[4]Production!K18</f>
        <v>3801042.7501543728</v>
      </c>
      <c r="I17" s="261">
        <f>[4]Production!L18</f>
        <v>3801042.7501543728</v>
      </c>
      <c r="J17" s="261">
        <f>[4]Production!M18</f>
        <v>3801042.7501543728</v>
      </c>
      <c r="K17" s="261">
        <f>[4]Production!N18</f>
        <v>3801042.7501543728</v>
      </c>
      <c r="L17" s="261">
        <f>[4]Production!O18</f>
        <v>3801042.7501543728</v>
      </c>
      <c r="M17" s="261">
        <f>[4]Production!P18</f>
        <v>3801042.7501543728</v>
      </c>
      <c r="N17" s="261">
        <f>[4]Production!Q18</f>
        <v>3801042.7501543728</v>
      </c>
      <c r="O17" s="261">
        <f>[4]Production!R18</f>
        <v>3801042.7501543728</v>
      </c>
      <c r="P17" s="261">
        <f>[4]Production!S18</f>
        <v>3801042.7501543728</v>
      </c>
      <c r="Q17" s="260">
        <f t="shared" si="1"/>
        <v>0</v>
      </c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</row>
    <row r="18" spans="1:32" ht="12.75" customHeight="1">
      <c r="A18" s="263">
        <f>ROW()</f>
        <v>18</v>
      </c>
      <c r="B18" s="261"/>
      <c r="C18" s="261" t="s">
        <v>902</v>
      </c>
      <c r="D18" s="271"/>
      <c r="E18" s="272">
        <f t="shared" si="0"/>
        <v>-130458392.9035216</v>
      </c>
      <c r="F18" s="261">
        <f>[4]Production!I19</f>
        <v>-50537213.081567459</v>
      </c>
      <c r="G18" s="261">
        <f>[4]Production!J19</f>
        <v>-32221722.633586213</v>
      </c>
      <c r="H18" s="261">
        <f>[4]Production!K19</f>
        <v>-9721310.8528140113</v>
      </c>
      <c r="I18" s="261">
        <f>[4]Production!L19</f>
        <v>-61931.839925641252</v>
      </c>
      <c r="J18" s="261">
        <f>[4]Production!M19</f>
        <v>-24136469.034252331</v>
      </c>
      <c r="K18" s="261">
        <f>[4]Production!N19</f>
        <v>-1102234.1410709869</v>
      </c>
      <c r="L18" s="261">
        <f>[4]Production!O19</f>
        <v>-32061.089219590896</v>
      </c>
      <c r="M18" s="261">
        <f>[4]Production!P19</f>
        <v>-8283.938938573694</v>
      </c>
      <c r="N18" s="261">
        <f>[4]Production!Q19</f>
        <v>-7271612.5962162595</v>
      </c>
      <c r="O18" s="261">
        <f>[4]Production!R19</f>
        <v>-3289726.2445950517</v>
      </c>
      <c r="P18" s="261">
        <f>[4]Production!S19</f>
        <v>-2075827.4513354786</v>
      </c>
      <c r="Q18" s="260">
        <f t="shared" si="1"/>
        <v>0</v>
      </c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</row>
    <row r="19" spans="1:32" ht="12.75" customHeight="1">
      <c r="A19" s="263">
        <f>ROW()</f>
        <v>19</v>
      </c>
      <c r="B19" s="261"/>
      <c r="C19" s="261" t="s">
        <v>903</v>
      </c>
      <c r="D19" s="271"/>
      <c r="E19" s="272">
        <f t="shared" si="0"/>
        <v>-10265757.534821184</v>
      </c>
      <c r="F19" s="261">
        <f>[4]Production!I20</f>
        <v>-4540641.4141123239</v>
      </c>
      <c r="G19" s="261">
        <f>[4]Production!J20</f>
        <v>-2062463.3185020045</v>
      </c>
      <c r="H19" s="261">
        <f>[4]Production!K20</f>
        <v>-663628.0194230401</v>
      </c>
      <c r="I19" s="261">
        <f>[4]Production!L20</f>
        <v>6672.9548960745369</v>
      </c>
      <c r="J19" s="261">
        <f>[4]Production!M20</f>
        <v>-2031071.8006241859</v>
      </c>
      <c r="K19" s="261">
        <f>[4]Production!N20</f>
        <v>-87753.558707716409</v>
      </c>
      <c r="L19" s="261">
        <f>[4]Production!O20</f>
        <v>-1819.3916757620241</v>
      </c>
      <c r="M19" s="261">
        <f>[4]Production!P20</f>
        <v>5137.7837632844648</v>
      </c>
      <c r="N19" s="261">
        <f>[4]Production!Q20</f>
        <v>-429607.61623158486</v>
      </c>
      <c r="O19" s="261">
        <f>[4]Production!R20</f>
        <v>-316899.76089911582</v>
      </c>
      <c r="P19" s="261">
        <f>[4]Production!S20</f>
        <v>-143683.39330481028</v>
      </c>
      <c r="Q19" s="260">
        <f t="shared" si="1"/>
        <v>0</v>
      </c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</row>
    <row r="20" spans="1:32" ht="12.75" customHeight="1">
      <c r="A20" s="263">
        <f>ROW()</f>
        <v>20</v>
      </c>
      <c r="B20" s="261"/>
      <c r="C20" s="261" t="s">
        <v>904</v>
      </c>
      <c r="D20" s="271"/>
      <c r="E20" s="272">
        <f t="shared" si="0"/>
        <v>36418467.48150187</v>
      </c>
      <c r="F20" s="261">
        <f>[4]Production!I21</f>
        <v>3310769.7710456243</v>
      </c>
      <c r="G20" s="261">
        <f>[4]Production!J21</f>
        <v>3310769.7710456243</v>
      </c>
      <c r="H20" s="261">
        <f>[4]Production!K21</f>
        <v>3310769.7710456243</v>
      </c>
      <c r="I20" s="261">
        <f>[4]Production!L21</f>
        <v>3310769.7710456243</v>
      </c>
      <c r="J20" s="261">
        <f>[4]Production!M21</f>
        <v>3310769.7710456243</v>
      </c>
      <c r="K20" s="261">
        <f>[4]Production!N21</f>
        <v>3310769.7710456243</v>
      </c>
      <c r="L20" s="261">
        <f>[4]Production!O21</f>
        <v>3310769.7710456243</v>
      </c>
      <c r="M20" s="261">
        <f>[4]Production!P21</f>
        <v>3310769.7710456243</v>
      </c>
      <c r="N20" s="261">
        <f>[4]Production!Q21</f>
        <v>3310769.7710456243</v>
      </c>
      <c r="O20" s="261">
        <f>[4]Production!R21</f>
        <v>3310769.7710456243</v>
      </c>
      <c r="P20" s="261">
        <f>[4]Production!S21</f>
        <v>3310769.7710456243</v>
      </c>
      <c r="Q20" s="260">
        <f t="shared" si="1"/>
        <v>0</v>
      </c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</row>
    <row r="21" spans="1:32" ht="12.75" customHeight="1">
      <c r="A21" s="263">
        <f>ROW()</f>
        <v>21</v>
      </c>
      <c r="B21" s="261"/>
      <c r="C21" s="261" t="s">
        <v>905</v>
      </c>
      <c r="E21" s="272">
        <f t="shared" si="0"/>
        <v>-523135.1091990553</v>
      </c>
      <c r="F21" s="261">
        <f>[4]Production!I22</f>
        <v>-47557.737199914118</v>
      </c>
      <c r="G21" s="261">
        <f>[4]Production!J22</f>
        <v>-47557.737199914118</v>
      </c>
      <c r="H21" s="261">
        <f>[4]Production!K22</f>
        <v>-47557.737199914118</v>
      </c>
      <c r="I21" s="261">
        <f>[4]Production!L22</f>
        <v>-47557.737199914118</v>
      </c>
      <c r="J21" s="261">
        <f>[4]Production!M22</f>
        <v>-47557.737199914118</v>
      </c>
      <c r="K21" s="261">
        <f>[4]Production!N22</f>
        <v>-47557.737199914118</v>
      </c>
      <c r="L21" s="261">
        <f>[4]Production!O22</f>
        <v>-47557.737199914118</v>
      </c>
      <c r="M21" s="261">
        <f>[4]Production!P22</f>
        <v>-47557.737199914118</v>
      </c>
      <c r="N21" s="261">
        <f>[4]Production!Q22</f>
        <v>-47557.737199914118</v>
      </c>
      <c r="O21" s="261">
        <f>[4]Production!R22</f>
        <v>-47557.737199914118</v>
      </c>
      <c r="P21" s="261">
        <f>[4]Production!S22</f>
        <v>-47557.737199914118</v>
      </c>
      <c r="Q21" s="260">
        <f t="shared" si="1"/>
        <v>0</v>
      </c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</row>
    <row r="22" spans="1:32" ht="12.75" customHeight="1">
      <c r="A22" s="263">
        <f>ROW()</f>
        <v>22</v>
      </c>
      <c r="B22" s="261"/>
      <c r="C22" s="261" t="s">
        <v>906</v>
      </c>
      <c r="E22" s="272">
        <f t="shared" si="0"/>
        <v>-468132.78971616447</v>
      </c>
      <c r="F22" s="261">
        <f>[4]Production!I23</f>
        <v>-167652.56655368014</v>
      </c>
      <c r="G22" s="261">
        <f>[4]Production!J23</f>
        <v>-127110.03030923659</v>
      </c>
      <c r="H22" s="261">
        <f>[4]Production!K23</f>
        <v>-37344.622002649769</v>
      </c>
      <c r="I22" s="261">
        <f>[4]Production!L23</f>
        <v>-502.6341644493686</v>
      </c>
      <c r="J22" s="261">
        <f>[4]Production!M23</f>
        <v>-83411.850537865917</v>
      </c>
      <c r="K22" s="261">
        <f>[4]Production!N23</f>
        <v>-3930.5387893963334</v>
      </c>
      <c r="L22" s="261">
        <f>[4]Production!O23</f>
        <v>-132.13072719205044</v>
      </c>
      <c r="M22" s="261">
        <f>[4]Production!P23</f>
        <v>-170.31762291276257</v>
      </c>
      <c r="N22" s="261">
        <f>[4]Production!Q23</f>
        <v>-29555.588331540283</v>
      </c>
      <c r="O22" s="261">
        <f>[4]Production!R23</f>
        <v>-10395.797027779459</v>
      </c>
      <c r="P22" s="261">
        <f>[4]Production!S23</f>
        <v>-7926.7136494618399</v>
      </c>
      <c r="Q22" s="260">
        <f t="shared" si="1"/>
        <v>0</v>
      </c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72"/>
    </row>
    <row r="23" spans="1:32" ht="12.75" customHeight="1">
      <c r="A23" s="263">
        <f>ROW()</f>
        <v>23</v>
      </c>
      <c r="B23" s="261"/>
      <c r="D23" s="271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</row>
    <row r="24" spans="1:32" ht="12.75" customHeight="1">
      <c r="A24" s="263">
        <f>ROW()</f>
        <v>24</v>
      </c>
      <c r="B24" s="261"/>
      <c r="C24" s="261" t="s">
        <v>499</v>
      </c>
      <c r="D24" s="271"/>
      <c r="E24" s="279">
        <f>SUM(E14:E22)</f>
        <v>1097703591.7045505</v>
      </c>
      <c r="F24" s="279">
        <f>SUM(F14:F22)</f>
        <v>341465964.06680053</v>
      </c>
      <c r="G24" s="279">
        <f t="shared" ref="G24:P24" si="2">SUM(G14:G22)</f>
        <v>287500888.30058283</v>
      </c>
      <c r="H24" s="279">
        <f t="shared" si="2"/>
        <v>92878335.391896904</v>
      </c>
      <c r="I24" s="279">
        <f t="shared" si="2"/>
        <v>9185165.2145523112</v>
      </c>
      <c r="J24" s="279">
        <f t="shared" si="2"/>
        <v>200177339.30901697</v>
      </c>
      <c r="K24" s="279">
        <f t="shared" si="2"/>
        <v>16742170.621516427</v>
      </c>
      <c r="L24" s="279">
        <f t="shared" si="2"/>
        <v>7844196.4935677927</v>
      </c>
      <c r="M24" s="279">
        <f t="shared" si="2"/>
        <v>8083794.756230752</v>
      </c>
      <c r="N24" s="279">
        <f t="shared" si="2"/>
        <v>72187790.683522999</v>
      </c>
      <c r="O24" s="279">
        <f t="shared" si="2"/>
        <v>31329441.016778417</v>
      </c>
      <c r="P24" s="279">
        <f t="shared" si="2"/>
        <v>30308505.850084513</v>
      </c>
      <c r="Q24" s="260">
        <f t="shared" si="1"/>
        <v>0</v>
      </c>
    </row>
    <row r="25" spans="1:32" ht="12.75" customHeight="1">
      <c r="A25" s="263">
        <f>ROW()</f>
        <v>25</v>
      </c>
      <c r="B25" s="261"/>
      <c r="C25" s="261"/>
      <c r="D25" s="271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</row>
    <row r="26" spans="1:32" ht="12.75" customHeight="1">
      <c r="A26" s="263">
        <f>ROW()</f>
        <v>26</v>
      </c>
      <c r="B26" s="261"/>
      <c r="C26" s="261"/>
      <c r="D26" s="271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</row>
    <row r="27" spans="1:32" ht="12.75" customHeight="1">
      <c r="A27" s="263">
        <f>ROW()</f>
        <v>27</v>
      </c>
      <c r="B27" s="261"/>
      <c r="C27" s="261" t="s">
        <v>867</v>
      </c>
      <c r="D27" s="271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</row>
    <row r="28" spans="1:32" ht="12.75" customHeight="1">
      <c r="A28" s="263">
        <f>ROW()</f>
        <v>28</v>
      </c>
      <c r="B28" s="261"/>
      <c r="C28" s="261" t="s">
        <v>907</v>
      </c>
      <c r="D28" s="271"/>
      <c r="E28" s="272" t="e">
        <f t="shared" ref="E28:E38" si="3">SUM(F28:P28)</f>
        <v>#DIV/0!</v>
      </c>
      <c r="F28" s="261" t="e">
        <f>[4]Production!I31</f>
        <v>#DIV/0!</v>
      </c>
      <c r="G28" s="261" t="e">
        <f>[4]Production!J31</f>
        <v>#DIV/0!</v>
      </c>
      <c r="H28" s="261" t="e">
        <f>[4]Production!K31</f>
        <v>#DIV/0!</v>
      </c>
      <c r="I28" s="261" t="e">
        <f>[4]Production!L31</f>
        <v>#DIV/0!</v>
      </c>
      <c r="J28" s="261" t="e">
        <f>[4]Production!M31</f>
        <v>#DIV/0!</v>
      </c>
      <c r="K28" s="261" t="e">
        <f>[4]Production!N31</f>
        <v>#DIV/0!</v>
      </c>
      <c r="L28" s="261" t="e">
        <f>[4]Production!O31</f>
        <v>#DIV/0!</v>
      </c>
      <c r="M28" s="261" t="e">
        <f>[4]Production!P31</f>
        <v>#DIV/0!</v>
      </c>
      <c r="N28" s="261" t="e">
        <f>[4]Production!Q31</f>
        <v>#DIV/0!</v>
      </c>
      <c r="O28" s="261" t="e">
        <f>[4]Production!R31</f>
        <v>#DIV/0!</v>
      </c>
      <c r="P28" s="261" t="e">
        <f>[4]Production!S31</f>
        <v>#DIV/0!</v>
      </c>
      <c r="Q28" s="260" t="e">
        <f t="shared" ref="Q28:Q38" si="4">ROUND(SUM(F28:P28)-E28,0)</f>
        <v>#DIV/0!</v>
      </c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</row>
    <row r="29" spans="1:32" ht="12.75" customHeight="1">
      <c r="A29" s="263">
        <f>ROW()</f>
        <v>29</v>
      </c>
      <c r="B29" s="261"/>
      <c r="C29" s="261" t="s">
        <v>908</v>
      </c>
      <c r="D29" s="271"/>
      <c r="E29" s="272">
        <f t="shared" si="3"/>
        <v>2897505.3864492686</v>
      </c>
      <c r="F29" s="261">
        <f>[4]Production!I32</f>
        <v>1312565.8436043197</v>
      </c>
      <c r="G29" s="261">
        <f>[4]Production!J32</f>
        <v>972514.77916679694</v>
      </c>
      <c r="H29" s="261">
        <f>[4]Production!K32</f>
        <v>219685.83669535353</v>
      </c>
      <c r="I29" s="261">
        <f>[4]Production!L32</f>
        <v>-89287.54386627175</v>
      </c>
      <c r="J29" s="261">
        <f>[4]Production!M32</f>
        <v>606017.70677390683</v>
      </c>
      <c r="K29" s="261">
        <f>[4]Production!N32</f>
        <v>-60539.534184907476</v>
      </c>
      <c r="L29" s="261">
        <f>[4]Production!O32</f>
        <v>-92394.099459063524</v>
      </c>
      <c r="M29" s="261">
        <f>[4]Production!P32</f>
        <v>-92074.017909261092</v>
      </c>
      <c r="N29" s="261">
        <f>[4]Production!Q32</f>
        <v>154368.74474899989</v>
      </c>
      <c r="O29" s="261">
        <f>[4]Production!R32</f>
        <v>-6319.7367421312374</v>
      </c>
      <c r="P29" s="261">
        <f>[4]Production!S32</f>
        <v>-27032.592378473171</v>
      </c>
      <c r="Q29" s="260">
        <f t="shared" si="4"/>
        <v>0</v>
      </c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</row>
    <row r="30" spans="1:32" ht="12.75" customHeight="1">
      <c r="A30" s="263">
        <f>ROW()</f>
        <v>30</v>
      </c>
      <c r="B30" s="261"/>
      <c r="C30" s="261" t="s">
        <v>909</v>
      </c>
      <c r="D30" s="271"/>
      <c r="E30" s="272">
        <f t="shared" si="3"/>
        <v>12824731.739600342</v>
      </c>
      <c r="F30" s="261">
        <f>[4]Production!I33</f>
        <v>4593048.9344133884</v>
      </c>
      <c r="G30" s="261">
        <f>[4]Production!J33</f>
        <v>3482241.2446819805</v>
      </c>
      <c r="H30" s="261">
        <f>[4]Production!K33</f>
        <v>1023057.1226358488</v>
      </c>
      <c r="I30" s="261">
        <f>[4]Production!L33</f>
        <v>13767.510154075382</v>
      </c>
      <c r="J30" s="261">
        <f>[4]Production!M33</f>
        <v>2285045.2678028438</v>
      </c>
      <c r="K30" s="261">
        <f>[4]Production!N33</f>
        <v>107675.49503673846</v>
      </c>
      <c r="L30" s="261">
        <f>[4]Production!O33</f>
        <v>3619.6641334809501</v>
      </c>
      <c r="M30" s="261">
        <f>[4]Production!P33</f>
        <v>4665.2395897725</v>
      </c>
      <c r="N30" s="261">
        <f>[4]Production!Q33</f>
        <v>809692.90886720316</v>
      </c>
      <c r="O30" s="261">
        <f>[4]Production!R33</f>
        <v>284789.38831255469</v>
      </c>
      <c r="P30" s="261">
        <f>[4]Production!S33</f>
        <v>217128.96397245582</v>
      </c>
      <c r="Q30" s="260">
        <f t="shared" si="4"/>
        <v>0</v>
      </c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</row>
    <row r="31" spans="1:32" ht="12.75" customHeight="1">
      <c r="A31" s="263">
        <f>ROW()</f>
        <v>31</v>
      </c>
      <c r="B31" s="261"/>
      <c r="C31" s="280" t="s">
        <v>597</v>
      </c>
      <c r="D31" s="271"/>
      <c r="E31" s="272">
        <f t="shared" si="3"/>
        <v>6844339.8756913533</v>
      </c>
      <c r="F31" s="261">
        <f>[4]Production!I34</f>
        <v>622212.71597194136</v>
      </c>
      <c r="G31" s="261">
        <f>[4]Production!J34</f>
        <v>622212.71597194136</v>
      </c>
      <c r="H31" s="261">
        <f>[4]Production!K34</f>
        <v>622212.71597194136</v>
      </c>
      <c r="I31" s="261">
        <f>[4]Production!L34</f>
        <v>622212.71597194136</v>
      </c>
      <c r="J31" s="261">
        <f>[4]Production!M34</f>
        <v>622212.71597194136</v>
      </c>
      <c r="K31" s="261">
        <f>[4]Production!N34</f>
        <v>622212.71597194136</v>
      </c>
      <c r="L31" s="261">
        <f>[4]Production!O34</f>
        <v>622212.71597194136</v>
      </c>
      <c r="M31" s="261">
        <f>[4]Production!P34</f>
        <v>622212.71597194136</v>
      </c>
      <c r="N31" s="261">
        <f>[4]Production!Q34</f>
        <v>622212.71597194136</v>
      </c>
      <c r="O31" s="261">
        <f>[4]Production!R34</f>
        <v>622212.71597194136</v>
      </c>
      <c r="P31" s="261">
        <f>[4]Production!S34</f>
        <v>622212.71597194136</v>
      </c>
      <c r="Q31" s="260">
        <f t="shared" si="4"/>
        <v>0</v>
      </c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</row>
    <row r="32" spans="1:32" ht="12.75" customHeight="1">
      <c r="A32" s="263">
        <f>ROW()</f>
        <v>32</v>
      </c>
      <c r="B32" s="261"/>
      <c r="C32" s="261" t="s">
        <v>614</v>
      </c>
      <c r="D32" s="271"/>
      <c r="E32" s="272">
        <f t="shared" si="3"/>
        <v>6416001.6940535158</v>
      </c>
      <c r="F32" s="261">
        <f>[4]Production!I35</f>
        <v>583595.76920133294</v>
      </c>
      <c r="G32" s="261">
        <f>[4]Production!J35</f>
        <v>583555.17753693822</v>
      </c>
      <c r="H32" s="261">
        <f>[4]Production!K35</f>
        <v>583268.74614622258</v>
      </c>
      <c r="I32" s="261">
        <f>[4]Production!L35</f>
        <v>583134.87661985517</v>
      </c>
      <c r="J32" s="261">
        <f>[4]Production!M35</f>
        <v>583457.12864670146</v>
      </c>
      <c r="K32" s="261">
        <f>[4]Production!N35</f>
        <v>583147.16190715227</v>
      </c>
      <c r="L32" s="261">
        <f>[4]Production!O35</f>
        <v>583131.92107114056</v>
      </c>
      <c r="M32" s="261">
        <f>[4]Production!P35</f>
        <v>583132.48155791394</v>
      </c>
      <c r="N32" s="261">
        <f>[4]Production!Q35</f>
        <v>583227.54084822314</v>
      </c>
      <c r="O32" s="261">
        <f>[4]Production!R35</f>
        <v>583172.50198525772</v>
      </c>
      <c r="P32" s="261">
        <f>[4]Production!S35</f>
        <v>583178.38853277813</v>
      </c>
      <c r="Q32" s="260">
        <f t="shared" si="4"/>
        <v>0</v>
      </c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</row>
    <row r="33" spans="1:32" ht="12.75" customHeight="1">
      <c r="A33" s="263">
        <f>ROW()</f>
        <v>33</v>
      </c>
      <c r="B33" s="261"/>
      <c r="C33" s="261" t="s">
        <v>603</v>
      </c>
      <c r="D33" s="271"/>
      <c r="E33" s="272">
        <f t="shared" si="3"/>
        <v>74344484.222343683</v>
      </c>
      <c r="F33" s="261">
        <f>[4]Production!I36</f>
        <v>22181777.623812795</v>
      </c>
      <c r="G33" s="261">
        <f>[4]Production!J36</f>
        <v>20242860.64608898</v>
      </c>
      <c r="H33" s="261">
        <f>[4]Production!K36</f>
        <v>6561069.2070521209</v>
      </c>
      <c r="I33" s="261">
        <f>[4]Production!L36</f>
        <v>166606.17272030748</v>
      </c>
      <c r="J33" s="261">
        <f>[4]Production!M36</f>
        <v>15559419.827341128</v>
      </c>
      <c r="K33" s="261">
        <f>[4]Production!N36</f>
        <v>753429.90788331046</v>
      </c>
      <c r="L33" s="261">
        <f>[4]Production!O36</f>
        <v>25430.301599588911</v>
      </c>
      <c r="M33" s="261">
        <f>[4]Production!P36</f>
        <v>52202.727340676051</v>
      </c>
      <c r="N33" s="261">
        <f>[4]Production!Q36</f>
        <v>4592841.1716965484</v>
      </c>
      <c r="O33" s="261">
        <f>[4]Production!R36</f>
        <v>1963833.7774493771</v>
      </c>
      <c r="P33" s="261">
        <f>[4]Production!S36</f>
        <v>2245012.8593588509</v>
      </c>
      <c r="Q33" s="260">
        <f t="shared" si="4"/>
        <v>0</v>
      </c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</row>
    <row r="34" spans="1:32" ht="12.75" customHeight="1">
      <c r="A34" s="263">
        <f>ROW()</f>
        <v>34</v>
      </c>
      <c r="B34" s="261"/>
      <c r="C34" s="261" t="s">
        <v>910</v>
      </c>
      <c r="D34" s="271"/>
      <c r="E34" s="272">
        <f t="shared" si="3"/>
        <v>83991403.024100229</v>
      </c>
      <c r="F34" s="261">
        <f>[4]Production!I37</f>
        <v>7635582.0931000207</v>
      </c>
      <c r="G34" s="261">
        <f>[4]Production!J37</f>
        <v>7635582.0931000207</v>
      </c>
      <c r="H34" s="261">
        <f>[4]Production!K37</f>
        <v>7635582.0931000207</v>
      </c>
      <c r="I34" s="261">
        <f>[4]Production!L37</f>
        <v>7635582.0931000207</v>
      </c>
      <c r="J34" s="261">
        <f>[4]Production!M37</f>
        <v>7635582.0931000207</v>
      </c>
      <c r="K34" s="261">
        <f>[4]Production!N37</f>
        <v>7635582.0931000207</v>
      </c>
      <c r="L34" s="261">
        <f>[4]Production!O37</f>
        <v>7635582.0931000207</v>
      </c>
      <c r="M34" s="261">
        <f>[4]Production!P37</f>
        <v>7635582.0931000207</v>
      </c>
      <c r="N34" s="261">
        <f>[4]Production!Q37</f>
        <v>7635582.0931000207</v>
      </c>
      <c r="O34" s="261">
        <f>[4]Production!R37</f>
        <v>7635582.0931000207</v>
      </c>
      <c r="P34" s="261">
        <f>[4]Production!S37</f>
        <v>7635582.0931000207</v>
      </c>
      <c r="Q34" s="260">
        <f t="shared" si="4"/>
        <v>0</v>
      </c>
      <c r="S34" s="272"/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</row>
    <row r="35" spans="1:32" ht="12.75" customHeight="1">
      <c r="A35" s="263">
        <f>ROW()</f>
        <v>35</v>
      </c>
      <c r="B35" s="261"/>
      <c r="C35" s="261" t="s">
        <v>620</v>
      </c>
      <c r="D35" s="271"/>
      <c r="E35" s="272">
        <f t="shared" si="3"/>
        <v>163979631.42995703</v>
      </c>
      <c r="F35" s="261">
        <f>[4]Production!I38</f>
        <v>25419978.857321568</v>
      </c>
      <c r="G35" s="261">
        <f>[4]Production!J38</f>
        <v>24098376.010591879</v>
      </c>
      <c r="H35" s="261">
        <f>[4]Production!K38</f>
        <v>14772605.633656887</v>
      </c>
      <c r="I35" s="261">
        <f>[4]Production!L38</f>
        <v>10414017.490598964</v>
      </c>
      <c r="J35" s="261">
        <f>[4]Production!M38</f>
        <v>20906053.29143475</v>
      </c>
      <c r="K35" s="261">
        <f>[4]Production!N38</f>
        <v>10814007.757242782</v>
      </c>
      <c r="L35" s="261">
        <f>[4]Production!O38</f>
        <v>10317789.320282089</v>
      </c>
      <c r="M35" s="261">
        <f>[4]Production!P38</f>
        <v>10336037.91703986</v>
      </c>
      <c r="N35" s="261">
        <f>[4]Production!Q38</f>
        <v>13431023.810183037</v>
      </c>
      <c r="O35" s="261">
        <f>[4]Production!R38</f>
        <v>11639042.154326189</v>
      </c>
      <c r="P35" s="261">
        <f>[4]Production!S38</f>
        <v>11830699.187279014</v>
      </c>
      <c r="Q35" s="260">
        <f t="shared" si="4"/>
        <v>0</v>
      </c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</row>
    <row r="36" spans="1:32" ht="12.75" customHeight="1">
      <c r="A36" s="263">
        <f>ROW()</f>
        <v>36</v>
      </c>
      <c r="B36" s="261"/>
      <c r="C36" s="261" t="s">
        <v>624</v>
      </c>
      <c r="E36" s="272">
        <f t="shared" si="3"/>
        <v>11554080.380459476</v>
      </c>
      <c r="F36" s="261">
        <f>[4]Production!I39</f>
        <v>3738043.302581972</v>
      </c>
      <c r="G36" s="261">
        <f>[4]Production!J39</f>
        <v>3184459.0936622703</v>
      </c>
      <c r="H36" s="261">
        <f>[4]Production!K39</f>
        <v>980493.36846763012</v>
      </c>
      <c r="I36" s="261">
        <f>[4]Production!L39</f>
        <v>20489.765337777477</v>
      </c>
      <c r="J36" s="261">
        <f>[4]Production!M39</f>
        <v>2226881.0859824629</v>
      </c>
      <c r="K36" s="261">
        <f>[4]Production!N39</f>
        <v>107241.86816811658</v>
      </c>
      <c r="L36" s="261">
        <f>[4]Production!O39</f>
        <v>3683.8935007428749</v>
      </c>
      <c r="M36" s="261">
        <f>[4]Production!P39</f>
        <v>6731.9236038876552</v>
      </c>
      <c r="N36" s="261">
        <f>[4]Production!Q39</f>
        <v>735051.30099035543</v>
      </c>
      <c r="O36" s="261">
        <f>[4]Production!R39</f>
        <v>275643.06275156274</v>
      </c>
      <c r="P36" s="261">
        <f>[4]Production!S39</f>
        <v>275361.71541269706</v>
      </c>
      <c r="Q36" s="260">
        <f t="shared" si="4"/>
        <v>0</v>
      </c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</row>
    <row r="37" spans="1:32" ht="12.75" customHeight="1">
      <c r="A37" s="263">
        <f>ROW()</f>
        <v>37</v>
      </c>
      <c r="B37" s="261"/>
      <c r="C37" s="261" t="s">
        <v>911</v>
      </c>
      <c r="D37" s="271"/>
      <c r="E37" s="272">
        <f t="shared" si="3"/>
        <v>0</v>
      </c>
      <c r="F37" s="261">
        <f>[4]Production!I40</f>
        <v>0</v>
      </c>
      <c r="G37" s="261">
        <f>[4]Production!J40</f>
        <v>0</v>
      </c>
      <c r="H37" s="261">
        <f>[4]Production!K40</f>
        <v>0</v>
      </c>
      <c r="I37" s="261">
        <f>[4]Production!L40</f>
        <v>0</v>
      </c>
      <c r="J37" s="261">
        <f>[4]Production!M40</f>
        <v>0</v>
      </c>
      <c r="K37" s="261">
        <f>[4]Production!N40</f>
        <v>0</v>
      </c>
      <c r="L37" s="261">
        <f>[4]Production!O40</f>
        <v>0</v>
      </c>
      <c r="M37" s="261">
        <f>[4]Production!P40</f>
        <v>0</v>
      </c>
      <c r="N37" s="261">
        <f>[4]Production!Q40</f>
        <v>0</v>
      </c>
      <c r="O37" s="261">
        <f>[4]Production!R40</f>
        <v>0</v>
      </c>
      <c r="P37" s="261">
        <f>[4]Production!S40</f>
        <v>0</v>
      </c>
      <c r="Q37" s="260">
        <f t="shared" si="4"/>
        <v>0</v>
      </c>
      <c r="S37" s="272"/>
      <c r="T37" s="272"/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</row>
    <row r="38" spans="1:32" ht="12.75" customHeight="1">
      <c r="A38" s="263">
        <f>ROW()</f>
        <v>38</v>
      </c>
      <c r="B38" s="261"/>
      <c r="C38" s="261" t="s">
        <v>637</v>
      </c>
      <c r="D38" s="271"/>
      <c r="E38" s="272">
        <f t="shared" si="3"/>
        <v>0</v>
      </c>
      <c r="F38" s="261">
        <f>[4]Production!I41</f>
        <v>0</v>
      </c>
      <c r="G38" s="261">
        <f>[4]Production!J41</f>
        <v>0</v>
      </c>
      <c r="H38" s="261">
        <f>[4]Production!K41</f>
        <v>0</v>
      </c>
      <c r="I38" s="261">
        <f>[4]Production!L41</f>
        <v>0</v>
      </c>
      <c r="J38" s="261">
        <f>[4]Production!M41</f>
        <v>0</v>
      </c>
      <c r="K38" s="261">
        <f>[4]Production!N41</f>
        <v>0</v>
      </c>
      <c r="L38" s="261">
        <f>[4]Production!O41</f>
        <v>0</v>
      </c>
      <c r="M38" s="261">
        <f>[4]Production!P41</f>
        <v>0</v>
      </c>
      <c r="N38" s="261">
        <f>[4]Production!Q41</f>
        <v>0</v>
      </c>
      <c r="O38" s="261">
        <f>[4]Production!R41</f>
        <v>0</v>
      </c>
      <c r="P38" s="261">
        <f>[4]Production!S41</f>
        <v>0</v>
      </c>
      <c r="Q38" s="260">
        <f t="shared" si="4"/>
        <v>0</v>
      </c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</row>
    <row r="39" spans="1:32" ht="12.75" customHeight="1">
      <c r="A39" s="263">
        <f>ROW()</f>
        <v>39</v>
      </c>
      <c r="B39" s="261"/>
      <c r="C39" s="261"/>
      <c r="D39" s="271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</row>
    <row r="40" spans="1:32" ht="12.75" customHeight="1">
      <c r="A40" s="263">
        <f>ROW()</f>
        <v>40</v>
      </c>
      <c r="B40" s="261"/>
      <c r="C40" s="261" t="s">
        <v>642</v>
      </c>
      <c r="D40" s="271"/>
      <c r="E40" s="279" t="e">
        <f>SUM(E28:E38)</f>
        <v>#DIV/0!</v>
      </c>
      <c r="F40" s="279" t="e">
        <f t="shared" ref="F40:P40" si="5">SUM(F28:F38)</f>
        <v>#DIV/0!</v>
      </c>
      <c r="G40" s="279" t="e">
        <f t="shared" si="5"/>
        <v>#DIV/0!</v>
      </c>
      <c r="H40" s="279" t="e">
        <f t="shared" si="5"/>
        <v>#DIV/0!</v>
      </c>
      <c r="I40" s="279" t="e">
        <f t="shared" si="5"/>
        <v>#DIV/0!</v>
      </c>
      <c r="J40" s="279" t="e">
        <f t="shared" si="5"/>
        <v>#DIV/0!</v>
      </c>
      <c r="K40" s="279" t="e">
        <f t="shared" si="5"/>
        <v>#DIV/0!</v>
      </c>
      <c r="L40" s="279" t="e">
        <f t="shared" si="5"/>
        <v>#DIV/0!</v>
      </c>
      <c r="M40" s="279" t="e">
        <f t="shared" si="5"/>
        <v>#DIV/0!</v>
      </c>
      <c r="N40" s="279" t="e">
        <f t="shared" si="5"/>
        <v>#DIV/0!</v>
      </c>
      <c r="O40" s="279" t="e">
        <f t="shared" si="5"/>
        <v>#DIV/0!</v>
      </c>
      <c r="P40" s="279" t="e">
        <f t="shared" si="5"/>
        <v>#DIV/0!</v>
      </c>
      <c r="Q40" s="260" t="e">
        <f>ROUND(SUM(F40:P40)-E40,0)</f>
        <v>#DIV/0!</v>
      </c>
    </row>
    <row r="41" spans="1:32" ht="12.75" customHeight="1">
      <c r="A41" s="263">
        <f>ROW()</f>
        <v>41</v>
      </c>
      <c r="B41" s="261"/>
      <c r="C41" s="261"/>
      <c r="D41" s="271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</row>
    <row r="42" spans="1:32" ht="12.75" customHeight="1">
      <c r="A42" s="263">
        <f>ROW()</f>
        <v>42</v>
      </c>
      <c r="B42" s="261"/>
      <c r="C42" s="261" t="s">
        <v>855</v>
      </c>
      <c r="D42" s="271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</row>
    <row r="43" spans="1:32" ht="12.75" customHeight="1">
      <c r="A43" s="263">
        <f>ROW()</f>
        <v>43</v>
      </c>
      <c r="B43" s="261"/>
      <c r="C43" s="261" t="s">
        <v>912</v>
      </c>
      <c r="D43" s="271"/>
      <c r="E43" s="272">
        <f>SUM(F43:P43)</f>
        <v>-2035308119.0681543</v>
      </c>
      <c r="F43" s="261">
        <f>[4]Production!I46</f>
        <v>-716188997.0963316</v>
      </c>
      <c r="G43" s="261">
        <f>[4]Production!J46</f>
        <v>-544062239.29189205</v>
      </c>
      <c r="H43" s="261">
        <f>[4]Production!K46</f>
        <v>-162896511.74395189</v>
      </c>
      <c r="I43" s="261">
        <f>[4]Production!L46</f>
        <v>-6451577.0829629665</v>
      </c>
      <c r="J43" s="261">
        <f>[4]Production!M46</f>
        <v>-358521600.8063221</v>
      </c>
      <c r="K43" s="261">
        <f>[4]Production!N46</f>
        <v>-21007697.927257583</v>
      </c>
      <c r="L43" s="261">
        <f>[4]Production!O46</f>
        <v>-4877796.175272312</v>
      </c>
      <c r="M43" s="261">
        <f>[4]Production!P46</f>
        <v>-5040078.9286070094</v>
      </c>
      <c r="N43" s="261">
        <f>[4]Production!Q46</f>
        <v>-129817465.21268846</v>
      </c>
      <c r="O43" s="261">
        <f>[4]Production!R46</f>
        <v>-48462171.374502413</v>
      </c>
      <c r="P43" s="261">
        <f>[4]Production!S46</f>
        <v>-37981983.428366125</v>
      </c>
      <c r="Q43" s="260">
        <f t="shared" ref="Q43:Q49" si="6">ROUND(SUM(F43:P43)-E43,0)</f>
        <v>0</v>
      </c>
    </row>
    <row r="44" spans="1:32" ht="12.75" customHeight="1">
      <c r="A44" s="263">
        <f>ROW()</f>
        <v>44</v>
      </c>
      <c r="B44" s="261"/>
      <c r="C44" s="261" t="s">
        <v>913</v>
      </c>
      <c r="D44" s="271"/>
      <c r="E44" s="272">
        <f t="shared" ref="E44:E49" si="7">SUM(F44:P44)</f>
        <v>-117825281.00421469</v>
      </c>
      <c r="F44" s="261">
        <f>[4]Production!I47</f>
        <v>-11118567.720264459</v>
      </c>
      <c r="G44" s="261">
        <f>[4]Production!J47</f>
        <v>-10974199.893033519</v>
      </c>
      <c r="H44" s="261">
        <f>[4]Production!K47</f>
        <v>-10692616.634915976</v>
      </c>
      <c r="I44" s="261">
        <f>[4]Production!L47</f>
        <v>-10580206.268005166</v>
      </c>
      <c r="J44" s="261">
        <f>[4]Production!M47</f>
        <v>-10829109.593750935</v>
      </c>
      <c r="K44" s="261">
        <f>[4]Production!N47</f>
        <v>-10590698.308574602</v>
      </c>
      <c r="L44" s="261">
        <f>[4]Production!O47</f>
        <v>-10579387.435508838</v>
      </c>
      <c r="M44" s="261">
        <f>[4]Production!P47</f>
        <v>-10579422.28370207</v>
      </c>
      <c r="N44" s="261">
        <f>[4]Production!Q47</f>
        <v>-10671349.723965952</v>
      </c>
      <c r="O44" s="261">
        <f>[4]Production!R47</f>
        <v>-10610066.947882947</v>
      </c>
      <c r="P44" s="261">
        <f>[4]Production!S47</f>
        <v>-10599656.194610214</v>
      </c>
      <c r="Q44" s="260">
        <f t="shared" si="6"/>
        <v>0</v>
      </c>
    </row>
    <row r="45" spans="1:32" ht="12.75" customHeight="1">
      <c r="A45" s="263">
        <f>ROW()</f>
        <v>45</v>
      </c>
      <c r="B45" s="261"/>
      <c r="C45" s="261" t="s">
        <v>914</v>
      </c>
      <c r="D45" s="271"/>
      <c r="E45" s="272">
        <f t="shared" si="7"/>
        <v>-516507627.46057272</v>
      </c>
      <c r="F45" s="261">
        <f>[4]Production!I48</f>
        <v>-48326126.066971362</v>
      </c>
      <c r="G45" s="261">
        <f>[4]Production!J48</f>
        <v>-47872556.576915585</v>
      </c>
      <c r="H45" s="261">
        <f>[4]Production!K48</f>
        <v>-46896762.563024238</v>
      </c>
      <c r="I45" s="261">
        <f>[4]Production!L48</f>
        <v>-46498633.459417768</v>
      </c>
      <c r="J45" s="261">
        <f>[4]Production!M48</f>
        <v>-47391544.189653099</v>
      </c>
      <c r="K45" s="261">
        <f>[4]Production!N48</f>
        <v>-46535701.421760902</v>
      </c>
      <c r="L45" s="261">
        <f>[4]Production!O48</f>
        <v>-46494862.633436322</v>
      </c>
      <c r="M45" s="261">
        <f>[4]Production!P48</f>
        <v>-46495214.240937382</v>
      </c>
      <c r="N45" s="261">
        <f>[4]Production!Q48</f>
        <v>-46814459.1840351</v>
      </c>
      <c r="O45" s="261">
        <f>[4]Production!R48</f>
        <v>-46605300.045104809</v>
      </c>
      <c r="P45" s="261">
        <f>[4]Production!S48</f>
        <v>-46576467.079316124</v>
      </c>
      <c r="Q45" s="260">
        <f t="shared" si="6"/>
        <v>0</v>
      </c>
    </row>
    <row r="46" spans="1:32" ht="12.75" customHeight="1">
      <c r="A46" s="263">
        <f>ROW()</f>
        <v>46</v>
      </c>
      <c r="B46" s="261"/>
      <c r="C46" s="261" t="s">
        <v>915</v>
      </c>
      <c r="D46" s="271"/>
      <c r="E46" s="272">
        <f t="shared" si="7"/>
        <v>-39787.654645400617</v>
      </c>
      <c r="F46" s="261">
        <f>[4]Production!I49</f>
        <v>-3617.0595132182375</v>
      </c>
      <c r="G46" s="261">
        <f>[4]Production!J49</f>
        <v>-3617.0595132182375</v>
      </c>
      <c r="H46" s="261">
        <f>[4]Production!K49</f>
        <v>-3617.0595132182375</v>
      </c>
      <c r="I46" s="261">
        <f>[4]Production!L49</f>
        <v>-3617.0595132182375</v>
      </c>
      <c r="J46" s="261">
        <f>[4]Production!M49</f>
        <v>-3617.0595132182375</v>
      </c>
      <c r="K46" s="261">
        <f>[4]Production!N49</f>
        <v>-3617.0595132182375</v>
      </c>
      <c r="L46" s="261">
        <f>[4]Production!O49</f>
        <v>-3617.0595132182375</v>
      </c>
      <c r="M46" s="261">
        <f>[4]Production!P49</f>
        <v>-3617.0595132182375</v>
      </c>
      <c r="N46" s="261">
        <f>[4]Production!Q49</f>
        <v>-3617.0595132182375</v>
      </c>
      <c r="O46" s="261">
        <f>[4]Production!R49</f>
        <v>-3617.0595132182375</v>
      </c>
      <c r="P46" s="261">
        <f>[4]Production!S49</f>
        <v>-3617.0595132182375</v>
      </c>
      <c r="Q46" s="260">
        <f t="shared" si="6"/>
        <v>0</v>
      </c>
    </row>
    <row r="47" spans="1:32" ht="12.75" customHeight="1">
      <c r="A47" s="263">
        <f>ROW()</f>
        <v>47</v>
      </c>
      <c r="B47" s="261"/>
      <c r="C47" s="261" t="s">
        <v>916</v>
      </c>
      <c r="D47" s="271"/>
      <c r="E47" s="272">
        <f t="shared" si="7"/>
        <v>0</v>
      </c>
      <c r="F47" s="261">
        <f>[4]Production!I50</f>
        <v>0</v>
      </c>
      <c r="G47" s="261">
        <f>[4]Production!J50</f>
        <v>0</v>
      </c>
      <c r="H47" s="261">
        <f>[4]Production!K50</f>
        <v>0</v>
      </c>
      <c r="I47" s="261">
        <f>[4]Production!L50</f>
        <v>0</v>
      </c>
      <c r="J47" s="261">
        <f>[4]Production!M50</f>
        <v>0</v>
      </c>
      <c r="K47" s="261">
        <f>[4]Production!N50</f>
        <v>0</v>
      </c>
      <c r="L47" s="261">
        <f>[4]Production!O50</f>
        <v>0</v>
      </c>
      <c r="M47" s="261">
        <f>[4]Production!P50</f>
        <v>0</v>
      </c>
      <c r="N47" s="261">
        <f>[4]Production!Q50</f>
        <v>0</v>
      </c>
      <c r="O47" s="261">
        <f>[4]Production!R50</f>
        <v>0</v>
      </c>
      <c r="P47" s="261">
        <f>[4]Production!S50</f>
        <v>0</v>
      </c>
      <c r="Q47" s="260">
        <f t="shared" si="6"/>
        <v>0</v>
      </c>
    </row>
    <row r="48" spans="1:32">
      <c r="A48" s="263">
        <f>ROW()</f>
        <v>48</v>
      </c>
      <c r="B48" s="261"/>
      <c r="C48" s="261" t="s">
        <v>643</v>
      </c>
      <c r="D48" s="271"/>
      <c r="E48" s="272">
        <f t="shared" si="7"/>
        <v>0</v>
      </c>
      <c r="F48" s="261">
        <f>[4]Production!I51</f>
        <v>0</v>
      </c>
      <c r="G48" s="261">
        <f>[4]Production!J51</f>
        <v>0</v>
      </c>
      <c r="H48" s="261">
        <f>[4]Production!K51</f>
        <v>0</v>
      </c>
      <c r="I48" s="261">
        <f>[4]Production!L51</f>
        <v>0</v>
      </c>
      <c r="J48" s="261">
        <f>[4]Production!M51</f>
        <v>0</v>
      </c>
      <c r="K48" s="261">
        <f>[4]Production!N51</f>
        <v>0</v>
      </c>
      <c r="L48" s="261">
        <f>[4]Production!O51</f>
        <v>0</v>
      </c>
      <c r="M48" s="261">
        <f>[4]Production!P51</f>
        <v>0</v>
      </c>
      <c r="N48" s="261">
        <f>[4]Production!Q51</f>
        <v>0</v>
      </c>
      <c r="O48" s="261">
        <f>[4]Production!R51</f>
        <v>0</v>
      </c>
      <c r="P48" s="261">
        <f>[4]Production!S51</f>
        <v>0</v>
      </c>
      <c r="Q48" s="260">
        <f t="shared" si="6"/>
        <v>0</v>
      </c>
    </row>
    <row r="49" spans="1:17">
      <c r="A49" s="263">
        <f>ROW()</f>
        <v>49</v>
      </c>
      <c r="B49" s="261"/>
      <c r="C49" s="261" t="s">
        <v>917</v>
      </c>
      <c r="D49" s="271"/>
      <c r="E49" s="272">
        <f t="shared" si="7"/>
        <v>-762957501.54247248</v>
      </c>
      <c r="F49" s="261">
        <f>[4]Production!I52</f>
        <v>-89137569.706360012</v>
      </c>
      <c r="G49" s="261">
        <f>[4]Production!J52</f>
        <v>-84793459.363951489</v>
      </c>
      <c r="H49" s="261">
        <f>[4]Production!K52</f>
        <v>-68836174.949482098</v>
      </c>
      <c r="I49" s="261">
        <f>[4]Production!L52</f>
        <v>-61760877.675069466</v>
      </c>
      <c r="J49" s="261">
        <f>[4]Production!M52</f>
        <v>-78360120.687326029</v>
      </c>
      <c r="K49" s="261">
        <f>[4]Production!N52</f>
        <v>-62413692.417776071</v>
      </c>
      <c r="L49" s="261">
        <f>[4]Production!O52</f>
        <v>-61637825.197600812</v>
      </c>
      <c r="M49" s="261">
        <f>[4]Production!P52</f>
        <v>-61658759.582693771</v>
      </c>
      <c r="N49" s="261">
        <f>[4]Production!Q52</f>
        <v>-66924214.062917382</v>
      </c>
      <c r="O49" s="261">
        <f>[4]Production!R52</f>
        <v>-63714901.602705017</v>
      </c>
      <c r="P49" s="261">
        <f>[4]Production!S52</f>
        <v>-63719906.296590403</v>
      </c>
      <c r="Q49" s="260">
        <f t="shared" si="6"/>
        <v>0</v>
      </c>
    </row>
    <row r="50" spans="1:17">
      <c r="A50" s="263">
        <f>ROW()</f>
        <v>50</v>
      </c>
      <c r="B50" s="261"/>
      <c r="C50" s="261"/>
      <c r="D50" s="271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</row>
    <row r="51" spans="1:17">
      <c r="A51" s="263">
        <f>ROW()</f>
        <v>51</v>
      </c>
      <c r="B51" s="261"/>
      <c r="C51" s="261" t="s">
        <v>672</v>
      </c>
      <c r="D51" s="271"/>
      <c r="E51" s="279">
        <f>SUM(E43:E49)</f>
        <v>-3432638316.7300596</v>
      </c>
      <c r="F51" s="279">
        <f t="shared" ref="F51:P51" si="8">SUM(F43:F49)</f>
        <v>-864774877.64944053</v>
      </c>
      <c r="G51" s="279">
        <f t="shared" si="8"/>
        <v>-687706072.18530583</v>
      </c>
      <c r="H51" s="279">
        <f t="shared" si="8"/>
        <v>-289325682.95088738</v>
      </c>
      <c r="I51" s="279">
        <f t="shared" si="8"/>
        <v>-125294911.54496858</v>
      </c>
      <c r="J51" s="279">
        <f t="shared" si="8"/>
        <v>-495105992.33656538</v>
      </c>
      <c r="K51" s="279">
        <f t="shared" si="8"/>
        <v>-140551407.13488236</v>
      </c>
      <c r="L51" s="279">
        <f t="shared" si="8"/>
        <v>-123593488.50133151</v>
      </c>
      <c r="M51" s="279">
        <f t="shared" si="8"/>
        <v>-123777092.09545344</v>
      </c>
      <c r="N51" s="279">
        <f t="shared" si="8"/>
        <v>-254231105.2431201</v>
      </c>
      <c r="O51" s="279">
        <f t="shared" si="8"/>
        <v>-169396057.02970839</v>
      </c>
      <c r="P51" s="279">
        <f t="shared" si="8"/>
        <v>-158881630.0583961</v>
      </c>
      <c r="Q51" s="260">
        <f>ROUND(SUM(F51:P51)-E51,0)</f>
        <v>0</v>
      </c>
    </row>
    <row r="52" spans="1:17">
      <c r="A52" s="263">
        <f>ROW()</f>
        <v>52</v>
      </c>
      <c r="B52" s="261"/>
      <c r="C52" s="261"/>
      <c r="D52" s="271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</row>
    <row r="53" spans="1:17" ht="13.5" thickBot="1">
      <c r="A53" s="263">
        <f>ROW()</f>
        <v>53</v>
      </c>
      <c r="B53" s="261"/>
      <c r="C53" s="261" t="s">
        <v>845</v>
      </c>
      <c r="D53" s="271"/>
      <c r="E53" s="281" t="e">
        <f>E40+E51</f>
        <v>#DIV/0!</v>
      </c>
      <c r="F53" s="281" t="e">
        <f t="shared" ref="F53:P53" si="9">F40+F51</f>
        <v>#DIV/0!</v>
      </c>
      <c r="G53" s="281" t="e">
        <f t="shared" si="9"/>
        <v>#DIV/0!</v>
      </c>
      <c r="H53" s="281" t="e">
        <f t="shared" si="9"/>
        <v>#DIV/0!</v>
      </c>
      <c r="I53" s="281" t="e">
        <f t="shared" si="9"/>
        <v>#DIV/0!</v>
      </c>
      <c r="J53" s="281" t="e">
        <f t="shared" si="9"/>
        <v>#DIV/0!</v>
      </c>
      <c r="K53" s="281" t="e">
        <f t="shared" si="9"/>
        <v>#DIV/0!</v>
      </c>
      <c r="L53" s="281" t="e">
        <f t="shared" si="9"/>
        <v>#DIV/0!</v>
      </c>
      <c r="M53" s="281" t="e">
        <f t="shared" si="9"/>
        <v>#DIV/0!</v>
      </c>
      <c r="N53" s="281" t="e">
        <f t="shared" si="9"/>
        <v>#DIV/0!</v>
      </c>
      <c r="O53" s="281" t="e">
        <f t="shared" si="9"/>
        <v>#DIV/0!</v>
      </c>
      <c r="P53" s="281" t="e">
        <f t="shared" si="9"/>
        <v>#DIV/0!</v>
      </c>
      <c r="Q53" s="260" t="e">
        <f>ROUND(SUM(F53:P53)-E53,0)</f>
        <v>#DIV/0!</v>
      </c>
    </row>
    <row r="54" spans="1:17" ht="13.5" thickTop="1">
      <c r="A54" s="263">
        <f>ROW()</f>
        <v>54</v>
      </c>
      <c r="B54" s="261"/>
      <c r="C54" s="261"/>
      <c r="D54" s="271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</row>
    <row r="55" spans="1:17">
      <c r="A55" s="263">
        <f>ROW()</f>
        <v>55</v>
      </c>
      <c r="B55" s="261"/>
      <c r="C55" s="280" t="s">
        <v>918</v>
      </c>
      <c r="D55" s="271"/>
      <c r="E55" s="282"/>
      <c r="F55" s="282">
        <f>'[4]Class Summary'!F59</f>
        <v>5.6357604475278253E-2</v>
      </c>
      <c r="G55" s="282">
        <f>'[4]Class Summary'!G59</f>
        <v>8.2020099439159791E-2</v>
      </c>
      <c r="H55" s="282">
        <f>'[4]Class Summary'!H59</f>
        <v>7.8211925467174342E-2</v>
      </c>
      <c r="I55" s="282">
        <f>'[4]Class Summary'!I59</f>
        <v>0.14801867864076429</v>
      </c>
      <c r="J55" s="282">
        <f>'[4]Class Summary'!J59</f>
        <v>6.2596212964216191E-2</v>
      </c>
      <c r="K55" s="282">
        <f>'[4]Class Summary'!K59</f>
        <v>6.7346419011661135E-2</v>
      </c>
      <c r="L55" s="282">
        <f>'[4]Class Summary'!L59</f>
        <v>8.750222466242473E-2</v>
      </c>
      <c r="M55" s="282">
        <f>'[4]Class Summary'!M59</f>
        <v>0.18734677978999126</v>
      </c>
      <c r="N55" s="282">
        <f>'[4]Class Summary'!N59</f>
        <v>8.6072134543170364E-2</v>
      </c>
      <c r="O55" s="282">
        <f>'[4]Class Summary'!O59</f>
        <v>4.8124327013229551E-2</v>
      </c>
      <c r="P55" s="282">
        <f>'[4]Class Summary'!P59</f>
        <v>7.6479042302476777E-2</v>
      </c>
    </row>
    <row r="56" spans="1:17">
      <c r="A56" s="263">
        <f>ROW()</f>
        <v>56</v>
      </c>
      <c r="B56" s="261"/>
    </row>
    <row r="57" spans="1:17">
      <c r="A57" s="263">
        <f>ROW()</f>
        <v>57</v>
      </c>
      <c r="B57" s="261"/>
      <c r="C57" s="261" t="s">
        <v>847</v>
      </c>
      <c r="D57" s="271">
        <f>'[4]P+T+D+R+M'!$H$59</f>
        <v>6.7805240282880597E-2</v>
      </c>
      <c r="E57" s="261" t="e">
        <f>$D$57*E53</f>
        <v>#DIV/0!</v>
      </c>
      <c r="F57" s="261" t="e">
        <f t="shared" ref="F57:P57" si="10">$D$57*F53</f>
        <v>#DIV/0!</v>
      </c>
      <c r="G57" s="261" t="e">
        <f t="shared" si="10"/>
        <v>#DIV/0!</v>
      </c>
      <c r="H57" s="261" t="e">
        <f t="shared" si="10"/>
        <v>#DIV/0!</v>
      </c>
      <c r="I57" s="261" t="e">
        <f t="shared" si="10"/>
        <v>#DIV/0!</v>
      </c>
      <c r="J57" s="261" t="e">
        <f t="shared" si="10"/>
        <v>#DIV/0!</v>
      </c>
      <c r="K57" s="261" t="e">
        <f t="shared" si="10"/>
        <v>#DIV/0!</v>
      </c>
      <c r="L57" s="261" t="e">
        <f t="shared" si="10"/>
        <v>#DIV/0!</v>
      </c>
      <c r="M57" s="261" t="e">
        <f t="shared" si="10"/>
        <v>#DIV/0!</v>
      </c>
      <c r="N57" s="261" t="e">
        <f t="shared" si="10"/>
        <v>#DIV/0!</v>
      </c>
      <c r="O57" s="261" t="e">
        <f t="shared" si="10"/>
        <v>#DIV/0!</v>
      </c>
      <c r="P57" s="261" t="e">
        <f t="shared" si="10"/>
        <v>#DIV/0!</v>
      </c>
      <c r="Q57" s="260" t="e">
        <f>ROUND(SUM(F57:P57)-E57,0)</f>
        <v>#DIV/0!</v>
      </c>
    </row>
    <row r="58" spans="1:17">
      <c r="A58" s="263">
        <f>ROW()</f>
        <v>58</v>
      </c>
      <c r="B58" s="261"/>
      <c r="C58" s="261" t="s">
        <v>499</v>
      </c>
      <c r="D58" s="271"/>
      <c r="E58" s="283" t="e">
        <f>SUM(F58:P58)</f>
        <v>#DIV/0!</v>
      </c>
      <c r="F58" s="283" t="e">
        <f>F24+((F57-(F53*F55))*(1/[4]Inputs!$H$20))-(F57-(F53*F55))</f>
        <v>#DIV/0!</v>
      </c>
      <c r="G58" s="283" t="e">
        <f>G24+((G57-(G53*G55))*(1/[4]Inputs!$H$20))-(G57-(G53*G55))</f>
        <v>#DIV/0!</v>
      </c>
      <c r="H58" s="283" t="e">
        <f>H24+((H57-(H53*H55))*(1/[4]Inputs!$H$20))-(H57-(H53*H55))</f>
        <v>#DIV/0!</v>
      </c>
      <c r="I58" s="283" t="e">
        <f>I24+((I57-(I53*I55))*(1/[4]Inputs!$H$20))-(I57-(I53*I55))</f>
        <v>#DIV/0!</v>
      </c>
      <c r="J58" s="283" t="e">
        <f>J24+((J57-(J53*J55))*(1/[4]Inputs!$H$20))-(J57-(J53*J55))</f>
        <v>#DIV/0!</v>
      </c>
      <c r="K58" s="283" t="e">
        <f>K24+((K57-(K53*K55))*(1/[4]Inputs!$H$20))-(K57-(K53*K55))</f>
        <v>#DIV/0!</v>
      </c>
      <c r="L58" s="283" t="e">
        <f>L24+((L57-(L53*L55))*(1/[4]Inputs!$H$20))-(L57-(L53*L55))</f>
        <v>#DIV/0!</v>
      </c>
      <c r="M58" s="283" t="e">
        <f>M24+((M57-(M53*M55))*(1/[4]Inputs!$H$20))-(M57-(M53*M55))</f>
        <v>#DIV/0!</v>
      </c>
      <c r="N58" s="283" t="e">
        <f>N24+((N57-(N53*N55))*(1/[4]Inputs!$H$20))-(N57-(N53*N55))</f>
        <v>#DIV/0!</v>
      </c>
      <c r="O58" s="283" t="e">
        <f>O24+((O57-(O53*O55))*(1/[4]Inputs!$H$20))-(O57-(O53*O55))</f>
        <v>#DIV/0!</v>
      </c>
      <c r="P58" s="283" t="e">
        <f>P24+((P57-(P53*P55))*(1/[4]Inputs!$H$20))-(P57-(P53*P55))</f>
        <v>#DIV/0!</v>
      </c>
      <c r="Q58" s="260" t="e">
        <f>ROUND(SUM(F58:P58)-E58,0)</f>
        <v>#DIV/0!</v>
      </c>
    </row>
    <row r="59" spans="1:17">
      <c r="A59" s="263">
        <f>ROW()</f>
        <v>59</v>
      </c>
      <c r="B59" s="261"/>
      <c r="C59" s="261" t="s">
        <v>833</v>
      </c>
      <c r="D59" s="271"/>
      <c r="E59" s="284" t="e">
        <f>[4]Production!H97</f>
        <v>#VALUE!</v>
      </c>
      <c r="F59" s="284">
        <f>[4]Production!I97</f>
        <v>-64421461.478401653</v>
      </c>
      <c r="G59" s="284">
        <f>[4]Production!J97</f>
        <v>-50122131.884724677</v>
      </c>
      <c r="H59" s="284">
        <f>[4]Production!K97</f>
        <v>-14873549.666848054</v>
      </c>
      <c r="I59" s="284">
        <f>[4]Production!L97</f>
        <v>-221671.7646000064</v>
      </c>
      <c r="J59" s="284">
        <f>[4]Production!M97</f>
        <v>-33330127.696447533</v>
      </c>
      <c r="K59" s="284">
        <f>[4]Production!N97</f>
        <v>-1576191.662403581</v>
      </c>
      <c r="L59" s="284">
        <f>[4]Production!O97</f>
        <v>-53268.692358364155</v>
      </c>
      <c r="M59" s="284">
        <f>[4]Production!P97</f>
        <v>-75680.195880809159</v>
      </c>
      <c r="N59" s="284">
        <f>[4]Production!Q97</f>
        <v>-11631471.935695343</v>
      </c>
      <c r="O59" s="284">
        <f>[4]Production!R97</f>
        <v>-4144398.1598415128</v>
      </c>
      <c r="P59" s="284">
        <f>[4]Production!S97</f>
        <v>-3379646.8829912785</v>
      </c>
      <c r="Q59" s="260" t="e">
        <f>ROUND(SUM(F59:P59)-E59,0)</f>
        <v>#VALUE!</v>
      </c>
    </row>
    <row r="60" spans="1:17">
      <c r="A60" s="263">
        <f>ROW()</f>
        <v>60</v>
      </c>
    </row>
    <row r="61" spans="1:17">
      <c r="A61" s="263">
        <f>ROW()</f>
        <v>61</v>
      </c>
      <c r="B61" s="261"/>
      <c r="C61" s="261" t="s">
        <v>832</v>
      </c>
      <c r="D61" s="271"/>
      <c r="E61" s="283" t="e">
        <f>SUM(E57:E59)</f>
        <v>#DIV/0!</v>
      </c>
      <c r="F61" s="283" t="e">
        <f t="shared" ref="F61:P61" si="11">SUM(F57:F59)</f>
        <v>#DIV/0!</v>
      </c>
      <c r="G61" s="283" t="e">
        <f t="shared" si="11"/>
        <v>#DIV/0!</v>
      </c>
      <c r="H61" s="283" t="e">
        <f t="shared" si="11"/>
        <v>#DIV/0!</v>
      </c>
      <c r="I61" s="283" t="e">
        <f t="shared" si="11"/>
        <v>#DIV/0!</v>
      </c>
      <c r="J61" s="283" t="e">
        <f t="shared" si="11"/>
        <v>#DIV/0!</v>
      </c>
      <c r="K61" s="283" t="e">
        <f t="shared" si="11"/>
        <v>#DIV/0!</v>
      </c>
      <c r="L61" s="283" t="e">
        <f t="shared" si="11"/>
        <v>#DIV/0!</v>
      </c>
      <c r="M61" s="283" t="e">
        <f t="shared" si="11"/>
        <v>#DIV/0!</v>
      </c>
      <c r="N61" s="283" t="e">
        <f t="shared" si="11"/>
        <v>#DIV/0!</v>
      </c>
      <c r="O61" s="283" t="e">
        <f t="shared" si="11"/>
        <v>#DIV/0!</v>
      </c>
      <c r="P61" s="283" t="e">
        <f t="shared" si="11"/>
        <v>#DIV/0!</v>
      </c>
      <c r="Q61" s="260" t="e">
        <f>ROUND(SUM(F61:P61)-E61,0)</f>
        <v>#DIV/0!</v>
      </c>
    </row>
    <row r="62" spans="1:17">
      <c r="A62" s="263">
        <f>ROW()</f>
        <v>62</v>
      </c>
      <c r="Q62" s="260">
        <f>ROUND(SUM(F62:P62)-E62,0)</f>
        <v>0</v>
      </c>
    </row>
    <row r="63" spans="1:17">
      <c r="A63" s="263">
        <f>ROW()</f>
        <v>63</v>
      </c>
    </row>
    <row r="64" spans="1:17">
      <c r="A64" s="263">
        <f>ROW()</f>
        <v>64</v>
      </c>
      <c r="C64" s="261" t="s">
        <v>919</v>
      </c>
      <c r="D64" s="271">
        <f>[4]Inputs!L6</f>
        <v>7.7030070290040428E-2</v>
      </c>
      <c r="E64" s="261" t="e">
        <f>$D64*E53</f>
        <v>#DIV/0!</v>
      </c>
      <c r="F64" s="261" t="e">
        <f t="shared" ref="F64:P64" si="12">$D64*F53</f>
        <v>#DIV/0!</v>
      </c>
      <c r="G64" s="261" t="e">
        <f t="shared" si="12"/>
        <v>#DIV/0!</v>
      </c>
      <c r="H64" s="261" t="e">
        <f t="shared" si="12"/>
        <v>#DIV/0!</v>
      </c>
      <c r="I64" s="261" t="e">
        <f t="shared" si="12"/>
        <v>#DIV/0!</v>
      </c>
      <c r="J64" s="261" t="e">
        <f t="shared" si="12"/>
        <v>#DIV/0!</v>
      </c>
      <c r="K64" s="261" t="e">
        <f t="shared" si="12"/>
        <v>#DIV/0!</v>
      </c>
      <c r="L64" s="261" t="e">
        <f t="shared" si="12"/>
        <v>#DIV/0!</v>
      </c>
      <c r="M64" s="261" t="e">
        <f t="shared" si="12"/>
        <v>#DIV/0!</v>
      </c>
      <c r="N64" s="261" t="e">
        <f t="shared" si="12"/>
        <v>#DIV/0!</v>
      </c>
      <c r="O64" s="261" t="e">
        <f t="shared" si="12"/>
        <v>#DIV/0!</v>
      </c>
      <c r="P64" s="261" t="e">
        <f t="shared" si="12"/>
        <v>#DIV/0!</v>
      </c>
      <c r="Q64" s="260" t="e">
        <f>ROUND(SUM(F64:P64)-E64,0)</f>
        <v>#DIV/0!</v>
      </c>
    </row>
    <row r="65" spans="1:17">
      <c r="A65" s="263">
        <f>ROW()</f>
        <v>65</v>
      </c>
      <c r="C65" s="261" t="s">
        <v>920</v>
      </c>
      <c r="D65" s="271"/>
      <c r="E65" s="283" t="e">
        <f>SUM(F65:P65)</f>
        <v>#DIV/0!</v>
      </c>
      <c r="F65" s="283" t="e">
        <f>F58+((F64-F57)*(1/[4]Inputs!$H$20))-(F64-F57)</f>
        <v>#DIV/0!</v>
      </c>
      <c r="G65" s="283" t="e">
        <f>G58+((G64-G57)*(1/[4]Inputs!$H$20))-(G64-G57)</f>
        <v>#DIV/0!</v>
      </c>
      <c r="H65" s="283" t="e">
        <f>H58+((H64-H57)*(1/[4]Inputs!$H$20))-(H64-H57)</f>
        <v>#DIV/0!</v>
      </c>
      <c r="I65" s="283" t="e">
        <f>I58+((I64-I57)*(1/[4]Inputs!$H$20))-(I64-I57)</f>
        <v>#DIV/0!</v>
      </c>
      <c r="J65" s="283" t="e">
        <f>J58+((J64-J57)*(1/[4]Inputs!$H$20))-(J64-J57)</f>
        <v>#DIV/0!</v>
      </c>
      <c r="K65" s="283" t="e">
        <f>K58+((K64-K57)*(1/[4]Inputs!$H$20))-(K64-K57)</f>
        <v>#DIV/0!</v>
      </c>
      <c r="L65" s="283" t="e">
        <f>L58+((L64-L57)*(1/[4]Inputs!$H$20))-(L64-L57)</f>
        <v>#DIV/0!</v>
      </c>
      <c r="M65" s="283" t="e">
        <f>M58+((M64-M57)*(1/[4]Inputs!$H$20))-(M64-M57)</f>
        <v>#DIV/0!</v>
      </c>
      <c r="N65" s="283" t="e">
        <f>N58+((N64-N57)*(1/[4]Inputs!$H$20))-(N64-N57)</f>
        <v>#DIV/0!</v>
      </c>
      <c r="O65" s="283" t="e">
        <f>O58+((O64-O57)*(1/[4]Inputs!$H$20))-(O64-O57)</f>
        <v>#DIV/0!</v>
      </c>
      <c r="P65" s="283" t="e">
        <f>P58+((P64-P57)*(1/[4]Inputs!$H$20))-(P64-P57)</f>
        <v>#DIV/0!</v>
      </c>
      <c r="Q65" s="260" t="e">
        <f>ROUND(SUM(F65:P65)-E65,0)</f>
        <v>#DIV/0!</v>
      </c>
    </row>
    <row r="66" spans="1:17">
      <c r="A66" s="263">
        <f>ROW()</f>
        <v>66</v>
      </c>
      <c r="C66" s="261" t="s">
        <v>833</v>
      </c>
      <c r="D66" s="271"/>
      <c r="E66" s="284" t="e">
        <f>E59</f>
        <v>#VALUE!</v>
      </c>
      <c r="F66" s="284">
        <f t="shared" ref="F66:P66" si="13">F59</f>
        <v>-64421461.478401653</v>
      </c>
      <c r="G66" s="284">
        <f t="shared" si="13"/>
        <v>-50122131.884724677</v>
      </c>
      <c r="H66" s="284">
        <f t="shared" si="13"/>
        <v>-14873549.666848054</v>
      </c>
      <c r="I66" s="284">
        <f t="shared" si="13"/>
        <v>-221671.7646000064</v>
      </c>
      <c r="J66" s="284">
        <f t="shared" si="13"/>
        <v>-33330127.696447533</v>
      </c>
      <c r="K66" s="284">
        <f t="shared" si="13"/>
        <v>-1576191.662403581</v>
      </c>
      <c r="L66" s="284">
        <f t="shared" si="13"/>
        <v>-53268.692358364155</v>
      </c>
      <c r="M66" s="284">
        <f t="shared" si="13"/>
        <v>-75680.195880809159</v>
      </c>
      <c r="N66" s="284">
        <f t="shared" si="13"/>
        <v>-11631471.935695343</v>
      </c>
      <c r="O66" s="284">
        <f t="shared" si="13"/>
        <v>-4144398.1598415128</v>
      </c>
      <c r="P66" s="284">
        <f t="shared" si="13"/>
        <v>-3379646.8829912785</v>
      </c>
      <c r="Q66" s="260" t="e">
        <f>ROUND(SUM(F66:P66)-E66,0)</f>
        <v>#VALUE!</v>
      </c>
    </row>
    <row r="67" spans="1:17">
      <c r="A67" s="263">
        <f>ROW()</f>
        <v>67</v>
      </c>
    </row>
    <row r="68" spans="1:17">
      <c r="A68" s="263">
        <f>ROW()</f>
        <v>68</v>
      </c>
      <c r="C68" s="261" t="s">
        <v>921</v>
      </c>
      <c r="D68" s="271"/>
      <c r="E68" s="283" t="e">
        <f>SUM(E64:E66)</f>
        <v>#DIV/0!</v>
      </c>
      <c r="F68" s="283" t="e">
        <f t="shared" ref="F68:P68" si="14">SUM(F64:F66)</f>
        <v>#DIV/0!</v>
      </c>
      <c r="G68" s="283" t="e">
        <f t="shared" si="14"/>
        <v>#DIV/0!</v>
      </c>
      <c r="H68" s="283" t="e">
        <f t="shared" si="14"/>
        <v>#DIV/0!</v>
      </c>
      <c r="I68" s="283" t="e">
        <f t="shared" si="14"/>
        <v>#DIV/0!</v>
      </c>
      <c r="J68" s="283" t="e">
        <f t="shared" si="14"/>
        <v>#DIV/0!</v>
      </c>
      <c r="K68" s="283" t="e">
        <f t="shared" si="14"/>
        <v>#DIV/0!</v>
      </c>
      <c r="L68" s="283" t="e">
        <f t="shared" si="14"/>
        <v>#DIV/0!</v>
      </c>
      <c r="M68" s="283" t="e">
        <f t="shared" si="14"/>
        <v>#DIV/0!</v>
      </c>
      <c r="N68" s="283" t="e">
        <f t="shared" si="14"/>
        <v>#DIV/0!</v>
      </c>
      <c r="O68" s="283" t="e">
        <f t="shared" si="14"/>
        <v>#DIV/0!</v>
      </c>
      <c r="P68" s="283" t="e">
        <f t="shared" si="14"/>
        <v>#DIV/0!</v>
      </c>
      <c r="Q68" s="260" t="e">
        <f>ROUND(SUM(F68:P68)-E68,0)</f>
        <v>#DIV/0!</v>
      </c>
    </row>
    <row r="69" spans="1:17">
      <c r="C69" s="285"/>
    </row>
    <row r="70" spans="1:17">
      <c r="A70" s="263"/>
      <c r="B70" s="264"/>
      <c r="C70" s="264" t="str">
        <f>[4]Inputs!$C$4</f>
        <v>Rocky Mountain Power</v>
      </c>
      <c r="D70" s="265"/>
      <c r="E70" s="266"/>
      <c r="F70" s="264"/>
      <c r="G70" s="266"/>
      <c r="H70" s="266"/>
      <c r="I70" s="266"/>
      <c r="J70" s="264"/>
      <c r="K70" s="264"/>
      <c r="L70" s="264"/>
      <c r="M70" s="264"/>
      <c r="N70" s="264"/>
      <c r="O70" s="266"/>
      <c r="P70" s="266"/>
    </row>
    <row r="71" spans="1:17">
      <c r="A71" s="263"/>
      <c r="B71" s="264"/>
      <c r="C71" s="266" t="s">
        <v>922</v>
      </c>
      <c r="D71" s="265"/>
      <c r="E71" s="266"/>
      <c r="F71" s="264"/>
      <c r="G71" s="266"/>
      <c r="H71" s="264"/>
      <c r="I71" s="264"/>
      <c r="J71" s="264"/>
      <c r="K71" s="264"/>
      <c r="L71" s="264"/>
      <c r="M71" s="264"/>
      <c r="N71" s="264"/>
      <c r="O71" s="266"/>
      <c r="P71" s="266"/>
    </row>
    <row r="72" spans="1:17">
      <c r="A72" s="263"/>
      <c r="B72" s="264"/>
      <c r="C72" s="264" t="str">
        <f>[4]Inputs!$C$5</f>
        <v>State of Utah</v>
      </c>
      <c r="D72" s="265"/>
      <c r="E72" s="266"/>
      <c r="F72" s="264"/>
      <c r="G72" s="266"/>
      <c r="H72" s="264"/>
      <c r="I72" s="264"/>
      <c r="J72" s="264"/>
      <c r="K72" s="264"/>
      <c r="L72" s="264"/>
      <c r="M72" s="264"/>
      <c r="N72" s="264"/>
      <c r="O72" s="266"/>
      <c r="P72" s="266"/>
    </row>
    <row r="73" spans="1:17">
      <c r="A73" s="263"/>
      <c r="B73" s="264"/>
      <c r="C73" s="264" t="str">
        <f>[4]Inputs!$C$7</f>
        <v>2020 Protocol (Non Wgt)</v>
      </c>
      <c r="D73" s="265"/>
      <c r="E73" s="266"/>
      <c r="F73" s="264"/>
      <c r="G73" s="266"/>
      <c r="H73" s="264"/>
      <c r="I73" s="264"/>
      <c r="J73" s="264"/>
      <c r="K73" s="264"/>
      <c r="L73" s="264"/>
      <c r="M73" s="264"/>
      <c r="N73" s="264"/>
      <c r="O73" s="264"/>
      <c r="P73" s="264"/>
    </row>
    <row r="74" spans="1:17">
      <c r="A74" s="263"/>
      <c r="B74" s="267"/>
      <c r="C74" s="264" t="str">
        <f>[4]Inputs!C6</f>
        <v>12 Months Ended Dec 2021</v>
      </c>
      <c r="D74" s="265"/>
      <c r="E74" s="266"/>
      <c r="F74" s="264"/>
      <c r="G74" s="266"/>
      <c r="H74" s="264"/>
      <c r="I74" s="264"/>
      <c r="J74" s="264"/>
      <c r="K74" s="264"/>
      <c r="L74" s="264"/>
      <c r="M74" s="264"/>
      <c r="N74" s="264"/>
      <c r="O74" s="264"/>
      <c r="P74" s="264"/>
    </row>
    <row r="75" spans="1:17">
      <c r="A75" s="263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</row>
    <row r="76" spans="1:17">
      <c r="A76" s="263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</row>
    <row r="77" spans="1:17">
      <c r="A77" s="263"/>
      <c r="B77" s="261"/>
      <c r="C77" s="269" t="s">
        <v>887</v>
      </c>
      <c r="D77" s="270" t="s">
        <v>888</v>
      </c>
      <c r="E77" s="269" t="s">
        <v>889</v>
      </c>
      <c r="F77" s="269" t="s">
        <v>789</v>
      </c>
      <c r="G77" s="269" t="s">
        <v>890</v>
      </c>
      <c r="H77" s="269" t="s">
        <v>891</v>
      </c>
      <c r="I77" s="269" t="s">
        <v>164</v>
      </c>
      <c r="J77" s="269" t="s">
        <v>892</v>
      </c>
      <c r="K77" s="269" t="s">
        <v>893</v>
      </c>
      <c r="L77" s="269" t="s">
        <v>894</v>
      </c>
      <c r="M77" s="269" t="s">
        <v>895</v>
      </c>
      <c r="N77" s="269" t="s">
        <v>896</v>
      </c>
      <c r="O77" s="269" t="s">
        <v>897</v>
      </c>
      <c r="P77" s="269" t="s">
        <v>898</v>
      </c>
      <c r="Q77" s="269"/>
    </row>
    <row r="78" spans="1:17">
      <c r="A78" s="263"/>
      <c r="B78" s="261"/>
      <c r="C78" s="261"/>
      <c r="D78" s="271"/>
      <c r="E78" s="269"/>
      <c r="F78" s="272"/>
      <c r="G78" s="263"/>
      <c r="H78" s="263"/>
      <c r="I78" s="263"/>
      <c r="J78" s="263"/>
      <c r="K78" s="272"/>
      <c r="L78" s="263"/>
      <c r="M78" s="263"/>
      <c r="N78" s="263"/>
      <c r="O78" s="268"/>
      <c r="P78" s="268"/>
      <c r="Q78" s="273" t="s">
        <v>899</v>
      </c>
    </row>
    <row r="79" spans="1:17" ht="38.25">
      <c r="A79" s="263"/>
      <c r="B79" s="274"/>
      <c r="C79" s="275" t="s">
        <v>900</v>
      </c>
      <c r="D79" s="276"/>
      <c r="E79" s="277" t="str">
        <f>'[4]P+T+D+R+M'!H$10</f>
        <v>Utah
Jurisdiction
Normalized</v>
      </c>
      <c r="F79" s="277" t="str">
        <f>'[4]P+T+D+R+M'!I$10</f>
        <v>Residential
Sch 1</v>
      </c>
      <c r="G79" s="277" t="str">
        <f>'[4]P+T+D+R+M'!J$10</f>
        <v>General
Large Dist.
Sch 6</v>
      </c>
      <c r="H79" s="277" t="str">
        <f>'[4]P+T+D+R+M'!K$10</f>
        <v>General
+1 MW
Sch 8</v>
      </c>
      <c r="I79" s="277" t="str">
        <f>'[4]P+T+D+R+M'!L$10</f>
        <v>Street &amp; Area
Lighting
Sch. 7,11,12</v>
      </c>
      <c r="J79" s="277" t="str">
        <f>'[4]P+T+D+R+M'!M$10</f>
        <v>General
Trans
Sch 9</v>
      </c>
      <c r="K79" s="277" t="str">
        <f>'[4]P+T+D+R+M'!N$10</f>
        <v>Irrigation
Sch 10</v>
      </c>
      <c r="L79" s="277" t="str">
        <f>'[4]P+T+D+R+M'!O$10</f>
        <v>Traffic
Signals
Sch 15</v>
      </c>
      <c r="M79" s="277" t="str">
        <f>'[4]P+T+D+R+M'!P$10</f>
        <v>Outdoor
Lighting
Sch 15</v>
      </c>
      <c r="N79" s="277" t="str">
        <f>'[4]P+T+D+R+M'!Q$10</f>
        <v>General
Small Dist.
Sch 23</v>
      </c>
      <c r="O79" s="277" t="str">
        <f>'[4]P+T+D+R+M'!R$10</f>
        <v>Industrial
Cust 1</v>
      </c>
      <c r="P79" s="277" t="str">
        <f>'[4]P+T+D+R+M'!S$10</f>
        <v>Industrial
Cust 2</v>
      </c>
      <c r="Q79" s="278" t="e">
        <f>ROUND(SUM(Q84:Q138),0)</f>
        <v>#DIV/0!</v>
      </c>
    </row>
    <row r="80" spans="1:17">
      <c r="A80" s="263"/>
      <c r="B80" s="274"/>
      <c r="C80" s="275"/>
      <c r="D80" s="276"/>
      <c r="E80" s="275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3"/>
    </row>
    <row r="81" spans="1:17">
      <c r="A81" s="263"/>
      <c r="B81" s="274"/>
      <c r="C81" s="280" t="s">
        <v>480</v>
      </c>
      <c r="D81" s="276"/>
      <c r="E81" s="269">
        <f>'[4]Production-Demand Variable'!H12</f>
        <v>97766002.99455604</v>
      </c>
      <c r="F81" s="269">
        <f>'[4]Production-Demand Variable'!I12</f>
        <v>35013912.570930332</v>
      </c>
      <c r="G81" s="269">
        <f>'[4]Production-Demand Variable'!J12</f>
        <v>26545959.390644882</v>
      </c>
      <c r="H81" s="269">
        <f>'[4]Production-Demand Variable'!K12</f>
        <v>7799009.5813368782</v>
      </c>
      <c r="I81" s="269">
        <f>'[4]Production-Demand Variable'!L12</f>
        <v>104953.02874794163</v>
      </c>
      <c r="J81" s="269">
        <f>'[4]Production-Demand Variable'!M12</f>
        <v>17419447.597870052</v>
      </c>
      <c r="K81" s="269">
        <f>'[4]Production-Demand Variable'!N12</f>
        <v>820836.09887111199</v>
      </c>
      <c r="L81" s="269">
        <f>'[4]Production-Demand Variable'!O12</f>
        <v>27593.566999960793</v>
      </c>
      <c r="M81" s="269">
        <f>'[4]Production-Demand Variable'!P12</f>
        <v>35564.239234389861</v>
      </c>
      <c r="N81" s="269">
        <f>'[4]Production-Demand Variable'!Q12</f>
        <v>6172483.0554193454</v>
      </c>
      <c r="O81" s="269">
        <f>'[4]Production-Demand Variable'!R12</f>
        <v>2171017.7457053508</v>
      </c>
      <c r="P81" s="269">
        <f>'[4]Production-Demand Variable'!S12</f>
        <v>1655226.1187957977</v>
      </c>
      <c r="Q81" s="283"/>
    </row>
    <row r="82" spans="1:17">
      <c r="A82" s="263"/>
      <c r="B82" s="261"/>
      <c r="C82" s="261"/>
      <c r="D82" s="271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</row>
    <row r="83" spans="1:17">
      <c r="A83" s="263">
        <f>ROW()</f>
        <v>83</v>
      </c>
      <c r="B83" s="261"/>
      <c r="C83" s="261" t="s">
        <v>878</v>
      </c>
      <c r="D83" s="271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</row>
    <row r="84" spans="1:17">
      <c r="A84" s="263">
        <f>ROW()</f>
        <v>84</v>
      </c>
      <c r="B84" s="261"/>
      <c r="C84" s="261" t="s">
        <v>901</v>
      </c>
      <c r="D84" s="271"/>
      <c r="E84" s="272">
        <f t="shared" ref="E84:E92" si="15">SUM(F84:P84)</f>
        <v>182419845.49677792</v>
      </c>
      <c r="F84" s="261">
        <f>'[4]Production-Demand Variable'!I15</f>
        <v>65331836.484943196</v>
      </c>
      <c r="G84" s="261">
        <f>'[4]Production-Demand Variable'!J15</f>
        <v>49531633.310966268</v>
      </c>
      <c r="H84" s="261">
        <f>'[4]Production-Demand Variable'!K15</f>
        <v>14552033.214803562</v>
      </c>
      <c r="I84" s="261">
        <f>'[4]Production-Demand Variable'!L15</f>
        <v>195829.98897566152</v>
      </c>
      <c r="J84" s="261">
        <f>'[4]Production-Demand Variable'!M15</f>
        <v>32502637.339276485</v>
      </c>
      <c r="K84" s="261">
        <f>'[4]Production-Demand Variable'!N15</f>
        <v>1531583.4722483649</v>
      </c>
      <c r="L84" s="261">
        <f>'[4]Production-Demand Variable'!O15</f>
        <v>51486.345709746645</v>
      </c>
      <c r="M84" s="261">
        <f>'[4]Production-Demand Variable'!P15</f>
        <v>66358.681214666212</v>
      </c>
      <c r="N84" s="261">
        <f>'[4]Production-Demand Variable'!Q15</f>
        <v>11517126.309886837</v>
      </c>
      <c r="O84" s="261">
        <f>'[4]Production-Demand Variable'!R15</f>
        <v>4050863.384119181</v>
      </c>
      <c r="P84" s="261">
        <f>'[4]Production-Demand Variable'!S15</f>
        <v>3088456.9646339561</v>
      </c>
      <c r="Q84" s="260">
        <f t="shared" ref="Q84:Q92" si="16">ROUND(SUM(F84:P84)-E84,0)</f>
        <v>0</v>
      </c>
    </row>
    <row r="85" spans="1:17">
      <c r="A85" s="263">
        <f>ROW()</f>
        <v>85</v>
      </c>
      <c r="B85" s="261"/>
      <c r="C85" s="261" t="s">
        <v>841</v>
      </c>
      <c r="D85" s="271"/>
      <c r="E85" s="272">
        <f t="shared" si="15"/>
        <v>0</v>
      </c>
      <c r="F85" s="261">
        <f>'[4]Production-Demand Variable'!I16</f>
        <v>0</v>
      </c>
      <c r="G85" s="261">
        <f>'[4]Production-Demand Variable'!J16</f>
        <v>0</v>
      </c>
      <c r="H85" s="261">
        <f>'[4]Production-Demand Variable'!K16</f>
        <v>0</v>
      </c>
      <c r="I85" s="261">
        <f>'[4]Production-Demand Variable'!L16</f>
        <v>0</v>
      </c>
      <c r="J85" s="261">
        <f>'[4]Production-Demand Variable'!M16</f>
        <v>0</v>
      </c>
      <c r="K85" s="261">
        <f>'[4]Production-Demand Variable'!N16</f>
        <v>0</v>
      </c>
      <c r="L85" s="261">
        <f>'[4]Production-Demand Variable'!O16</f>
        <v>0</v>
      </c>
      <c r="M85" s="261">
        <f>'[4]Production-Demand Variable'!P16</f>
        <v>0</v>
      </c>
      <c r="N85" s="261">
        <f>'[4]Production-Demand Variable'!Q16</f>
        <v>0</v>
      </c>
      <c r="O85" s="261">
        <f>'[4]Production-Demand Variable'!R16</f>
        <v>0</v>
      </c>
      <c r="P85" s="261">
        <f>'[4]Production-Demand Variable'!S16</f>
        <v>0</v>
      </c>
      <c r="Q85" s="260">
        <f t="shared" si="16"/>
        <v>0</v>
      </c>
    </row>
    <row r="86" spans="1:17">
      <c r="A86" s="263">
        <f>ROW()</f>
        <v>86</v>
      </c>
      <c r="B86" s="261"/>
      <c r="C86" s="261" t="s">
        <v>840</v>
      </c>
      <c r="D86" s="271"/>
      <c r="E86" s="272">
        <f t="shared" si="15"/>
        <v>0</v>
      </c>
      <c r="F86" s="261">
        <f>'[4]Production-Demand Variable'!I17</f>
        <v>0</v>
      </c>
      <c r="G86" s="261">
        <f>'[4]Production-Demand Variable'!J17</f>
        <v>0</v>
      </c>
      <c r="H86" s="261">
        <f>'[4]Production-Demand Variable'!K17</f>
        <v>0</v>
      </c>
      <c r="I86" s="261">
        <f>'[4]Production-Demand Variable'!L17</f>
        <v>0</v>
      </c>
      <c r="J86" s="261">
        <f>'[4]Production-Demand Variable'!M17</f>
        <v>0</v>
      </c>
      <c r="K86" s="261">
        <f>'[4]Production-Demand Variable'!N17</f>
        <v>0</v>
      </c>
      <c r="L86" s="261">
        <f>'[4]Production-Demand Variable'!O17</f>
        <v>0</v>
      </c>
      <c r="M86" s="261">
        <f>'[4]Production-Demand Variable'!P17</f>
        <v>0</v>
      </c>
      <c r="N86" s="261">
        <f>'[4]Production-Demand Variable'!Q17</f>
        <v>0</v>
      </c>
      <c r="O86" s="261">
        <f>'[4]Production-Demand Variable'!R17</f>
        <v>0</v>
      </c>
      <c r="P86" s="261">
        <f>'[4]Production-Demand Variable'!S17</f>
        <v>0</v>
      </c>
      <c r="Q86" s="260">
        <f t="shared" si="16"/>
        <v>0</v>
      </c>
    </row>
    <row r="87" spans="1:17">
      <c r="A87" s="263">
        <f>ROW()</f>
        <v>87</v>
      </c>
      <c r="B87" s="261"/>
      <c r="C87" s="261" t="s">
        <v>422</v>
      </c>
      <c r="D87" s="271"/>
      <c r="E87" s="272">
        <f t="shared" si="15"/>
        <v>0</v>
      </c>
      <c r="F87" s="261">
        <f>'[4]Production-Demand Variable'!I18</f>
        <v>0</v>
      </c>
      <c r="G87" s="261">
        <f>'[4]Production-Demand Variable'!J18</f>
        <v>0</v>
      </c>
      <c r="H87" s="261">
        <f>'[4]Production-Demand Variable'!K18</f>
        <v>0</v>
      </c>
      <c r="I87" s="261">
        <f>'[4]Production-Demand Variable'!L18</f>
        <v>0</v>
      </c>
      <c r="J87" s="261">
        <f>'[4]Production-Demand Variable'!M18</f>
        <v>0</v>
      </c>
      <c r="K87" s="261">
        <f>'[4]Production-Demand Variable'!N18</f>
        <v>0</v>
      </c>
      <c r="L87" s="261">
        <f>'[4]Production-Demand Variable'!O18</f>
        <v>0</v>
      </c>
      <c r="M87" s="261">
        <f>'[4]Production-Demand Variable'!P18</f>
        <v>0</v>
      </c>
      <c r="N87" s="261">
        <f>'[4]Production-Demand Variable'!Q18</f>
        <v>0</v>
      </c>
      <c r="O87" s="261">
        <f>'[4]Production-Demand Variable'!R18</f>
        <v>0</v>
      </c>
      <c r="P87" s="261">
        <f>'[4]Production-Demand Variable'!S18</f>
        <v>0</v>
      </c>
      <c r="Q87" s="260">
        <f t="shared" si="16"/>
        <v>0</v>
      </c>
    </row>
    <row r="88" spans="1:17">
      <c r="A88" s="263">
        <f>ROW()</f>
        <v>88</v>
      </c>
      <c r="B88" s="261"/>
      <c r="C88" s="261" t="s">
        <v>902</v>
      </c>
      <c r="D88" s="271"/>
      <c r="E88" s="272">
        <f t="shared" si="15"/>
        <v>-84653842.502221882</v>
      </c>
      <c r="F88" s="261">
        <f>'[4]Production-Demand Variable'!I19</f>
        <v>-24755913.745756656</v>
      </c>
      <c r="G88" s="261">
        <f>'[4]Production-Demand Variable'!J19</f>
        <v>-19226414.729014128</v>
      </c>
      <c r="H88" s="261">
        <f>'[4]Production-Demand Variable'!K19</f>
        <v>-6984821.2375872452</v>
      </c>
      <c r="I88" s="261">
        <f>'[4]Production-Demand Variable'!L19</f>
        <v>-1960669.9183108527</v>
      </c>
      <c r="J88" s="261">
        <f>'[4]Production-Demand Variable'!M19</f>
        <v>-13266882.725232281</v>
      </c>
      <c r="K88" s="261">
        <f>'[4]Production-Demand Variable'!N19</f>
        <v>-2428135.2724609626</v>
      </c>
      <c r="L88" s="261">
        <f>'[4]Production-Demand Variable'!O19</f>
        <v>-1910154.8695660071</v>
      </c>
      <c r="M88" s="261">
        <f>'[4]Production-Demand Variable'!P19</f>
        <v>-1915359.648494835</v>
      </c>
      <c r="N88" s="261">
        <f>'[4]Production-Demand Variable'!Q19</f>
        <v>-5922713.7088510683</v>
      </c>
      <c r="O88" s="261">
        <f>'[4]Production-Demand Variable'!R19</f>
        <v>-3309792.0234660562</v>
      </c>
      <c r="P88" s="261">
        <f>'[4]Production-Demand Variable'!S19</f>
        <v>-2972984.6234817952</v>
      </c>
      <c r="Q88" s="260">
        <f t="shared" si="16"/>
        <v>0</v>
      </c>
    </row>
    <row r="89" spans="1:17">
      <c r="A89" s="263">
        <f>ROW()</f>
        <v>89</v>
      </c>
      <c r="B89" s="261"/>
      <c r="C89" s="261" t="s">
        <v>903</v>
      </c>
      <c r="D89" s="271"/>
      <c r="E89" s="272">
        <f t="shared" si="15"/>
        <v>0</v>
      </c>
      <c r="F89" s="261">
        <f>'[4]Production-Demand Variable'!I20</f>
        <v>0</v>
      </c>
      <c r="G89" s="261">
        <f>'[4]Production-Demand Variable'!J20</f>
        <v>0</v>
      </c>
      <c r="H89" s="261">
        <f>'[4]Production-Demand Variable'!K20</f>
        <v>0</v>
      </c>
      <c r="I89" s="261">
        <f>'[4]Production-Demand Variable'!L20</f>
        <v>0</v>
      </c>
      <c r="J89" s="261">
        <f>'[4]Production-Demand Variable'!M20</f>
        <v>0</v>
      </c>
      <c r="K89" s="261">
        <f>'[4]Production-Demand Variable'!N20</f>
        <v>0</v>
      </c>
      <c r="L89" s="261">
        <f>'[4]Production-Demand Variable'!O20</f>
        <v>0</v>
      </c>
      <c r="M89" s="261">
        <f>'[4]Production-Demand Variable'!P20</f>
        <v>0</v>
      </c>
      <c r="N89" s="261">
        <f>'[4]Production-Demand Variable'!Q20</f>
        <v>0</v>
      </c>
      <c r="O89" s="261">
        <f>'[4]Production-Demand Variable'!R20</f>
        <v>0</v>
      </c>
      <c r="P89" s="261">
        <f>'[4]Production-Demand Variable'!S20</f>
        <v>0</v>
      </c>
      <c r="Q89" s="260">
        <f t="shared" si="16"/>
        <v>0</v>
      </c>
    </row>
    <row r="90" spans="1:17">
      <c r="A90" s="263">
        <f>ROW()</f>
        <v>90</v>
      </c>
      <c r="B90" s="261"/>
      <c r="C90" s="261" t="s">
        <v>904</v>
      </c>
      <c r="D90" s="271"/>
      <c r="E90" s="272">
        <f t="shared" si="15"/>
        <v>0</v>
      </c>
      <c r="F90" s="261">
        <f>'[4]Production-Demand Variable'!I21</f>
        <v>0</v>
      </c>
      <c r="G90" s="261">
        <f>'[4]Production-Demand Variable'!J21</f>
        <v>0</v>
      </c>
      <c r="H90" s="261">
        <f>'[4]Production-Demand Variable'!K21</f>
        <v>0</v>
      </c>
      <c r="I90" s="261">
        <f>'[4]Production-Demand Variable'!L21</f>
        <v>0</v>
      </c>
      <c r="J90" s="261">
        <f>'[4]Production-Demand Variable'!M21</f>
        <v>0</v>
      </c>
      <c r="K90" s="261">
        <f>'[4]Production-Demand Variable'!N21</f>
        <v>0</v>
      </c>
      <c r="L90" s="261">
        <f>'[4]Production-Demand Variable'!O21</f>
        <v>0</v>
      </c>
      <c r="M90" s="261">
        <f>'[4]Production-Demand Variable'!P21</f>
        <v>0</v>
      </c>
      <c r="N90" s="261">
        <f>'[4]Production-Demand Variable'!Q21</f>
        <v>0</v>
      </c>
      <c r="O90" s="261">
        <f>'[4]Production-Demand Variable'!R21</f>
        <v>0</v>
      </c>
      <c r="P90" s="261">
        <f>'[4]Production-Demand Variable'!S21</f>
        <v>0</v>
      </c>
      <c r="Q90" s="260">
        <f t="shared" si="16"/>
        <v>0</v>
      </c>
    </row>
    <row r="91" spans="1:17">
      <c r="A91" s="263">
        <f>ROW()</f>
        <v>91</v>
      </c>
      <c r="B91" s="261"/>
      <c r="C91" s="261" t="s">
        <v>905</v>
      </c>
      <c r="E91" s="272">
        <f t="shared" si="15"/>
        <v>0</v>
      </c>
      <c r="F91" s="261">
        <f>'[4]Production-Demand Variable'!I22</f>
        <v>0</v>
      </c>
      <c r="G91" s="261">
        <f>'[4]Production-Demand Variable'!J22</f>
        <v>0</v>
      </c>
      <c r="H91" s="261">
        <f>'[4]Production-Demand Variable'!K22</f>
        <v>0</v>
      </c>
      <c r="I91" s="261">
        <f>'[4]Production-Demand Variable'!L22</f>
        <v>0</v>
      </c>
      <c r="J91" s="261">
        <f>'[4]Production-Demand Variable'!M22</f>
        <v>0</v>
      </c>
      <c r="K91" s="261">
        <f>'[4]Production-Demand Variable'!N22</f>
        <v>0</v>
      </c>
      <c r="L91" s="261">
        <f>'[4]Production-Demand Variable'!O22</f>
        <v>0</v>
      </c>
      <c r="M91" s="261">
        <f>'[4]Production-Demand Variable'!P22</f>
        <v>0</v>
      </c>
      <c r="N91" s="261">
        <f>'[4]Production-Demand Variable'!Q22</f>
        <v>0</v>
      </c>
      <c r="O91" s="261">
        <f>'[4]Production-Demand Variable'!R22</f>
        <v>0</v>
      </c>
      <c r="P91" s="261">
        <f>'[4]Production-Demand Variable'!S22</f>
        <v>0</v>
      </c>
      <c r="Q91" s="260">
        <f t="shared" si="16"/>
        <v>0</v>
      </c>
    </row>
    <row r="92" spans="1:17">
      <c r="A92" s="263">
        <f>ROW()</f>
        <v>92</v>
      </c>
      <c r="B92" s="261"/>
      <c r="C92" s="261" t="s">
        <v>906</v>
      </c>
      <c r="E92" s="272">
        <f t="shared" si="15"/>
        <v>0</v>
      </c>
      <c r="F92" s="261">
        <f>'[4]Production-Demand Variable'!I23</f>
        <v>0</v>
      </c>
      <c r="G92" s="261">
        <f>'[4]Production-Demand Variable'!J23</f>
        <v>0</v>
      </c>
      <c r="H92" s="261">
        <f>'[4]Production-Demand Variable'!K23</f>
        <v>0</v>
      </c>
      <c r="I92" s="261">
        <f>'[4]Production-Demand Variable'!L23</f>
        <v>0</v>
      </c>
      <c r="J92" s="261">
        <f>'[4]Production-Demand Variable'!M23</f>
        <v>0</v>
      </c>
      <c r="K92" s="261">
        <f>'[4]Production-Demand Variable'!N23</f>
        <v>0</v>
      </c>
      <c r="L92" s="261">
        <f>'[4]Production-Demand Variable'!O23</f>
        <v>0</v>
      </c>
      <c r="M92" s="261">
        <f>'[4]Production-Demand Variable'!P23</f>
        <v>0</v>
      </c>
      <c r="N92" s="261">
        <f>'[4]Production-Demand Variable'!Q23</f>
        <v>0</v>
      </c>
      <c r="O92" s="261">
        <f>'[4]Production-Demand Variable'!R23</f>
        <v>0</v>
      </c>
      <c r="P92" s="261">
        <f>'[4]Production-Demand Variable'!S23</f>
        <v>0</v>
      </c>
      <c r="Q92" s="260">
        <f t="shared" si="16"/>
        <v>0</v>
      </c>
    </row>
    <row r="93" spans="1:17">
      <c r="A93" s="263">
        <f>ROW()</f>
        <v>93</v>
      </c>
      <c r="B93" s="261"/>
      <c r="D93" s="271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</row>
    <row r="94" spans="1:17">
      <c r="A94" s="263">
        <f>ROW()</f>
        <v>94</v>
      </c>
      <c r="B94" s="261"/>
      <c r="C94" s="261" t="s">
        <v>499</v>
      </c>
      <c r="D94" s="271"/>
      <c r="E94" s="279">
        <f t="shared" ref="E94:P94" si="17">SUM(E84:E92)</f>
        <v>97766002.99455604</v>
      </c>
      <c r="F94" s="279">
        <f t="shared" si="17"/>
        <v>40575922.73918654</v>
      </c>
      <c r="G94" s="279">
        <f t="shared" si="17"/>
        <v>30305218.58195214</v>
      </c>
      <c r="H94" s="279">
        <f t="shared" si="17"/>
        <v>7567211.9772163164</v>
      </c>
      <c r="I94" s="279">
        <f t="shared" si="17"/>
        <v>-1764839.9293351911</v>
      </c>
      <c r="J94" s="279">
        <f t="shared" si="17"/>
        <v>19235754.614044204</v>
      </c>
      <c r="K94" s="279">
        <f t="shared" si="17"/>
        <v>-896551.80021259771</v>
      </c>
      <c r="L94" s="279">
        <f t="shared" si="17"/>
        <v>-1858668.5238562603</v>
      </c>
      <c r="M94" s="279">
        <f t="shared" si="17"/>
        <v>-1849000.9672801688</v>
      </c>
      <c r="N94" s="279">
        <f t="shared" si="17"/>
        <v>5594412.6010357691</v>
      </c>
      <c r="O94" s="279">
        <f t="shared" si="17"/>
        <v>741071.36065312475</v>
      </c>
      <c r="P94" s="279">
        <f t="shared" si="17"/>
        <v>115472.34115216089</v>
      </c>
      <c r="Q94" s="260">
        <f>ROUND(SUM(F94:P94)-E94,0)</f>
        <v>0</v>
      </c>
    </row>
    <row r="95" spans="1:17" hidden="1">
      <c r="A95" s="263">
        <f>ROW()</f>
        <v>95</v>
      </c>
      <c r="B95" s="261"/>
      <c r="C95" s="261"/>
      <c r="D95" s="271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</row>
    <row r="96" spans="1:17" hidden="1">
      <c r="A96" s="263">
        <f>ROW()</f>
        <v>96</v>
      </c>
      <c r="B96" s="261"/>
      <c r="C96" s="261"/>
      <c r="D96" s="271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</row>
    <row r="97" spans="1:17" hidden="1">
      <c r="A97" s="263">
        <f>ROW()</f>
        <v>97</v>
      </c>
      <c r="B97" s="261"/>
      <c r="C97" s="261" t="s">
        <v>867</v>
      </c>
      <c r="D97" s="271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</row>
    <row r="98" spans="1:17" hidden="1">
      <c r="A98" s="263">
        <f>ROW()</f>
        <v>98</v>
      </c>
      <c r="B98" s="261"/>
      <c r="C98" s="261" t="s">
        <v>907</v>
      </c>
      <c r="D98" s="271"/>
      <c r="E98" s="272" t="e">
        <f t="shared" ref="E98:E108" si="18">SUM(F98:P98)</f>
        <v>#DIV/0!</v>
      </c>
      <c r="F98" s="261" t="e">
        <f>'[4]Production-Demand Variable'!I31</f>
        <v>#DIV/0!</v>
      </c>
      <c r="G98" s="261" t="e">
        <f>'[4]Production-Demand Variable'!J31</f>
        <v>#DIV/0!</v>
      </c>
      <c r="H98" s="261" t="e">
        <f>'[4]Production-Demand Variable'!K31</f>
        <v>#DIV/0!</v>
      </c>
      <c r="I98" s="261" t="e">
        <f>'[4]Production-Demand Variable'!L31</f>
        <v>#DIV/0!</v>
      </c>
      <c r="J98" s="261" t="e">
        <f>'[4]Production-Demand Variable'!M31</f>
        <v>#DIV/0!</v>
      </c>
      <c r="K98" s="261" t="e">
        <f>'[4]Production-Demand Variable'!N31</f>
        <v>#DIV/0!</v>
      </c>
      <c r="L98" s="261" t="e">
        <f>'[4]Production-Demand Variable'!O31</f>
        <v>#DIV/0!</v>
      </c>
      <c r="M98" s="261" t="e">
        <f>'[4]Production-Demand Variable'!P31</f>
        <v>#DIV/0!</v>
      </c>
      <c r="N98" s="261" t="e">
        <f>'[4]Production-Demand Variable'!Q31</f>
        <v>#DIV/0!</v>
      </c>
      <c r="O98" s="261" t="e">
        <f>'[4]Production-Demand Variable'!R31</f>
        <v>#DIV/0!</v>
      </c>
      <c r="P98" s="261" t="e">
        <f>'[4]Production-Demand Variable'!S31</f>
        <v>#DIV/0!</v>
      </c>
      <c r="Q98" s="260" t="e">
        <f t="shared" ref="Q98:Q108" si="19">ROUND(SUM(F98:P98)-E98,0)</f>
        <v>#DIV/0!</v>
      </c>
    </row>
    <row r="99" spans="1:17" hidden="1">
      <c r="A99" s="263">
        <f>ROW()</f>
        <v>99</v>
      </c>
      <c r="B99" s="261"/>
      <c r="C99" s="261" t="s">
        <v>908</v>
      </c>
      <c r="D99" s="271"/>
      <c r="E99" s="272">
        <f t="shared" si="18"/>
        <v>0</v>
      </c>
      <c r="F99" s="261">
        <f>'[4]Production-Demand Variable'!I32</f>
        <v>0</v>
      </c>
      <c r="G99" s="261">
        <f>'[4]Production-Demand Variable'!J32</f>
        <v>0</v>
      </c>
      <c r="H99" s="261">
        <f>'[4]Production-Demand Variable'!K32</f>
        <v>0</v>
      </c>
      <c r="I99" s="261">
        <f>'[4]Production-Demand Variable'!L32</f>
        <v>0</v>
      </c>
      <c r="J99" s="261">
        <f>'[4]Production-Demand Variable'!M32</f>
        <v>0</v>
      </c>
      <c r="K99" s="261">
        <f>'[4]Production-Demand Variable'!N32</f>
        <v>0</v>
      </c>
      <c r="L99" s="261">
        <f>'[4]Production-Demand Variable'!O32</f>
        <v>0</v>
      </c>
      <c r="M99" s="261">
        <f>'[4]Production-Demand Variable'!P32</f>
        <v>0</v>
      </c>
      <c r="N99" s="261">
        <f>'[4]Production-Demand Variable'!Q32</f>
        <v>0</v>
      </c>
      <c r="O99" s="261">
        <f>'[4]Production-Demand Variable'!R32</f>
        <v>0</v>
      </c>
      <c r="P99" s="261">
        <f>'[4]Production-Demand Variable'!S32</f>
        <v>0</v>
      </c>
      <c r="Q99" s="260">
        <f t="shared" si="19"/>
        <v>0</v>
      </c>
    </row>
    <row r="100" spans="1:17" hidden="1">
      <c r="A100" s="263">
        <f>ROW()</f>
        <v>100</v>
      </c>
      <c r="B100" s="261"/>
      <c r="C100" s="261" t="s">
        <v>909</v>
      </c>
      <c r="D100" s="271"/>
      <c r="E100" s="272">
        <f t="shared" si="18"/>
        <v>0</v>
      </c>
      <c r="F100" s="261">
        <f>'[4]Production-Demand Variable'!I33</f>
        <v>0</v>
      </c>
      <c r="G100" s="261">
        <f>'[4]Production-Demand Variable'!J33</f>
        <v>0</v>
      </c>
      <c r="H100" s="261">
        <f>'[4]Production-Demand Variable'!K33</f>
        <v>0</v>
      </c>
      <c r="I100" s="261">
        <f>'[4]Production-Demand Variable'!L33</f>
        <v>0</v>
      </c>
      <c r="J100" s="261">
        <f>'[4]Production-Demand Variable'!M33</f>
        <v>0</v>
      </c>
      <c r="K100" s="261">
        <f>'[4]Production-Demand Variable'!N33</f>
        <v>0</v>
      </c>
      <c r="L100" s="261">
        <f>'[4]Production-Demand Variable'!O33</f>
        <v>0</v>
      </c>
      <c r="M100" s="261">
        <f>'[4]Production-Demand Variable'!P33</f>
        <v>0</v>
      </c>
      <c r="N100" s="261">
        <f>'[4]Production-Demand Variable'!Q33</f>
        <v>0</v>
      </c>
      <c r="O100" s="261">
        <f>'[4]Production-Demand Variable'!R33</f>
        <v>0</v>
      </c>
      <c r="P100" s="261">
        <f>'[4]Production-Demand Variable'!S33</f>
        <v>0</v>
      </c>
      <c r="Q100" s="260">
        <f t="shared" si="19"/>
        <v>0</v>
      </c>
    </row>
    <row r="101" spans="1:17" hidden="1">
      <c r="A101" s="263">
        <f>ROW()</f>
        <v>101</v>
      </c>
      <c r="B101" s="261"/>
      <c r="C101" s="280" t="s">
        <v>597</v>
      </c>
      <c r="D101" s="271"/>
      <c r="E101" s="272">
        <f t="shared" si="18"/>
        <v>0</v>
      </c>
      <c r="F101" s="261">
        <f>'[4]Production-Demand Variable'!I34</f>
        <v>0</v>
      </c>
      <c r="G101" s="261">
        <f>'[4]Production-Demand Variable'!J34</f>
        <v>0</v>
      </c>
      <c r="H101" s="261">
        <f>'[4]Production-Demand Variable'!K34</f>
        <v>0</v>
      </c>
      <c r="I101" s="261">
        <f>'[4]Production-Demand Variable'!L34</f>
        <v>0</v>
      </c>
      <c r="J101" s="261">
        <f>'[4]Production-Demand Variable'!M34</f>
        <v>0</v>
      </c>
      <c r="K101" s="261">
        <f>'[4]Production-Demand Variable'!N34</f>
        <v>0</v>
      </c>
      <c r="L101" s="261">
        <f>'[4]Production-Demand Variable'!O34</f>
        <v>0</v>
      </c>
      <c r="M101" s="261">
        <f>'[4]Production-Demand Variable'!P34</f>
        <v>0</v>
      </c>
      <c r="N101" s="261">
        <f>'[4]Production-Demand Variable'!Q34</f>
        <v>0</v>
      </c>
      <c r="O101" s="261">
        <f>'[4]Production-Demand Variable'!R34</f>
        <v>0</v>
      </c>
      <c r="P101" s="261">
        <f>'[4]Production-Demand Variable'!S34</f>
        <v>0</v>
      </c>
      <c r="Q101" s="260">
        <f t="shared" si="19"/>
        <v>0</v>
      </c>
    </row>
    <row r="102" spans="1:17" hidden="1">
      <c r="A102" s="263">
        <f>ROW()</f>
        <v>102</v>
      </c>
      <c r="B102" s="261"/>
      <c r="C102" s="261" t="s">
        <v>614</v>
      </c>
      <c r="D102" s="271"/>
      <c r="E102" s="272">
        <f t="shared" si="18"/>
        <v>0</v>
      </c>
      <c r="F102" s="261">
        <f>'[4]Production-Demand Variable'!I35</f>
        <v>0</v>
      </c>
      <c r="G102" s="261">
        <f>'[4]Production-Demand Variable'!J35</f>
        <v>0</v>
      </c>
      <c r="H102" s="261">
        <f>'[4]Production-Demand Variable'!K35</f>
        <v>0</v>
      </c>
      <c r="I102" s="261">
        <f>'[4]Production-Demand Variable'!L35</f>
        <v>0</v>
      </c>
      <c r="J102" s="261">
        <f>'[4]Production-Demand Variable'!M35</f>
        <v>0</v>
      </c>
      <c r="K102" s="261">
        <f>'[4]Production-Demand Variable'!N35</f>
        <v>0</v>
      </c>
      <c r="L102" s="261">
        <f>'[4]Production-Demand Variable'!O35</f>
        <v>0</v>
      </c>
      <c r="M102" s="261">
        <f>'[4]Production-Demand Variable'!P35</f>
        <v>0</v>
      </c>
      <c r="N102" s="261">
        <f>'[4]Production-Demand Variable'!Q35</f>
        <v>0</v>
      </c>
      <c r="O102" s="261">
        <f>'[4]Production-Demand Variable'!R35</f>
        <v>0</v>
      </c>
      <c r="P102" s="261">
        <f>'[4]Production-Demand Variable'!S35</f>
        <v>0</v>
      </c>
      <c r="Q102" s="260">
        <f t="shared" si="19"/>
        <v>0</v>
      </c>
    </row>
    <row r="103" spans="1:17" hidden="1">
      <c r="A103" s="263">
        <f>ROW()</f>
        <v>103</v>
      </c>
      <c r="B103" s="261"/>
      <c r="C103" s="261" t="s">
        <v>603</v>
      </c>
      <c r="D103" s="271"/>
      <c r="E103" s="272">
        <f t="shared" si="18"/>
        <v>0</v>
      </c>
      <c r="F103" s="261">
        <f>'[4]Production-Demand Variable'!I36</f>
        <v>0</v>
      </c>
      <c r="G103" s="261">
        <f>'[4]Production-Demand Variable'!J36</f>
        <v>0</v>
      </c>
      <c r="H103" s="261">
        <f>'[4]Production-Demand Variable'!K36</f>
        <v>0</v>
      </c>
      <c r="I103" s="261">
        <f>'[4]Production-Demand Variable'!L36</f>
        <v>0</v>
      </c>
      <c r="J103" s="261">
        <f>'[4]Production-Demand Variable'!M36</f>
        <v>0</v>
      </c>
      <c r="K103" s="261">
        <f>'[4]Production-Demand Variable'!N36</f>
        <v>0</v>
      </c>
      <c r="L103" s="261">
        <f>'[4]Production-Demand Variable'!O36</f>
        <v>0</v>
      </c>
      <c r="M103" s="261">
        <f>'[4]Production-Demand Variable'!P36</f>
        <v>0</v>
      </c>
      <c r="N103" s="261">
        <f>'[4]Production-Demand Variable'!Q36</f>
        <v>0</v>
      </c>
      <c r="O103" s="261">
        <f>'[4]Production-Demand Variable'!R36</f>
        <v>0</v>
      </c>
      <c r="P103" s="261">
        <f>'[4]Production-Demand Variable'!S36</f>
        <v>0</v>
      </c>
      <c r="Q103" s="260">
        <f t="shared" si="19"/>
        <v>0</v>
      </c>
    </row>
    <row r="104" spans="1:17" hidden="1">
      <c r="A104" s="263">
        <f>ROW()</f>
        <v>104</v>
      </c>
      <c r="B104" s="261"/>
      <c r="C104" s="261" t="s">
        <v>910</v>
      </c>
      <c r="D104" s="271"/>
      <c r="E104" s="272">
        <f t="shared" si="18"/>
        <v>0</v>
      </c>
      <c r="F104" s="261">
        <f>'[4]Production-Demand Variable'!I37</f>
        <v>0</v>
      </c>
      <c r="G104" s="261">
        <f>'[4]Production-Demand Variable'!J37</f>
        <v>0</v>
      </c>
      <c r="H104" s="261">
        <f>'[4]Production-Demand Variable'!K37</f>
        <v>0</v>
      </c>
      <c r="I104" s="261">
        <f>'[4]Production-Demand Variable'!L37</f>
        <v>0</v>
      </c>
      <c r="J104" s="261">
        <f>'[4]Production-Demand Variable'!M37</f>
        <v>0</v>
      </c>
      <c r="K104" s="261">
        <f>'[4]Production-Demand Variable'!N37</f>
        <v>0</v>
      </c>
      <c r="L104" s="261">
        <f>'[4]Production-Demand Variable'!O37</f>
        <v>0</v>
      </c>
      <c r="M104" s="261">
        <f>'[4]Production-Demand Variable'!P37</f>
        <v>0</v>
      </c>
      <c r="N104" s="261">
        <f>'[4]Production-Demand Variable'!Q37</f>
        <v>0</v>
      </c>
      <c r="O104" s="261">
        <f>'[4]Production-Demand Variable'!R37</f>
        <v>0</v>
      </c>
      <c r="P104" s="261">
        <f>'[4]Production-Demand Variable'!S37</f>
        <v>0</v>
      </c>
      <c r="Q104" s="260">
        <f t="shared" si="19"/>
        <v>0</v>
      </c>
    </row>
    <row r="105" spans="1:17" hidden="1">
      <c r="A105" s="263">
        <f>ROW()</f>
        <v>105</v>
      </c>
      <c r="B105" s="261"/>
      <c r="C105" s="261" t="s">
        <v>620</v>
      </c>
      <c r="D105" s="271"/>
      <c r="E105" s="272">
        <f t="shared" si="18"/>
        <v>0</v>
      </c>
      <c r="F105" s="261">
        <f>'[4]Production-Demand Variable'!I38</f>
        <v>0</v>
      </c>
      <c r="G105" s="261">
        <f>'[4]Production-Demand Variable'!J38</f>
        <v>0</v>
      </c>
      <c r="H105" s="261">
        <f>'[4]Production-Demand Variable'!K38</f>
        <v>0</v>
      </c>
      <c r="I105" s="261">
        <f>'[4]Production-Demand Variable'!L38</f>
        <v>0</v>
      </c>
      <c r="J105" s="261">
        <f>'[4]Production-Demand Variable'!M38</f>
        <v>0</v>
      </c>
      <c r="K105" s="261">
        <f>'[4]Production-Demand Variable'!N38</f>
        <v>0</v>
      </c>
      <c r="L105" s="261">
        <f>'[4]Production-Demand Variable'!O38</f>
        <v>0</v>
      </c>
      <c r="M105" s="261">
        <f>'[4]Production-Demand Variable'!P38</f>
        <v>0</v>
      </c>
      <c r="N105" s="261">
        <f>'[4]Production-Demand Variable'!Q38</f>
        <v>0</v>
      </c>
      <c r="O105" s="261">
        <f>'[4]Production-Demand Variable'!R38</f>
        <v>0</v>
      </c>
      <c r="P105" s="261">
        <f>'[4]Production-Demand Variable'!S38</f>
        <v>0</v>
      </c>
      <c r="Q105" s="260">
        <f t="shared" si="19"/>
        <v>0</v>
      </c>
    </row>
    <row r="106" spans="1:17" hidden="1">
      <c r="A106" s="263">
        <f>ROW()</f>
        <v>106</v>
      </c>
      <c r="B106" s="261"/>
      <c r="C106" s="261" t="s">
        <v>624</v>
      </c>
      <c r="E106" s="272">
        <f t="shared" si="18"/>
        <v>0</v>
      </c>
      <c r="F106" s="261">
        <f>'[4]Production-Demand Variable'!I39</f>
        <v>0</v>
      </c>
      <c r="G106" s="261">
        <f>'[4]Production-Demand Variable'!J39</f>
        <v>0</v>
      </c>
      <c r="H106" s="261">
        <f>'[4]Production-Demand Variable'!K39</f>
        <v>0</v>
      </c>
      <c r="I106" s="261">
        <f>'[4]Production-Demand Variable'!L39</f>
        <v>0</v>
      </c>
      <c r="J106" s="261">
        <f>'[4]Production-Demand Variable'!M39</f>
        <v>0</v>
      </c>
      <c r="K106" s="261">
        <f>'[4]Production-Demand Variable'!N39</f>
        <v>0</v>
      </c>
      <c r="L106" s="261">
        <f>'[4]Production-Demand Variable'!O39</f>
        <v>0</v>
      </c>
      <c r="M106" s="261">
        <f>'[4]Production-Demand Variable'!P39</f>
        <v>0</v>
      </c>
      <c r="N106" s="261">
        <f>'[4]Production-Demand Variable'!Q39</f>
        <v>0</v>
      </c>
      <c r="O106" s="261">
        <f>'[4]Production-Demand Variable'!R39</f>
        <v>0</v>
      </c>
      <c r="P106" s="261">
        <f>'[4]Production-Demand Variable'!S39</f>
        <v>0</v>
      </c>
      <c r="Q106" s="260">
        <f t="shared" si="19"/>
        <v>0</v>
      </c>
    </row>
    <row r="107" spans="1:17" hidden="1">
      <c r="A107" s="263">
        <f>ROW()</f>
        <v>107</v>
      </c>
      <c r="B107" s="261"/>
      <c r="C107" s="261" t="s">
        <v>911</v>
      </c>
      <c r="D107" s="271"/>
      <c r="E107" s="272">
        <f t="shared" si="18"/>
        <v>0</v>
      </c>
      <c r="F107" s="261">
        <f>'[4]Production-Demand Variable'!I40</f>
        <v>0</v>
      </c>
      <c r="G107" s="261">
        <f>'[4]Production-Demand Variable'!J40</f>
        <v>0</v>
      </c>
      <c r="H107" s="261">
        <f>'[4]Production-Demand Variable'!K40</f>
        <v>0</v>
      </c>
      <c r="I107" s="261">
        <f>'[4]Production-Demand Variable'!L40</f>
        <v>0</v>
      </c>
      <c r="J107" s="261">
        <f>'[4]Production-Demand Variable'!M40</f>
        <v>0</v>
      </c>
      <c r="K107" s="261">
        <f>'[4]Production-Demand Variable'!N40</f>
        <v>0</v>
      </c>
      <c r="L107" s="261">
        <f>'[4]Production-Demand Variable'!O40</f>
        <v>0</v>
      </c>
      <c r="M107" s="261">
        <f>'[4]Production-Demand Variable'!P40</f>
        <v>0</v>
      </c>
      <c r="N107" s="261">
        <f>'[4]Production-Demand Variable'!Q40</f>
        <v>0</v>
      </c>
      <c r="O107" s="261">
        <f>'[4]Production-Demand Variable'!R40</f>
        <v>0</v>
      </c>
      <c r="P107" s="261">
        <f>'[4]Production-Demand Variable'!S40</f>
        <v>0</v>
      </c>
      <c r="Q107" s="260">
        <f t="shared" si="19"/>
        <v>0</v>
      </c>
    </row>
    <row r="108" spans="1:17" hidden="1">
      <c r="A108" s="263">
        <f>ROW()</f>
        <v>108</v>
      </c>
      <c r="B108" s="261"/>
      <c r="C108" s="261" t="s">
        <v>637</v>
      </c>
      <c r="D108" s="271"/>
      <c r="E108" s="272">
        <f t="shared" si="18"/>
        <v>0</v>
      </c>
      <c r="F108" s="261">
        <f>'[4]Production-Demand Variable'!I41</f>
        <v>0</v>
      </c>
      <c r="G108" s="261">
        <f>'[4]Production-Demand Variable'!J41</f>
        <v>0</v>
      </c>
      <c r="H108" s="261">
        <f>'[4]Production-Demand Variable'!K41</f>
        <v>0</v>
      </c>
      <c r="I108" s="261">
        <f>'[4]Production-Demand Variable'!L41</f>
        <v>0</v>
      </c>
      <c r="J108" s="261">
        <f>'[4]Production-Demand Variable'!M41</f>
        <v>0</v>
      </c>
      <c r="K108" s="261">
        <f>'[4]Production-Demand Variable'!N41</f>
        <v>0</v>
      </c>
      <c r="L108" s="261">
        <f>'[4]Production-Demand Variable'!O41</f>
        <v>0</v>
      </c>
      <c r="M108" s="261">
        <f>'[4]Production-Demand Variable'!P41</f>
        <v>0</v>
      </c>
      <c r="N108" s="261">
        <f>'[4]Production-Demand Variable'!Q41</f>
        <v>0</v>
      </c>
      <c r="O108" s="261">
        <f>'[4]Production-Demand Variable'!R41</f>
        <v>0</v>
      </c>
      <c r="P108" s="261">
        <f>'[4]Production-Demand Variable'!S41</f>
        <v>0</v>
      </c>
      <c r="Q108" s="260">
        <f t="shared" si="19"/>
        <v>0</v>
      </c>
    </row>
    <row r="109" spans="1:17" hidden="1">
      <c r="A109" s="263">
        <f>ROW()</f>
        <v>109</v>
      </c>
      <c r="B109" s="261"/>
      <c r="C109" s="261"/>
      <c r="D109" s="271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</row>
    <row r="110" spans="1:17" hidden="1">
      <c r="A110" s="263">
        <f>ROW()</f>
        <v>110</v>
      </c>
      <c r="B110" s="261"/>
      <c r="C110" s="261" t="s">
        <v>642</v>
      </c>
      <c r="D110" s="271"/>
      <c r="E110" s="279" t="e">
        <f t="shared" ref="E110:P110" si="20">SUM(E98:E108)</f>
        <v>#DIV/0!</v>
      </c>
      <c r="F110" s="279" t="e">
        <f t="shared" si="20"/>
        <v>#DIV/0!</v>
      </c>
      <c r="G110" s="279" t="e">
        <f t="shared" si="20"/>
        <v>#DIV/0!</v>
      </c>
      <c r="H110" s="279" t="e">
        <f t="shared" si="20"/>
        <v>#DIV/0!</v>
      </c>
      <c r="I110" s="279" t="e">
        <f t="shared" si="20"/>
        <v>#DIV/0!</v>
      </c>
      <c r="J110" s="279" t="e">
        <f t="shared" si="20"/>
        <v>#DIV/0!</v>
      </c>
      <c r="K110" s="279" t="e">
        <f t="shared" si="20"/>
        <v>#DIV/0!</v>
      </c>
      <c r="L110" s="279" t="e">
        <f t="shared" si="20"/>
        <v>#DIV/0!</v>
      </c>
      <c r="M110" s="279" t="e">
        <f t="shared" si="20"/>
        <v>#DIV/0!</v>
      </c>
      <c r="N110" s="279" t="e">
        <f t="shared" si="20"/>
        <v>#DIV/0!</v>
      </c>
      <c r="O110" s="279" t="e">
        <f t="shared" si="20"/>
        <v>#DIV/0!</v>
      </c>
      <c r="P110" s="279" t="e">
        <f t="shared" si="20"/>
        <v>#DIV/0!</v>
      </c>
      <c r="Q110" s="260" t="e">
        <f>ROUND(SUM(F110:P110)-E110,0)</f>
        <v>#DIV/0!</v>
      </c>
    </row>
    <row r="111" spans="1:17" hidden="1">
      <c r="A111" s="263">
        <f>ROW()</f>
        <v>111</v>
      </c>
      <c r="B111" s="261"/>
      <c r="C111" s="261"/>
      <c r="D111" s="271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</row>
    <row r="112" spans="1:17" hidden="1">
      <c r="A112" s="263">
        <f>ROW()</f>
        <v>112</v>
      </c>
      <c r="B112" s="261"/>
      <c r="C112" s="261" t="s">
        <v>855</v>
      </c>
      <c r="D112" s="271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</row>
    <row r="113" spans="1:17" hidden="1">
      <c r="A113" s="263">
        <f>ROW()</f>
        <v>113</v>
      </c>
      <c r="B113" s="261"/>
      <c r="C113" s="261" t="s">
        <v>912</v>
      </c>
      <c r="D113" s="271"/>
      <c r="E113" s="272">
        <f t="shared" ref="E113:E119" si="21">SUM(F113:P113)</f>
        <v>0</v>
      </c>
      <c r="F113" s="261">
        <f>'[4]Production-Demand Variable'!I46</f>
        <v>0</v>
      </c>
      <c r="G113" s="261">
        <f>'[4]Production-Demand Variable'!J46</f>
        <v>0</v>
      </c>
      <c r="H113" s="261">
        <f>'[4]Production-Demand Variable'!K46</f>
        <v>0</v>
      </c>
      <c r="I113" s="261">
        <f>'[4]Production-Demand Variable'!L46</f>
        <v>0</v>
      </c>
      <c r="J113" s="261">
        <f>'[4]Production-Demand Variable'!M46</f>
        <v>0</v>
      </c>
      <c r="K113" s="261">
        <f>'[4]Production-Demand Variable'!N46</f>
        <v>0</v>
      </c>
      <c r="L113" s="261">
        <f>'[4]Production-Demand Variable'!O46</f>
        <v>0</v>
      </c>
      <c r="M113" s="261">
        <f>'[4]Production-Demand Variable'!P46</f>
        <v>0</v>
      </c>
      <c r="N113" s="261">
        <f>'[4]Production-Demand Variable'!Q46</f>
        <v>0</v>
      </c>
      <c r="O113" s="261">
        <f>'[4]Production-Demand Variable'!R46</f>
        <v>0</v>
      </c>
      <c r="P113" s="261">
        <f>'[4]Production-Demand Variable'!S46</f>
        <v>0</v>
      </c>
      <c r="Q113" s="260">
        <f t="shared" ref="Q113:Q119" si="22">ROUND(SUM(F113:P113)-E113,0)</f>
        <v>0</v>
      </c>
    </row>
    <row r="114" spans="1:17" hidden="1">
      <c r="A114" s="263">
        <f>ROW()</f>
        <v>114</v>
      </c>
      <c r="B114" s="261"/>
      <c r="C114" s="261" t="s">
        <v>913</v>
      </c>
      <c r="D114" s="271"/>
      <c r="E114" s="272">
        <f t="shared" si="21"/>
        <v>0</v>
      </c>
      <c r="F114" s="261">
        <f>'[4]Production-Demand Variable'!I47</f>
        <v>0</v>
      </c>
      <c r="G114" s="261">
        <f>'[4]Production-Demand Variable'!J47</f>
        <v>0</v>
      </c>
      <c r="H114" s="261">
        <f>'[4]Production-Demand Variable'!K47</f>
        <v>0</v>
      </c>
      <c r="I114" s="261">
        <f>'[4]Production-Demand Variable'!L47</f>
        <v>0</v>
      </c>
      <c r="J114" s="261">
        <f>'[4]Production-Demand Variable'!M47</f>
        <v>0</v>
      </c>
      <c r="K114" s="261">
        <f>'[4]Production-Demand Variable'!N47</f>
        <v>0</v>
      </c>
      <c r="L114" s="261">
        <f>'[4]Production-Demand Variable'!O47</f>
        <v>0</v>
      </c>
      <c r="M114" s="261">
        <f>'[4]Production-Demand Variable'!P47</f>
        <v>0</v>
      </c>
      <c r="N114" s="261">
        <f>'[4]Production-Demand Variable'!Q47</f>
        <v>0</v>
      </c>
      <c r="O114" s="261">
        <f>'[4]Production-Demand Variable'!R47</f>
        <v>0</v>
      </c>
      <c r="P114" s="261">
        <f>'[4]Production-Demand Variable'!S47</f>
        <v>0</v>
      </c>
      <c r="Q114" s="260">
        <f t="shared" si="22"/>
        <v>0</v>
      </c>
    </row>
    <row r="115" spans="1:17" hidden="1">
      <c r="A115" s="263">
        <f>ROW()</f>
        <v>115</v>
      </c>
      <c r="B115" s="261"/>
      <c r="C115" s="261" t="s">
        <v>914</v>
      </c>
      <c r="D115" s="271"/>
      <c r="E115" s="272">
        <f t="shared" si="21"/>
        <v>0</v>
      </c>
      <c r="F115" s="261">
        <f>'[4]Production-Demand Variable'!I48</f>
        <v>0</v>
      </c>
      <c r="G115" s="261">
        <f>'[4]Production-Demand Variable'!J48</f>
        <v>0</v>
      </c>
      <c r="H115" s="261">
        <f>'[4]Production-Demand Variable'!K48</f>
        <v>0</v>
      </c>
      <c r="I115" s="261">
        <f>'[4]Production-Demand Variable'!L48</f>
        <v>0</v>
      </c>
      <c r="J115" s="261">
        <f>'[4]Production-Demand Variable'!M48</f>
        <v>0</v>
      </c>
      <c r="K115" s="261">
        <f>'[4]Production-Demand Variable'!N48</f>
        <v>0</v>
      </c>
      <c r="L115" s="261">
        <f>'[4]Production-Demand Variable'!O48</f>
        <v>0</v>
      </c>
      <c r="M115" s="261">
        <f>'[4]Production-Demand Variable'!P48</f>
        <v>0</v>
      </c>
      <c r="N115" s="261">
        <f>'[4]Production-Demand Variable'!Q48</f>
        <v>0</v>
      </c>
      <c r="O115" s="261">
        <f>'[4]Production-Demand Variable'!R48</f>
        <v>0</v>
      </c>
      <c r="P115" s="261">
        <f>'[4]Production-Demand Variable'!S48</f>
        <v>0</v>
      </c>
      <c r="Q115" s="260">
        <f t="shared" si="22"/>
        <v>0</v>
      </c>
    </row>
    <row r="116" spans="1:17" hidden="1">
      <c r="A116" s="263">
        <f>ROW()</f>
        <v>116</v>
      </c>
      <c r="B116" s="261"/>
      <c r="C116" s="261" t="s">
        <v>915</v>
      </c>
      <c r="D116" s="271"/>
      <c r="E116" s="272">
        <f t="shared" si="21"/>
        <v>0</v>
      </c>
      <c r="F116" s="261">
        <f>'[4]Production-Demand Variable'!I49</f>
        <v>0</v>
      </c>
      <c r="G116" s="261">
        <f>'[4]Production-Demand Variable'!J49</f>
        <v>0</v>
      </c>
      <c r="H116" s="261">
        <f>'[4]Production-Demand Variable'!K49</f>
        <v>0</v>
      </c>
      <c r="I116" s="261">
        <f>'[4]Production-Demand Variable'!L49</f>
        <v>0</v>
      </c>
      <c r="J116" s="261">
        <f>'[4]Production-Demand Variable'!M49</f>
        <v>0</v>
      </c>
      <c r="K116" s="261">
        <f>'[4]Production-Demand Variable'!N49</f>
        <v>0</v>
      </c>
      <c r="L116" s="261">
        <f>'[4]Production-Demand Variable'!O49</f>
        <v>0</v>
      </c>
      <c r="M116" s="261">
        <f>'[4]Production-Demand Variable'!P49</f>
        <v>0</v>
      </c>
      <c r="N116" s="261">
        <f>'[4]Production-Demand Variable'!Q49</f>
        <v>0</v>
      </c>
      <c r="O116" s="261">
        <f>'[4]Production-Demand Variable'!R49</f>
        <v>0</v>
      </c>
      <c r="P116" s="261">
        <f>'[4]Production-Demand Variable'!S49</f>
        <v>0</v>
      </c>
      <c r="Q116" s="260">
        <f t="shared" si="22"/>
        <v>0</v>
      </c>
    </row>
    <row r="117" spans="1:17" hidden="1">
      <c r="A117" s="263">
        <f>ROW()</f>
        <v>117</v>
      </c>
      <c r="B117" s="261"/>
      <c r="C117" s="261" t="s">
        <v>916</v>
      </c>
      <c r="D117" s="271"/>
      <c r="E117" s="272">
        <f t="shared" si="21"/>
        <v>0</v>
      </c>
      <c r="F117" s="261">
        <f>'[4]Production-Demand Variable'!I50</f>
        <v>0</v>
      </c>
      <c r="G117" s="261">
        <f>'[4]Production-Demand Variable'!J50</f>
        <v>0</v>
      </c>
      <c r="H117" s="261">
        <f>'[4]Production-Demand Variable'!K50</f>
        <v>0</v>
      </c>
      <c r="I117" s="261">
        <f>'[4]Production-Demand Variable'!L50</f>
        <v>0</v>
      </c>
      <c r="J117" s="261">
        <f>'[4]Production-Demand Variable'!M50</f>
        <v>0</v>
      </c>
      <c r="K117" s="261">
        <f>'[4]Production-Demand Variable'!N50</f>
        <v>0</v>
      </c>
      <c r="L117" s="261">
        <f>'[4]Production-Demand Variable'!O50</f>
        <v>0</v>
      </c>
      <c r="M117" s="261">
        <f>'[4]Production-Demand Variable'!P50</f>
        <v>0</v>
      </c>
      <c r="N117" s="261">
        <f>'[4]Production-Demand Variable'!Q50</f>
        <v>0</v>
      </c>
      <c r="O117" s="261">
        <f>'[4]Production-Demand Variable'!R50</f>
        <v>0</v>
      </c>
      <c r="P117" s="261">
        <f>'[4]Production-Demand Variable'!S50</f>
        <v>0</v>
      </c>
      <c r="Q117" s="260">
        <f t="shared" si="22"/>
        <v>0</v>
      </c>
    </row>
    <row r="118" spans="1:17" hidden="1">
      <c r="A118" s="263">
        <f>ROW()</f>
        <v>118</v>
      </c>
      <c r="B118" s="261"/>
      <c r="C118" s="261" t="s">
        <v>643</v>
      </c>
      <c r="D118" s="271"/>
      <c r="E118" s="272">
        <f t="shared" si="21"/>
        <v>0</v>
      </c>
      <c r="F118" s="261">
        <f>'[4]Production-Demand Variable'!I51</f>
        <v>0</v>
      </c>
      <c r="G118" s="261">
        <f>'[4]Production-Demand Variable'!J51</f>
        <v>0</v>
      </c>
      <c r="H118" s="261">
        <f>'[4]Production-Demand Variable'!K51</f>
        <v>0</v>
      </c>
      <c r="I118" s="261">
        <f>'[4]Production-Demand Variable'!L51</f>
        <v>0</v>
      </c>
      <c r="J118" s="261">
        <f>'[4]Production-Demand Variable'!M51</f>
        <v>0</v>
      </c>
      <c r="K118" s="261">
        <f>'[4]Production-Demand Variable'!N51</f>
        <v>0</v>
      </c>
      <c r="L118" s="261">
        <f>'[4]Production-Demand Variable'!O51</f>
        <v>0</v>
      </c>
      <c r="M118" s="261">
        <f>'[4]Production-Demand Variable'!P51</f>
        <v>0</v>
      </c>
      <c r="N118" s="261">
        <f>'[4]Production-Demand Variable'!Q51</f>
        <v>0</v>
      </c>
      <c r="O118" s="261">
        <f>'[4]Production-Demand Variable'!R51</f>
        <v>0</v>
      </c>
      <c r="P118" s="261">
        <f>'[4]Production-Demand Variable'!S51</f>
        <v>0</v>
      </c>
      <c r="Q118" s="260">
        <f t="shared" si="22"/>
        <v>0</v>
      </c>
    </row>
    <row r="119" spans="1:17" hidden="1">
      <c r="A119" s="263">
        <f>ROW()</f>
        <v>119</v>
      </c>
      <c r="B119" s="261"/>
      <c r="C119" s="261" t="s">
        <v>917</v>
      </c>
      <c r="D119" s="271"/>
      <c r="E119" s="272">
        <f t="shared" si="21"/>
        <v>0</v>
      </c>
      <c r="F119" s="261">
        <f>'[4]Production-Demand Variable'!I52</f>
        <v>0</v>
      </c>
      <c r="G119" s="261">
        <f>'[4]Production-Demand Variable'!J52</f>
        <v>0</v>
      </c>
      <c r="H119" s="261">
        <f>'[4]Production-Demand Variable'!K52</f>
        <v>0</v>
      </c>
      <c r="I119" s="261">
        <f>'[4]Production-Demand Variable'!L52</f>
        <v>0</v>
      </c>
      <c r="J119" s="261">
        <f>'[4]Production-Demand Variable'!M52</f>
        <v>0</v>
      </c>
      <c r="K119" s="261">
        <f>'[4]Production-Demand Variable'!N52</f>
        <v>0</v>
      </c>
      <c r="L119" s="261">
        <f>'[4]Production-Demand Variable'!O52</f>
        <v>0</v>
      </c>
      <c r="M119" s="261">
        <f>'[4]Production-Demand Variable'!P52</f>
        <v>0</v>
      </c>
      <c r="N119" s="261">
        <f>'[4]Production-Demand Variable'!Q52</f>
        <v>0</v>
      </c>
      <c r="O119" s="261">
        <f>'[4]Production-Demand Variable'!R52</f>
        <v>0</v>
      </c>
      <c r="P119" s="261">
        <f>'[4]Production-Demand Variable'!S52</f>
        <v>0</v>
      </c>
      <c r="Q119" s="260">
        <f t="shared" si="22"/>
        <v>0</v>
      </c>
    </row>
    <row r="120" spans="1:17" hidden="1">
      <c r="A120" s="263">
        <f>ROW()</f>
        <v>120</v>
      </c>
      <c r="B120" s="261"/>
      <c r="C120" s="261"/>
      <c r="D120" s="271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</row>
    <row r="121" spans="1:17" hidden="1">
      <c r="A121" s="263">
        <f>ROW()</f>
        <v>121</v>
      </c>
      <c r="B121" s="261"/>
      <c r="C121" s="261" t="s">
        <v>672</v>
      </c>
      <c r="D121" s="271"/>
      <c r="E121" s="279">
        <f t="shared" ref="E121:P121" si="23">SUM(E113:E119)</f>
        <v>0</v>
      </c>
      <c r="F121" s="279">
        <f t="shared" si="23"/>
        <v>0</v>
      </c>
      <c r="G121" s="279">
        <f t="shared" si="23"/>
        <v>0</v>
      </c>
      <c r="H121" s="279">
        <f t="shared" si="23"/>
        <v>0</v>
      </c>
      <c r="I121" s="279">
        <f t="shared" si="23"/>
        <v>0</v>
      </c>
      <c r="J121" s="279">
        <f t="shared" si="23"/>
        <v>0</v>
      </c>
      <c r="K121" s="279">
        <f t="shared" si="23"/>
        <v>0</v>
      </c>
      <c r="L121" s="279">
        <f t="shared" si="23"/>
        <v>0</v>
      </c>
      <c r="M121" s="279">
        <f t="shared" si="23"/>
        <v>0</v>
      </c>
      <c r="N121" s="279">
        <f t="shared" si="23"/>
        <v>0</v>
      </c>
      <c r="O121" s="279">
        <f t="shared" si="23"/>
        <v>0</v>
      </c>
      <c r="P121" s="279">
        <f t="shared" si="23"/>
        <v>0</v>
      </c>
      <c r="Q121" s="260">
        <f>ROUND(SUM(F121:P121)-E121,0)</f>
        <v>0</v>
      </c>
    </row>
    <row r="122" spans="1:17" hidden="1">
      <c r="A122" s="263">
        <f>ROW()</f>
        <v>122</v>
      </c>
      <c r="B122" s="261"/>
      <c r="C122" s="261"/>
      <c r="D122" s="271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</row>
    <row r="123" spans="1:17" ht="13.5" hidden="1" thickBot="1">
      <c r="A123" s="263">
        <f>ROW()</f>
        <v>123</v>
      </c>
      <c r="B123" s="261"/>
      <c r="C123" s="261" t="s">
        <v>845</v>
      </c>
      <c r="D123" s="271"/>
      <c r="E123" s="281" t="e">
        <f t="shared" ref="E123:P123" si="24">E110+E121</f>
        <v>#DIV/0!</v>
      </c>
      <c r="F123" s="281" t="e">
        <f t="shared" si="24"/>
        <v>#DIV/0!</v>
      </c>
      <c r="G123" s="281" t="e">
        <f t="shared" si="24"/>
        <v>#DIV/0!</v>
      </c>
      <c r="H123" s="281" t="e">
        <f t="shared" si="24"/>
        <v>#DIV/0!</v>
      </c>
      <c r="I123" s="281" t="e">
        <f t="shared" si="24"/>
        <v>#DIV/0!</v>
      </c>
      <c r="J123" s="281" t="e">
        <f t="shared" si="24"/>
        <v>#DIV/0!</v>
      </c>
      <c r="K123" s="281" t="e">
        <f t="shared" si="24"/>
        <v>#DIV/0!</v>
      </c>
      <c r="L123" s="281" t="e">
        <f t="shared" si="24"/>
        <v>#DIV/0!</v>
      </c>
      <c r="M123" s="281" t="e">
        <f t="shared" si="24"/>
        <v>#DIV/0!</v>
      </c>
      <c r="N123" s="281" t="e">
        <f t="shared" si="24"/>
        <v>#DIV/0!</v>
      </c>
      <c r="O123" s="281" t="e">
        <f t="shared" si="24"/>
        <v>#DIV/0!</v>
      </c>
      <c r="P123" s="281" t="e">
        <f t="shared" si="24"/>
        <v>#DIV/0!</v>
      </c>
      <c r="Q123" s="260" t="e">
        <f>ROUND(SUM(F123:P123)-E123,0)</f>
        <v>#DIV/0!</v>
      </c>
    </row>
    <row r="124" spans="1:17" ht="13.5" hidden="1" thickTop="1">
      <c r="A124" s="263">
        <f>ROW()</f>
        <v>124</v>
      </c>
      <c r="B124" s="261"/>
      <c r="C124" s="261"/>
      <c r="D124" s="271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</row>
    <row r="125" spans="1:17" hidden="1">
      <c r="A125" s="263">
        <f>ROW()</f>
        <v>125</v>
      </c>
      <c r="B125" s="261"/>
      <c r="C125" s="280" t="s">
        <v>918</v>
      </c>
      <c r="D125" s="271"/>
      <c r="E125" s="282"/>
      <c r="F125" s="282">
        <f>'[4]Class Summary'!F59</f>
        <v>5.6357604475278253E-2</v>
      </c>
      <c r="G125" s="282">
        <f>'[4]Class Summary'!G59</f>
        <v>8.2020099439159791E-2</v>
      </c>
      <c r="H125" s="282">
        <f>'[4]Class Summary'!H59</f>
        <v>7.8211925467174342E-2</v>
      </c>
      <c r="I125" s="282">
        <f>'[4]Class Summary'!I59</f>
        <v>0.14801867864076429</v>
      </c>
      <c r="J125" s="282">
        <f>'[4]Class Summary'!J59</f>
        <v>6.2596212964216191E-2</v>
      </c>
      <c r="K125" s="282">
        <f>'[4]Class Summary'!K59</f>
        <v>6.7346419011661135E-2</v>
      </c>
      <c r="L125" s="282">
        <f>'[4]Class Summary'!L59</f>
        <v>8.750222466242473E-2</v>
      </c>
      <c r="M125" s="282">
        <f>'[4]Class Summary'!M59</f>
        <v>0.18734677978999126</v>
      </c>
      <c r="N125" s="282">
        <f>'[4]Class Summary'!N59</f>
        <v>8.6072134543170364E-2</v>
      </c>
      <c r="O125" s="282">
        <f>'[4]Class Summary'!O59</f>
        <v>4.8124327013229551E-2</v>
      </c>
      <c r="P125" s="282">
        <f>'[4]Class Summary'!P59</f>
        <v>7.6479042302476777E-2</v>
      </c>
    </row>
    <row r="126" spans="1:17" hidden="1">
      <c r="A126" s="263">
        <f>ROW()</f>
        <v>126</v>
      </c>
      <c r="B126" s="261"/>
    </row>
    <row r="127" spans="1:17" hidden="1">
      <c r="A127" s="263">
        <f>ROW()</f>
        <v>127</v>
      </c>
      <c r="B127" s="261"/>
      <c r="C127" s="261" t="s">
        <v>847</v>
      </c>
      <c r="D127" s="271">
        <f>'[4]P+T+D+R+M'!$H$59</f>
        <v>6.7805240282880597E-2</v>
      </c>
      <c r="E127" s="261" t="e">
        <f t="shared" ref="E127:P127" si="25">$D$127*E123</f>
        <v>#DIV/0!</v>
      </c>
      <c r="F127" s="261" t="e">
        <f t="shared" si="25"/>
        <v>#DIV/0!</v>
      </c>
      <c r="G127" s="261" t="e">
        <f t="shared" si="25"/>
        <v>#DIV/0!</v>
      </c>
      <c r="H127" s="261" t="e">
        <f t="shared" si="25"/>
        <v>#DIV/0!</v>
      </c>
      <c r="I127" s="261" t="e">
        <f t="shared" si="25"/>
        <v>#DIV/0!</v>
      </c>
      <c r="J127" s="261" t="e">
        <f t="shared" si="25"/>
        <v>#DIV/0!</v>
      </c>
      <c r="K127" s="261" t="e">
        <f t="shared" si="25"/>
        <v>#DIV/0!</v>
      </c>
      <c r="L127" s="261" t="e">
        <f t="shared" si="25"/>
        <v>#DIV/0!</v>
      </c>
      <c r="M127" s="261" t="e">
        <f t="shared" si="25"/>
        <v>#DIV/0!</v>
      </c>
      <c r="N127" s="261" t="e">
        <f t="shared" si="25"/>
        <v>#DIV/0!</v>
      </c>
      <c r="O127" s="261" t="e">
        <f t="shared" si="25"/>
        <v>#DIV/0!</v>
      </c>
      <c r="P127" s="261" t="e">
        <f t="shared" si="25"/>
        <v>#DIV/0!</v>
      </c>
      <c r="Q127" s="260" t="e">
        <f>ROUND(SUM(F127:P127)-E127,0)</f>
        <v>#DIV/0!</v>
      </c>
    </row>
    <row r="128" spans="1:17" hidden="1">
      <c r="A128" s="263">
        <f>ROW()</f>
        <v>128</v>
      </c>
      <c r="B128" s="261"/>
      <c r="C128" s="261" t="s">
        <v>499</v>
      </c>
      <c r="D128" s="271"/>
      <c r="E128" s="283" t="e">
        <f>SUM(F128:P128)</f>
        <v>#DIV/0!</v>
      </c>
      <c r="F128" s="283" t="e">
        <f>F94+((F127-(F123*F125))*(1/[4]Inputs!$H$20))-(F127-(F123*F125))</f>
        <v>#DIV/0!</v>
      </c>
      <c r="G128" s="283" t="e">
        <f>G94+((G127-(G123*G125))*(1/[4]Inputs!$H$20))-(G127-(G123*G125))</f>
        <v>#DIV/0!</v>
      </c>
      <c r="H128" s="283" t="e">
        <f>H94+((H127-(H123*H125))*(1/[4]Inputs!$H$20))-(H127-(H123*H125))</f>
        <v>#DIV/0!</v>
      </c>
      <c r="I128" s="283" t="e">
        <f>I94+((I127-(I123*I125))*(1/[4]Inputs!$H$20))-(I127-(I123*I125))</f>
        <v>#DIV/0!</v>
      </c>
      <c r="J128" s="283" t="e">
        <f>J94+((J127-(J123*J125))*(1/[4]Inputs!$H$20))-(J127-(J123*J125))</f>
        <v>#DIV/0!</v>
      </c>
      <c r="K128" s="283" t="e">
        <f>K94+((K127-(K123*K125))*(1/[4]Inputs!$H$20))-(K127-(K123*K125))</f>
        <v>#DIV/0!</v>
      </c>
      <c r="L128" s="283" t="e">
        <f>L94+((L127-(L123*L125))*(1/[4]Inputs!$H$20))-(L127-(L123*L125))</f>
        <v>#DIV/0!</v>
      </c>
      <c r="M128" s="283" t="e">
        <f>M94+((M127-(M123*M125))*(1/[4]Inputs!$H$20))-(M127-(M123*M125))</f>
        <v>#DIV/0!</v>
      </c>
      <c r="N128" s="283" t="e">
        <f>N94+((N127-(N123*N125))*(1/[4]Inputs!$H$20))-(N127-(N123*N125))</f>
        <v>#DIV/0!</v>
      </c>
      <c r="O128" s="283" t="e">
        <f>O94+((O127-(O123*O125))*(1/[4]Inputs!$H$20))-(O127-(O123*O125))</f>
        <v>#DIV/0!</v>
      </c>
      <c r="P128" s="283" t="e">
        <f>P94+((P127-(P123*P125))*(1/[4]Inputs!$H$20))-(P127-(P123*P125))</f>
        <v>#DIV/0!</v>
      </c>
      <c r="Q128" s="260" t="e">
        <f>ROUND(SUM(F128:P128)-E128,0)</f>
        <v>#DIV/0!</v>
      </c>
    </row>
    <row r="129" spans="1:17" hidden="1">
      <c r="A129" s="263">
        <f>ROW()</f>
        <v>129</v>
      </c>
      <c r="B129" s="261"/>
      <c r="C129" s="261" t="s">
        <v>833</v>
      </c>
      <c r="D129" s="271"/>
      <c r="E129" s="284" t="e">
        <f>'[4]Production-Demand Variable'!H97</f>
        <v>#VALUE!</v>
      </c>
      <c r="F129" s="284">
        <f>'[4]Production-Demand Variable'!I97</f>
        <v>-28370073.634407312</v>
      </c>
      <c r="G129" s="284">
        <f>'[4]Production-Demand Variable'!J97</f>
        <v>-21508902.242300052</v>
      </c>
      <c r="H129" s="284">
        <f>'[4]Production-Demand Variable'!K97</f>
        <v>-6319158.8672004398</v>
      </c>
      <c r="I129" s="284">
        <f>'[4]Production-Demand Variable'!L97</f>
        <v>-85038.344335308779</v>
      </c>
      <c r="J129" s="284">
        <f>'[4]Production-Demand Variable'!M97</f>
        <v>-14114132.775683172</v>
      </c>
      <c r="K129" s="284">
        <f>'[4]Production-Demand Variable'!N97</f>
        <v>-665083.64409657114</v>
      </c>
      <c r="L129" s="284">
        <f>'[4]Production-Demand Variable'!O97</f>
        <v>-22357.727832872097</v>
      </c>
      <c r="M129" s="284">
        <f>'[4]Production-Demand Variable'!P97</f>
        <v>-28815.976614649706</v>
      </c>
      <c r="N129" s="284">
        <f>'[4]Production-Demand Variable'!Q97</f>
        <v>-5001263.3816525638</v>
      </c>
      <c r="O129" s="284">
        <f>'[4]Production-Demand Variable'!R97</f>
        <v>-1759070.289059937</v>
      </c>
      <c r="P129" s="284">
        <f>'[4]Production-Demand Variable'!S97</f>
        <v>-1341149.3724588144</v>
      </c>
      <c r="Q129" s="260" t="e">
        <f>ROUND(SUM(F129:P129)-E129,0)</f>
        <v>#VALUE!</v>
      </c>
    </row>
    <row r="130" spans="1:17" hidden="1">
      <c r="A130" s="263">
        <f>ROW()</f>
        <v>130</v>
      </c>
    </row>
    <row r="131" spans="1:17" hidden="1">
      <c r="A131" s="263">
        <f>ROW()</f>
        <v>131</v>
      </c>
      <c r="B131" s="261"/>
      <c r="C131" s="261" t="s">
        <v>832</v>
      </c>
      <c r="D131" s="271"/>
      <c r="E131" s="283" t="e">
        <f t="shared" ref="E131:P131" si="26">SUM(E127:E129)</f>
        <v>#DIV/0!</v>
      </c>
      <c r="F131" s="283" t="e">
        <f t="shared" si="26"/>
        <v>#DIV/0!</v>
      </c>
      <c r="G131" s="283" t="e">
        <f t="shared" si="26"/>
        <v>#DIV/0!</v>
      </c>
      <c r="H131" s="283" t="e">
        <f t="shared" si="26"/>
        <v>#DIV/0!</v>
      </c>
      <c r="I131" s="283" t="e">
        <f t="shared" si="26"/>
        <v>#DIV/0!</v>
      </c>
      <c r="J131" s="283" t="e">
        <f t="shared" si="26"/>
        <v>#DIV/0!</v>
      </c>
      <c r="K131" s="283" t="e">
        <f t="shared" si="26"/>
        <v>#DIV/0!</v>
      </c>
      <c r="L131" s="283" t="e">
        <f t="shared" si="26"/>
        <v>#DIV/0!</v>
      </c>
      <c r="M131" s="283" t="e">
        <f t="shared" si="26"/>
        <v>#DIV/0!</v>
      </c>
      <c r="N131" s="283" t="e">
        <f t="shared" si="26"/>
        <v>#DIV/0!</v>
      </c>
      <c r="O131" s="283" t="e">
        <f t="shared" si="26"/>
        <v>#DIV/0!</v>
      </c>
      <c r="P131" s="283" t="e">
        <f t="shared" si="26"/>
        <v>#DIV/0!</v>
      </c>
      <c r="Q131" s="260" t="e">
        <f>ROUND(SUM(F131:P131)-E131,0)</f>
        <v>#DIV/0!</v>
      </c>
    </row>
    <row r="132" spans="1:17" hidden="1">
      <c r="A132" s="263">
        <f>ROW()</f>
        <v>132</v>
      </c>
      <c r="Q132" s="260">
        <f>ROUND(SUM(F132:P132)-E132,0)</f>
        <v>0</v>
      </c>
    </row>
    <row r="133" spans="1:17" hidden="1">
      <c r="A133" s="263">
        <f>ROW()</f>
        <v>133</v>
      </c>
    </row>
    <row r="134" spans="1:17">
      <c r="A134" s="263">
        <f>ROW()</f>
        <v>134</v>
      </c>
      <c r="C134" s="261" t="s">
        <v>919</v>
      </c>
      <c r="D134" s="271">
        <f>[4]Inputs!L6</f>
        <v>7.7030070290040428E-2</v>
      </c>
      <c r="E134" s="261" t="e">
        <f t="shared" ref="E134:P134" si="27">$D134*E123</f>
        <v>#DIV/0!</v>
      </c>
      <c r="F134" s="261" t="e">
        <f t="shared" si="27"/>
        <v>#DIV/0!</v>
      </c>
      <c r="G134" s="261" t="e">
        <f t="shared" si="27"/>
        <v>#DIV/0!</v>
      </c>
      <c r="H134" s="261" t="e">
        <f t="shared" si="27"/>
        <v>#DIV/0!</v>
      </c>
      <c r="I134" s="261" t="e">
        <f t="shared" si="27"/>
        <v>#DIV/0!</v>
      </c>
      <c r="J134" s="261" t="e">
        <f t="shared" si="27"/>
        <v>#DIV/0!</v>
      </c>
      <c r="K134" s="261" t="e">
        <f t="shared" si="27"/>
        <v>#DIV/0!</v>
      </c>
      <c r="L134" s="261" t="e">
        <f t="shared" si="27"/>
        <v>#DIV/0!</v>
      </c>
      <c r="M134" s="261" t="e">
        <f t="shared" si="27"/>
        <v>#DIV/0!</v>
      </c>
      <c r="N134" s="261" t="e">
        <f t="shared" si="27"/>
        <v>#DIV/0!</v>
      </c>
      <c r="O134" s="261" t="e">
        <f t="shared" si="27"/>
        <v>#DIV/0!</v>
      </c>
      <c r="P134" s="261" t="e">
        <f t="shared" si="27"/>
        <v>#DIV/0!</v>
      </c>
      <c r="Q134" s="260" t="e">
        <f>ROUND(SUM(F134:P134)-E134,0)</f>
        <v>#DIV/0!</v>
      </c>
    </row>
    <row r="135" spans="1:17">
      <c r="A135" s="263">
        <f>ROW()</f>
        <v>135</v>
      </c>
      <c r="C135" s="261" t="s">
        <v>920</v>
      </c>
      <c r="D135" s="271"/>
      <c r="E135" s="283" t="e">
        <f>SUM(F135:P135)</f>
        <v>#DIV/0!</v>
      </c>
      <c r="F135" s="283" t="e">
        <f>F128+((F134-F127)*(1/[4]Inputs!$H$20))-(F134-F127)</f>
        <v>#DIV/0!</v>
      </c>
      <c r="G135" s="283" t="e">
        <f>G128+((G134-G127)*(1/[4]Inputs!$H$20))-(G134-G127)</f>
        <v>#DIV/0!</v>
      </c>
      <c r="H135" s="283" t="e">
        <f>H128+((H134-H127)*(1/[4]Inputs!$H$20))-(H134-H127)</f>
        <v>#DIV/0!</v>
      </c>
      <c r="I135" s="283" t="e">
        <f>I128+((I134-I127)*(1/[4]Inputs!$H$20))-(I134-I127)</f>
        <v>#DIV/0!</v>
      </c>
      <c r="J135" s="283" t="e">
        <f>J128+((J134-J127)*(1/[4]Inputs!$H$20))-(J134-J127)</f>
        <v>#DIV/0!</v>
      </c>
      <c r="K135" s="283" t="e">
        <f>K128+((K134-K127)*(1/[4]Inputs!$H$20))-(K134-K127)</f>
        <v>#DIV/0!</v>
      </c>
      <c r="L135" s="283" t="e">
        <f>L128+((L134-L127)*(1/[4]Inputs!$H$20))-(L134-L127)</f>
        <v>#DIV/0!</v>
      </c>
      <c r="M135" s="283" t="e">
        <f>M128+((M134-M127)*(1/[4]Inputs!$H$20))-(M134-M127)</f>
        <v>#DIV/0!</v>
      </c>
      <c r="N135" s="283" t="e">
        <f>N128+((N134-N127)*(1/[4]Inputs!$H$20))-(N134-N127)</f>
        <v>#DIV/0!</v>
      </c>
      <c r="O135" s="283" t="e">
        <f>O128+((O134-O127)*(1/[4]Inputs!$H$20))-(O134-O127)</f>
        <v>#DIV/0!</v>
      </c>
      <c r="P135" s="283" t="e">
        <f>P128+((P134-P127)*(1/[4]Inputs!$H$20))-(P134-P127)</f>
        <v>#DIV/0!</v>
      </c>
      <c r="Q135" s="260" t="e">
        <f>ROUND(SUM(F135:P135)-E135,0)</f>
        <v>#DIV/0!</v>
      </c>
    </row>
    <row r="136" spans="1:17">
      <c r="A136" s="263">
        <f>ROW()</f>
        <v>136</v>
      </c>
      <c r="C136" s="261" t="s">
        <v>833</v>
      </c>
      <c r="D136" s="271"/>
      <c r="E136" s="284" t="e">
        <f t="shared" ref="E136:P136" si="28">E129</f>
        <v>#VALUE!</v>
      </c>
      <c r="F136" s="284">
        <f t="shared" si="28"/>
        <v>-28370073.634407312</v>
      </c>
      <c r="G136" s="284">
        <f t="shared" si="28"/>
        <v>-21508902.242300052</v>
      </c>
      <c r="H136" s="284">
        <f t="shared" si="28"/>
        <v>-6319158.8672004398</v>
      </c>
      <c r="I136" s="284">
        <f t="shared" si="28"/>
        <v>-85038.344335308779</v>
      </c>
      <c r="J136" s="284">
        <f t="shared" si="28"/>
        <v>-14114132.775683172</v>
      </c>
      <c r="K136" s="284">
        <f t="shared" si="28"/>
        <v>-665083.64409657114</v>
      </c>
      <c r="L136" s="284">
        <f t="shared" si="28"/>
        <v>-22357.727832872097</v>
      </c>
      <c r="M136" s="284">
        <f t="shared" si="28"/>
        <v>-28815.976614649706</v>
      </c>
      <c r="N136" s="284">
        <f t="shared" si="28"/>
        <v>-5001263.3816525638</v>
      </c>
      <c r="O136" s="284">
        <f t="shared" si="28"/>
        <v>-1759070.289059937</v>
      </c>
      <c r="P136" s="284">
        <f t="shared" si="28"/>
        <v>-1341149.3724588144</v>
      </c>
      <c r="Q136" s="260" t="e">
        <f>ROUND(SUM(F136:P136)-E136,0)</f>
        <v>#VALUE!</v>
      </c>
    </row>
    <row r="137" spans="1:17">
      <c r="A137" s="263">
        <f>ROW()</f>
        <v>137</v>
      </c>
    </row>
    <row r="138" spans="1:17">
      <c r="A138" s="263">
        <f>ROW()</f>
        <v>138</v>
      </c>
      <c r="C138" s="261" t="s">
        <v>921</v>
      </c>
      <c r="D138" s="271"/>
      <c r="E138" s="283" t="e">
        <f t="shared" ref="E138:P138" si="29">SUM(E134:E136)</f>
        <v>#DIV/0!</v>
      </c>
      <c r="F138" s="283" t="e">
        <f t="shared" si="29"/>
        <v>#DIV/0!</v>
      </c>
      <c r="G138" s="283" t="e">
        <f t="shared" si="29"/>
        <v>#DIV/0!</v>
      </c>
      <c r="H138" s="283" t="e">
        <f t="shared" si="29"/>
        <v>#DIV/0!</v>
      </c>
      <c r="I138" s="283" t="e">
        <f t="shared" si="29"/>
        <v>#DIV/0!</v>
      </c>
      <c r="J138" s="283" t="e">
        <f t="shared" si="29"/>
        <v>#DIV/0!</v>
      </c>
      <c r="K138" s="283" t="e">
        <f t="shared" si="29"/>
        <v>#DIV/0!</v>
      </c>
      <c r="L138" s="283" t="e">
        <f t="shared" si="29"/>
        <v>#DIV/0!</v>
      </c>
      <c r="M138" s="283" t="e">
        <f t="shared" si="29"/>
        <v>#DIV/0!</v>
      </c>
      <c r="N138" s="283" t="e">
        <f t="shared" si="29"/>
        <v>#DIV/0!</v>
      </c>
      <c r="O138" s="283" t="e">
        <f t="shared" si="29"/>
        <v>#DIV/0!</v>
      </c>
      <c r="P138" s="283" t="e">
        <f t="shared" si="29"/>
        <v>#DIV/0!</v>
      </c>
      <c r="Q138" s="260" t="e">
        <f>ROUND(SUM(F138:P138)-E138,0)</f>
        <v>#DIV/0!</v>
      </c>
    </row>
    <row r="139" spans="1:17">
      <c r="C139" s="285"/>
    </row>
    <row r="140" spans="1:17">
      <c r="A140" s="263"/>
      <c r="B140" s="264"/>
      <c r="C140" s="264" t="str">
        <f>[4]Inputs!$C$4</f>
        <v>Rocky Mountain Power</v>
      </c>
      <c r="D140" s="265"/>
      <c r="E140" s="266"/>
      <c r="F140" s="264"/>
      <c r="G140" s="266"/>
      <c r="H140" s="266"/>
      <c r="I140" s="266"/>
      <c r="J140" s="264"/>
      <c r="K140" s="264"/>
      <c r="L140" s="264"/>
      <c r="M140" s="264"/>
      <c r="N140" s="264"/>
      <c r="O140" s="266"/>
      <c r="P140" s="266"/>
    </row>
    <row r="141" spans="1:17">
      <c r="A141" s="263"/>
      <c r="B141" s="264"/>
      <c r="C141" s="266" t="s">
        <v>923</v>
      </c>
      <c r="D141" s="265"/>
      <c r="E141" s="266"/>
      <c r="F141" s="264"/>
      <c r="G141" s="266"/>
      <c r="H141" s="264"/>
      <c r="I141" s="264"/>
      <c r="J141" s="264"/>
      <c r="K141" s="264"/>
      <c r="L141" s="264"/>
      <c r="M141" s="264"/>
      <c r="N141" s="264"/>
      <c r="O141" s="266"/>
      <c r="P141" s="266"/>
    </row>
    <row r="142" spans="1:17">
      <c r="A142" s="263"/>
      <c r="B142" s="264"/>
      <c r="C142" s="264" t="str">
        <f>[4]Inputs!$C$5</f>
        <v>State of Utah</v>
      </c>
      <c r="D142" s="265"/>
      <c r="E142" s="266"/>
      <c r="F142" s="264"/>
      <c r="G142" s="266"/>
      <c r="H142" s="264"/>
      <c r="I142" s="264"/>
      <c r="J142" s="264"/>
      <c r="K142" s="264"/>
      <c r="L142" s="264"/>
      <c r="M142" s="264"/>
      <c r="N142" s="264"/>
      <c r="O142" s="266"/>
      <c r="P142" s="266"/>
    </row>
    <row r="143" spans="1:17">
      <c r="A143" s="263"/>
      <c r="B143" s="264"/>
      <c r="C143" s="264" t="str">
        <f>[4]Inputs!$C$7</f>
        <v>2020 Protocol (Non Wgt)</v>
      </c>
      <c r="D143" s="265"/>
      <c r="E143" s="266"/>
      <c r="F143" s="264"/>
      <c r="G143" s="266"/>
      <c r="H143" s="264"/>
      <c r="I143" s="264"/>
      <c r="J143" s="264"/>
      <c r="K143" s="264"/>
      <c r="L143" s="264"/>
      <c r="M143" s="264"/>
      <c r="N143" s="264"/>
      <c r="O143" s="264"/>
      <c r="P143" s="264"/>
    </row>
    <row r="144" spans="1:17">
      <c r="A144" s="263"/>
      <c r="B144" s="267"/>
      <c r="C144" s="264" t="str">
        <f>[4]Inputs!C6</f>
        <v>12 Months Ended Dec 2021</v>
      </c>
      <c r="D144" s="265"/>
      <c r="E144" s="266"/>
      <c r="F144" s="264"/>
      <c r="G144" s="266"/>
      <c r="H144" s="264"/>
      <c r="I144" s="264"/>
      <c r="J144" s="264"/>
      <c r="K144" s="264"/>
      <c r="L144" s="264"/>
      <c r="M144" s="264"/>
      <c r="N144" s="264"/>
      <c r="O144" s="264"/>
      <c r="P144" s="264"/>
    </row>
    <row r="145" spans="1:17">
      <c r="A145" s="263"/>
      <c r="F145" s="268"/>
      <c r="G145" s="268"/>
      <c r="H145" s="268"/>
      <c r="I145" s="268"/>
      <c r="J145" s="268"/>
      <c r="K145" s="268"/>
      <c r="L145" s="268"/>
      <c r="M145" s="268"/>
      <c r="N145" s="268"/>
      <c r="O145" s="268"/>
      <c r="P145" s="268"/>
    </row>
    <row r="146" spans="1:17">
      <c r="A146" s="263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</row>
    <row r="147" spans="1:17">
      <c r="A147" s="263"/>
      <c r="B147" s="261"/>
      <c r="C147" s="269" t="s">
        <v>887</v>
      </c>
      <c r="D147" s="270" t="s">
        <v>888</v>
      </c>
      <c r="E147" s="269" t="s">
        <v>889</v>
      </c>
      <c r="F147" s="269" t="s">
        <v>789</v>
      </c>
      <c r="G147" s="269" t="s">
        <v>890</v>
      </c>
      <c r="H147" s="269" t="s">
        <v>891</v>
      </c>
      <c r="I147" s="269" t="s">
        <v>164</v>
      </c>
      <c r="J147" s="269" t="s">
        <v>892</v>
      </c>
      <c r="K147" s="269" t="s">
        <v>893</v>
      </c>
      <c r="L147" s="269" t="s">
        <v>894</v>
      </c>
      <c r="M147" s="269" t="s">
        <v>895</v>
      </c>
      <c r="N147" s="269" t="s">
        <v>896</v>
      </c>
      <c r="O147" s="269" t="s">
        <v>897</v>
      </c>
      <c r="P147" s="269" t="s">
        <v>898</v>
      </c>
      <c r="Q147" s="269"/>
    </row>
    <row r="148" spans="1:17">
      <c r="A148" s="263"/>
      <c r="B148" s="261"/>
      <c r="C148" s="261"/>
      <c r="D148" s="271"/>
      <c r="E148" s="269"/>
      <c r="F148" s="272"/>
      <c r="G148" s="263"/>
      <c r="H148" s="263"/>
      <c r="I148" s="263"/>
      <c r="J148" s="263"/>
      <c r="K148" s="272"/>
      <c r="L148" s="263"/>
      <c r="M148" s="263"/>
      <c r="N148" s="263"/>
      <c r="O148" s="268"/>
      <c r="P148" s="268"/>
      <c r="Q148" s="273" t="s">
        <v>899</v>
      </c>
    </row>
    <row r="149" spans="1:17" ht="38.25">
      <c r="A149" s="263"/>
      <c r="B149" s="274"/>
      <c r="C149" s="275" t="s">
        <v>900</v>
      </c>
      <c r="D149" s="276"/>
      <c r="E149" s="277" t="str">
        <f>'[4]P+T+D+R+M'!H$10</f>
        <v>Utah
Jurisdiction
Normalized</v>
      </c>
      <c r="F149" s="277" t="str">
        <f>'[4]P+T+D+R+M'!I$10</f>
        <v>Residential
Sch 1</v>
      </c>
      <c r="G149" s="277" t="str">
        <f>'[4]P+T+D+R+M'!J$10</f>
        <v>General
Large Dist.
Sch 6</v>
      </c>
      <c r="H149" s="277" t="str">
        <f>'[4]P+T+D+R+M'!K$10</f>
        <v>General
+1 MW
Sch 8</v>
      </c>
      <c r="I149" s="277" t="str">
        <f>'[4]P+T+D+R+M'!L$10</f>
        <v>Street &amp; Area
Lighting
Sch. 7,11,12</v>
      </c>
      <c r="J149" s="277" t="str">
        <f>'[4]P+T+D+R+M'!M$10</f>
        <v>General
Trans
Sch 9</v>
      </c>
      <c r="K149" s="277" t="str">
        <f>'[4]P+T+D+R+M'!N$10</f>
        <v>Irrigation
Sch 10</v>
      </c>
      <c r="L149" s="277" t="str">
        <f>'[4]P+T+D+R+M'!O$10</f>
        <v>Traffic
Signals
Sch 15</v>
      </c>
      <c r="M149" s="277" t="str">
        <f>'[4]P+T+D+R+M'!P$10</f>
        <v>Outdoor
Lighting
Sch 15</v>
      </c>
      <c r="N149" s="277" t="str">
        <f>'[4]P+T+D+R+M'!Q$10</f>
        <v>General
Small Dist.
Sch 23</v>
      </c>
      <c r="O149" s="277" t="str">
        <f>'[4]P+T+D+R+M'!R$10</f>
        <v>Industrial
Cust 1</v>
      </c>
      <c r="P149" s="277" t="str">
        <f>'[4]P+T+D+R+M'!S$10</f>
        <v>Industrial
Cust 2</v>
      </c>
      <c r="Q149" s="278" t="e">
        <f>ROUND(SUM(Q154:Q208),0)</f>
        <v>#DIV/0!</v>
      </c>
    </row>
    <row r="150" spans="1:17">
      <c r="A150" s="263"/>
      <c r="B150" s="274"/>
      <c r="C150" s="275"/>
      <c r="D150" s="276"/>
      <c r="E150" s="275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3"/>
    </row>
    <row r="151" spans="1:17">
      <c r="A151" s="263"/>
      <c r="B151" s="274"/>
      <c r="C151" s="280" t="s">
        <v>480</v>
      </c>
      <c r="D151" s="276"/>
      <c r="E151" s="269">
        <f>'[4]Production-Energy Variable'!H12</f>
        <v>443965905.27642524</v>
      </c>
      <c r="F151" s="269">
        <f>'[4]Production-Energy Variable'!I12</f>
        <v>134411793.9475292</v>
      </c>
      <c r="G151" s="269">
        <f>'[4]Production-Energy Variable'!J12</f>
        <v>120860353.54149249</v>
      </c>
      <c r="H151" s="269">
        <f>'[4]Production-Energy Variable'!K12</f>
        <v>38904643.314875342</v>
      </c>
      <c r="I151" s="269">
        <f>'[4]Production-Energy Variable'!L12</f>
        <v>956881.74821290432</v>
      </c>
      <c r="J151" s="269">
        <f>'[4]Production-Energy Variable'!M12</f>
        <v>91902864.992784709</v>
      </c>
      <c r="K151" s="269">
        <f>'[4]Production-Energy Variable'!N12</f>
        <v>4442635.7000258965</v>
      </c>
      <c r="L151" s="269">
        <f>'[4]Production-Energy Variable'!O12</f>
        <v>149913.70477229505</v>
      </c>
      <c r="M151" s="269">
        <f>'[4]Production-Energy Variable'!P12</f>
        <v>300712.94475435128</v>
      </c>
      <c r="N151" s="269">
        <f>'[4]Production-Energy Variable'!Q12</f>
        <v>27471488.863498613</v>
      </c>
      <c r="O151" s="269">
        <f>'[4]Production-Energy Variable'!R12</f>
        <v>11590336.369349573</v>
      </c>
      <c r="P151" s="269">
        <f>'[4]Production-Energy Variable'!S12</f>
        <v>12974280.149129771</v>
      </c>
      <c r="Q151" s="283"/>
    </row>
    <row r="152" spans="1:17">
      <c r="A152" s="263"/>
      <c r="B152" s="261"/>
      <c r="C152" s="261"/>
      <c r="D152" s="271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</row>
    <row r="153" spans="1:17">
      <c r="A153" s="263">
        <f>ROW()</f>
        <v>153</v>
      </c>
      <c r="B153" s="261"/>
      <c r="C153" s="261" t="s">
        <v>878</v>
      </c>
      <c r="D153" s="271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</row>
    <row r="154" spans="1:17">
      <c r="A154" s="263">
        <f>ROW()</f>
        <v>154</v>
      </c>
      <c r="B154" s="261"/>
      <c r="C154" s="261" t="s">
        <v>901</v>
      </c>
      <c r="D154" s="271"/>
      <c r="E154" s="272">
        <f t="shared" ref="E154:E162" si="30">SUM(F154:P154)</f>
        <v>472183852.77716583</v>
      </c>
      <c r="F154" s="261">
        <f>'[4]Production-Energy Variable'!I15</f>
        <v>144517768.5855335</v>
      </c>
      <c r="G154" s="261">
        <f>'[4]Production-Energy Variable'!J15</f>
        <v>128522244.84826629</v>
      </c>
      <c r="H154" s="261">
        <f>'[4]Production-Energy Variable'!K15</f>
        <v>41155651.19269757</v>
      </c>
      <c r="I154" s="261">
        <f>'[4]Production-Energy Variable'!L15</f>
        <v>987174.0682888109</v>
      </c>
      <c r="J154" s="261">
        <f>'[4]Production-Energy Variable'!M15</f>
        <v>96930594.906586856</v>
      </c>
      <c r="K154" s="261">
        <f>'[4]Production-Energy Variable'!N15</f>
        <v>4679551.4911516476</v>
      </c>
      <c r="L154" s="261">
        <f>'[4]Production-Energy Variable'!O15</f>
        <v>157877.96434222365</v>
      </c>
      <c r="M154" s="261">
        <f>'[4]Production-Energy Variable'!P15</f>
        <v>310977.75874777674</v>
      </c>
      <c r="N154" s="261">
        <f>'[4]Production-Energy Variable'!Q15</f>
        <v>29253036.614987776</v>
      </c>
      <c r="O154" s="261">
        <f>'[4]Production-Energy Variable'!R15</f>
        <v>12216951.582154183</v>
      </c>
      <c r="P154" s="261">
        <f>'[4]Production-Energy Variable'!S15</f>
        <v>13452023.764409157</v>
      </c>
      <c r="Q154" s="260">
        <f t="shared" ref="Q154:Q162" si="31">ROUND(SUM(F154:P154)-E154,0)</f>
        <v>0</v>
      </c>
    </row>
    <row r="155" spans="1:17">
      <c r="A155" s="263">
        <f>ROW()</f>
        <v>155</v>
      </c>
      <c r="B155" s="261"/>
      <c r="C155" s="261" t="s">
        <v>841</v>
      </c>
      <c r="D155" s="271"/>
      <c r="E155" s="272">
        <f t="shared" si="30"/>
        <v>0</v>
      </c>
      <c r="F155" s="261">
        <f>'[4]Production-Energy Variable'!I16</f>
        <v>0</v>
      </c>
      <c r="G155" s="261">
        <f>'[4]Production-Energy Variable'!J16</f>
        <v>0</v>
      </c>
      <c r="H155" s="261">
        <f>'[4]Production-Energy Variable'!K16</f>
        <v>0</v>
      </c>
      <c r="I155" s="261">
        <f>'[4]Production-Energy Variable'!L16</f>
        <v>0</v>
      </c>
      <c r="J155" s="261">
        <f>'[4]Production-Energy Variable'!M16</f>
        <v>0</v>
      </c>
      <c r="K155" s="261">
        <f>'[4]Production-Energy Variable'!N16</f>
        <v>0</v>
      </c>
      <c r="L155" s="261">
        <f>'[4]Production-Energy Variable'!O16</f>
        <v>0</v>
      </c>
      <c r="M155" s="261">
        <f>'[4]Production-Energy Variable'!P16</f>
        <v>0</v>
      </c>
      <c r="N155" s="261">
        <f>'[4]Production-Energy Variable'!Q16</f>
        <v>0</v>
      </c>
      <c r="O155" s="261">
        <f>'[4]Production-Energy Variable'!R16</f>
        <v>0</v>
      </c>
      <c r="P155" s="261">
        <f>'[4]Production-Energy Variable'!S16</f>
        <v>0</v>
      </c>
      <c r="Q155" s="260">
        <f t="shared" si="31"/>
        <v>0</v>
      </c>
    </row>
    <row r="156" spans="1:17">
      <c r="A156" s="263">
        <f>ROW()</f>
        <v>156</v>
      </c>
      <c r="B156" s="261"/>
      <c r="C156" s="261" t="s">
        <v>840</v>
      </c>
      <c r="D156" s="271"/>
      <c r="E156" s="272">
        <f t="shared" si="30"/>
        <v>0</v>
      </c>
      <c r="F156" s="261">
        <f>'[4]Production-Energy Variable'!I17</f>
        <v>0</v>
      </c>
      <c r="G156" s="261">
        <f>'[4]Production-Energy Variable'!J17</f>
        <v>0</v>
      </c>
      <c r="H156" s="261">
        <f>'[4]Production-Energy Variable'!K17</f>
        <v>0</v>
      </c>
      <c r="I156" s="261">
        <f>'[4]Production-Energy Variable'!L17</f>
        <v>0</v>
      </c>
      <c r="J156" s="261">
        <f>'[4]Production-Energy Variable'!M17</f>
        <v>0</v>
      </c>
      <c r="K156" s="261">
        <f>'[4]Production-Energy Variable'!N17</f>
        <v>0</v>
      </c>
      <c r="L156" s="261">
        <f>'[4]Production-Energy Variable'!O17</f>
        <v>0</v>
      </c>
      <c r="M156" s="261">
        <f>'[4]Production-Energy Variable'!P17</f>
        <v>0</v>
      </c>
      <c r="N156" s="261">
        <f>'[4]Production-Energy Variable'!Q17</f>
        <v>0</v>
      </c>
      <c r="O156" s="261">
        <f>'[4]Production-Energy Variable'!R17</f>
        <v>0</v>
      </c>
      <c r="P156" s="261">
        <f>'[4]Production-Energy Variable'!S17</f>
        <v>0</v>
      </c>
      <c r="Q156" s="260">
        <f t="shared" si="31"/>
        <v>0</v>
      </c>
    </row>
    <row r="157" spans="1:17">
      <c r="A157" s="263">
        <f>ROW()</f>
        <v>157</v>
      </c>
      <c r="B157" s="261"/>
      <c r="C157" s="261" t="s">
        <v>422</v>
      </c>
      <c r="D157" s="271"/>
      <c r="E157" s="272">
        <f t="shared" si="30"/>
        <v>0</v>
      </c>
      <c r="F157" s="261">
        <f>'[4]Production-Energy Variable'!I18</f>
        <v>0</v>
      </c>
      <c r="G157" s="261">
        <f>'[4]Production-Energy Variable'!J18</f>
        <v>0</v>
      </c>
      <c r="H157" s="261">
        <f>'[4]Production-Energy Variable'!K18</f>
        <v>0</v>
      </c>
      <c r="I157" s="261">
        <f>'[4]Production-Energy Variable'!L18</f>
        <v>0</v>
      </c>
      <c r="J157" s="261">
        <f>'[4]Production-Energy Variable'!M18</f>
        <v>0</v>
      </c>
      <c r="K157" s="261">
        <f>'[4]Production-Energy Variable'!N18</f>
        <v>0</v>
      </c>
      <c r="L157" s="261">
        <f>'[4]Production-Energy Variable'!O18</f>
        <v>0</v>
      </c>
      <c r="M157" s="261">
        <f>'[4]Production-Energy Variable'!P18</f>
        <v>0</v>
      </c>
      <c r="N157" s="261">
        <f>'[4]Production-Energy Variable'!Q18</f>
        <v>0</v>
      </c>
      <c r="O157" s="261">
        <f>'[4]Production-Energy Variable'!R18</f>
        <v>0</v>
      </c>
      <c r="P157" s="261">
        <f>'[4]Production-Energy Variable'!S18</f>
        <v>0</v>
      </c>
      <c r="Q157" s="260">
        <f t="shared" si="31"/>
        <v>0</v>
      </c>
    </row>
    <row r="158" spans="1:17">
      <c r="A158" s="263">
        <f>ROW()</f>
        <v>158</v>
      </c>
      <c r="B158" s="261"/>
      <c r="C158" s="261" t="s">
        <v>902</v>
      </c>
      <c r="D158" s="271"/>
      <c r="E158" s="272">
        <f t="shared" si="30"/>
        <v>-28217947.500740632</v>
      </c>
      <c r="F158" s="261">
        <f>'[4]Production-Energy Variable'!I19</f>
        <v>-8251971.248585552</v>
      </c>
      <c r="G158" s="261">
        <f>'[4]Production-Energy Variable'!J19</f>
        <v>-6408804.9096713765</v>
      </c>
      <c r="H158" s="261">
        <f>'[4]Production-Energy Variable'!K19</f>
        <v>-2328273.7458624151</v>
      </c>
      <c r="I158" s="261">
        <f>'[4]Production-Energy Variable'!L19</f>
        <v>-653556.63943695091</v>
      </c>
      <c r="J158" s="261">
        <f>'[4]Production-Energy Variable'!M19</f>
        <v>-4422294.2417440936</v>
      </c>
      <c r="K158" s="261">
        <f>'[4]Production-Energy Variable'!N19</f>
        <v>-809378.42415365414</v>
      </c>
      <c r="L158" s="261">
        <f>'[4]Production-Energy Variable'!O19</f>
        <v>-636718.28985533572</v>
      </c>
      <c r="M158" s="261">
        <f>'[4]Production-Energy Variable'!P19</f>
        <v>-638453.21616494504</v>
      </c>
      <c r="N158" s="261">
        <f>'[4]Production-Energy Variable'!Q19</f>
        <v>-1974237.9029503562</v>
      </c>
      <c r="O158" s="261">
        <f>'[4]Production-Energy Variable'!R19</f>
        <v>-1103264.0078220188</v>
      </c>
      <c r="P158" s="261">
        <f>'[4]Production-Energy Variable'!S19</f>
        <v>-990994.87449393165</v>
      </c>
      <c r="Q158" s="260">
        <f t="shared" si="31"/>
        <v>0</v>
      </c>
    </row>
    <row r="159" spans="1:17">
      <c r="A159" s="263">
        <f>ROW()</f>
        <v>159</v>
      </c>
      <c r="B159" s="261"/>
      <c r="C159" s="261" t="s">
        <v>903</v>
      </c>
      <c r="D159" s="271"/>
      <c r="E159" s="272">
        <f t="shared" si="30"/>
        <v>0</v>
      </c>
      <c r="F159" s="261">
        <f>'[4]Production-Energy Variable'!I20</f>
        <v>0</v>
      </c>
      <c r="G159" s="261">
        <f>'[4]Production-Energy Variable'!J20</f>
        <v>0</v>
      </c>
      <c r="H159" s="261">
        <f>'[4]Production-Energy Variable'!K20</f>
        <v>0</v>
      </c>
      <c r="I159" s="261">
        <f>'[4]Production-Energy Variable'!L20</f>
        <v>0</v>
      </c>
      <c r="J159" s="261">
        <f>'[4]Production-Energy Variable'!M20</f>
        <v>0</v>
      </c>
      <c r="K159" s="261">
        <f>'[4]Production-Energy Variable'!N20</f>
        <v>0</v>
      </c>
      <c r="L159" s="261">
        <f>'[4]Production-Energy Variable'!O20</f>
        <v>0</v>
      </c>
      <c r="M159" s="261">
        <f>'[4]Production-Energy Variable'!P20</f>
        <v>0</v>
      </c>
      <c r="N159" s="261">
        <f>'[4]Production-Energy Variable'!Q20</f>
        <v>0</v>
      </c>
      <c r="O159" s="261">
        <f>'[4]Production-Energy Variable'!R20</f>
        <v>0</v>
      </c>
      <c r="P159" s="261">
        <f>'[4]Production-Energy Variable'!S20</f>
        <v>0</v>
      </c>
      <c r="Q159" s="260">
        <f t="shared" si="31"/>
        <v>0</v>
      </c>
    </row>
    <row r="160" spans="1:17">
      <c r="A160" s="263">
        <f>ROW()</f>
        <v>160</v>
      </c>
      <c r="B160" s="261"/>
      <c r="C160" s="261" t="s">
        <v>904</v>
      </c>
      <c r="D160" s="271"/>
      <c r="E160" s="272">
        <f t="shared" si="30"/>
        <v>0</v>
      </c>
      <c r="F160" s="261">
        <f>'[4]Production-Energy Variable'!I21</f>
        <v>0</v>
      </c>
      <c r="G160" s="261">
        <f>'[4]Production-Energy Variable'!J21</f>
        <v>0</v>
      </c>
      <c r="H160" s="261">
        <f>'[4]Production-Energy Variable'!K21</f>
        <v>0</v>
      </c>
      <c r="I160" s="261">
        <f>'[4]Production-Energy Variable'!L21</f>
        <v>0</v>
      </c>
      <c r="J160" s="261">
        <f>'[4]Production-Energy Variable'!M21</f>
        <v>0</v>
      </c>
      <c r="K160" s="261">
        <f>'[4]Production-Energy Variable'!N21</f>
        <v>0</v>
      </c>
      <c r="L160" s="261">
        <f>'[4]Production-Energy Variable'!O21</f>
        <v>0</v>
      </c>
      <c r="M160" s="261">
        <f>'[4]Production-Energy Variable'!P21</f>
        <v>0</v>
      </c>
      <c r="N160" s="261">
        <f>'[4]Production-Energy Variable'!Q21</f>
        <v>0</v>
      </c>
      <c r="O160" s="261">
        <f>'[4]Production-Energy Variable'!R21</f>
        <v>0</v>
      </c>
      <c r="P160" s="261">
        <f>'[4]Production-Energy Variable'!S21</f>
        <v>0</v>
      </c>
      <c r="Q160" s="260">
        <f t="shared" si="31"/>
        <v>0</v>
      </c>
    </row>
    <row r="161" spans="1:17">
      <c r="A161" s="263">
        <f>ROW()</f>
        <v>161</v>
      </c>
      <c r="B161" s="261"/>
      <c r="C161" s="261" t="s">
        <v>905</v>
      </c>
      <c r="E161" s="272">
        <f t="shared" si="30"/>
        <v>0</v>
      </c>
      <c r="F161" s="261">
        <f>'[4]Production-Energy Variable'!I22</f>
        <v>0</v>
      </c>
      <c r="G161" s="261">
        <f>'[4]Production-Energy Variable'!J22</f>
        <v>0</v>
      </c>
      <c r="H161" s="261">
        <f>'[4]Production-Energy Variable'!K22</f>
        <v>0</v>
      </c>
      <c r="I161" s="261">
        <f>'[4]Production-Energy Variable'!L22</f>
        <v>0</v>
      </c>
      <c r="J161" s="261">
        <f>'[4]Production-Energy Variable'!M22</f>
        <v>0</v>
      </c>
      <c r="K161" s="261">
        <f>'[4]Production-Energy Variable'!N22</f>
        <v>0</v>
      </c>
      <c r="L161" s="261">
        <f>'[4]Production-Energy Variable'!O22</f>
        <v>0</v>
      </c>
      <c r="M161" s="261">
        <f>'[4]Production-Energy Variable'!P22</f>
        <v>0</v>
      </c>
      <c r="N161" s="261">
        <f>'[4]Production-Energy Variable'!Q22</f>
        <v>0</v>
      </c>
      <c r="O161" s="261">
        <f>'[4]Production-Energy Variable'!R22</f>
        <v>0</v>
      </c>
      <c r="P161" s="261">
        <f>'[4]Production-Energy Variable'!S22</f>
        <v>0</v>
      </c>
      <c r="Q161" s="260">
        <f t="shared" si="31"/>
        <v>0</v>
      </c>
    </row>
    <row r="162" spans="1:17">
      <c r="A162" s="263">
        <f>ROW()</f>
        <v>162</v>
      </c>
      <c r="B162" s="261"/>
      <c r="C162" s="261" t="s">
        <v>906</v>
      </c>
      <c r="E162" s="272">
        <f t="shared" si="30"/>
        <v>0</v>
      </c>
      <c r="F162" s="261">
        <f>'[4]Production-Energy Variable'!I23</f>
        <v>0</v>
      </c>
      <c r="G162" s="261">
        <f>'[4]Production-Energy Variable'!J23</f>
        <v>0</v>
      </c>
      <c r="H162" s="261">
        <f>'[4]Production-Energy Variable'!K23</f>
        <v>0</v>
      </c>
      <c r="I162" s="261">
        <f>'[4]Production-Energy Variable'!L23</f>
        <v>0</v>
      </c>
      <c r="J162" s="261">
        <f>'[4]Production-Energy Variable'!M23</f>
        <v>0</v>
      </c>
      <c r="K162" s="261">
        <f>'[4]Production-Energy Variable'!N23</f>
        <v>0</v>
      </c>
      <c r="L162" s="261">
        <f>'[4]Production-Energy Variable'!O23</f>
        <v>0</v>
      </c>
      <c r="M162" s="261">
        <f>'[4]Production-Energy Variable'!P23</f>
        <v>0</v>
      </c>
      <c r="N162" s="261">
        <f>'[4]Production-Energy Variable'!Q23</f>
        <v>0</v>
      </c>
      <c r="O162" s="261">
        <f>'[4]Production-Energy Variable'!R23</f>
        <v>0</v>
      </c>
      <c r="P162" s="261">
        <f>'[4]Production-Energy Variable'!S23</f>
        <v>0</v>
      </c>
      <c r="Q162" s="260">
        <f t="shared" si="31"/>
        <v>0</v>
      </c>
    </row>
    <row r="163" spans="1:17">
      <c r="A163" s="263">
        <f>ROW()</f>
        <v>163</v>
      </c>
      <c r="B163" s="261"/>
      <c r="D163" s="271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</row>
    <row r="164" spans="1:17">
      <c r="A164" s="263">
        <f>ROW()</f>
        <v>164</v>
      </c>
      <c r="B164" s="261"/>
      <c r="C164" s="261" t="s">
        <v>499</v>
      </c>
      <c r="D164" s="271"/>
      <c r="E164" s="279">
        <f t="shared" ref="E164:P164" si="32">SUM(E154:E162)</f>
        <v>443965905.27642518</v>
      </c>
      <c r="F164" s="279">
        <f t="shared" si="32"/>
        <v>136265797.33694795</v>
      </c>
      <c r="G164" s="279">
        <f t="shared" si="32"/>
        <v>122113439.93859491</v>
      </c>
      <c r="H164" s="279">
        <f t="shared" si="32"/>
        <v>38827377.446835153</v>
      </c>
      <c r="I164" s="279">
        <f t="shared" si="32"/>
        <v>333617.42885185999</v>
      </c>
      <c r="J164" s="279">
        <f t="shared" si="32"/>
        <v>92508300.664842755</v>
      </c>
      <c r="K164" s="279">
        <f t="shared" si="32"/>
        <v>3870173.0669979937</v>
      </c>
      <c r="L164" s="279">
        <f t="shared" si="32"/>
        <v>-478840.32551311207</v>
      </c>
      <c r="M164" s="279">
        <f t="shared" si="32"/>
        <v>-327475.45741716831</v>
      </c>
      <c r="N164" s="279">
        <f t="shared" si="32"/>
        <v>27278798.712037418</v>
      </c>
      <c r="O164" s="279">
        <f t="shared" si="32"/>
        <v>11113687.574332165</v>
      </c>
      <c r="P164" s="279">
        <f t="shared" si="32"/>
        <v>12461028.889915224</v>
      </c>
      <c r="Q164" s="260">
        <f>ROUND(SUM(F164:P164)-E164,0)</f>
        <v>0</v>
      </c>
    </row>
    <row r="165" spans="1:17" hidden="1">
      <c r="A165" s="263">
        <f>ROW()</f>
        <v>165</v>
      </c>
      <c r="B165" s="261"/>
      <c r="C165" s="261"/>
      <c r="D165" s="271"/>
      <c r="E165" s="272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72"/>
    </row>
    <row r="166" spans="1:17" hidden="1">
      <c r="A166" s="263">
        <f>ROW()</f>
        <v>166</v>
      </c>
      <c r="B166" s="261"/>
      <c r="C166" s="261"/>
      <c r="D166" s="271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</row>
    <row r="167" spans="1:17" hidden="1">
      <c r="A167" s="263">
        <f>ROW()</f>
        <v>167</v>
      </c>
      <c r="B167" s="261"/>
      <c r="C167" s="261" t="s">
        <v>867</v>
      </c>
      <c r="D167" s="271"/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</row>
    <row r="168" spans="1:17" hidden="1">
      <c r="A168" s="263">
        <f>ROW()</f>
        <v>168</v>
      </c>
      <c r="B168" s="261"/>
      <c r="C168" s="261" t="s">
        <v>907</v>
      </c>
      <c r="D168" s="271"/>
      <c r="E168" s="272" t="e">
        <f t="shared" ref="E168:E178" si="33">SUM(F168:P168)</f>
        <v>#DIV/0!</v>
      </c>
      <c r="F168" s="261" t="e">
        <f>'[4]Production-Energy Variable'!I31</f>
        <v>#DIV/0!</v>
      </c>
      <c r="G168" s="261" t="e">
        <f>'[4]Production-Energy Variable'!J31</f>
        <v>#DIV/0!</v>
      </c>
      <c r="H168" s="261" t="e">
        <f>'[4]Production-Energy Variable'!K31</f>
        <v>#DIV/0!</v>
      </c>
      <c r="I168" s="261" t="e">
        <f>'[4]Production-Energy Variable'!L31</f>
        <v>#DIV/0!</v>
      </c>
      <c r="J168" s="261" t="e">
        <f>'[4]Production-Energy Variable'!M31</f>
        <v>#DIV/0!</v>
      </c>
      <c r="K168" s="261" t="e">
        <f>'[4]Production-Energy Variable'!N31</f>
        <v>#DIV/0!</v>
      </c>
      <c r="L168" s="261" t="e">
        <f>'[4]Production-Energy Variable'!O31</f>
        <v>#DIV/0!</v>
      </c>
      <c r="M168" s="261" t="e">
        <f>'[4]Production-Energy Variable'!P31</f>
        <v>#DIV/0!</v>
      </c>
      <c r="N168" s="261" t="e">
        <f>'[4]Production-Energy Variable'!Q31</f>
        <v>#DIV/0!</v>
      </c>
      <c r="O168" s="261" t="e">
        <f>'[4]Production-Energy Variable'!R31</f>
        <v>#DIV/0!</v>
      </c>
      <c r="P168" s="261" t="e">
        <f>'[4]Production-Energy Variable'!S31</f>
        <v>#DIV/0!</v>
      </c>
      <c r="Q168" s="260" t="e">
        <f t="shared" ref="Q168:Q178" si="34">ROUND(SUM(F168:P168)-E168,0)</f>
        <v>#DIV/0!</v>
      </c>
    </row>
    <row r="169" spans="1:17" hidden="1">
      <c r="A169" s="263">
        <f>ROW()</f>
        <v>169</v>
      </c>
      <c r="B169" s="261"/>
      <c r="C169" s="261" t="s">
        <v>908</v>
      </c>
      <c r="D169" s="271"/>
      <c r="E169" s="272">
        <f t="shared" si="33"/>
        <v>0</v>
      </c>
      <c r="F169" s="261">
        <f>'[4]Production-Energy Variable'!I32</f>
        <v>0</v>
      </c>
      <c r="G169" s="261">
        <f>'[4]Production-Energy Variable'!J32</f>
        <v>0</v>
      </c>
      <c r="H169" s="261">
        <f>'[4]Production-Energy Variable'!K32</f>
        <v>0</v>
      </c>
      <c r="I169" s="261">
        <f>'[4]Production-Energy Variable'!L32</f>
        <v>0</v>
      </c>
      <c r="J169" s="261">
        <f>'[4]Production-Energy Variable'!M32</f>
        <v>0</v>
      </c>
      <c r="K169" s="261">
        <f>'[4]Production-Energy Variable'!N32</f>
        <v>0</v>
      </c>
      <c r="L169" s="261">
        <f>'[4]Production-Energy Variable'!O32</f>
        <v>0</v>
      </c>
      <c r="M169" s="261">
        <f>'[4]Production-Energy Variable'!P32</f>
        <v>0</v>
      </c>
      <c r="N169" s="261">
        <f>'[4]Production-Energy Variable'!Q32</f>
        <v>0</v>
      </c>
      <c r="O169" s="261">
        <f>'[4]Production-Energy Variable'!R32</f>
        <v>0</v>
      </c>
      <c r="P169" s="261">
        <f>'[4]Production-Energy Variable'!S32</f>
        <v>0</v>
      </c>
      <c r="Q169" s="260">
        <f t="shared" si="34"/>
        <v>0</v>
      </c>
    </row>
    <row r="170" spans="1:17" hidden="1">
      <c r="A170" s="263">
        <f>ROW()</f>
        <v>170</v>
      </c>
      <c r="B170" s="261"/>
      <c r="C170" s="261" t="s">
        <v>909</v>
      </c>
      <c r="D170" s="271"/>
      <c r="E170" s="272">
        <f t="shared" si="33"/>
        <v>0</v>
      </c>
      <c r="F170" s="261">
        <f>'[4]Production-Energy Variable'!I33</f>
        <v>0</v>
      </c>
      <c r="G170" s="261">
        <f>'[4]Production-Energy Variable'!J33</f>
        <v>0</v>
      </c>
      <c r="H170" s="261">
        <f>'[4]Production-Energy Variable'!K33</f>
        <v>0</v>
      </c>
      <c r="I170" s="261">
        <f>'[4]Production-Energy Variable'!L33</f>
        <v>0</v>
      </c>
      <c r="J170" s="261">
        <f>'[4]Production-Energy Variable'!M33</f>
        <v>0</v>
      </c>
      <c r="K170" s="261">
        <f>'[4]Production-Energy Variable'!N33</f>
        <v>0</v>
      </c>
      <c r="L170" s="261">
        <f>'[4]Production-Energy Variable'!O33</f>
        <v>0</v>
      </c>
      <c r="M170" s="261">
        <f>'[4]Production-Energy Variable'!P33</f>
        <v>0</v>
      </c>
      <c r="N170" s="261">
        <f>'[4]Production-Energy Variable'!Q33</f>
        <v>0</v>
      </c>
      <c r="O170" s="261">
        <f>'[4]Production-Energy Variable'!R33</f>
        <v>0</v>
      </c>
      <c r="P170" s="261">
        <f>'[4]Production-Energy Variable'!S33</f>
        <v>0</v>
      </c>
      <c r="Q170" s="260">
        <f t="shared" si="34"/>
        <v>0</v>
      </c>
    </row>
    <row r="171" spans="1:17" hidden="1">
      <c r="A171" s="263">
        <f>ROW()</f>
        <v>171</v>
      </c>
      <c r="B171" s="261"/>
      <c r="C171" s="280" t="s">
        <v>597</v>
      </c>
      <c r="D171" s="271"/>
      <c r="E171" s="272">
        <f t="shared" si="33"/>
        <v>0</v>
      </c>
      <c r="F171" s="261">
        <f>'[4]Production-Energy Variable'!I34</f>
        <v>0</v>
      </c>
      <c r="G171" s="261">
        <f>'[4]Production-Energy Variable'!J34</f>
        <v>0</v>
      </c>
      <c r="H171" s="261">
        <f>'[4]Production-Energy Variable'!K34</f>
        <v>0</v>
      </c>
      <c r="I171" s="261">
        <f>'[4]Production-Energy Variable'!L34</f>
        <v>0</v>
      </c>
      <c r="J171" s="261">
        <f>'[4]Production-Energy Variable'!M34</f>
        <v>0</v>
      </c>
      <c r="K171" s="261">
        <f>'[4]Production-Energy Variable'!N34</f>
        <v>0</v>
      </c>
      <c r="L171" s="261">
        <f>'[4]Production-Energy Variable'!O34</f>
        <v>0</v>
      </c>
      <c r="M171" s="261">
        <f>'[4]Production-Energy Variable'!P34</f>
        <v>0</v>
      </c>
      <c r="N171" s="261">
        <f>'[4]Production-Energy Variable'!Q34</f>
        <v>0</v>
      </c>
      <c r="O171" s="261">
        <f>'[4]Production-Energy Variable'!R34</f>
        <v>0</v>
      </c>
      <c r="P171" s="261">
        <f>'[4]Production-Energy Variable'!S34</f>
        <v>0</v>
      </c>
      <c r="Q171" s="260">
        <f t="shared" si="34"/>
        <v>0</v>
      </c>
    </row>
    <row r="172" spans="1:17" hidden="1">
      <c r="A172" s="263">
        <f>ROW()</f>
        <v>172</v>
      </c>
      <c r="B172" s="261"/>
      <c r="C172" s="261" t="s">
        <v>614</v>
      </c>
      <c r="D172" s="271"/>
      <c r="E172" s="272">
        <f t="shared" si="33"/>
        <v>0</v>
      </c>
      <c r="F172" s="261">
        <f>'[4]Production-Energy Variable'!I35</f>
        <v>0</v>
      </c>
      <c r="G172" s="261">
        <f>'[4]Production-Energy Variable'!J35</f>
        <v>0</v>
      </c>
      <c r="H172" s="261">
        <f>'[4]Production-Energy Variable'!K35</f>
        <v>0</v>
      </c>
      <c r="I172" s="261">
        <f>'[4]Production-Energy Variable'!L35</f>
        <v>0</v>
      </c>
      <c r="J172" s="261">
        <f>'[4]Production-Energy Variable'!M35</f>
        <v>0</v>
      </c>
      <c r="K172" s="261">
        <f>'[4]Production-Energy Variable'!N35</f>
        <v>0</v>
      </c>
      <c r="L172" s="261">
        <f>'[4]Production-Energy Variable'!O35</f>
        <v>0</v>
      </c>
      <c r="M172" s="261">
        <f>'[4]Production-Energy Variable'!P35</f>
        <v>0</v>
      </c>
      <c r="N172" s="261">
        <f>'[4]Production-Energy Variable'!Q35</f>
        <v>0</v>
      </c>
      <c r="O172" s="261">
        <f>'[4]Production-Energy Variable'!R35</f>
        <v>0</v>
      </c>
      <c r="P172" s="261">
        <f>'[4]Production-Energy Variable'!S35</f>
        <v>0</v>
      </c>
      <c r="Q172" s="260">
        <f t="shared" si="34"/>
        <v>0</v>
      </c>
    </row>
    <row r="173" spans="1:17" hidden="1">
      <c r="A173" s="263">
        <f>ROW()</f>
        <v>173</v>
      </c>
      <c r="B173" s="261"/>
      <c r="C173" s="261" t="s">
        <v>603</v>
      </c>
      <c r="D173" s="271"/>
      <c r="E173" s="272">
        <f t="shared" si="33"/>
        <v>0</v>
      </c>
      <c r="F173" s="261">
        <f>'[4]Production-Energy Variable'!I36</f>
        <v>0</v>
      </c>
      <c r="G173" s="261">
        <f>'[4]Production-Energy Variable'!J36</f>
        <v>0</v>
      </c>
      <c r="H173" s="261">
        <f>'[4]Production-Energy Variable'!K36</f>
        <v>0</v>
      </c>
      <c r="I173" s="261">
        <f>'[4]Production-Energy Variable'!L36</f>
        <v>0</v>
      </c>
      <c r="J173" s="261">
        <f>'[4]Production-Energy Variable'!M36</f>
        <v>0</v>
      </c>
      <c r="K173" s="261">
        <f>'[4]Production-Energy Variable'!N36</f>
        <v>0</v>
      </c>
      <c r="L173" s="261">
        <f>'[4]Production-Energy Variable'!O36</f>
        <v>0</v>
      </c>
      <c r="M173" s="261">
        <f>'[4]Production-Energy Variable'!P36</f>
        <v>0</v>
      </c>
      <c r="N173" s="261">
        <f>'[4]Production-Energy Variable'!Q36</f>
        <v>0</v>
      </c>
      <c r="O173" s="261">
        <f>'[4]Production-Energy Variable'!R36</f>
        <v>0</v>
      </c>
      <c r="P173" s="261">
        <f>'[4]Production-Energy Variable'!S36</f>
        <v>0</v>
      </c>
      <c r="Q173" s="260">
        <f t="shared" si="34"/>
        <v>0</v>
      </c>
    </row>
    <row r="174" spans="1:17" hidden="1">
      <c r="A174" s="263">
        <f>ROW()</f>
        <v>174</v>
      </c>
      <c r="B174" s="261"/>
      <c r="C174" s="261" t="s">
        <v>910</v>
      </c>
      <c r="D174" s="271"/>
      <c r="E174" s="272">
        <f t="shared" si="33"/>
        <v>0</v>
      </c>
      <c r="F174" s="261">
        <f>'[4]Production-Energy Variable'!I37</f>
        <v>0</v>
      </c>
      <c r="G174" s="261">
        <f>'[4]Production-Energy Variable'!J37</f>
        <v>0</v>
      </c>
      <c r="H174" s="261">
        <f>'[4]Production-Energy Variable'!K37</f>
        <v>0</v>
      </c>
      <c r="I174" s="261">
        <f>'[4]Production-Energy Variable'!L37</f>
        <v>0</v>
      </c>
      <c r="J174" s="261">
        <f>'[4]Production-Energy Variable'!M37</f>
        <v>0</v>
      </c>
      <c r="K174" s="261">
        <f>'[4]Production-Energy Variable'!N37</f>
        <v>0</v>
      </c>
      <c r="L174" s="261">
        <f>'[4]Production-Energy Variable'!O37</f>
        <v>0</v>
      </c>
      <c r="M174" s="261">
        <f>'[4]Production-Energy Variable'!P37</f>
        <v>0</v>
      </c>
      <c r="N174" s="261">
        <f>'[4]Production-Energy Variable'!Q37</f>
        <v>0</v>
      </c>
      <c r="O174" s="261">
        <f>'[4]Production-Energy Variable'!R37</f>
        <v>0</v>
      </c>
      <c r="P174" s="261">
        <f>'[4]Production-Energy Variable'!S37</f>
        <v>0</v>
      </c>
      <c r="Q174" s="260">
        <f t="shared" si="34"/>
        <v>0</v>
      </c>
    </row>
    <row r="175" spans="1:17" hidden="1">
      <c r="A175" s="263">
        <f>ROW()</f>
        <v>175</v>
      </c>
      <c r="B175" s="261"/>
      <c r="C175" s="261" t="s">
        <v>620</v>
      </c>
      <c r="D175" s="271"/>
      <c r="E175" s="272">
        <f t="shared" si="33"/>
        <v>0</v>
      </c>
      <c r="F175" s="261">
        <f>'[4]Production-Energy Variable'!I38</f>
        <v>0</v>
      </c>
      <c r="G175" s="261">
        <f>'[4]Production-Energy Variable'!J38</f>
        <v>0</v>
      </c>
      <c r="H175" s="261">
        <f>'[4]Production-Energy Variable'!K38</f>
        <v>0</v>
      </c>
      <c r="I175" s="261">
        <f>'[4]Production-Energy Variable'!L38</f>
        <v>0</v>
      </c>
      <c r="J175" s="261">
        <f>'[4]Production-Energy Variable'!M38</f>
        <v>0</v>
      </c>
      <c r="K175" s="261">
        <f>'[4]Production-Energy Variable'!N38</f>
        <v>0</v>
      </c>
      <c r="L175" s="261">
        <f>'[4]Production-Energy Variable'!O38</f>
        <v>0</v>
      </c>
      <c r="M175" s="261">
        <f>'[4]Production-Energy Variable'!P38</f>
        <v>0</v>
      </c>
      <c r="N175" s="261">
        <f>'[4]Production-Energy Variable'!Q38</f>
        <v>0</v>
      </c>
      <c r="O175" s="261">
        <f>'[4]Production-Energy Variable'!R38</f>
        <v>0</v>
      </c>
      <c r="P175" s="261">
        <f>'[4]Production-Energy Variable'!S38</f>
        <v>0</v>
      </c>
      <c r="Q175" s="260">
        <f t="shared" si="34"/>
        <v>0</v>
      </c>
    </row>
    <row r="176" spans="1:17" hidden="1">
      <c r="A176" s="263">
        <f>ROW()</f>
        <v>176</v>
      </c>
      <c r="B176" s="261"/>
      <c r="C176" s="261" t="s">
        <v>624</v>
      </c>
      <c r="E176" s="272">
        <f t="shared" si="33"/>
        <v>0</v>
      </c>
      <c r="F176" s="261">
        <f>'[4]Production-Energy Variable'!I39</f>
        <v>0</v>
      </c>
      <c r="G176" s="261">
        <f>'[4]Production-Energy Variable'!J39</f>
        <v>0</v>
      </c>
      <c r="H176" s="261">
        <f>'[4]Production-Energy Variable'!K39</f>
        <v>0</v>
      </c>
      <c r="I176" s="261">
        <f>'[4]Production-Energy Variable'!L39</f>
        <v>0</v>
      </c>
      <c r="J176" s="261">
        <f>'[4]Production-Energy Variable'!M39</f>
        <v>0</v>
      </c>
      <c r="K176" s="261">
        <f>'[4]Production-Energy Variable'!N39</f>
        <v>0</v>
      </c>
      <c r="L176" s="261">
        <f>'[4]Production-Energy Variable'!O39</f>
        <v>0</v>
      </c>
      <c r="M176" s="261">
        <f>'[4]Production-Energy Variable'!P39</f>
        <v>0</v>
      </c>
      <c r="N176" s="261">
        <f>'[4]Production-Energy Variable'!Q39</f>
        <v>0</v>
      </c>
      <c r="O176" s="261">
        <f>'[4]Production-Energy Variable'!R39</f>
        <v>0</v>
      </c>
      <c r="P176" s="261">
        <f>'[4]Production-Energy Variable'!S39</f>
        <v>0</v>
      </c>
      <c r="Q176" s="260">
        <f t="shared" si="34"/>
        <v>0</v>
      </c>
    </row>
    <row r="177" spans="1:17" hidden="1">
      <c r="A177" s="263">
        <f>ROW()</f>
        <v>177</v>
      </c>
      <c r="B177" s="261"/>
      <c r="C177" s="261" t="s">
        <v>911</v>
      </c>
      <c r="D177" s="271"/>
      <c r="E177" s="272">
        <f t="shared" si="33"/>
        <v>0</v>
      </c>
      <c r="F177" s="261">
        <f>'[4]Production-Energy Variable'!I40</f>
        <v>0</v>
      </c>
      <c r="G177" s="261">
        <f>'[4]Production-Energy Variable'!J40</f>
        <v>0</v>
      </c>
      <c r="H177" s="261">
        <f>'[4]Production-Energy Variable'!K40</f>
        <v>0</v>
      </c>
      <c r="I177" s="261">
        <f>'[4]Production-Energy Variable'!L40</f>
        <v>0</v>
      </c>
      <c r="J177" s="261">
        <f>'[4]Production-Energy Variable'!M40</f>
        <v>0</v>
      </c>
      <c r="K177" s="261">
        <f>'[4]Production-Energy Variable'!N40</f>
        <v>0</v>
      </c>
      <c r="L177" s="261">
        <f>'[4]Production-Energy Variable'!O40</f>
        <v>0</v>
      </c>
      <c r="M177" s="261">
        <f>'[4]Production-Energy Variable'!P40</f>
        <v>0</v>
      </c>
      <c r="N177" s="261">
        <f>'[4]Production-Energy Variable'!Q40</f>
        <v>0</v>
      </c>
      <c r="O177" s="261">
        <f>'[4]Production-Energy Variable'!R40</f>
        <v>0</v>
      </c>
      <c r="P177" s="261">
        <f>'[4]Production-Energy Variable'!S40</f>
        <v>0</v>
      </c>
      <c r="Q177" s="260">
        <f t="shared" si="34"/>
        <v>0</v>
      </c>
    </row>
    <row r="178" spans="1:17" hidden="1">
      <c r="A178" s="263">
        <f>ROW()</f>
        <v>178</v>
      </c>
      <c r="B178" s="261"/>
      <c r="C178" s="261" t="s">
        <v>637</v>
      </c>
      <c r="D178" s="271"/>
      <c r="E178" s="272">
        <f t="shared" si="33"/>
        <v>0</v>
      </c>
      <c r="F178" s="261">
        <f>'[4]Production-Energy Variable'!I41</f>
        <v>0</v>
      </c>
      <c r="G178" s="261">
        <f>'[4]Production-Energy Variable'!J41</f>
        <v>0</v>
      </c>
      <c r="H178" s="261">
        <f>'[4]Production-Energy Variable'!K41</f>
        <v>0</v>
      </c>
      <c r="I178" s="261">
        <f>'[4]Production-Energy Variable'!L41</f>
        <v>0</v>
      </c>
      <c r="J178" s="261">
        <f>'[4]Production-Energy Variable'!M41</f>
        <v>0</v>
      </c>
      <c r="K178" s="261">
        <f>'[4]Production-Energy Variable'!N41</f>
        <v>0</v>
      </c>
      <c r="L178" s="261">
        <f>'[4]Production-Energy Variable'!O41</f>
        <v>0</v>
      </c>
      <c r="M178" s="261">
        <f>'[4]Production-Energy Variable'!P41</f>
        <v>0</v>
      </c>
      <c r="N178" s="261">
        <f>'[4]Production-Energy Variable'!Q41</f>
        <v>0</v>
      </c>
      <c r="O178" s="261">
        <f>'[4]Production-Energy Variable'!R41</f>
        <v>0</v>
      </c>
      <c r="P178" s="261">
        <f>'[4]Production-Energy Variable'!S41</f>
        <v>0</v>
      </c>
      <c r="Q178" s="260">
        <f t="shared" si="34"/>
        <v>0</v>
      </c>
    </row>
    <row r="179" spans="1:17" hidden="1">
      <c r="A179" s="263">
        <f>ROW()</f>
        <v>179</v>
      </c>
      <c r="B179" s="261"/>
      <c r="C179" s="261"/>
      <c r="D179" s="271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72"/>
    </row>
    <row r="180" spans="1:17" hidden="1">
      <c r="A180" s="263">
        <f>ROW()</f>
        <v>180</v>
      </c>
      <c r="B180" s="261"/>
      <c r="C180" s="261" t="s">
        <v>642</v>
      </c>
      <c r="D180" s="271"/>
      <c r="E180" s="279" t="e">
        <f t="shared" ref="E180:P180" si="35">SUM(E168:E178)</f>
        <v>#DIV/0!</v>
      </c>
      <c r="F180" s="279" t="e">
        <f t="shared" si="35"/>
        <v>#DIV/0!</v>
      </c>
      <c r="G180" s="279" t="e">
        <f t="shared" si="35"/>
        <v>#DIV/0!</v>
      </c>
      <c r="H180" s="279" t="e">
        <f t="shared" si="35"/>
        <v>#DIV/0!</v>
      </c>
      <c r="I180" s="279" t="e">
        <f t="shared" si="35"/>
        <v>#DIV/0!</v>
      </c>
      <c r="J180" s="279" t="e">
        <f t="shared" si="35"/>
        <v>#DIV/0!</v>
      </c>
      <c r="K180" s="279" t="e">
        <f t="shared" si="35"/>
        <v>#DIV/0!</v>
      </c>
      <c r="L180" s="279" t="e">
        <f t="shared" si="35"/>
        <v>#DIV/0!</v>
      </c>
      <c r="M180" s="279" t="e">
        <f t="shared" si="35"/>
        <v>#DIV/0!</v>
      </c>
      <c r="N180" s="279" t="e">
        <f t="shared" si="35"/>
        <v>#DIV/0!</v>
      </c>
      <c r="O180" s="279" t="e">
        <f t="shared" si="35"/>
        <v>#DIV/0!</v>
      </c>
      <c r="P180" s="279" t="e">
        <f t="shared" si="35"/>
        <v>#DIV/0!</v>
      </c>
      <c r="Q180" s="260" t="e">
        <f>ROUND(SUM(F180:P180)-E180,0)</f>
        <v>#DIV/0!</v>
      </c>
    </row>
    <row r="181" spans="1:17" hidden="1">
      <c r="A181" s="263">
        <f>ROW()</f>
        <v>181</v>
      </c>
      <c r="B181" s="261"/>
      <c r="C181" s="261"/>
      <c r="D181" s="271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72"/>
    </row>
    <row r="182" spans="1:17" hidden="1">
      <c r="A182" s="263">
        <f>ROW()</f>
        <v>182</v>
      </c>
      <c r="B182" s="261"/>
      <c r="C182" s="261" t="s">
        <v>855</v>
      </c>
      <c r="D182" s="271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</row>
    <row r="183" spans="1:17" hidden="1">
      <c r="A183" s="263">
        <f>ROW()</f>
        <v>183</v>
      </c>
      <c r="B183" s="261"/>
      <c r="C183" s="261" t="s">
        <v>912</v>
      </c>
      <c r="D183" s="271"/>
      <c r="E183" s="272">
        <f t="shared" ref="E183:E189" si="36">SUM(F183:P183)</f>
        <v>0</v>
      </c>
      <c r="F183" s="261">
        <f>'[4]Production-Energy Variable'!I46</f>
        <v>0</v>
      </c>
      <c r="G183" s="261">
        <f>'[4]Production-Energy Variable'!J46</f>
        <v>0</v>
      </c>
      <c r="H183" s="261">
        <f>'[4]Production-Energy Variable'!K46</f>
        <v>0</v>
      </c>
      <c r="I183" s="261">
        <f>'[4]Production-Energy Variable'!L46</f>
        <v>0</v>
      </c>
      <c r="J183" s="261">
        <f>'[4]Production-Energy Variable'!M46</f>
        <v>0</v>
      </c>
      <c r="K183" s="261">
        <f>'[4]Production-Energy Variable'!N46</f>
        <v>0</v>
      </c>
      <c r="L183" s="261">
        <f>'[4]Production-Energy Variable'!O46</f>
        <v>0</v>
      </c>
      <c r="M183" s="261">
        <f>'[4]Production-Energy Variable'!P46</f>
        <v>0</v>
      </c>
      <c r="N183" s="261">
        <f>'[4]Production-Energy Variable'!Q46</f>
        <v>0</v>
      </c>
      <c r="O183" s="261">
        <f>'[4]Production-Energy Variable'!R46</f>
        <v>0</v>
      </c>
      <c r="P183" s="261">
        <f>'[4]Production-Energy Variable'!S46</f>
        <v>0</v>
      </c>
      <c r="Q183" s="260">
        <f t="shared" ref="Q183:Q189" si="37">ROUND(SUM(F183:P183)-E183,0)</f>
        <v>0</v>
      </c>
    </row>
    <row r="184" spans="1:17" hidden="1">
      <c r="A184" s="263">
        <f>ROW()</f>
        <v>184</v>
      </c>
      <c r="B184" s="261"/>
      <c r="C184" s="261" t="s">
        <v>913</v>
      </c>
      <c r="D184" s="271"/>
      <c r="E184" s="272">
        <f t="shared" si="36"/>
        <v>0</v>
      </c>
      <c r="F184" s="261">
        <f>'[4]Production-Energy Variable'!I47</f>
        <v>0</v>
      </c>
      <c r="G184" s="261">
        <f>'[4]Production-Energy Variable'!J47</f>
        <v>0</v>
      </c>
      <c r="H184" s="261">
        <f>'[4]Production-Energy Variable'!K47</f>
        <v>0</v>
      </c>
      <c r="I184" s="261">
        <f>'[4]Production-Energy Variable'!L47</f>
        <v>0</v>
      </c>
      <c r="J184" s="261">
        <f>'[4]Production-Energy Variable'!M47</f>
        <v>0</v>
      </c>
      <c r="K184" s="261">
        <f>'[4]Production-Energy Variable'!N47</f>
        <v>0</v>
      </c>
      <c r="L184" s="261">
        <f>'[4]Production-Energy Variable'!O47</f>
        <v>0</v>
      </c>
      <c r="M184" s="261">
        <f>'[4]Production-Energy Variable'!P47</f>
        <v>0</v>
      </c>
      <c r="N184" s="261">
        <f>'[4]Production-Energy Variable'!Q47</f>
        <v>0</v>
      </c>
      <c r="O184" s="261">
        <f>'[4]Production-Energy Variable'!R47</f>
        <v>0</v>
      </c>
      <c r="P184" s="261">
        <f>'[4]Production-Energy Variable'!S47</f>
        <v>0</v>
      </c>
      <c r="Q184" s="260">
        <f t="shared" si="37"/>
        <v>0</v>
      </c>
    </row>
    <row r="185" spans="1:17" hidden="1">
      <c r="A185" s="263">
        <f>ROW()</f>
        <v>185</v>
      </c>
      <c r="B185" s="261"/>
      <c r="C185" s="261" t="s">
        <v>914</v>
      </c>
      <c r="D185" s="271"/>
      <c r="E185" s="272">
        <f t="shared" si="36"/>
        <v>0</v>
      </c>
      <c r="F185" s="261">
        <f>'[4]Production-Energy Variable'!I48</f>
        <v>0</v>
      </c>
      <c r="G185" s="261">
        <f>'[4]Production-Energy Variable'!J48</f>
        <v>0</v>
      </c>
      <c r="H185" s="261">
        <f>'[4]Production-Energy Variable'!K48</f>
        <v>0</v>
      </c>
      <c r="I185" s="261">
        <f>'[4]Production-Energy Variable'!L48</f>
        <v>0</v>
      </c>
      <c r="J185" s="261">
        <f>'[4]Production-Energy Variable'!M48</f>
        <v>0</v>
      </c>
      <c r="K185" s="261">
        <f>'[4]Production-Energy Variable'!N48</f>
        <v>0</v>
      </c>
      <c r="L185" s="261">
        <f>'[4]Production-Energy Variable'!O48</f>
        <v>0</v>
      </c>
      <c r="M185" s="261">
        <f>'[4]Production-Energy Variable'!P48</f>
        <v>0</v>
      </c>
      <c r="N185" s="261">
        <f>'[4]Production-Energy Variable'!Q48</f>
        <v>0</v>
      </c>
      <c r="O185" s="261">
        <f>'[4]Production-Energy Variable'!R48</f>
        <v>0</v>
      </c>
      <c r="P185" s="261">
        <f>'[4]Production-Energy Variable'!S48</f>
        <v>0</v>
      </c>
      <c r="Q185" s="260">
        <f t="shared" si="37"/>
        <v>0</v>
      </c>
    </row>
    <row r="186" spans="1:17" hidden="1">
      <c r="A186" s="263">
        <f>ROW()</f>
        <v>186</v>
      </c>
      <c r="B186" s="261"/>
      <c r="C186" s="261" t="s">
        <v>915</v>
      </c>
      <c r="D186" s="271"/>
      <c r="E186" s="272">
        <f t="shared" si="36"/>
        <v>0</v>
      </c>
      <c r="F186" s="261">
        <f>'[4]Production-Energy Variable'!I49</f>
        <v>0</v>
      </c>
      <c r="G186" s="261">
        <f>'[4]Production-Energy Variable'!J49</f>
        <v>0</v>
      </c>
      <c r="H186" s="261">
        <f>'[4]Production-Energy Variable'!K49</f>
        <v>0</v>
      </c>
      <c r="I186" s="261">
        <f>'[4]Production-Energy Variable'!L49</f>
        <v>0</v>
      </c>
      <c r="J186" s="261">
        <f>'[4]Production-Energy Variable'!M49</f>
        <v>0</v>
      </c>
      <c r="K186" s="261">
        <f>'[4]Production-Energy Variable'!N49</f>
        <v>0</v>
      </c>
      <c r="L186" s="261">
        <f>'[4]Production-Energy Variable'!O49</f>
        <v>0</v>
      </c>
      <c r="M186" s="261">
        <f>'[4]Production-Energy Variable'!P49</f>
        <v>0</v>
      </c>
      <c r="N186" s="261">
        <f>'[4]Production-Energy Variable'!Q49</f>
        <v>0</v>
      </c>
      <c r="O186" s="261">
        <f>'[4]Production-Energy Variable'!R49</f>
        <v>0</v>
      </c>
      <c r="P186" s="261">
        <f>'[4]Production-Energy Variable'!S49</f>
        <v>0</v>
      </c>
      <c r="Q186" s="260">
        <f t="shared" si="37"/>
        <v>0</v>
      </c>
    </row>
    <row r="187" spans="1:17" hidden="1">
      <c r="A187" s="263">
        <f>ROW()</f>
        <v>187</v>
      </c>
      <c r="B187" s="261"/>
      <c r="C187" s="261" t="s">
        <v>916</v>
      </c>
      <c r="D187" s="271"/>
      <c r="E187" s="272">
        <f t="shared" si="36"/>
        <v>0</v>
      </c>
      <c r="F187" s="261">
        <f>'[4]Production-Energy Variable'!I50</f>
        <v>0</v>
      </c>
      <c r="G187" s="261">
        <f>'[4]Production-Energy Variable'!J50</f>
        <v>0</v>
      </c>
      <c r="H187" s="261">
        <f>'[4]Production-Energy Variable'!K50</f>
        <v>0</v>
      </c>
      <c r="I187" s="261">
        <f>'[4]Production-Energy Variable'!L50</f>
        <v>0</v>
      </c>
      <c r="J187" s="261">
        <f>'[4]Production-Energy Variable'!M50</f>
        <v>0</v>
      </c>
      <c r="K187" s="261">
        <f>'[4]Production-Energy Variable'!N50</f>
        <v>0</v>
      </c>
      <c r="L187" s="261">
        <f>'[4]Production-Energy Variable'!O50</f>
        <v>0</v>
      </c>
      <c r="M187" s="261">
        <f>'[4]Production-Energy Variable'!P50</f>
        <v>0</v>
      </c>
      <c r="N187" s="261">
        <f>'[4]Production-Energy Variable'!Q50</f>
        <v>0</v>
      </c>
      <c r="O187" s="261">
        <f>'[4]Production-Energy Variable'!R50</f>
        <v>0</v>
      </c>
      <c r="P187" s="261">
        <f>'[4]Production-Energy Variable'!S50</f>
        <v>0</v>
      </c>
      <c r="Q187" s="260">
        <f t="shared" si="37"/>
        <v>0</v>
      </c>
    </row>
    <row r="188" spans="1:17" hidden="1">
      <c r="A188" s="263">
        <f>ROW()</f>
        <v>188</v>
      </c>
      <c r="B188" s="261"/>
      <c r="C188" s="261" t="s">
        <v>643</v>
      </c>
      <c r="D188" s="271"/>
      <c r="E188" s="272">
        <f t="shared" si="36"/>
        <v>0</v>
      </c>
      <c r="F188" s="261">
        <f>'[4]Production-Energy Variable'!I51</f>
        <v>0</v>
      </c>
      <c r="G188" s="261">
        <f>'[4]Production-Energy Variable'!J51</f>
        <v>0</v>
      </c>
      <c r="H188" s="261">
        <f>'[4]Production-Energy Variable'!K51</f>
        <v>0</v>
      </c>
      <c r="I188" s="261">
        <f>'[4]Production-Energy Variable'!L51</f>
        <v>0</v>
      </c>
      <c r="J188" s="261">
        <f>'[4]Production-Energy Variable'!M51</f>
        <v>0</v>
      </c>
      <c r="K188" s="261">
        <f>'[4]Production-Energy Variable'!N51</f>
        <v>0</v>
      </c>
      <c r="L188" s="261">
        <f>'[4]Production-Energy Variable'!O51</f>
        <v>0</v>
      </c>
      <c r="M188" s="261">
        <f>'[4]Production-Energy Variable'!P51</f>
        <v>0</v>
      </c>
      <c r="N188" s="261">
        <f>'[4]Production-Energy Variable'!Q51</f>
        <v>0</v>
      </c>
      <c r="O188" s="261">
        <f>'[4]Production-Energy Variable'!R51</f>
        <v>0</v>
      </c>
      <c r="P188" s="261">
        <f>'[4]Production-Energy Variable'!S51</f>
        <v>0</v>
      </c>
      <c r="Q188" s="260">
        <f t="shared" si="37"/>
        <v>0</v>
      </c>
    </row>
    <row r="189" spans="1:17" hidden="1">
      <c r="A189" s="263">
        <f>ROW()</f>
        <v>189</v>
      </c>
      <c r="B189" s="261"/>
      <c r="C189" s="261" t="s">
        <v>917</v>
      </c>
      <c r="D189" s="271"/>
      <c r="E189" s="272">
        <f t="shared" si="36"/>
        <v>0</v>
      </c>
      <c r="F189" s="261">
        <f>'[4]Production-Energy Variable'!I52</f>
        <v>0</v>
      </c>
      <c r="G189" s="261">
        <f>'[4]Production-Energy Variable'!J52</f>
        <v>0</v>
      </c>
      <c r="H189" s="261">
        <f>'[4]Production-Energy Variable'!K52</f>
        <v>0</v>
      </c>
      <c r="I189" s="261">
        <f>'[4]Production-Energy Variable'!L52</f>
        <v>0</v>
      </c>
      <c r="J189" s="261">
        <f>'[4]Production-Energy Variable'!M52</f>
        <v>0</v>
      </c>
      <c r="K189" s="261">
        <f>'[4]Production-Energy Variable'!N52</f>
        <v>0</v>
      </c>
      <c r="L189" s="261">
        <f>'[4]Production-Energy Variable'!O52</f>
        <v>0</v>
      </c>
      <c r="M189" s="261">
        <f>'[4]Production-Energy Variable'!P52</f>
        <v>0</v>
      </c>
      <c r="N189" s="261">
        <f>'[4]Production-Energy Variable'!Q52</f>
        <v>0</v>
      </c>
      <c r="O189" s="261">
        <f>'[4]Production-Energy Variable'!R52</f>
        <v>0</v>
      </c>
      <c r="P189" s="261">
        <f>'[4]Production-Energy Variable'!S52</f>
        <v>0</v>
      </c>
      <c r="Q189" s="260">
        <f t="shared" si="37"/>
        <v>0</v>
      </c>
    </row>
    <row r="190" spans="1:17" hidden="1">
      <c r="A190" s="263">
        <f>ROW()</f>
        <v>190</v>
      </c>
      <c r="B190" s="261"/>
      <c r="C190" s="261"/>
      <c r="D190" s="271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</row>
    <row r="191" spans="1:17" hidden="1">
      <c r="A191" s="263">
        <f>ROW()</f>
        <v>191</v>
      </c>
      <c r="B191" s="261"/>
      <c r="C191" s="261" t="s">
        <v>672</v>
      </c>
      <c r="D191" s="271"/>
      <c r="E191" s="279">
        <f t="shared" ref="E191:P191" si="38">SUM(E183:E189)</f>
        <v>0</v>
      </c>
      <c r="F191" s="279">
        <f t="shared" si="38"/>
        <v>0</v>
      </c>
      <c r="G191" s="279">
        <f t="shared" si="38"/>
        <v>0</v>
      </c>
      <c r="H191" s="279">
        <f t="shared" si="38"/>
        <v>0</v>
      </c>
      <c r="I191" s="279">
        <f t="shared" si="38"/>
        <v>0</v>
      </c>
      <c r="J191" s="279">
        <f t="shared" si="38"/>
        <v>0</v>
      </c>
      <c r="K191" s="279">
        <f t="shared" si="38"/>
        <v>0</v>
      </c>
      <c r="L191" s="279">
        <f t="shared" si="38"/>
        <v>0</v>
      </c>
      <c r="M191" s="279">
        <f t="shared" si="38"/>
        <v>0</v>
      </c>
      <c r="N191" s="279">
        <f t="shared" si="38"/>
        <v>0</v>
      </c>
      <c r="O191" s="279">
        <f t="shared" si="38"/>
        <v>0</v>
      </c>
      <c r="P191" s="279">
        <f t="shared" si="38"/>
        <v>0</v>
      </c>
      <c r="Q191" s="260">
        <f>ROUND(SUM(F191:P191)-E191,0)</f>
        <v>0</v>
      </c>
    </row>
    <row r="192" spans="1:17" hidden="1">
      <c r="A192" s="263">
        <f>ROW()</f>
        <v>192</v>
      </c>
      <c r="B192" s="261"/>
      <c r="C192" s="261"/>
      <c r="D192" s="271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72"/>
    </row>
    <row r="193" spans="1:17" ht="13.5" hidden="1" thickBot="1">
      <c r="A193" s="263">
        <f>ROW()</f>
        <v>193</v>
      </c>
      <c r="B193" s="261"/>
      <c r="C193" s="261" t="s">
        <v>845</v>
      </c>
      <c r="D193" s="271"/>
      <c r="E193" s="281" t="e">
        <f t="shared" ref="E193:P193" si="39">E180+E191</f>
        <v>#DIV/0!</v>
      </c>
      <c r="F193" s="281" t="e">
        <f t="shared" si="39"/>
        <v>#DIV/0!</v>
      </c>
      <c r="G193" s="281" t="e">
        <f t="shared" si="39"/>
        <v>#DIV/0!</v>
      </c>
      <c r="H193" s="281" t="e">
        <f t="shared" si="39"/>
        <v>#DIV/0!</v>
      </c>
      <c r="I193" s="281" t="e">
        <f t="shared" si="39"/>
        <v>#DIV/0!</v>
      </c>
      <c r="J193" s="281" t="e">
        <f t="shared" si="39"/>
        <v>#DIV/0!</v>
      </c>
      <c r="K193" s="281" t="e">
        <f t="shared" si="39"/>
        <v>#DIV/0!</v>
      </c>
      <c r="L193" s="281" t="e">
        <f t="shared" si="39"/>
        <v>#DIV/0!</v>
      </c>
      <c r="M193" s="281" t="e">
        <f t="shared" si="39"/>
        <v>#DIV/0!</v>
      </c>
      <c r="N193" s="281" t="e">
        <f t="shared" si="39"/>
        <v>#DIV/0!</v>
      </c>
      <c r="O193" s="281" t="e">
        <f t="shared" si="39"/>
        <v>#DIV/0!</v>
      </c>
      <c r="P193" s="281" t="e">
        <f t="shared" si="39"/>
        <v>#DIV/0!</v>
      </c>
      <c r="Q193" s="260" t="e">
        <f>ROUND(SUM(F193:P193)-E193,0)</f>
        <v>#DIV/0!</v>
      </c>
    </row>
    <row r="194" spans="1:17" ht="13.5" hidden="1" thickTop="1">
      <c r="A194" s="263">
        <f>ROW()</f>
        <v>194</v>
      </c>
      <c r="B194" s="261"/>
      <c r="C194" s="261"/>
      <c r="D194" s="271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</row>
    <row r="195" spans="1:17" hidden="1">
      <c r="A195" s="263">
        <f>ROW()</f>
        <v>195</v>
      </c>
      <c r="B195" s="261"/>
      <c r="C195" s="280" t="s">
        <v>918</v>
      </c>
      <c r="D195" s="271"/>
      <c r="E195" s="282"/>
      <c r="F195" s="282">
        <f>'[4]Class Summary'!F59</f>
        <v>5.6357604475278253E-2</v>
      </c>
      <c r="G195" s="282">
        <f>'[4]Class Summary'!G59</f>
        <v>8.2020099439159791E-2</v>
      </c>
      <c r="H195" s="282">
        <f>'[4]Class Summary'!H59</f>
        <v>7.8211925467174342E-2</v>
      </c>
      <c r="I195" s="282">
        <f>'[4]Class Summary'!I59</f>
        <v>0.14801867864076429</v>
      </c>
      <c r="J195" s="282">
        <f>'[4]Class Summary'!J59</f>
        <v>6.2596212964216191E-2</v>
      </c>
      <c r="K195" s="282">
        <f>'[4]Class Summary'!K59</f>
        <v>6.7346419011661135E-2</v>
      </c>
      <c r="L195" s="282">
        <f>'[4]Class Summary'!L59</f>
        <v>8.750222466242473E-2</v>
      </c>
      <c r="M195" s="282">
        <f>'[4]Class Summary'!M59</f>
        <v>0.18734677978999126</v>
      </c>
      <c r="N195" s="282">
        <f>'[4]Class Summary'!N59</f>
        <v>8.6072134543170364E-2</v>
      </c>
      <c r="O195" s="282">
        <f>'[4]Class Summary'!O59</f>
        <v>4.8124327013229551E-2</v>
      </c>
      <c r="P195" s="282">
        <f>'[4]Class Summary'!P59</f>
        <v>7.6479042302476777E-2</v>
      </c>
    </row>
    <row r="196" spans="1:17" hidden="1">
      <c r="A196" s="263">
        <f>ROW()</f>
        <v>196</v>
      </c>
      <c r="B196" s="261"/>
    </row>
    <row r="197" spans="1:17" hidden="1">
      <c r="A197" s="263">
        <f>ROW()</f>
        <v>197</v>
      </c>
      <c r="B197" s="261"/>
      <c r="C197" s="261" t="s">
        <v>847</v>
      </c>
      <c r="D197" s="271">
        <f>'[4]P+T+D+R+M'!$H$59</f>
        <v>6.7805240282880597E-2</v>
      </c>
      <c r="E197" s="261" t="e">
        <f t="shared" ref="E197:P197" si="40">$D$197*E193</f>
        <v>#DIV/0!</v>
      </c>
      <c r="F197" s="261" t="e">
        <f t="shared" si="40"/>
        <v>#DIV/0!</v>
      </c>
      <c r="G197" s="261" t="e">
        <f t="shared" si="40"/>
        <v>#DIV/0!</v>
      </c>
      <c r="H197" s="261" t="e">
        <f t="shared" si="40"/>
        <v>#DIV/0!</v>
      </c>
      <c r="I197" s="261" t="e">
        <f t="shared" si="40"/>
        <v>#DIV/0!</v>
      </c>
      <c r="J197" s="261" t="e">
        <f t="shared" si="40"/>
        <v>#DIV/0!</v>
      </c>
      <c r="K197" s="261" t="e">
        <f t="shared" si="40"/>
        <v>#DIV/0!</v>
      </c>
      <c r="L197" s="261" t="e">
        <f t="shared" si="40"/>
        <v>#DIV/0!</v>
      </c>
      <c r="M197" s="261" t="e">
        <f t="shared" si="40"/>
        <v>#DIV/0!</v>
      </c>
      <c r="N197" s="261" t="e">
        <f t="shared" si="40"/>
        <v>#DIV/0!</v>
      </c>
      <c r="O197" s="261" t="e">
        <f t="shared" si="40"/>
        <v>#DIV/0!</v>
      </c>
      <c r="P197" s="261" t="e">
        <f t="shared" si="40"/>
        <v>#DIV/0!</v>
      </c>
      <c r="Q197" s="260" t="e">
        <f>ROUND(SUM(F197:P197)-E197,0)</f>
        <v>#DIV/0!</v>
      </c>
    </row>
    <row r="198" spans="1:17" hidden="1">
      <c r="A198" s="263">
        <f>ROW()</f>
        <v>198</v>
      </c>
      <c r="B198" s="261"/>
      <c r="C198" s="261" t="s">
        <v>499</v>
      </c>
      <c r="D198" s="271"/>
      <c r="E198" s="283" t="e">
        <f>SUM(F198:P198)</f>
        <v>#DIV/0!</v>
      </c>
      <c r="F198" s="283" t="e">
        <f>F164+((F197-(F193*F195))*(1/[4]Inputs!$H$20))-(F197-(F193*F195))</f>
        <v>#DIV/0!</v>
      </c>
      <c r="G198" s="283" t="e">
        <f>G164+((G197-(G193*G195))*(1/[4]Inputs!$H$20))-(G197-(G193*G195))</f>
        <v>#DIV/0!</v>
      </c>
      <c r="H198" s="283" t="e">
        <f>H164+((H197-(H193*H195))*(1/[4]Inputs!$H$20))-(H197-(H193*H195))</f>
        <v>#DIV/0!</v>
      </c>
      <c r="I198" s="283" t="e">
        <f>I164+((I197-(I193*I195))*(1/[4]Inputs!$H$20))-(I197-(I193*I195))</f>
        <v>#DIV/0!</v>
      </c>
      <c r="J198" s="283" t="e">
        <f>J164+((J197-(J193*J195))*(1/[4]Inputs!$H$20))-(J197-(J193*J195))</f>
        <v>#DIV/0!</v>
      </c>
      <c r="K198" s="283" t="e">
        <f>K164+((K197-(K193*K195))*(1/[4]Inputs!$H$20))-(K197-(K193*K195))</f>
        <v>#DIV/0!</v>
      </c>
      <c r="L198" s="283" t="e">
        <f>L164+((L197-(L193*L195))*(1/[4]Inputs!$H$20))-(L197-(L193*L195))</f>
        <v>#DIV/0!</v>
      </c>
      <c r="M198" s="283" t="e">
        <f>M164+((M197-(M193*M195))*(1/[4]Inputs!$H$20))-(M197-(M193*M195))</f>
        <v>#DIV/0!</v>
      </c>
      <c r="N198" s="283" t="e">
        <f>N164+((N197-(N193*N195))*(1/[4]Inputs!$H$20))-(N197-(N193*N195))</f>
        <v>#DIV/0!</v>
      </c>
      <c r="O198" s="283" t="e">
        <f>O164+((O197-(O193*O195))*(1/[4]Inputs!$H$20))-(O197-(O193*O195))</f>
        <v>#DIV/0!</v>
      </c>
      <c r="P198" s="283" t="e">
        <f>P164+((P197-(P193*P195))*(1/[4]Inputs!$H$20))-(P197-(P193*P195))</f>
        <v>#DIV/0!</v>
      </c>
      <c r="Q198" s="260" t="e">
        <f>ROUND(SUM(F198:P198)-E198,0)</f>
        <v>#DIV/0!</v>
      </c>
    </row>
    <row r="199" spans="1:17" hidden="1">
      <c r="A199" s="263">
        <f>ROW()</f>
        <v>199</v>
      </c>
      <c r="B199" s="261"/>
      <c r="C199" s="261" t="s">
        <v>833</v>
      </c>
      <c r="D199" s="271"/>
      <c r="E199" s="284" t="e">
        <f>'[4]Production-Energy Variable'!H97</f>
        <v>#VALUE!</v>
      </c>
      <c r="F199" s="284">
        <f>'[4]Production-Energy Variable'!I97</f>
        <v>-9456691.2114691045</v>
      </c>
      <c r="G199" s="284">
        <f>'[4]Production-Energy Variable'!J97</f>
        <v>-7169634.0807666844</v>
      </c>
      <c r="H199" s="284">
        <f>'[4]Production-Energy Variable'!K97</f>
        <v>-2106386.2890668134</v>
      </c>
      <c r="I199" s="284">
        <f>'[4]Production-Energy Variable'!L97</f>
        <v>-28346.114778436262</v>
      </c>
      <c r="J199" s="284">
        <f>'[4]Production-Energy Variable'!M97</f>
        <v>-4704710.925227724</v>
      </c>
      <c r="K199" s="284">
        <f>'[4]Production-Energy Variable'!N97</f>
        <v>-221694.54803219039</v>
      </c>
      <c r="L199" s="284">
        <f>'[4]Production-Energy Variable'!O97</f>
        <v>-7452.5759442907001</v>
      </c>
      <c r="M199" s="284">
        <f>'[4]Production-Energy Variable'!P97</f>
        <v>-9605.3255382165698</v>
      </c>
      <c r="N199" s="284">
        <f>'[4]Production-Energy Variable'!Q97</f>
        <v>-1667087.7938841877</v>
      </c>
      <c r="O199" s="284">
        <f>'[4]Production-Energy Variable'!R97</f>
        <v>-586356.763019979</v>
      </c>
      <c r="P199" s="284">
        <f>'[4]Production-Energy Variable'!S97</f>
        <v>-447049.79081960476</v>
      </c>
      <c r="Q199" s="260" t="e">
        <f>ROUND(SUM(F199:P199)-E199,0)</f>
        <v>#VALUE!</v>
      </c>
    </row>
    <row r="200" spans="1:17" hidden="1">
      <c r="A200" s="263">
        <f>ROW()</f>
        <v>200</v>
      </c>
    </row>
    <row r="201" spans="1:17" hidden="1">
      <c r="A201" s="263">
        <f>ROW()</f>
        <v>201</v>
      </c>
      <c r="B201" s="261"/>
      <c r="C201" s="261" t="s">
        <v>832</v>
      </c>
      <c r="D201" s="271"/>
      <c r="E201" s="283" t="e">
        <f t="shared" ref="E201:P201" si="41">SUM(E197:E199)</f>
        <v>#DIV/0!</v>
      </c>
      <c r="F201" s="283" t="e">
        <f t="shared" si="41"/>
        <v>#DIV/0!</v>
      </c>
      <c r="G201" s="283" t="e">
        <f t="shared" si="41"/>
        <v>#DIV/0!</v>
      </c>
      <c r="H201" s="283" t="e">
        <f t="shared" si="41"/>
        <v>#DIV/0!</v>
      </c>
      <c r="I201" s="283" t="e">
        <f t="shared" si="41"/>
        <v>#DIV/0!</v>
      </c>
      <c r="J201" s="283" t="e">
        <f t="shared" si="41"/>
        <v>#DIV/0!</v>
      </c>
      <c r="K201" s="283" t="e">
        <f t="shared" si="41"/>
        <v>#DIV/0!</v>
      </c>
      <c r="L201" s="283" t="e">
        <f t="shared" si="41"/>
        <v>#DIV/0!</v>
      </c>
      <c r="M201" s="283" t="e">
        <f t="shared" si="41"/>
        <v>#DIV/0!</v>
      </c>
      <c r="N201" s="283" t="e">
        <f t="shared" si="41"/>
        <v>#DIV/0!</v>
      </c>
      <c r="O201" s="283" t="e">
        <f t="shared" si="41"/>
        <v>#DIV/0!</v>
      </c>
      <c r="P201" s="283" t="e">
        <f t="shared" si="41"/>
        <v>#DIV/0!</v>
      </c>
      <c r="Q201" s="260" t="e">
        <f>ROUND(SUM(F201:P201)-E201,0)</f>
        <v>#DIV/0!</v>
      </c>
    </row>
    <row r="202" spans="1:17" hidden="1">
      <c r="A202" s="263">
        <f>ROW()</f>
        <v>202</v>
      </c>
      <c r="Q202" s="260">
        <f>ROUND(SUM(F202:P202)-E202,0)</f>
        <v>0</v>
      </c>
    </row>
    <row r="203" spans="1:17">
      <c r="A203" s="263">
        <f>ROW()</f>
        <v>203</v>
      </c>
    </row>
    <row r="204" spans="1:17">
      <c r="A204" s="263">
        <f>ROW()</f>
        <v>204</v>
      </c>
      <c r="C204" s="261" t="s">
        <v>919</v>
      </c>
      <c r="D204" s="271">
        <f>[4]Inputs!L6</f>
        <v>7.7030070290040428E-2</v>
      </c>
      <c r="E204" s="261" t="e">
        <f t="shared" ref="E204:P204" si="42">$D204*E193</f>
        <v>#DIV/0!</v>
      </c>
      <c r="F204" s="261" t="e">
        <f t="shared" si="42"/>
        <v>#DIV/0!</v>
      </c>
      <c r="G204" s="261" t="e">
        <f t="shared" si="42"/>
        <v>#DIV/0!</v>
      </c>
      <c r="H204" s="261" t="e">
        <f t="shared" si="42"/>
        <v>#DIV/0!</v>
      </c>
      <c r="I204" s="261" t="e">
        <f t="shared" si="42"/>
        <v>#DIV/0!</v>
      </c>
      <c r="J204" s="261" t="e">
        <f t="shared" si="42"/>
        <v>#DIV/0!</v>
      </c>
      <c r="K204" s="261" t="e">
        <f t="shared" si="42"/>
        <v>#DIV/0!</v>
      </c>
      <c r="L204" s="261" t="e">
        <f t="shared" si="42"/>
        <v>#DIV/0!</v>
      </c>
      <c r="M204" s="261" t="e">
        <f t="shared" si="42"/>
        <v>#DIV/0!</v>
      </c>
      <c r="N204" s="261" t="e">
        <f t="shared" si="42"/>
        <v>#DIV/0!</v>
      </c>
      <c r="O204" s="261" t="e">
        <f t="shared" si="42"/>
        <v>#DIV/0!</v>
      </c>
      <c r="P204" s="261" t="e">
        <f t="shared" si="42"/>
        <v>#DIV/0!</v>
      </c>
      <c r="Q204" s="260" t="e">
        <f>ROUND(SUM(F204:P204)-E204,0)</f>
        <v>#DIV/0!</v>
      </c>
    </row>
    <row r="205" spans="1:17">
      <c r="A205" s="263">
        <f>ROW()</f>
        <v>205</v>
      </c>
      <c r="C205" s="261" t="s">
        <v>920</v>
      </c>
      <c r="D205" s="271"/>
      <c r="E205" s="283" t="e">
        <f>SUM(F205:P205)</f>
        <v>#DIV/0!</v>
      </c>
      <c r="F205" s="283" t="e">
        <f>F198+((F204-F197)*(1/[4]Inputs!$H$20))-(F204-F197)</f>
        <v>#DIV/0!</v>
      </c>
      <c r="G205" s="283" t="e">
        <f>G198+((G204-G197)*(1/[4]Inputs!$H$20))-(G204-G197)</f>
        <v>#DIV/0!</v>
      </c>
      <c r="H205" s="283" t="e">
        <f>H198+((H204-H197)*(1/[4]Inputs!$H$20))-(H204-H197)</f>
        <v>#DIV/0!</v>
      </c>
      <c r="I205" s="283" t="e">
        <f>I198+((I204-I197)*(1/[4]Inputs!$H$20))-(I204-I197)</f>
        <v>#DIV/0!</v>
      </c>
      <c r="J205" s="283" t="e">
        <f>J198+((J204-J197)*(1/[4]Inputs!$H$20))-(J204-J197)</f>
        <v>#DIV/0!</v>
      </c>
      <c r="K205" s="283" t="e">
        <f>K198+((K204-K197)*(1/[4]Inputs!$H$20))-(K204-K197)</f>
        <v>#DIV/0!</v>
      </c>
      <c r="L205" s="283" t="e">
        <f>L198+((L204-L197)*(1/[4]Inputs!$H$20))-(L204-L197)</f>
        <v>#DIV/0!</v>
      </c>
      <c r="M205" s="283" t="e">
        <f>M198+((M204-M197)*(1/[4]Inputs!$H$20))-(M204-M197)</f>
        <v>#DIV/0!</v>
      </c>
      <c r="N205" s="283" t="e">
        <f>N198+((N204-N197)*(1/[4]Inputs!$H$20))-(N204-N197)</f>
        <v>#DIV/0!</v>
      </c>
      <c r="O205" s="283" t="e">
        <f>O198+((O204-O197)*(1/[4]Inputs!$H$20))-(O204-O197)</f>
        <v>#DIV/0!</v>
      </c>
      <c r="P205" s="283" t="e">
        <f>P198+((P204-P197)*(1/[4]Inputs!$H$20))-(P204-P197)</f>
        <v>#DIV/0!</v>
      </c>
      <c r="Q205" s="260" t="e">
        <f>ROUND(SUM(F205:P205)-E205,0)</f>
        <v>#DIV/0!</v>
      </c>
    </row>
    <row r="206" spans="1:17">
      <c r="A206" s="263">
        <f>ROW()</f>
        <v>206</v>
      </c>
      <c r="C206" s="261" t="s">
        <v>833</v>
      </c>
      <c r="D206" s="271"/>
      <c r="E206" s="284" t="e">
        <f t="shared" ref="E206:P206" si="43">E199</f>
        <v>#VALUE!</v>
      </c>
      <c r="F206" s="284">
        <f t="shared" si="43"/>
        <v>-9456691.2114691045</v>
      </c>
      <c r="G206" s="284">
        <f t="shared" si="43"/>
        <v>-7169634.0807666844</v>
      </c>
      <c r="H206" s="284">
        <f t="shared" si="43"/>
        <v>-2106386.2890668134</v>
      </c>
      <c r="I206" s="284">
        <f t="shared" si="43"/>
        <v>-28346.114778436262</v>
      </c>
      <c r="J206" s="284">
        <f t="shared" si="43"/>
        <v>-4704710.925227724</v>
      </c>
      <c r="K206" s="284">
        <f t="shared" si="43"/>
        <v>-221694.54803219039</v>
      </c>
      <c r="L206" s="284">
        <f t="shared" si="43"/>
        <v>-7452.5759442907001</v>
      </c>
      <c r="M206" s="284">
        <f t="shared" si="43"/>
        <v>-9605.3255382165698</v>
      </c>
      <c r="N206" s="284">
        <f t="shared" si="43"/>
        <v>-1667087.7938841877</v>
      </c>
      <c r="O206" s="284">
        <f t="shared" si="43"/>
        <v>-586356.763019979</v>
      </c>
      <c r="P206" s="284">
        <f t="shared" si="43"/>
        <v>-447049.79081960476</v>
      </c>
      <c r="Q206" s="260" t="e">
        <f>ROUND(SUM(F206:P206)-E206,0)</f>
        <v>#VALUE!</v>
      </c>
    </row>
    <row r="207" spans="1:17">
      <c r="A207" s="263">
        <f>ROW()</f>
        <v>207</v>
      </c>
    </row>
    <row r="208" spans="1:17">
      <c r="A208" s="263">
        <f>ROW()</f>
        <v>208</v>
      </c>
      <c r="C208" s="261" t="s">
        <v>921</v>
      </c>
      <c r="D208" s="271"/>
      <c r="E208" s="283" t="e">
        <f t="shared" ref="E208:P208" si="44">SUM(E204:E206)</f>
        <v>#DIV/0!</v>
      </c>
      <c r="F208" s="283" t="e">
        <f t="shared" si="44"/>
        <v>#DIV/0!</v>
      </c>
      <c r="G208" s="283" t="e">
        <f t="shared" si="44"/>
        <v>#DIV/0!</v>
      </c>
      <c r="H208" s="283" t="e">
        <f t="shared" si="44"/>
        <v>#DIV/0!</v>
      </c>
      <c r="I208" s="283" t="e">
        <f t="shared" si="44"/>
        <v>#DIV/0!</v>
      </c>
      <c r="J208" s="283" t="e">
        <f t="shared" si="44"/>
        <v>#DIV/0!</v>
      </c>
      <c r="K208" s="283" t="e">
        <f t="shared" si="44"/>
        <v>#DIV/0!</v>
      </c>
      <c r="L208" s="283" t="e">
        <f t="shared" si="44"/>
        <v>#DIV/0!</v>
      </c>
      <c r="M208" s="283" t="e">
        <f t="shared" si="44"/>
        <v>#DIV/0!</v>
      </c>
      <c r="N208" s="283" t="e">
        <f t="shared" si="44"/>
        <v>#DIV/0!</v>
      </c>
      <c r="O208" s="283" t="e">
        <f t="shared" si="44"/>
        <v>#DIV/0!</v>
      </c>
      <c r="P208" s="283" t="e">
        <f t="shared" si="44"/>
        <v>#DIV/0!</v>
      </c>
      <c r="Q208" s="260" t="e">
        <f>ROUND(SUM(F208:P208)-E208,0)</f>
        <v>#DIV/0!</v>
      </c>
    </row>
    <row r="210" spans="1:17">
      <c r="A210" s="263"/>
      <c r="B210" s="264"/>
      <c r="C210" s="264" t="str">
        <f>[4]Inputs!$C$4</f>
        <v>Rocky Mountain Power</v>
      </c>
      <c r="D210" s="265"/>
      <c r="E210" s="266"/>
      <c r="F210" s="264"/>
      <c r="G210" s="266"/>
      <c r="H210" s="266"/>
      <c r="I210" s="266"/>
      <c r="J210" s="264"/>
      <c r="K210" s="264"/>
      <c r="L210" s="264"/>
      <c r="M210" s="264"/>
      <c r="N210" s="264"/>
      <c r="O210" s="266"/>
      <c r="P210" s="266"/>
    </row>
    <row r="211" spans="1:17">
      <c r="A211" s="263"/>
      <c r="B211" s="264"/>
      <c r="C211" s="266" t="s">
        <v>924</v>
      </c>
      <c r="D211" s="265"/>
      <c r="E211" s="266"/>
      <c r="F211" s="264"/>
      <c r="G211" s="266"/>
      <c r="H211" s="264"/>
      <c r="I211" s="264"/>
      <c r="J211" s="264"/>
      <c r="K211" s="264"/>
      <c r="L211" s="264"/>
      <c r="M211" s="264"/>
      <c r="N211" s="264"/>
      <c r="O211" s="266"/>
      <c r="P211" s="266"/>
    </row>
    <row r="212" spans="1:17">
      <c r="A212" s="263"/>
      <c r="B212" s="264"/>
      <c r="C212" s="264" t="str">
        <f>[4]Inputs!$C$5</f>
        <v>State of Utah</v>
      </c>
      <c r="D212" s="265"/>
      <c r="E212" s="266"/>
      <c r="F212" s="264"/>
      <c r="G212" s="266"/>
      <c r="H212" s="264"/>
      <c r="I212" s="264"/>
      <c r="J212" s="264"/>
      <c r="K212" s="264"/>
      <c r="L212" s="264"/>
      <c r="M212" s="264"/>
      <c r="N212" s="264"/>
      <c r="O212" s="266"/>
      <c r="P212" s="266"/>
    </row>
    <row r="213" spans="1:17">
      <c r="A213" s="263"/>
      <c r="B213" s="264"/>
      <c r="C213" s="264" t="str">
        <f>[4]Inputs!$C$7</f>
        <v>2020 Protocol (Non Wgt)</v>
      </c>
      <c r="D213" s="265"/>
      <c r="E213" s="266"/>
      <c r="F213" s="264"/>
      <c r="G213" s="266"/>
      <c r="H213" s="264"/>
      <c r="I213" s="264"/>
      <c r="J213" s="264"/>
      <c r="K213" s="264"/>
      <c r="L213" s="264"/>
      <c r="M213" s="264"/>
      <c r="N213" s="264"/>
      <c r="O213" s="264"/>
      <c r="P213" s="264"/>
    </row>
    <row r="214" spans="1:17">
      <c r="A214" s="263"/>
      <c r="B214" s="267"/>
      <c r="C214" s="264">
        <f>[4]Inputs!C76</f>
        <v>0</v>
      </c>
      <c r="D214" s="265"/>
      <c r="E214" s="266"/>
      <c r="F214" s="264"/>
      <c r="G214" s="266"/>
      <c r="H214" s="264"/>
      <c r="I214" s="264"/>
      <c r="J214" s="264"/>
      <c r="K214" s="264"/>
      <c r="L214" s="264"/>
      <c r="M214" s="264"/>
      <c r="N214" s="264"/>
      <c r="O214" s="264"/>
      <c r="P214" s="264"/>
    </row>
    <row r="215" spans="1:17">
      <c r="A215" s="263"/>
      <c r="F215" s="268"/>
      <c r="G215" s="268"/>
      <c r="H215" s="268"/>
      <c r="I215" s="268"/>
      <c r="J215" s="268"/>
      <c r="K215" s="268"/>
      <c r="L215" s="268"/>
      <c r="M215" s="268"/>
      <c r="N215" s="268"/>
      <c r="O215" s="268"/>
      <c r="P215" s="268"/>
    </row>
    <row r="216" spans="1:17">
      <c r="A216" s="263"/>
      <c r="F216" s="268"/>
      <c r="G216" s="268"/>
      <c r="H216" s="268"/>
      <c r="I216" s="268"/>
      <c r="J216" s="268"/>
      <c r="K216" s="268"/>
      <c r="L216" s="268"/>
      <c r="M216" s="268"/>
      <c r="N216" s="268"/>
      <c r="O216" s="268"/>
      <c r="P216" s="268"/>
    </row>
    <row r="217" spans="1:17">
      <c r="A217" s="263"/>
      <c r="B217" s="261"/>
      <c r="C217" s="269" t="s">
        <v>887</v>
      </c>
      <c r="D217" s="270" t="s">
        <v>888</v>
      </c>
      <c r="E217" s="269" t="s">
        <v>889</v>
      </c>
      <c r="F217" s="269" t="s">
        <v>789</v>
      </c>
      <c r="G217" s="269" t="s">
        <v>890</v>
      </c>
      <c r="H217" s="269" t="s">
        <v>891</v>
      </c>
      <c r="I217" s="269" t="s">
        <v>164</v>
      </c>
      <c r="J217" s="269" t="s">
        <v>892</v>
      </c>
      <c r="K217" s="269" t="s">
        <v>893</v>
      </c>
      <c r="L217" s="269" t="s">
        <v>894</v>
      </c>
      <c r="M217" s="269" t="s">
        <v>895</v>
      </c>
      <c r="N217" s="269" t="s">
        <v>896</v>
      </c>
      <c r="O217" s="269" t="s">
        <v>897</v>
      </c>
      <c r="P217" s="269" t="s">
        <v>898</v>
      </c>
      <c r="Q217" s="269"/>
    </row>
    <row r="218" spans="1:17">
      <c r="A218" s="263"/>
      <c r="B218" s="261"/>
      <c r="C218" s="261"/>
      <c r="D218" s="271"/>
      <c r="E218" s="269"/>
      <c r="F218" s="272"/>
      <c r="G218" s="263"/>
      <c r="H218" s="263"/>
      <c r="I218" s="263"/>
      <c r="J218" s="263"/>
      <c r="K218" s="272"/>
      <c r="L218" s="263"/>
      <c r="M218" s="263"/>
      <c r="N218" s="263"/>
      <c r="O218" s="268"/>
      <c r="P218" s="268"/>
      <c r="Q218" s="273" t="s">
        <v>899</v>
      </c>
    </row>
    <row r="219" spans="1:17" ht="38.25">
      <c r="A219" s="263"/>
      <c r="B219" s="274"/>
      <c r="C219" s="275" t="s">
        <v>900</v>
      </c>
      <c r="D219" s="276"/>
      <c r="E219" s="277" t="str">
        <f>'[4]P+T+D+R+M'!H$10</f>
        <v>Utah
Jurisdiction
Normalized</v>
      </c>
      <c r="F219" s="277" t="str">
        <f>'[4]P+T+D+R+M'!I$10</f>
        <v>Residential
Sch 1</v>
      </c>
      <c r="G219" s="277" t="str">
        <f>'[4]P+T+D+R+M'!J$10</f>
        <v>General
Large Dist.
Sch 6</v>
      </c>
      <c r="H219" s="277" t="str">
        <f>'[4]P+T+D+R+M'!K$10</f>
        <v>General
+1 MW
Sch 8</v>
      </c>
      <c r="I219" s="277" t="str">
        <f>'[4]P+T+D+R+M'!L$10</f>
        <v>Street &amp; Area
Lighting
Sch. 7,11,12</v>
      </c>
      <c r="J219" s="277" t="str">
        <f>'[4]P+T+D+R+M'!M$10</f>
        <v>General
Trans
Sch 9</v>
      </c>
      <c r="K219" s="277" t="str">
        <f>'[4]P+T+D+R+M'!N$10</f>
        <v>Irrigation
Sch 10</v>
      </c>
      <c r="L219" s="277" t="str">
        <f>'[4]P+T+D+R+M'!O$10</f>
        <v>Traffic
Signals
Sch 15</v>
      </c>
      <c r="M219" s="277" t="str">
        <f>'[4]P+T+D+R+M'!P$10</f>
        <v>Outdoor
Lighting
Sch 15</v>
      </c>
      <c r="N219" s="277" t="str">
        <f>'[4]P+T+D+R+M'!Q$10</f>
        <v>General
Small Dist.
Sch 23</v>
      </c>
      <c r="O219" s="277" t="str">
        <f>'[4]P+T+D+R+M'!R$10</f>
        <v>Industrial
Cust 1</v>
      </c>
      <c r="P219" s="277" t="str">
        <f>'[4]P+T+D+R+M'!S$10</f>
        <v>Industrial
Cust 2</v>
      </c>
      <c r="Q219" s="278" t="e">
        <f>ROUND(SUM(Q224:Q278),0)</f>
        <v>#DIV/0!</v>
      </c>
    </row>
    <row r="220" spans="1:17">
      <c r="A220" s="263"/>
      <c r="B220" s="274"/>
      <c r="C220" s="275"/>
      <c r="D220" s="276"/>
      <c r="E220" s="275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3"/>
    </row>
    <row r="221" spans="1:17">
      <c r="A221" s="263"/>
      <c r="B221" s="274"/>
      <c r="C221" s="280" t="s">
        <v>480</v>
      </c>
      <c r="D221" s="276"/>
      <c r="E221" s="269">
        <f>'[4]Production-Demand Fixed'!H12</f>
        <v>621678356.30901647</v>
      </c>
      <c r="F221" s="269">
        <f>'[4]Production-Demand Fixed'!I12</f>
        <v>205490094.11216292</v>
      </c>
      <c r="G221" s="269">
        <f>'[4]Production-Demand Fixed'!J12</f>
        <v>182976398.46716052</v>
      </c>
      <c r="H221" s="269">
        <f>'[4]Production-Demand Fixed'!K12</f>
        <v>52646823.831450075</v>
      </c>
      <c r="I221" s="269">
        <f>'[4]Production-Demand Fixed'!L12</f>
        <v>948150.88323706482</v>
      </c>
      <c r="J221" s="269">
        <f>'[4]Production-Demand Fixed'!M12</f>
        <v>107199853.65927777</v>
      </c>
      <c r="K221" s="269">
        <f>'[4]Production-Demand Fixed'!N12</f>
        <v>5176375.9218180124</v>
      </c>
      <c r="L221" s="269">
        <f>'[4]Production-Demand Fixed'!O12</f>
        <v>195187.92244042622</v>
      </c>
      <c r="M221" s="269">
        <f>'[4]Production-Demand Fixed'!P12</f>
        <v>391104.0698746157</v>
      </c>
      <c r="N221" s="269">
        <f>'[4]Production-Demand Fixed'!Q12</f>
        <v>43424282.377473101</v>
      </c>
      <c r="O221" s="269">
        <f>'[4]Production-Demand Fixed'!R12</f>
        <v>12138842.522588655</v>
      </c>
      <c r="P221" s="269">
        <f>'[4]Production-Demand Fixed'!S12</f>
        <v>11091242.541533347</v>
      </c>
      <c r="Q221" s="283"/>
    </row>
    <row r="222" spans="1:17">
      <c r="A222" s="263"/>
      <c r="B222" s="261"/>
      <c r="C222" s="261"/>
      <c r="D222" s="271"/>
      <c r="E222" s="272"/>
      <c r="F222" s="272"/>
      <c r="G222" s="272"/>
      <c r="H222" s="272"/>
      <c r="I222" s="272"/>
      <c r="J222" s="272"/>
      <c r="K222" s="272"/>
      <c r="L222" s="272"/>
      <c r="M222" s="272"/>
      <c r="N222" s="272"/>
      <c r="O222" s="272"/>
      <c r="P222" s="272"/>
    </row>
    <row r="223" spans="1:17">
      <c r="A223" s="263">
        <f>ROW()</f>
        <v>223</v>
      </c>
      <c r="B223" s="261"/>
      <c r="C223" s="261" t="s">
        <v>878</v>
      </c>
      <c r="D223" s="271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272"/>
    </row>
    <row r="224" spans="1:17">
      <c r="A224" s="263">
        <f>ROW()</f>
        <v>224</v>
      </c>
      <c r="B224" s="261"/>
      <c r="C224" s="261" t="s">
        <v>901</v>
      </c>
      <c r="D224" s="271"/>
      <c r="E224" s="272">
        <f t="shared" ref="E224:E232" si="45">SUM(F224:P224)</f>
        <v>169601842.68019357</v>
      </c>
      <c r="F224" s="261">
        <f>'[4]Production-Demand Fixed'!I15</f>
        <v>61339641.729405724</v>
      </c>
      <c r="G224" s="261">
        <f>'[4]Production-Demand Fixed'!J15</f>
        <v>46418081.401967071</v>
      </c>
      <c r="H224" s="261">
        <f>'[4]Production-Demand Fixed'!K15</f>
        <v>13499678.554873295</v>
      </c>
      <c r="I224" s="261">
        <f>'[4]Production-Demand Fixed'!L15</f>
        <v>-3740.43354040134</v>
      </c>
      <c r="J224" s="261">
        <f>'[4]Production-Demand Fixed'!M15</f>
        <v>30375759.632596221</v>
      </c>
      <c r="K224" s="261">
        <f>'[4]Production-Demand Fixed'!N15</f>
        <v>1252652.9671882843</v>
      </c>
      <c r="L224" s="261">
        <f>'[4]Production-Demand Fixed'!O15</f>
        <v>-138969.24062979344</v>
      </c>
      <c r="M224" s="261">
        <f>'[4]Production-Demand Fixed'!P15</f>
        <v>-125187.43086055899</v>
      </c>
      <c r="N224" s="261">
        <f>'[4]Production-Demand Fixed'!Q15</f>
        <v>10652111.639736187</v>
      </c>
      <c r="O224" s="261">
        <f>'[4]Production-Demand Fixed'!R15</f>
        <v>3621510.8170707687</v>
      </c>
      <c r="P224" s="261">
        <f>'[4]Production-Demand Fixed'!S15</f>
        <v>2710303.0423867353</v>
      </c>
      <c r="Q224" s="260">
        <f t="shared" ref="Q224:Q232" si="46">ROUND(SUM(F224:P224)-E224,0)</f>
        <v>0</v>
      </c>
    </row>
    <row r="225" spans="1:17">
      <c r="A225" s="263">
        <f>ROW()</f>
        <v>225</v>
      </c>
      <c r="B225" s="261"/>
      <c r="C225" s="261" t="s">
        <v>841</v>
      </c>
      <c r="D225" s="271"/>
      <c r="E225" s="272">
        <f t="shared" si="45"/>
        <v>206884895.94631448</v>
      </c>
      <c r="F225" s="261">
        <f>'[4]Production-Demand Fixed'!I16</f>
        <v>72946005.212244809</v>
      </c>
      <c r="G225" s="261">
        <f>'[4]Production-Demand Fixed'!J16</f>
        <v>55398779.021288916</v>
      </c>
      <c r="H225" s="261">
        <f>'[4]Production-Demand Fixed'!K16</f>
        <v>16551496.603587164</v>
      </c>
      <c r="I225" s="261">
        <f>'[4]Production-Demand Fixed'!L16</f>
        <v>607932.93715069583</v>
      </c>
      <c r="J225" s="261">
        <f>'[4]Production-Demand Fixed'!M16</f>
        <v>36486892.836669296</v>
      </c>
      <c r="K225" s="261">
        <f>'[4]Production-Demand Fixed'!N16</f>
        <v>2091380.2224961901</v>
      </c>
      <c r="L225" s="261">
        <f>'[4]Production-Demand Fixed'!O16</f>
        <v>447629.26701908337</v>
      </c>
      <c r="M225" s="261">
        <f>'[4]Production-Demand Fixed'!P16</f>
        <v>464146.03153274639</v>
      </c>
      <c r="N225" s="261">
        <f>'[4]Production-Demand Fixed'!Q16</f>
        <v>13181021.088640764</v>
      </c>
      <c r="O225" s="261">
        <f>'[4]Production-Demand Fixed'!R16</f>
        <v>4889216.045565662</v>
      </c>
      <c r="P225" s="261">
        <f>'[4]Production-Demand Fixed'!S16</f>
        <v>3820396.6801191987</v>
      </c>
      <c r="Q225" s="260">
        <f t="shared" si="46"/>
        <v>0</v>
      </c>
    </row>
    <row r="226" spans="1:17">
      <c r="A226" s="263">
        <f>ROW()</f>
        <v>226</v>
      </c>
      <c r="B226" s="261"/>
      <c r="C226" s="261" t="s">
        <v>840</v>
      </c>
      <c r="D226" s="271"/>
      <c r="E226" s="272">
        <f t="shared" si="45"/>
        <v>5375770.5694507724</v>
      </c>
      <c r="F226" s="261">
        <f>'[4]Production-Demand Fixed'!I17</f>
        <v>1136459.8547763848</v>
      </c>
      <c r="G226" s="261">
        <f>'[4]Production-Demand Fixed'!J17</f>
        <v>1302411.76642755</v>
      </c>
      <c r="H226" s="261">
        <f>'[4]Production-Demand Fixed'!K17</f>
        <v>515085.96399703319</v>
      </c>
      <c r="I226" s="261">
        <f>'[4]Production-Demand Fixed'!L17</f>
        <v>145368.93620003975</v>
      </c>
      <c r="J226" s="261">
        <f>'[4]Production-Demand Fixed'!M17</f>
        <v>988012.55333279422</v>
      </c>
      <c r="K226" s="261">
        <f>'[4]Production-Demand Fixed'!N17</f>
        <v>170984.27027430368</v>
      </c>
      <c r="L226" s="261">
        <f>'[4]Production-Demand Fixed'!O17</f>
        <v>145440.42778527533</v>
      </c>
      <c r="M226" s="261">
        <f>'[4]Production-Demand Fixed'!P17</f>
        <v>146532.0188942753</v>
      </c>
      <c r="N226" s="261">
        <f>'[4]Production-Demand Fixed'!Q17</f>
        <v>348807.19830484805</v>
      </c>
      <c r="O226" s="261">
        <f>'[4]Production-Demand Fixed'!R17</f>
        <v>250877.25500679552</v>
      </c>
      <c r="P226" s="261">
        <f>'[4]Production-Demand Fixed'!S17</f>
        <v>225790.32445147145</v>
      </c>
      <c r="Q226" s="260">
        <f t="shared" si="46"/>
        <v>0</v>
      </c>
    </row>
    <row r="227" spans="1:17">
      <c r="A227" s="263">
        <f>ROW()</f>
        <v>227</v>
      </c>
      <c r="B227" s="261"/>
      <c r="C227" s="261" t="s">
        <v>422</v>
      </c>
      <c r="D227" s="271"/>
      <c r="E227" s="272">
        <f t="shared" si="45"/>
        <v>31358602.688773565</v>
      </c>
      <c r="F227" s="261">
        <f>'[4]Production-Demand Fixed'!I18</f>
        <v>2850782.0626157792</v>
      </c>
      <c r="G227" s="261">
        <f>'[4]Production-Demand Fixed'!J18</f>
        <v>2850782.0626157792</v>
      </c>
      <c r="H227" s="261">
        <f>'[4]Production-Demand Fixed'!K18</f>
        <v>2850782.0626157792</v>
      </c>
      <c r="I227" s="261">
        <f>'[4]Production-Demand Fixed'!L18</f>
        <v>2850782.0626157792</v>
      </c>
      <c r="J227" s="261">
        <f>'[4]Production-Demand Fixed'!M18</f>
        <v>2850782.0626157792</v>
      </c>
      <c r="K227" s="261">
        <f>'[4]Production-Demand Fixed'!N18</f>
        <v>2850782.0626157792</v>
      </c>
      <c r="L227" s="261">
        <f>'[4]Production-Demand Fixed'!O18</f>
        <v>2850782.0626157792</v>
      </c>
      <c r="M227" s="261">
        <f>'[4]Production-Demand Fixed'!P18</f>
        <v>2850782.0626157792</v>
      </c>
      <c r="N227" s="261">
        <f>'[4]Production-Demand Fixed'!Q18</f>
        <v>2850782.0626157792</v>
      </c>
      <c r="O227" s="261">
        <f>'[4]Production-Demand Fixed'!R18</f>
        <v>2850782.0626157792</v>
      </c>
      <c r="P227" s="261">
        <f>'[4]Production-Demand Fixed'!S18</f>
        <v>2850782.0626157792</v>
      </c>
      <c r="Q227" s="260">
        <f t="shared" si="46"/>
        <v>0</v>
      </c>
    </row>
    <row r="228" spans="1:17">
      <c r="A228" s="263">
        <f>ROW()</f>
        <v>228</v>
      </c>
      <c r="B228" s="261"/>
      <c r="C228" s="261" t="s">
        <v>902</v>
      </c>
      <c r="D228" s="271"/>
      <c r="E228" s="272">
        <f t="shared" si="45"/>
        <v>-7938266.3082005642</v>
      </c>
      <c r="F228" s="261">
        <f>'[4]Production-Demand Fixed'!I19</f>
        <v>-6138671.8842321718</v>
      </c>
      <c r="G228" s="261">
        <f>'[4]Production-Demand Fixed'!J19</f>
        <v>650977.65603213012</v>
      </c>
      <c r="H228" s="261">
        <f>'[4]Production-Demand Fixed'!K19</f>
        <v>-41547.1182219279</v>
      </c>
      <c r="I228" s="261">
        <f>'[4]Production-Demand Fixed'!L19</f>
        <v>56351.797193528633</v>
      </c>
      <c r="J228" s="261">
        <f>'[4]Production-Demand Fixed'!M19</f>
        <v>-2215678.0346451374</v>
      </c>
      <c r="K228" s="261">
        <f>'[4]Production-Demand Fixed'!N19</f>
        <v>-74087.010693591466</v>
      </c>
      <c r="L228" s="261">
        <f>'[4]Production-Demand Fixed'!O19</f>
        <v>1846.0174281754907</v>
      </c>
      <c r="M228" s="261">
        <f>'[4]Production-Demand Fixed'!P19</f>
        <v>30032.618866308498</v>
      </c>
      <c r="N228" s="261">
        <f>'[4]Production-Demand Fixed'!Q19</f>
        <v>346587.7470976935</v>
      </c>
      <c r="O228" s="261">
        <f>'[4]Production-Demand Fixed'!R19</f>
        <v>-521226.20104600413</v>
      </c>
      <c r="P228" s="261">
        <f>'[4]Production-Demand Fixed'!S19</f>
        <v>-32851.895979568653</v>
      </c>
      <c r="Q228" s="260">
        <f t="shared" si="46"/>
        <v>0</v>
      </c>
    </row>
    <row r="229" spans="1:17">
      <c r="A229" s="263">
        <f>ROW()</f>
        <v>229</v>
      </c>
      <c r="B229" s="261"/>
      <c r="C229" s="261" t="s">
        <v>903</v>
      </c>
      <c r="D229" s="271"/>
      <c r="E229" s="272">
        <f t="shared" si="45"/>
        <v>-6509956.6715047266</v>
      </c>
      <c r="F229" s="261">
        <f>'[4]Production-Demand Fixed'!I20</f>
        <v>-3077930.9713569051</v>
      </c>
      <c r="G229" s="261">
        <f>'[4]Production-Demand Fixed'!J20</f>
        <v>-1132041.7598507418</v>
      </c>
      <c r="H229" s="261">
        <f>'[4]Production-Demand Fixed'!K20</f>
        <v>-385297.34964827116</v>
      </c>
      <c r="I229" s="261">
        <f>'[4]Production-Demand Fixed'!L20</f>
        <v>7705.1079976812043</v>
      </c>
      <c r="J229" s="261">
        <f>'[4]Production-Demand Fixed'!M20</f>
        <v>-1341336.965392614</v>
      </c>
      <c r="K229" s="261">
        <f>'[4]Production-Demand Fixed'!N20</f>
        <v>-56339.290494522997</v>
      </c>
      <c r="L229" s="261">
        <f>'[4]Production-Demand Fixed'!O20</f>
        <v>-911.81299079655435</v>
      </c>
      <c r="M229" s="261">
        <f>'[4]Production-Demand Fixed'!P20</f>
        <v>5087.8681242815819</v>
      </c>
      <c r="N229" s="261">
        <f>'[4]Production-Demand Fixed'!Q20</f>
        <v>-219012.70754160758</v>
      </c>
      <c r="O229" s="261">
        <f>'[4]Production-Demand Fixed'!R20</f>
        <v>-222677.17959313077</v>
      </c>
      <c r="P229" s="261">
        <f>'[4]Production-Demand Fixed'!S20</f>
        <v>-87201.610758100243</v>
      </c>
      <c r="Q229" s="260">
        <f t="shared" si="46"/>
        <v>0</v>
      </c>
    </row>
    <row r="230" spans="1:17">
      <c r="A230" s="263">
        <f>ROW()</f>
        <v>230</v>
      </c>
      <c r="B230" s="261"/>
      <c r="C230" s="261" t="s">
        <v>904</v>
      </c>
      <c r="D230" s="271"/>
      <c r="E230" s="272">
        <f t="shared" si="45"/>
        <v>27313850.611126404</v>
      </c>
      <c r="F230" s="261">
        <f>'[4]Production-Demand Fixed'!I21</f>
        <v>2483077.328284218</v>
      </c>
      <c r="G230" s="261">
        <f>'[4]Production-Demand Fixed'!J21</f>
        <v>2483077.328284218</v>
      </c>
      <c r="H230" s="261">
        <f>'[4]Production-Demand Fixed'!K21</f>
        <v>2483077.328284218</v>
      </c>
      <c r="I230" s="261">
        <f>'[4]Production-Demand Fixed'!L21</f>
        <v>2483077.328284218</v>
      </c>
      <c r="J230" s="261">
        <f>'[4]Production-Demand Fixed'!M21</f>
        <v>2483077.328284218</v>
      </c>
      <c r="K230" s="261">
        <f>'[4]Production-Demand Fixed'!N21</f>
        <v>2483077.328284218</v>
      </c>
      <c r="L230" s="261">
        <f>'[4]Production-Demand Fixed'!O21</f>
        <v>2483077.328284218</v>
      </c>
      <c r="M230" s="261">
        <f>'[4]Production-Demand Fixed'!P21</f>
        <v>2483077.328284218</v>
      </c>
      <c r="N230" s="261">
        <f>'[4]Production-Demand Fixed'!Q21</f>
        <v>2483077.328284218</v>
      </c>
      <c r="O230" s="261">
        <f>'[4]Production-Demand Fixed'!R21</f>
        <v>2483077.328284218</v>
      </c>
      <c r="P230" s="261">
        <f>'[4]Production-Demand Fixed'!S21</f>
        <v>2483077.328284218</v>
      </c>
      <c r="Q230" s="260">
        <f t="shared" si="46"/>
        <v>0</v>
      </c>
    </row>
    <row r="231" spans="1:17">
      <c r="A231" s="263">
        <f>ROW()</f>
        <v>231</v>
      </c>
      <c r="B231" s="261"/>
      <c r="C231" s="261" t="s">
        <v>905</v>
      </c>
      <c r="E231" s="272">
        <f t="shared" si="45"/>
        <v>-392351.33189929137</v>
      </c>
      <c r="F231" s="261">
        <f>'[4]Production-Demand Fixed'!I22</f>
        <v>-35668.302899935588</v>
      </c>
      <c r="G231" s="261">
        <f>'[4]Production-Demand Fixed'!J22</f>
        <v>-35668.302899935588</v>
      </c>
      <c r="H231" s="261">
        <f>'[4]Production-Demand Fixed'!K22</f>
        <v>-35668.302899935588</v>
      </c>
      <c r="I231" s="261">
        <f>'[4]Production-Demand Fixed'!L22</f>
        <v>-35668.302899935588</v>
      </c>
      <c r="J231" s="261">
        <f>'[4]Production-Demand Fixed'!M22</f>
        <v>-35668.302899935588</v>
      </c>
      <c r="K231" s="261">
        <f>'[4]Production-Demand Fixed'!N22</f>
        <v>-35668.302899935588</v>
      </c>
      <c r="L231" s="261">
        <f>'[4]Production-Demand Fixed'!O22</f>
        <v>-35668.302899935588</v>
      </c>
      <c r="M231" s="261">
        <f>'[4]Production-Demand Fixed'!P22</f>
        <v>-35668.302899935588</v>
      </c>
      <c r="N231" s="261">
        <f>'[4]Production-Demand Fixed'!Q22</f>
        <v>-35668.302899935588</v>
      </c>
      <c r="O231" s="261">
        <f>'[4]Production-Demand Fixed'!R22</f>
        <v>-35668.302899935588</v>
      </c>
      <c r="P231" s="261">
        <f>'[4]Production-Demand Fixed'!S22</f>
        <v>-35668.302899935588</v>
      </c>
      <c r="Q231" s="260">
        <f t="shared" si="46"/>
        <v>0</v>
      </c>
    </row>
    <row r="232" spans="1:17">
      <c r="A232" s="263">
        <f>ROW()</f>
        <v>232</v>
      </c>
      <c r="B232" s="261"/>
      <c r="C232" s="261" t="s">
        <v>906</v>
      </c>
      <c r="E232" s="272">
        <f t="shared" si="45"/>
        <v>-351099.59228712338</v>
      </c>
      <c r="F232" s="261">
        <f>'[4]Production-Demand Fixed'!I23</f>
        <v>-125739.42491526013</v>
      </c>
      <c r="G232" s="261">
        <f>'[4]Production-Demand Fixed'!J23</f>
        <v>-95332.522731927456</v>
      </c>
      <c r="H232" s="261">
        <f>'[4]Production-Demand Fixed'!K23</f>
        <v>-28008.466501987328</v>
      </c>
      <c r="I232" s="261">
        <f>'[4]Production-Demand Fixed'!L23</f>
        <v>-376.97562333702649</v>
      </c>
      <c r="J232" s="261">
        <f>'[4]Production-Demand Fixed'!M23</f>
        <v>-62558.887903399445</v>
      </c>
      <c r="K232" s="261">
        <f>'[4]Production-Demand Fixed'!N23</f>
        <v>-2947.9040920472503</v>
      </c>
      <c r="L232" s="261">
        <f>'[4]Production-Demand Fixed'!O23</f>
        <v>-99.09804539403784</v>
      </c>
      <c r="M232" s="261">
        <f>'[4]Production-Demand Fixed'!P23</f>
        <v>-127.73821718457194</v>
      </c>
      <c r="N232" s="261">
        <f>'[4]Production-Demand Fixed'!Q23</f>
        <v>-22166.691248655217</v>
      </c>
      <c r="O232" s="261">
        <f>'[4]Production-Demand Fixed'!R23</f>
        <v>-7796.8477708345954</v>
      </c>
      <c r="P232" s="261">
        <f>'[4]Production-Demand Fixed'!S23</f>
        <v>-5945.0352370963801</v>
      </c>
      <c r="Q232" s="260">
        <f t="shared" si="46"/>
        <v>0</v>
      </c>
    </row>
    <row r="233" spans="1:17">
      <c r="A233" s="263">
        <f>ROW()</f>
        <v>233</v>
      </c>
      <c r="B233" s="261"/>
      <c r="D233" s="271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72"/>
    </row>
    <row r="234" spans="1:17">
      <c r="A234" s="263">
        <f>ROW()</f>
        <v>234</v>
      </c>
      <c r="B234" s="261"/>
      <c r="C234" s="261" t="s">
        <v>499</v>
      </c>
      <c r="D234" s="271"/>
      <c r="E234" s="279">
        <f t="shared" ref="E234:P234" si="47">SUM(E224:E232)</f>
        <v>425343288.59196717</v>
      </c>
      <c r="F234" s="279">
        <f t="shared" si="47"/>
        <v>131377955.60392265</v>
      </c>
      <c r="G234" s="279">
        <f t="shared" si="47"/>
        <v>107841066.65113305</v>
      </c>
      <c r="H234" s="279">
        <f t="shared" si="47"/>
        <v>35409599.276085369</v>
      </c>
      <c r="I234" s="279">
        <f t="shared" si="47"/>
        <v>6111432.4573782692</v>
      </c>
      <c r="J234" s="279">
        <f t="shared" si="47"/>
        <v>69529282.222657219</v>
      </c>
      <c r="K234" s="279">
        <f t="shared" si="47"/>
        <v>8679834.3426786773</v>
      </c>
      <c r="L234" s="279">
        <f t="shared" si="47"/>
        <v>5753126.648566612</v>
      </c>
      <c r="M234" s="279">
        <f t="shared" si="47"/>
        <v>5818674.4563399302</v>
      </c>
      <c r="N234" s="279">
        <f t="shared" si="47"/>
        <v>29585539.362989292</v>
      </c>
      <c r="O234" s="279">
        <f t="shared" si="47"/>
        <v>13308094.977233317</v>
      </c>
      <c r="P234" s="279">
        <f t="shared" si="47"/>
        <v>11928682.592982704</v>
      </c>
      <c r="Q234" s="260">
        <f>ROUND(SUM(F234:P234)-E234,0)</f>
        <v>0</v>
      </c>
    </row>
    <row r="235" spans="1:17">
      <c r="A235" s="263">
        <f>ROW()</f>
        <v>235</v>
      </c>
      <c r="B235" s="261"/>
      <c r="C235" s="261"/>
      <c r="D235" s="271"/>
      <c r="E235" s="272"/>
      <c r="F235" s="272"/>
      <c r="G235" s="272"/>
      <c r="H235" s="272"/>
      <c r="I235" s="272"/>
      <c r="J235" s="272"/>
      <c r="K235" s="272"/>
      <c r="L235" s="272"/>
      <c r="M235" s="272"/>
      <c r="N235" s="272"/>
      <c r="O235" s="272"/>
      <c r="P235" s="272"/>
    </row>
    <row r="236" spans="1:17">
      <c r="A236" s="263">
        <f>ROW()</f>
        <v>236</v>
      </c>
      <c r="B236" s="261"/>
      <c r="C236" s="261"/>
      <c r="D236" s="271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</row>
    <row r="237" spans="1:17">
      <c r="A237" s="263">
        <f>ROW()</f>
        <v>237</v>
      </c>
      <c r="B237" s="261"/>
      <c r="C237" s="261" t="s">
        <v>867</v>
      </c>
      <c r="D237" s="271"/>
      <c r="E237" s="272"/>
      <c r="F237" s="272"/>
      <c r="G237" s="272"/>
      <c r="H237" s="272"/>
      <c r="I237" s="272"/>
      <c r="J237" s="272"/>
      <c r="K237" s="272"/>
      <c r="L237" s="272"/>
      <c r="M237" s="272"/>
      <c r="N237" s="272"/>
      <c r="O237" s="272"/>
      <c r="P237" s="272"/>
    </row>
    <row r="238" spans="1:17">
      <c r="A238" s="263">
        <f>ROW()</f>
        <v>238</v>
      </c>
      <c r="B238" s="261"/>
      <c r="C238" s="261" t="s">
        <v>907</v>
      </c>
      <c r="D238" s="271"/>
      <c r="E238" s="272" t="e">
        <f t="shared" ref="E238:E248" si="48">SUM(F238:P238)</f>
        <v>#DIV/0!</v>
      </c>
      <c r="F238" s="261" t="e">
        <f>'[4]Production-Demand Fixed'!I31</f>
        <v>#DIV/0!</v>
      </c>
      <c r="G238" s="261" t="e">
        <f>'[4]Production-Demand Fixed'!J31</f>
        <v>#DIV/0!</v>
      </c>
      <c r="H238" s="261" t="e">
        <f>'[4]Production-Demand Fixed'!K31</f>
        <v>#DIV/0!</v>
      </c>
      <c r="I238" s="261" t="e">
        <f>'[4]Production-Demand Fixed'!L31</f>
        <v>#DIV/0!</v>
      </c>
      <c r="J238" s="261" t="e">
        <f>'[4]Production-Demand Fixed'!M31</f>
        <v>#DIV/0!</v>
      </c>
      <c r="K238" s="261" t="e">
        <f>'[4]Production-Demand Fixed'!N31</f>
        <v>#DIV/0!</v>
      </c>
      <c r="L238" s="261" t="e">
        <f>'[4]Production-Demand Fixed'!O31</f>
        <v>#DIV/0!</v>
      </c>
      <c r="M238" s="261" t="e">
        <f>'[4]Production-Demand Fixed'!P31</f>
        <v>#DIV/0!</v>
      </c>
      <c r="N238" s="261" t="e">
        <f>'[4]Production-Demand Fixed'!Q31</f>
        <v>#DIV/0!</v>
      </c>
      <c r="O238" s="261" t="e">
        <f>'[4]Production-Demand Fixed'!R31</f>
        <v>#DIV/0!</v>
      </c>
      <c r="P238" s="261" t="e">
        <f>'[4]Production-Demand Fixed'!S31</f>
        <v>#DIV/0!</v>
      </c>
      <c r="Q238" s="260" t="e">
        <f t="shared" ref="Q238:Q248" si="49">ROUND(SUM(F238:P238)-E238,0)</f>
        <v>#DIV/0!</v>
      </c>
    </row>
    <row r="239" spans="1:17">
      <c r="A239" s="263">
        <f>ROW()</f>
        <v>239</v>
      </c>
      <c r="B239" s="261"/>
      <c r="C239" s="261" t="s">
        <v>908</v>
      </c>
      <c r="D239" s="271"/>
      <c r="E239" s="272">
        <f t="shared" si="48"/>
        <v>2173129.0398369515</v>
      </c>
      <c r="F239" s="261">
        <f>'[4]Production-Demand Fixed'!I32</f>
        <v>984424.38270323968</v>
      </c>
      <c r="G239" s="261">
        <f>'[4]Production-Demand Fixed'!J32</f>
        <v>729386.08437509765</v>
      </c>
      <c r="H239" s="261">
        <f>'[4]Production-Demand Fixed'!K32</f>
        <v>164764.37752151513</v>
      </c>
      <c r="I239" s="261">
        <f>'[4]Production-Demand Fixed'!L32</f>
        <v>-66965.657899703816</v>
      </c>
      <c r="J239" s="261">
        <f>'[4]Production-Demand Fixed'!M32</f>
        <v>454513.28008043009</v>
      </c>
      <c r="K239" s="261">
        <f>'[4]Production-Demand Fixed'!N32</f>
        <v>-45404.650638680614</v>
      </c>
      <c r="L239" s="261">
        <f>'[4]Production-Demand Fixed'!O32</f>
        <v>-69295.57459429765</v>
      </c>
      <c r="M239" s="261">
        <f>'[4]Production-Demand Fixed'!P32</f>
        <v>-69055.51343194583</v>
      </c>
      <c r="N239" s="261">
        <f>'[4]Production-Demand Fixed'!Q32</f>
        <v>115776.55856174989</v>
      </c>
      <c r="O239" s="261">
        <f>'[4]Production-Demand Fixed'!R32</f>
        <v>-4739.8025565984426</v>
      </c>
      <c r="P239" s="261">
        <f>'[4]Production-Demand Fixed'!S32</f>
        <v>-20274.444283854886</v>
      </c>
      <c r="Q239" s="260">
        <f t="shared" si="49"/>
        <v>0</v>
      </c>
    </row>
    <row r="240" spans="1:17">
      <c r="A240" s="263">
        <f>ROW()</f>
        <v>240</v>
      </c>
      <c r="B240" s="261"/>
      <c r="C240" s="261" t="s">
        <v>909</v>
      </c>
      <c r="D240" s="271"/>
      <c r="E240" s="272">
        <f t="shared" si="48"/>
        <v>9618548.8047002573</v>
      </c>
      <c r="F240" s="261">
        <f>'[4]Production-Demand Fixed'!I33</f>
        <v>3444786.7008100413</v>
      </c>
      <c r="G240" s="261">
        <f>'[4]Production-Demand Fixed'!J33</f>
        <v>2611680.9335114844</v>
      </c>
      <c r="H240" s="261">
        <f>'[4]Production-Demand Fixed'!K33</f>
        <v>767292.84197688615</v>
      </c>
      <c r="I240" s="261">
        <f>'[4]Production-Demand Fixed'!L33</f>
        <v>10325.632615556533</v>
      </c>
      <c r="J240" s="261">
        <f>'[4]Production-Demand Fixed'!M33</f>
        <v>1713783.9508521324</v>
      </c>
      <c r="K240" s="261">
        <f>'[4]Production-Demand Fixed'!N33</f>
        <v>80756.621277553786</v>
      </c>
      <c r="L240" s="261">
        <f>'[4]Production-Demand Fixed'!O33</f>
        <v>2714.7481001107117</v>
      </c>
      <c r="M240" s="261">
        <f>'[4]Production-Demand Fixed'!P33</f>
        <v>3498.9296923293732</v>
      </c>
      <c r="N240" s="261">
        <f>'[4]Production-Demand Fixed'!Q33</f>
        <v>607269.68165040249</v>
      </c>
      <c r="O240" s="261">
        <f>'[4]Production-Demand Fixed'!R33</f>
        <v>213592.04123441596</v>
      </c>
      <c r="P240" s="261">
        <f>'[4]Production-Demand Fixed'!S33</f>
        <v>162846.72297934175</v>
      </c>
      <c r="Q240" s="260">
        <f t="shared" si="49"/>
        <v>0</v>
      </c>
    </row>
    <row r="241" spans="1:17">
      <c r="A241" s="263">
        <f>ROW()</f>
        <v>241</v>
      </c>
      <c r="B241" s="261"/>
      <c r="C241" s="280" t="s">
        <v>597</v>
      </c>
      <c r="D241" s="271"/>
      <c r="E241" s="272">
        <f t="shared" si="48"/>
        <v>0</v>
      </c>
      <c r="F241" s="261">
        <f>'[4]Production-Demand Fixed'!I34</f>
        <v>0</v>
      </c>
      <c r="G241" s="261">
        <f>'[4]Production-Demand Fixed'!J34</f>
        <v>0</v>
      </c>
      <c r="H241" s="261">
        <f>'[4]Production-Demand Fixed'!K34</f>
        <v>0</v>
      </c>
      <c r="I241" s="261">
        <f>'[4]Production-Demand Fixed'!L34</f>
        <v>0</v>
      </c>
      <c r="J241" s="261">
        <f>'[4]Production-Demand Fixed'!M34</f>
        <v>0</v>
      </c>
      <c r="K241" s="261">
        <f>'[4]Production-Demand Fixed'!N34</f>
        <v>0</v>
      </c>
      <c r="L241" s="261">
        <f>'[4]Production-Demand Fixed'!O34</f>
        <v>0</v>
      </c>
      <c r="M241" s="261">
        <f>'[4]Production-Demand Fixed'!P34</f>
        <v>0</v>
      </c>
      <c r="N241" s="261">
        <f>'[4]Production-Demand Fixed'!Q34</f>
        <v>0</v>
      </c>
      <c r="O241" s="261">
        <f>'[4]Production-Demand Fixed'!R34</f>
        <v>0</v>
      </c>
      <c r="P241" s="261">
        <f>'[4]Production-Demand Fixed'!S34</f>
        <v>0</v>
      </c>
      <c r="Q241" s="260">
        <f t="shared" si="49"/>
        <v>0</v>
      </c>
    </row>
    <row r="242" spans="1:17">
      <c r="A242" s="263">
        <f>ROW()</f>
        <v>242</v>
      </c>
      <c r="B242" s="261"/>
      <c r="C242" s="261" t="s">
        <v>614</v>
      </c>
      <c r="D242" s="271"/>
      <c r="E242" s="272">
        <f t="shared" si="48"/>
        <v>4812001.2705401368</v>
      </c>
      <c r="F242" s="261">
        <f>'[4]Production-Demand Fixed'!I35</f>
        <v>437696.82690099964</v>
      </c>
      <c r="G242" s="261">
        <f>'[4]Production-Demand Fixed'!J35</f>
        <v>437666.38315270364</v>
      </c>
      <c r="H242" s="261">
        <f>'[4]Production-Demand Fixed'!K35</f>
        <v>437451.55960966699</v>
      </c>
      <c r="I242" s="261">
        <f>'[4]Production-Demand Fixed'!L35</f>
        <v>437351.15746489132</v>
      </c>
      <c r="J242" s="261">
        <f>'[4]Production-Demand Fixed'!M35</f>
        <v>437592.84648502606</v>
      </c>
      <c r="K242" s="261">
        <f>'[4]Production-Demand Fixed'!N35</f>
        <v>437360.3714303642</v>
      </c>
      <c r="L242" s="261">
        <f>'[4]Production-Demand Fixed'!O35</f>
        <v>437348.94080335542</v>
      </c>
      <c r="M242" s="261">
        <f>'[4]Production-Demand Fixed'!P35</f>
        <v>437349.36116843548</v>
      </c>
      <c r="N242" s="261">
        <f>'[4]Production-Demand Fixed'!Q35</f>
        <v>437420.65563616739</v>
      </c>
      <c r="O242" s="261">
        <f>'[4]Production-Demand Fixed'!R35</f>
        <v>437379.37648894324</v>
      </c>
      <c r="P242" s="261">
        <f>'[4]Production-Demand Fixed'!S35</f>
        <v>437383.79139958363</v>
      </c>
      <c r="Q242" s="260">
        <f t="shared" si="49"/>
        <v>0</v>
      </c>
    </row>
    <row r="243" spans="1:17">
      <c r="A243" s="263">
        <f>ROW()</f>
        <v>243</v>
      </c>
      <c r="B243" s="261"/>
      <c r="C243" s="261" t="s">
        <v>603</v>
      </c>
      <c r="D243" s="271"/>
      <c r="E243" s="272">
        <f t="shared" si="48"/>
        <v>0</v>
      </c>
      <c r="F243" s="261">
        <f>'[4]Production-Demand Fixed'!I36</f>
        <v>0</v>
      </c>
      <c r="G243" s="261">
        <f>'[4]Production-Demand Fixed'!J36</f>
        <v>0</v>
      </c>
      <c r="H243" s="261">
        <f>'[4]Production-Demand Fixed'!K36</f>
        <v>0</v>
      </c>
      <c r="I243" s="261">
        <f>'[4]Production-Demand Fixed'!L36</f>
        <v>0</v>
      </c>
      <c r="J243" s="261">
        <f>'[4]Production-Demand Fixed'!M36</f>
        <v>0</v>
      </c>
      <c r="K243" s="261">
        <f>'[4]Production-Demand Fixed'!N36</f>
        <v>0</v>
      </c>
      <c r="L243" s="261">
        <f>'[4]Production-Demand Fixed'!O36</f>
        <v>0</v>
      </c>
      <c r="M243" s="261">
        <f>'[4]Production-Demand Fixed'!P36</f>
        <v>0</v>
      </c>
      <c r="N243" s="261">
        <f>'[4]Production-Demand Fixed'!Q36</f>
        <v>0</v>
      </c>
      <c r="O243" s="261">
        <f>'[4]Production-Demand Fixed'!R36</f>
        <v>0</v>
      </c>
      <c r="P243" s="261">
        <f>'[4]Production-Demand Fixed'!S36</f>
        <v>0</v>
      </c>
      <c r="Q243" s="260">
        <f t="shared" si="49"/>
        <v>0</v>
      </c>
    </row>
    <row r="244" spans="1:17">
      <c r="A244" s="263">
        <f>ROW()</f>
        <v>244</v>
      </c>
      <c r="B244" s="261"/>
      <c r="C244" s="261" t="s">
        <v>910</v>
      </c>
      <c r="D244" s="271"/>
      <c r="E244" s="272">
        <f t="shared" si="48"/>
        <v>62993552.268075168</v>
      </c>
      <c r="F244" s="261">
        <f>'[4]Production-Demand Fixed'!I37</f>
        <v>5726686.569825015</v>
      </c>
      <c r="G244" s="261">
        <f>'[4]Production-Demand Fixed'!J37</f>
        <v>5726686.569825015</v>
      </c>
      <c r="H244" s="261">
        <f>'[4]Production-Demand Fixed'!K37</f>
        <v>5726686.569825015</v>
      </c>
      <c r="I244" s="261">
        <f>'[4]Production-Demand Fixed'!L37</f>
        <v>5726686.569825015</v>
      </c>
      <c r="J244" s="261">
        <f>'[4]Production-Demand Fixed'!M37</f>
        <v>5726686.569825015</v>
      </c>
      <c r="K244" s="261">
        <f>'[4]Production-Demand Fixed'!N37</f>
        <v>5726686.569825015</v>
      </c>
      <c r="L244" s="261">
        <f>'[4]Production-Demand Fixed'!O37</f>
        <v>5726686.569825015</v>
      </c>
      <c r="M244" s="261">
        <f>'[4]Production-Demand Fixed'!P37</f>
        <v>5726686.569825015</v>
      </c>
      <c r="N244" s="261">
        <f>'[4]Production-Demand Fixed'!Q37</f>
        <v>5726686.569825015</v>
      </c>
      <c r="O244" s="261">
        <f>'[4]Production-Demand Fixed'!R37</f>
        <v>5726686.569825015</v>
      </c>
      <c r="P244" s="261">
        <f>'[4]Production-Demand Fixed'!S37</f>
        <v>5726686.569825015</v>
      </c>
      <c r="Q244" s="260">
        <f t="shared" si="49"/>
        <v>0</v>
      </c>
    </row>
    <row r="245" spans="1:17">
      <c r="A245" s="263">
        <f>ROW()</f>
        <v>245</v>
      </c>
      <c r="B245" s="261"/>
      <c r="C245" s="261" t="s">
        <v>620</v>
      </c>
      <c r="D245" s="271"/>
      <c r="E245" s="272">
        <f t="shared" si="48"/>
        <v>122984723.57246776</v>
      </c>
      <c r="F245" s="261">
        <f>'[4]Production-Demand Fixed'!I38</f>
        <v>19064984.142991178</v>
      </c>
      <c r="G245" s="261">
        <f>'[4]Production-Demand Fixed'!J38</f>
        <v>18073782.00794391</v>
      </c>
      <c r="H245" s="261">
        <f>'[4]Production-Demand Fixed'!K38</f>
        <v>11079454.225242665</v>
      </c>
      <c r="I245" s="261">
        <f>'[4]Production-Demand Fixed'!L38</f>
        <v>7810513.1179492213</v>
      </c>
      <c r="J245" s="261">
        <f>'[4]Production-Demand Fixed'!M38</f>
        <v>15679539.968576061</v>
      </c>
      <c r="K245" s="261">
        <f>'[4]Production-Demand Fixed'!N38</f>
        <v>8110505.8179320861</v>
      </c>
      <c r="L245" s="261">
        <f>'[4]Production-Demand Fixed'!O38</f>
        <v>7738341.990211566</v>
      </c>
      <c r="M245" s="261">
        <f>'[4]Production-Demand Fixed'!P38</f>
        <v>7752028.437779895</v>
      </c>
      <c r="N245" s="261">
        <f>'[4]Production-Demand Fixed'!Q38</f>
        <v>10073267.857637279</v>
      </c>
      <c r="O245" s="261">
        <f>'[4]Production-Demand Fixed'!R38</f>
        <v>8729281.6157446429</v>
      </c>
      <c r="P245" s="261">
        <f>'[4]Production-Demand Fixed'!S38</f>
        <v>8873024.39045926</v>
      </c>
      <c r="Q245" s="260">
        <f t="shared" si="49"/>
        <v>0</v>
      </c>
    </row>
    <row r="246" spans="1:17">
      <c r="A246" s="263">
        <f>ROW()</f>
        <v>246</v>
      </c>
      <c r="B246" s="261"/>
      <c r="C246" s="261" t="s">
        <v>624</v>
      </c>
      <c r="E246" s="272">
        <f t="shared" si="48"/>
        <v>5320268.6262716921</v>
      </c>
      <c r="F246" s="261">
        <f>'[4]Production-Demand Fixed'!I39</f>
        <v>1803766.4513055088</v>
      </c>
      <c r="G246" s="261">
        <f>'[4]Production-Demand Fixed'!J39</f>
        <v>1482963.4856542</v>
      </c>
      <c r="H246" s="261">
        <f>'[4]Production-Demand Fixed'!K39</f>
        <v>440590.75426392944</v>
      </c>
      <c r="I246" s="261">
        <f>'[4]Production-Demand Fixed'!L39</f>
        <v>7872.6316424601664</v>
      </c>
      <c r="J246" s="261">
        <f>'[4]Production-Demand Fixed'!M39</f>
        <v>965989.44774372876</v>
      </c>
      <c r="K246" s="261">
        <f>'[4]Production-Demand Fixed'!N39</f>
        <v>46373.600330045891</v>
      </c>
      <c r="L246" s="261">
        <f>'[4]Production-Demand Fixed'!O39</f>
        <v>1621.3989361785311</v>
      </c>
      <c r="M246" s="261">
        <f>'[4]Production-Demand Fixed'!P39</f>
        <v>2724.0760652795598</v>
      </c>
      <c r="N246" s="261">
        <f>'[4]Production-Demand Fixed'!Q39</f>
        <v>346417.40395409829</v>
      </c>
      <c r="O246" s="261">
        <f>'[4]Production-Demand Fixed'!R39</f>
        <v>117374.18218670074</v>
      </c>
      <c r="P246" s="261">
        <f>'[4]Production-Demand Fixed'!S39</f>
        <v>104575.19418956278</v>
      </c>
      <c r="Q246" s="260">
        <f t="shared" si="49"/>
        <v>0</v>
      </c>
    </row>
    <row r="247" spans="1:17">
      <c r="A247" s="263">
        <f>ROW()</f>
        <v>247</v>
      </c>
      <c r="B247" s="261"/>
      <c r="C247" s="261" t="s">
        <v>911</v>
      </c>
      <c r="D247" s="271"/>
      <c r="E247" s="272">
        <f t="shared" si="48"/>
        <v>0</v>
      </c>
      <c r="F247" s="261">
        <f>'[4]Production-Demand Fixed'!I40</f>
        <v>0</v>
      </c>
      <c r="G247" s="261">
        <f>'[4]Production-Demand Fixed'!J40</f>
        <v>0</v>
      </c>
      <c r="H247" s="261">
        <f>'[4]Production-Demand Fixed'!K40</f>
        <v>0</v>
      </c>
      <c r="I247" s="261">
        <f>'[4]Production-Demand Fixed'!L40</f>
        <v>0</v>
      </c>
      <c r="J247" s="261">
        <f>'[4]Production-Demand Fixed'!M40</f>
        <v>0</v>
      </c>
      <c r="K247" s="261">
        <f>'[4]Production-Demand Fixed'!N40</f>
        <v>0</v>
      </c>
      <c r="L247" s="261">
        <f>'[4]Production-Demand Fixed'!O40</f>
        <v>0</v>
      </c>
      <c r="M247" s="261">
        <f>'[4]Production-Demand Fixed'!P40</f>
        <v>0</v>
      </c>
      <c r="N247" s="261">
        <f>'[4]Production-Demand Fixed'!Q40</f>
        <v>0</v>
      </c>
      <c r="O247" s="261">
        <f>'[4]Production-Demand Fixed'!R40</f>
        <v>0</v>
      </c>
      <c r="P247" s="261">
        <f>'[4]Production-Demand Fixed'!S40</f>
        <v>0</v>
      </c>
      <c r="Q247" s="260">
        <f t="shared" si="49"/>
        <v>0</v>
      </c>
    </row>
    <row r="248" spans="1:17">
      <c r="A248" s="263">
        <f>ROW()</f>
        <v>248</v>
      </c>
      <c r="B248" s="261"/>
      <c r="C248" s="261" t="s">
        <v>637</v>
      </c>
      <c r="D248" s="271"/>
      <c r="E248" s="272">
        <f t="shared" si="48"/>
        <v>0</v>
      </c>
      <c r="F248" s="261">
        <f>'[4]Production-Demand Fixed'!I41</f>
        <v>0</v>
      </c>
      <c r="G248" s="261">
        <f>'[4]Production-Demand Fixed'!J41</f>
        <v>0</v>
      </c>
      <c r="H248" s="261">
        <f>'[4]Production-Demand Fixed'!K41</f>
        <v>0</v>
      </c>
      <c r="I248" s="261">
        <f>'[4]Production-Demand Fixed'!L41</f>
        <v>0</v>
      </c>
      <c r="J248" s="261">
        <f>'[4]Production-Demand Fixed'!M41</f>
        <v>0</v>
      </c>
      <c r="K248" s="261">
        <f>'[4]Production-Demand Fixed'!N41</f>
        <v>0</v>
      </c>
      <c r="L248" s="261">
        <f>'[4]Production-Demand Fixed'!O41</f>
        <v>0</v>
      </c>
      <c r="M248" s="261">
        <f>'[4]Production-Demand Fixed'!P41</f>
        <v>0</v>
      </c>
      <c r="N248" s="261">
        <f>'[4]Production-Demand Fixed'!Q41</f>
        <v>0</v>
      </c>
      <c r="O248" s="261">
        <f>'[4]Production-Demand Fixed'!R41</f>
        <v>0</v>
      </c>
      <c r="P248" s="261">
        <f>'[4]Production-Demand Fixed'!S41</f>
        <v>0</v>
      </c>
      <c r="Q248" s="260">
        <f t="shared" si="49"/>
        <v>0</v>
      </c>
    </row>
    <row r="249" spans="1:17">
      <c r="A249" s="263">
        <f>ROW()</f>
        <v>249</v>
      </c>
      <c r="B249" s="261"/>
      <c r="C249" s="261"/>
      <c r="D249" s="271"/>
      <c r="E249" s="272"/>
      <c r="F249" s="272"/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</row>
    <row r="250" spans="1:17">
      <c r="A250" s="263">
        <f>ROW()</f>
        <v>250</v>
      </c>
      <c r="B250" s="261"/>
      <c r="C250" s="261" t="s">
        <v>642</v>
      </c>
      <c r="D250" s="271"/>
      <c r="E250" s="279" t="e">
        <f t="shared" ref="E250:P250" si="50">SUM(E238:E248)</f>
        <v>#DIV/0!</v>
      </c>
      <c r="F250" s="279" t="e">
        <f t="shared" si="50"/>
        <v>#DIV/0!</v>
      </c>
      <c r="G250" s="279" t="e">
        <f t="shared" si="50"/>
        <v>#DIV/0!</v>
      </c>
      <c r="H250" s="279" t="e">
        <f t="shared" si="50"/>
        <v>#DIV/0!</v>
      </c>
      <c r="I250" s="279" t="e">
        <f t="shared" si="50"/>
        <v>#DIV/0!</v>
      </c>
      <c r="J250" s="279" t="e">
        <f t="shared" si="50"/>
        <v>#DIV/0!</v>
      </c>
      <c r="K250" s="279" t="e">
        <f t="shared" si="50"/>
        <v>#DIV/0!</v>
      </c>
      <c r="L250" s="279" t="e">
        <f t="shared" si="50"/>
        <v>#DIV/0!</v>
      </c>
      <c r="M250" s="279" t="e">
        <f t="shared" si="50"/>
        <v>#DIV/0!</v>
      </c>
      <c r="N250" s="279" t="e">
        <f t="shared" si="50"/>
        <v>#DIV/0!</v>
      </c>
      <c r="O250" s="279" t="e">
        <f t="shared" si="50"/>
        <v>#DIV/0!</v>
      </c>
      <c r="P250" s="279" t="e">
        <f t="shared" si="50"/>
        <v>#DIV/0!</v>
      </c>
      <c r="Q250" s="260" t="e">
        <f>ROUND(SUM(F250:P250)-E250,0)</f>
        <v>#DIV/0!</v>
      </c>
    </row>
    <row r="251" spans="1:17">
      <c r="A251" s="263">
        <f>ROW()</f>
        <v>251</v>
      </c>
      <c r="B251" s="261"/>
      <c r="C251" s="261"/>
      <c r="D251" s="271"/>
      <c r="E251" s="272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</row>
    <row r="252" spans="1:17">
      <c r="A252" s="263">
        <f>ROW()</f>
        <v>252</v>
      </c>
      <c r="B252" s="261"/>
      <c r="C252" s="261" t="s">
        <v>855</v>
      </c>
      <c r="D252" s="271"/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</row>
    <row r="253" spans="1:17">
      <c r="A253" s="263">
        <f>ROW()</f>
        <v>253</v>
      </c>
      <c r="B253" s="261"/>
      <c r="C253" s="261" t="s">
        <v>912</v>
      </c>
      <c r="D253" s="271"/>
      <c r="E253" s="272">
        <f t="shared" ref="E253:E259" si="51">SUM(F253:P253)</f>
        <v>-1525890709.3672516</v>
      </c>
      <c r="F253" s="261">
        <f>'[4]Production-Demand Fixed'!I46</f>
        <v>-536965599.22772253</v>
      </c>
      <c r="G253" s="261">
        <f>'[4]Production-Demand Fixed'!J46</f>
        <v>-407885928.08494657</v>
      </c>
      <c r="H253" s="261">
        <f>'[4]Production-Demand Fixed'!K46</f>
        <v>-122120281.44092138</v>
      </c>
      <c r="I253" s="261">
        <f>'[4]Production-Demand Fixed'!L46</f>
        <v>-4837359.7693326157</v>
      </c>
      <c r="J253" s="261">
        <f>'[4]Production-Demand Fixed'!M46</f>
        <v>-268767641.07850736</v>
      </c>
      <c r="K253" s="261">
        <f>'[4]Production-Demand Fixed'!N46</f>
        <v>-15749790.353303393</v>
      </c>
      <c r="L253" s="261">
        <f>'[4]Production-Demand Fixed'!O46</f>
        <v>-3658145.1858770535</v>
      </c>
      <c r="M253" s="261">
        <f>'[4]Production-Demand Fixed'!P46</f>
        <v>-3779644.6473056152</v>
      </c>
      <c r="N253" s="261">
        <f>'[4]Production-Demand Fixed'!Q46</f>
        <v>-97326626.516230419</v>
      </c>
      <c r="O253" s="261">
        <f>'[4]Production-Demand Fixed'!R46</f>
        <v>-36331033.452536047</v>
      </c>
      <c r="P253" s="261">
        <f>'[4]Production-Demand Fixed'!S46</f>
        <v>-28468659.610568471</v>
      </c>
      <c r="Q253" s="260">
        <f t="shared" ref="Q253:Q259" si="52">ROUND(SUM(F253:P253)-E253,0)</f>
        <v>0</v>
      </c>
    </row>
    <row r="254" spans="1:17">
      <c r="A254" s="263">
        <f>ROW()</f>
        <v>254</v>
      </c>
      <c r="B254" s="261"/>
      <c r="C254" s="261" t="s">
        <v>913</v>
      </c>
      <c r="D254" s="271"/>
      <c r="E254" s="272">
        <f t="shared" si="51"/>
        <v>-88728687.919351906</v>
      </c>
      <c r="F254" s="261">
        <f>'[4]Production-Demand Fixed'!I47</f>
        <v>-8446255.7164081577</v>
      </c>
      <c r="G254" s="261">
        <f>'[4]Production-Demand Fixed'!J47</f>
        <v>-8328598.0994146215</v>
      </c>
      <c r="H254" s="261">
        <f>'[4]Production-Demand Fixed'!K47</f>
        <v>-8051209.2137926472</v>
      </c>
      <c r="I254" s="261">
        <f>'[4]Production-Demand Fixed'!L47</f>
        <v>-7935960.8504715795</v>
      </c>
      <c r="J254" s="261">
        <f>'[4]Production-Demand Fixed'!M47</f>
        <v>-8197118.8296965193</v>
      </c>
      <c r="K254" s="261">
        <f>'[4]Production-Demand Fixed'!N47</f>
        <v>-7946669.3173613865</v>
      </c>
      <c r="L254" s="261">
        <f>'[4]Production-Demand Fixed'!O47</f>
        <v>-7934663.6250383202</v>
      </c>
      <c r="M254" s="261">
        <f>'[4]Production-Demand Fixed'!P47</f>
        <v>-7934819.3036630191</v>
      </c>
      <c r="N254" s="261">
        <f>'[4]Production-Demand Fixed'!Q47</f>
        <v>-8025735.4579710523</v>
      </c>
      <c r="O254" s="261">
        <f>'[4]Production-Demand Fixed'!R47</f>
        <v>-7967052.5212318171</v>
      </c>
      <c r="P254" s="261">
        <f>'[4]Production-Demand Fixed'!S47</f>
        <v>-7960604.9843027899</v>
      </c>
      <c r="Q254" s="260">
        <f t="shared" si="52"/>
        <v>0</v>
      </c>
    </row>
    <row r="255" spans="1:17">
      <c r="A255" s="263">
        <f>ROW()</f>
        <v>255</v>
      </c>
      <c r="B255" s="261"/>
      <c r="C255" s="261" t="s">
        <v>914</v>
      </c>
      <c r="D255" s="271"/>
      <c r="E255" s="272">
        <f t="shared" si="51"/>
        <v>-387380720.59542942</v>
      </c>
      <c r="F255" s="261">
        <f>'[4]Production-Demand Fixed'!I48</f>
        <v>-36244594.550228514</v>
      </c>
      <c r="G255" s="261">
        <f>'[4]Production-Demand Fixed'!J48</f>
        <v>-35904417.432686679</v>
      </c>
      <c r="H255" s="261">
        <f>'[4]Production-Demand Fixed'!K48</f>
        <v>-35172571.922268167</v>
      </c>
      <c r="I255" s="261">
        <f>'[4]Production-Demand Fixed'!L48</f>
        <v>-34873975.09456332</v>
      </c>
      <c r="J255" s="261">
        <f>'[4]Production-Demand Fixed'!M48</f>
        <v>-35543658.142239816</v>
      </c>
      <c r="K255" s="261">
        <f>'[4]Production-Demand Fixed'!N48</f>
        <v>-34901776.066320673</v>
      </c>
      <c r="L255" s="261">
        <f>'[4]Production-Demand Fixed'!O48</f>
        <v>-34871146.975077234</v>
      </c>
      <c r="M255" s="261">
        <f>'[4]Production-Demand Fixed'!P48</f>
        <v>-34871410.680703036</v>
      </c>
      <c r="N255" s="261">
        <f>'[4]Production-Demand Fixed'!Q48</f>
        <v>-35110844.388026327</v>
      </c>
      <c r="O255" s="261">
        <f>'[4]Production-Demand Fixed'!R48</f>
        <v>-34953975.033828601</v>
      </c>
      <c r="P255" s="261">
        <f>'[4]Production-Demand Fixed'!S48</f>
        <v>-34932350.30948709</v>
      </c>
      <c r="Q255" s="260">
        <f t="shared" si="52"/>
        <v>0</v>
      </c>
    </row>
    <row r="256" spans="1:17">
      <c r="A256" s="263">
        <f>ROW()</f>
        <v>256</v>
      </c>
      <c r="B256" s="261"/>
      <c r="C256" s="261" t="s">
        <v>915</v>
      </c>
      <c r="D256" s="271"/>
      <c r="E256" s="272">
        <f t="shared" si="51"/>
        <v>-29840.740984050452</v>
      </c>
      <c r="F256" s="261">
        <f>'[4]Production-Demand Fixed'!I49</f>
        <v>-2712.7946349136778</v>
      </c>
      <c r="G256" s="261">
        <f>'[4]Production-Demand Fixed'!J49</f>
        <v>-2712.7946349136778</v>
      </c>
      <c r="H256" s="261">
        <f>'[4]Production-Demand Fixed'!K49</f>
        <v>-2712.7946349136778</v>
      </c>
      <c r="I256" s="261">
        <f>'[4]Production-Demand Fixed'!L49</f>
        <v>-2712.7946349136778</v>
      </c>
      <c r="J256" s="261">
        <f>'[4]Production-Demand Fixed'!M49</f>
        <v>-2712.7946349136778</v>
      </c>
      <c r="K256" s="261">
        <f>'[4]Production-Demand Fixed'!N49</f>
        <v>-2712.7946349136778</v>
      </c>
      <c r="L256" s="261">
        <f>'[4]Production-Demand Fixed'!O49</f>
        <v>-2712.7946349136778</v>
      </c>
      <c r="M256" s="261">
        <f>'[4]Production-Demand Fixed'!P49</f>
        <v>-2712.7946349136778</v>
      </c>
      <c r="N256" s="261">
        <f>'[4]Production-Demand Fixed'!Q49</f>
        <v>-2712.7946349136778</v>
      </c>
      <c r="O256" s="261">
        <f>'[4]Production-Demand Fixed'!R49</f>
        <v>-2712.7946349136778</v>
      </c>
      <c r="P256" s="261">
        <f>'[4]Production-Demand Fixed'!S49</f>
        <v>-2712.7946349136778</v>
      </c>
      <c r="Q256" s="260">
        <f t="shared" si="52"/>
        <v>0</v>
      </c>
    </row>
    <row r="257" spans="1:17">
      <c r="A257" s="263">
        <f>ROW()</f>
        <v>257</v>
      </c>
      <c r="B257" s="261"/>
      <c r="C257" s="261" t="s">
        <v>916</v>
      </c>
      <c r="D257" s="271"/>
      <c r="E257" s="272">
        <f t="shared" si="51"/>
        <v>0</v>
      </c>
      <c r="F257" s="261">
        <f>'[4]Production-Demand Fixed'!I50</f>
        <v>0</v>
      </c>
      <c r="G257" s="261">
        <f>'[4]Production-Demand Fixed'!J50</f>
        <v>0</v>
      </c>
      <c r="H257" s="261">
        <f>'[4]Production-Demand Fixed'!K50</f>
        <v>0</v>
      </c>
      <c r="I257" s="261">
        <f>'[4]Production-Demand Fixed'!L50</f>
        <v>0</v>
      </c>
      <c r="J257" s="261">
        <f>'[4]Production-Demand Fixed'!M50</f>
        <v>0</v>
      </c>
      <c r="K257" s="261">
        <f>'[4]Production-Demand Fixed'!N50</f>
        <v>0</v>
      </c>
      <c r="L257" s="261">
        <f>'[4]Production-Demand Fixed'!O50</f>
        <v>0</v>
      </c>
      <c r="M257" s="261">
        <f>'[4]Production-Demand Fixed'!P50</f>
        <v>0</v>
      </c>
      <c r="N257" s="261">
        <f>'[4]Production-Demand Fixed'!Q50</f>
        <v>0</v>
      </c>
      <c r="O257" s="261">
        <f>'[4]Production-Demand Fixed'!R50</f>
        <v>0</v>
      </c>
      <c r="P257" s="261">
        <f>'[4]Production-Demand Fixed'!S50</f>
        <v>0</v>
      </c>
      <c r="Q257" s="260">
        <f t="shared" si="52"/>
        <v>0</v>
      </c>
    </row>
    <row r="258" spans="1:17">
      <c r="A258" s="263">
        <f>ROW()</f>
        <v>258</v>
      </c>
      <c r="B258" s="261"/>
      <c r="C258" s="261" t="s">
        <v>643</v>
      </c>
      <c r="D258" s="271"/>
      <c r="E258" s="272">
        <f t="shared" si="51"/>
        <v>0</v>
      </c>
      <c r="F258" s="261">
        <f>'[4]Production-Demand Fixed'!I51</f>
        <v>0</v>
      </c>
      <c r="G258" s="261">
        <f>'[4]Production-Demand Fixed'!J51</f>
        <v>0</v>
      </c>
      <c r="H258" s="261">
        <f>'[4]Production-Demand Fixed'!K51</f>
        <v>0</v>
      </c>
      <c r="I258" s="261">
        <f>'[4]Production-Demand Fixed'!L51</f>
        <v>0</v>
      </c>
      <c r="J258" s="261">
        <f>'[4]Production-Demand Fixed'!M51</f>
        <v>0</v>
      </c>
      <c r="K258" s="261">
        <f>'[4]Production-Demand Fixed'!N51</f>
        <v>0</v>
      </c>
      <c r="L258" s="261">
        <f>'[4]Production-Demand Fixed'!O51</f>
        <v>0</v>
      </c>
      <c r="M258" s="261">
        <f>'[4]Production-Demand Fixed'!P51</f>
        <v>0</v>
      </c>
      <c r="N258" s="261">
        <f>'[4]Production-Demand Fixed'!Q51</f>
        <v>0</v>
      </c>
      <c r="O258" s="261">
        <f>'[4]Production-Demand Fixed'!R51</f>
        <v>0</v>
      </c>
      <c r="P258" s="261">
        <f>'[4]Production-Demand Fixed'!S51</f>
        <v>0</v>
      </c>
      <c r="Q258" s="260">
        <f t="shared" si="52"/>
        <v>0</v>
      </c>
    </row>
    <row r="259" spans="1:17">
      <c r="A259" s="263">
        <f>ROW()</f>
        <v>259</v>
      </c>
      <c r="B259" s="261"/>
      <c r="C259" s="261" t="s">
        <v>917</v>
      </c>
      <c r="D259" s="271"/>
      <c r="E259" s="272">
        <f t="shared" si="51"/>
        <v>-71512397.900183752</v>
      </c>
      <c r="F259" s="261">
        <f>'[4]Production-Demand Fixed'!I52</f>
        <v>-21334474.710981768</v>
      </c>
      <c r="G259" s="261">
        <f>'[4]Production-Demand Fixed'!J52</f>
        <v>-18076391.954175368</v>
      </c>
      <c r="H259" s="261">
        <f>'[4]Production-Demand Fixed'!K52</f>
        <v>-6108428.6433233414</v>
      </c>
      <c r="I259" s="261">
        <f>'[4]Production-Demand Fixed'!L52</f>
        <v>-801955.68751385657</v>
      </c>
      <c r="J259" s="261">
        <f>'[4]Production-Demand Fixed'!M52</f>
        <v>-13251387.946706275</v>
      </c>
      <c r="K259" s="261">
        <f>'[4]Production-Demand Fixed'!N52</f>
        <v>-1291566.7445438057</v>
      </c>
      <c r="L259" s="261">
        <f>'[4]Production-Demand Fixed'!O52</f>
        <v>-709666.32941236731</v>
      </c>
      <c r="M259" s="261">
        <f>'[4]Production-Demand Fixed'!P52</f>
        <v>-725367.11823209119</v>
      </c>
      <c r="N259" s="261">
        <f>'[4]Production-Demand Fixed'!Q52</f>
        <v>-4674457.9783997983</v>
      </c>
      <c r="O259" s="261">
        <f>'[4]Production-Demand Fixed'!R52</f>
        <v>-2267473.633240521</v>
      </c>
      <c r="P259" s="261">
        <f>'[4]Production-Demand Fixed'!S52</f>
        <v>-2271227.1536545539</v>
      </c>
      <c r="Q259" s="260">
        <f t="shared" si="52"/>
        <v>0</v>
      </c>
    </row>
    <row r="260" spans="1:17">
      <c r="A260" s="263">
        <f>ROW()</f>
        <v>260</v>
      </c>
      <c r="B260" s="261"/>
      <c r="C260" s="261"/>
      <c r="D260" s="271"/>
      <c r="E260" s="272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</row>
    <row r="261" spans="1:17">
      <c r="A261" s="263">
        <f>ROW()</f>
        <v>261</v>
      </c>
      <c r="B261" s="261"/>
      <c r="C261" s="261" t="s">
        <v>672</v>
      </c>
      <c r="D261" s="271"/>
      <c r="E261" s="279">
        <f t="shared" ref="E261:P261" si="53">SUM(E253:E259)</f>
        <v>-2073542356.5232005</v>
      </c>
      <c r="F261" s="279">
        <f t="shared" si="53"/>
        <v>-602993636.9999758</v>
      </c>
      <c r="G261" s="279">
        <f t="shared" si="53"/>
        <v>-470198048.3658582</v>
      </c>
      <c r="H261" s="279">
        <f t="shared" si="53"/>
        <v>-171455204.01494044</v>
      </c>
      <c r="I261" s="279">
        <f t="shared" si="53"/>
        <v>-48451964.19651629</v>
      </c>
      <c r="J261" s="279">
        <f t="shared" si="53"/>
        <v>-325762518.79178494</v>
      </c>
      <c r="K261" s="279">
        <f t="shared" si="53"/>
        <v>-59892515.276164174</v>
      </c>
      <c r="L261" s="279">
        <f t="shared" si="53"/>
        <v>-47176334.910039894</v>
      </c>
      <c r="M261" s="279">
        <f t="shared" si="53"/>
        <v>-47313954.544538677</v>
      </c>
      <c r="N261" s="279">
        <f t="shared" si="53"/>
        <v>-145140377.13526249</v>
      </c>
      <c r="O261" s="279">
        <f t="shared" si="53"/>
        <v>-81522247.435471892</v>
      </c>
      <c r="P261" s="279">
        <f t="shared" si="53"/>
        <v>-73635554.852647826</v>
      </c>
      <c r="Q261" s="260">
        <f>ROUND(SUM(F261:P261)-E261,0)</f>
        <v>0</v>
      </c>
    </row>
    <row r="262" spans="1:17">
      <c r="A262" s="263">
        <f>ROW()</f>
        <v>262</v>
      </c>
      <c r="B262" s="261"/>
      <c r="C262" s="261"/>
      <c r="D262" s="271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</row>
    <row r="263" spans="1:17" ht="13.5" thickBot="1">
      <c r="A263" s="263">
        <f>ROW()</f>
        <v>263</v>
      </c>
      <c r="B263" s="261"/>
      <c r="C263" s="261" t="s">
        <v>845</v>
      </c>
      <c r="D263" s="271"/>
      <c r="E263" s="281" t="e">
        <f t="shared" ref="E263:P263" si="54">E250+E261</f>
        <v>#DIV/0!</v>
      </c>
      <c r="F263" s="281" t="e">
        <f t="shared" si="54"/>
        <v>#DIV/0!</v>
      </c>
      <c r="G263" s="281" t="e">
        <f t="shared" si="54"/>
        <v>#DIV/0!</v>
      </c>
      <c r="H263" s="281" t="e">
        <f t="shared" si="54"/>
        <v>#DIV/0!</v>
      </c>
      <c r="I263" s="281" t="e">
        <f t="shared" si="54"/>
        <v>#DIV/0!</v>
      </c>
      <c r="J263" s="281" t="e">
        <f t="shared" si="54"/>
        <v>#DIV/0!</v>
      </c>
      <c r="K263" s="281" t="e">
        <f t="shared" si="54"/>
        <v>#DIV/0!</v>
      </c>
      <c r="L263" s="281" t="e">
        <f t="shared" si="54"/>
        <v>#DIV/0!</v>
      </c>
      <c r="M263" s="281" t="e">
        <f t="shared" si="54"/>
        <v>#DIV/0!</v>
      </c>
      <c r="N263" s="281" t="e">
        <f t="shared" si="54"/>
        <v>#DIV/0!</v>
      </c>
      <c r="O263" s="281" t="e">
        <f t="shared" si="54"/>
        <v>#DIV/0!</v>
      </c>
      <c r="P263" s="281" t="e">
        <f t="shared" si="54"/>
        <v>#DIV/0!</v>
      </c>
      <c r="Q263" s="260" t="e">
        <f>ROUND(SUM(F263:P263)-E263,0)</f>
        <v>#DIV/0!</v>
      </c>
    </row>
    <row r="264" spans="1:17" ht="13.5" thickTop="1">
      <c r="A264" s="263">
        <f>ROW()</f>
        <v>264</v>
      </c>
      <c r="B264" s="261"/>
      <c r="C264" s="261"/>
      <c r="D264" s="271"/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</row>
    <row r="265" spans="1:17">
      <c r="A265" s="263">
        <f>ROW()</f>
        <v>265</v>
      </c>
      <c r="B265" s="261"/>
      <c r="C265" s="280" t="s">
        <v>918</v>
      </c>
      <c r="D265" s="271"/>
      <c r="E265" s="282"/>
      <c r="F265" s="282">
        <f>'[4]Class Summary'!F59</f>
        <v>5.6357604475278253E-2</v>
      </c>
      <c r="G265" s="282">
        <f>'[4]Class Summary'!G59</f>
        <v>8.2020099439159791E-2</v>
      </c>
      <c r="H265" s="282">
        <f>'[4]Class Summary'!H59</f>
        <v>7.8211925467174342E-2</v>
      </c>
      <c r="I265" s="282">
        <f>'[4]Class Summary'!I59</f>
        <v>0.14801867864076429</v>
      </c>
      <c r="J265" s="282">
        <f>'[4]Class Summary'!J59</f>
        <v>6.2596212964216191E-2</v>
      </c>
      <c r="K265" s="282">
        <f>'[4]Class Summary'!K59</f>
        <v>6.7346419011661135E-2</v>
      </c>
      <c r="L265" s="282">
        <f>'[4]Class Summary'!L59</f>
        <v>8.750222466242473E-2</v>
      </c>
      <c r="M265" s="282">
        <f>'[4]Class Summary'!M59</f>
        <v>0.18734677978999126</v>
      </c>
      <c r="N265" s="282">
        <f>'[4]Class Summary'!N59</f>
        <v>8.6072134543170364E-2</v>
      </c>
      <c r="O265" s="282">
        <f>'[4]Class Summary'!O59</f>
        <v>4.8124327013229551E-2</v>
      </c>
      <c r="P265" s="282">
        <f>'[4]Class Summary'!P59</f>
        <v>7.6479042302476777E-2</v>
      </c>
    </row>
    <row r="266" spans="1:17">
      <c r="A266" s="263">
        <f>ROW()</f>
        <v>266</v>
      </c>
      <c r="B266" s="261"/>
    </row>
    <row r="267" spans="1:17">
      <c r="A267" s="263">
        <f>ROW()</f>
        <v>267</v>
      </c>
      <c r="B267" s="261"/>
      <c r="C267" s="261" t="s">
        <v>847</v>
      </c>
      <c r="D267" s="271">
        <f>'[4]P+T+D+R+M'!$H$59</f>
        <v>6.7805240282880597E-2</v>
      </c>
      <c r="E267" s="261" t="e">
        <f t="shared" ref="E267:P267" si="55">$D$197*E263</f>
        <v>#DIV/0!</v>
      </c>
      <c r="F267" s="261" t="e">
        <f t="shared" si="55"/>
        <v>#DIV/0!</v>
      </c>
      <c r="G267" s="261" t="e">
        <f t="shared" si="55"/>
        <v>#DIV/0!</v>
      </c>
      <c r="H267" s="261" t="e">
        <f t="shared" si="55"/>
        <v>#DIV/0!</v>
      </c>
      <c r="I267" s="261" t="e">
        <f t="shared" si="55"/>
        <v>#DIV/0!</v>
      </c>
      <c r="J267" s="261" t="e">
        <f t="shared" si="55"/>
        <v>#DIV/0!</v>
      </c>
      <c r="K267" s="261" t="e">
        <f t="shared" si="55"/>
        <v>#DIV/0!</v>
      </c>
      <c r="L267" s="261" t="e">
        <f t="shared" si="55"/>
        <v>#DIV/0!</v>
      </c>
      <c r="M267" s="261" t="e">
        <f t="shared" si="55"/>
        <v>#DIV/0!</v>
      </c>
      <c r="N267" s="261" t="e">
        <f t="shared" si="55"/>
        <v>#DIV/0!</v>
      </c>
      <c r="O267" s="261" t="e">
        <f t="shared" si="55"/>
        <v>#DIV/0!</v>
      </c>
      <c r="P267" s="261" t="e">
        <f t="shared" si="55"/>
        <v>#DIV/0!</v>
      </c>
      <c r="Q267" s="260" t="e">
        <f>ROUND(SUM(F267:P267)-E267,0)</f>
        <v>#DIV/0!</v>
      </c>
    </row>
    <row r="268" spans="1:17">
      <c r="A268" s="263">
        <f>ROW()</f>
        <v>268</v>
      </c>
      <c r="B268" s="261"/>
      <c r="C268" s="261" t="s">
        <v>499</v>
      </c>
      <c r="D268" s="271"/>
      <c r="E268" s="283" t="e">
        <f>SUM(F268:P268)</f>
        <v>#DIV/0!</v>
      </c>
      <c r="F268" s="283" t="e">
        <f>F234+((F267-(F263*F265))*(1/[4]Inputs!$H$20))-(F267-(F263*F265))</f>
        <v>#DIV/0!</v>
      </c>
      <c r="G268" s="283" t="e">
        <f>G234+((G267-(G263*G265))*(1/[4]Inputs!$H$20))-(G267-(G263*G265))</f>
        <v>#DIV/0!</v>
      </c>
      <c r="H268" s="283" t="e">
        <f>H234+((H267-(H263*H265))*(1/[4]Inputs!$H$20))-(H267-(H263*H265))</f>
        <v>#DIV/0!</v>
      </c>
      <c r="I268" s="283" t="e">
        <f>I234+((I267-(I263*I265))*(1/[4]Inputs!$H$20))-(I267-(I263*I265))</f>
        <v>#DIV/0!</v>
      </c>
      <c r="J268" s="283" t="e">
        <f>J234+((J267-(J263*J265))*(1/[4]Inputs!$H$20))-(J267-(J263*J265))</f>
        <v>#DIV/0!</v>
      </c>
      <c r="K268" s="283" t="e">
        <f>K234+((K267-(K263*K265))*(1/[4]Inputs!$H$20))-(K267-(K263*K265))</f>
        <v>#DIV/0!</v>
      </c>
      <c r="L268" s="283" t="e">
        <f>L234+((L267-(L263*L265))*(1/[4]Inputs!$H$20))-(L267-(L263*L265))</f>
        <v>#DIV/0!</v>
      </c>
      <c r="M268" s="283" t="e">
        <f>M234+((M267-(M263*M265))*(1/[4]Inputs!$H$20))-(M267-(M263*M265))</f>
        <v>#DIV/0!</v>
      </c>
      <c r="N268" s="283" t="e">
        <f>N234+((N267-(N263*N265))*(1/[4]Inputs!$H$20))-(N267-(N263*N265))</f>
        <v>#DIV/0!</v>
      </c>
      <c r="O268" s="283" t="e">
        <f>O234+((O267-(O263*O265))*(1/[4]Inputs!$H$20))-(O267-(O263*O265))</f>
        <v>#DIV/0!</v>
      </c>
      <c r="P268" s="283" t="e">
        <f>P234+((P267-(P263*P265))*(1/[4]Inputs!$H$20))-(P267-(P263*P265))</f>
        <v>#DIV/0!</v>
      </c>
      <c r="Q268" s="260" t="e">
        <f>ROUND(SUM(F268:P268)-E268,0)</f>
        <v>#DIV/0!</v>
      </c>
    </row>
    <row r="269" spans="1:17">
      <c r="A269" s="263">
        <f>ROW()</f>
        <v>269</v>
      </c>
      <c r="B269" s="261"/>
      <c r="C269" s="261" t="s">
        <v>833</v>
      </c>
      <c r="D269" s="271"/>
      <c r="E269" s="284" t="e">
        <f>'[4]Production-Demand Fixed'!H97</f>
        <v>#VALUE!</v>
      </c>
      <c r="F269" s="284">
        <f>'[4]Production-Demand Fixed'!I97</f>
        <v>-14813973.861420816</v>
      </c>
      <c r="G269" s="284">
        <f>'[4]Production-Demand Fixed'!J97</f>
        <v>-11871634.436501939</v>
      </c>
      <c r="H269" s="284">
        <f>'[4]Production-Demand Fixed'!K97</f>
        <v>-3561815.892484697</v>
      </c>
      <c r="I269" s="284">
        <f>'[4]Production-Demand Fixed'!L97</f>
        <v>-58689.686955057135</v>
      </c>
      <c r="J269" s="284">
        <f>'[4]Production-Demand Fixed'!M97</f>
        <v>-8010164.3367373189</v>
      </c>
      <c r="K269" s="284">
        <f>'[4]Production-Demand Fixed'!N97</f>
        <v>-380261.20204864221</v>
      </c>
      <c r="L269" s="284">
        <f>'[4]Production-Demand Fixed'!O97</f>
        <v>-12924.408007702354</v>
      </c>
      <c r="M269" s="284">
        <f>'[4]Production-Demand Fixed'!P97</f>
        <v>-20169.909775899021</v>
      </c>
      <c r="N269" s="284">
        <f>'[4]Production-Demand Fixed'!Q97</f>
        <v>-2748921.1173274159</v>
      </c>
      <c r="O269" s="284">
        <f>'[4]Production-Demand Fixed'!R97</f>
        <v>-993523.05870001577</v>
      </c>
      <c r="P269" s="284">
        <f>'[4]Production-Demand Fixed'!S97</f>
        <v>-867419.8809649921</v>
      </c>
      <c r="Q269" s="260" t="e">
        <f>ROUND(SUM(F269:P269)-E269,0)</f>
        <v>#VALUE!</v>
      </c>
    </row>
    <row r="270" spans="1:17">
      <c r="A270" s="263">
        <f>ROW()</f>
        <v>270</v>
      </c>
    </row>
    <row r="271" spans="1:17">
      <c r="A271" s="263">
        <f>ROW()</f>
        <v>271</v>
      </c>
      <c r="B271" s="261"/>
      <c r="C271" s="261" t="s">
        <v>832</v>
      </c>
      <c r="D271" s="271"/>
      <c r="E271" s="283" t="e">
        <f t="shared" ref="E271:P271" si="56">SUM(E267:E269)</f>
        <v>#DIV/0!</v>
      </c>
      <c r="F271" s="283" t="e">
        <f t="shared" si="56"/>
        <v>#DIV/0!</v>
      </c>
      <c r="G271" s="283" t="e">
        <f t="shared" si="56"/>
        <v>#DIV/0!</v>
      </c>
      <c r="H271" s="283" t="e">
        <f t="shared" si="56"/>
        <v>#DIV/0!</v>
      </c>
      <c r="I271" s="283" t="e">
        <f t="shared" si="56"/>
        <v>#DIV/0!</v>
      </c>
      <c r="J271" s="283" t="e">
        <f t="shared" si="56"/>
        <v>#DIV/0!</v>
      </c>
      <c r="K271" s="283" t="e">
        <f t="shared" si="56"/>
        <v>#DIV/0!</v>
      </c>
      <c r="L271" s="283" t="e">
        <f t="shared" si="56"/>
        <v>#DIV/0!</v>
      </c>
      <c r="M271" s="283" t="e">
        <f t="shared" si="56"/>
        <v>#DIV/0!</v>
      </c>
      <c r="N271" s="283" t="e">
        <f t="shared" si="56"/>
        <v>#DIV/0!</v>
      </c>
      <c r="O271" s="283" t="e">
        <f t="shared" si="56"/>
        <v>#DIV/0!</v>
      </c>
      <c r="P271" s="283" t="e">
        <f t="shared" si="56"/>
        <v>#DIV/0!</v>
      </c>
      <c r="Q271" s="260" t="e">
        <f>ROUND(SUM(F271:P271)-E271,0)</f>
        <v>#DIV/0!</v>
      </c>
    </row>
    <row r="272" spans="1:17">
      <c r="A272" s="263">
        <f>ROW()</f>
        <v>272</v>
      </c>
      <c r="Q272" s="260">
        <f>ROUND(SUM(F272:P272)-E272,0)</f>
        <v>0</v>
      </c>
    </row>
    <row r="273" spans="1:17">
      <c r="A273" s="263">
        <f>ROW()</f>
        <v>273</v>
      </c>
    </row>
    <row r="274" spans="1:17">
      <c r="A274" s="263">
        <f>ROW()</f>
        <v>274</v>
      </c>
      <c r="C274" s="261" t="s">
        <v>919</v>
      </c>
      <c r="D274" s="271">
        <f>[4]Inputs!L6</f>
        <v>7.7030070290040428E-2</v>
      </c>
      <c r="E274" s="261" t="e">
        <f t="shared" ref="E274:P274" si="57">$D274*E263</f>
        <v>#DIV/0!</v>
      </c>
      <c r="F274" s="261" t="e">
        <f t="shared" si="57"/>
        <v>#DIV/0!</v>
      </c>
      <c r="G274" s="261" t="e">
        <f t="shared" si="57"/>
        <v>#DIV/0!</v>
      </c>
      <c r="H274" s="261" t="e">
        <f t="shared" si="57"/>
        <v>#DIV/0!</v>
      </c>
      <c r="I274" s="261" t="e">
        <f t="shared" si="57"/>
        <v>#DIV/0!</v>
      </c>
      <c r="J274" s="261" t="e">
        <f t="shared" si="57"/>
        <v>#DIV/0!</v>
      </c>
      <c r="K274" s="261" t="e">
        <f t="shared" si="57"/>
        <v>#DIV/0!</v>
      </c>
      <c r="L274" s="261" t="e">
        <f t="shared" si="57"/>
        <v>#DIV/0!</v>
      </c>
      <c r="M274" s="261" t="e">
        <f t="shared" si="57"/>
        <v>#DIV/0!</v>
      </c>
      <c r="N274" s="261" t="e">
        <f t="shared" si="57"/>
        <v>#DIV/0!</v>
      </c>
      <c r="O274" s="261" t="e">
        <f t="shared" si="57"/>
        <v>#DIV/0!</v>
      </c>
      <c r="P274" s="261" t="e">
        <f t="shared" si="57"/>
        <v>#DIV/0!</v>
      </c>
      <c r="Q274" s="260" t="e">
        <f>ROUND(SUM(F274:P274)-E274,0)</f>
        <v>#DIV/0!</v>
      </c>
    </row>
    <row r="275" spans="1:17">
      <c r="A275" s="263">
        <f>ROW()</f>
        <v>275</v>
      </c>
      <c r="C275" s="261" t="s">
        <v>920</v>
      </c>
      <c r="D275" s="271"/>
      <c r="E275" s="283" t="e">
        <f>SUM(F275:P275)</f>
        <v>#DIV/0!</v>
      </c>
      <c r="F275" s="283" t="e">
        <f>F268+((F274-F267)*(1/[4]Inputs!$H$20))-(F274-F267)</f>
        <v>#DIV/0!</v>
      </c>
      <c r="G275" s="283" t="e">
        <f>G268+((G274-G267)*(1/[4]Inputs!$H$20))-(G274-G267)</f>
        <v>#DIV/0!</v>
      </c>
      <c r="H275" s="283" t="e">
        <f>H268+((H274-H267)*(1/[4]Inputs!$H$20))-(H274-H267)</f>
        <v>#DIV/0!</v>
      </c>
      <c r="I275" s="283" t="e">
        <f>I268+((I274-I267)*(1/[4]Inputs!$H$20))-(I274-I267)</f>
        <v>#DIV/0!</v>
      </c>
      <c r="J275" s="283" t="e">
        <f>J268+((J274-J267)*(1/[4]Inputs!$H$20))-(J274-J267)</f>
        <v>#DIV/0!</v>
      </c>
      <c r="K275" s="283" t="e">
        <f>K268+((K274-K267)*(1/[4]Inputs!$H$20))-(K274-K267)</f>
        <v>#DIV/0!</v>
      </c>
      <c r="L275" s="283" t="e">
        <f>L268+((L274-L267)*(1/[4]Inputs!$H$20))-(L274-L267)</f>
        <v>#DIV/0!</v>
      </c>
      <c r="M275" s="283" t="e">
        <f>M268+((M274-M267)*(1/[4]Inputs!$H$20))-(M274-M267)</f>
        <v>#DIV/0!</v>
      </c>
      <c r="N275" s="283" t="e">
        <f>N268+((N274-N267)*(1/[4]Inputs!$H$20))-(N274-N267)</f>
        <v>#DIV/0!</v>
      </c>
      <c r="O275" s="283" t="e">
        <f>O268+((O274-O267)*(1/[4]Inputs!$H$20))-(O274-O267)</f>
        <v>#DIV/0!</v>
      </c>
      <c r="P275" s="283" t="e">
        <f>P268+((P274-P267)*(1/[4]Inputs!$H$20))-(P274-P267)</f>
        <v>#DIV/0!</v>
      </c>
      <c r="Q275" s="260" t="e">
        <f>ROUND(SUM(F275:P275)-E275,0)</f>
        <v>#DIV/0!</v>
      </c>
    </row>
    <row r="276" spans="1:17">
      <c r="A276" s="263">
        <f>ROW()</f>
        <v>276</v>
      </c>
      <c r="C276" s="261" t="s">
        <v>833</v>
      </c>
      <c r="D276" s="271"/>
      <c r="E276" s="284" t="e">
        <f t="shared" ref="E276:P276" si="58">E269</f>
        <v>#VALUE!</v>
      </c>
      <c r="F276" s="284">
        <f t="shared" si="58"/>
        <v>-14813973.861420816</v>
      </c>
      <c r="G276" s="284">
        <f t="shared" si="58"/>
        <v>-11871634.436501939</v>
      </c>
      <c r="H276" s="284">
        <f t="shared" si="58"/>
        <v>-3561815.892484697</v>
      </c>
      <c r="I276" s="284">
        <f t="shared" si="58"/>
        <v>-58689.686955057135</v>
      </c>
      <c r="J276" s="284">
        <f t="shared" si="58"/>
        <v>-8010164.3367373189</v>
      </c>
      <c r="K276" s="284">
        <f t="shared" si="58"/>
        <v>-380261.20204864221</v>
      </c>
      <c r="L276" s="284">
        <f t="shared" si="58"/>
        <v>-12924.408007702354</v>
      </c>
      <c r="M276" s="284">
        <f t="shared" si="58"/>
        <v>-20169.909775899021</v>
      </c>
      <c r="N276" s="284">
        <f t="shared" si="58"/>
        <v>-2748921.1173274159</v>
      </c>
      <c r="O276" s="284">
        <f t="shared" si="58"/>
        <v>-993523.05870001577</v>
      </c>
      <c r="P276" s="284">
        <f t="shared" si="58"/>
        <v>-867419.8809649921</v>
      </c>
      <c r="Q276" s="260" t="e">
        <f>ROUND(SUM(F276:P276)-E276,0)</f>
        <v>#VALUE!</v>
      </c>
    </row>
    <row r="277" spans="1:17">
      <c r="A277" s="263">
        <f>ROW()</f>
        <v>277</v>
      </c>
    </row>
    <row r="278" spans="1:17">
      <c r="A278" s="263">
        <f>ROW()</f>
        <v>278</v>
      </c>
      <c r="C278" s="261" t="s">
        <v>921</v>
      </c>
      <c r="D278" s="271"/>
      <c r="E278" s="283" t="e">
        <f t="shared" ref="E278:P278" si="59">SUM(E274:E276)</f>
        <v>#DIV/0!</v>
      </c>
      <c r="F278" s="283" t="e">
        <f t="shared" si="59"/>
        <v>#DIV/0!</v>
      </c>
      <c r="G278" s="283" t="e">
        <f t="shared" si="59"/>
        <v>#DIV/0!</v>
      </c>
      <c r="H278" s="283" t="e">
        <f t="shared" si="59"/>
        <v>#DIV/0!</v>
      </c>
      <c r="I278" s="283" t="e">
        <f t="shared" si="59"/>
        <v>#DIV/0!</v>
      </c>
      <c r="J278" s="283" t="e">
        <f t="shared" si="59"/>
        <v>#DIV/0!</v>
      </c>
      <c r="K278" s="283" t="e">
        <f t="shared" si="59"/>
        <v>#DIV/0!</v>
      </c>
      <c r="L278" s="283" t="e">
        <f t="shared" si="59"/>
        <v>#DIV/0!</v>
      </c>
      <c r="M278" s="283" t="e">
        <f t="shared" si="59"/>
        <v>#DIV/0!</v>
      </c>
      <c r="N278" s="283" t="e">
        <f t="shared" si="59"/>
        <v>#DIV/0!</v>
      </c>
      <c r="O278" s="283" t="e">
        <f t="shared" si="59"/>
        <v>#DIV/0!</v>
      </c>
      <c r="P278" s="283" t="e">
        <f t="shared" si="59"/>
        <v>#DIV/0!</v>
      </c>
      <c r="Q278" s="260" t="e">
        <f>ROUND(SUM(F278:P278)-E278,0)</f>
        <v>#DIV/0!</v>
      </c>
    </row>
    <row r="280" spans="1:17">
      <c r="A280" s="263"/>
      <c r="B280" s="264"/>
      <c r="C280" s="264" t="str">
        <f>[4]Inputs!$C$4</f>
        <v>Rocky Mountain Power</v>
      </c>
      <c r="D280" s="265"/>
      <c r="E280" s="266"/>
      <c r="F280" s="264"/>
      <c r="G280" s="266"/>
      <c r="H280" s="266"/>
      <c r="I280" s="266"/>
      <c r="J280" s="264"/>
      <c r="K280" s="264"/>
      <c r="L280" s="264"/>
      <c r="M280" s="264"/>
      <c r="N280" s="264"/>
      <c r="O280" s="266"/>
      <c r="P280" s="266"/>
    </row>
    <row r="281" spans="1:17">
      <c r="A281" s="263"/>
      <c r="B281" s="264"/>
      <c r="C281" s="266" t="s">
        <v>925</v>
      </c>
      <c r="D281" s="265"/>
      <c r="E281" s="266"/>
      <c r="F281" s="264"/>
      <c r="G281" s="266"/>
      <c r="H281" s="264"/>
      <c r="I281" s="264"/>
      <c r="J281" s="264"/>
      <c r="K281" s="264"/>
      <c r="L281" s="264"/>
      <c r="M281" s="264"/>
      <c r="N281" s="264"/>
      <c r="O281" s="266"/>
      <c r="P281" s="266"/>
    </row>
    <row r="282" spans="1:17">
      <c r="A282" s="263"/>
      <c r="B282" s="264"/>
      <c r="C282" s="264" t="str">
        <f>[4]Inputs!$C$5</f>
        <v>State of Utah</v>
      </c>
      <c r="D282" s="265"/>
      <c r="E282" s="266"/>
      <c r="F282" s="264"/>
      <c r="G282" s="266"/>
      <c r="H282" s="264"/>
      <c r="I282" s="264"/>
      <c r="J282" s="264"/>
      <c r="K282" s="264"/>
      <c r="L282" s="264"/>
      <c r="M282" s="264"/>
      <c r="N282" s="264"/>
      <c r="O282" s="266"/>
      <c r="P282" s="266"/>
    </row>
    <row r="283" spans="1:17">
      <c r="A283" s="263"/>
      <c r="B283" s="264"/>
      <c r="C283" s="264" t="str">
        <f>[4]Inputs!$C$7</f>
        <v>2020 Protocol (Non Wgt)</v>
      </c>
      <c r="D283" s="265"/>
      <c r="E283" s="266"/>
      <c r="F283" s="264"/>
      <c r="G283" s="266"/>
      <c r="H283" s="264"/>
      <c r="I283" s="264"/>
      <c r="J283" s="264"/>
      <c r="K283" s="264"/>
      <c r="L283" s="264"/>
      <c r="M283" s="264"/>
      <c r="N283" s="264"/>
      <c r="O283" s="264"/>
      <c r="P283" s="264"/>
    </row>
    <row r="284" spans="1:17">
      <c r="A284" s="263"/>
      <c r="B284" s="267"/>
      <c r="C284" s="264">
        <f>[4]Inputs!C146</f>
        <v>0</v>
      </c>
      <c r="D284" s="265"/>
      <c r="E284" s="266"/>
      <c r="F284" s="264"/>
      <c r="G284" s="266"/>
      <c r="H284" s="264"/>
      <c r="I284" s="264"/>
      <c r="J284" s="264"/>
      <c r="K284" s="264"/>
      <c r="L284" s="264"/>
      <c r="M284" s="264"/>
      <c r="N284" s="264"/>
      <c r="O284" s="264"/>
      <c r="P284" s="264"/>
    </row>
    <row r="285" spans="1:17">
      <c r="A285" s="263"/>
      <c r="F285" s="268"/>
      <c r="G285" s="268"/>
      <c r="H285" s="268"/>
      <c r="I285" s="268"/>
      <c r="J285" s="268"/>
      <c r="K285" s="268"/>
      <c r="L285" s="268"/>
      <c r="M285" s="268"/>
      <c r="N285" s="268"/>
      <c r="O285" s="268"/>
      <c r="P285" s="268"/>
    </row>
    <row r="286" spans="1:17">
      <c r="A286" s="263"/>
      <c r="F286" s="268"/>
      <c r="G286" s="268"/>
      <c r="H286" s="268"/>
      <c r="I286" s="268"/>
      <c r="J286" s="268"/>
      <c r="K286" s="268"/>
      <c r="L286" s="268"/>
      <c r="M286" s="268"/>
      <c r="N286" s="268"/>
      <c r="O286" s="268"/>
      <c r="P286" s="268"/>
    </row>
    <row r="287" spans="1:17">
      <c r="A287" s="263"/>
      <c r="B287" s="261"/>
      <c r="C287" s="269" t="s">
        <v>887</v>
      </c>
      <c r="D287" s="270" t="s">
        <v>888</v>
      </c>
      <c r="E287" s="269" t="s">
        <v>889</v>
      </c>
      <c r="F287" s="269" t="s">
        <v>789</v>
      </c>
      <c r="G287" s="269" t="s">
        <v>890</v>
      </c>
      <c r="H287" s="269" t="s">
        <v>891</v>
      </c>
      <c r="I287" s="269" t="s">
        <v>164</v>
      </c>
      <c r="J287" s="269" t="s">
        <v>892</v>
      </c>
      <c r="K287" s="269" t="s">
        <v>893</v>
      </c>
      <c r="L287" s="269" t="s">
        <v>894</v>
      </c>
      <c r="M287" s="269" t="s">
        <v>895</v>
      </c>
      <c r="N287" s="269" t="s">
        <v>896</v>
      </c>
      <c r="O287" s="269" t="s">
        <v>897</v>
      </c>
      <c r="P287" s="269" t="s">
        <v>898</v>
      </c>
      <c r="Q287" s="269"/>
    </row>
    <row r="288" spans="1:17">
      <c r="A288" s="263"/>
      <c r="B288" s="261"/>
      <c r="C288" s="261"/>
      <c r="D288" s="271"/>
      <c r="E288" s="269"/>
      <c r="F288" s="272"/>
      <c r="G288" s="263"/>
      <c r="H288" s="263"/>
      <c r="I288" s="263"/>
      <c r="J288" s="263"/>
      <c r="K288" s="272"/>
      <c r="L288" s="263"/>
      <c r="M288" s="263"/>
      <c r="N288" s="263"/>
      <c r="O288" s="268"/>
      <c r="P288" s="268"/>
      <c r="Q288" s="273" t="s">
        <v>899</v>
      </c>
    </row>
    <row r="289" spans="1:17" ht="38.25">
      <c r="A289" s="263"/>
      <c r="B289" s="274"/>
      <c r="C289" s="275" t="s">
        <v>900</v>
      </c>
      <c r="D289" s="276"/>
      <c r="E289" s="277" t="str">
        <f>'[4]P+T+D+R+M'!H$10</f>
        <v>Utah
Jurisdiction
Normalized</v>
      </c>
      <c r="F289" s="277" t="str">
        <f>'[4]P+T+D+R+M'!I$10</f>
        <v>Residential
Sch 1</v>
      </c>
      <c r="G289" s="277" t="str">
        <f>'[4]P+T+D+R+M'!J$10</f>
        <v>General
Large Dist.
Sch 6</v>
      </c>
      <c r="H289" s="277" t="str">
        <f>'[4]P+T+D+R+M'!K$10</f>
        <v>General
+1 MW
Sch 8</v>
      </c>
      <c r="I289" s="277" t="str">
        <f>'[4]P+T+D+R+M'!L$10</f>
        <v>Street &amp; Area
Lighting
Sch. 7,11,12</v>
      </c>
      <c r="J289" s="277" t="str">
        <f>'[4]P+T+D+R+M'!M$10</f>
        <v>General
Trans
Sch 9</v>
      </c>
      <c r="K289" s="277" t="str">
        <f>'[4]P+T+D+R+M'!N$10</f>
        <v>Irrigation
Sch 10</v>
      </c>
      <c r="L289" s="277" t="str">
        <f>'[4]P+T+D+R+M'!O$10</f>
        <v>Traffic
Signals
Sch 15</v>
      </c>
      <c r="M289" s="277" t="str">
        <f>'[4]P+T+D+R+M'!P$10</f>
        <v>Outdoor
Lighting
Sch 15</v>
      </c>
      <c r="N289" s="277" t="str">
        <f>'[4]P+T+D+R+M'!Q$10</f>
        <v>General
Small Dist.
Sch 23</v>
      </c>
      <c r="O289" s="277" t="str">
        <f>'[4]P+T+D+R+M'!R$10</f>
        <v>Industrial
Cust 1</v>
      </c>
      <c r="P289" s="277" t="str">
        <f>'[4]P+T+D+R+M'!S$10</f>
        <v>Industrial
Cust 2</v>
      </c>
      <c r="Q289" s="278" t="e">
        <f>ROUND(SUM(Q294:Q348),0)</f>
        <v>#DIV/0!</v>
      </c>
    </row>
    <row r="290" spans="1:17">
      <c r="A290" s="263"/>
      <c r="B290" s="274"/>
      <c r="C290" s="275"/>
      <c r="D290" s="276"/>
      <c r="E290" s="275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3"/>
    </row>
    <row r="291" spans="1:17">
      <c r="A291" s="263"/>
      <c r="B291" s="274"/>
      <c r="C291" s="280" t="s">
        <v>480</v>
      </c>
      <c r="D291" s="276"/>
      <c r="E291" s="269">
        <f>'[4]Production-Energy Fixed'!H12</f>
        <v>158689122.29750416</v>
      </c>
      <c r="F291" s="269">
        <f>'[4]Production-Energy Fixed'!I12</f>
        <v>53937179.492462061</v>
      </c>
      <c r="G291" s="269">
        <f>'[4]Production-Energy Fixed'!J12</f>
        <v>45115876.394068934</v>
      </c>
      <c r="H291" s="269">
        <f>'[4]Production-Energy Fixed'!K12</f>
        <v>13171185.085950388</v>
      </c>
      <c r="I291" s="269">
        <f>'[4]Production-Energy Fixed'!L12</f>
        <v>223437.4260121258</v>
      </c>
      <c r="J291" s="269">
        <f>'[4]Production-Energy Fixed'!M12</f>
        <v>27999524.038625579</v>
      </c>
      <c r="K291" s="269">
        <f>'[4]Production-Energy Fixed'!N12</f>
        <v>1334863.2550627561</v>
      </c>
      <c r="L291" s="269">
        <f>'[4]Production-Energy Fixed'!O12</f>
        <v>47992.6832239547</v>
      </c>
      <c r="M291" s="269">
        <f>'[4]Production-Energy Fixed'!P12</f>
        <v>89538.24261380182</v>
      </c>
      <c r="N291" s="269">
        <f>'[4]Production-Energy Fixed'!Q12</f>
        <v>10583472.219008533</v>
      </c>
      <c r="O291" s="269">
        <f>'[4]Production-Energy Fixed'!R12</f>
        <v>3308378.5474332455</v>
      </c>
      <c r="P291" s="269">
        <f>'[4]Production-Energy Fixed'!S12</f>
        <v>2877674.91304276</v>
      </c>
      <c r="Q291" s="283"/>
    </row>
    <row r="292" spans="1:17">
      <c r="A292" s="263"/>
      <c r="B292" s="261"/>
      <c r="C292" s="261"/>
      <c r="D292" s="271"/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</row>
    <row r="293" spans="1:17">
      <c r="A293" s="263">
        <f>ROW()</f>
        <v>293</v>
      </c>
      <c r="B293" s="261"/>
      <c r="C293" s="261" t="s">
        <v>878</v>
      </c>
      <c r="D293" s="271"/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</row>
    <row r="294" spans="1:17">
      <c r="A294" s="263">
        <f>ROW()</f>
        <v>294</v>
      </c>
      <c r="B294" s="261"/>
      <c r="C294" s="261" t="s">
        <v>901</v>
      </c>
      <c r="D294" s="271"/>
      <c r="E294" s="272">
        <f t="shared" ref="E294:E302" si="60">SUM(F294:P294)</f>
        <v>53914208.430688702</v>
      </c>
      <c r="F294" s="261">
        <f>'[4]Production-Energy Fixed'!I15</f>
        <v>19664909.285618134</v>
      </c>
      <c r="G294" s="261">
        <f>'[4]Production-Energy Fixed'!J15</f>
        <v>14759379.091706201</v>
      </c>
      <c r="H294" s="261">
        <f>'[4]Production-Energy Fixed'!K15</f>
        <v>4268694.9367817938</v>
      </c>
      <c r="I294" s="261">
        <f>'[4]Production-Energy Fixed'!L15</f>
        <v>-7117.653037958793</v>
      </c>
      <c r="J294" s="261">
        <f>'[4]Production-Energy Fixed'!M15</f>
        <v>9576972.8457724862</v>
      </c>
      <c r="K294" s="261">
        <f>'[4]Production-Energy Fixed'!N15</f>
        <v>391001.7456108749</v>
      </c>
      <c r="L294" s="261">
        <f>'[4]Production-Energy Fixed'!O15</f>
        <v>-47219.189139452195</v>
      </c>
      <c r="M294" s="261">
        <f>'[4]Production-Energy Fixed'!P15</f>
        <v>-43568.655036601704</v>
      </c>
      <c r="N294" s="261">
        <f>'[4]Production-Energy Fixed'!Q15</f>
        <v>3388862.0720313694</v>
      </c>
      <c r="O294" s="261">
        <f>'[4]Production-Energy Fixed'!R15</f>
        <v>1137969.0095572833</v>
      </c>
      <c r="P294" s="261">
        <f>'[4]Production-Energy Fixed'!S15</f>
        <v>824324.94082456094</v>
      </c>
      <c r="Q294" s="260">
        <f t="shared" ref="Q294:Q302" si="61">ROUND(SUM(F294:P294)-E294,0)</f>
        <v>0</v>
      </c>
    </row>
    <row r="295" spans="1:17">
      <c r="A295" s="263">
        <f>ROW()</f>
        <v>295</v>
      </c>
      <c r="B295" s="261"/>
      <c r="C295" s="261" t="s">
        <v>841</v>
      </c>
      <c r="D295" s="271"/>
      <c r="E295" s="272">
        <f t="shared" si="60"/>
        <v>69016732.884866953</v>
      </c>
      <c r="F295" s="261">
        <f>'[4]Production-Energy Fixed'!I16</f>
        <v>24331775.24091994</v>
      </c>
      <c r="G295" s="261">
        <f>'[4]Production-Energy Fixed'!J16</f>
        <v>18481262.802882157</v>
      </c>
      <c r="H295" s="261">
        <f>'[4]Production-Energy Fixed'!K16</f>
        <v>5522028.3140637409</v>
      </c>
      <c r="I295" s="261">
        <f>'[4]Production-Energy Fixed'!L16</f>
        <v>202767.79364271526</v>
      </c>
      <c r="J295" s="261">
        <f>'[4]Production-Energy Fixed'!M16</f>
        <v>12173829.578419503</v>
      </c>
      <c r="K295" s="261">
        <f>'[4]Production-Energy Fixed'!N16</f>
        <v>697685.15035667841</v>
      </c>
      <c r="L295" s="261">
        <f>'[4]Production-Energy Fixed'!O16</f>
        <v>149228.6035080798</v>
      </c>
      <c r="M295" s="261">
        <f>'[4]Production-Energy Fixed'!P16</f>
        <v>154754.03423847514</v>
      </c>
      <c r="N295" s="261">
        <f>'[4]Production-Energy Fixed'!Q16</f>
        <v>4397077.7106129164</v>
      </c>
      <c r="O295" s="261">
        <f>'[4]Production-Energy Fixed'!R16</f>
        <v>1631194.1901574717</v>
      </c>
      <c r="P295" s="261">
        <f>'[4]Production-Energy Fixed'!S16</f>
        <v>1275129.4660652729</v>
      </c>
      <c r="Q295" s="260">
        <f t="shared" si="61"/>
        <v>0</v>
      </c>
    </row>
    <row r="296" spans="1:17">
      <c r="A296" s="263">
        <f>ROW()</f>
        <v>296</v>
      </c>
      <c r="B296" s="261"/>
      <c r="C296" s="261" t="s">
        <v>840</v>
      </c>
      <c r="D296" s="271"/>
      <c r="E296" s="272">
        <f t="shared" si="60"/>
        <v>1791923.5231502568</v>
      </c>
      <c r="F296" s="261">
        <f>'[4]Production-Energy Fixed'!I17</f>
        <v>378819.95159212826</v>
      </c>
      <c r="G296" s="261">
        <f>'[4]Production-Energy Fixed'!J17</f>
        <v>434137.25547584996</v>
      </c>
      <c r="H296" s="261">
        <f>'[4]Production-Energy Fixed'!K17</f>
        <v>171695.32133234449</v>
      </c>
      <c r="I296" s="261">
        <f>'[4]Production-Energy Fixed'!L17</f>
        <v>48456.312066679937</v>
      </c>
      <c r="J296" s="261">
        <f>'[4]Production-Energy Fixed'!M17</f>
        <v>329337.51777759811</v>
      </c>
      <c r="K296" s="261">
        <f>'[4]Production-Energy Fixed'!N17</f>
        <v>56994.756758101139</v>
      </c>
      <c r="L296" s="261">
        <f>'[4]Production-Energy Fixed'!O17</f>
        <v>48480.142595091733</v>
      </c>
      <c r="M296" s="261">
        <f>'[4]Production-Energy Fixed'!P17</f>
        <v>48844.006298091757</v>
      </c>
      <c r="N296" s="261">
        <f>'[4]Production-Energy Fixed'!Q17</f>
        <v>116269.06610161602</v>
      </c>
      <c r="O296" s="261">
        <f>'[4]Production-Energy Fixed'!R17</f>
        <v>83625.751668931771</v>
      </c>
      <c r="P296" s="261">
        <f>'[4]Production-Energy Fixed'!S17</f>
        <v>75263.441483823757</v>
      </c>
      <c r="Q296" s="260">
        <f t="shared" si="61"/>
        <v>0</v>
      </c>
    </row>
    <row r="297" spans="1:17">
      <c r="A297" s="263">
        <f>ROW()</f>
        <v>297</v>
      </c>
      <c r="B297" s="261"/>
      <c r="C297" s="261" t="s">
        <v>422</v>
      </c>
      <c r="D297" s="271"/>
      <c r="E297" s="272">
        <f t="shared" si="60"/>
        <v>10452867.562924527</v>
      </c>
      <c r="F297" s="261">
        <f>'[4]Production-Energy Fixed'!I18</f>
        <v>950260.68753859319</v>
      </c>
      <c r="G297" s="261">
        <f>'[4]Production-Energy Fixed'!J18</f>
        <v>950260.68753859319</v>
      </c>
      <c r="H297" s="261">
        <f>'[4]Production-Energy Fixed'!K18</f>
        <v>950260.68753859319</v>
      </c>
      <c r="I297" s="261">
        <f>'[4]Production-Energy Fixed'!L18</f>
        <v>950260.68753859319</v>
      </c>
      <c r="J297" s="261">
        <f>'[4]Production-Energy Fixed'!M18</f>
        <v>950260.68753859319</v>
      </c>
      <c r="K297" s="261">
        <f>'[4]Production-Energy Fixed'!N18</f>
        <v>950260.68753859319</v>
      </c>
      <c r="L297" s="261">
        <f>'[4]Production-Energy Fixed'!O18</f>
        <v>950260.68753859319</v>
      </c>
      <c r="M297" s="261">
        <f>'[4]Production-Energy Fixed'!P18</f>
        <v>950260.68753859319</v>
      </c>
      <c r="N297" s="261">
        <f>'[4]Production-Energy Fixed'!Q18</f>
        <v>950260.68753859319</v>
      </c>
      <c r="O297" s="261">
        <f>'[4]Production-Energy Fixed'!R18</f>
        <v>950260.68753859319</v>
      </c>
      <c r="P297" s="261">
        <f>'[4]Production-Energy Fixed'!S18</f>
        <v>950260.68753859319</v>
      </c>
      <c r="Q297" s="260">
        <f t="shared" si="61"/>
        <v>0</v>
      </c>
    </row>
    <row r="298" spans="1:17">
      <c r="A298" s="263">
        <f>ROW()</f>
        <v>298</v>
      </c>
      <c r="B298" s="261"/>
      <c r="C298" s="261" t="s">
        <v>902</v>
      </c>
      <c r="D298" s="271"/>
      <c r="E298" s="272">
        <f t="shared" si="60"/>
        <v>-9648336.5923585072</v>
      </c>
      <c r="F298" s="261">
        <f>'[4]Production-Energy Fixed'!I19</f>
        <v>-3974642.6453181379</v>
      </c>
      <c r="G298" s="261">
        <f>'[4]Production-Energy Fixed'!J19</f>
        <v>-2225135.0625231555</v>
      </c>
      <c r="H298" s="261">
        <f>'[4]Production-Energy Fixed'!K19</f>
        <v>-675732.22330316983</v>
      </c>
      <c r="I298" s="261">
        <f>'[4]Production-Energy Fixed'!L19</f>
        <v>2885.6431844567205</v>
      </c>
      <c r="J298" s="261">
        <f>'[4]Production-Energy Fixed'!M19</f>
        <v>-1809871.344398614</v>
      </c>
      <c r="K298" s="261">
        <f>'[4]Production-Energy Fixed'!N19</f>
        <v>-80483.965874391302</v>
      </c>
      <c r="L298" s="261">
        <f>'[4]Production-Energy Fixed'!O19</f>
        <v>-2050.0683680519242</v>
      </c>
      <c r="M298" s="261">
        <f>'[4]Production-Energy Fixed'!P19</f>
        <v>2742.6981688195915</v>
      </c>
      <c r="N298" s="261">
        <f>'[4]Production-Energy Fixed'!Q19</f>
        <v>-492009.33735729184</v>
      </c>
      <c r="O298" s="261">
        <f>'[4]Production-Energy Fixed'!R19</f>
        <v>-262039.19233060637</v>
      </c>
      <c r="P298" s="261">
        <f>'[4]Production-Energy Fixed'!S19</f>
        <v>-132001.09423836431</v>
      </c>
      <c r="Q298" s="260">
        <f t="shared" si="61"/>
        <v>0</v>
      </c>
    </row>
    <row r="299" spans="1:17">
      <c r="A299" s="263">
        <f>ROW()</f>
        <v>299</v>
      </c>
      <c r="B299" s="261"/>
      <c r="C299" s="261" t="s">
        <v>903</v>
      </c>
      <c r="D299" s="271"/>
      <c r="E299" s="272">
        <f t="shared" si="60"/>
        <v>-3755800.8633164554</v>
      </c>
      <c r="F299" s="261">
        <f>'[4]Production-Energy Fixed'!I20</f>
        <v>-1462710.4427554172</v>
      </c>
      <c r="G299" s="261">
        <f>'[4]Production-Energy Fixed'!J20</f>
        <v>-930421.55865126278</v>
      </c>
      <c r="H299" s="261">
        <f>'[4]Production-Energy Fixed'!K20</f>
        <v>-278330.66977476887</v>
      </c>
      <c r="I299" s="261">
        <f>'[4]Production-Energy Fixed'!L20</f>
        <v>-1032.1531016066476</v>
      </c>
      <c r="J299" s="261">
        <f>'[4]Production-Energy Fixed'!M20</f>
        <v>-689734.83523157309</v>
      </c>
      <c r="K299" s="261">
        <f>'[4]Production-Energy Fixed'!N20</f>
        <v>-31414.268213193427</v>
      </c>
      <c r="L299" s="261">
        <f>'[4]Production-Energy Fixed'!O20</f>
        <v>-907.57868496546666</v>
      </c>
      <c r="M299" s="261">
        <f>'[4]Production-Energy Fixed'!P20</f>
        <v>49.91563900288002</v>
      </c>
      <c r="N299" s="261">
        <f>'[4]Production-Energy Fixed'!Q20</f>
        <v>-210594.90868997641</v>
      </c>
      <c r="O299" s="261">
        <f>'[4]Production-Energy Fixed'!R20</f>
        <v>-94222.58130598464</v>
      </c>
      <c r="P299" s="261">
        <f>'[4]Production-Energy Fixed'!S20</f>
        <v>-56481.782546709721</v>
      </c>
      <c r="Q299" s="260">
        <f t="shared" si="61"/>
        <v>0</v>
      </c>
    </row>
    <row r="300" spans="1:17">
      <c r="A300" s="263">
        <f>ROW()</f>
        <v>300</v>
      </c>
      <c r="B300" s="261"/>
      <c r="C300" s="261" t="s">
        <v>904</v>
      </c>
      <c r="D300" s="271"/>
      <c r="E300" s="272">
        <f t="shared" si="60"/>
        <v>9104616.8703754675</v>
      </c>
      <c r="F300" s="261">
        <f>'[4]Production-Energy Fixed'!I21</f>
        <v>827692.44276140607</v>
      </c>
      <c r="G300" s="261">
        <f>'[4]Production-Energy Fixed'!J21</f>
        <v>827692.44276140607</v>
      </c>
      <c r="H300" s="261">
        <f>'[4]Production-Energy Fixed'!K21</f>
        <v>827692.44276140607</v>
      </c>
      <c r="I300" s="261">
        <f>'[4]Production-Energy Fixed'!L21</f>
        <v>827692.44276140607</v>
      </c>
      <c r="J300" s="261">
        <f>'[4]Production-Energy Fixed'!M21</f>
        <v>827692.44276140607</v>
      </c>
      <c r="K300" s="261">
        <f>'[4]Production-Energy Fixed'!N21</f>
        <v>827692.44276140607</v>
      </c>
      <c r="L300" s="261">
        <f>'[4]Production-Energy Fixed'!O21</f>
        <v>827692.44276140607</v>
      </c>
      <c r="M300" s="261">
        <f>'[4]Production-Energy Fixed'!P21</f>
        <v>827692.44276140607</v>
      </c>
      <c r="N300" s="261">
        <f>'[4]Production-Energy Fixed'!Q21</f>
        <v>827692.44276140607</v>
      </c>
      <c r="O300" s="261">
        <f>'[4]Production-Energy Fixed'!R21</f>
        <v>827692.44276140607</v>
      </c>
      <c r="P300" s="261">
        <f>'[4]Production-Energy Fixed'!S21</f>
        <v>827692.44276140607</v>
      </c>
      <c r="Q300" s="260">
        <f t="shared" si="61"/>
        <v>0</v>
      </c>
    </row>
    <row r="301" spans="1:17">
      <c r="A301" s="263">
        <f>ROW()</f>
        <v>301</v>
      </c>
      <c r="B301" s="261"/>
      <c r="C301" s="261" t="s">
        <v>905</v>
      </c>
      <c r="E301" s="272">
        <f t="shared" si="60"/>
        <v>-130783.77729976382</v>
      </c>
      <c r="F301" s="261">
        <f>'[4]Production-Energy Fixed'!I22</f>
        <v>-11889.434299978529</v>
      </c>
      <c r="G301" s="261">
        <f>'[4]Production-Energy Fixed'!J22</f>
        <v>-11889.434299978529</v>
      </c>
      <c r="H301" s="261">
        <f>'[4]Production-Energy Fixed'!K22</f>
        <v>-11889.434299978529</v>
      </c>
      <c r="I301" s="261">
        <f>'[4]Production-Energy Fixed'!L22</f>
        <v>-11889.434299978529</v>
      </c>
      <c r="J301" s="261">
        <f>'[4]Production-Energy Fixed'!M22</f>
        <v>-11889.434299978529</v>
      </c>
      <c r="K301" s="261">
        <f>'[4]Production-Energy Fixed'!N22</f>
        <v>-11889.434299978529</v>
      </c>
      <c r="L301" s="261">
        <f>'[4]Production-Energy Fixed'!O22</f>
        <v>-11889.434299978529</v>
      </c>
      <c r="M301" s="261">
        <f>'[4]Production-Energy Fixed'!P22</f>
        <v>-11889.434299978529</v>
      </c>
      <c r="N301" s="261">
        <f>'[4]Production-Energy Fixed'!Q22</f>
        <v>-11889.434299978529</v>
      </c>
      <c r="O301" s="261">
        <f>'[4]Production-Energy Fixed'!R22</f>
        <v>-11889.434299978529</v>
      </c>
      <c r="P301" s="261">
        <f>'[4]Production-Energy Fixed'!S22</f>
        <v>-11889.434299978529</v>
      </c>
      <c r="Q301" s="260">
        <f t="shared" si="61"/>
        <v>0</v>
      </c>
    </row>
    <row r="302" spans="1:17">
      <c r="A302" s="263">
        <f>ROW()</f>
        <v>302</v>
      </c>
      <c r="B302" s="261"/>
      <c r="C302" s="261" t="s">
        <v>906</v>
      </c>
      <c r="E302" s="272">
        <f t="shared" si="60"/>
        <v>-117033.19742904112</v>
      </c>
      <c r="F302" s="261">
        <f>'[4]Production-Energy Fixed'!I23</f>
        <v>-41913.141638420035</v>
      </c>
      <c r="G302" s="261">
        <f>'[4]Production-Energy Fixed'!J23</f>
        <v>-31777.507577309148</v>
      </c>
      <c r="H302" s="261">
        <f>'[4]Production-Energy Fixed'!K23</f>
        <v>-9336.1555006624421</v>
      </c>
      <c r="I302" s="261">
        <f>'[4]Production-Energy Fixed'!L23</f>
        <v>-125.65854111234215</v>
      </c>
      <c r="J302" s="261">
        <f>'[4]Production-Energy Fixed'!M23</f>
        <v>-20852.962634466479</v>
      </c>
      <c r="K302" s="261">
        <f>'[4]Production-Energy Fixed'!N23</f>
        <v>-982.63469734908335</v>
      </c>
      <c r="L302" s="261">
        <f>'[4]Production-Energy Fixed'!O23</f>
        <v>-33.032681798012611</v>
      </c>
      <c r="M302" s="261">
        <f>'[4]Production-Energy Fixed'!P23</f>
        <v>-42.579405728190643</v>
      </c>
      <c r="N302" s="261">
        <f>'[4]Production-Energy Fixed'!Q23</f>
        <v>-7388.8970828850706</v>
      </c>
      <c r="O302" s="261">
        <f>'[4]Production-Energy Fixed'!R23</f>
        <v>-2598.9492569448648</v>
      </c>
      <c r="P302" s="261">
        <f>'[4]Production-Energy Fixed'!S23</f>
        <v>-1981.67841236546</v>
      </c>
      <c r="Q302" s="260">
        <f t="shared" si="61"/>
        <v>0</v>
      </c>
    </row>
    <row r="303" spans="1:17">
      <c r="A303" s="263">
        <f>ROW()</f>
        <v>303</v>
      </c>
      <c r="B303" s="261"/>
      <c r="D303" s="271"/>
      <c r="E303" s="272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</row>
    <row r="304" spans="1:17">
      <c r="A304" s="263">
        <f>ROW()</f>
        <v>304</v>
      </c>
      <c r="B304" s="261"/>
      <c r="C304" s="261" t="s">
        <v>499</v>
      </c>
      <c r="D304" s="271"/>
      <c r="E304" s="279">
        <f t="shared" ref="E304:P304" si="62">SUM(E294:E302)</f>
        <v>130628394.84160213</v>
      </c>
      <c r="F304" s="279">
        <f t="shared" si="62"/>
        <v>40662301.944418252</v>
      </c>
      <c r="G304" s="279">
        <f t="shared" si="62"/>
        <v>32253508.717312504</v>
      </c>
      <c r="H304" s="279">
        <f t="shared" si="62"/>
        <v>10765083.219599301</v>
      </c>
      <c r="I304" s="279">
        <f t="shared" si="62"/>
        <v>2011897.9802131949</v>
      </c>
      <c r="J304" s="279">
        <f t="shared" si="62"/>
        <v>21325744.495704956</v>
      </c>
      <c r="K304" s="279">
        <f t="shared" si="62"/>
        <v>2798864.4799407413</v>
      </c>
      <c r="L304" s="279">
        <f t="shared" si="62"/>
        <v>1913562.5732289248</v>
      </c>
      <c r="M304" s="279">
        <f t="shared" si="62"/>
        <v>1928843.1159020802</v>
      </c>
      <c r="N304" s="279">
        <f t="shared" si="62"/>
        <v>8958279.4016157668</v>
      </c>
      <c r="O304" s="279">
        <f t="shared" si="62"/>
        <v>4259991.9244901724</v>
      </c>
      <c r="P304" s="279">
        <f t="shared" si="62"/>
        <v>3750316.9891762394</v>
      </c>
      <c r="Q304" s="260">
        <f>ROUND(SUM(F304:P304)-E304,0)</f>
        <v>0</v>
      </c>
    </row>
    <row r="305" spans="1:17">
      <c r="A305" s="263">
        <f>ROW()</f>
        <v>305</v>
      </c>
      <c r="B305" s="261"/>
      <c r="C305" s="261"/>
      <c r="D305" s="271"/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</row>
    <row r="306" spans="1:17">
      <c r="A306" s="263">
        <f>ROW()</f>
        <v>306</v>
      </c>
      <c r="B306" s="261"/>
      <c r="C306" s="261"/>
      <c r="D306" s="271"/>
      <c r="E306" s="272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</row>
    <row r="307" spans="1:17">
      <c r="A307" s="263">
        <f>ROW()</f>
        <v>307</v>
      </c>
      <c r="B307" s="261"/>
      <c r="C307" s="261" t="s">
        <v>867</v>
      </c>
      <c r="D307" s="271"/>
      <c r="E307" s="272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</row>
    <row r="308" spans="1:17">
      <c r="A308" s="263">
        <f>ROW()</f>
        <v>308</v>
      </c>
      <c r="B308" s="261"/>
      <c r="C308" s="261" t="s">
        <v>907</v>
      </c>
      <c r="D308" s="271"/>
      <c r="E308" s="272" t="e">
        <f t="shared" ref="E308:E318" si="63">SUM(F308:P308)</f>
        <v>#DIV/0!</v>
      </c>
      <c r="F308" s="261" t="e">
        <f>'[4]Production-Energy Fixed'!I31</f>
        <v>#DIV/0!</v>
      </c>
      <c r="G308" s="261" t="e">
        <f>'[4]Production-Energy Fixed'!J31</f>
        <v>#DIV/0!</v>
      </c>
      <c r="H308" s="261" t="e">
        <f>'[4]Production-Energy Fixed'!K31</f>
        <v>#DIV/0!</v>
      </c>
      <c r="I308" s="261" t="e">
        <f>'[4]Production-Energy Fixed'!L31</f>
        <v>#DIV/0!</v>
      </c>
      <c r="J308" s="261" t="e">
        <f>'[4]Production-Energy Fixed'!M31</f>
        <v>#DIV/0!</v>
      </c>
      <c r="K308" s="261" t="e">
        <f>'[4]Production-Energy Fixed'!N31</f>
        <v>#DIV/0!</v>
      </c>
      <c r="L308" s="261" t="e">
        <f>'[4]Production-Energy Fixed'!O31</f>
        <v>#DIV/0!</v>
      </c>
      <c r="M308" s="261" t="e">
        <f>'[4]Production-Energy Fixed'!P31</f>
        <v>#DIV/0!</v>
      </c>
      <c r="N308" s="261" t="e">
        <f>'[4]Production-Energy Fixed'!Q31</f>
        <v>#DIV/0!</v>
      </c>
      <c r="O308" s="261" t="e">
        <f>'[4]Production-Energy Fixed'!R31</f>
        <v>#DIV/0!</v>
      </c>
      <c r="P308" s="261" t="e">
        <f>'[4]Production-Energy Fixed'!S31</f>
        <v>#DIV/0!</v>
      </c>
      <c r="Q308" s="260" t="e">
        <f t="shared" ref="Q308:Q318" si="64">ROUND(SUM(F308:P308)-E308,0)</f>
        <v>#DIV/0!</v>
      </c>
    </row>
    <row r="309" spans="1:17">
      <c r="A309" s="263">
        <f>ROW()</f>
        <v>309</v>
      </c>
      <c r="B309" s="261"/>
      <c r="C309" s="261" t="s">
        <v>908</v>
      </c>
      <c r="D309" s="271"/>
      <c r="E309" s="272">
        <f t="shared" si="63"/>
        <v>724376.34661231714</v>
      </c>
      <c r="F309" s="261">
        <f>'[4]Production-Energy Fixed'!I32</f>
        <v>328141.46090107993</v>
      </c>
      <c r="G309" s="261">
        <f>'[4]Production-Energy Fixed'!J32</f>
        <v>243128.69479169924</v>
      </c>
      <c r="H309" s="261">
        <f>'[4]Production-Energy Fixed'!K32</f>
        <v>54921.459173838382</v>
      </c>
      <c r="I309" s="261">
        <f>'[4]Production-Energy Fixed'!L32</f>
        <v>-22321.885966567937</v>
      </c>
      <c r="J309" s="261">
        <f>'[4]Production-Energy Fixed'!M32</f>
        <v>151504.42669347671</v>
      </c>
      <c r="K309" s="261">
        <f>'[4]Production-Energy Fixed'!N32</f>
        <v>-15134.883546226869</v>
      </c>
      <c r="L309" s="261">
        <f>'[4]Production-Energy Fixed'!O32</f>
        <v>-23098.524864765881</v>
      </c>
      <c r="M309" s="261">
        <f>'[4]Production-Energy Fixed'!P32</f>
        <v>-23018.504477315273</v>
      </c>
      <c r="N309" s="261">
        <f>'[4]Production-Energy Fixed'!Q32</f>
        <v>38592.186187249972</v>
      </c>
      <c r="O309" s="261">
        <f>'[4]Production-Energy Fixed'!R32</f>
        <v>-1579.9341855328094</v>
      </c>
      <c r="P309" s="261">
        <f>'[4]Production-Energy Fixed'!S32</f>
        <v>-6758.1480946182928</v>
      </c>
      <c r="Q309" s="260">
        <f t="shared" si="64"/>
        <v>0</v>
      </c>
    </row>
    <row r="310" spans="1:17">
      <c r="A310" s="263">
        <f>ROW()</f>
        <v>310</v>
      </c>
      <c r="B310" s="261"/>
      <c r="C310" s="261" t="s">
        <v>909</v>
      </c>
      <c r="D310" s="271"/>
      <c r="E310" s="272">
        <f t="shared" si="63"/>
        <v>3206182.9349000854</v>
      </c>
      <c r="F310" s="261">
        <f>'[4]Production-Energy Fixed'!I33</f>
        <v>1148262.2336033471</v>
      </c>
      <c r="G310" s="261">
        <f>'[4]Production-Energy Fixed'!J33</f>
        <v>870560.31117049512</v>
      </c>
      <c r="H310" s="261">
        <f>'[4]Production-Energy Fixed'!K33</f>
        <v>255764.28065896221</v>
      </c>
      <c r="I310" s="261">
        <f>'[4]Production-Energy Fixed'!L33</f>
        <v>3441.8775385188455</v>
      </c>
      <c r="J310" s="261">
        <f>'[4]Production-Energy Fixed'!M33</f>
        <v>571261.31695071096</v>
      </c>
      <c r="K310" s="261">
        <f>'[4]Production-Energy Fixed'!N33</f>
        <v>26918.873759184615</v>
      </c>
      <c r="L310" s="261">
        <f>'[4]Production-Energy Fixed'!O33</f>
        <v>904.91603337023753</v>
      </c>
      <c r="M310" s="261">
        <f>'[4]Production-Energy Fixed'!P33</f>
        <v>1166.309897443125</v>
      </c>
      <c r="N310" s="261">
        <f>'[4]Production-Energy Fixed'!Q33</f>
        <v>202423.22721680079</v>
      </c>
      <c r="O310" s="261">
        <f>'[4]Production-Energy Fixed'!R33</f>
        <v>71197.347078138671</v>
      </c>
      <c r="P310" s="261">
        <f>'[4]Production-Energy Fixed'!S33</f>
        <v>54282.240993113955</v>
      </c>
      <c r="Q310" s="260">
        <f t="shared" si="64"/>
        <v>0</v>
      </c>
    </row>
    <row r="311" spans="1:17">
      <c r="A311" s="263">
        <f>ROW()</f>
        <v>311</v>
      </c>
      <c r="B311" s="261"/>
      <c r="C311" s="280" t="s">
        <v>597</v>
      </c>
      <c r="D311" s="271"/>
      <c r="E311" s="272">
        <f t="shared" si="63"/>
        <v>6844339.8756913533</v>
      </c>
      <c r="F311" s="261">
        <f>'[4]Production-Energy Fixed'!I34</f>
        <v>622212.71597194136</v>
      </c>
      <c r="G311" s="261">
        <f>'[4]Production-Energy Fixed'!J34</f>
        <v>622212.71597194136</v>
      </c>
      <c r="H311" s="261">
        <f>'[4]Production-Energy Fixed'!K34</f>
        <v>622212.71597194136</v>
      </c>
      <c r="I311" s="261">
        <f>'[4]Production-Energy Fixed'!L34</f>
        <v>622212.71597194136</v>
      </c>
      <c r="J311" s="261">
        <f>'[4]Production-Energy Fixed'!M34</f>
        <v>622212.71597194136</v>
      </c>
      <c r="K311" s="261">
        <f>'[4]Production-Energy Fixed'!N34</f>
        <v>622212.71597194136</v>
      </c>
      <c r="L311" s="261">
        <f>'[4]Production-Energy Fixed'!O34</f>
        <v>622212.71597194136</v>
      </c>
      <c r="M311" s="261">
        <f>'[4]Production-Energy Fixed'!P34</f>
        <v>622212.71597194136</v>
      </c>
      <c r="N311" s="261">
        <f>'[4]Production-Energy Fixed'!Q34</f>
        <v>622212.71597194136</v>
      </c>
      <c r="O311" s="261">
        <f>'[4]Production-Energy Fixed'!R34</f>
        <v>622212.71597194136</v>
      </c>
      <c r="P311" s="261">
        <f>'[4]Production-Energy Fixed'!S34</f>
        <v>622212.71597194136</v>
      </c>
      <c r="Q311" s="260">
        <f t="shared" si="64"/>
        <v>0</v>
      </c>
    </row>
    <row r="312" spans="1:17">
      <c r="A312" s="263">
        <f>ROW()</f>
        <v>312</v>
      </c>
      <c r="B312" s="261"/>
      <c r="C312" s="261" t="s">
        <v>614</v>
      </c>
      <c r="D312" s="271"/>
      <c r="E312" s="272">
        <f t="shared" si="63"/>
        <v>1604000.4235133789</v>
      </c>
      <c r="F312" s="261">
        <f>'[4]Production-Energy Fixed'!I35</f>
        <v>145898.94230033323</v>
      </c>
      <c r="G312" s="261">
        <f>'[4]Production-Energy Fixed'!J35</f>
        <v>145888.79438423456</v>
      </c>
      <c r="H312" s="261">
        <f>'[4]Production-Energy Fixed'!K35</f>
        <v>145817.18653655564</v>
      </c>
      <c r="I312" s="261">
        <f>'[4]Production-Energy Fixed'!L35</f>
        <v>145783.71915496379</v>
      </c>
      <c r="J312" s="261">
        <f>'[4]Production-Energy Fixed'!M35</f>
        <v>145864.28216167536</v>
      </c>
      <c r="K312" s="261">
        <f>'[4]Production-Energy Fixed'!N35</f>
        <v>145786.79047678807</v>
      </c>
      <c r="L312" s="261">
        <f>'[4]Production-Energy Fixed'!O35</f>
        <v>145782.98026778514</v>
      </c>
      <c r="M312" s="261">
        <f>'[4]Production-Energy Fixed'!P35</f>
        <v>145783.12038947848</v>
      </c>
      <c r="N312" s="261">
        <f>'[4]Production-Energy Fixed'!Q35</f>
        <v>145806.88521205579</v>
      </c>
      <c r="O312" s="261">
        <f>'[4]Production-Energy Fixed'!R35</f>
        <v>145793.12549631443</v>
      </c>
      <c r="P312" s="261">
        <f>'[4]Production-Energy Fixed'!S35</f>
        <v>145794.59713319453</v>
      </c>
      <c r="Q312" s="260">
        <f t="shared" si="64"/>
        <v>0</v>
      </c>
    </row>
    <row r="313" spans="1:17">
      <c r="A313" s="263">
        <f>ROW()</f>
        <v>313</v>
      </c>
      <c r="B313" s="261"/>
      <c r="C313" s="261" t="s">
        <v>603</v>
      </c>
      <c r="D313" s="271"/>
      <c r="E313" s="272">
        <f t="shared" si="63"/>
        <v>74344484.222343683</v>
      </c>
      <c r="F313" s="261">
        <f>'[4]Production-Energy Fixed'!I36</f>
        <v>22181777.623812795</v>
      </c>
      <c r="G313" s="261">
        <f>'[4]Production-Energy Fixed'!J36</f>
        <v>20242860.64608898</v>
      </c>
      <c r="H313" s="261">
        <f>'[4]Production-Energy Fixed'!K36</f>
        <v>6561069.2070521209</v>
      </c>
      <c r="I313" s="261">
        <f>'[4]Production-Energy Fixed'!L36</f>
        <v>166606.17272030748</v>
      </c>
      <c r="J313" s="261">
        <f>'[4]Production-Energy Fixed'!M36</f>
        <v>15559419.827341128</v>
      </c>
      <c r="K313" s="261">
        <f>'[4]Production-Energy Fixed'!N36</f>
        <v>753429.90788331046</v>
      </c>
      <c r="L313" s="261">
        <f>'[4]Production-Energy Fixed'!O36</f>
        <v>25430.301599588911</v>
      </c>
      <c r="M313" s="261">
        <f>'[4]Production-Energy Fixed'!P36</f>
        <v>52202.727340676051</v>
      </c>
      <c r="N313" s="261">
        <f>'[4]Production-Energy Fixed'!Q36</f>
        <v>4592841.1716965484</v>
      </c>
      <c r="O313" s="261">
        <f>'[4]Production-Energy Fixed'!R36</f>
        <v>1963833.7774493771</v>
      </c>
      <c r="P313" s="261">
        <f>'[4]Production-Energy Fixed'!S36</f>
        <v>2245012.8593588509</v>
      </c>
      <c r="Q313" s="260">
        <f t="shared" si="64"/>
        <v>0</v>
      </c>
    </row>
    <row r="314" spans="1:17">
      <c r="A314" s="263">
        <f>ROW()</f>
        <v>314</v>
      </c>
      <c r="B314" s="261"/>
      <c r="C314" s="261" t="s">
        <v>910</v>
      </c>
      <c r="D314" s="271"/>
      <c r="E314" s="272">
        <f t="shared" si="63"/>
        <v>20997850.756025057</v>
      </c>
      <c r="F314" s="261">
        <f>'[4]Production-Energy Fixed'!I37</f>
        <v>1908895.5232750052</v>
      </c>
      <c r="G314" s="261">
        <f>'[4]Production-Energy Fixed'!J37</f>
        <v>1908895.5232750052</v>
      </c>
      <c r="H314" s="261">
        <f>'[4]Production-Energy Fixed'!K37</f>
        <v>1908895.5232750052</v>
      </c>
      <c r="I314" s="261">
        <f>'[4]Production-Energy Fixed'!L37</f>
        <v>1908895.5232750052</v>
      </c>
      <c r="J314" s="261">
        <f>'[4]Production-Energy Fixed'!M37</f>
        <v>1908895.5232750052</v>
      </c>
      <c r="K314" s="261">
        <f>'[4]Production-Energy Fixed'!N37</f>
        <v>1908895.5232750052</v>
      </c>
      <c r="L314" s="261">
        <f>'[4]Production-Energy Fixed'!O37</f>
        <v>1908895.5232750052</v>
      </c>
      <c r="M314" s="261">
        <f>'[4]Production-Energy Fixed'!P37</f>
        <v>1908895.5232750052</v>
      </c>
      <c r="N314" s="261">
        <f>'[4]Production-Energy Fixed'!Q37</f>
        <v>1908895.5232750052</v>
      </c>
      <c r="O314" s="261">
        <f>'[4]Production-Energy Fixed'!R37</f>
        <v>1908895.5232750052</v>
      </c>
      <c r="P314" s="261">
        <f>'[4]Production-Energy Fixed'!S37</f>
        <v>1908895.5232750052</v>
      </c>
      <c r="Q314" s="260">
        <f t="shared" si="64"/>
        <v>0</v>
      </c>
    </row>
    <row r="315" spans="1:17">
      <c r="A315" s="263">
        <f>ROW()</f>
        <v>315</v>
      </c>
      <c r="B315" s="261"/>
      <c r="C315" s="261" t="s">
        <v>620</v>
      </c>
      <c r="D315" s="271"/>
      <c r="E315" s="272">
        <f t="shared" si="63"/>
        <v>40994907.857489258</v>
      </c>
      <c r="F315" s="261">
        <f>'[4]Production-Energy Fixed'!I38</f>
        <v>6354994.714330392</v>
      </c>
      <c r="G315" s="261">
        <f>'[4]Production-Energy Fixed'!J38</f>
        <v>6024594.0026479699</v>
      </c>
      <c r="H315" s="261">
        <f>'[4]Production-Energy Fixed'!K38</f>
        <v>3693151.4084142218</v>
      </c>
      <c r="I315" s="261">
        <f>'[4]Production-Energy Fixed'!L38</f>
        <v>2603504.3726497409</v>
      </c>
      <c r="J315" s="261">
        <f>'[4]Production-Energy Fixed'!M38</f>
        <v>5226513.3228586875</v>
      </c>
      <c r="K315" s="261">
        <f>'[4]Production-Energy Fixed'!N38</f>
        <v>2703501.9393106955</v>
      </c>
      <c r="L315" s="261">
        <f>'[4]Production-Energy Fixed'!O38</f>
        <v>2579447.3300705221</v>
      </c>
      <c r="M315" s="261">
        <f>'[4]Production-Energy Fixed'!P38</f>
        <v>2584009.479259965</v>
      </c>
      <c r="N315" s="261">
        <f>'[4]Production-Energy Fixed'!Q38</f>
        <v>3357755.9525457593</v>
      </c>
      <c r="O315" s="261">
        <f>'[4]Production-Energy Fixed'!R38</f>
        <v>2909760.5385815473</v>
      </c>
      <c r="P315" s="261">
        <f>'[4]Production-Energy Fixed'!S38</f>
        <v>2957674.7968197535</v>
      </c>
      <c r="Q315" s="260">
        <f t="shared" si="64"/>
        <v>0</v>
      </c>
    </row>
    <row r="316" spans="1:17">
      <c r="A316" s="263">
        <f>ROW()</f>
        <v>316</v>
      </c>
      <c r="B316" s="261"/>
      <c r="C316" s="261" t="s">
        <v>624</v>
      </c>
      <c r="E316" s="272">
        <f t="shared" si="63"/>
        <v>6233811.7541877832</v>
      </c>
      <c r="F316" s="261">
        <f>'[4]Production-Energy Fixed'!I39</f>
        <v>1934276.8512764634</v>
      </c>
      <c r="G316" s="261">
        <f>'[4]Production-Energy Fixed'!J39</f>
        <v>1701495.6080080711</v>
      </c>
      <c r="H316" s="261">
        <f>'[4]Production-Energy Fixed'!K39</f>
        <v>539902.61420370056</v>
      </c>
      <c r="I316" s="261">
        <f>'[4]Production-Energy Fixed'!L39</f>
        <v>12617.133695317316</v>
      </c>
      <c r="J316" s="261">
        <f>'[4]Production-Energy Fixed'!M39</f>
        <v>1260891.6382387334</v>
      </c>
      <c r="K316" s="261">
        <f>'[4]Production-Energy Fixed'!N39</f>
        <v>60868.267838070693</v>
      </c>
      <c r="L316" s="261">
        <f>'[4]Production-Energy Fixed'!O39</f>
        <v>2062.4945645643438</v>
      </c>
      <c r="M316" s="261">
        <f>'[4]Production-Energy Fixed'!P39</f>
        <v>4007.8475386080954</v>
      </c>
      <c r="N316" s="261">
        <f>'[4]Production-Energy Fixed'!Q39</f>
        <v>388633.8970362572</v>
      </c>
      <c r="O316" s="261">
        <f>'[4]Production-Energy Fixed'!R39</f>
        <v>158268.88056486196</v>
      </c>
      <c r="P316" s="261">
        <f>'[4]Production-Energy Fixed'!S39</f>
        <v>170786.52122313424</v>
      </c>
      <c r="Q316" s="260">
        <f t="shared" si="64"/>
        <v>0</v>
      </c>
    </row>
    <row r="317" spans="1:17">
      <c r="A317" s="263">
        <f>ROW()</f>
        <v>317</v>
      </c>
      <c r="B317" s="261"/>
      <c r="C317" s="261" t="s">
        <v>911</v>
      </c>
      <c r="D317" s="271"/>
      <c r="E317" s="272">
        <f t="shared" si="63"/>
        <v>0</v>
      </c>
      <c r="F317" s="261">
        <f>'[4]Production-Energy Fixed'!I40</f>
        <v>0</v>
      </c>
      <c r="G317" s="261">
        <f>'[4]Production-Energy Fixed'!J40</f>
        <v>0</v>
      </c>
      <c r="H317" s="261">
        <f>'[4]Production-Energy Fixed'!K40</f>
        <v>0</v>
      </c>
      <c r="I317" s="261">
        <f>'[4]Production-Energy Fixed'!L40</f>
        <v>0</v>
      </c>
      <c r="J317" s="261">
        <f>'[4]Production-Energy Fixed'!M40</f>
        <v>0</v>
      </c>
      <c r="K317" s="261">
        <f>'[4]Production-Energy Fixed'!N40</f>
        <v>0</v>
      </c>
      <c r="L317" s="261">
        <f>'[4]Production-Energy Fixed'!O40</f>
        <v>0</v>
      </c>
      <c r="M317" s="261">
        <f>'[4]Production-Energy Fixed'!P40</f>
        <v>0</v>
      </c>
      <c r="N317" s="261">
        <f>'[4]Production-Energy Fixed'!Q40</f>
        <v>0</v>
      </c>
      <c r="O317" s="261">
        <f>'[4]Production-Energy Fixed'!R40</f>
        <v>0</v>
      </c>
      <c r="P317" s="261">
        <f>'[4]Production-Energy Fixed'!S40</f>
        <v>0</v>
      </c>
      <c r="Q317" s="260">
        <f t="shared" si="64"/>
        <v>0</v>
      </c>
    </row>
    <row r="318" spans="1:17">
      <c r="A318" s="263">
        <f>ROW()</f>
        <v>318</v>
      </c>
      <c r="B318" s="261"/>
      <c r="C318" s="261" t="s">
        <v>637</v>
      </c>
      <c r="D318" s="271"/>
      <c r="E318" s="272">
        <f t="shared" si="63"/>
        <v>0</v>
      </c>
      <c r="F318" s="261">
        <f>'[4]Production-Energy Fixed'!I41</f>
        <v>0</v>
      </c>
      <c r="G318" s="261">
        <f>'[4]Production-Energy Fixed'!J41</f>
        <v>0</v>
      </c>
      <c r="H318" s="261">
        <f>'[4]Production-Energy Fixed'!K41</f>
        <v>0</v>
      </c>
      <c r="I318" s="261">
        <f>'[4]Production-Energy Fixed'!L41</f>
        <v>0</v>
      </c>
      <c r="J318" s="261">
        <f>'[4]Production-Energy Fixed'!M41</f>
        <v>0</v>
      </c>
      <c r="K318" s="261">
        <f>'[4]Production-Energy Fixed'!N41</f>
        <v>0</v>
      </c>
      <c r="L318" s="261">
        <f>'[4]Production-Energy Fixed'!O41</f>
        <v>0</v>
      </c>
      <c r="M318" s="261">
        <f>'[4]Production-Energy Fixed'!P41</f>
        <v>0</v>
      </c>
      <c r="N318" s="261">
        <f>'[4]Production-Energy Fixed'!Q41</f>
        <v>0</v>
      </c>
      <c r="O318" s="261">
        <f>'[4]Production-Energy Fixed'!R41</f>
        <v>0</v>
      </c>
      <c r="P318" s="261">
        <f>'[4]Production-Energy Fixed'!S41</f>
        <v>0</v>
      </c>
      <c r="Q318" s="260">
        <f t="shared" si="64"/>
        <v>0</v>
      </c>
    </row>
    <row r="319" spans="1:17">
      <c r="A319" s="263">
        <f>ROW()</f>
        <v>319</v>
      </c>
      <c r="B319" s="261"/>
      <c r="C319" s="261"/>
      <c r="D319" s="271"/>
      <c r="E319" s="272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</row>
    <row r="320" spans="1:17">
      <c r="A320" s="263">
        <f>ROW()</f>
        <v>320</v>
      </c>
      <c r="B320" s="261"/>
      <c r="C320" s="261" t="s">
        <v>642</v>
      </c>
      <c r="D320" s="271"/>
      <c r="E320" s="279" t="e">
        <f t="shared" ref="E320:P320" si="65">SUM(E308:E318)</f>
        <v>#DIV/0!</v>
      </c>
      <c r="F320" s="279" t="e">
        <f t="shared" si="65"/>
        <v>#DIV/0!</v>
      </c>
      <c r="G320" s="279" t="e">
        <f t="shared" si="65"/>
        <v>#DIV/0!</v>
      </c>
      <c r="H320" s="279" t="e">
        <f t="shared" si="65"/>
        <v>#DIV/0!</v>
      </c>
      <c r="I320" s="279" t="e">
        <f t="shared" si="65"/>
        <v>#DIV/0!</v>
      </c>
      <c r="J320" s="279" t="e">
        <f t="shared" si="65"/>
        <v>#DIV/0!</v>
      </c>
      <c r="K320" s="279" t="e">
        <f t="shared" si="65"/>
        <v>#DIV/0!</v>
      </c>
      <c r="L320" s="279" t="e">
        <f t="shared" si="65"/>
        <v>#DIV/0!</v>
      </c>
      <c r="M320" s="279" t="e">
        <f t="shared" si="65"/>
        <v>#DIV/0!</v>
      </c>
      <c r="N320" s="279" t="e">
        <f t="shared" si="65"/>
        <v>#DIV/0!</v>
      </c>
      <c r="O320" s="279" t="e">
        <f t="shared" si="65"/>
        <v>#DIV/0!</v>
      </c>
      <c r="P320" s="279" t="e">
        <f t="shared" si="65"/>
        <v>#DIV/0!</v>
      </c>
      <c r="Q320" s="260" t="e">
        <f>ROUND(SUM(F320:P320)-E320,0)</f>
        <v>#DIV/0!</v>
      </c>
    </row>
    <row r="321" spans="1:17">
      <c r="A321" s="263">
        <f>ROW()</f>
        <v>321</v>
      </c>
      <c r="B321" s="261"/>
      <c r="C321" s="261"/>
      <c r="D321" s="271"/>
      <c r="E321" s="272"/>
      <c r="F321" s="272"/>
      <c r="G321" s="272"/>
      <c r="H321" s="272"/>
      <c r="I321" s="272"/>
      <c r="J321" s="272"/>
      <c r="K321" s="272"/>
      <c r="L321" s="272"/>
      <c r="M321" s="272"/>
      <c r="N321" s="272"/>
      <c r="O321" s="272"/>
      <c r="P321" s="272"/>
    </row>
    <row r="322" spans="1:17">
      <c r="A322" s="263">
        <f>ROW()</f>
        <v>322</v>
      </c>
      <c r="B322" s="261"/>
      <c r="C322" s="261" t="s">
        <v>855</v>
      </c>
      <c r="D322" s="271"/>
      <c r="E322" s="272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</row>
    <row r="323" spans="1:17">
      <c r="A323" s="263">
        <f>ROW()</f>
        <v>323</v>
      </c>
      <c r="B323" s="261"/>
      <c r="C323" s="261" t="s">
        <v>912</v>
      </c>
      <c r="D323" s="271"/>
      <c r="E323" s="272">
        <f t="shared" ref="E323:E329" si="66">SUM(F323:P323)</f>
        <v>-509417409.700903</v>
      </c>
      <c r="F323" s="261">
        <f>'[4]Production-Energy Fixed'!I46</f>
        <v>-179223397.8686091</v>
      </c>
      <c r="G323" s="261">
        <f>'[4]Production-Energy Fixed'!J46</f>
        <v>-136176311.20694551</v>
      </c>
      <c r="H323" s="261">
        <f>'[4]Production-Energy Fixed'!K46</f>
        <v>-40776230.303030483</v>
      </c>
      <c r="I323" s="261">
        <f>'[4]Production-Energy Fixed'!L46</f>
        <v>-1614217.3136303504</v>
      </c>
      <c r="J323" s="261">
        <f>'[4]Production-Energy Fixed'!M46</f>
        <v>-89753959.727814645</v>
      </c>
      <c r="K323" s="261">
        <f>'[4]Production-Energy Fixed'!N46</f>
        <v>-5257907.5739541873</v>
      </c>
      <c r="L323" s="261">
        <f>'[4]Production-Energy Fixed'!O46</f>
        <v>-1219650.9893952592</v>
      </c>
      <c r="M323" s="261">
        <f>'[4]Production-Energy Fixed'!P46</f>
        <v>-1260434.2813013941</v>
      </c>
      <c r="N323" s="261">
        <f>'[4]Production-Energy Fixed'!Q46</f>
        <v>-32490838.69645803</v>
      </c>
      <c r="O323" s="261">
        <f>'[4]Production-Energy Fixed'!R46</f>
        <v>-12131137.921966368</v>
      </c>
      <c r="P323" s="261">
        <f>'[4]Production-Energy Fixed'!S46</f>
        <v>-9513323.8177976552</v>
      </c>
      <c r="Q323" s="260">
        <f t="shared" ref="Q323:Q329" si="67">ROUND(SUM(F323:P323)-E323,0)</f>
        <v>0</v>
      </c>
    </row>
    <row r="324" spans="1:17">
      <c r="A324" s="263">
        <f>ROW()</f>
        <v>324</v>
      </c>
      <c r="B324" s="261"/>
      <c r="C324" s="261" t="s">
        <v>913</v>
      </c>
      <c r="D324" s="271"/>
      <c r="E324" s="272">
        <f t="shared" si="66"/>
        <v>-29096593.084862784</v>
      </c>
      <c r="F324" s="261">
        <f>'[4]Production-Energy Fixed'!I47</f>
        <v>-2672312.0038563032</v>
      </c>
      <c r="G324" s="261">
        <f>'[4]Production-Energy Fixed'!J47</f>
        <v>-2645601.7936188988</v>
      </c>
      <c r="H324" s="261">
        <f>'[4]Production-Energy Fixed'!K47</f>
        <v>-2641407.4211233305</v>
      </c>
      <c r="I324" s="261">
        <f>'[4]Production-Energy Fixed'!L47</f>
        <v>-2644245.4175335877</v>
      </c>
      <c r="J324" s="261">
        <f>'[4]Production-Energy Fixed'!M47</f>
        <v>-2631990.7640544185</v>
      </c>
      <c r="K324" s="261">
        <f>'[4]Production-Energy Fixed'!N47</f>
        <v>-2644028.9912132174</v>
      </c>
      <c r="L324" s="261">
        <f>'[4]Production-Energy Fixed'!O47</f>
        <v>-2644723.8104705187</v>
      </c>
      <c r="M324" s="261">
        <f>'[4]Production-Energy Fixed'!P47</f>
        <v>-2644602.9800390494</v>
      </c>
      <c r="N324" s="261">
        <f>'[4]Production-Energy Fixed'!Q47</f>
        <v>-2645614.2659949022</v>
      </c>
      <c r="O324" s="261">
        <f>'[4]Production-Energy Fixed'!R47</f>
        <v>-2643014.4266511304</v>
      </c>
      <c r="P324" s="261">
        <f>'[4]Production-Energy Fixed'!S47</f>
        <v>-2639051.2103074254</v>
      </c>
      <c r="Q324" s="260">
        <f t="shared" si="67"/>
        <v>0</v>
      </c>
    </row>
    <row r="325" spans="1:17">
      <c r="A325" s="263">
        <f>ROW()</f>
        <v>325</v>
      </c>
      <c r="B325" s="261"/>
      <c r="C325" s="261" t="s">
        <v>914</v>
      </c>
      <c r="D325" s="271"/>
      <c r="E325" s="272">
        <f t="shared" si="66"/>
        <v>-129126906.86514318</v>
      </c>
      <c r="F325" s="261">
        <f>'[4]Production-Energy Fixed'!I48</f>
        <v>-12081531.51674284</v>
      </c>
      <c r="G325" s="261">
        <f>'[4]Production-Energy Fixed'!J48</f>
        <v>-11968139.144228896</v>
      </c>
      <c r="H325" s="261">
        <f>'[4]Production-Energy Fixed'!K48</f>
        <v>-11724190.640756059</v>
      </c>
      <c r="I325" s="261">
        <f>'[4]Production-Energy Fixed'!L48</f>
        <v>-11624658.364854442</v>
      </c>
      <c r="J325" s="261">
        <f>'[4]Production-Energy Fixed'!M48</f>
        <v>-11847886.047413275</v>
      </c>
      <c r="K325" s="261">
        <f>'[4]Production-Energy Fixed'!N48</f>
        <v>-11633925.355440225</v>
      </c>
      <c r="L325" s="261">
        <f>'[4]Production-Energy Fixed'!O48</f>
        <v>-11623715.658359081</v>
      </c>
      <c r="M325" s="261">
        <f>'[4]Production-Energy Fixed'!P48</f>
        <v>-11623803.560234345</v>
      </c>
      <c r="N325" s="261">
        <f>'[4]Production-Energy Fixed'!Q48</f>
        <v>-11703614.796008775</v>
      </c>
      <c r="O325" s="261">
        <f>'[4]Production-Energy Fixed'!R48</f>
        <v>-11651325.011276202</v>
      </c>
      <c r="P325" s="261">
        <f>'[4]Production-Energy Fixed'!S48</f>
        <v>-11644116.769829031</v>
      </c>
      <c r="Q325" s="260">
        <f t="shared" si="67"/>
        <v>0</v>
      </c>
    </row>
    <row r="326" spans="1:17">
      <c r="A326" s="263">
        <f>ROW()</f>
        <v>326</v>
      </c>
      <c r="B326" s="261"/>
      <c r="C326" s="261" t="s">
        <v>915</v>
      </c>
      <c r="D326" s="271"/>
      <c r="E326" s="272">
        <f t="shared" si="66"/>
        <v>-9946.9136613501541</v>
      </c>
      <c r="F326" s="261">
        <f>'[4]Production-Energy Fixed'!I49</f>
        <v>-904.26487830455937</v>
      </c>
      <c r="G326" s="261">
        <f>'[4]Production-Energy Fixed'!J49</f>
        <v>-904.26487830455937</v>
      </c>
      <c r="H326" s="261">
        <f>'[4]Production-Energy Fixed'!K49</f>
        <v>-904.26487830455937</v>
      </c>
      <c r="I326" s="261">
        <f>'[4]Production-Energy Fixed'!L49</f>
        <v>-904.26487830455937</v>
      </c>
      <c r="J326" s="261">
        <f>'[4]Production-Energy Fixed'!M49</f>
        <v>-904.26487830455937</v>
      </c>
      <c r="K326" s="261">
        <f>'[4]Production-Energy Fixed'!N49</f>
        <v>-904.26487830455937</v>
      </c>
      <c r="L326" s="261">
        <f>'[4]Production-Energy Fixed'!O49</f>
        <v>-904.26487830455937</v>
      </c>
      <c r="M326" s="261">
        <f>'[4]Production-Energy Fixed'!P49</f>
        <v>-904.26487830455937</v>
      </c>
      <c r="N326" s="261">
        <f>'[4]Production-Energy Fixed'!Q49</f>
        <v>-904.26487830455937</v>
      </c>
      <c r="O326" s="261">
        <f>'[4]Production-Energy Fixed'!R49</f>
        <v>-904.26487830455937</v>
      </c>
      <c r="P326" s="261">
        <f>'[4]Production-Energy Fixed'!S49</f>
        <v>-904.26487830455937</v>
      </c>
      <c r="Q326" s="260">
        <f t="shared" si="67"/>
        <v>0</v>
      </c>
    </row>
    <row r="327" spans="1:17">
      <c r="A327" s="263">
        <f>ROW()</f>
        <v>327</v>
      </c>
      <c r="B327" s="261"/>
      <c r="C327" s="261" t="s">
        <v>916</v>
      </c>
      <c r="D327" s="271"/>
      <c r="E327" s="272">
        <f t="shared" si="66"/>
        <v>0</v>
      </c>
      <c r="F327" s="261">
        <f>'[4]Production-Energy Fixed'!I50</f>
        <v>0</v>
      </c>
      <c r="G327" s="261">
        <f>'[4]Production-Energy Fixed'!J50</f>
        <v>0</v>
      </c>
      <c r="H327" s="261">
        <f>'[4]Production-Energy Fixed'!K50</f>
        <v>0</v>
      </c>
      <c r="I327" s="261">
        <f>'[4]Production-Energy Fixed'!L50</f>
        <v>0</v>
      </c>
      <c r="J327" s="261">
        <f>'[4]Production-Energy Fixed'!M50</f>
        <v>0</v>
      </c>
      <c r="K327" s="261">
        <f>'[4]Production-Energy Fixed'!N50</f>
        <v>0</v>
      </c>
      <c r="L327" s="261">
        <f>'[4]Production-Energy Fixed'!O50</f>
        <v>0</v>
      </c>
      <c r="M327" s="261">
        <f>'[4]Production-Energy Fixed'!P50</f>
        <v>0</v>
      </c>
      <c r="N327" s="261">
        <f>'[4]Production-Energy Fixed'!Q50</f>
        <v>0</v>
      </c>
      <c r="O327" s="261">
        <f>'[4]Production-Energy Fixed'!R50</f>
        <v>0</v>
      </c>
      <c r="P327" s="261">
        <f>'[4]Production-Energy Fixed'!S50</f>
        <v>0</v>
      </c>
      <c r="Q327" s="260">
        <f t="shared" si="67"/>
        <v>0</v>
      </c>
    </row>
    <row r="328" spans="1:17">
      <c r="A328" s="263">
        <f>ROW()</f>
        <v>328</v>
      </c>
      <c r="B328" s="261"/>
      <c r="C328" s="261" t="s">
        <v>643</v>
      </c>
      <c r="D328" s="271"/>
      <c r="E328" s="272">
        <f t="shared" si="66"/>
        <v>0</v>
      </c>
      <c r="F328" s="261">
        <f>'[4]Production-Energy Fixed'!I51</f>
        <v>0</v>
      </c>
      <c r="G328" s="261">
        <f>'[4]Production-Energy Fixed'!J51</f>
        <v>0</v>
      </c>
      <c r="H328" s="261">
        <f>'[4]Production-Energy Fixed'!K51</f>
        <v>0</v>
      </c>
      <c r="I328" s="261">
        <f>'[4]Production-Energy Fixed'!L51</f>
        <v>0</v>
      </c>
      <c r="J328" s="261">
        <f>'[4]Production-Energy Fixed'!M51</f>
        <v>0</v>
      </c>
      <c r="K328" s="261">
        <f>'[4]Production-Energy Fixed'!N51</f>
        <v>0</v>
      </c>
      <c r="L328" s="261">
        <f>'[4]Production-Energy Fixed'!O51</f>
        <v>0</v>
      </c>
      <c r="M328" s="261">
        <f>'[4]Production-Energy Fixed'!P51</f>
        <v>0</v>
      </c>
      <c r="N328" s="261">
        <f>'[4]Production-Energy Fixed'!Q51</f>
        <v>0</v>
      </c>
      <c r="O328" s="261">
        <f>'[4]Production-Energy Fixed'!R51</f>
        <v>0</v>
      </c>
      <c r="P328" s="261">
        <f>'[4]Production-Energy Fixed'!S51</f>
        <v>0</v>
      </c>
      <c r="Q328" s="260">
        <f t="shared" si="67"/>
        <v>0</v>
      </c>
    </row>
    <row r="329" spans="1:17">
      <c r="A329" s="263">
        <f>ROW()</f>
        <v>329</v>
      </c>
      <c r="B329" s="261"/>
      <c r="C329" s="261" t="s">
        <v>917</v>
      </c>
      <c r="D329" s="271"/>
      <c r="E329" s="272">
        <f t="shared" si="66"/>
        <v>-691445103.6422888</v>
      </c>
      <c r="F329" s="261">
        <f>'[4]Production-Energy Fixed'!I52</f>
        <v>-67803094.995378241</v>
      </c>
      <c r="G329" s="261">
        <f>'[4]Production-Energy Fixed'!J52</f>
        <v>-66717067.409776106</v>
      </c>
      <c r="H329" s="261">
        <f>'[4]Production-Energy Fixed'!K52</f>
        <v>-62727746.306158774</v>
      </c>
      <c r="I329" s="261">
        <f>'[4]Production-Energy Fixed'!L52</f>
        <v>-60958921.987555608</v>
      </c>
      <c r="J329" s="261">
        <f>'[4]Production-Energy Fixed'!M52</f>
        <v>-65108732.740619741</v>
      </c>
      <c r="K329" s="261">
        <f>'[4]Production-Energy Fixed'!N52</f>
        <v>-61122125.67323225</v>
      </c>
      <c r="L329" s="261">
        <f>'[4]Production-Energy Fixed'!O52</f>
        <v>-60928158.868188448</v>
      </c>
      <c r="M329" s="261">
        <f>'[4]Production-Energy Fixed'!P52</f>
        <v>-60933392.464461692</v>
      </c>
      <c r="N329" s="261">
        <f>'[4]Production-Energy Fixed'!Q52</f>
        <v>-62249756.084517591</v>
      </c>
      <c r="O329" s="261">
        <f>'[4]Production-Energy Fixed'!R52</f>
        <v>-61447427.969464496</v>
      </c>
      <c r="P329" s="261">
        <f>'[4]Production-Energy Fixed'!S52</f>
        <v>-61448679.142935842</v>
      </c>
      <c r="Q329" s="260">
        <f t="shared" si="67"/>
        <v>0</v>
      </c>
    </row>
    <row r="330" spans="1:17">
      <c r="A330" s="263">
        <f>ROW()</f>
        <v>330</v>
      </c>
      <c r="B330" s="261"/>
      <c r="C330" s="261"/>
      <c r="D330" s="271"/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</row>
    <row r="331" spans="1:17">
      <c r="A331" s="263">
        <f>ROW()</f>
        <v>331</v>
      </c>
      <c r="B331" s="261"/>
      <c r="C331" s="261" t="s">
        <v>672</v>
      </c>
      <c r="D331" s="271"/>
      <c r="E331" s="279">
        <f t="shared" ref="E331:P331" si="68">SUM(E323:E329)</f>
        <v>-1359095960.2068591</v>
      </c>
      <c r="F331" s="279">
        <f t="shared" si="68"/>
        <v>-261781240.64946479</v>
      </c>
      <c r="G331" s="279">
        <f t="shared" si="68"/>
        <v>-217508023.8194477</v>
      </c>
      <c r="H331" s="279">
        <f t="shared" si="68"/>
        <v>-117870478.93594694</v>
      </c>
      <c r="I331" s="279">
        <f t="shared" si="68"/>
        <v>-76842947.3484523</v>
      </c>
      <c r="J331" s="279">
        <f t="shared" si="68"/>
        <v>-169343473.54478037</v>
      </c>
      <c r="K331" s="279">
        <f t="shared" si="68"/>
        <v>-80658891.858718187</v>
      </c>
      <c r="L331" s="279">
        <f t="shared" si="68"/>
        <v>-76417153.591291606</v>
      </c>
      <c r="M331" s="279">
        <f t="shared" si="68"/>
        <v>-76463137.550914779</v>
      </c>
      <c r="N331" s="279">
        <f t="shared" si="68"/>
        <v>-109090728.1078576</v>
      </c>
      <c r="O331" s="279">
        <f t="shared" si="68"/>
        <v>-87873809.594236493</v>
      </c>
      <c r="P331" s="279">
        <f t="shared" si="68"/>
        <v>-85246075.20574826</v>
      </c>
      <c r="Q331" s="260">
        <f>ROUND(SUM(F331:P331)-E331,0)</f>
        <v>0</v>
      </c>
    </row>
    <row r="332" spans="1:17">
      <c r="A332" s="263">
        <f>ROW()</f>
        <v>332</v>
      </c>
      <c r="B332" s="261"/>
      <c r="C332" s="261"/>
      <c r="D332" s="271"/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</row>
    <row r="333" spans="1:17" ht="13.5" thickBot="1">
      <c r="A333" s="263">
        <f>ROW()</f>
        <v>333</v>
      </c>
      <c r="B333" s="261"/>
      <c r="C333" s="261" t="s">
        <v>845</v>
      </c>
      <c r="D333" s="271"/>
      <c r="E333" s="281" t="e">
        <f t="shared" ref="E333:P333" si="69">E320+E331</f>
        <v>#DIV/0!</v>
      </c>
      <c r="F333" s="281" t="e">
        <f t="shared" si="69"/>
        <v>#DIV/0!</v>
      </c>
      <c r="G333" s="281" t="e">
        <f t="shared" si="69"/>
        <v>#DIV/0!</v>
      </c>
      <c r="H333" s="281" t="e">
        <f t="shared" si="69"/>
        <v>#DIV/0!</v>
      </c>
      <c r="I333" s="281" t="e">
        <f t="shared" si="69"/>
        <v>#DIV/0!</v>
      </c>
      <c r="J333" s="281" t="e">
        <f t="shared" si="69"/>
        <v>#DIV/0!</v>
      </c>
      <c r="K333" s="281" t="e">
        <f t="shared" si="69"/>
        <v>#DIV/0!</v>
      </c>
      <c r="L333" s="281" t="e">
        <f t="shared" si="69"/>
        <v>#DIV/0!</v>
      </c>
      <c r="M333" s="281" t="e">
        <f t="shared" si="69"/>
        <v>#DIV/0!</v>
      </c>
      <c r="N333" s="281" t="e">
        <f t="shared" si="69"/>
        <v>#DIV/0!</v>
      </c>
      <c r="O333" s="281" t="e">
        <f t="shared" si="69"/>
        <v>#DIV/0!</v>
      </c>
      <c r="P333" s="281" t="e">
        <f t="shared" si="69"/>
        <v>#DIV/0!</v>
      </c>
      <c r="Q333" s="260" t="e">
        <f>ROUND(SUM(F333:P333)-E333,0)</f>
        <v>#DIV/0!</v>
      </c>
    </row>
    <row r="334" spans="1:17" ht="13.5" thickTop="1">
      <c r="A334" s="263">
        <f>ROW()</f>
        <v>334</v>
      </c>
      <c r="B334" s="261"/>
      <c r="C334" s="261"/>
      <c r="D334" s="271"/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</row>
    <row r="335" spans="1:17">
      <c r="A335" s="263">
        <f>ROW()</f>
        <v>335</v>
      </c>
      <c r="B335" s="261"/>
      <c r="C335" s="280" t="s">
        <v>918</v>
      </c>
      <c r="D335" s="271"/>
      <c r="E335" s="282"/>
      <c r="F335" s="282">
        <f>'[4]Class Summary'!F59</f>
        <v>5.6357604475278253E-2</v>
      </c>
      <c r="G335" s="282">
        <f>'[4]Class Summary'!G59</f>
        <v>8.2020099439159791E-2</v>
      </c>
      <c r="H335" s="282">
        <f>'[4]Class Summary'!H59</f>
        <v>7.8211925467174342E-2</v>
      </c>
      <c r="I335" s="282">
        <f>'[4]Class Summary'!I59</f>
        <v>0.14801867864076429</v>
      </c>
      <c r="J335" s="282">
        <f>'[4]Class Summary'!J59</f>
        <v>6.2596212964216191E-2</v>
      </c>
      <c r="K335" s="282">
        <f>'[4]Class Summary'!K59</f>
        <v>6.7346419011661135E-2</v>
      </c>
      <c r="L335" s="282">
        <f>'[4]Class Summary'!L59</f>
        <v>8.750222466242473E-2</v>
      </c>
      <c r="M335" s="282">
        <f>'[4]Class Summary'!M59</f>
        <v>0.18734677978999126</v>
      </c>
      <c r="N335" s="282">
        <f>'[4]Class Summary'!N59</f>
        <v>8.6072134543170364E-2</v>
      </c>
      <c r="O335" s="282">
        <f>'[4]Class Summary'!O59</f>
        <v>4.8124327013229551E-2</v>
      </c>
      <c r="P335" s="282">
        <f>'[4]Class Summary'!P59</f>
        <v>7.6479042302476777E-2</v>
      </c>
    </row>
    <row r="336" spans="1:17">
      <c r="A336" s="263">
        <f>ROW()</f>
        <v>336</v>
      </c>
      <c r="B336" s="261"/>
    </row>
    <row r="337" spans="1:17">
      <c r="A337" s="263">
        <f>ROW()</f>
        <v>337</v>
      </c>
      <c r="B337" s="261"/>
      <c r="C337" s="261" t="s">
        <v>847</v>
      </c>
      <c r="D337" s="271">
        <f>'[4]P+T+D+R+M'!$H$59</f>
        <v>6.7805240282880597E-2</v>
      </c>
      <c r="E337" s="261" t="e">
        <f t="shared" ref="E337:P337" si="70">$D$197*E333</f>
        <v>#DIV/0!</v>
      </c>
      <c r="F337" s="261" t="e">
        <f t="shared" si="70"/>
        <v>#DIV/0!</v>
      </c>
      <c r="G337" s="261" t="e">
        <f t="shared" si="70"/>
        <v>#DIV/0!</v>
      </c>
      <c r="H337" s="261" t="e">
        <f t="shared" si="70"/>
        <v>#DIV/0!</v>
      </c>
      <c r="I337" s="261" t="e">
        <f t="shared" si="70"/>
        <v>#DIV/0!</v>
      </c>
      <c r="J337" s="261" t="e">
        <f t="shared" si="70"/>
        <v>#DIV/0!</v>
      </c>
      <c r="K337" s="261" t="e">
        <f t="shared" si="70"/>
        <v>#DIV/0!</v>
      </c>
      <c r="L337" s="261" t="e">
        <f t="shared" si="70"/>
        <v>#DIV/0!</v>
      </c>
      <c r="M337" s="261" t="e">
        <f t="shared" si="70"/>
        <v>#DIV/0!</v>
      </c>
      <c r="N337" s="261" t="e">
        <f t="shared" si="70"/>
        <v>#DIV/0!</v>
      </c>
      <c r="O337" s="261" t="e">
        <f t="shared" si="70"/>
        <v>#DIV/0!</v>
      </c>
      <c r="P337" s="261" t="e">
        <f t="shared" si="70"/>
        <v>#DIV/0!</v>
      </c>
      <c r="Q337" s="260" t="e">
        <f>ROUND(SUM(F337:P337)-E337,0)</f>
        <v>#DIV/0!</v>
      </c>
    </row>
    <row r="338" spans="1:17">
      <c r="A338" s="263">
        <f>ROW()</f>
        <v>338</v>
      </c>
      <c r="B338" s="261"/>
      <c r="C338" s="261" t="s">
        <v>499</v>
      </c>
      <c r="D338" s="271"/>
      <c r="E338" s="283" t="e">
        <f>SUM(F338:P338)</f>
        <v>#DIV/0!</v>
      </c>
      <c r="F338" s="283" t="e">
        <f>F304+((F337-(F333*F335))*(1/[4]Inputs!$H$20))-(F337-(F333*F335))</f>
        <v>#DIV/0!</v>
      </c>
      <c r="G338" s="283" t="e">
        <f>G304+((G337-(G333*G335))*(1/[4]Inputs!$H$20))-(G337-(G333*G335))</f>
        <v>#DIV/0!</v>
      </c>
      <c r="H338" s="283" t="e">
        <f>H304+((H337-(H333*H335))*(1/[4]Inputs!$H$20))-(H337-(H333*H335))</f>
        <v>#DIV/0!</v>
      </c>
      <c r="I338" s="283" t="e">
        <f>I304+((I337-(I333*I335))*(1/[4]Inputs!$H$20))-(I337-(I333*I335))</f>
        <v>#DIV/0!</v>
      </c>
      <c r="J338" s="283" t="e">
        <f>J304+((J337-(J333*J335))*(1/[4]Inputs!$H$20))-(J337-(J333*J335))</f>
        <v>#DIV/0!</v>
      </c>
      <c r="K338" s="283" t="e">
        <f>K304+((K337-(K333*K335))*(1/[4]Inputs!$H$20))-(K337-(K333*K335))</f>
        <v>#DIV/0!</v>
      </c>
      <c r="L338" s="283" t="e">
        <f>L304+((L337-(L333*L335))*(1/[4]Inputs!$H$20))-(L337-(L333*L335))</f>
        <v>#DIV/0!</v>
      </c>
      <c r="M338" s="283" t="e">
        <f>M304+((M337-(M333*M335))*(1/[4]Inputs!$H$20))-(M337-(M333*M335))</f>
        <v>#DIV/0!</v>
      </c>
      <c r="N338" s="283" t="e">
        <f>N304+((N337-(N333*N335))*(1/[4]Inputs!$H$20))-(N337-(N333*N335))</f>
        <v>#DIV/0!</v>
      </c>
      <c r="O338" s="283" t="e">
        <f>O304+((O337-(O333*O335))*(1/[4]Inputs!$H$20))-(O337-(O333*O335))</f>
        <v>#DIV/0!</v>
      </c>
      <c r="P338" s="283" t="e">
        <f>P304+((P337-(P333*P335))*(1/[4]Inputs!$H$20))-(P337-(P333*P335))</f>
        <v>#DIV/0!</v>
      </c>
      <c r="Q338" s="260" t="e">
        <f>ROUND(SUM(F338:P338)-E338,0)</f>
        <v>#DIV/0!</v>
      </c>
    </row>
    <row r="339" spans="1:17">
      <c r="A339" s="263">
        <f>ROW()</f>
        <v>339</v>
      </c>
      <c r="B339" s="261"/>
      <c r="C339" s="261" t="s">
        <v>833</v>
      </c>
      <c r="D339" s="271"/>
      <c r="E339" s="284" t="e">
        <f>'[4]Production-Energy Fixed'!H97</f>
        <v>#VALUE!</v>
      </c>
      <c r="F339" s="284">
        <f>'[4]Production-Energy Fixed'!I97</f>
        <v>-11780722.77110441</v>
      </c>
      <c r="G339" s="284">
        <f>'[4]Production-Energy Fixed'!J97</f>
        <v>-9571961.1251559984</v>
      </c>
      <c r="H339" s="284">
        <f>'[4]Production-Energy Fixed'!K97</f>
        <v>-2886188.6180961034</v>
      </c>
      <c r="I339" s="284">
        <f>'[4]Production-Energy Fixed'!L97</f>
        <v>-49597.6185312042</v>
      </c>
      <c r="J339" s="284">
        <f>'[4]Production-Energy Fixed'!M97</f>
        <v>-6501119.6587993195</v>
      </c>
      <c r="K339" s="284">
        <f>'[4]Production-Energy Fixed'!N97</f>
        <v>-309152.26822617708</v>
      </c>
      <c r="L339" s="284">
        <f>'[4]Production-Energy Fixed'!O97</f>
        <v>-10533.980573498993</v>
      </c>
      <c r="M339" s="284">
        <f>'[4]Production-Energy Fixed'!P97</f>
        <v>-17088.983952043847</v>
      </c>
      <c r="N339" s="284">
        <f>'[4]Production-Energy Fixed'!Q97</f>
        <v>-2214199.642831177</v>
      </c>
      <c r="O339" s="284">
        <f>'[4]Production-Energy Fixed'!R97</f>
        <v>-805448.04906158138</v>
      </c>
      <c r="P339" s="284">
        <f>'[4]Production-Energy Fixed'!S97</f>
        <v>-724027.83874786773</v>
      </c>
      <c r="Q339" s="260" t="e">
        <f>ROUND(SUM(F339:P339)-E339,0)</f>
        <v>#VALUE!</v>
      </c>
    </row>
    <row r="340" spans="1:17">
      <c r="A340" s="263">
        <f>ROW()</f>
        <v>340</v>
      </c>
    </row>
    <row r="341" spans="1:17">
      <c r="A341" s="263">
        <f>ROW()</f>
        <v>341</v>
      </c>
      <c r="B341" s="261"/>
      <c r="C341" s="261" t="s">
        <v>832</v>
      </c>
      <c r="D341" s="271"/>
      <c r="E341" s="283" t="e">
        <f t="shared" ref="E341:P341" si="71">SUM(E337:E339)</f>
        <v>#DIV/0!</v>
      </c>
      <c r="F341" s="283" t="e">
        <f t="shared" si="71"/>
        <v>#DIV/0!</v>
      </c>
      <c r="G341" s="283" t="e">
        <f t="shared" si="71"/>
        <v>#DIV/0!</v>
      </c>
      <c r="H341" s="283" t="e">
        <f t="shared" si="71"/>
        <v>#DIV/0!</v>
      </c>
      <c r="I341" s="283" t="e">
        <f t="shared" si="71"/>
        <v>#DIV/0!</v>
      </c>
      <c r="J341" s="283" t="e">
        <f t="shared" si="71"/>
        <v>#DIV/0!</v>
      </c>
      <c r="K341" s="283" t="e">
        <f t="shared" si="71"/>
        <v>#DIV/0!</v>
      </c>
      <c r="L341" s="283" t="e">
        <f t="shared" si="71"/>
        <v>#DIV/0!</v>
      </c>
      <c r="M341" s="283" t="e">
        <f t="shared" si="71"/>
        <v>#DIV/0!</v>
      </c>
      <c r="N341" s="283" t="e">
        <f t="shared" si="71"/>
        <v>#DIV/0!</v>
      </c>
      <c r="O341" s="283" t="e">
        <f t="shared" si="71"/>
        <v>#DIV/0!</v>
      </c>
      <c r="P341" s="283" t="e">
        <f t="shared" si="71"/>
        <v>#DIV/0!</v>
      </c>
      <c r="Q341" s="260" t="e">
        <f>ROUND(SUM(F341:P341)-E341,0)</f>
        <v>#DIV/0!</v>
      </c>
    </row>
    <row r="342" spans="1:17">
      <c r="A342" s="263">
        <f>ROW()</f>
        <v>342</v>
      </c>
      <c r="Q342" s="260">
        <f>ROUND(SUM(F342:P342)-E342,0)</f>
        <v>0</v>
      </c>
    </row>
    <row r="343" spans="1:17">
      <c r="A343" s="263">
        <f>ROW()</f>
        <v>343</v>
      </c>
    </row>
    <row r="344" spans="1:17">
      <c r="A344" s="263">
        <f>ROW()</f>
        <v>344</v>
      </c>
      <c r="C344" s="261" t="s">
        <v>919</v>
      </c>
      <c r="D344" s="271">
        <f>[4]Inputs!L6</f>
        <v>7.7030070290040428E-2</v>
      </c>
      <c r="E344" s="261" t="e">
        <f t="shared" ref="E344:P344" si="72">$D344*E333</f>
        <v>#DIV/0!</v>
      </c>
      <c r="F344" s="261" t="e">
        <f t="shared" si="72"/>
        <v>#DIV/0!</v>
      </c>
      <c r="G344" s="261" t="e">
        <f t="shared" si="72"/>
        <v>#DIV/0!</v>
      </c>
      <c r="H344" s="261" t="e">
        <f t="shared" si="72"/>
        <v>#DIV/0!</v>
      </c>
      <c r="I344" s="261" t="e">
        <f t="shared" si="72"/>
        <v>#DIV/0!</v>
      </c>
      <c r="J344" s="261" t="e">
        <f t="shared" si="72"/>
        <v>#DIV/0!</v>
      </c>
      <c r="K344" s="261" t="e">
        <f t="shared" si="72"/>
        <v>#DIV/0!</v>
      </c>
      <c r="L344" s="261" t="e">
        <f t="shared" si="72"/>
        <v>#DIV/0!</v>
      </c>
      <c r="M344" s="261" t="e">
        <f t="shared" si="72"/>
        <v>#DIV/0!</v>
      </c>
      <c r="N344" s="261" t="e">
        <f t="shared" si="72"/>
        <v>#DIV/0!</v>
      </c>
      <c r="O344" s="261" t="e">
        <f t="shared" si="72"/>
        <v>#DIV/0!</v>
      </c>
      <c r="P344" s="261" t="e">
        <f t="shared" si="72"/>
        <v>#DIV/0!</v>
      </c>
      <c r="Q344" s="260" t="e">
        <f>ROUND(SUM(F344:P344)-E344,0)</f>
        <v>#DIV/0!</v>
      </c>
    </row>
    <row r="345" spans="1:17">
      <c r="A345" s="263">
        <f>ROW()</f>
        <v>345</v>
      </c>
      <c r="C345" s="261" t="s">
        <v>920</v>
      </c>
      <c r="D345" s="271"/>
      <c r="E345" s="283" t="e">
        <f>SUM(F345:P345)</f>
        <v>#DIV/0!</v>
      </c>
      <c r="F345" s="283" t="e">
        <f>F338+((F344-F337)*(1/[4]Inputs!$H$20))-(F344-F337)</f>
        <v>#DIV/0!</v>
      </c>
      <c r="G345" s="283" t="e">
        <f>G338+((G344-G337)*(1/[4]Inputs!$H$20))-(G344-G337)</f>
        <v>#DIV/0!</v>
      </c>
      <c r="H345" s="283" t="e">
        <f>H338+((H344-H337)*(1/[4]Inputs!$H$20))-(H344-H337)</f>
        <v>#DIV/0!</v>
      </c>
      <c r="I345" s="283" t="e">
        <f>I338+((I344-I337)*(1/[4]Inputs!$H$20))-(I344-I337)</f>
        <v>#DIV/0!</v>
      </c>
      <c r="J345" s="283" t="e">
        <f>J338+((J344-J337)*(1/[4]Inputs!$H$20))-(J344-J337)</f>
        <v>#DIV/0!</v>
      </c>
      <c r="K345" s="283" t="e">
        <f>K338+((K344-K337)*(1/[4]Inputs!$H$20))-(K344-K337)</f>
        <v>#DIV/0!</v>
      </c>
      <c r="L345" s="283" t="e">
        <f>L338+((L344-L337)*(1/[4]Inputs!$H$20))-(L344-L337)</f>
        <v>#DIV/0!</v>
      </c>
      <c r="M345" s="283" t="e">
        <f>M338+((M344-M337)*(1/[4]Inputs!$H$20))-(M344-M337)</f>
        <v>#DIV/0!</v>
      </c>
      <c r="N345" s="283" t="e">
        <f>N338+((N344-N337)*(1/[4]Inputs!$H$20))-(N344-N337)</f>
        <v>#DIV/0!</v>
      </c>
      <c r="O345" s="283" t="e">
        <f>O338+((O344-O337)*(1/[4]Inputs!$H$20))-(O344-O337)</f>
        <v>#DIV/0!</v>
      </c>
      <c r="P345" s="283" t="e">
        <f>P338+((P344-P337)*(1/[4]Inputs!$H$20))-(P344-P337)</f>
        <v>#DIV/0!</v>
      </c>
      <c r="Q345" s="260" t="e">
        <f>ROUND(SUM(F345:P345)-E345,0)</f>
        <v>#DIV/0!</v>
      </c>
    </row>
    <row r="346" spans="1:17">
      <c r="A346" s="263">
        <f>ROW()</f>
        <v>346</v>
      </c>
      <c r="C346" s="261" t="s">
        <v>833</v>
      </c>
      <c r="D346" s="271"/>
      <c r="E346" s="284" t="e">
        <f t="shared" ref="E346:P346" si="73">E339</f>
        <v>#VALUE!</v>
      </c>
      <c r="F346" s="284">
        <f t="shared" si="73"/>
        <v>-11780722.77110441</v>
      </c>
      <c r="G346" s="284">
        <f t="shared" si="73"/>
        <v>-9571961.1251559984</v>
      </c>
      <c r="H346" s="284">
        <f t="shared" si="73"/>
        <v>-2886188.6180961034</v>
      </c>
      <c r="I346" s="284">
        <f t="shared" si="73"/>
        <v>-49597.6185312042</v>
      </c>
      <c r="J346" s="284">
        <f t="shared" si="73"/>
        <v>-6501119.6587993195</v>
      </c>
      <c r="K346" s="284">
        <f t="shared" si="73"/>
        <v>-309152.26822617708</v>
      </c>
      <c r="L346" s="284">
        <f t="shared" si="73"/>
        <v>-10533.980573498993</v>
      </c>
      <c r="M346" s="284">
        <f t="shared" si="73"/>
        <v>-17088.983952043847</v>
      </c>
      <c r="N346" s="284">
        <f t="shared" si="73"/>
        <v>-2214199.642831177</v>
      </c>
      <c r="O346" s="284">
        <f t="shared" si="73"/>
        <v>-805448.04906158138</v>
      </c>
      <c r="P346" s="284">
        <f t="shared" si="73"/>
        <v>-724027.83874786773</v>
      </c>
      <c r="Q346" s="260" t="e">
        <f>ROUND(SUM(F346:P346)-E346,0)</f>
        <v>#VALUE!</v>
      </c>
    </row>
    <row r="347" spans="1:17">
      <c r="A347" s="263">
        <f>ROW()</f>
        <v>347</v>
      </c>
    </row>
    <row r="348" spans="1:17">
      <c r="A348" s="263">
        <f>ROW()</f>
        <v>348</v>
      </c>
      <c r="C348" s="261" t="s">
        <v>921</v>
      </c>
      <c r="D348" s="271"/>
      <c r="E348" s="283" t="e">
        <f t="shared" ref="E348:P348" si="74">SUM(E344:E346)</f>
        <v>#DIV/0!</v>
      </c>
      <c r="F348" s="283" t="e">
        <f t="shared" si="74"/>
        <v>#DIV/0!</v>
      </c>
      <c r="G348" s="283" t="e">
        <f t="shared" si="74"/>
        <v>#DIV/0!</v>
      </c>
      <c r="H348" s="283" t="e">
        <f t="shared" si="74"/>
        <v>#DIV/0!</v>
      </c>
      <c r="I348" s="283" t="e">
        <f t="shared" si="74"/>
        <v>#DIV/0!</v>
      </c>
      <c r="J348" s="283" t="e">
        <f t="shared" si="74"/>
        <v>#DIV/0!</v>
      </c>
      <c r="K348" s="283" t="e">
        <f t="shared" si="74"/>
        <v>#DIV/0!</v>
      </c>
      <c r="L348" s="283" t="e">
        <f t="shared" si="74"/>
        <v>#DIV/0!</v>
      </c>
      <c r="M348" s="283" t="e">
        <f t="shared" si="74"/>
        <v>#DIV/0!</v>
      </c>
      <c r="N348" s="283" t="e">
        <f t="shared" si="74"/>
        <v>#DIV/0!</v>
      </c>
      <c r="O348" s="283" t="e">
        <f t="shared" si="74"/>
        <v>#DIV/0!</v>
      </c>
      <c r="P348" s="283" t="e">
        <f t="shared" si="74"/>
        <v>#DIV/0!</v>
      </c>
      <c r="Q348" s="260" t="e">
        <f>ROUND(SUM(F348:P348)-E348,0)</f>
        <v>#DIV/0!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"/>
  <sheetViews>
    <sheetView topLeftCell="A12" workbookViewId="0">
      <pane xSplit="2" ySplit="1" topLeftCell="C13" activePane="bottomRight" state="frozen"/>
      <selection activeCell="A12" sqref="A12"/>
      <selection pane="topRight" activeCell="C12" sqref="C12"/>
      <selection pane="bottomLeft" activeCell="A13" sqref="A13"/>
      <selection pane="bottomRight" activeCell="D33" sqref="D33"/>
    </sheetView>
  </sheetViews>
  <sheetFormatPr defaultColWidth="9.5703125" defaultRowHeight="12.75"/>
  <cols>
    <col min="1" max="1" width="5.42578125" style="7" customWidth="1"/>
    <col min="2" max="2" width="33.85546875" style="7" customWidth="1"/>
    <col min="3" max="3" width="19.85546875" style="7" customWidth="1"/>
    <col min="4" max="15" width="15.42578125" style="7" customWidth="1"/>
    <col min="16" max="16384" width="9.5703125" style="7"/>
  </cols>
  <sheetData>
    <row r="1" spans="1:15">
      <c r="B1" s="8" t="s">
        <v>96</v>
      </c>
    </row>
    <row r="2" spans="1:15">
      <c r="A2" s="9"/>
      <c r="B2" s="10" t="s">
        <v>97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5">
      <c r="A3" s="11"/>
      <c r="B3" s="11" t="s">
        <v>19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5">
      <c r="A4" s="11"/>
      <c r="B4" s="11" t="s">
        <v>98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5">
      <c r="A5" s="11"/>
      <c r="B5" s="11" t="s">
        <v>99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</row>
    <row r="6" spans="1:15">
      <c r="A6" s="11"/>
      <c r="B6" s="11" t="s">
        <v>100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5">
      <c r="A7" s="11"/>
      <c r="B7" s="11" t="s">
        <v>101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5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5">
      <c r="A9" s="11"/>
    </row>
    <row r="10" spans="1:15">
      <c r="A10" s="11"/>
      <c r="B10" s="12"/>
      <c r="C10" s="8"/>
      <c r="D10" s="13"/>
      <c r="E10" s="14"/>
      <c r="F10" s="14"/>
      <c r="G10" s="14"/>
      <c r="H10" s="14"/>
      <c r="I10" s="13"/>
      <c r="J10" s="14"/>
      <c r="K10" s="14"/>
      <c r="L10" s="14"/>
      <c r="M10" s="14"/>
      <c r="N10" s="14"/>
      <c r="O10" s="15"/>
    </row>
    <row r="11" spans="1:15">
      <c r="A11" s="11"/>
      <c r="B11" s="16"/>
      <c r="C11" s="8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8"/>
    </row>
    <row r="12" spans="1:15" ht="39" thickBot="1">
      <c r="A12" s="11"/>
      <c r="B12" s="17" t="s">
        <v>46</v>
      </c>
      <c r="C12" s="18" t="s">
        <v>47</v>
      </c>
      <c r="D12" s="18" t="s">
        <v>48</v>
      </c>
      <c r="E12" s="18" t="s">
        <v>49</v>
      </c>
      <c r="F12" s="18" t="s">
        <v>50</v>
      </c>
      <c r="G12" s="18" t="s">
        <v>51</v>
      </c>
      <c r="H12" s="18" t="s">
        <v>52</v>
      </c>
      <c r="I12" s="18" t="s">
        <v>53</v>
      </c>
      <c r="J12" s="18" t="s">
        <v>54</v>
      </c>
      <c r="K12" s="18" t="s">
        <v>55</v>
      </c>
      <c r="L12" s="18" t="s">
        <v>56</v>
      </c>
      <c r="M12" s="18" t="s">
        <v>57</v>
      </c>
      <c r="N12" s="18" t="s">
        <v>58</v>
      </c>
      <c r="O12" s="19" t="s">
        <v>59</v>
      </c>
    </row>
    <row r="13" spans="1:15">
      <c r="A13" s="20"/>
      <c r="B13" s="9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1:15" s="26" customFormat="1">
      <c r="A14" s="22">
        <v>14</v>
      </c>
      <c r="B14" s="23" t="s">
        <v>60</v>
      </c>
      <c r="C14" s="24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</row>
    <row r="15" spans="1:15" s="26" customFormat="1">
      <c r="A15" s="22">
        <v>15</v>
      </c>
      <c r="B15" s="26" t="s">
        <v>61</v>
      </c>
      <c r="C15" s="25">
        <v>105632918.89701046</v>
      </c>
      <c r="D15" s="25">
        <v>63756555.861155376</v>
      </c>
      <c r="E15" s="25">
        <v>17953407.640876483</v>
      </c>
      <c r="F15" s="25">
        <v>4664700.8000000007</v>
      </c>
      <c r="G15" s="25">
        <v>143467.25728098711</v>
      </c>
      <c r="H15" s="25">
        <v>8638183.9500000011</v>
      </c>
      <c r="I15" s="25">
        <v>1062566.0571171031</v>
      </c>
      <c r="J15" s="25">
        <v>10674.768363704075</v>
      </c>
      <c r="K15" s="25">
        <v>46437.243099064406</v>
      </c>
      <c r="L15" s="25">
        <v>7001204.3300330043</v>
      </c>
      <c r="M15" s="25">
        <v>1122317.6940082612</v>
      </c>
      <c r="N15" s="25">
        <v>1233403.295076479</v>
      </c>
      <c r="O15" s="25">
        <v>2355720.9890847402</v>
      </c>
    </row>
    <row r="16" spans="1:15" s="26" customFormat="1">
      <c r="A16" s="22">
        <v>16</v>
      </c>
      <c r="B16" s="26" t="s">
        <v>62</v>
      </c>
      <c r="C16" s="25">
        <v>22918785718.644836</v>
      </c>
      <c r="D16" s="25">
        <v>6782999377.36516</v>
      </c>
      <c r="E16" s="25">
        <v>6193724499.7493038</v>
      </c>
      <c r="F16" s="25">
        <v>2020703444.2505352</v>
      </c>
      <c r="G16" s="25">
        <v>50946753.907308757</v>
      </c>
      <c r="H16" s="25">
        <v>4889272241.7285728</v>
      </c>
      <c r="I16" s="25">
        <v>230392472.71934131</v>
      </c>
      <c r="J16" s="25">
        <v>7776370.4443165436</v>
      </c>
      <c r="K16" s="25">
        <v>15963151.062719233</v>
      </c>
      <c r="L16" s="25">
        <v>1404451858.47102</v>
      </c>
      <c r="M16" s="25">
        <v>617100000</v>
      </c>
      <c r="N16" s="25">
        <v>705455548.94656003</v>
      </c>
      <c r="O16" s="25">
        <v>1322555548.9465599</v>
      </c>
    </row>
    <row r="17" spans="1:15" s="26" customFormat="1" ht="14.25" customHeight="1">
      <c r="A17" s="22">
        <v>17</v>
      </c>
      <c r="B17" s="26" t="s">
        <v>63</v>
      </c>
      <c r="C17" s="25">
        <v>986266.77790807351</v>
      </c>
      <c r="D17" s="25">
        <v>857868</v>
      </c>
      <c r="E17" s="25">
        <v>16335</v>
      </c>
      <c r="F17" s="25">
        <v>249.25</v>
      </c>
      <c r="G17" s="25">
        <v>8439</v>
      </c>
      <c r="H17" s="25">
        <v>165</v>
      </c>
      <c r="I17" s="25">
        <v>3608</v>
      </c>
      <c r="J17" s="25">
        <v>2734</v>
      </c>
      <c r="K17" s="25">
        <v>637</v>
      </c>
      <c r="L17" s="25">
        <v>96229.527908073447</v>
      </c>
      <c r="M17" s="25">
        <v>1</v>
      </c>
      <c r="N17" s="25">
        <v>1</v>
      </c>
      <c r="O17" s="25">
        <v>2</v>
      </c>
    </row>
    <row r="18" spans="1:15" s="26" customFormat="1" ht="14.25" customHeight="1">
      <c r="A18" s="22">
        <v>18</v>
      </c>
      <c r="B18" s="27" t="s">
        <v>64</v>
      </c>
      <c r="C18" s="28">
        <v>0.29721413743632213</v>
      </c>
      <c r="D18" s="28">
        <v>0.14573842397052261</v>
      </c>
      <c r="E18" s="28">
        <v>0.47258739282050899</v>
      </c>
      <c r="F18" s="28">
        <v>0.59341145951573993</v>
      </c>
      <c r="G18" s="28">
        <v>0.48645297309156343</v>
      </c>
      <c r="H18" s="28">
        <v>0.7753520006768736</v>
      </c>
      <c r="I18" s="28">
        <v>0.29702259440611328</v>
      </c>
      <c r="J18" s="28">
        <v>0.99791975708895342</v>
      </c>
      <c r="K18" s="28">
        <v>0.47090069873987911</v>
      </c>
      <c r="L18" s="28">
        <v>0.27479652996082232</v>
      </c>
      <c r="M18" s="28">
        <v>0.75321138592616921</v>
      </c>
      <c r="N18" s="28">
        <v>0.7835048504961506</v>
      </c>
      <c r="O18" s="28">
        <v>0.76907237251712124</v>
      </c>
    </row>
    <row r="19" spans="1:15" s="26" customFormat="1" ht="14.25" customHeight="1">
      <c r="A19" s="22">
        <v>19</v>
      </c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5"/>
    </row>
    <row r="20" spans="1:15" s="26" customFormat="1" ht="14.25" customHeight="1">
      <c r="A20" s="22">
        <v>20</v>
      </c>
      <c r="B20" s="23" t="s">
        <v>65</v>
      </c>
      <c r="C20" s="30">
        <v>1</v>
      </c>
      <c r="D20" s="30">
        <v>0.41385503173411897</v>
      </c>
      <c r="E20" s="30">
        <v>0.2545322784133574</v>
      </c>
      <c r="F20" s="30">
        <v>7.3171118934154095E-2</v>
      </c>
      <c r="G20" s="30">
        <v>3.3162967311345559E-3</v>
      </c>
      <c r="H20" s="30">
        <v>0.14472446803519171</v>
      </c>
      <c r="I20" s="30">
        <v>9.3919523188230984E-3</v>
      </c>
      <c r="J20" s="30">
        <v>3.844154387651975E-4</v>
      </c>
      <c r="K20" s="30">
        <v>3.972104968664538E-4</v>
      </c>
      <c r="L20" s="30">
        <v>6.619305391586397E-2</v>
      </c>
      <c r="M20" s="30">
        <v>1.8185371050820617E-2</v>
      </c>
      <c r="N20" s="30">
        <v>1.5848802930903787E-2</v>
      </c>
      <c r="O20" s="30"/>
    </row>
    <row r="21" spans="1:15" s="26" customFormat="1" ht="14.25" customHeight="1">
      <c r="A21" s="22">
        <v>21</v>
      </c>
      <c r="B21" s="26" t="s">
        <v>66</v>
      </c>
      <c r="C21" s="25">
        <v>1991072378.2843997</v>
      </c>
      <c r="D21" s="25">
        <v>824015322.29981852</v>
      </c>
      <c r="E21" s="25">
        <v>506792188.93063062</v>
      </c>
      <c r="F21" s="25">
        <v>145688993.79795691</v>
      </c>
      <c r="G21" s="25">
        <v>6602986.819556863</v>
      </c>
      <c r="H21" s="25">
        <v>288156890.7667737</v>
      </c>
      <c r="I21" s="25">
        <v>18700056.840172794</v>
      </c>
      <c r="J21" s="25">
        <v>765398.96191146306</v>
      </c>
      <c r="K21" s="25">
        <v>790874.84867541841</v>
      </c>
      <c r="L21" s="25">
        <v>131795161.28616688</v>
      </c>
      <c r="M21" s="25">
        <v>36208389.988141686</v>
      </c>
      <c r="N21" s="25">
        <v>31556113.744595375</v>
      </c>
      <c r="O21" s="25">
        <v>67764503.732737079</v>
      </c>
    </row>
    <row r="22" spans="1:15" s="26" customFormat="1" ht="14.25" customHeight="1">
      <c r="A22" s="22">
        <v>22</v>
      </c>
      <c r="B22" s="26" t="s">
        <v>67</v>
      </c>
      <c r="C22" s="31">
        <v>18.848976238417183</v>
      </c>
      <c r="D22" s="31">
        <v>12.924401438721096</v>
      </c>
      <c r="E22" s="31">
        <v>28.228189270139531</v>
      </c>
      <c r="F22" s="31">
        <v>31.232226898230405</v>
      </c>
      <c r="G22" s="31">
        <v>46.024346911606564</v>
      </c>
      <c r="H22" s="31">
        <v>33.358503643207747</v>
      </c>
      <c r="I22" s="31">
        <v>17.598959344615974</v>
      </c>
      <c r="J22" s="31">
        <v>71.701692798688001</v>
      </c>
      <c r="K22" s="31">
        <v>17.031046545727271</v>
      </c>
      <c r="L22" s="31">
        <v>18.82464145787123</v>
      </c>
      <c r="M22" s="31">
        <v>32.262157303095286</v>
      </c>
      <c r="N22" s="31">
        <v>25.584586866730149</v>
      </c>
      <c r="O22" s="31">
        <v>28.765929431679165</v>
      </c>
    </row>
    <row r="23" spans="1:15" s="26" customFormat="1" ht="14.25" customHeight="1">
      <c r="A23" s="22">
        <v>23</v>
      </c>
      <c r="B23" s="26" t="s">
        <v>68</v>
      </c>
      <c r="C23" s="32">
        <v>8.6875125180154167E-2</v>
      </c>
      <c r="D23" s="32">
        <v>0.12148244109376659</v>
      </c>
      <c r="E23" s="32">
        <v>8.18234955318312E-2</v>
      </c>
      <c r="F23" s="32">
        <v>7.209815681389703E-2</v>
      </c>
      <c r="G23" s="32">
        <v>0.12960564340507683</v>
      </c>
      <c r="H23" s="32">
        <v>5.8936560804987527E-2</v>
      </c>
      <c r="I23" s="32">
        <v>8.1166092882525562E-2</v>
      </c>
      <c r="J23" s="32">
        <v>9.8426247488102164E-2</v>
      </c>
      <c r="K23" s="32">
        <v>4.954378027045353E-2</v>
      </c>
      <c r="L23" s="32">
        <v>9.3840996037876212E-2</v>
      </c>
      <c r="M23" s="32">
        <v>5.867507695372174E-2</v>
      </c>
      <c r="N23" s="32">
        <v>4.4731540905330415E-2</v>
      </c>
      <c r="O23" s="32">
        <v>5.123754823509135E-2</v>
      </c>
    </row>
    <row r="24" spans="1:15" s="26" customFormat="1" ht="14.25" customHeight="1">
      <c r="A24" s="22">
        <v>24</v>
      </c>
      <c r="B24" s="26" t="s">
        <v>69</v>
      </c>
      <c r="C24" s="31">
        <v>2018.7969653683099</v>
      </c>
      <c r="D24" s="31">
        <v>960.53859369951851</v>
      </c>
      <c r="E24" s="31">
        <v>31024.927390917088</v>
      </c>
      <c r="F24" s="31">
        <v>584509.50370293646</v>
      </c>
      <c r="G24" s="31">
        <v>782.4371157195003</v>
      </c>
      <c r="H24" s="31">
        <v>1746405.3985865072</v>
      </c>
      <c r="I24" s="31">
        <v>5182.9425831964509</v>
      </c>
      <c r="J24" s="31">
        <v>279.95572857039616</v>
      </c>
      <c r="K24" s="31">
        <v>1241.5617718609394</v>
      </c>
      <c r="L24" s="31">
        <v>1369.5916851225616</v>
      </c>
      <c r="M24" s="31">
        <v>36208389.988141686</v>
      </c>
      <c r="N24" s="31">
        <v>31556113.744595375</v>
      </c>
      <c r="O24" s="31">
        <v>33882251.86636854</v>
      </c>
    </row>
    <row r="25" spans="1:15" s="26" customFormat="1" ht="14.25" customHeight="1">
      <c r="A25" s="22">
        <v>25</v>
      </c>
      <c r="D25" s="33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31"/>
    </row>
    <row r="26" spans="1:15" s="26" customFormat="1" ht="14.25" customHeight="1">
      <c r="A26" s="22">
        <v>26</v>
      </c>
      <c r="B26" s="23" t="s">
        <v>70</v>
      </c>
      <c r="C26" s="30">
        <v>1</v>
      </c>
      <c r="D26" s="30">
        <v>0.33734573006298135</v>
      </c>
      <c r="E26" s="30">
        <v>0.27174895905760826</v>
      </c>
      <c r="F26" s="30">
        <v>8.2713170013732421E-2</v>
      </c>
      <c r="G26" s="30">
        <v>1.4178766518651565E-3</v>
      </c>
      <c r="H26" s="30">
        <v>0.18926022183093608</v>
      </c>
      <c r="I26" s="30">
        <v>8.9794939143937446E-3</v>
      </c>
      <c r="J26" s="30">
        <v>3.0148884286522606E-4</v>
      </c>
      <c r="K26" s="30">
        <v>4.767051491224993E-4</v>
      </c>
      <c r="L26" s="30">
        <v>6.2547898484999101E-2</v>
      </c>
      <c r="M26" s="30">
        <v>2.3720455126757814E-2</v>
      </c>
      <c r="N26" s="30">
        <v>2.1488000864738298E-2</v>
      </c>
      <c r="O26" s="30">
        <v>4.5208455991496116E-2</v>
      </c>
    </row>
    <row r="27" spans="1:15" s="26" customFormat="1" ht="14.25" customHeight="1">
      <c r="A27" s="22">
        <v>27</v>
      </c>
      <c r="B27" s="26" t="s">
        <v>66</v>
      </c>
      <c r="C27" s="25">
        <v>1175567718.6901762</v>
      </c>
      <c r="D27" s="25">
        <v>396572750.3000111</v>
      </c>
      <c r="E27" s="25">
        <v>319459303.85578269</v>
      </c>
      <c r="F27" s="25">
        <v>97234932.578676134</v>
      </c>
      <c r="G27" s="25">
        <v>1666810.0210171873</v>
      </c>
      <c r="H27" s="25">
        <v>222488207.2165902</v>
      </c>
      <c r="I27" s="25">
        <v>10556003.175936176</v>
      </c>
      <c r="J27" s="25">
        <v>354420.55121761485</v>
      </c>
      <c r="K27" s="25">
        <v>560399.18464179686</v>
      </c>
      <c r="L27" s="25">
        <v>73529290.330875099</v>
      </c>
      <c r="M27" s="25">
        <v>27885001.319655377</v>
      </c>
      <c r="N27" s="25">
        <v>25260600.155772939</v>
      </c>
      <c r="O27" s="25">
        <v>53145601.475428313</v>
      </c>
    </row>
    <row r="28" spans="1:15" s="26" customFormat="1" ht="14.25" customHeight="1">
      <c r="A28" s="22">
        <v>28</v>
      </c>
      <c r="B28" s="26" t="s">
        <v>67</v>
      </c>
      <c r="C28" s="31">
        <v>11.128800860234927</v>
      </c>
      <c r="D28" s="31">
        <v>6.220109366692264</v>
      </c>
      <c r="E28" s="31">
        <v>17.793797714949378</v>
      </c>
      <c r="F28" s="31">
        <v>20.844838018051686</v>
      </c>
      <c r="G28" s="31">
        <v>11.618051760428267</v>
      </c>
      <c r="H28" s="31">
        <v>25.756363664447104</v>
      </c>
      <c r="I28" s="31">
        <v>9.9344441743002339</v>
      </c>
      <c r="J28" s="31">
        <v>33.201708846695126</v>
      </c>
      <c r="K28" s="31">
        <v>12.067882312614882</v>
      </c>
      <c r="L28" s="31">
        <v>10.50237742890279</v>
      </c>
      <c r="M28" s="31">
        <v>24.845907240459244</v>
      </c>
      <c r="N28" s="31">
        <v>20.4804059277356</v>
      </c>
      <c r="O28" s="31">
        <v>22.560227514921785</v>
      </c>
    </row>
    <row r="29" spans="1:15" s="26" customFormat="1" ht="14.25" customHeight="1">
      <c r="A29" s="22">
        <v>29</v>
      </c>
      <c r="B29" s="26" t="s">
        <v>68</v>
      </c>
      <c r="C29" s="32">
        <v>5.1292757527456226E-2</v>
      </c>
      <c r="D29" s="32">
        <v>5.8465691685506069E-2</v>
      </c>
      <c r="E29" s="32">
        <v>5.1577900158250999E-2</v>
      </c>
      <c r="F29" s="32">
        <v>4.8119348168251322E-2</v>
      </c>
      <c r="G29" s="32">
        <v>3.2716707016304504E-2</v>
      </c>
      <c r="H29" s="32">
        <v>4.5505383258824389E-2</v>
      </c>
      <c r="I29" s="32">
        <v>4.5817482886236695E-2</v>
      </c>
      <c r="J29" s="32">
        <v>4.5576603346699808E-2</v>
      </c>
      <c r="K29" s="32">
        <v>3.5105799753443918E-2</v>
      </c>
      <c r="L29" s="32">
        <v>5.2354439838845024E-2</v>
      </c>
      <c r="M29" s="32">
        <v>4.5187167913880048E-2</v>
      </c>
      <c r="N29" s="32">
        <v>3.5807500831900735E-2</v>
      </c>
      <c r="O29" s="32">
        <v>4.0184022151477698E-2</v>
      </c>
    </row>
    <row r="30" spans="1:15" s="26" customFormat="1" ht="14.25" customHeight="1">
      <c r="A30" s="22">
        <v>30</v>
      </c>
      <c r="B30" s="26" t="s">
        <v>69</v>
      </c>
      <c r="C30" s="31">
        <v>1191.9368522010045</v>
      </c>
      <c r="D30" s="31">
        <v>462.27712223793299</v>
      </c>
      <c r="E30" s="31">
        <v>19556.737303690399</v>
      </c>
      <c r="F30" s="31">
        <v>390110.06049619312</v>
      </c>
      <c r="G30" s="31">
        <v>197.51274096660592</v>
      </c>
      <c r="H30" s="31">
        <v>1348413.3770702437</v>
      </c>
      <c r="I30" s="31">
        <v>2925.7215010909576</v>
      </c>
      <c r="J30" s="31">
        <v>129.63443716811076</v>
      </c>
      <c r="K30" s="31">
        <v>879.74754260878626</v>
      </c>
      <c r="L30" s="31">
        <v>764.103201266003</v>
      </c>
      <c r="M30" s="31">
        <v>27885001.319655377</v>
      </c>
      <c r="N30" s="31">
        <v>25260600.155772939</v>
      </c>
      <c r="O30" s="31">
        <v>26572800.737714157</v>
      </c>
    </row>
    <row r="31" spans="1:15" s="26" customFormat="1" ht="14.25" customHeight="1">
      <c r="A31" s="22">
        <v>31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</row>
    <row r="32" spans="1:15" s="26" customFormat="1">
      <c r="A32" s="22">
        <v>32</v>
      </c>
      <c r="B32" s="23" t="s">
        <v>71</v>
      </c>
      <c r="C32" s="30">
        <v>1</v>
      </c>
      <c r="D32" s="30">
        <v>0.35813996172964169</v>
      </c>
      <c r="E32" s="30">
        <v>0.27152546465587918</v>
      </c>
      <c r="F32" s="30">
        <v>7.9772204472460209E-2</v>
      </c>
      <c r="G32" s="30">
        <v>1.0735125251442055E-3</v>
      </c>
      <c r="H32" s="30">
        <v>0.17817489786137666</v>
      </c>
      <c r="I32" s="30">
        <v>8.3959257178266682E-3</v>
      </c>
      <c r="J32" s="30">
        <v>2.8224092378510463E-4</v>
      </c>
      <c r="K32" s="30">
        <v>3.6376898047443156E-4</v>
      </c>
      <c r="L32" s="30">
        <v>6.3135270608976959E-2</v>
      </c>
      <c r="M32" s="30">
        <v>2.2206264746511516E-2</v>
      </c>
      <c r="N32" s="30">
        <v>1.6930487777923848E-2</v>
      </c>
      <c r="O32" s="30">
        <v>3.9136752524435367E-2</v>
      </c>
    </row>
    <row r="33" spans="1:15" s="26" customFormat="1">
      <c r="A33" s="22">
        <v>33</v>
      </c>
      <c r="B33" s="26" t="s">
        <v>66</v>
      </c>
      <c r="C33" s="25">
        <v>18550956.738914341</v>
      </c>
      <c r="D33" s="25">
        <v>6643838.9365230203</v>
      </c>
      <c r="E33" s="25">
        <v>5037057.1483448297</v>
      </c>
      <c r="F33" s="25">
        <v>1479850.7141364384</v>
      </c>
      <c r="G33" s="25">
        <v>19914.684412632851</v>
      </c>
      <c r="H33" s="25">
        <v>3305314.8221868798</v>
      </c>
      <c r="I33" s="25">
        <v>155752.45477454085</v>
      </c>
      <c r="J33" s="25">
        <v>5235.8391670886958</v>
      </c>
      <c r="K33" s="25">
        <v>6748.2626197401551</v>
      </c>
      <c r="L33" s="25">
        <v>1171219.6737667816</v>
      </c>
      <c r="M33" s="25">
        <v>411947.45664541377</v>
      </c>
      <c r="N33" s="25">
        <v>314076.74633698328</v>
      </c>
      <c r="O33" s="25">
        <v>726024.20298239705</v>
      </c>
    </row>
    <row r="34" spans="1:15" s="26" customFormat="1">
      <c r="A34" s="22">
        <v>34</v>
      </c>
      <c r="B34" s="26" t="s">
        <v>67</v>
      </c>
      <c r="C34" s="31">
        <v>0.17561719332020992</v>
      </c>
      <c r="D34" s="31">
        <v>0.10420636508332592</v>
      </c>
      <c r="E34" s="31">
        <v>0.28056273489142036</v>
      </c>
      <c r="F34" s="31">
        <v>0.31724450883032801</v>
      </c>
      <c r="G34" s="31">
        <v>0.1388099611720397</v>
      </c>
      <c r="H34" s="31">
        <v>0.38264001337768216</v>
      </c>
      <c r="I34" s="31">
        <v>0.14658143249664873</v>
      </c>
      <c r="J34" s="31">
        <v>0.49048738002516185</v>
      </c>
      <c r="K34" s="31">
        <v>0.14532005281502414</v>
      </c>
      <c r="L34" s="31">
        <v>0.16728831477501818</v>
      </c>
      <c r="M34" s="31">
        <v>0.36705066564011729</v>
      </c>
      <c r="N34" s="31">
        <v>0.25464237657765337</v>
      </c>
      <c r="O34" s="31">
        <v>0.3081961770287901</v>
      </c>
    </row>
    <row r="35" spans="1:15" s="26" customFormat="1">
      <c r="A35" s="22">
        <v>35</v>
      </c>
      <c r="B35" s="26" t="s">
        <v>68</v>
      </c>
      <c r="C35" s="32">
        <v>8.0942144870366369E-4</v>
      </c>
      <c r="D35" s="32">
        <v>9.7948393725252035E-4</v>
      </c>
      <c r="E35" s="32">
        <v>8.1325172738127259E-4</v>
      </c>
      <c r="F35" s="32">
        <v>7.3234433204289644E-4</v>
      </c>
      <c r="G35" s="32">
        <v>3.9089211549896049E-4</v>
      </c>
      <c r="H35" s="32">
        <v>6.7603411280250285E-4</v>
      </c>
      <c r="I35" s="32">
        <v>6.7603100455575574E-4</v>
      </c>
      <c r="J35" s="32">
        <v>6.7330115052779841E-4</v>
      </c>
      <c r="K35" s="32">
        <v>4.227400087380133E-4</v>
      </c>
      <c r="L35" s="32">
        <v>8.3393365653832341E-4</v>
      </c>
      <c r="M35" s="32">
        <v>6.6755381080118908E-4</v>
      </c>
      <c r="N35" s="32">
        <v>4.452112493919519E-4</v>
      </c>
      <c r="O35" s="32">
        <v>5.4895554561824552E-4</v>
      </c>
    </row>
    <row r="36" spans="1:15" s="26" customFormat="1">
      <c r="A36" s="22">
        <v>36</v>
      </c>
      <c r="B36" s="26" t="s">
        <v>69</v>
      </c>
      <c r="C36" s="31">
        <v>18.809268602012477</v>
      </c>
      <c r="D36" s="31">
        <v>7.7445934998426571</v>
      </c>
      <c r="E36" s="31">
        <v>308.35978869573489</v>
      </c>
      <c r="F36" s="31">
        <v>5937.2145000458913</v>
      </c>
      <c r="G36" s="31">
        <v>2.3598393663506161</v>
      </c>
      <c r="H36" s="31">
        <v>20032.211043556847</v>
      </c>
      <c r="I36" s="31">
        <v>43.168640458575624</v>
      </c>
      <c r="J36" s="31">
        <v>1.915083821173627</v>
      </c>
      <c r="K36" s="31">
        <v>10.593818869293807</v>
      </c>
      <c r="L36" s="31">
        <v>12.171104849289392</v>
      </c>
      <c r="M36" s="31">
        <v>411947.45664541377</v>
      </c>
      <c r="N36" s="31">
        <v>314076.74633698328</v>
      </c>
      <c r="O36" s="31">
        <v>363012.10149119853</v>
      </c>
    </row>
    <row r="37" spans="1:15" s="26" customFormat="1">
      <c r="A37" s="22">
        <v>37</v>
      </c>
      <c r="C37" s="32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</row>
    <row r="38" spans="1:15" s="26" customFormat="1">
      <c r="A38" s="22">
        <v>38</v>
      </c>
      <c r="B38" s="23" t="s">
        <v>72</v>
      </c>
      <c r="C38" s="30">
        <v>1</v>
      </c>
      <c r="D38" s="30">
        <v>0.29925001543748531</v>
      </c>
      <c r="E38" s="30">
        <v>0.27227339107219034</v>
      </c>
      <c r="F38" s="30">
        <v>8.8126685040673391E-2</v>
      </c>
      <c r="G38" s="30">
        <v>2.2237131301988235E-3</v>
      </c>
      <c r="H38" s="30">
        <v>0.20882739783708176</v>
      </c>
      <c r="I38" s="30">
        <v>1.0108564414235143E-2</v>
      </c>
      <c r="J38" s="30">
        <v>3.411745024216534E-4</v>
      </c>
      <c r="K38" s="30">
        <v>6.9716208171511653E-4</v>
      </c>
      <c r="L38" s="30">
        <v>6.1797935813378668E-2</v>
      </c>
      <c r="M38" s="30">
        <v>2.635299395514492E-2</v>
      </c>
      <c r="N38" s="30">
        <v>3.0000966715474631E-2</v>
      </c>
      <c r="O38" s="30">
        <v>5.6353960670619548E-2</v>
      </c>
    </row>
    <row r="39" spans="1:15" s="26" customFormat="1">
      <c r="A39" s="22">
        <v>39</v>
      </c>
      <c r="B39" s="26" t="s">
        <v>66</v>
      </c>
      <c r="C39" s="25">
        <v>417560889.85787803</v>
      </c>
      <c r="D39" s="25">
        <v>124955102.7360601</v>
      </c>
      <c r="E39" s="25">
        <v>113690719.46072581</v>
      </c>
      <c r="F39" s="25">
        <v>36798257.025808528</v>
      </c>
      <c r="G39" s="25">
        <v>928535.63343446807</v>
      </c>
      <c r="H39" s="25">
        <v>87198154.067556977</v>
      </c>
      <c r="I39" s="25">
        <v>4220941.1519937059</v>
      </c>
      <c r="J39" s="25">
        <v>142461.12882800435</v>
      </c>
      <c r="K39" s="25">
        <v>291107.61921613471</v>
      </c>
      <c r="L39" s="25">
        <v>25804401.069614425</v>
      </c>
      <c r="M39" s="25">
        <v>11003979.606329594</v>
      </c>
      <c r="N39" s="25">
        <v>12527230.358310167</v>
      </c>
      <c r="O39" s="25">
        <v>23531209.964639761</v>
      </c>
    </row>
    <row r="40" spans="1:15" s="26" customFormat="1">
      <c r="A40" s="22">
        <v>40</v>
      </c>
      <c r="B40" s="26" t="s">
        <v>67</v>
      </c>
      <c r="C40" s="31">
        <v>3.9529428346573456</v>
      </c>
      <c r="D40" s="31">
        <v>1.9598784948198691</v>
      </c>
      <c r="E40" s="31">
        <v>6.3325426423156426</v>
      </c>
      <c r="F40" s="31">
        <v>7.888663947280075</v>
      </c>
      <c r="G40" s="31">
        <v>6.4721083474530294</v>
      </c>
      <c r="H40" s="31">
        <v>10.094500715923857</v>
      </c>
      <c r="I40" s="31">
        <v>3.9724035260882844</v>
      </c>
      <c r="J40" s="31">
        <v>13.345594393635279</v>
      </c>
      <c r="K40" s="31">
        <v>6.2688394010625448</v>
      </c>
      <c r="L40" s="31">
        <v>3.6857088942428824</v>
      </c>
      <c r="M40" s="31">
        <v>9.804692258775523</v>
      </c>
      <c r="N40" s="31">
        <v>10.156637661271528</v>
      </c>
      <c r="O40" s="31">
        <v>9.9889630706148509</v>
      </c>
    </row>
    <row r="41" spans="1:15" s="26" customFormat="1">
      <c r="A41" s="22">
        <v>41</v>
      </c>
      <c r="B41" s="26" t="s">
        <v>68</v>
      </c>
      <c r="C41" s="32">
        <v>1.82191541464688E-2</v>
      </c>
      <c r="D41" s="32">
        <v>1.8421806605649228E-2</v>
      </c>
      <c r="E41" s="32">
        <v>1.8355792135302036E-2</v>
      </c>
      <c r="F41" s="32">
        <v>1.8210617263265338E-2</v>
      </c>
      <c r="G41" s="32">
        <v>1.8225609331731368E-2</v>
      </c>
      <c r="H41" s="32">
        <v>1.7834587594314159E-2</v>
      </c>
      <c r="I41" s="32">
        <v>1.8320655628083635E-2</v>
      </c>
      <c r="J41" s="32">
        <v>1.8319745676740981E-2</v>
      </c>
      <c r="K41" s="32">
        <v>1.8236225296144392E-2</v>
      </c>
      <c r="L41" s="32">
        <v>1.8373289845411162E-2</v>
      </c>
      <c r="M41" s="32">
        <v>1.7831760826980382E-2</v>
      </c>
      <c r="N41" s="32">
        <v>1.7757646639843971E-2</v>
      </c>
      <c r="O41" s="32">
        <v>1.7792228071919405E-2</v>
      </c>
    </row>
    <row r="42" spans="1:15" s="26" customFormat="1">
      <c r="A42" s="22">
        <v>42</v>
      </c>
      <c r="B42" s="26" t="s">
        <v>69</v>
      </c>
      <c r="C42" s="31">
        <v>423.3751954451389</v>
      </c>
      <c r="D42" s="31">
        <v>145.65772675523519</v>
      </c>
      <c r="E42" s="31">
        <v>6959.9460949327095</v>
      </c>
      <c r="F42" s="31">
        <v>147635.935910967</v>
      </c>
      <c r="G42" s="31">
        <v>110.02910693618534</v>
      </c>
      <c r="H42" s="31">
        <v>528473.66101549682</v>
      </c>
      <c r="I42" s="31">
        <v>1169.8839113064596</v>
      </c>
      <c r="J42" s="31">
        <v>52.107216103878692</v>
      </c>
      <c r="K42" s="31">
        <v>456.99783236441868</v>
      </c>
      <c r="L42" s="31">
        <v>268.15470916853053</v>
      </c>
      <c r="M42" s="31">
        <v>11003979.606329594</v>
      </c>
      <c r="N42" s="31">
        <v>12527230.358310167</v>
      </c>
      <c r="O42" s="31">
        <v>11765604.98231988</v>
      </c>
    </row>
    <row r="43" spans="1:15" s="26" customFormat="1">
      <c r="A43" s="22">
        <v>43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</row>
    <row r="44" spans="1:15" s="26" customFormat="1">
      <c r="A44" s="22">
        <v>44</v>
      </c>
      <c r="B44" s="23" t="s">
        <v>73</v>
      </c>
      <c r="C44" s="30">
        <v>1</v>
      </c>
      <c r="D44" s="30">
        <v>0.35833304083180023</v>
      </c>
      <c r="E44" s="30">
        <v>0.27152648256819756</v>
      </c>
      <c r="F44" s="30">
        <v>7.973455739342232E-2</v>
      </c>
      <c r="G44" s="30">
        <v>9.7934177098384892E-4</v>
      </c>
      <c r="H44" s="30">
        <v>0.17840051626920669</v>
      </c>
      <c r="I44" s="30">
        <v>8.3569148124245582E-3</v>
      </c>
      <c r="J44" s="30">
        <v>2.7977822756095337E-4</v>
      </c>
      <c r="K44" s="30">
        <v>3.5605439793384486E-4</v>
      </c>
      <c r="L44" s="30">
        <v>6.2991810652518673E-2</v>
      </c>
      <c r="M44" s="30">
        <v>2.2252602727449357E-2</v>
      </c>
      <c r="N44" s="30">
        <v>1.6788900348502118E-2</v>
      </c>
      <c r="O44" s="30">
        <v>3.9041503075951479E-2</v>
      </c>
    </row>
    <row r="45" spans="1:15" s="26" customFormat="1">
      <c r="A45" s="22">
        <v>45</v>
      </c>
      <c r="B45" s="26" t="s">
        <v>66</v>
      </c>
      <c r="C45" s="25">
        <v>611086133.72088647</v>
      </c>
      <c r="D45" s="25">
        <v>218972352.50635338</v>
      </c>
      <c r="E45" s="25">
        <v>165926068.4354316</v>
      </c>
      <c r="F45" s="25">
        <v>48724682.401492566</v>
      </c>
      <c r="G45" s="25">
        <v>598462.17642188619</v>
      </c>
      <c r="H45" s="25">
        <v>109018081.74075963</v>
      </c>
      <c r="I45" s="25">
        <v>5106794.7625593301</v>
      </c>
      <c r="J45" s="25">
        <v>170968.59537950539</v>
      </c>
      <c r="K45" s="25">
        <v>217579.90542771126</v>
      </c>
      <c r="L45" s="25">
        <v>38493422.027725816</v>
      </c>
      <c r="M45" s="25">
        <v>13598256.965943886</v>
      </c>
      <c r="N45" s="25">
        <v>10259464.203391405</v>
      </c>
      <c r="O45" s="25">
        <v>23857721.169335291</v>
      </c>
    </row>
    <row r="46" spans="1:15" s="26" customFormat="1">
      <c r="A46" s="22">
        <v>46</v>
      </c>
      <c r="B46" s="26" t="s">
        <v>67</v>
      </c>
      <c r="C46" s="31">
        <v>5.7849971401119822</v>
      </c>
      <c r="D46" s="31">
        <v>3.4345072369218976</v>
      </c>
      <c r="E46" s="31">
        <v>9.2420375983470464</v>
      </c>
      <c r="F46" s="31">
        <v>10.445403572613394</v>
      </c>
      <c r="G46" s="31">
        <v>4.1714199306798694</v>
      </c>
      <c r="H46" s="31">
        <v>12.620486247084331</v>
      </c>
      <c r="I46" s="31">
        <v>4.8060962688896822</v>
      </c>
      <c r="J46" s="31">
        <v>16.016141011623827</v>
      </c>
      <c r="K46" s="31">
        <v>4.6854613001798757</v>
      </c>
      <c r="L46" s="31">
        <v>5.4981143547833513</v>
      </c>
      <c r="M46" s="31">
        <v>12.116227908141482</v>
      </c>
      <c r="N46" s="31">
        <v>8.318012643832974</v>
      </c>
      <c r="O46" s="31">
        <v>10.127566583598105</v>
      </c>
    </row>
    <row r="47" spans="1:15" s="26" customFormat="1">
      <c r="A47" s="22">
        <v>47</v>
      </c>
      <c r="B47" s="26" t="s">
        <v>68</v>
      </c>
      <c r="C47" s="32">
        <v>2.6663111267005612E-2</v>
      </c>
      <c r="D47" s="32">
        <v>3.2282525815506218E-2</v>
      </c>
      <c r="E47" s="32">
        <v>2.6789384713857969E-2</v>
      </c>
      <c r="F47" s="32">
        <v>2.4112732890186273E-2</v>
      </c>
      <c r="G47" s="32">
        <v>1.1746816637439025E-2</v>
      </c>
      <c r="H47" s="32">
        <v>2.2297404675141783E-2</v>
      </c>
      <c r="I47" s="32">
        <v>2.2165631985643502E-2</v>
      </c>
      <c r="J47" s="32">
        <v>2.1985654696332003E-2</v>
      </c>
      <c r="K47" s="32">
        <v>1.3630135088795415E-2</v>
      </c>
      <c r="L47" s="32">
        <v>2.7408146313845406E-2</v>
      </c>
      <c r="M47" s="32">
        <v>2.2035742936224088E-2</v>
      </c>
      <c r="N47" s="32">
        <v>1.4543034240373639E-2</v>
      </c>
      <c r="O47" s="32">
        <v>1.8039107081996224E-2</v>
      </c>
    </row>
    <row r="48" spans="1:15" s="26" customFormat="1">
      <c r="A48" s="22">
        <v>48</v>
      </c>
      <c r="B48" s="26" t="s">
        <v>69</v>
      </c>
      <c r="C48" s="31">
        <v>619.59517182261175</v>
      </c>
      <c r="D48" s="31">
        <v>255.25180156662026</v>
      </c>
      <c r="E48" s="31">
        <v>10157.702383558715</v>
      </c>
      <c r="F48" s="31">
        <v>195485.18516145463</v>
      </c>
      <c r="G48" s="31">
        <v>70.916243206764563</v>
      </c>
      <c r="H48" s="31">
        <v>660715.64691369468</v>
      </c>
      <c r="I48" s="31">
        <v>1415.4087479377301</v>
      </c>
      <c r="J48" s="31">
        <v>62.534233862291657</v>
      </c>
      <c r="K48" s="31">
        <v>341.5697102475844</v>
      </c>
      <c r="L48" s="31">
        <v>400.01673981501784</v>
      </c>
      <c r="M48" s="31">
        <v>13598256.965943886</v>
      </c>
      <c r="N48" s="31">
        <v>10259464.203391405</v>
      </c>
      <c r="O48" s="31">
        <v>11928860.584667645</v>
      </c>
    </row>
    <row r="49" spans="1:15" s="26" customFormat="1">
      <c r="A49" s="22">
        <v>49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</row>
    <row r="50" spans="1:15" s="26" customFormat="1">
      <c r="A50" s="22">
        <v>50</v>
      </c>
      <c r="B50" s="23" t="s">
        <v>74</v>
      </c>
      <c r="C50" s="30">
        <v>1</v>
      </c>
      <c r="D50" s="30">
        <v>0.35835124932318319</v>
      </c>
      <c r="E50" s="30">
        <v>0.27113445312386342</v>
      </c>
      <c r="F50" s="30">
        <v>7.9708368708732755E-2</v>
      </c>
      <c r="G50" s="30">
        <v>9.3400148873317205E-4</v>
      </c>
      <c r="H50" s="30">
        <v>0.1789102079451397</v>
      </c>
      <c r="I50" s="30">
        <v>8.3548881551540177E-3</v>
      </c>
      <c r="J50" s="30">
        <v>2.7853128234369556E-4</v>
      </c>
      <c r="K50" s="30">
        <v>3.5026477383429751E-4</v>
      </c>
      <c r="L50" s="30">
        <v>6.2789312044706641E-2</v>
      </c>
      <c r="M50" s="30">
        <v>2.2363660837307953E-2</v>
      </c>
      <c r="N50" s="30">
        <v>1.6825062317001017E-2</v>
      </c>
      <c r="O50" s="30">
        <v>3.918872315430897E-2</v>
      </c>
    </row>
    <row r="51" spans="1:15" s="26" customFormat="1">
      <c r="A51" s="22">
        <v>51</v>
      </c>
      <c r="B51" s="26" t="s">
        <v>66</v>
      </c>
      <c r="C51" s="25">
        <v>128369738.37249757</v>
      </c>
      <c r="D51" s="25">
        <v>46001456.121074684</v>
      </c>
      <c r="E51" s="25">
        <v>34805458.811280563</v>
      </c>
      <c r="F51" s="25">
        <v>10232142.437238598</v>
      </c>
      <c r="G51" s="25">
        <v>119897.52674820059</v>
      </c>
      <c r="H51" s="25">
        <v>22966656.586086728</v>
      </c>
      <c r="I51" s="25">
        <v>1072514.8066086005</v>
      </c>
      <c r="J51" s="25">
        <v>35754.987843016461</v>
      </c>
      <c r="K51" s="25">
        <v>44963.39737821083</v>
      </c>
      <c r="L51" s="25">
        <v>8060247.5597681096</v>
      </c>
      <c r="M51" s="25">
        <v>2870817.2907364927</v>
      </c>
      <c r="N51" s="25">
        <v>2159828.8477343894</v>
      </c>
      <c r="O51" s="25">
        <v>5030646.1384708825</v>
      </c>
    </row>
    <row r="52" spans="1:15" s="26" customFormat="1">
      <c r="A52" s="22">
        <v>52</v>
      </c>
      <c r="B52" s="26" t="s">
        <v>67</v>
      </c>
      <c r="C52" s="31">
        <v>1.2152436921453904</v>
      </c>
      <c r="D52" s="31">
        <v>0.72151726986717224</v>
      </c>
      <c r="E52" s="31">
        <v>1.9386547393952764</v>
      </c>
      <c r="F52" s="31">
        <v>2.1935259893278891</v>
      </c>
      <c r="G52" s="31">
        <v>0.83571352112333108</v>
      </c>
      <c r="H52" s="31">
        <v>2.6587366880612358</v>
      </c>
      <c r="I52" s="31">
        <v>1.0093629468256211</v>
      </c>
      <c r="J52" s="31">
        <v>3.3494860614108641</v>
      </c>
      <c r="K52" s="31">
        <v>0.96826155855744001</v>
      </c>
      <c r="L52" s="31">
        <v>1.1512658651015422</v>
      </c>
      <c r="M52" s="31">
        <v>2.5579364079021292</v>
      </c>
      <c r="N52" s="31">
        <v>1.751113246053446</v>
      </c>
      <c r="O52" s="31">
        <v>2.1355016836800447</v>
      </c>
    </row>
    <row r="53" spans="1:15" s="26" customFormat="1">
      <c r="A53" s="22">
        <v>53</v>
      </c>
      <c r="B53" s="26" t="s">
        <v>68</v>
      </c>
      <c r="C53" s="32">
        <v>5.6010706652781577E-3</v>
      </c>
      <c r="D53" s="32">
        <v>6.7818753270981191E-3</v>
      </c>
      <c r="E53" s="32">
        <v>5.619471581709736E-3</v>
      </c>
      <c r="F53" s="32">
        <v>5.0636536827568124E-3</v>
      </c>
      <c r="G53" s="32">
        <v>2.3533889316351563E-3</v>
      </c>
      <c r="H53" s="32">
        <v>4.6973568765659498E-3</v>
      </c>
      <c r="I53" s="32">
        <v>4.65516426795381E-3</v>
      </c>
      <c r="J53" s="32">
        <v>4.5979018230990314E-3</v>
      </c>
      <c r="K53" s="32">
        <v>2.8166993597661017E-3</v>
      </c>
      <c r="L53" s="32">
        <v>5.7390700230501553E-3</v>
      </c>
      <c r="M53" s="32">
        <v>4.6521103398744004E-3</v>
      </c>
      <c r="N53" s="32">
        <v>3.0616087022911796E-3</v>
      </c>
      <c r="O53" s="32">
        <v>3.8037314519438416E-3</v>
      </c>
    </row>
    <row r="54" spans="1:15" s="26" customFormat="1">
      <c r="A54" s="22">
        <v>54</v>
      </c>
      <c r="B54" s="26" t="s">
        <v>69</v>
      </c>
      <c r="C54" s="31">
        <v>130.15721633124144</v>
      </c>
      <c r="D54" s="31">
        <v>53.623000416234994</v>
      </c>
      <c r="E54" s="31">
        <v>2130.7290365032486</v>
      </c>
      <c r="F54" s="31">
        <v>41051.724923725567</v>
      </c>
      <c r="G54" s="31">
        <v>14.207551457305437</v>
      </c>
      <c r="H54" s="31">
        <v>139191.85809749531</v>
      </c>
      <c r="I54" s="31">
        <v>297.26020138819308</v>
      </c>
      <c r="J54" s="31">
        <v>13.077903380766811</v>
      </c>
      <c r="K54" s="31">
        <v>70.586181127489525</v>
      </c>
      <c r="L54" s="31">
        <v>83.760647433165602</v>
      </c>
      <c r="M54" s="31">
        <v>2870817.2907364927</v>
      </c>
      <c r="N54" s="31">
        <v>2159828.8477343894</v>
      </c>
      <c r="O54" s="31">
        <v>2515323.0692354413</v>
      </c>
    </row>
    <row r="55" spans="1:15" s="26" customFormat="1">
      <c r="A55" s="22">
        <v>55</v>
      </c>
      <c r="C55" s="28"/>
      <c r="D55" s="25"/>
      <c r="E55" s="25"/>
      <c r="F55" s="25"/>
      <c r="G55" s="25"/>
      <c r="H55" s="25"/>
      <c r="I55" s="25"/>
      <c r="J55" s="25"/>
      <c r="K55" s="25"/>
      <c r="L55" s="25"/>
      <c r="M55" s="31"/>
      <c r="N55" s="31"/>
      <c r="O55" s="31"/>
    </row>
    <row r="56" spans="1:15" s="26" customFormat="1">
      <c r="A56" s="22">
        <v>56</v>
      </c>
      <c r="B56" s="23" t="s">
        <v>75</v>
      </c>
      <c r="C56" s="30">
        <v>1</v>
      </c>
      <c r="D56" s="30">
        <v>0.36059092019062278</v>
      </c>
      <c r="E56" s="30">
        <v>0.27247596715068068</v>
      </c>
      <c r="F56" s="30">
        <v>8.0040520090159356E-2</v>
      </c>
      <c r="G56" s="30">
        <v>1.0501832814172663E-3</v>
      </c>
      <c r="H56" s="30">
        <v>0.17861958139731135</v>
      </c>
      <c r="I56" s="30">
        <v>8.4517743426941998E-3</v>
      </c>
      <c r="J56" s="30">
        <v>2.5673526882344025E-4</v>
      </c>
      <c r="K56" s="30">
        <v>3.178129819196948E-4</v>
      </c>
      <c r="L56" s="30">
        <v>5.9044974801557001E-2</v>
      </c>
      <c r="M56" s="30">
        <v>2.2302375231188755E-2</v>
      </c>
      <c r="N56" s="30">
        <v>1.6849155263625907E-2</v>
      </c>
      <c r="O56" s="30">
        <v>3.9151530494814658E-2</v>
      </c>
    </row>
    <row r="57" spans="1:15" s="26" customFormat="1">
      <c r="A57" s="22">
        <v>57</v>
      </c>
      <c r="B57" s="26" t="s">
        <v>66</v>
      </c>
      <c r="C57" s="25">
        <v>364800886.255256</v>
      </c>
      <c r="D57" s="25">
        <v>131543887.26113749</v>
      </c>
      <c r="E57" s="25">
        <v>99399474.299826324</v>
      </c>
      <c r="F57" s="25">
        <v>29198852.665221751</v>
      </c>
      <c r="G57" s="25">
        <v>383107.79179147154</v>
      </c>
      <c r="H57" s="25">
        <v>65160581.596282005</v>
      </c>
      <c r="I57" s="25">
        <v>3083214.7706442759</v>
      </c>
      <c r="J57" s="25">
        <v>93657.253599772375</v>
      </c>
      <c r="K57" s="25">
        <v>115938.45746773032</v>
      </c>
      <c r="L57" s="25">
        <v>21539659.136527222</v>
      </c>
      <c r="M57" s="25">
        <v>8135926.2499349248</v>
      </c>
      <c r="N57" s="25">
        <v>6146586.77282314</v>
      </c>
      <c r="O57" s="25">
        <v>14282513.022758065</v>
      </c>
    </row>
    <row r="58" spans="1:15" s="26" customFormat="1">
      <c r="A58" s="22">
        <v>58</v>
      </c>
      <c r="B58" s="26" t="s">
        <v>67</v>
      </c>
      <c r="C58" s="31">
        <v>3.4534772878038904</v>
      </c>
      <c r="D58" s="31">
        <v>2.0632213500930741</v>
      </c>
      <c r="E58" s="31">
        <v>5.5365241121976583</v>
      </c>
      <c r="F58" s="31">
        <v>6.2595338730453509</v>
      </c>
      <c r="G58" s="31">
        <v>2.6703500091392813</v>
      </c>
      <c r="H58" s="31">
        <v>7.5433195187145783</v>
      </c>
      <c r="I58" s="31">
        <v>2.9016687950765978</v>
      </c>
      <c r="J58" s="31">
        <v>8.7737035979367999</v>
      </c>
      <c r="K58" s="31">
        <v>2.4966696929100469</v>
      </c>
      <c r="L58" s="31">
        <v>3.0765648481545864</v>
      </c>
      <c r="M58" s="31">
        <v>7.2492185531515263</v>
      </c>
      <c r="N58" s="31">
        <v>4.9834363158905068</v>
      </c>
      <c r="O58" s="31">
        <v>6.062905195027871</v>
      </c>
    </row>
    <row r="59" spans="1:15" s="26" customFormat="1">
      <c r="A59" s="22">
        <v>59</v>
      </c>
      <c r="B59" s="26" t="s">
        <v>68</v>
      </c>
      <c r="C59" s="32">
        <v>1.5917112308375222E-2</v>
      </c>
      <c r="D59" s="32">
        <v>1.939317401385866E-2</v>
      </c>
      <c r="E59" s="32">
        <v>1.6048417120239945E-2</v>
      </c>
      <c r="F59" s="32">
        <v>1.4449845546757803E-2</v>
      </c>
      <c r="G59" s="32">
        <v>7.519768432911118E-3</v>
      </c>
      <c r="H59" s="32">
        <v>1.3327255749875134E-2</v>
      </c>
      <c r="I59" s="32">
        <v>1.3382445764190289E-2</v>
      </c>
      <c r="J59" s="32">
        <v>1.2043826135909323E-2</v>
      </c>
      <c r="K59" s="32">
        <v>7.2628804308252186E-3</v>
      </c>
      <c r="L59" s="32">
        <v>1.5336701650974874E-2</v>
      </c>
      <c r="M59" s="32">
        <v>1.3184129395454424E-2</v>
      </c>
      <c r="N59" s="32">
        <v>8.7129327737257029E-3</v>
      </c>
      <c r="O59" s="32">
        <v>1.0799178177532393E-2</v>
      </c>
    </row>
    <row r="60" spans="1:15" s="26" customFormat="1">
      <c r="A60" s="22">
        <v>60</v>
      </c>
      <c r="B60" s="26" t="s">
        <v>69</v>
      </c>
      <c r="C60" s="31">
        <v>369.88053782873931</v>
      </c>
      <c r="D60" s="31">
        <v>153.33814440116367</v>
      </c>
      <c r="E60" s="31">
        <v>6085.0611753796338</v>
      </c>
      <c r="F60" s="31">
        <v>117146.8512145306</v>
      </c>
      <c r="G60" s="31">
        <v>45.397297285397741</v>
      </c>
      <c r="H60" s="31">
        <v>394912.61573504243</v>
      </c>
      <c r="I60" s="31">
        <v>854.54954840473283</v>
      </c>
      <c r="J60" s="31">
        <v>34.25649363561535</v>
      </c>
      <c r="K60" s="31">
        <v>182.0069975945531</v>
      </c>
      <c r="L60" s="31">
        <v>223.83627567105722</v>
      </c>
      <c r="M60" s="31">
        <v>8135926.2499349248</v>
      </c>
      <c r="N60" s="31">
        <v>6146586.77282314</v>
      </c>
      <c r="O60" s="31">
        <v>7141256.5113790324</v>
      </c>
    </row>
    <row r="61" spans="1:15" s="26" customFormat="1">
      <c r="A61" s="22">
        <v>61</v>
      </c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</row>
    <row r="62" spans="1:15" s="26" customFormat="1">
      <c r="A62" s="22">
        <v>62</v>
      </c>
      <c r="B62" s="23" t="s">
        <v>76</v>
      </c>
      <c r="C62" s="30">
        <v>1</v>
      </c>
      <c r="D62" s="30">
        <v>0.3581399617296418</v>
      </c>
      <c r="E62" s="30">
        <v>0.2715254646558789</v>
      </c>
      <c r="F62" s="30">
        <v>7.9772204472460195E-2</v>
      </c>
      <c r="G62" s="30">
        <v>1.0735125251442035E-3</v>
      </c>
      <c r="H62" s="30">
        <v>0.1781748978613765</v>
      </c>
      <c r="I62" s="30">
        <v>8.3959257178266682E-3</v>
      </c>
      <c r="J62" s="30">
        <v>2.8224092378510457E-4</v>
      </c>
      <c r="K62" s="30">
        <v>3.6376898047443145E-4</v>
      </c>
      <c r="L62" s="30">
        <v>6.3135270608976946E-2</v>
      </c>
      <c r="M62" s="30">
        <v>2.220626474651154E-2</v>
      </c>
      <c r="N62" s="30">
        <v>1.6930487777923858E-2</v>
      </c>
      <c r="O62" s="30">
        <v>3.9136752524435395E-2</v>
      </c>
    </row>
    <row r="63" spans="1:15" s="26" customFormat="1">
      <c r="A63" s="22">
        <v>63</v>
      </c>
      <c r="B63" s="26" t="s">
        <v>66</v>
      </c>
      <c r="C63" s="25">
        <v>19463266.358698417</v>
      </c>
      <c r="D63" s="25">
        <v>6970573.4688380752</v>
      </c>
      <c r="E63" s="25">
        <v>5284772.441766724</v>
      </c>
      <c r="F63" s="25">
        <v>1552627.6636680458</v>
      </c>
      <c r="G63" s="25">
        <v>20894.060216280563</v>
      </c>
      <c r="H63" s="25">
        <v>3467865.4955098554</v>
      </c>
      <c r="I63" s="25">
        <v>163412.13857390665</v>
      </c>
      <c r="J63" s="25">
        <v>5493.3302769545899</v>
      </c>
      <c r="K63" s="25">
        <v>7080.1325600060227</v>
      </c>
      <c r="L63" s="25">
        <v>1228818.5884910219</v>
      </c>
      <c r="M63" s="25">
        <v>432206.44559312868</v>
      </c>
      <c r="N63" s="25">
        <v>329522.59320442012</v>
      </c>
      <c r="O63" s="25">
        <v>761729.03879754874</v>
      </c>
    </row>
    <row r="64" spans="1:15" s="26" customFormat="1">
      <c r="A64" s="22">
        <v>64</v>
      </c>
      <c r="B64" s="26" t="s">
        <v>67</v>
      </c>
      <c r="C64" s="31">
        <v>0.18425379665665237</v>
      </c>
      <c r="D64" s="31">
        <v>0.10933108563797124</v>
      </c>
      <c r="E64" s="31">
        <v>0.29436041042895422</v>
      </c>
      <c r="F64" s="31">
        <v>0.33284614174354882</v>
      </c>
      <c r="G64" s="31">
        <v>0.14563643727682479</v>
      </c>
      <c r="H64" s="31">
        <v>0.40145770402468162</v>
      </c>
      <c r="I64" s="31">
        <v>0.15379009848786968</v>
      </c>
      <c r="J64" s="31">
        <v>0.51460885049579097</v>
      </c>
      <c r="K64" s="31">
        <v>0.15246668595080032</v>
      </c>
      <c r="L64" s="31">
        <v>0.17551531573214763</v>
      </c>
      <c r="M64" s="31">
        <v>0.38510169437812258</v>
      </c>
      <c r="N64" s="31">
        <v>0.26716532582636532</v>
      </c>
      <c r="O64" s="31">
        <v>0.32335282587667591</v>
      </c>
    </row>
    <row r="65" spans="1:15" s="26" customFormat="1">
      <c r="A65" s="22">
        <v>65</v>
      </c>
      <c r="B65" s="26" t="s">
        <v>68</v>
      </c>
      <c r="C65" s="32">
        <v>8.4922764223344983E-4</v>
      </c>
      <c r="D65" s="32">
        <v>1.0276535616528064E-3</v>
      </c>
      <c r="E65" s="32">
        <v>8.532462885587871E-4</v>
      </c>
      <c r="F65" s="32">
        <v>7.6835998279990291E-4</v>
      </c>
      <c r="G65" s="32">
        <v>4.1011563277014055E-4</v>
      </c>
      <c r="H65" s="32">
        <v>7.0928050721180799E-4</v>
      </c>
      <c r="I65" s="32">
        <v>7.092772461059154E-4</v>
      </c>
      <c r="J65" s="32">
        <v>7.0641314174654042E-4</v>
      </c>
      <c r="K65" s="32">
        <v>4.4352976001969639E-4</v>
      </c>
      <c r="L65" s="32">
        <v>8.7494532552279559E-4</v>
      </c>
      <c r="M65" s="32">
        <v>7.003831560413688E-4</v>
      </c>
      <c r="N65" s="32">
        <v>4.6710610427047936E-4</v>
      </c>
      <c r="O65" s="32">
        <v>5.75952397163416E-4</v>
      </c>
    </row>
    <row r="66" spans="1:15" s="26" customFormat="1">
      <c r="A66" s="22">
        <v>66</v>
      </c>
      <c r="B66" s="26" t="s">
        <v>69</v>
      </c>
      <c r="C66" s="31">
        <v>19.734281631163814</v>
      </c>
      <c r="D66" s="31">
        <v>8.1254615731535331</v>
      </c>
      <c r="E66" s="31">
        <v>323.52448373227571</v>
      </c>
      <c r="F66" s="31">
        <v>6229.1982494204449</v>
      </c>
      <c r="G66" s="31">
        <v>2.4758929039318121</v>
      </c>
      <c r="H66" s="31">
        <v>21017.36663945367</v>
      </c>
      <c r="I66" s="31">
        <v>45.291612686781221</v>
      </c>
      <c r="J66" s="31">
        <v>2.0092649147602741</v>
      </c>
      <c r="K66" s="31">
        <v>11.114807786508671</v>
      </c>
      <c r="L66" s="31">
        <v>12.769662443578575</v>
      </c>
      <c r="M66" s="31">
        <v>432206.44559312868</v>
      </c>
      <c r="N66" s="31">
        <v>329522.59320442012</v>
      </c>
      <c r="O66" s="31">
        <v>380864.51939877437</v>
      </c>
    </row>
    <row r="67" spans="1:15" s="26" customFormat="1">
      <c r="A67" s="22">
        <v>67</v>
      </c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</row>
    <row r="68" spans="1:15" s="26" customFormat="1">
      <c r="A68" s="22">
        <v>68</v>
      </c>
      <c r="B68" s="23" t="s">
        <v>77</v>
      </c>
      <c r="C68" s="30">
        <v>1</v>
      </c>
      <c r="D68" s="30">
        <v>0.41949842907093621</v>
      </c>
      <c r="E68" s="30">
        <v>0.27074618701209779</v>
      </c>
      <c r="F68" s="30">
        <v>7.1067524720247979E-2</v>
      </c>
      <c r="G68" s="30">
        <v>-1.2490164747292154E-4</v>
      </c>
      <c r="H68" s="30">
        <v>0.14623752081984115</v>
      </c>
      <c r="I68" s="30">
        <v>6.6114974386822772E-3</v>
      </c>
      <c r="J68" s="30">
        <v>2.2083699513934246E-4</v>
      </c>
      <c r="K68" s="30">
        <v>1.6400864144289141E-5</v>
      </c>
      <c r="L68" s="30">
        <v>6.4528663175052681E-2</v>
      </c>
      <c r="M68" s="30">
        <v>1.7885714894778772E-2</v>
      </c>
      <c r="N68" s="30">
        <v>3.3121266565517681E-3</v>
      </c>
      <c r="O68" s="30">
        <v>2.1197841551330542E-2</v>
      </c>
    </row>
    <row r="69" spans="1:15" s="26" customFormat="1">
      <c r="A69" s="22">
        <v>69</v>
      </c>
      <c r="B69" s="26" t="s">
        <v>66</v>
      </c>
      <c r="C69" s="25">
        <v>3201477.6920453347</v>
      </c>
      <c r="D69" s="25">
        <v>1343014.8625186644</v>
      </c>
      <c r="E69" s="25">
        <v>866787.87792556547</v>
      </c>
      <c r="F69" s="25">
        <v>227521.09502075426</v>
      </c>
      <c r="G69" s="25">
        <v>-399.86983808426885</v>
      </c>
      <c r="H69" s="25">
        <v>468176.16064473661</v>
      </c>
      <c r="I69" s="25">
        <v>21166.561560956179</v>
      </c>
      <c r="J69" s="25">
        <v>707.00471351692886</v>
      </c>
      <c r="K69" s="25">
        <v>52.507000688207881</v>
      </c>
      <c r="L69" s="25">
        <v>206587.07565243845</v>
      </c>
      <c r="M69" s="25">
        <v>57260.717241917213</v>
      </c>
      <c r="N69" s="25">
        <v>10603.699604179186</v>
      </c>
      <c r="O69" s="25">
        <v>67864.416846096399</v>
      </c>
    </row>
    <row r="70" spans="1:15" s="26" customFormat="1">
      <c r="A70" s="22">
        <v>70</v>
      </c>
      <c r="B70" s="26" t="s">
        <v>67</v>
      </c>
      <c r="C70" s="31">
        <v>3.0307575758336262E-2</v>
      </c>
      <c r="D70" s="31">
        <v>2.1064733569413466E-2</v>
      </c>
      <c r="E70" s="31">
        <v>4.8279852786946971E-2</v>
      </c>
      <c r="F70" s="31">
        <v>4.8775067207044498E-2</v>
      </c>
      <c r="G70" s="31">
        <v>-2.7871853526906542E-3</v>
      </c>
      <c r="H70" s="31">
        <v>5.4198447654583294E-2</v>
      </c>
      <c r="I70" s="31">
        <v>1.9920231235678796E-2</v>
      </c>
      <c r="J70" s="31">
        <v>6.6231386895556285E-2</v>
      </c>
      <c r="K70" s="31">
        <v>1.1307088273133459E-3</v>
      </c>
      <c r="L70" s="31">
        <v>2.9507362721331198E-2</v>
      </c>
      <c r="M70" s="31">
        <v>5.1020061028723057E-2</v>
      </c>
      <c r="N70" s="31">
        <v>8.5971065964451539E-3</v>
      </c>
      <c r="O70" s="31">
        <v>2.8808342397315702E-2</v>
      </c>
    </row>
    <row r="71" spans="1:15" s="26" customFormat="1">
      <c r="A71" s="22">
        <v>71</v>
      </c>
      <c r="B71" s="26" t="s">
        <v>68</v>
      </c>
      <c r="C71" s="32">
        <v>1.3968792811919683E-4</v>
      </c>
      <c r="D71" s="32">
        <v>1.9799719678587901E-4</v>
      </c>
      <c r="E71" s="32">
        <v>1.3994614677495737E-4</v>
      </c>
      <c r="F71" s="32">
        <v>1.1259499540524624E-4</v>
      </c>
      <c r="G71" s="32">
        <v>-7.8487795083428077E-6</v>
      </c>
      <c r="H71" s="32">
        <v>9.5755797079365694E-5</v>
      </c>
      <c r="I71" s="32">
        <v>9.1871758270248635E-5</v>
      </c>
      <c r="J71" s="32">
        <v>9.091705681712373E-5</v>
      </c>
      <c r="K71" s="32">
        <v>3.2892629081757002E-6</v>
      </c>
      <c r="L71" s="32">
        <v>1.470944514092088E-4</v>
      </c>
      <c r="M71" s="32">
        <v>9.2790013355885934E-5</v>
      </c>
      <c r="N71" s="32">
        <v>1.5030996098922801E-5</v>
      </c>
      <c r="O71" s="32">
        <v>5.1313093729901683E-5</v>
      </c>
    </row>
    <row r="72" spans="1:15" s="26" customFormat="1">
      <c r="A72" s="22">
        <v>72</v>
      </c>
      <c r="B72" s="26" t="s">
        <v>69</v>
      </c>
      <c r="C72" s="31">
        <v>3.2460565069786154</v>
      </c>
      <c r="D72" s="31">
        <v>1.5655262377413126</v>
      </c>
      <c r="E72" s="31">
        <v>53.063230971874226</v>
      </c>
      <c r="F72" s="31">
        <v>912.82284862890378</v>
      </c>
      <c r="G72" s="31">
        <v>-4.738355706650893E-2</v>
      </c>
      <c r="H72" s="31">
        <v>2837.4312766347675</v>
      </c>
      <c r="I72" s="31">
        <v>5.8665636255421783</v>
      </c>
      <c r="J72" s="31">
        <v>0.25859718855776476</v>
      </c>
      <c r="K72" s="31">
        <v>8.2428572508960574E-2</v>
      </c>
      <c r="L72" s="31">
        <v>2.1468158489750446</v>
      </c>
      <c r="M72" s="31">
        <v>57260.717241917213</v>
      </c>
      <c r="N72" s="31">
        <v>10603.699604179186</v>
      </c>
      <c r="O72" s="31">
        <v>33932.2084230482</v>
      </c>
    </row>
    <row r="73" spans="1:15" s="26" customFormat="1">
      <c r="A73" s="22">
        <v>73</v>
      </c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</row>
    <row r="74" spans="1:15" s="26" customFormat="1">
      <c r="A74" s="22">
        <v>74</v>
      </c>
      <c r="B74" s="23" t="s">
        <v>78</v>
      </c>
      <c r="C74" s="30">
        <v>1</v>
      </c>
      <c r="D74" s="30">
        <v>0.36001297915029135</v>
      </c>
      <c r="E74" s="30">
        <v>0.27267490688747881</v>
      </c>
      <c r="F74" s="30">
        <v>8.0167399062745906E-2</v>
      </c>
      <c r="G74" s="30">
        <v>1.0630075744867127E-3</v>
      </c>
      <c r="H74" s="30">
        <v>0.17891053751166994</v>
      </c>
      <c r="I74" s="30">
        <v>8.4718487102430698E-3</v>
      </c>
      <c r="J74" s="30">
        <v>2.5589751868589696E-4</v>
      </c>
      <c r="K74" s="30">
        <v>3.1955368045698994E-4</v>
      </c>
      <c r="L74" s="30">
        <v>5.8813454638482317E-2</v>
      </c>
      <c r="M74" s="30">
        <v>2.2332831938941297E-2</v>
      </c>
      <c r="N74" s="30">
        <v>1.6977583326517977E-2</v>
      </c>
      <c r="O74" s="30">
        <v>3.9310415265459281E-2</v>
      </c>
    </row>
    <row r="75" spans="1:15" s="26" customFormat="1">
      <c r="A75" s="22">
        <v>75</v>
      </c>
      <c r="B75" s="26" t="s">
        <v>66</v>
      </c>
      <c r="C75" s="25">
        <v>261294977.57028809</v>
      </c>
      <c r="D75" s="25">
        <v>94069583.312087983</v>
      </c>
      <c r="E75" s="25">
        <v>71248583.679144189</v>
      </c>
      <c r="F75" s="25">
        <v>20947338.739968527</v>
      </c>
      <c r="G75" s="25">
        <v>277758.54033255205</v>
      </c>
      <c r="H75" s="25">
        <v>46748424.886199988</v>
      </c>
      <c r="I75" s="25">
        <v>2213651.5187218385</v>
      </c>
      <c r="J75" s="25">
        <v>66864.736405323842</v>
      </c>
      <c r="K75" s="25">
        <v>83497.771767512211</v>
      </c>
      <c r="L75" s="25">
        <v>15367660.310593411</v>
      </c>
      <c r="M75" s="25">
        <v>5835456.8205666803</v>
      </c>
      <c r="N75" s="25">
        <v>4436157.254500214</v>
      </c>
      <c r="O75" s="25">
        <v>10271614.075066894</v>
      </c>
    </row>
    <row r="76" spans="1:15" s="26" customFormat="1">
      <c r="A76" s="22">
        <v>76</v>
      </c>
      <c r="B76" s="26" t="s">
        <v>67</v>
      </c>
      <c r="C76" s="31">
        <v>2.4736131529702816</v>
      </c>
      <c r="D76" s="31">
        <v>1.475449575992565</v>
      </c>
      <c r="E76" s="31">
        <v>3.9685270397874084</v>
      </c>
      <c r="F76" s="31">
        <v>4.4906071446144038</v>
      </c>
      <c r="G76" s="31">
        <v>1.9360413351218486</v>
      </c>
      <c r="H76" s="31">
        <v>5.4118348436189514</v>
      </c>
      <c r="I76" s="31">
        <v>2.0833072013685419</v>
      </c>
      <c r="J76" s="31">
        <v>6.2638114596167416</v>
      </c>
      <c r="K76" s="31">
        <v>1.7980777108017956</v>
      </c>
      <c r="L76" s="31">
        <v>2.1950024004685731</v>
      </c>
      <c r="M76" s="31">
        <v>5.1994696793256887</v>
      </c>
      <c r="N76" s="31">
        <v>3.5966802360659686</v>
      </c>
      <c r="O76" s="31">
        <v>4.3602846528347516</v>
      </c>
    </row>
    <row r="77" spans="1:15" s="26" customFormat="1">
      <c r="A77" s="22">
        <v>77</v>
      </c>
      <c r="B77" s="26" t="s">
        <v>68</v>
      </c>
      <c r="C77" s="32">
        <v>1.1400908441572453E-2</v>
      </c>
      <c r="D77" s="32">
        <v>1.3868434608146624E-2</v>
      </c>
      <c r="E77" s="32">
        <v>1.1503350477088226E-2</v>
      </c>
      <c r="F77" s="32">
        <v>1.0366359694971346E-2</v>
      </c>
      <c r="G77" s="32">
        <v>5.4519379357887837E-3</v>
      </c>
      <c r="H77" s="32">
        <v>9.5614280765990572E-3</v>
      </c>
      <c r="I77" s="32">
        <v>9.6081763982734658E-3</v>
      </c>
      <c r="J77" s="32">
        <v>8.5984505090279956E-3</v>
      </c>
      <c r="K77" s="32">
        <v>5.2306572455180934E-3</v>
      </c>
      <c r="L77" s="32">
        <v>1.0942105432737062E-2</v>
      </c>
      <c r="M77" s="32">
        <v>9.4562580142062563E-3</v>
      </c>
      <c r="N77" s="32">
        <v>6.2883582971664511E-3</v>
      </c>
      <c r="O77" s="32">
        <v>7.7664897200336322E-3</v>
      </c>
    </row>
    <row r="78" spans="1:15" s="26" customFormat="1">
      <c r="A78" s="22">
        <v>78</v>
      </c>
      <c r="B78" s="26" t="s">
        <v>69</v>
      </c>
      <c r="C78" s="31">
        <v>264.93336632965497</v>
      </c>
      <c r="D78" s="31">
        <v>109.65507900060148</v>
      </c>
      <c r="E78" s="31">
        <v>4361.7131116709024</v>
      </c>
      <c r="F78" s="31">
        <v>84041.479398068317</v>
      </c>
      <c r="G78" s="31">
        <v>32.913679385300632</v>
      </c>
      <c r="H78" s="31">
        <v>283323.78718909086</v>
      </c>
      <c r="I78" s="31">
        <v>613.53977791625232</v>
      </c>
      <c r="J78" s="31">
        <v>24.456743381610767</v>
      </c>
      <c r="K78" s="31">
        <v>131.07970450158902</v>
      </c>
      <c r="L78" s="31">
        <v>159.69797051559783</v>
      </c>
      <c r="M78" s="31">
        <v>5835456.8205666803</v>
      </c>
      <c r="N78" s="31">
        <v>4436157.254500214</v>
      </c>
      <c r="O78" s="31">
        <v>5135807.0375334471</v>
      </c>
    </row>
    <row r="79" spans="1:15" s="26" customFormat="1">
      <c r="A79" s="22">
        <v>79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</row>
    <row r="80" spans="1:15" s="26" customFormat="1">
      <c r="A80" s="22">
        <v>80</v>
      </c>
      <c r="B80" s="23" t="s">
        <v>79</v>
      </c>
      <c r="C80" s="30">
        <v>1</v>
      </c>
      <c r="D80" s="30">
        <v>0.36071617411295392</v>
      </c>
      <c r="E80" s="30">
        <v>0.27213029896994362</v>
      </c>
      <c r="F80" s="30">
        <v>8.0050370326119322E-2</v>
      </c>
      <c r="G80" s="30">
        <v>1.0496516405306691E-3</v>
      </c>
      <c r="H80" s="30">
        <v>0.17906861089181975</v>
      </c>
      <c r="I80" s="30">
        <v>8.4732147896046921E-3</v>
      </c>
      <c r="J80" s="30">
        <v>2.5472396763640036E-4</v>
      </c>
      <c r="K80" s="30">
        <v>3.1305890079680651E-4</v>
      </c>
      <c r="L80" s="30">
        <v>5.8591352353985333E-2</v>
      </c>
      <c r="M80" s="30">
        <v>2.2401981400531554E-2</v>
      </c>
      <c r="N80" s="30">
        <v>1.6950562646078089E-2</v>
      </c>
      <c r="O80" s="30">
        <v>3.9352544046609643E-2</v>
      </c>
    </row>
    <row r="81" spans="1:15" s="26" customFormat="1">
      <c r="A81" s="22">
        <v>81</v>
      </c>
      <c r="B81" s="26" t="s">
        <v>66</v>
      </c>
      <c r="C81" s="25">
        <v>80841164.634224296</v>
      </c>
      <c r="D81" s="25">
        <v>29160715.617692821</v>
      </c>
      <c r="E81" s="25">
        <v>21999330.300989889</v>
      </c>
      <c r="F81" s="25">
        <v>6471365.1665644329</v>
      </c>
      <c r="G81" s="25">
        <v>84855.061080723404</v>
      </c>
      <c r="H81" s="25">
        <v>14476115.053927442</v>
      </c>
      <c r="I81" s="25">
        <v>684984.5517875771</v>
      </c>
      <c r="J81" s="25">
        <v>20592.182203977056</v>
      </c>
      <c r="K81" s="25">
        <v>25308.046139523918</v>
      </c>
      <c r="L81" s="25">
        <v>4736593.1617903765</v>
      </c>
      <c r="M81" s="25">
        <v>1811002.266533202</v>
      </c>
      <c r="N81" s="25">
        <v>1370303.2255143309</v>
      </c>
      <c r="O81" s="25">
        <v>3181305.4920475329</v>
      </c>
    </row>
    <row r="82" spans="1:15" s="26" customFormat="1">
      <c r="A82" s="22">
        <v>82</v>
      </c>
      <c r="B82" s="26" t="s">
        <v>67</v>
      </c>
      <c r="C82" s="31">
        <v>0.76530276241862139</v>
      </c>
      <c r="D82" s="31">
        <v>0.45737595489312521</v>
      </c>
      <c r="E82" s="31">
        <v>1.225356809194351</v>
      </c>
      <c r="F82" s="31">
        <v>1.3873055194803559</v>
      </c>
      <c r="G82" s="31">
        <v>0.59145942209329994</v>
      </c>
      <c r="H82" s="31">
        <v>1.6758285234163646</v>
      </c>
      <c r="I82" s="31">
        <v>0.64465126398450956</v>
      </c>
      <c r="J82" s="31">
        <v>1.929051900928715</v>
      </c>
      <c r="K82" s="31">
        <v>0.54499458733013828</v>
      </c>
      <c r="L82" s="31">
        <v>0.67653976923253833</v>
      </c>
      <c r="M82" s="31">
        <v>1.6136271184189952</v>
      </c>
      <c r="N82" s="31">
        <v>1.110993647401731</v>
      </c>
      <c r="O82" s="31">
        <v>1.3504593739191304</v>
      </c>
    </row>
    <row r="83" spans="1:15" s="26" customFormat="1">
      <c r="A83" s="22">
        <v>83</v>
      </c>
      <c r="B83" s="26" t="s">
        <v>68</v>
      </c>
      <c r="C83" s="32">
        <v>3.5272882964501292E-3</v>
      </c>
      <c r="D83" s="32">
        <v>4.2990886472733586E-3</v>
      </c>
      <c r="E83" s="32">
        <v>3.5518742078179824E-3</v>
      </c>
      <c r="F83" s="32">
        <v>3.2025308735813122E-3</v>
      </c>
      <c r="G83" s="32">
        <v>1.6655636438605405E-3</v>
      </c>
      <c r="H83" s="32">
        <v>2.9607913689849059E-3</v>
      </c>
      <c r="I83" s="32">
        <v>2.9731203615406703E-3</v>
      </c>
      <c r="J83" s="32">
        <v>2.6480454283176681E-3</v>
      </c>
      <c r="K83" s="32">
        <v>1.5854041623792562E-3</v>
      </c>
      <c r="L83" s="32">
        <v>3.3725564413058257E-3</v>
      </c>
      <c r="M83" s="32">
        <v>2.9346982118509187E-3</v>
      </c>
      <c r="N83" s="32">
        <v>1.9424373761898564E-3</v>
      </c>
      <c r="O83" s="32">
        <v>2.4054229666054497E-3</v>
      </c>
    </row>
    <row r="84" spans="1:15" s="26" customFormat="1">
      <c r="A84" s="22">
        <v>84</v>
      </c>
      <c r="B84" s="26" t="s">
        <v>69</v>
      </c>
      <c r="C84" s="31">
        <v>81.966833360942047</v>
      </c>
      <c r="D84" s="31">
        <v>33.992077589667431</v>
      </c>
      <c r="E84" s="31">
        <v>1346.7603490045844</v>
      </c>
      <c r="F84" s="31">
        <v>25963.35071841297</v>
      </c>
      <c r="G84" s="31">
        <v>10.055108553231829</v>
      </c>
      <c r="H84" s="31">
        <v>87734.030629863279</v>
      </c>
      <c r="I84" s="31">
        <v>189.85159417615773</v>
      </c>
      <c r="J84" s="31">
        <v>7.5318881506865605</v>
      </c>
      <c r="K84" s="31">
        <v>39.730056733946498</v>
      </c>
      <c r="L84" s="31">
        <v>49.221826862906042</v>
      </c>
      <c r="M84" s="31">
        <v>1811002.266533202</v>
      </c>
      <c r="N84" s="31">
        <v>1370303.2255143309</v>
      </c>
      <c r="O84" s="31">
        <v>1590652.7460237665</v>
      </c>
    </row>
    <row r="85" spans="1:15" s="26" customFormat="1">
      <c r="A85" s="22">
        <v>85</v>
      </c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</row>
    <row r="86" spans="1:15" s="26" customFormat="1">
      <c r="A86" s="22">
        <v>86</v>
      </c>
      <c r="B86" s="23" t="s">
        <v>80</v>
      </c>
      <c r="C86" s="30">
        <v>1</v>
      </c>
      <c r="D86" s="30">
        <v>0.63143557440599685</v>
      </c>
      <c r="E86" s="30">
        <v>0.21380916151793988</v>
      </c>
      <c r="F86" s="30">
        <v>4.7591283634369784E-2</v>
      </c>
      <c r="G86" s="30">
        <v>1.0765934500081033E-2</v>
      </c>
      <c r="H86" s="30">
        <v>-6.2223711648622126E-4</v>
      </c>
      <c r="I86" s="30">
        <v>1.2680543738948023E-2</v>
      </c>
      <c r="J86" s="30">
        <v>5.2875049976845365E-4</v>
      </c>
      <c r="K86" s="30">
        <v>2.2348120775201905E-4</v>
      </c>
      <c r="L86" s="30">
        <v>8.3345398628077383E-2</v>
      </c>
      <c r="M86" s="30">
        <v>1.2900141051332606E-4</v>
      </c>
      <c r="N86" s="30">
        <v>1.1310757303963103E-4</v>
      </c>
      <c r="O86" s="30">
        <v>2.4210898355295709E-4</v>
      </c>
    </row>
    <row r="87" spans="1:15" s="26" customFormat="1">
      <c r="A87" s="22">
        <v>87</v>
      </c>
      <c r="B87" s="26" t="s">
        <v>66</v>
      </c>
      <c r="C87" s="25">
        <v>396030043.27259111</v>
      </c>
      <c r="D87" s="25">
        <v>250067457.85586035</v>
      </c>
      <c r="E87" s="25">
        <v>84674851.488026157</v>
      </c>
      <c r="F87" s="25">
        <v>18847578.117117625</v>
      </c>
      <c r="G87" s="25">
        <v>4263633.5059369728</v>
      </c>
      <c r="H87" s="25">
        <v>-246424.59216785041</v>
      </c>
      <c r="I87" s="25">
        <v>5021876.2856555711</v>
      </c>
      <c r="J87" s="25">
        <v>209401.08330370492</v>
      </c>
      <c r="K87" s="25">
        <v>88505.272376643043</v>
      </c>
      <c r="L87" s="25">
        <v>33007281.825248934</v>
      </c>
      <c r="M87" s="25">
        <v>51088.43418781778</v>
      </c>
      <c r="N87" s="25">
        <v>44793.997045342818</v>
      </c>
      <c r="O87" s="25">
        <v>95882.431233160605</v>
      </c>
    </row>
    <row r="88" spans="1:15" s="26" customFormat="1">
      <c r="A88" s="22">
        <v>88</v>
      </c>
      <c r="B88" s="26" t="s">
        <v>67</v>
      </c>
      <c r="C88" s="31">
        <v>3.7491157814043823</v>
      </c>
      <c r="D88" s="31">
        <v>3.9222234400559528</v>
      </c>
      <c r="E88" s="31">
        <v>4.7163665629268996</v>
      </c>
      <c r="F88" s="31">
        <v>4.0404688157314661</v>
      </c>
      <c r="G88" s="31">
        <v>29.718512688832227</v>
      </c>
      <c r="H88" s="31">
        <v>-2.852736102799135E-2</v>
      </c>
      <c r="I88" s="31">
        <v>4.726177965142849</v>
      </c>
      <c r="J88" s="31">
        <v>19.616452195412705</v>
      </c>
      <c r="K88" s="31">
        <v>1.9059114294928117</v>
      </c>
      <c r="L88" s="31">
        <v>4.7145148562023662</v>
      </c>
      <c r="M88" s="31">
        <v>4.5520474693185875E-2</v>
      </c>
      <c r="N88" s="31">
        <v>3.6317396932659646E-2</v>
      </c>
      <c r="O88" s="31">
        <v>4.0701947164979609E-2</v>
      </c>
    </row>
    <row r="89" spans="1:15" s="26" customFormat="1">
      <c r="A89" s="22">
        <v>89</v>
      </c>
      <c r="B89" s="26" t="s">
        <v>68</v>
      </c>
      <c r="C89" s="32">
        <v>1.7279713163442761E-2</v>
      </c>
      <c r="D89" s="32">
        <v>3.6866796522248606E-2</v>
      </c>
      <c r="E89" s="32">
        <v>1.367107166155896E-2</v>
      </c>
      <c r="F89" s="32">
        <v>9.3272361022317448E-3</v>
      </c>
      <c r="G89" s="32">
        <v>8.368803071720958E-2</v>
      </c>
      <c r="H89" s="32">
        <v>-5.0401078112338552E-5</v>
      </c>
      <c r="I89" s="32">
        <v>2.17970501656671E-2</v>
      </c>
      <c r="J89" s="32">
        <v>2.6927868830727873E-2</v>
      </c>
      <c r="K89" s="32">
        <v>5.544348482884473E-3</v>
      </c>
      <c r="L89" s="32">
        <v>2.3501896221051581E-2</v>
      </c>
      <c r="M89" s="32">
        <v>8.2787934188653021E-5</v>
      </c>
      <c r="N89" s="32">
        <v>6.3496554973920934E-5</v>
      </c>
      <c r="O89" s="32">
        <v>7.2497848056010013E-5</v>
      </c>
    </row>
    <row r="90" spans="1:15" s="26" customFormat="1">
      <c r="A90" s="22">
        <v>90</v>
      </c>
      <c r="B90" s="26" t="s">
        <v>69</v>
      </c>
      <c r="C90" s="31">
        <v>401.54454367062101</v>
      </c>
      <c r="D90" s="31">
        <v>291.49875954792623</v>
      </c>
      <c r="E90" s="31">
        <v>5183.6456374671661</v>
      </c>
      <c r="F90" s="31">
        <v>75617.16396035155</v>
      </c>
      <c r="G90" s="31">
        <v>505.22970801480898</v>
      </c>
      <c r="H90" s="31">
        <v>-1493.482376774851</v>
      </c>
      <c r="I90" s="31">
        <v>1391.8725847160674</v>
      </c>
      <c r="J90" s="31">
        <v>76.59147158145754</v>
      </c>
      <c r="K90" s="31">
        <v>138.94077296176303</v>
      </c>
      <c r="L90" s="31">
        <v>343.00575449959882</v>
      </c>
      <c r="M90" s="31">
        <v>51088.43418781778</v>
      </c>
      <c r="N90" s="31">
        <v>44793.997045342818</v>
      </c>
      <c r="O90" s="31">
        <v>47941.215616580303</v>
      </c>
    </row>
    <row r="91" spans="1:15" s="26" customFormat="1">
      <c r="A91" s="22">
        <v>91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</row>
    <row r="92" spans="1:15" s="26" customFormat="1">
      <c r="A92" s="22">
        <v>92</v>
      </c>
      <c r="B92" s="23" t="s">
        <v>81</v>
      </c>
      <c r="C92" s="30">
        <v>1</v>
      </c>
      <c r="D92" s="30">
        <v>0.55619983166322517</v>
      </c>
      <c r="E92" s="30">
        <v>0.28389863844845553</v>
      </c>
      <c r="F92" s="30">
        <v>7.1244625320144583E-2</v>
      </c>
      <c r="G92" s="30">
        <v>1.6456877800963368E-3</v>
      </c>
      <c r="H92" s="30">
        <v>-2.0734895479702781E-3</v>
      </c>
      <c r="I92" s="30">
        <v>1.446491640252842E-2</v>
      </c>
      <c r="J92" s="30">
        <v>2.37089301128963E-4</v>
      </c>
      <c r="K92" s="30">
        <v>5.5386358138746728E-5</v>
      </c>
      <c r="L92" s="30">
        <v>7.4109897009135811E-2</v>
      </c>
      <c r="M92" s="30">
        <v>1.1848938004524293E-4</v>
      </c>
      <c r="N92" s="30">
        <v>9.8927885071459952E-5</v>
      </c>
      <c r="O92" s="30">
        <v>2.1741726511670289E-4</v>
      </c>
    </row>
    <row r="93" spans="1:15" s="26" customFormat="1">
      <c r="A93" s="22">
        <v>93</v>
      </c>
      <c r="B93" s="26" t="s">
        <v>66</v>
      </c>
      <c r="C93" s="25">
        <v>52036507.0954642</v>
      </c>
      <c r="D93" s="25">
        <v>28942696.486839425</v>
      </c>
      <c r="E93" s="25">
        <v>14773093.514015689</v>
      </c>
      <c r="F93" s="25">
        <v>3707321.4509853916</v>
      </c>
      <c r="G93" s="25">
        <v>85635.843845901822</v>
      </c>
      <c r="H93" s="25">
        <v>-107897.15357532626</v>
      </c>
      <c r="I93" s="25">
        <v>752703.72501546657</v>
      </c>
      <c r="J93" s="25">
        <v>12337.299100455935</v>
      </c>
      <c r="K93" s="25">
        <v>2882.1126182788157</v>
      </c>
      <c r="L93" s="25">
        <v>3856420.1815599948</v>
      </c>
      <c r="M93" s="25">
        <v>6165.7734654614424</v>
      </c>
      <c r="N93" s="25">
        <v>5147.8615934602976</v>
      </c>
      <c r="O93" s="25">
        <v>11313.63505892174</v>
      </c>
    </row>
    <row r="94" spans="1:15" s="26" customFormat="1">
      <c r="A94" s="22">
        <v>94</v>
      </c>
      <c r="B94" s="26" t="s">
        <v>67</v>
      </c>
      <c r="C94" s="31">
        <v>0.49261638927348522</v>
      </c>
      <c r="D94" s="31">
        <v>0.45395639861520798</v>
      </c>
      <c r="E94" s="31">
        <v>0.8228573544099882</v>
      </c>
      <c r="F94" s="31">
        <v>0.79476082388507985</v>
      </c>
      <c r="G94" s="31">
        <v>0.59690165874001588</v>
      </c>
      <c r="H94" s="31">
        <v>-1.2490721915608922E-2</v>
      </c>
      <c r="I94" s="31">
        <v>0.70838299414312333</v>
      </c>
      <c r="J94" s="31">
        <v>1.1557439637195999</v>
      </c>
      <c r="K94" s="31">
        <v>6.2064679682435391E-2</v>
      </c>
      <c r="L94" s="31">
        <v>0.55082240137131022</v>
      </c>
      <c r="M94" s="31">
        <v>5.4937862054378851E-3</v>
      </c>
      <c r="N94" s="31">
        <v>4.1737050760360557E-3</v>
      </c>
      <c r="O94" s="31">
        <v>4.8026209858228527E-3</v>
      </c>
    </row>
    <row r="95" spans="1:15" s="26" customFormat="1">
      <c r="A95" s="22">
        <v>95</v>
      </c>
      <c r="B95" s="26" t="s">
        <v>68</v>
      </c>
      <c r="C95" s="32">
        <v>2.2704740004236604E-3</v>
      </c>
      <c r="D95" s="32">
        <v>4.2669466524530549E-3</v>
      </c>
      <c r="E95" s="32">
        <v>2.385171234951384E-3</v>
      </c>
      <c r="F95" s="32">
        <v>1.8346687444581514E-3</v>
      </c>
      <c r="G95" s="32">
        <v>1.6808891102602047E-3</v>
      </c>
      <c r="H95" s="32">
        <v>-2.2068141891231623E-5</v>
      </c>
      <c r="I95" s="32">
        <v>3.2670499870557515E-3</v>
      </c>
      <c r="J95" s="32">
        <v>1.5865112379609954E-3</v>
      </c>
      <c r="K95" s="32">
        <v>1.8054785091959556E-4</v>
      </c>
      <c r="L95" s="32">
        <v>2.7458543048662068E-3</v>
      </c>
      <c r="M95" s="32">
        <v>9.9915304901335968E-6</v>
      </c>
      <c r="N95" s="32">
        <v>7.2972161054618918E-6</v>
      </c>
      <c r="O95" s="32">
        <v>8.5543741946667276E-6</v>
      </c>
    </row>
    <row r="96" spans="1:15" s="26" customFormat="1">
      <c r="A96" s="22">
        <v>96</v>
      </c>
      <c r="B96" s="26" t="s">
        <v>69</v>
      </c>
      <c r="C96" s="31">
        <v>52.76108681855483</v>
      </c>
      <c r="D96" s="31">
        <v>33.737936939994761</v>
      </c>
      <c r="E96" s="31">
        <v>904.38282914084414</v>
      </c>
      <c r="F96" s="31">
        <v>14873.90752652113</v>
      </c>
      <c r="G96" s="31">
        <v>10.147629321708949</v>
      </c>
      <c r="H96" s="31">
        <v>-653.92214288076525</v>
      </c>
      <c r="I96" s="31">
        <v>208.62076635683664</v>
      </c>
      <c r="J96" s="31">
        <v>4.512545391534724</v>
      </c>
      <c r="K96" s="31">
        <v>4.5245096048333053</v>
      </c>
      <c r="L96" s="31">
        <v>40.075227067974105</v>
      </c>
      <c r="M96" s="31">
        <v>6165.7734654614424</v>
      </c>
      <c r="N96" s="31">
        <v>5147.8615934602976</v>
      </c>
      <c r="O96" s="31">
        <v>5656.81752946087</v>
      </c>
    </row>
    <row r="97" spans="1:15" s="26" customFormat="1">
      <c r="A97" s="22">
        <v>97</v>
      </c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</row>
    <row r="98" spans="1:15" s="26" customFormat="1">
      <c r="A98" s="22">
        <v>98</v>
      </c>
      <c r="B98" s="23" t="s">
        <v>82</v>
      </c>
      <c r="C98" s="30">
        <v>1</v>
      </c>
      <c r="D98" s="30">
        <v>0.6103790789854513</v>
      </c>
      <c r="E98" s="30">
        <v>0.22465981551017075</v>
      </c>
      <c r="F98" s="30">
        <v>5.7009588258270891E-2</v>
      </c>
      <c r="G98" s="30">
        <v>1.6745017694270059E-2</v>
      </c>
      <c r="H98" s="30">
        <v>-1.2745756342559932E-3</v>
      </c>
      <c r="I98" s="30">
        <v>1.1002507754059849E-2</v>
      </c>
      <c r="J98" s="30">
        <v>2.4860617109965182E-4</v>
      </c>
      <c r="K98" s="30">
        <v>3.8488614869186695E-5</v>
      </c>
      <c r="L98" s="30">
        <v>8.1047241390233851E-2</v>
      </c>
      <c r="M98" s="30">
        <v>7.9301996082254119E-5</v>
      </c>
      <c r="N98" s="30">
        <v>6.4929259748628979E-5</v>
      </c>
      <c r="O98" s="30">
        <v>1.442312558308831E-4</v>
      </c>
    </row>
    <row r="99" spans="1:15" s="26" customFormat="1">
      <c r="A99" s="22">
        <v>99</v>
      </c>
      <c r="B99" s="26" t="s">
        <v>66</v>
      </c>
      <c r="C99" s="25">
        <v>218011128.72060725</v>
      </c>
      <c r="D99" s="25">
        <v>133069431.95706287</v>
      </c>
      <c r="E99" s="25">
        <v>48978339.957535714</v>
      </c>
      <c r="F99" s="25">
        <v>12428724.684082713</v>
      </c>
      <c r="G99" s="25">
        <v>3650600.2079743557</v>
      </c>
      <c r="H99" s="25">
        <v>-277871.67266393302</v>
      </c>
      <c r="I99" s="25">
        <v>2398669.1342198201</v>
      </c>
      <c r="J99" s="25">
        <v>54198.911968343513</v>
      </c>
      <c r="K99" s="25">
        <v>8390.9463705241378</v>
      </c>
      <c r="L99" s="25">
        <v>17669200.57517641</v>
      </c>
      <c r="M99" s="25">
        <v>17288.717675689408</v>
      </c>
      <c r="N99" s="25">
        <v>14155.301204792111</v>
      </c>
      <c r="O99" s="25">
        <v>31444.018880481519</v>
      </c>
    </row>
    <row r="100" spans="1:15" s="26" customFormat="1">
      <c r="A100" s="22">
        <v>100</v>
      </c>
      <c r="B100" s="26" t="s">
        <v>67</v>
      </c>
      <c r="C100" s="31">
        <v>2.0638559551039464</v>
      </c>
      <c r="D100" s="31">
        <v>2.0871490023214601</v>
      </c>
      <c r="E100" s="31">
        <v>2.7280804255801212</v>
      </c>
      <c r="F100" s="31">
        <v>2.6644205527785858</v>
      </c>
      <c r="G100" s="31">
        <v>25.445528667384295</v>
      </c>
      <c r="H100" s="31">
        <v>-3.2167834613423922E-2</v>
      </c>
      <c r="I100" s="31">
        <v>2.2574306022232253</v>
      </c>
      <c r="J100" s="31">
        <v>5.0772916209243943</v>
      </c>
      <c r="K100" s="31">
        <v>0.18069432659091672</v>
      </c>
      <c r="L100" s="31">
        <v>2.5237373089342641</v>
      </c>
      <c r="M100" s="31">
        <v>1.540447750934429E-2</v>
      </c>
      <c r="N100" s="31">
        <v>1.1476620227380203E-2</v>
      </c>
      <c r="O100" s="31">
        <v>1.3347938497885674E-2</v>
      </c>
    </row>
    <row r="101" spans="1:15" s="26" customFormat="1">
      <c r="A101" s="22">
        <v>101</v>
      </c>
      <c r="B101" s="26" t="s">
        <v>68</v>
      </c>
      <c r="C101" s="32">
        <v>9.5123333058282997E-3</v>
      </c>
      <c r="D101" s="32">
        <v>1.9618081110417761E-2</v>
      </c>
      <c r="E101" s="32">
        <v>7.9077362836396988E-3</v>
      </c>
      <c r="F101" s="32">
        <v>6.1506920866819421E-3</v>
      </c>
      <c r="G101" s="32">
        <v>7.1655207211359651E-2</v>
      </c>
      <c r="H101" s="32">
        <v>-5.6832931145125429E-5</v>
      </c>
      <c r="I101" s="32">
        <v>1.0411230479486291E-2</v>
      </c>
      <c r="J101" s="32">
        <v>6.9696926550040393E-3</v>
      </c>
      <c r="K101" s="32">
        <v>5.2564473878347095E-4</v>
      </c>
      <c r="L101" s="32">
        <v>1.2580851717062257E-2</v>
      </c>
      <c r="M101" s="32">
        <v>2.8016071423901164E-5</v>
      </c>
      <c r="N101" s="32">
        <v>2.0065475742489919E-5</v>
      </c>
      <c r="O101" s="32">
        <v>2.377519712160844E-5</v>
      </c>
    </row>
    <row r="102" spans="1:15" s="26" customFormat="1">
      <c r="A102" s="22">
        <v>102</v>
      </c>
      <c r="B102" s="26" t="s">
        <v>69</v>
      </c>
      <c r="C102" s="31">
        <v>221.04681370594366</v>
      </c>
      <c r="D102" s="31">
        <v>155.1164421065512</v>
      </c>
      <c r="E102" s="31">
        <v>2998.3679190410598</v>
      </c>
      <c r="F102" s="31">
        <v>49864.492212969759</v>
      </c>
      <c r="G102" s="31">
        <v>432.58682402824456</v>
      </c>
      <c r="H102" s="31">
        <v>-1684.0707434177759</v>
      </c>
      <c r="I102" s="31">
        <v>664.81960482810985</v>
      </c>
      <c r="J102" s="31">
        <v>19.82403510180816</v>
      </c>
      <c r="K102" s="31">
        <v>13.172600267698803</v>
      </c>
      <c r="L102" s="31">
        <v>183.61516427738812</v>
      </c>
      <c r="M102" s="31">
        <v>17288.717675689408</v>
      </c>
      <c r="N102" s="31">
        <v>14155.301204792111</v>
      </c>
      <c r="O102" s="31">
        <v>15722.009440240759</v>
      </c>
    </row>
    <row r="103" spans="1:15" s="26" customFormat="1">
      <c r="A103" s="22">
        <v>103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</row>
    <row r="104" spans="1:15" s="26" customFormat="1">
      <c r="A104" s="22">
        <v>104</v>
      </c>
      <c r="B104" s="23" t="s">
        <v>83</v>
      </c>
      <c r="C104" s="30">
        <v>1</v>
      </c>
      <c r="D104" s="30">
        <v>0.64131541138456549</v>
      </c>
      <c r="E104" s="30">
        <v>0.22456511414235683</v>
      </c>
      <c r="F104" s="30">
        <v>2.9350541355691862E-2</v>
      </c>
      <c r="G104" s="30">
        <v>4.051869465779909E-3</v>
      </c>
      <c r="H104" s="30">
        <v>-1.4846270846836768E-3</v>
      </c>
      <c r="I104" s="30">
        <v>2.3133441140107937E-2</v>
      </c>
      <c r="J104" s="30">
        <v>1.9292393298787165E-4</v>
      </c>
      <c r="K104" s="30">
        <v>6.4455234642688886E-4</v>
      </c>
      <c r="L104" s="30">
        <v>7.8039623470202893E-2</v>
      </c>
      <c r="M104" s="30">
        <v>1.0380614261720556E-4</v>
      </c>
      <c r="N104" s="30">
        <v>8.734370394698273E-5</v>
      </c>
      <c r="O104" s="30">
        <v>1.9114984656418829E-4</v>
      </c>
    </row>
    <row r="105" spans="1:15" s="26" customFormat="1">
      <c r="A105" s="22">
        <v>105</v>
      </c>
      <c r="B105" s="26" t="s">
        <v>66</v>
      </c>
      <c r="C105" s="25">
        <v>73014486.857821465</v>
      </c>
      <c r="D105" s="25">
        <v>46825315.676256754</v>
      </c>
      <c r="E105" s="25">
        <v>16396506.575272297</v>
      </c>
      <c r="F105" s="25">
        <v>2143014.7160851094</v>
      </c>
      <c r="G105" s="25">
        <v>295845.16985879524</v>
      </c>
      <c r="H105" s="25">
        <v>-108399.28476340216</v>
      </c>
      <c r="I105" s="25">
        <v>1689076.3341005973</v>
      </c>
      <c r="J105" s="25">
        <v>14086.241969702187</v>
      </c>
      <c r="K105" s="25">
        <v>47061.658827364045</v>
      </c>
      <c r="L105" s="25">
        <v>5698023.06225444</v>
      </c>
      <c r="M105" s="25">
        <v>7579.3522358851023</v>
      </c>
      <c r="N105" s="25">
        <v>6377.3557239504235</v>
      </c>
      <c r="O105" s="25">
        <v>13956.707959835527</v>
      </c>
    </row>
    <row r="106" spans="1:15" s="26" customFormat="1">
      <c r="A106" s="22">
        <v>106</v>
      </c>
      <c r="B106" s="26" t="s">
        <v>67</v>
      </c>
      <c r="C106" s="31">
        <v>0.69120959280703798</v>
      </c>
      <c r="D106" s="31">
        <v>0.73443922815137153</v>
      </c>
      <c r="E106" s="31">
        <v>0.91328102738226591</v>
      </c>
      <c r="F106" s="31">
        <v>0.45941096931342501</v>
      </c>
      <c r="G106" s="31">
        <v>2.0621093304890405</v>
      </c>
      <c r="H106" s="31">
        <v>-1.2548851169510248E-2</v>
      </c>
      <c r="I106" s="31">
        <v>1.5896200737705739</v>
      </c>
      <c r="J106" s="31">
        <v>1.3195829164403856</v>
      </c>
      <c r="K106" s="31">
        <v>1.0134464426961689</v>
      </c>
      <c r="L106" s="31">
        <v>0.81386327175335837</v>
      </c>
      <c r="M106" s="31">
        <v>6.7533037003240119E-3</v>
      </c>
      <c r="N106" s="31">
        <v>5.1705356629154989E-3</v>
      </c>
      <c r="O106" s="31">
        <v>5.9246014381601599E-3</v>
      </c>
    </row>
    <row r="107" spans="1:15" s="26" customFormat="1">
      <c r="A107" s="22">
        <v>107</v>
      </c>
      <c r="B107" s="26" t="s">
        <v>68</v>
      </c>
      <c r="C107" s="32">
        <v>3.1857921163084522E-3</v>
      </c>
      <c r="D107" s="32">
        <v>6.9033348038498475E-3</v>
      </c>
      <c r="E107" s="32">
        <v>2.6472773491839942E-3</v>
      </c>
      <c r="F107" s="32">
        <v>1.0605290559495921E-3</v>
      </c>
      <c r="G107" s="32">
        <v>5.8069483758876666E-3</v>
      </c>
      <c r="H107" s="32">
        <v>-2.217084249026768E-5</v>
      </c>
      <c r="I107" s="32">
        <v>7.3312999950227989E-3</v>
      </c>
      <c r="J107" s="32">
        <v>1.811416016066633E-3</v>
      </c>
      <c r="K107" s="32">
        <v>2.9481434237174572E-3</v>
      </c>
      <c r="L107" s="32">
        <v>4.0571152566651076E-3</v>
      </c>
      <c r="M107" s="32">
        <v>1.2282210720928703E-5</v>
      </c>
      <c r="N107" s="32">
        <v>9.040053244281056E-6</v>
      </c>
      <c r="O107" s="32">
        <v>1.055283308965911E-5</v>
      </c>
    </row>
    <row r="108" spans="1:15" s="26" customFormat="1">
      <c r="A108" s="22">
        <v>108</v>
      </c>
      <c r="B108" s="26" t="s">
        <v>69</v>
      </c>
      <c r="C108" s="31">
        <v>74.031173403903182</v>
      </c>
      <c r="D108" s="31">
        <v>54.583357435242661</v>
      </c>
      <c r="E108" s="31">
        <v>1003.7653244733576</v>
      </c>
      <c r="F108" s="31">
        <v>8597.8524216052538</v>
      </c>
      <c r="G108" s="31">
        <v>35.05689890494078</v>
      </c>
      <c r="H108" s="31">
        <v>-656.96536220243729</v>
      </c>
      <c r="I108" s="31">
        <v>468.14754271080858</v>
      </c>
      <c r="J108" s="31">
        <v>5.152246514155884</v>
      </c>
      <c r="K108" s="31">
        <v>73.880155144998497</v>
      </c>
      <c r="L108" s="31">
        <v>59.212834003484581</v>
      </c>
      <c r="M108" s="31">
        <v>7579.3522358851023</v>
      </c>
      <c r="N108" s="31">
        <v>6377.3557239504235</v>
      </c>
      <c r="O108" s="31">
        <v>6978.3539799177634</v>
      </c>
    </row>
    <row r="109" spans="1:15" s="26" customFormat="1">
      <c r="A109" s="22">
        <v>109</v>
      </c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</row>
    <row r="110" spans="1:15" s="26" customFormat="1">
      <c r="A110" s="22">
        <v>110</v>
      </c>
      <c r="B110" s="23" t="s">
        <v>84</v>
      </c>
      <c r="C110" s="30">
        <v>1</v>
      </c>
      <c r="D110" s="30">
        <v>0.79814216609452726</v>
      </c>
      <c r="E110" s="30">
        <v>7.9021668717494511E-2</v>
      </c>
      <c r="F110" s="30">
        <v>9.3959799747201037E-3</v>
      </c>
      <c r="G110" s="30">
        <v>2.3241727796011065E-3</v>
      </c>
      <c r="H110" s="30">
        <v>-1.2806391319379132E-3</v>
      </c>
      <c r="I110" s="30">
        <v>1.316694358095612E-3</v>
      </c>
      <c r="J110" s="30">
        <v>2.5369235025227365E-3</v>
      </c>
      <c r="K110" s="30">
        <v>5.9635860217832301E-4</v>
      </c>
      <c r="L110" s="30">
        <v>0.10773963217690079</v>
      </c>
      <c r="M110" s="30">
        <v>1.1240427103227063E-4</v>
      </c>
      <c r="N110" s="30">
        <v>9.4638654865148705E-5</v>
      </c>
      <c r="O110" s="30">
        <v>2.0704292589741934E-4</v>
      </c>
    </row>
    <row r="111" spans="1:15" s="26" customFormat="1">
      <c r="A111" s="22">
        <v>111</v>
      </c>
      <c r="B111" s="26" t="s">
        <v>66</v>
      </c>
      <c r="C111" s="25">
        <v>40853931.375390038</v>
      </c>
      <c r="D111" s="25">
        <v>32607245.281430997</v>
      </c>
      <c r="E111" s="25">
        <v>3228345.8309533275</v>
      </c>
      <c r="F111" s="25">
        <v>383862.72109175444</v>
      </c>
      <c r="G111" s="25">
        <v>94951.595242373151</v>
      </c>
      <c r="H111" s="25">
        <v>-52319.143212830597</v>
      </c>
      <c r="I111" s="25">
        <v>53792.140948001404</v>
      </c>
      <c r="J111" s="25">
        <v>103643.29867667796</v>
      </c>
      <c r="K111" s="25">
        <v>24363.593408516732</v>
      </c>
      <c r="L111" s="25">
        <v>4401587.5393648492</v>
      </c>
      <c r="M111" s="25">
        <v>4592.1563750531304</v>
      </c>
      <c r="N111" s="25">
        <v>3866.3611113200127</v>
      </c>
      <c r="O111" s="25">
        <v>8458.5174863731427</v>
      </c>
    </row>
    <row r="112" spans="1:15" s="26" customFormat="1">
      <c r="A112" s="22">
        <v>112</v>
      </c>
      <c r="B112" s="26" t="s">
        <v>67</v>
      </c>
      <c r="C112" s="31">
        <v>0.38675378662234672</v>
      </c>
      <c r="D112" s="31">
        <v>0.51143360617597988</v>
      </c>
      <c r="E112" s="31">
        <v>0.17981799865129783</v>
      </c>
      <c r="F112" s="31">
        <v>8.2290963032774667E-2</v>
      </c>
      <c r="G112" s="31">
        <v>0.66183460283489048</v>
      </c>
      <c r="H112" s="31">
        <v>-6.0567294602276427E-3</v>
      </c>
      <c r="I112" s="31">
        <v>5.0624749951026421E-2</v>
      </c>
      <c r="J112" s="31">
        <v>9.7091847940309233</v>
      </c>
      <c r="K112" s="31">
        <v>0.52465632717562416</v>
      </c>
      <c r="L112" s="31">
        <v>0.628690055578495</v>
      </c>
      <c r="M112" s="31">
        <v>4.0916724378216281E-3</v>
      </c>
      <c r="N112" s="31">
        <v>3.1347095688440442E-3</v>
      </c>
      <c r="O112" s="31">
        <v>3.5906278908095562E-3</v>
      </c>
    </row>
    <row r="113" spans="1:16" s="26" customFormat="1">
      <c r="A113" s="22">
        <v>113</v>
      </c>
      <c r="B113" s="26" t="s">
        <v>68</v>
      </c>
      <c r="C113" s="32">
        <v>1.7825521769311995E-3</v>
      </c>
      <c r="D113" s="32">
        <v>4.8072015737228631E-3</v>
      </c>
      <c r="E113" s="32">
        <v>5.2122851623187267E-4</v>
      </c>
      <c r="F113" s="32">
        <v>1.899648967214615E-4</v>
      </c>
      <c r="G113" s="32">
        <v>1.8637418080674128E-3</v>
      </c>
      <c r="H113" s="32">
        <v>-1.070080384690002E-5</v>
      </c>
      <c r="I113" s="32">
        <v>2.3348046189655564E-4</v>
      </c>
      <c r="J113" s="32">
        <v>1.3327978575458291E-2</v>
      </c>
      <c r="K113" s="32">
        <v>1.5262396072549932E-3</v>
      </c>
      <c r="L113" s="32">
        <v>3.1340252161841356E-3</v>
      </c>
      <c r="M113" s="32">
        <v>7.441510897833626E-6</v>
      </c>
      <c r="N113" s="32">
        <v>5.4806587276739941E-6</v>
      </c>
      <c r="O113" s="32">
        <v>6.395585798351161E-6</v>
      </c>
    </row>
    <row r="114" spans="1:16" s="26" customFormat="1">
      <c r="A114" s="22">
        <v>114</v>
      </c>
      <c r="B114" s="26" t="s">
        <v>69</v>
      </c>
      <c r="C114" s="31">
        <v>41.422799885892424</v>
      </c>
      <c r="D114" s="31">
        <v>38.009630014677079</v>
      </c>
      <c r="E114" s="31">
        <v>197.63365968492974</v>
      </c>
      <c r="F114" s="31">
        <v>1540.0710976599978</v>
      </c>
      <c r="G114" s="31">
        <v>11.251522128495456</v>
      </c>
      <c r="H114" s="31">
        <v>-317.08571644139755</v>
      </c>
      <c r="I114" s="31">
        <v>14.909129974501498</v>
      </c>
      <c r="J114" s="31">
        <v>37.909033897833929</v>
      </c>
      <c r="K114" s="31">
        <v>38.247399385426583</v>
      </c>
      <c r="L114" s="31">
        <v>45.740508501399034</v>
      </c>
      <c r="M114" s="31">
        <v>4592.1563750531304</v>
      </c>
      <c r="N114" s="31">
        <v>3866.3611113200127</v>
      </c>
      <c r="O114" s="31">
        <v>4229.2587431865713</v>
      </c>
    </row>
    <row r="115" spans="1:16" s="26" customFormat="1">
      <c r="A115" s="22">
        <v>115</v>
      </c>
      <c r="C115" s="31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31"/>
    </row>
    <row r="116" spans="1:16" s="26" customFormat="1">
      <c r="A116" s="22">
        <v>116</v>
      </c>
      <c r="B116" s="23" t="s">
        <v>85</v>
      </c>
      <c r="C116" s="30">
        <v>1</v>
      </c>
      <c r="D116" s="30">
        <v>0.71180255284357485</v>
      </c>
      <c r="E116" s="30">
        <v>0.10719553949664966</v>
      </c>
      <c r="F116" s="30">
        <v>1.524308313873698E-2</v>
      </c>
      <c r="G116" s="30">
        <v>1.1276276253632207E-2</v>
      </c>
      <c r="H116" s="30">
        <v>2.4769929749508243E-2</v>
      </c>
      <c r="I116" s="30">
        <v>1.0536161871937681E-2</v>
      </c>
      <c r="J116" s="30">
        <v>2.0749012670543926E-3</v>
      </c>
      <c r="K116" s="30">
        <v>4.7935994038910697E-4</v>
      </c>
      <c r="L116" s="30">
        <v>0.11408714680330247</v>
      </c>
      <c r="M116" s="30">
        <v>1.2764114405829242E-3</v>
      </c>
      <c r="N116" s="30">
        <v>1.2586371946314383E-3</v>
      </c>
      <c r="O116" s="30">
        <v>2.5350486352143627E-3</v>
      </c>
    </row>
    <row r="117" spans="1:16" s="26" customFormat="1">
      <c r="A117" s="22">
        <v>117</v>
      </c>
      <c r="B117" s="26" t="s">
        <v>66</v>
      </c>
      <c r="C117" s="25">
        <v>12113989.223308105</v>
      </c>
      <c r="D117" s="25">
        <v>8622768.4542702604</v>
      </c>
      <c r="E117" s="25">
        <v>1298565.6102491119</v>
      </c>
      <c r="F117" s="25">
        <v>184654.54487264922</v>
      </c>
      <c r="G117" s="25">
        <v>136600.68901554565</v>
      </c>
      <c r="H117" s="25">
        <v>300062.66204764153</v>
      </c>
      <c r="I117" s="25">
        <v>127634.95137168276</v>
      </c>
      <c r="J117" s="25">
        <v>25135.331588525238</v>
      </c>
      <c r="K117" s="25">
        <v>5806.9611519592554</v>
      </c>
      <c r="L117" s="25">
        <v>1382050.4668931761</v>
      </c>
      <c r="M117" s="25">
        <v>15462.43443572871</v>
      </c>
      <c r="N117" s="25">
        <v>15247.117411819987</v>
      </c>
      <c r="O117" s="25">
        <v>30709.551847548697</v>
      </c>
    </row>
    <row r="118" spans="1:16" s="26" customFormat="1">
      <c r="A118" s="22">
        <v>118</v>
      </c>
      <c r="B118" s="26" t="s">
        <v>67</v>
      </c>
      <c r="C118" s="31">
        <v>0.11468005759756532</v>
      </c>
      <c r="D118" s="31">
        <v>0.13524520479193278</v>
      </c>
      <c r="E118" s="31">
        <v>7.2329756903225753E-2</v>
      </c>
      <c r="F118" s="31">
        <v>3.9585506721599203E-2</v>
      </c>
      <c r="G118" s="31">
        <v>0.95213842938397453</v>
      </c>
      <c r="H118" s="31">
        <v>3.473677613077937E-2</v>
      </c>
      <c r="I118" s="31">
        <v>0.12011954505489759</v>
      </c>
      <c r="J118" s="31">
        <v>2.3546489002973963</v>
      </c>
      <c r="K118" s="31">
        <v>0.12504965334766505</v>
      </c>
      <c r="L118" s="31">
        <v>0.1974018185649298</v>
      </c>
      <c r="M118" s="31">
        <v>1.3777234840258069E-2</v>
      </c>
      <c r="N118" s="31">
        <v>1.2361826397483856E-2</v>
      </c>
      <c r="O118" s="31">
        <v>1.3036158352301376E-2</v>
      </c>
    </row>
    <row r="119" spans="1:16" s="26" customFormat="1">
      <c r="A119" s="22">
        <v>119</v>
      </c>
      <c r="B119" s="26" t="s">
        <v>68</v>
      </c>
      <c r="C119" s="32">
        <v>5.2856156395114607E-4</v>
      </c>
      <c r="D119" s="32">
        <v>1.271232381805076E-3</v>
      </c>
      <c r="E119" s="32">
        <v>2.0965827755200806E-4</v>
      </c>
      <c r="F119" s="32">
        <v>9.1381318420594022E-5</v>
      </c>
      <c r="G119" s="32">
        <v>2.6812442116346314E-3</v>
      </c>
      <c r="H119" s="32">
        <v>6.137164126118618E-5</v>
      </c>
      <c r="I119" s="32">
        <v>5.5398924220568895E-4</v>
      </c>
      <c r="J119" s="32">
        <v>3.232270346237904E-3</v>
      </c>
      <c r="K119" s="32">
        <v>3.637728622089524E-4</v>
      </c>
      <c r="L119" s="32">
        <v>9.8404972627382783E-4</v>
      </c>
      <c r="M119" s="32">
        <v>2.5056610655855955E-5</v>
      </c>
      <c r="N119" s="32">
        <v>2.1613151154014091E-5</v>
      </c>
      <c r="O119" s="32">
        <v>2.3219857851724585E-5</v>
      </c>
    </row>
    <row r="120" spans="1:16" s="26" customFormat="1">
      <c r="A120" s="22">
        <v>120</v>
      </c>
      <c r="B120" s="26" t="s">
        <v>69</v>
      </c>
      <c r="C120" s="31">
        <v>12.282669856326853</v>
      </c>
      <c r="D120" s="31">
        <v>10.051393051460435</v>
      </c>
      <c r="E120" s="31">
        <v>79.495905126973483</v>
      </c>
      <c r="F120" s="31">
        <v>740.84070159538305</v>
      </c>
      <c r="G120" s="31">
        <v>16.186833631419084</v>
      </c>
      <c r="H120" s="31">
        <v>1818.5615881675244</v>
      </c>
      <c r="I120" s="31">
        <v>35.375540845810079</v>
      </c>
      <c r="J120" s="31">
        <v>9.1936106761248126</v>
      </c>
      <c r="K120" s="31">
        <v>9.1161085588057382</v>
      </c>
      <c r="L120" s="31">
        <v>14.362020649352319</v>
      </c>
      <c r="M120" s="31">
        <v>15462.43443572871</v>
      </c>
      <c r="N120" s="31">
        <v>15247.117411819987</v>
      </c>
      <c r="O120" s="31">
        <v>15354.775923774348</v>
      </c>
    </row>
    <row r="121" spans="1:16" s="26" customFormat="1">
      <c r="A121" s="22">
        <v>121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</row>
    <row r="122" spans="1:16" s="26" customFormat="1">
      <c r="A122" s="22">
        <v>122</v>
      </c>
      <c r="B122" s="23" t="s">
        <v>86</v>
      </c>
      <c r="C122" s="30">
        <v>1</v>
      </c>
      <c r="D122" s="30">
        <v>0.95581184015941356</v>
      </c>
      <c r="E122" s="30">
        <v>4.1095685187748452E-3</v>
      </c>
      <c r="F122" s="30">
        <v>-1.0693747902881887E-2</v>
      </c>
      <c r="G122" s="30">
        <v>6.0013675000645528E-3</v>
      </c>
      <c r="H122" s="30">
        <v>-2.1549305649272904E-2</v>
      </c>
      <c r="I122" s="30">
        <v>-1.7021823155307278E-3</v>
      </c>
      <c r="J122" s="30">
        <v>2.4273656701147041E-3</v>
      </c>
      <c r="K122" s="30">
        <v>5.1353916286022273E-4</v>
      </c>
      <c r="L122" s="30">
        <v>6.8062573688625574E-2</v>
      </c>
      <c r="M122" s="30">
        <v>-1.6937008301704554E-3</v>
      </c>
      <c r="N122" s="30">
        <v>-1.287318001997536E-3</v>
      </c>
      <c r="O122" s="30">
        <v>-2.9810188321679914E-3</v>
      </c>
    </row>
    <row r="123" spans="1:16" s="26" customFormat="1">
      <c r="A123" s="22">
        <v>123</v>
      </c>
      <c r="B123" s="26" t="s">
        <v>66</v>
      </c>
      <c r="C123" s="25">
        <v>42819676.961728759</v>
      </c>
      <c r="D123" s="25">
        <v>40927554.231821604</v>
      </c>
      <c r="E123" s="25">
        <v>175970.39642602939</v>
      </c>
      <c r="F123" s="25">
        <v>-457902.83071156684</v>
      </c>
      <c r="G123" s="25">
        <v>256976.61768138179</v>
      </c>
      <c r="H123" s="25">
        <v>-922734.30665142229</v>
      </c>
      <c r="I123" s="25">
        <v>-72886.896880993212</v>
      </c>
      <c r="J123" s="25">
        <v>103939.01386230187</v>
      </c>
      <c r="K123" s="25">
        <v>21989.581060871355</v>
      </c>
      <c r="L123" s="25">
        <v>2914417.4185308069</v>
      </c>
      <c r="M123" s="25">
        <v>-72523.722417710684</v>
      </c>
      <c r="N123" s="25">
        <v>-55122.540992552531</v>
      </c>
      <c r="O123" s="25">
        <v>-127646.26341026321</v>
      </c>
    </row>
    <row r="124" spans="1:16" s="26" customFormat="1">
      <c r="A124" s="22">
        <v>124</v>
      </c>
      <c r="B124" s="26" t="s">
        <v>67</v>
      </c>
      <c r="C124" s="31">
        <v>0.4053630005574011</v>
      </c>
      <c r="D124" s="31">
        <v>0.64193483601828816</v>
      </c>
      <c r="E124" s="31">
        <v>9.801503978853484E-3</v>
      </c>
      <c r="F124" s="31">
        <v>-9.8163387180495429E-2</v>
      </c>
      <c r="G124" s="31">
        <v>1.7911865226368793</v>
      </c>
      <c r="H124" s="31">
        <v>-0.10682040484347664</v>
      </c>
      <c r="I124" s="31">
        <v>-6.8595167700675488E-2</v>
      </c>
      <c r="J124" s="31">
        <v>9.7368870518737616</v>
      </c>
      <c r="K124" s="31">
        <v>0.47353330200849908</v>
      </c>
      <c r="L124" s="31">
        <v>0.41627372679709634</v>
      </c>
      <c r="M124" s="31">
        <v>-6.4619601744581284E-2</v>
      </c>
      <c r="N124" s="31">
        <v>-4.469141700252599E-2</v>
      </c>
      <c r="O124" s="31">
        <v>-5.4185645923992533E-2</v>
      </c>
    </row>
    <row r="125" spans="1:16" s="26" customFormat="1">
      <c r="A125" s="22">
        <v>125</v>
      </c>
      <c r="B125" s="26" t="s">
        <v>68</v>
      </c>
      <c r="C125" s="32">
        <v>1.8683222351912911E-3</v>
      </c>
      <c r="D125" s="32">
        <v>6.0338431355893502E-3</v>
      </c>
      <c r="E125" s="32">
        <v>2.8411079058029128E-5</v>
      </c>
      <c r="F125" s="32">
        <v>-2.2660565656698814E-4</v>
      </c>
      <c r="G125" s="32">
        <v>5.0440233768164816E-3</v>
      </c>
      <c r="H125" s="32">
        <v>-1.8872630956733044E-4</v>
      </c>
      <c r="I125" s="32">
        <v>-3.1635971445031678E-4</v>
      </c>
      <c r="J125" s="32">
        <v>1.3366005980112096E-2</v>
      </c>
      <c r="K125" s="32">
        <v>1.3775213286195359E-3</v>
      </c>
      <c r="L125" s="32">
        <v>2.0751280301651892E-3</v>
      </c>
      <c r="M125" s="32">
        <v>-1.1752345230547834E-4</v>
      </c>
      <c r="N125" s="32">
        <v>-7.813751139227087E-5</v>
      </c>
      <c r="O125" s="32">
        <v>-9.6514859819639212E-5</v>
      </c>
    </row>
    <row r="126" spans="1:16" s="26" customFormat="1">
      <c r="A126" s="22">
        <v>126</v>
      </c>
      <c r="B126" s="26" t="s">
        <v>69</v>
      </c>
      <c r="C126" s="31">
        <v>43.415917397675777</v>
      </c>
      <c r="D126" s="31">
        <v>47.708451920134102</v>
      </c>
      <c r="E126" s="31">
        <v>10.772598495624695</v>
      </c>
      <c r="F126" s="31">
        <v>-1837.1226909190245</v>
      </c>
      <c r="G126" s="31">
        <v>30.451074497142052</v>
      </c>
      <c r="H126" s="31">
        <v>-5592.3291312207411</v>
      </c>
      <c r="I126" s="31">
        <v>-20.201468093401665</v>
      </c>
      <c r="J126" s="31">
        <v>38.017195999378885</v>
      </c>
      <c r="K126" s="31">
        <v>34.520535417380465</v>
      </c>
      <c r="L126" s="31">
        <v>30.286103256319659</v>
      </c>
      <c r="M126" s="31">
        <v>-72523.722417710684</v>
      </c>
      <c r="N126" s="31">
        <v>-55122.540992552531</v>
      </c>
      <c r="O126" s="31">
        <v>-63823.131705131607</v>
      </c>
    </row>
    <row r="127" spans="1:16" s="26" customFormat="1">
      <c r="A127" s="22">
        <v>127</v>
      </c>
      <c r="C127" s="31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31"/>
    </row>
    <row r="128" spans="1:16" s="26" customFormat="1">
      <c r="A128" s="22">
        <v>128</v>
      </c>
      <c r="B128" s="23" t="s">
        <v>87</v>
      </c>
      <c r="C128" s="30">
        <v>1</v>
      </c>
      <c r="D128" s="30">
        <v>0.41367054860461677</v>
      </c>
      <c r="E128" s="30">
        <v>0.2600451392748368</v>
      </c>
      <c r="F128" s="30">
        <v>7.3015808180717123E-2</v>
      </c>
      <c r="G128" s="30">
        <v>2.7382096944650416E-3</v>
      </c>
      <c r="H128" s="30">
        <v>0.14149260492709848</v>
      </c>
      <c r="I128" s="30">
        <v>9.4355494977416791E-3</v>
      </c>
      <c r="J128" s="30">
        <v>3.3583955571349708E-4</v>
      </c>
      <c r="K128" s="30">
        <v>3.4101020914035959E-4</v>
      </c>
      <c r="L128" s="30">
        <v>6.7868143316261551E-2</v>
      </c>
      <c r="M128" s="30">
        <v>1.7622470975718438E-2</v>
      </c>
      <c r="N128" s="30">
        <v>1.3434675763690257E-2</v>
      </c>
      <c r="O128" s="30">
        <v>3.1057146739408698E-2</v>
      </c>
      <c r="P128" s="35"/>
    </row>
    <row r="129" spans="1:15" s="26" customFormat="1">
      <c r="A129" s="22">
        <v>129</v>
      </c>
      <c r="B129" s="26" t="s">
        <v>66</v>
      </c>
      <c r="C129" s="25">
        <v>11854053.104647756</v>
      </c>
      <c r="D129" s="25">
        <v>4903672.6509878971</v>
      </c>
      <c r="E129" s="25">
        <v>3082588.8905694364</v>
      </c>
      <c r="F129" s="25">
        <v>865533.26765299472</v>
      </c>
      <c r="G129" s="25">
        <v>32458.883129849906</v>
      </c>
      <c r="H129" s="25">
        <v>1677260.8527207696</v>
      </c>
      <c r="I129" s="25">
        <v>111849.5048177623</v>
      </c>
      <c r="J129" s="25">
        <v>3981.0599280691022</v>
      </c>
      <c r="K129" s="25">
        <v>4042.3531283768598</v>
      </c>
      <c r="L129" s="25">
        <v>804512.57498480892</v>
      </c>
      <c r="M129" s="25">
        <v>208897.70678128011</v>
      </c>
      <c r="N129" s="25">
        <v>159255.35994650843</v>
      </c>
      <c r="O129" s="25">
        <v>368153.06672778854</v>
      </c>
    </row>
    <row r="130" spans="1:15" s="26" customFormat="1">
      <c r="A130" s="22">
        <v>130</v>
      </c>
      <c r="B130" s="26" t="s">
        <v>67</v>
      </c>
      <c r="C130" s="31">
        <v>0.11221930841658527</v>
      </c>
      <c r="D130" s="31">
        <v>7.6912445861516993E-2</v>
      </c>
      <c r="E130" s="31">
        <v>0.17169937608674188</v>
      </c>
      <c r="F130" s="31">
        <v>0.18554957858240223</v>
      </c>
      <c r="G130" s="31">
        <v>0.22624593056991196</v>
      </c>
      <c r="H130" s="31">
        <v>0.19416822591752858</v>
      </c>
      <c r="I130" s="31">
        <v>0.10526357779696666</v>
      </c>
      <c r="J130" s="31">
        <v>0.372941106769618</v>
      </c>
      <c r="K130" s="31">
        <v>8.704980870103167E-2</v>
      </c>
      <c r="L130" s="31">
        <v>0.11491059781439295</v>
      </c>
      <c r="M130" s="31">
        <v>0.18613063653591694</v>
      </c>
      <c r="N130" s="31">
        <v>0.129118643173913</v>
      </c>
      <c r="O130" s="31">
        <v>0.15628042048851706</v>
      </c>
    </row>
    <row r="131" spans="1:15" s="26" customFormat="1">
      <c r="A131" s="22">
        <v>131</v>
      </c>
      <c r="B131" s="26" t="s">
        <v>68</v>
      </c>
      <c r="C131" s="32">
        <v>5.1721994568867035E-4</v>
      </c>
      <c r="D131" s="32">
        <v>7.2293573656389111E-4</v>
      </c>
      <c r="E131" s="32">
        <v>4.9769551272327447E-4</v>
      </c>
      <c r="F131" s="32">
        <v>4.2833265322315267E-4</v>
      </c>
      <c r="G131" s="32">
        <v>6.3711386183513833E-4</v>
      </c>
      <c r="H131" s="32">
        <v>3.4304918396767042E-4</v>
      </c>
      <c r="I131" s="32">
        <v>4.8547378088178571E-4</v>
      </c>
      <c r="J131" s="32">
        <v>5.1194319465306705E-4</v>
      </c>
      <c r="K131" s="32">
        <v>2.532302746803843E-4</v>
      </c>
      <c r="L131" s="32">
        <v>5.7283029683954782E-4</v>
      </c>
      <c r="M131" s="32">
        <v>3.3851516250410003E-4</v>
      </c>
      <c r="N131" s="32">
        <v>2.2574825612233212E-4</v>
      </c>
      <c r="O131" s="32">
        <v>2.7836491784487185E-4</v>
      </c>
    </row>
    <row r="132" spans="1:15" s="26" customFormat="1">
      <c r="A132" s="22">
        <v>132</v>
      </c>
      <c r="B132" s="26" t="s">
        <v>69</v>
      </c>
      <c r="C132" s="31">
        <v>12.019114270269611</v>
      </c>
      <c r="D132" s="31">
        <v>5.7161155923614091</v>
      </c>
      <c r="E132" s="31">
        <v>188.71067588426303</v>
      </c>
      <c r="F132" s="31">
        <v>3472.55072278032</v>
      </c>
      <c r="G132" s="31">
        <v>3.8462949555456696</v>
      </c>
      <c r="H132" s="31">
        <v>10165.217289216786</v>
      </c>
      <c r="I132" s="31">
        <v>31.000417078093761</v>
      </c>
      <c r="J132" s="31">
        <v>1.4561301858336146</v>
      </c>
      <c r="K132" s="31">
        <v>6.3459232784566089</v>
      </c>
      <c r="L132" s="31">
        <v>8.3603504295827697</v>
      </c>
      <c r="M132" s="31">
        <v>208897.70678128011</v>
      </c>
      <c r="N132" s="31">
        <v>159255.35994650843</v>
      </c>
      <c r="O132" s="31">
        <v>184076.53336389427</v>
      </c>
    </row>
    <row r="133" spans="1:15" s="26" customFormat="1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C68EE4F3B370418B00221A8018CB3D" ma:contentTypeVersion="14" ma:contentTypeDescription="Create a new document." ma:contentTypeScope="" ma:versionID="2d908086d651fcb4f55ae9978fbc8dfc">
  <xsd:schema xmlns:xsd="http://www.w3.org/2001/XMLSchema" xmlns:xs="http://www.w3.org/2001/XMLSchema" xmlns:p="http://schemas.microsoft.com/office/2006/metadata/properties" xmlns:ns1="http://schemas.microsoft.com/sharepoint/v3" xmlns:ns2="729ad107-2371-48eb-8d59-a51c86e37f56" xmlns:ns3="7a4c1e6a-387f-47de-ae7e-907a344f53a1" targetNamespace="http://schemas.microsoft.com/office/2006/metadata/properties" ma:root="true" ma:fieldsID="51cf7b4b2b2b76cda3586a102d64316f" ns1:_="" ns2:_="" ns3:_="">
    <xsd:import namespace="http://schemas.microsoft.com/sharepoint/v3"/>
    <xsd:import namespace="729ad107-2371-48eb-8d59-a51c86e37f56"/>
    <xsd:import namespace="7a4c1e6a-387f-47de-ae7e-907a344f53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ad107-2371-48eb-8d59-a51c86e37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4c1e6a-387f-47de-ae7e-907a344f53a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10BC15-CBF3-4D36-A8AF-8561D38601A6}">
  <ds:schemaRefs>
    <ds:schemaRef ds:uri="http://schemas.openxmlformats.org/package/2006/metadata/core-properties"/>
    <ds:schemaRef ds:uri="729ad107-2371-48eb-8d59-a51c86e37f56"/>
    <ds:schemaRef ds:uri="http://purl.org/dc/terms/"/>
    <ds:schemaRef ds:uri="http://schemas.microsoft.com/office/infopath/2007/PartnerControls"/>
    <ds:schemaRef ds:uri="http://schemas.microsoft.com/office/2006/documentManagement/types"/>
    <ds:schemaRef ds:uri="7a4c1e6a-387f-47de-ae7e-907a344f53a1"/>
    <ds:schemaRef ds:uri="http://purl.org/dc/elements/1.1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2F6019B-4C8A-4B24-968F-8776193EEB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29ad107-2371-48eb-8d59-a51c86e37f56"/>
    <ds:schemaRef ds:uri="7a4c1e6a-387f-47de-ae7e-907a344f53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EC1170C-B13F-4F8E-8825-33684FA951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Blocking</vt:lpstr>
      <vt:lpstr>Unbundling Summary</vt:lpstr>
      <vt:lpstr>Summary Chart</vt:lpstr>
      <vt:lpstr>JAM Download</vt:lpstr>
      <vt:lpstr>FuncStudy</vt:lpstr>
      <vt:lpstr>Production Summary</vt:lpstr>
      <vt:lpstr>Unit Cost Target</vt:lpstr>
      <vt:lpstr>FERCJAMFactor</vt:lpstr>
      <vt:lpstr>FuncStudy</vt:lpstr>
      <vt:lpstr>JAMValue</vt:lpstr>
      <vt:lpstr>Blocking!Print_Area</vt:lpstr>
      <vt:lpstr>Blocking!Print_Titles</vt:lpstr>
      <vt:lpstr>UnbundledCategories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Roumpani</dc:creator>
  <cp:lastModifiedBy>Fred Nass</cp:lastModifiedBy>
  <dcterms:created xsi:type="dcterms:W3CDTF">2020-06-16T04:55:44Z</dcterms:created>
  <dcterms:modified xsi:type="dcterms:W3CDTF">2020-09-15T23:21:30Z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0x0101008CC68EE4F3B370418B00221A8018CB3D</vt:lpwstr>
  </property>
</Properties>
</file>